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comments2.xml" ContentType="application/vnd.openxmlformats-officedocument.spreadsheetml.comments+xml"/>
  <Override PartName="/xl/tables/table31.xml" ContentType="application/vnd.openxmlformats-officedocument.spreadsheetml.table+xml"/>
  <Override PartName="/xl/comments3.xml" ContentType="application/vnd.openxmlformats-officedocument.spreadsheetml.comments+xml"/>
  <Override PartName="/xl/tables/table32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5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13-Creluz\"/>
    </mc:Choice>
  </mc:AlternateContent>
  <xr:revisionPtr revIDLastSave="0" documentId="8_{A093A6FB-362F-46B4-AC30-286334F7E525}" xr6:coauthVersionLast="47" xr6:coauthVersionMax="47" xr10:uidLastSave="{00000000-0000-0000-0000-000000000000}"/>
  <bookViews>
    <workbookView xWindow="-120" yWindow="-120" windowWidth="29040" windowHeight="15840" tabRatio="725" activeTab="7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ICMS" sheetId="137" r:id="rId18"/>
    <sheet name="PIS_COFINS" sheetId="140" r:id="rId19"/>
    <sheet name="Financeiros Mitigação" sheetId="139" r:id="rId20"/>
    <sheet name="CVE" sheetId="135" r:id="rId21"/>
    <sheet name="Conta covid" sheetId="131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BD-NET" sheetId="49" r:id="rId29"/>
    <sheet name="Sharepoint" sheetId="121" state="hidden" r:id="rId30"/>
    <sheet name="COEFICIENTES" sheetId="102" state="hidden" r:id="rId31"/>
    <sheet name="REN 473" sheetId="95" state="hidden" r:id="rId32"/>
    <sheet name="ERD" sheetId="94" state="hidden" r:id="rId33"/>
    <sheet name="Glossário Vínculos" sheetId="85" state="hidden" r:id="rId34"/>
  </sheets>
  <externalReferences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20" hidden="1">#REF!</definedName>
    <definedName name="__123Graph_APREVRCOM" localSheetId="8" hidden="1">#REF!</definedName>
    <definedName name="__123Graph_APREVRCOM" hidden="1">#REF!</definedName>
    <definedName name="__123Graph_APREVREALI" localSheetId="20" hidden="1">#REF!</definedName>
    <definedName name="__123Graph_APREVREALI" localSheetId="8" hidden="1">#REF!</definedName>
    <definedName name="__123Graph_APREVREALI" hidden="1">#REF!</definedName>
    <definedName name="__123Graph_APREVRIND" localSheetId="20" hidden="1">#REF!</definedName>
    <definedName name="__123Graph_APREVRIND" localSheetId="8" hidden="1">#REF!</definedName>
    <definedName name="__123Graph_APREVRIND" hidden="1">#REF!</definedName>
    <definedName name="__123Graph_APREVROUT" localSheetId="20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20" hidden="1">#REF!</definedName>
    <definedName name="__123Graph_APREVRRES" localSheetId="8" hidden="1">#REF!</definedName>
    <definedName name="__123Graph_APREVRRES" hidden="1">#REF!</definedName>
    <definedName name="__123Graph_APREVRTOT" localSheetId="20" hidden="1">#REF!</definedName>
    <definedName name="__123Graph_APREVRTOT" localSheetId="8" hidden="1">#REF!</definedName>
    <definedName name="__123Graph_APREVRTOT" hidden="1">#REF!</definedName>
    <definedName name="__123Graph_B" localSheetId="20" hidden="1">#REF!</definedName>
    <definedName name="__123Graph_B" localSheetId="8" hidden="1">#REF!</definedName>
    <definedName name="__123Graph_B" hidden="1">#REF!</definedName>
    <definedName name="__123Graph_BCOMPARA" localSheetId="20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20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20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20" hidden="1">#REF!</definedName>
    <definedName name="__123Graph_BPREVREALI" localSheetId="8" hidden="1">#REF!</definedName>
    <definedName name="__123Graph_BPREVREALI" hidden="1">#REF!</definedName>
    <definedName name="__123Graph_C" localSheetId="20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20" hidden="1">#REF!</definedName>
    <definedName name="__123Graph_CPREVREALI" localSheetId="8" hidden="1">#REF!</definedName>
    <definedName name="__123Graph_CPREVREALI" hidden="1">#REF!</definedName>
    <definedName name="__123Graph_D" localSheetId="20" hidden="1">#REF!</definedName>
    <definedName name="__123Graph_D" localSheetId="8" hidden="1">#REF!</definedName>
    <definedName name="__123Graph_D" hidden="1">#REF!</definedName>
    <definedName name="__123Graph_DCDI" localSheetId="20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20" hidden="1">#REF!</definedName>
    <definedName name="__123Graph_DCOMPARA" localSheetId="8" hidden="1">#REF!</definedName>
    <definedName name="__123Graph_DCOMPARA" hidden="1">#REF!</definedName>
    <definedName name="__123Graph_DGERAL" localSheetId="20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20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20" hidden="1">#REF!</definedName>
    <definedName name="__123Graph_EPREVREALI" localSheetId="8" hidden="1">#REF!</definedName>
    <definedName name="__123Graph_EPREVREALI" hidden="1">#REF!</definedName>
    <definedName name="__123Graph_F" localSheetId="20" hidden="1">#REF!</definedName>
    <definedName name="__123Graph_F" localSheetId="8" hidden="1">#REF!</definedName>
    <definedName name="__123Graph_F" hidden="1">#REF!</definedName>
    <definedName name="__123Graph_FCDI" localSheetId="20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20" hidden="1">#REF!</definedName>
    <definedName name="__123Graph_FCOMPARA" localSheetId="8" hidden="1">#REF!</definedName>
    <definedName name="__123Graph_FCOMPARA" hidden="1">#REF!</definedName>
    <definedName name="__123Graph_FGERAL" localSheetId="20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20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20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3" hidden="1">BDCOVID!$A$1:$AH$497</definedName>
    <definedName name="_xlnm._FilterDatabase" localSheetId="28" hidden="1">'BD-NET'!$A$1:$P$191</definedName>
    <definedName name="_xlnm._FilterDatabase" localSheetId="6" hidden="1">CAPA!$A:$H</definedName>
    <definedName name="_xlnm._FilterDatabase" localSheetId="30" hidden="1">COEFICIENTES!$D$20:$M$124</definedName>
    <definedName name="_xlnm._FilterDatabase" localSheetId="14" hidden="1">CUSD!$A:$H</definedName>
    <definedName name="_xlnm._FilterDatabase" localSheetId="20" hidden="1">#REF!</definedName>
    <definedName name="_xlnm._FilterDatabase" localSheetId="11" hidden="1">Energia!$A:$H</definedName>
    <definedName name="_xlnm._FilterDatabase" localSheetId="4" hidden="1">Faturas!$AB$1:$AE$1134</definedName>
    <definedName name="_xlnm._FilterDatabase" localSheetId="27" hidden="1">Índices!$B$6:$F$500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20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0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20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0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20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_xlnm.Print_Area" localSheetId="7">Resultado!$A$1:$N$88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0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0" hidden="1">#REF!</definedName>
    <definedName name="BANCO1" localSheetId="8" hidden="1">#REF!</definedName>
    <definedName name="BANCO1" hidden="1">#REF!</definedName>
    <definedName name="bb" localSheetId="20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0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20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20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20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Gráficos'!$BA$267:$BI$274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CVE!$C$9:$E$17,CVE!$I$9:$I$9,CVE!$D$24:$D$32,CVE!$C$42,CVE!$C$46,CVE!$I$11:$I$14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20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Financeiros!$D$26</definedName>
    <definedName name="LnkTXTAumfin">'Tabelas e Gráficos'!$AC$5</definedName>
    <definedName name="LnkTxtAvalEfeitoEnergia">'[10]Votos e NTs'!$BP$286</definedName>
    <definedName name="LnkTxtBand">Financeiros!$E$29</definedName>
    <definedName name="LnkTXTBandeira">Financeiros!$D$29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Gráficos'!$AQ$204</definedName>
    <definedName name="LnkTXTEnergia">CAPA!$C$102</definedName>
    <definedName name="LnkTXTER" localSheetId="8">Energia!$C$5</definedName>
    <definedName name="LnkTXTER">Energia!$C$5</definedName>
    <definedName name="LnkTXTERFIN">'Tabelas e Gráficos'!$AW$263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>'Tabelas e Gráficos'!$Q$114</definedName>
    <definedName name="LNKTXTPercperdas">Energia!$N$14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Gráficos'!$AV$221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20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20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0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20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0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Resultado!$B$5:$D$50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Resultado!$B$41:$C$50</definedName>
    <definedName name="Tabresumo3">Resultado!$B$5:$E$51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20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20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0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20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24" r:id="rId50"/>
    <pivotCache cacheId="25" r:id="rId5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S244" i="89" l="1"/>
  <c r="AS246" i="89"/>
  <c r="AS249" i="89"/>
  <c r="AU249" i="89"/>
  <c r="AS254" i="89"/>
  <c r="AS255" i="89"/>
  <c r="AS256" i="89"/>
  <c r="AS257" i="89"/>
  <c r="AS258" i="89"/>
  <c r="AS259" i="89"/>
  <c r="AS260" i="89"/>
  <c r="AU260" i="89"/>
  <c r="AS235" i="89" l="1"/>
  <c r="D41" i="50"/>
  <c r="C49" i="64"/>
  <c r="C54" i="64"/>
  <c r="C55" i="64"/>
  <c r="C58" i="64"/>
  <c r="C60" i="64"/>
  <c r="C61" i="64"/>
  <c r="C63" i="64"/>
  <c r="C64" i="64"/>
  <c r="C65" i="64"/>
  <c r="C99" i="64"/>
  <c r="F256" i="49" l="1"/>
  <c r="G256" i="49"/>
  <c r="H256" i="49"/>
  <c r="I256" i="49"/>
  <c r="J256" i="49"/>
  <c r="K256" i="49"/>
  <c r="F257" i="49"/>
  <c r="G257" i="49"/>
  <c r="H257" i="49"/>
  <c r="I257" i="49"/>
  <c r="J257" i="49"/>
  <c r="K257" i="49"/>
  <c r="F258" i="49"/>
  <c r="G258" i="49"/>
  <c r="H258" i="49"/>
  <c r="I258" i="49"/>
  <c r="J258" i="49"/>
  <c r="K258" i="49"/>
  <c r="F259" i="49"/>
  <c r="G259" i="49"/>
  <c r="H259" i="49"/>
  <c r="I259" i="49"/>
  <c r="J259" i="49"/>
  <c r="K259" i="49"/>
  <c r="F255" i="49"/>
  <c r="G255" i="49"/>
  <c r="H255" i="49"/>
  <c r="I255" i="49"/>
  <c r="J255" i="49"/>
  <c r="K255" i="49"/>
  <c r="C255" i="49"/>
  <c r="Q260" i="49"/>
  <c r="G260" i="49"/>
  <c r="H260" i="49"/>
  <c r="I260" i="49"/>
  <c r="J260" i="49"/>
  <c r="K260" i="49"/>
  <c r="F260" i="49"/>
  <c r="D64" i="50"/>
  <c r="C82" i="64" s="1"/>
  <c r="D63" i="50"/>
  <c r="C81" i="64" s="1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J1134" i="130" l="1"/>
  <c r="J228" i="130"/>
  <c r="BA269" i="89" l="1"/>
  <c r="D27" i="140"/>
  <c r="E27" i="140"/>
  <c r="C27" i="140"/>
  <c r="I4" i="140"/>
  <c r="H4" i="140"/>
  <c r="K53" i="58" l="1"/>
  <c r="J53" i="58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C62" i="64"/>
  <c r="C159" i="49" l="1"/>
  <c r="C160" i="49"/>
  <c r="C161" i="49"/>
  <c r="AM182" i="89"/>
  <c r="AS248" i="89" s="1"/>
  <c r="AN182" i="89"/>
  <c r="AM184" i="89"/>
  <c r="AS250" i="89" s="1"/>
  <c r="AN184" i="89"/>
  <c r="AM185" i="89"/>
  <c r="AS251" i="89" s="1"/>
  <c r="AN185" i="89"/>
  <c r="AM186" i="89"/>
  <c r="AS252" i="89" s="1"/>
  <c r="AN186" i="89"/>
  <c r="AM187" i="89"/>
  <c r="AS253" i="89" s="1"/>
  <c r="AN187" i="89"/>
  <c r="AO186" i="89" l="1"/>
  <c r="AU252" i="89"/>
  <c r="AO184" i="89"/>
  <c r="AU250" i="89"/>
  <c r="AO187" i="89"/>
  <c r="AU253" i="89"/>
  <c r="AO185" i="89"/>
  <c r="AU251" i="89"/>
  <c r="AO182" i="89"/>
  <c r="AU248" i="89"/>
  <c r="D38" i="50"/>
  <c r="C59" i="64" s="1"/>
  <c r="AO194" i="89" l="1"/>
  <c r="AO195" i="89"/>
  <c r="AO196" i="89"/>
  <c r="M22" i="58"/>
  <c r="M23" i="58"/>
  <c r="N6" i="139" l="1"/>
  <c r="N7" i="139" s="1"/>
  <c r="N8" i="139" s="1"/>
  <c r="N9" i="139" s="1"/>
  <c r="N10" i="139" s="1"/>
  <c r="F138" i="49"/>
  <c r="G138" i="49"/>
  <c r="H138" i="49"/>
  <c r="I138" i="49"/>
  <c r="J138" i="49"/>
  <c r="K138" i="49"/>
  <c r="F139" i="49"/>
  <c r="G139" i="49"/>
  <c r="H139" i="49"/>
  <c r="I139" i="49"/>
  <c r="J139" i="49"/>
  <c r="K139" i="49"/>
  <c r="K105" i="49"/>
  <c r="J105" i="49"/>
  <c r="I105" i="49"/>
  <c r="H105" i="49"/>
  <c r="G105" i="49"/>
  <c r="F105" i="49"/>
  <c r="K104" i="49"/>
  <c r="J104" i="49"/>
  <c r="I104" i="49"/>
  <c r="H104" i="49"/>
  <c r="G104" i="49"/>
  <c r="F104" i="49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C8" i="139"/>
  <c r="O5" i="139" s="1"/>
  <c r="O6" i="139" s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L42" i="51" l="1"/>
  <c r="C20" i="50" s="1"/>
  <c r="B48" i="64" s="1"/>
  <c r="L41" i="51"/>
  <c r="C19" i="50" s="1"/>
  <c r="C138" i="49" l="1"/>
  <c r="C104" i="49"/>
  <c r="C105" i="49"/>
  <c r="C139" i="49"/>
  <c r="Q198" i="49" l="1"/>
  <c r="Q197" i="49"/>
  <c r="F144" i="49"/>
  <c r="G144" i="49"/>
  <c r="H144" i="49"/>
  <c r="I144" i="49"/>
  <c r="J144" i="49"/>
  <c r="K144" i="49"/>
  <c r="C144" i="49"/>
  <c r="L17" i="51"/>
  <c r="I21" i="51"/>
  <c r="AU214" i="89" s="1"/>
  <c r="AV214" i="89" s="1"/>
  <c r="I20" i="51"/>
  <c r="Q285" i="49" l="1"/>
  <c r="P285" i="49" s="1"/>
  <c r="F47" i="58" l="1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K12" i="39"/>
  <c r="M6" i="58"/>
  <c r="K43" i="58" l="1"/>
  <c r="L43" i="58" s="1"/>
  <c r="K47" i="58"/>
  <c r="L47" i="58" s="1"/>
  <c r="K45" i="58"/>
  <c r="L45" i="58" s="1"/>
  <c r="L44" i="58"/>
  <c r="J48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75" i="132" l="1"/>
  <c r="G76" i="132"/>
  <c r="G74" i="132"/>
  <c r="G27" i="132"/>
  <c r="G28" i="132"/>
  <c r="G29" i="132"/>
  <c r="G26" i="132"/>
  <c r="G19" i="132" l="1"/>
  <c r="G18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9" i="51"/>
  <c r="L18" i="51" s="1"/>
  <c r="C63" i="58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Q205" i="49" l="1"/>
  <c r="Q203" i="49"/>
  <c r="C162" i="49"/>
  <c r="F162" i="49"/>
  <c r="G162" i="49"/>
  <c r="H162" i="49"/>
  <c r="I162" i="49"/>
  <c r="J162" i="49"/>
  <c r="K162" i="49"/>
  <c r="C163" i="49"/>
  <c r="F163" i="49"/>
  <c r="G163" i="49"/>
  <c r="H163" i="49"/>
  <c r="I163" i="49"/>
  <c r="J163" i="49"/>
  <c r="K163" i="49"/>
  <c r="C164" i="49"/>
  <c r="F164" i="49"/>
  <c r="G164" i="49"/>
  <c r="H164" i="49"/>
  <c r="I164" i="49"/>
  <c r="J164" i="49"/>
  <c r="K164" i="49"/>
  <c r="C153" i="49"/>
  <c r="F153" i="49"/>
  <c r="G153" i="49"/>
  <c r="H153" i="49"/>
  <c r="I153" i="49"/>
  <c r="J153" i="49"/>
  <c r="K153" i="49"/>
  <c r="C154" i="49"/>
  <c r="F154" i="49"/>
  <c r="G154" i="49"/>
  <c r="H154" i="49"/>
  <c r="I154" i="49"/>
  <c r="J154" i="49"/>
  <c r="K154" i="49"/>
  <c r="C155" i="49"/>
  <c r="F155" i="49"/>
  <c r="G155" i="49"/>
  <c r="H155" i="49"/>
  <c r="I155" i="49"/>
  <c r="J155" i="49"/>
  <c r="K155" i="49"/>
  <c r="C156" i="49"/>
  <c r="F156" i="49"/>
  <c r="G156" i="49"/>
  <c r="H156" i="49"/>
  <c r="I156" i="49"/>
  <c r="J156" i="49"/>
  <c r="K156" i="49"/>
  <c r="C157" i="49"/>
  <c r="F157" i="49"/>
  <c r="G157" i="49"/>
  <c r="H157" i="49"/>
  <c r="I157" i="49"/>
  <c r="J157" i="49"/>
  <c r="K157" i="49"/>
  <c r="C158" i="49"/>
  <c r="F158" i="49"/>
  <c r="G158" i="49"/>
  <c r="H158" i="49"/>
  <c r="I158" i="49"/>
  <c r="J158" i="49"/>
  <c r="K158" i="49"/>
  <c r="F150" i="49"/>
  <c r="G150" i="49"/>
  <c r="H150" i="49"/>
  <c r="I150" i="49"/>
  <c r="J150" i="49"/>
  <c r="K150" i="49"/>
  <c r="F151" i="49"/>
  <c r="G151" i="49"/>
  <c r="H151" i="49"/>
  <c r="I151" i="49"/>
  <c r="J151" i="49"/>
  <c r="K151" i="49"/>
  <c r="F152" i="49"/>
  <c r="G152" i="49"/>
  <c r="H152" i="49"/>
  <c r="I152" i="49"/>
  <c r="J152" i="49"/>
  <c r="K152" i="49"/>
  <c r="G149" i="49"/>
  <c r="H149" i="49"/>
  <c r="I149" i="49"/>
  <c r="J149" i="49"/>
  <c r="K149" i="49"/>
  <c r="F149" i="49"/>
  <c r="F146" i="49"/>
  <c r="G146" i="49"/>
  <c r="H146" i="49"/>
  <c r="I146" i="49"/>
  <c r="J146" i="49"/>
  <c r="K146" i="49"/>
  <c r="F147" i="49"/>
  <c r="G147" i="49"/>
  <c r="H147" i="49"/>
  <c r="I147" i="49"/>
  <c r="J147" i="49"/>
  <c r="K147" i="49"/>
  <c r="F148" i="49"/>
  <c r="G148" i="49"/>
  <c r="H148" i="49"/>
  <c r="I148" i="49"/>
  <c r="J148" i="49"/>
  <c r="K148" i="49"/>
  <c r="G145" i="49"/>
  <c r="H145" i="49"/>
  <c r="I145" i="49"/>
  <c r="J145" i="49"/>
  <c r="K145" i="49"/>
  <c r="F145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F132" i="49"/>
  <c r="G132" i="49"/>
  <c r="H132" i="49"/>
  <c r="I132" i="49"/>
  <c r="J132" i="49"/>
  <c r="K132" i="49"/>
  <c r="F133" i="49"/>
  <c r="G133" i="49"/>
  <c r="H133" i="49"/>
  <c r="I133" i="49"/>
  <c r="J133" i="49"/>
  <c r="K133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F137" i="49"/>
  <c r="G137" i="49"/>
  <c r="H137" i="49"/>
  <c r="I137" i="49"/>
  <c r="J137" i="49"/>
  <c r="K137" i="49"/>
  <c r="F140" i="49"/>
  <c r="G140" i="49"/>
  <c r="H140" i="49"/>
  <c r="I140" i="49"/>
  <c r="J140" i="49"/>
  <c r="K140" i="49"/>
  <c r="F141" i="49"/>
  <c r="G141" i="49"/>
  <c r="H141" i="49"/>
  <c r="I141" i="49"/>
  <c r="J141" i="49"/>
  <c r="K141" i="49"/>
  <c r="F142" i="49"/>
  <c r="G142" i="49"/>
  <c r="H142" i="49"/>
  <c r="I142" i="49"/>
  <c r="J142" i="49"/>
  <c r="K142" i="49"/>
  <c r="F143" i="49"/>
  <c r="G143" i="49"/>
  <c r="H143" i="49"/>
  <c r="I143" i="49"/>
  <c r="J143" i="49"/>
  <c r="K143" i="49"/>
  <c r="G129" i="49"/>
  <c r="H129" i="49"/>
  <c r="I129" i="49"/>
  <c r="J129" i="49"/>
  <c r="K129" i="49"/>
  <c r="F129" i="49"/>
  <c r="C130" i="49"/>
  <c r="C129" i="49"/>
  <c r="Q126" i="49"/>
  <c r="Q127" i="49"/>
  <c r="Q128" i="49"/>
  <c r="Q125" i="49"/>
  <c r="C126" i="49"/>
  <c r="F126" i="49"/>
  <c r="G126" i="49"/>
  <c r="H126" i="49"/>
  <c r="I126" i="49"/>
  <c r="J126" i="49"/>
  <c r="K126" i="49"/>
  <c r="C127" i="49"/>
  <c r="F127" i="49"/>
  <c r="G127" i="49"/>
  <c r="H127" i="49"/>
  <c r="I127" i="49"/>
  <c r="J127" i="49"/>
  <c r="K127" i="49"/>
  <c r="C128" i="49"/>
  <c r="F128" i="49"/>
  <c r="G128" i="49"/>
  <c r="H128" i="49"/>
  <c r="I128" i="49"/>
  <c r="J128" i="49"/>
  <c r="K128" i="49"/>
  <c r="C125" i="49"/>
  <c r="F123" i="49"/>
  <c r="G123" i="49"/>
  <c r="H123" i="49"/>
  <c r="F124" i="49"/>
  <c r="G124" i="49"/>
  <c r="H124" i="49"/>
  <c r="F125" i="49"/>
  <c r="G125" i="49"/>
  <c r="H125" i="49"/>
  <c r="I124" i="49"/>
  <c r="J124" i="49"/>
  <c r="K124" i="49"/>
  <c r="I125" i="49"/>
  <c r="J125" i="49"/>
  <c r="K125" i="49"/>
  <c r="B85" i="64" l="1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100" i="64"/>
  <c r="B62" i="64"/>
  <c r="B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B84" i="64"/>
  <c r="AN181" i="89" l="1"/>
  <c r="AU247" i="89" s="1"/>
  <c r="AM181" i="89"/>
  <c r="AS247" i="89" s="1"/>
  <c r="AS240" i="89" l="1"/>
  <c r="AS242" i="89"/>
  <c r="AO181" i="89"/>
  <c r="AN176" i="89"/>
  <c r="AU242" i="89" s="1"/>
  <c r="AN180" i="89"/>
  <c r="AU246" i="89" s="1"/>
  <c r="C18" i="50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M26" i="58" l="1"/>
  <c r="O60" i="49"/>
  <c r="O61" i="49"/>
  <c r="O62" i="49"/>
  <c r="O63" i="49"/>
  <c r="O59" i="49"/>
  <c r="J11" i="130"/>
  <c r="P288" i="49"/>
  <c r="P287" i="49"/>
  <c r="L60" i="49"/>
  <c r="L61" i="49"/>
  <c r="L62" i="49"/>
  <c r="L63" i="49"/>
  <c r="L59" i="49"/>
  <c r="C261" i="49" l="1"/>
  <c r="F261" i="49"/>
  <c r="G261" i="49"/>
  <c r="H261" i="49"/>
  <c r="I261" i="49"/>
  <c r="J261" i="49"/>
  <c r="Q264" i="49"/>
  <c r="P264" i="49" s="1"/>
  <c r="Q279" i="49"/>
  <c r="P279" i="49" s="1"/>
  <c r="Q278" i="49"/>
  <c r="P278" i="49" s="1"/>
  <c r="Q277" i="49"/>
  <c r="P277" i="49" s="1"/>
  <c r="Q276" i="49"/>
  <c r="P276" i="49" s="1"/>
  <c r="Q275" i="49"/>
  <c r="P275" i="49" s="1"/>
  <c r="Q274" i="49"/>
  <c r="P274" i="49" s="1"/>
  <c r="Q273" i="49"/>
  <c r="P273" i="49" s="1"/>
  <c r="Q272" i="49"/>
  <c r="P272" i="49" s="1"/>
  <c r="Q271" i="49"/>
  <c r="P271" i="49" s="1"/>
  <c r="Q270" i="49"/>
  <c r="P270" i="49" s="1"/>
  <c r="Q269" i="49"/>
  <c r="P269" i="49" s="1"/>
  <c r="Q268" i="49"/>
  <c r="P268" i="49" s="1"/>
  <c r="Q267" i="49"/>
  <c r="P267" i="49" s="1"/>
  <c r="Q266" i="49"/>
  <c r="P266" i="49" s="1"/>
  <c r="Q265" i="49"/>
  <c r="P265" i="49" s="1"/>
  <c r="Q263" i="49"/>
  <c r="P263" i="49" s="1"/>
  <c r="Q262" i="49"/>
  <c r="P262" i="49" s="1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F243" i="49"/>
  <c r="G243" i="49"/>
  <c r="H243" i="49"/>
  <c r="I243" i="49"/>
  <c r="J243" i="49"/>
  <c r="K243" i="49"/>
  <c r="C244" i="49"/>
  <c r="F244" i="49"/>
  <c r="G244" i="49"/>
  <c r="H244" i="49"/>
  <c r="I244" i="49"/>
  <c r="J244" i="49"/>
  <c r="K244" i="49"/>
  <c r="C245" i="49"/>
  <c r="F245" i="49"/>
  <c r="G245" i="49"/>
  <c r="H245" i="49"/>
  <c r="I245" i="49"/>
  <c r="J245" i="49"/>
  <c r="K245" i="49"/>
  <c r="C246" i="49"/>
  <c r="F246" i="49"/>
  <c r="G246" i="49"/>
  <c r="H246" i="49"/>
  <c r="I246" i="49"/>
  <c r="J246" i="49"/>
  <c r="K246" i="49"/>
  <c r="C247" i="49"/>
  <c r="F247" i="49"/>
  <c r="G247" i="49"/>
  <c r="H247" i="49"/>
  <c r="I247" i="49"/>
  <c r="J247" i="49"/>
  <c r="K247" i="49"/>
  <c r="C248" i="49"/>
  <c r="F248" i="49"/>
  <c r="G248" i="49"/>
  <c r="H248" i="49"/>
  <c r="I248" i="49"/>
  <c r="J248" i="49"/>
  <c r="K248" i="49"/>
  <c r="C249" i="49"/>
  <c r="F249" i="49"/>
  <c r="G249" i="49"/>
  <c r="H249" i="49"/>
  <c r="I249" i="49"/>
  <c r="J249" i="49"/>
  <c r="K249" i="49"/>
  <c r="C250" i="49"/>
  <c r="F250" i="49"/>
  <c r="G250" i="49"/>
  <c r="H250" i="49"/>
  <c r="I250" i="49"/>
  <c r="J250" i="49"/>
  <c r="K250" i="49"/>
  <c r="C251" i="49"/>
  <c r="F251" i="49"/>
  <c r="G251" i="49"/>
  <c r="H251" i="49"/>
  <c r="I251" i="49"/>
  <c r="J251" i="49"/>
  <c r="K251" i="49"/>
  <c r="C252" i="49"/>
  <c r="F252" i="49"/>
  <c r="G252" i="49"/>
  <c r="H252" i="49"/>
  <c r="I252" i="49"/>
  <c r="J252" i="49"/>
  <c r="K252" i="49"/>
  <c r="C253" i="49"/>
  <c r="F253" i="49"/>
  <c r="G253" i="49"/>
  <c r="H253" i="49"/>
  <c r="I253" i="49"/>
  <c r="J253" i="49"/>
  <c r="K253" i="49"/>
  <c r="C254" i="49"/>
  <c r="F254" i="49"/>
  <c r="G254" i="49"/>
  <c r="H254" i="49"/>
  <c r="I254" i="49"/>
  <c r="J254" i="49"/>
  <c r="K254" i="49"/>
  <c r="C256" i="49"/>
  <c r="C257" i="49"/>
  <c r="C258" i="49"/>
  <c r="C259" i="49"/>
  <c r="G227" i="49"/>
  <c r="H227" i="49"/>
  <c r="I227" i="49"/>
  <c r="J227" i="49"/>
  <c r="K227" i="49"/>
  <c r="F227" i="49"/>
  <c r="C227" i="49"/>
  <c r="AN189" i="89"/>
  <c r="AU255" i="89" s="1"/>
  <c r="D56" i="50"/>
  <c r="C74" i="64" s="1"/>
  <c r="D50" i="50"/>
  <c r="C68" i="64" s="1"/>
  <c r="D48" i="50"/>
  <c r="C66" i="64" s="1"/>
  <c r="D49" i="50"/>
  <c r="C67" i="64" s="1"/>
  <c r="AO189" i="89" l="1"/>
  <c r="Q228" i="49"/>
  <c r="P228" i="49" s="1"/>
  <c r="Q229" i="49"/>
  <c r="P229" i="49" s="1"/>
  <c r="Q227" i="49"/>
  <c r="P227" i="49" s="1"/>
  <c r="Q235" i="49"/>
  <c r="P235" i="49" s="1"/>
  <c r="Q242" i="49"/>
  <c r="P242" i="49" s="1"/>
  <c r="Q243" i="49"/>
  <c r="P243" i="49" s="1"/>
  <c r="Q226" i="49"/>
  <c r="K68" i="58" l="1" a="1"/>
  <c r="K68" i="58" s="1"/>
  <c r="I68" i="58" a="1"/>
  <c r="I68" i="58" s="1"/>
  <c r="I64" i="58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E21" i="58" l="1"/>
  <c r="F66" i="58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T65" i="135" a="1"/>
  <c r="AA65" i="135" a="1"/>
  <c r="Q65" i="135" a="1"/>
  <c r="G65" i="135" a="1"/>
  <c r="P65" i="135" a="1"/>
  <c r="D65" i="135" a="1"/>
  <c r="K65" i="135" a="1"/>
  <c r="O65" i="135" a="1"/>
  <c r="X65" i="135" a="1"/>
  <c r="Z65" i="135" a="1"/>
  <c r="L65" i="135" a="1"/>
  <c r="M65" i="135" a="1"/>
  <c r="I65" i="135" a="1"/>
  <c r="H65" i="135" a="1"/>
  <c r="S65" i="135" a="1"/>
  <c r="AB65" i="135" a="1"/>
  <c r="J65" i="135" a="1"/>
  <c r="U65" i="135" a="1"/>
  <c r="E65" i="135" a="1"/>
  <c r="W65" i="135" a="1"/>
  <c r="N65" i="135" a="1"/>
  <c r="V65" i="135" a="1"/>
  <c r="Y65" i="135" a="1"/>
  <c r="F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S64" i="135" a="1"/>
  <c r="T64" i="135" a="1"/>
  <c r="K64" i="135" a="1"/>
  <c r="H64" i="135" a="1"/>
  <c r="O64" i="135" a="1"/>
  <c r="D64" i="135" a="1"/>
  <c r="Q64" i="135" a="1"/>
  <c r="I64" i="135" a="1"/>
  <c r="V64" i="135" a="1"/>
  <c r="P64" i="135" a="1"/>
  <c r="U64" i="135" a="1"/>
  <c r="AA64" i="135" a="1"/>
  <c r="W64" i="135" a="1"/>
  <c r="L64" i="135" a="1"/>
  <c r="J64" i="135" a="1"/>
  <c r="Y64" i="135" a="1"/>
  <c r="AB64" i="135" a="1"/>
  <c r="M64" i="135" a="1"/>
  <c r="Z64" i="135" a="1"/>
  <c r="N64" i="135" a="1"/>
  <c r="E64" i="135" a="1"/>
  <c r="F64" i="135" a="1"/>
  <c r="X64" i="135" a="1"/>
  <c r="G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T63" i="135" a="1"/>
  <c r="J63" i="135" a="1"/>
  <c r="E63" i="135" a="1"/>
  <c r="W63" i="135" a="1"/>
  <c r="V63" i="135" a="1"/>
  <c r="U63" i="135" a="1"/>
  <c r="G63" i="135" a="1"/>
  <c r="P63" i="135" a="1"/>
  <c r="N63" i="135" a="1"/>
  <c r="H63" i="135" a="1"/>
  <c r="K63" i="135" a="1"/>
  <c r="I63" i="135" a="1"/>
  <c r="Q63" i="135" a="1"/>
  <c r="M63" i="135" a="1"/>
  <c r="L63" i="135" a="1"/>
  <c r="AA63" i="135" a="1"/>
  <c r="D63" i="135" a="1"/>
  <c r="Y63" i="135" a="1"/>
  <c r="F63" i="135" a="1"/>
  <c r="X63" i="135" a="1"/>
  <c r="O63" i="135" a="1"/>
  <c r="S63" i="135" a="1"/>
  <c r="Z63" i="135" a="1"/>
  <c r="AB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I62" i="135" a="1"/>
  <c r="N62" i="135" a="1"/>
  <c r="L62" i="135" a="1"/>
  <c r="J62" i="135" a="1"/>
  <c r="W62" i="135" a="1"/>
  <c r="O62" i="135" a="1"/>
  <c r="T62" i="135" a="1"/>
  <c r="G62" i="135" a="1"/>
  <c r="D62" i="135" a="1"/>
  <c r="AB62" i="135" a="1"/>
  <c r="V62" i="135" a="1"/>
  <c r="E62" i="135" a="1"/>
  <c r="AA62" i="135" a="1"/>
  <c r="M62" i="135" a="1"/>
  <c r="Y62" i="135" a="1"/>
  <c r="K62" i="135" a="1"/>
  <c r="U62" i="135" a="1"/>
  <c r="P62" i="135" a="1"/>
  <c r="Q62" i="135" a="1"/>
  <c r="H62" i="135" a="1"/>
  <c r="X62" i="135" a="1"/>
  <c r="Z62" i="135" a="1"/>
  <c r="S62" i="135" a="1"/>
  <c r="F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AB61" i="135" a="1"/>
  <c r="M61" i="135" a="1"/>
  <c r="P61" i="135" a="1"/>
  <c r="D61" i="135" a="1"/>
  <c r="I61" i="135" a="1"/>
  <c r="Z61" i="135" a="1"/>
  <c r="W61" i="135" a="1"/>
  <c r="O61" i="135" a="1"/>
  <c r="G61" i="135" a="1"/>
  <c r="H61" i="135" a="1"/>
  <c r="Y61" i="135" a="1"/>
  <c r="Q61" i="135" a="1"/>
  <c r="S61" i="135" a="1"/>
  <c r="N61" i="135" a="1"/>
  <c r="V61" i="135" a="1"/>
  <c r="X61" i="135" a="1"/>
  <c r="K61" i="135" a="1"/>
  <c r="L61" i="135" a="1"/>
  <c r="F61" i="135" a="1"/>
  <c r="J61" i="135" a="1"/>
  <c r="E61" i="135" a="1"/>
  <c r="AA61" i="135" a="1"/>
  <c r="T61" i="135" a="1"/>
  <c r="U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D60" i="135" a="1"/>
  <c r="Q60" i="135" a="1"/>
  <c r="E60" i="135" a="1"/>
  <c r="G60" i="135" a="1"/>
  <c r="AB60" i="135" a="1"/>
  <c r="U60" i="135" a="1"/>
  <c r="I60" i="135" a="1"/>
  <c r="M60" i="135" a="1"/>
  <c r="W60" i="135" a="1"/>
  <c r="K60" i="135" a="1"/>
  <c r="X60" i="135" a="1"/>
  <c r="Z60" i="135" a="1"/>
  <c r="T60" i="135" a="1"/>
  <c r="H60" i="135" a="1"/>
  <c r="N60" i="135" a="1"/>
  <c r="P60" i="135" a="1"/>
  <c r="V60" i="135" a="1"/>
  <c r="L60" i="135" a="1"/>
  <c r="F60" i="135" a="1"/>
  <c r="J60" i="135" a="1"/>
  <c r="O60" i="135" a="1"/>
  <c r="AA60" i="135" a="1"/>
  <c r="Y60" i="135" a="1"/>
  <c r="S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I59" i="135" a="1"/>
  <c r="H59" i="135" a="1"/>
  <c r="U59" i="135" a="1"/>
  <c r="Y59" i="135" a="1"/>
  <c r="G59" i="135" a="1"/>
  <c r="F59" i="135" a="1"/>
  <c r="Z59" i="135" a="1"/>
  <c r="K59" i="135" a="1"/>
  <c r="AA59" i="135" a="1"/>
  <c r="AB59" i="135" a="1"/>
  <c r="J59" i="135" a="1"/>
  <c r="M59" i="135" a="1"/>
  <c r="S59" i="135" a="1"/>
  <c r="E59" i="135" a="1"/>
  <c r="O59" i="135" a="1"/>
  <c r="V59" i="135" a="1"/>
  <c r="Q59" i="135" a="1"/>
  <c r="W59" i="135" a="1"/>
  <c r="P59" i="135" a="1"/>
  <c r="N59" i="135" a="1"/>
  <c r="T59" i="135" a="1"/>
  <c r="X59" i="135" a="1"/>
  <c r="D59" i="135" a="1"/>
  <c r="L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E58" i="135" a="1"/>
  <c r="O58" i="135" a="1"/>
  <c r="AB58" i="135" a="1"/>
  <c r="F58" i="135" a="1"/>
  <c r="T58" i="135" a="1"/>
  <c r="D58" i="135" a="1"/>
  <c r="M58" i="135" a="1"/>
  <c r="L58" i="135" a="1"/>
  <c r="P58" i="135" a="1"/>
  <c r="S58" i="135" a="1"/>
  <c r="AA58" i="135" a="1"/>
  <c r="K58" i="135" a="1"/>
  <c r="U58" i="135" a="1"/>
  <c r="V58" i="135" a="1"/>
  <c r="J58" i="135" a="1"/>
  <c r="Q58" i="135" a="1"/>
  <c r="W58" i="135" a="1"/>
  <c r="H58" i="135" a="1"/>
  <c r="I58" i="135" a="1"/>
  <c r="Y58" i="135" a="1"/>
  <c r="Z58" i="135" a="1"/>
  <c r="G58" i="135" a="1"/>
  <c r="N58" i="135" a="1"/>
  <c r="X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S57" i="135" a="1"/>
  <c r="K57" i="135" a="1"/>
  <c r="T57" i="135" a="1"/>
  <c r="O57" i="135" a="1"/>
  <c r="Q57" i="135" a="1"/>
  <c r="D57" i="135" a="1"/>
  <c r="Y57" i="135" a="1"/>
  <c r="AA57" i="135" a="1"/>
  <c r="P57" i="135" a="1"/>
  <c r="V57" i="135" a="1"/>
  <c r="N57" i="135" a="1"/>
  <c r="F57" i="135" a="1"/>
  <c r="M57" i="135" a="1"/>
  <c r="W57" i="135" a="1"/>
  <c r="E57" i="135" a="1"/>
  <c r="I57" i="135" a="1"/>
  <c r="G57" i="135" a="1"/>
  <c r="Z57" i="135" a="1"/>
  <c r="J57" i="135" a="1"/>
  <c r="H57" i="135" a="1"/>
  <c r="AB57" i="135" a="1"/>
  <c r="U57" i="135" a="1"/>
  <c r="L57" i="135" a="1"/>
  <c r="X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M56" i="135" a="1"/>
  <c r="AA56" i="135" a="1"/>
  <c r="F56" i="135" a="1"/>
  <c r="P56" i="135" a="1"/>
  <c r="G56" i="135" a="1"/>
  <c r="Q56" i="135" a="1"/>
  <c r="Y56" i="135" a="1"/>
  <c r="N56" i="135" a="1"/>
  <c r="D56" i="135" a="1"/>
  <c r="H56" i="135" a="1"/>
  <c r="T56" i="135" a="1"/>
  <c r="O56" i="135" a="1"/>
  <c r="V56" i="135" a="1"/>
  <c r="X56" i="135" a="1"/>
  <c r="I56" i="135" a="1"/>
  <c r="U56" i="135" a="1"/>
  <c r="W56" i="135" a="1"/>
  <c r="L56" i="135" a="1"/>
  <c r="E56" i="135" a="1"/>
  <c r="S56" i="135" a="1"/>
  <c r="K56" i="135" a="1"/>
  <c r="Z56" i="135" a="1"/>
  <c r="J56" i="135" a="1"/>
  <c r="AB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D55" i="135" a="1"/>
  <c r="Y55" i="135" a="1"/>
  <c r="M55" i="135" a="1"/>
  <c r="Q55" i="135" a="1"/>
  <c r="X55" i="135" a="1"/>
  <c r="AA55" i="135" a="1"/>
  <c r="J55" i="135" a="1"/>
  <c r="P55" i="135" a="1"/>
  <c r="O55" i="135" a="1"/>
  <c r="AB55" i="135" a="1"/>
  <c r="W55" i="135" a="1"/>
  <c r="Z55" i="135" a="1"/>
  <c r="S55" i="135" a="1"/>
  <c r="H55" i="135" a="1"/>
  <c r="I55" i="135" a="1"/>
  <c r="E55" i="135" a="1"/>
  <c r="G55" i="135" a="1"/>
  <c r="U55" i="135" a="1"/>
  <c r="V55" i="135" a="1"/>
  <c r="L55" i="135" a="1"/>
  <c r="K55" i="135" a="1"/>
  <c r="T55" i="135" a="1"/>
  <c r="F55" i="135" a="1"/>
  <c r="N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M54" i="135" a="1"/>
  <c r="O54" i="135" a="1"/>
  <c r="AB54" i="135" a="1"/>
  <c r="E54" i="135" a="1"/>
  <c r="X54" i="135" a="1"/>
  <c r="W54" i="135" a="1"/>
  <c r="L54" i="135" a="1"/>
  <c r="F54" i="135" a="1"/>
  <c r="V54" i="135" a="1"/>
  <c r="K54" i="135" a="1"/>
  <c r="Y54" i="135" a="1"/>
  <c r="AA54" i="135" a="1"/>
  <c r="Z54" i="135" a="1"/>
  <c r="U54" i="135" a="1"/>
  <c r="T54" i="135" a="1"/>
  <c r="G54" i="135" a="1"/>
  <c r="Q54" i="135" a="1"/>
  <c r="J54" i="135" a="1"/>
  <c r="D54" i="135" a="1"/>
  <c r="H54" i="135" a="1"/>
  <c r="N54" i="135" a="1"/>
  <c r="I54" i="135" a="1"/>
  <c r="P54" i="135" a="1"/>
  <c r="S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0" i="58"/>
  <c r="A81" i="58"/>
  <c r="A82" i="58"/>
  <c r="A83" i="58"/>
  <c r="I33" i="58" s="1"/>
  <c r="A84" i="58"/>
  <c r="I34" i="58" s="1"/>
  <c r="X44" i="89" l="1"/>
  <c r="X46" i="89"/>
  <c r="AH307" i="132" l="1"/>
  <c r="AH308" i="132"/>
  <c r="AH309" i="132"/>
  <c r="AH310" i="132"/>
  <c r="AH311" i="132"/>
  <c r="AH312" i="132"/>
  <c r="AH313" i="132"/>
  <c r="AH98" i="132"/>
  <c r="AH99" i="132"/>
  <c r="AH100" i="132"/>
  <c r="AH101" i="132"/>
  <c r="AH102" i="132"/>
  <c r="AH103" i="132"/>
  <c r="AH104" i="132"/>
  <c r="AH105" i="132"/>
  <c r="AH418" i="132"/>
  <c r="AH419" i="132"/>
  <c r="AH420" i="132"/>
  <c r="AH421" i="132"/>
  <c r="AH422" i="132"/>
  <c r="AH423" i="132"/>
  <c r="AH424" i="132"/>
  <c r="AH425" i="132"/>
  <c r="AH154" i="132"/>
  <c r="AH155" i="132"/>
  <c r="AH156" i="132"/>
  <c r="AH157" i="132"/>
  <c r="AH158" i="132"/>
  <c r="AH159" i="132"/>
  <c r="AH160" i="132"/>
  <c r="AH161" i="132"/>
  <c r="AH170" i="132"/>
  <c r="AH171" i="132"/>
  <c r="AH172" i="132"/>
  <c r="AH173" i="132"/>
  <c r="AH174" i="132"/>
  <c r="AH175" i="132"/>
  <c r="AH176" i="132"/>
  <c r="AH177" i="132"/>
  <c r="AH354" i="132"/>
  <c r="AH355" i="132"/>
  <c r="AH356" i="132"/>
  <c r="AH357" i="132"/>
  <c r="AH358" i="132"/>
  <c r="AH359" i="132"/>
  <c r="AH360" i="132"/>
  <c r="AH361" i="132"/>
  <c r="AH218" i="132"/>
  <c r="AH219" i="132"/>
  <c r="AH220" i="132"/>
  <c r="AH221" i="132"/>
  <c r="AH222" i="132"/>
  <c r="AH223" i="132"/>
  <c r="AH224" i="132"/>
  <c r="AH225" i="132"/>
  <c r="AH146" i="132"/>
  <c r="AH147" i="132"/>
  <c r="AH148" i="132"/>
  <c r="AH149" i="132"/>
  <c r="AH150" i="132"/>
  <c r="AH151" i="132"/>
  <c r="AH152" i="132"/>
  <c r="AH153" i="132"/>
  <c r="AH106" i="132"/>
  <c r="AH107" i="132"/>
  <c r="AH108" i="132"/>
  <c r="AH109" i="132"/>
  <c r="AH110" i="132"/>
  <c r="AH111" i="132"/>
  <c r="AH112" i="132"/>
  <c r="AH113" i="132"/>
  <c r="AH482" i="132"/>
  <c r="AH483" i="132"/>
  <c r="AH484" i="132"/>
  <c r="AH485" i="132"/>
  <c r="AH486" i="132"/>
  <c r="AH487" i="132"/>
  <c r="AH488" i="132"/>
  <c r="AH489" i="132"/>
  <c r="AH202" i="132"/>
  <c r="AH203" i="132"/>
  <c r="AH204" i="132"/>
  <c r="AH205" i="132"/>
  <c r="AH206" i="132"/>
  <c r="AH207" i="132"/>
  <c r="AH208" i="132"/>
  <c r="AH209" i="132"/>
  <c r="AH258" i="132"/>
  <c r="AH259" i="132"/>
  <c r="AH260" i="132"/>
  <c r="AH261" i="132"/>
  <c r="AH262" i="132"/>
  <c r="AH263" i="132"/>
  <c r="AH264" i="132"/>
  <c r="AH265" i="132"/>
  <c r="AH226" i="132"/>
  <c r="AH227" i="132"/>
  <c r="AH228" i="132"/>
  <c r="AH229" i="132"/>
  <c r="AH230" i="132"/>
  <c r="AH231" i="132"/>
  <c r="AH232" i="132"/>
  <c r="AH233" i="132"/>
  <c r="AH194" i="132"/>
  <c r="AH195" i="132"/>
  <c r="AH196" i="132"/>
  <c r="AH197" i="132"/>
  <c r="AH198" i="132"/>
  <c r="AH199" i="132"/>
  <c r="AH200" i="132"/>
  <c r="AH201" i="132"/>
  <c r="AH290" i="132"/>
  <c r="AH291" i="132"/>
  <c r="AH292" i="132"/>
  <c r="AH293" i="132"/>
  <c r="AH294" i="132"/>
  <c r="AH295" i="132"/>
  <c r="AH296" i="132"/>
  <c r="AH297" i="132"/>
  <c r="AH442" i="132"/>
  <c r="AH443" i="132"/>
  <c r="AH444" i="132"/>
  <c r="AH445" i="132"/>
  <c r="AH446" i="132"/>
  <c r="AH447" i="132"/>
  <c r="AH448" i="132"/>
  <c r="AH449" i="132"/>
  <c r="AH250" i="132"/>
  <c r="AH251" i="132"/>
  <c r="AH252" i="132"/>
  <c r="AH253" i="132"/>
  <c r="AH254" i="132"/>
  <c r="AH255" i="132"/>
  <c r="AH256" i="132"/>
  <c r="AH257" i="132"/>
  <c r="AH186" i="132"/>
  <c r="AH187" i="132"/>
  <c r="AH188" i="132"/>
  <c r="AH189" i="132"/>
  <c r="AH190" i="132"/>
  <c r="AH191" i="132"/>
  <c r="AH192" i="132"/>
  <c r="AH193" i="132"/>
  <c r="AH178" i="132"/>
  <c r="AH179" i="132"/>
  <c r="AH180" i="132"/>
  <c r="AH181" i="132"/>
  <c r="AH182" i="132"/>
  <c r="AH183" i="132"/>
  <c r="AH184" i="132"/>
  <c r="AH185" i="132"/>
  <c r="AH474" i="132"/>
  <c r="AH475" i="132"/>
  <c r="AH476" i="132"/>
  <c r="AH477" i="132"/>
  <c r="AH478" i="132"/>
  <c r="AH479" i="132"/>
  <c r="AH480" i="132"/>
  <c r="AH481" i="132"/>
  <c r="AH138" i="132"/>
  <c r="AH139" i="132"/>
  <c r="AH140" i="132"/>
  <c r="AH141" i="132"/>
  <c r="AH142" i="132"/>
  <c r="AH143" i="132"/>
  <c r="AH144" i="132"/>
  <c r="AH145" i="132"/>
  <c r="AH274" i="132"/>
  <c r="AH275" i="132"/>
  <c r="AH276" i="132"/>
  <c r="AH277" i="132"/>
  <c r="AH278" i="132"/>
  <c r="AH279" i="132"/>
  <c r="AH280" i="132"/>
  <c r="AH281" i="132"/>
  <c r="AH322" i="132"/>
  <c r="AH323" i="132"/>
  <c r="AH324" i="132"/>
  <c r="AH325" i="132"/>
  <c r="AH326" i="132"/>
  <c r="AH327" i="132"/>
  <c r="AH328" i="132"/>
  <c r="AH329" i="132"/>
  <c r="AH450" i="132"/>
  <c r="AH451" i="132"/>
  <c r="AH452" i="132"/>
  <c r="AH453" i="132"/>
  <c r="AH454" i="132"/>
  <c r="AH455" i="132"/>
  <c r="AH456" i="132"/>
  <c r="AH457" i="132"/>
  <c r="AH370" i="132"/>
  <c r="AH371" i="132"/>
  <c r="AH372" i="132"/>
  <c r="AH373" i="132"/>
  <c r="AH374" i="132"/>
  <c r="AH375" i="132"/>
  <c r="AH376" i="132"/>
  <c r="AH377" i="132"/>
  <c r="AH298" i="132"/>
  <c r="AH299" i="132"/>
  <c r="AH300" i="132"/>
  <c r="AH301" i="132"/>
  <c r="AH302" i="132"/>
  <c r="AH303" i="132"/>
  <c r="AH304" i="132"/>
  <c r="AH305" i="132"/>
  <c r="AH378" i="132"/>
  <c r="AH379" i="132"/>
  <c r="AH380" i="132"/>
  <c r="AH381" i="132"/>
  <c r="AH382" i="132"/>
  <c r="AH383" i="132"/>
  <c r="AH384" i="132"/>
  <c r="AH385" i="132"/>
  <c r="AH282" i="132"/>
  <c r="AH283" i="132"/>
  <c r="AH284" i="132"/>
  <c r="AH285" i="132"/>
  <c r="AH286" i="132"/>
  <c r="AH287" i="132"/>
  <c r="AH288" i="132"/>
  <c r="AH289" i="132"/>
  <c r="AH314" i="132"/>
  <c r="AH315" i="132"/>
  <c r="AH316" i="132"/>
  <c r="AH317" i="132"/>
  <c r="AH318" i="132"/>
  <c r="AH319" i="132"/>
  <c r="AH320" i="132"/>
  <c r="AH321" i="132"/>
  <c r="AH434" i="132"/>
  <c r="AH435" i="132"/>
  <c r="AH436" i="132"/>
  <c r="AH437" i="132"/>
  <c r="AH438" i="132"/>
  <c r="AH439" i="132"/>
  <c r="AH440" i="132"/>
  <c r="AH441" i="132"/>
  <c r="AH490" i="132"/>
  <c r="AH491" i="132"/>
  <c r="AH492" i="132"/>
  <c r="AH493" i="132"/>
  <c r="AH494" i="132"/>
  <c r="AH495" i="132"/>
  <c r="AH496" i="132"/>
  <c r="AH497" i="132"/>
  <c r="AH458" i="132"/>
  <c r="AH459" i="132"/>
  <c r="AH460" i="132"/>
  <c r="AH461" i="132"/>
  <c r="AH462" i="132"/>
  <c r="AH463" i="132"/>
  <c r="AH464" i="132"/>
  <c r="AH465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2" i="132"/>
  <c r="AH3" i="132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210" i="132"/>
  <c r="AH211" i="132"/>
  <c r="AH212" i="132"/>
  <c r="AH213" i="132"/>
  <c r="AH214" i="132"/>
  <c r="AH215" i="132"/>
  <c r="AH216" i="132"/>
  <c r="AH217" i="132"/>
  <c r="AH234" i="132"/>
  <c r="AH235" i="132"/>
  <c r="AH236" i="132"/>
  <c r="AH237" i="132"/>
  <c r="AH238" i="132"/>
  <c r="AH239" i="132"/>
  <c r="AH240" i="132"/>
  <c r="AH241" i="132"/>
  <c r="AH162" i="132"/>
  <c r="AH163" i="132"/>
  <c r="AH164" i="132"/>
  <c r="AH165" i="132"/>
  <c r="AH166" i="132"/>
  <c r="AH167" i="132"/>
  <c r="AH168" i="132"/>
  <c r="AH169" i="132"/>
  <c r="AH114" i="132"/>
  <c r="AH115" i="132"/>
  <c r="AH116" i="132"/>
  <c r="AH117" i="132"/>
  <c r="AH118" i="132"/>
  <c r="AH119" i="132"/>
  <c r="AH120" i="132"/>
  <c r="AH121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130" i="132"/>
  <c r="AH131" i="132"/>
  <c r="AH132" i="132"/>
  <c r="AH133" i="132"/>
  <c r="AH134" i="132"/>
  <c r="AH135" i="132"/>
  <c r="AH136" i="132"/>
  <c r="AH137" i="132"/>
  <c r="AH122" i="132"/>
  <c r="AH123" i="132"/>
  <c r="AH124" i="132"/>
  <c r="AH125" i="132"/>
  <c r="AH126" i="132"/>
  <c r="AH127" i="132"/>
  <c r="AH128" i="132"/>
  <c r="AH129" i="132"/>
  <c r="AH362" i="132"/>
  <c r="AH363" i="132"/>
  <c r="AH364" i="132"/>
  <c r="AH365" i="132"/>
  <c r="AH366" i="132"/>
  <c r="AH367" i="132"/>
  <c r="AH368" i="132"/>
  <c r="AH369" i="132"/>
  <c r="AH330" i="132"/>
  <c r="AH331" i="132"/>
  <c r="AH332" i="132"/>
  <c r="AH333" i="132"/>
  <c r="AH334" i="132"/>
  <c r="AH335" i="132"/>
  <c r="AH336" i="132"/>
  <c r="AH337" i="132"/>
  <c r="AH402" i="132"/>
  <c r="AH403" i="132"/>
  <c r="AH404" i="132"/>
  <c r="AH405" i="132"/>
  <c r="AH406" i="132"/>
  <c r="AH407" i="132"/>
  <c r="AH408" i="132"/>
  <c r="AH409" i="132"/>
  <c r="AH394" i="132"/>
  <c r="AH395" i="132"/>
  <c r="AH396" i="132"/>
  <c r="AH397" i="132"/>
  <c r="AH398" i="132"/>
  <c r="AH399" i="132"/>
  <c r="AH400" i="132"/>
  <c r="AH401" i="132"/>
  <c r="AH74" i="132"/>
  <c r="AH75" i="132"/>
  <c r="AH76" i="132"/>
  <c r="AH77" i="132"/>
  <c r="AH78" i="132"/>
  <c r="AH79" i="132"/>
  <c r="AH80" i="132"/>
  <c r="AH81" i="132"/>
  <c r="AH266" i="132"/>
  <c r="AH267" i="132"/>
  <c r="AH268" i="132"/>
  <c r="AH269" i="132"/>
  <c r="AH270" i="132"/>
  <c r="AH271" i="132"/>
  <c r="AH272" i="132"/>
  <c r="AH273" i="132"/>
  <c r="AH386" i="132"/>
  <c r="AH387" i="132"/>
  <c r="AH388" i="132"/>
  <c r="AH389" i="132"/>
  <c r="AH390" i="132"/>
  <c r="AH391" i="132"/>
  <c r="AH392" i="132"/>
  <c r="AH393" i="132"/>
  <c r="AH90" i="132"/>
  <c r="AH91" i="132"/>
  <c r="AH92" i="132"/>
  <c r="AH93" i="132"/>
  <c r="AH94" i="132"/>
  <c r="AH95" i="132"/>
  <c r="AH96" i="132"/>
  <c r="AH97" i="132"/>
  <c r="AH306" i="132"/>
  <c r="U80" i="25" l="1"/>
  <c r="S80" i="25"/>
  <c r="AU213" i="89" l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C84" i="39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G10" i="140" l="1"/>
  <c r="G12" i="140"/>
  <c r="G14" i="140"/>
  <c r="G16" i="140"/>
  <c r="G18" i="140"/>
  <c r="G20" i="140"/>
  <c r="G22" i="140"/>
  <c r="G24" i="140"/>
  <c r="G26" i="140"/>
  <c r="F10" i="140"/>
  <c r="F14" i="140"/>
  <c r="F18" i="140"/>
  <c r="F22" i="140"/>
  <c r="F26" i="140"/>
  <c r="H11" i="140"/>
  <c r="H13" i="140"/>
  <c r="H15" i="140"/>
  <c r="H19" i="140"/>
  <c r="H21" i="140"/>
  <c r="H23" i="140"/>
  <c r="L4" i="140"/>
  <c r="H10" i="140"/>
  <c r="H12" i="140"/>
  <c r="H14" i="140"/>
  <c r="H16" i="140"/>
  <c r="H18" i="140"/>
  <c r="H20" i="140"/>
  <c r="H22" i="140"/>
  <c r="H24" i="140"/>
  <c r="H26" i="140"/>
  <c r="F11" i="140"/>
  <c r="F15" i="140"/>
  <c r="F19" i="140"/>
  <c r="F23" i="140"/>
  <c r="F9" i="140"/>
  <c r="H17" i="140"/>
  <c r="G9" i="140"/>
  <c r="F13" i="140"/>
  <c r="F17" i="140"/>
  <c r="F25" i="140"/>
  <c r="G11" i="140"/>
  <c r="G13" i="140"/>
  <c r="G15" i="140"/>
  <c r="G17" i="140"/>
  <c r="G19" i="140"/>
  <c r="G21" i="140"/>
  <c r="G23" i="140"/>
  <c r="G25" i="140"/>
  <c r="H9" i="140"/>
  <c r="F12" i="140"/>
  <c r="F16" i="140"/>
  <c r="F20" i="140"/>
  <c r="F24" i="140"/>
  <c r="N4" i="140"/>
  <c r="H25" i="140"/>
  <c r="F21" i="140"/>
  <c r="G10" i="13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F11" i="131"/>
  <c r="F15" i="131"/>
  <c r="F27" i="140" l="1"/>
  <c r="J4" i="140" s="1"/>
  <c r="H27" i="140"/>
  <c r="G27" i="140"/>
  <c r="O4" i="140" s="1"/>
  <c r="D5" i="139"/>
  <c r="D7" i="139"/>
  <c r="D6" i="139"/>
  <c r="D70" i="50" s="1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C88" i="64" l="1"/>
  <c r="AN191" i="89"/>
  <c r="AU257" i="89" s="1"/>
  <c r="P4" i="140"/>
  <c r="Q4" i="140" s="1"/>
  <c r="R4" i="140" s="1"/>
  <c r="D8" i="139"/>
  <c r="J9" i="131"/>
  <c r="J17" i="131" s="1"/>
  <c r="D35" i="50" s="1"/>
  <c r="AN174" i="89" s="1"/>
  <c r="AU240" i="89" s="1"/>
  <c r="H17" i="131"/>
  <c r="M7" i="123"/>
  <c r="AO191" i="89" l="1"/>
  <c r="O38" i="89"/>
  <c r="N38" i="89"/>
  <c r="M38" i="89"/>
  <c r="E18" i="58" l="1"/>
  <c r="C114" i="39" l="1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F70" i="58"/>
  <c r="M32" i="39"/>
  <c r="H68" i="58"/>
  <c r="H33" i="58"/>
  <c r="H34" i="58"/>
  <c r="E33" i="58"/>
  <c r="E34" i="58"/>
  <c r="F33" i="58"/>
  <c r="F34" i="58"/>
  <c r="V33" i="58" l="1"/>
  <c r="U31" i="58" l="1"/>
  <c r="V30" i="58"/>
  <c r="V29" i="58"/>
  <c r="R29" i="58"/>
  <c r="E19" i="82" l="1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0" i="58" l="1"/>
  <c r="B21" i="58"/>
  <c r="B20" i="58"/>
  <c r="J64" i="58"/>
  <c r="D64" i="58"/>
  <c r="C283" i="49" l="1"/>
  <c r="C282" i="49"/>
  <c r="C281" i="49"/>
  <c r="C280" i="49"/>
  <c r="J65" i="58"/>
  <c r="K65" i="58" s="1"/>
  <c r="K66" i="58" l="1"/>
  <c r="D36" i="50" s="1"/>
  <c r="C57" i="64" s="1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C82" i="39"/>
  <c r="L11" i="51" l="1"/>
  <c r="K211" i="122" l="1"/>
  <c r="Q118" i="49" l="1"/>
  <c r="Q119" i="49"/>
  <c r="Q120" i="49"/>
  <c r="Q121" i="49"/>
  <c r="Q124" i="49"/>
  <c r="C119" i="49"/>
  <c r="C120" i="49"/>
  <c r="C121" i="49"/>
  <c r="C122" i="49"/>
  <c r="C123" i="49"/>
  <c r="C124" i="49"/>
  <c r="F117" i="49"/>
  <c r="G117" i="49"/>
  <c r="H117" i="49"/>
  <c r="I117" i="49"/>
  <c r="J117" i="49"/>
  <c r="K117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I123" i="49"/>
  <c r="J123" i="49"/>
  <c r="K123" i="49"/>
  <c r="G116" i="49"/>
  <c r="H116" i="49"/>
  <c r="I116" i="49"/>
  <c r="J116" i="49"/>
  <c r="K116" i="49"/>
  <c r="F116" i="49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Q22" i="49" l="1"/>
  <c r="P22" i="49" s="1"/>
  <c r="Q26" i="49"/>
  <c r="P26" i="49" s="1"/>
  <c r="Q21" i="49"/>
  <c r="P21" i="49" s="1"/>
  <c r="Q28" i="49"/>
  <c r="P28" i="49" s="1"/>
  <c r="Q20" i="49"/>
  <c r="P20" i="49" s="1"/>
  <c r="Q115" i="49"/>
  <c r="P115" i="49" s="1"/>
  <c r="P119" i="49"/>
  <c r="P120" i="49"/>
  <c r="P121" i="49"/>
  <c r="P124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98" i="49"/>
  <c r="G98" i="49"/>
  <c r="H98" i="49"/>
  <c r="I98" i="49"/>
  <c r="J98" i="49"/>
  <c r="K98" i="49"/>
  <c r="F99" i="49"/>
  <c r="G99" i="49"/>
  <c r="H99" i="49"/>
  <c r="I99" i="49"/>
  <c r="J99" i="49"/>
  <c r="K99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F110" i="49"/>
  <c r="G110" i="49"/>
  <c r="H110" i="49"/>
  <c r="I110" i="49"/>
  <c r="J110" i="49"/>
  <c r="K110" i="49"/>
  <c r="F112" i="49"/>
  <c r="G112" i="49"/>
  <c r="H112" i="49"/>
  <c r="I112" i="49"/>
  <c r="J112" i="49"/>
  <c r="K112" i="49"/>
  <c r="F113" i="49"/>
  <c r="G113" i="49"/>
  <c r="H113" i="49"/>
  <c r="I113" i="49"/>
  <c r="J113" i="49"/>
  <c r="K113" i="49"/>
  <c r="F114" i="49"/>
  <c r="G114" i="49"/>
  <c r="H114" i="49"/>
  <c r="I114" i="49"/>
  <c r="J114" i="49"/>
  <c r="K114" i="49"/>
  <c r="F115" i="49"/>
  <c r="G115" i="49"/>
  <c r="H115" i="49"/>
  <c r="I115" i="49"/>
  <c r="J115" i="49"/>
  <c r="K115" i="49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16" i="49" l="1"/>
  <c r="C117" i="49"/>
  <c r="C149" i="49"/>
  <c r="C150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6" i="64" l="1"/>
  <c r="AM175" i="89"/>
  <c r="AS241" i="89" s="1"/>
  <c r="AI154" i="89" l="1"/>
  <c r="AI155" i="89"/>
  <c r="AI156" i="89"/>
  <c r="AI157" i="89"/>
  <c r="AI158" i="89"/>
  <c r="AI159" i="89"/>
  <c r="AI160" i="89"/>
  <c r="H6" i="6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AI146" i="89" l="1"/>
  <c r="Q27" i="49"/>
  <c r="P27" i="49" s="1"/>
  <c r="E35" i="58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M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M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C52" i="64" l="1"/>
  <c r="F52" i="64" s="1"/>
  <c r="G76" i="82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9" i="89" l="1"/>
  <c r="F6" i="123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D118" i="78"/>
  <c r="C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N177" i="89"/>
  <c r="AO174" i="89"/>
  <c r="AO176" i="89"/>
  <c r="D116" i="78"/>
  <c r="D119" i="78"/>
  <c r="D115" i="78"/>
  <c r="D117" i="78"/>
  <c r="D114" i="78"/>
  <c r="C115" i="78"/>
  <c r="C114" i="78"/>
  <c r="C117" i="78"/>
  <c r="C116" i="78"/>
  <c r="C119" i="78"/>
  <c r="AO177" i="89" l="1"/>
  <c r="AU243" i="89"/>
  <c r="C120" i="78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9" i="89"/>
  <c r="AS245" i="89" s="1"/>
  <c r="AN179" i="89"/>
  <c r="AU245" i="89" s="1"/>
  <c r="AM171" i="89"/>
  <c r="AS237" i="89" s="1"/>
  <c r="B57" i="64"/>
  <c r="B58" i="64"/>
  <c r="B59" i="64"/>
  <c r="B60" i="64"/>
  <c r="B61" i="64"/>
  <c r="B54" i="64"/>
  <c r="B55" i="64"/>
  <c r="B52" i="64"/>
  <c r="B53" i="64"/>
  <c r="B51" i="64"/>
  <c r="AO179" i="89" l="1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G22" i="25"/>
  <c r="Q193" i="49"/>
  <c r="Q200" i="49"/>
  <c r="Q192" i="49"/>
  <c r="Q284" i="49" l="1"/>
  <c r="P284" i="49" s="1"/>
  <c r="D53" i="123"/>
  <c r="C95" i="49"/>
  <c r="C96" i="49"/>
  <c r="C106" i="49"/>
  <c r="C107" i="49"/>
  <c r="C108" i="49"/>
  <c r="C109" i="49"/>
  <c r="C110" i="49"/>
  <c r="C112" i="49"/>
  <c r="C113" i="49"/>
  <c r="C114" i="49"/>
  <c r="C115" i="49"/>
  <c r="C118" i="49"/>
  <c r="Q102" i="49"/>
  <c r="Q108" i="49"/>
  <c r="Q109" i="49"/>
  <c r="F95" i="49"/>
  <c r="G95" i="49"/>
  <c r="H95" i="49"/>
  <c r="I95" i="49"/>
  <c r="J95" i="49"/>
  <c r="K95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99" i="49" s="1"/>
  <c r="C10" i="39"/>
  <c r="N25" i="78" l="1"/>
  <c r="J40" i="39" l="1"/>
  <c r="M15" i="58" l="1"/>
  <c r="J90" i="89" l="1"/>
  <c r="BG267" i="89" l="1"/>
  <c r="BH267" i="89"/>
  <c r="B40" i="39" l="1"/>
  <c r="M13" i="58" l="1"/>
  <c r="C22" i="94" l="1"/>
  <c r="C21" i="94"/>
  <c r="B50" i="64" l="1"/>
  <c r="B49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202" i="49" l="1"/>
  <c r="AH147" i="89" l="1"/>
  <c r="AH148" i="89"/>
  <c r="AH149" i="89"/>
  <c r="AH150" i="89"/>
  <c r="AH151" i="89"/>
  <c r="AH152" i="89"/>
  <c r="AH153" i="89"/>
  <c r="AH146" i="89"/>
  <c r="C98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L14" i="58" s="1"/>
  <c r="C17" i="50" l="1"/>
  <c r="C102" i="49" s="1"/>
  <c r="Q38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41" i="49" l="1"/>
  <c r="Q40" i="49"/>
  <c r="Q39" i="49"/>
  <c r="B2" i="25" l="1"/>
  <c r="Q214" i="49" l="1"/>
  <c r="P214" i="49" s="1"/>
  <c r="Q216" i="49"/>
  <c r="P216" i="49" s="1"/>
  <c r="Q219" i="49"/>
  <c r="P219" i="49" s="1"/>
  <c r="Q215" i="49"/>
  <c r="P215" i="49" s="1"/>
  <c r="Q218" i="49"/>
  <c r="P218" i="49" s="1"/>
  <c r="Q217" i="49"/>
  <c r="P217" i="49" s="1"/>
  <c r="C91" i="39"/>
  <c r="T39" i="89" l="1"/>
  <c r="U39" i="89"/>
  <c r="L7" i="64" s="1"/>
  <c r="M39" i="89"/>
  <c r="S39" i="89"/>
  <c r="P36" i="89"/>
  <c r="C110" i="39"/>
  <c r="I3" i="61"/>
  <c r="R39" i="89"/>
  <c r="Q207" i="49"/>
  <c r="C88" i="39"/>
  <c r="C83" i="39"/>
  <c r="C89" i="39"/>
  <c r="O39" i="89"/>
  <c r="N39" i="89"/>
  <c r="Q39" i="89"/>
  <c r="P39" i="89"/>
  <c r="Q201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J11" i="61" s="1"/>
  <c r="K11" i="61" s="1"/>
  <c r="M41" i="89"/>
  <c r="V40" i="89"/>
  <c r="U40" i="89"/>
  <c r="M40" i="89"/>
  <c r="S40" i="89"/>
  <c r="R40" i="89"/>
  <c r="T40" i="89"/>
  <c r="C18" i="39"/>
  <c r="B2" i="64"/>
  <c r="C111" i="39"/>
  <c r="Q167" i="49"/>
  <c r="J9" i="61"/>
  <c r="K9" i="61" s="1"/>
  <c r="Q23" i="49" s="1"/>
  <c r="P23" i="49" s="1"/>
  <c r="J6" i="61"/>
  <c r="K6" i="61" s="1"/>
  <c r="Q30" i="49" s="1"/>
  <c r="P30" i="49" s="1"/>
  <c r="O40" i="89"/>
  <c r="N40" i="89"/>
  <c r="Q40" i="89"/>
  <c r="P40" i="89"/>
  <c r="C120" i="39"/>
  <c r="C92" i="39"/>
  <c r="G48" i="51"/>
  <c r="G47" i="51"/>
  <c r="AC140" i="89"/>
  <c r="B9" i="64"/>
  <c r="B7" i="64"/>
  <c r="P201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C80" i="78"/>
  <c r="C93" i="78"/>
  <c r="D13" i="78"/>
  <c r="G9" i="78"/>
  <c r="C12" i="78"/>
  <c r="C19" i="78"/>
  <c r="D16" i="78"/>
  <c r="C20" i="78"/>
  <c r="G14" i="78"/>
  <c r="C13" i="78"/>
  <c r="C16" i="78"/>
  <c r="D21" i="78"/>
  <c r="D9" i="78"/>
  <c r="D20" i="78"/>
  <c r="C87" i="78"/>
  <c r="C17" i="78"/>
  <c r="D12" i="78"/>
  <c r="C14" i="78"/>
  <c r="C79" i="78"/>
  <c r="G13" i="78"/>
  <c r="C82" i="78"/>
  <c r="D19" i="78"/>
  <c r="C92" i="78"/>
  <c r="G12" i="78"/>
  <c r="C81" i="78"/>
  <c r="C95" i="78"/>
  <c r="C97" i="78"/>
  <c r="D15" i="78"/>
  <c r="D18" i="78"/>
  <c r="D11" i="78"/>
  <c r="C83" i="78"/>
  <c r="C89" i="78"/>
  <c r="C18" i="78"/>
  <c r="C15" i="78"/>
  <c r="D10" i="78"/>
  <c r="G8" i="78"/>
  <c r="D17" i="78"/>
  <c r="C84" i="78"/>
  <c r="G11" i="78"/>
  <c r="G10" i="78"/>
  <c r="C91" i="78"/>
  <c r="C90" i="78"/>
  <c r="C88" i="78"/>
  <c r="C11" i="78"/>
  <c r="D14" i="78"/>
  <c r="C94" i="78"/>
  <c r="J16" i="61" l="1"/>
  <c r="AJ156" i="89" s="1"/>
  <c r="AK156" i="89" s="1"/>
  <c r="J21" i="61"/>
  <c r="J20" i="61"/>
  <c r="AJ160" i="89" s="1"/>
  <c r="AK160" i="89" s="1"/>
  <c r="J22" i="61"/>
  <c r="J24" i="61"/>
  <c r="J18" i="61"/>
  <c r="AJ158" i="89" s="1"/>
  <c r="AK158" i="89" s="1"/>
  <c r="J23" i="61"/>
  <c r="J29" i="61"/>
  <c r="J12" i="61"/>
  <c r="K12" i="61" s="1"/>
  <c r="J13" i="61"/>
  <c r="K13" i="61" s="1"/>
  <c r="J26" i="61"/>
  <c r="J19" i="61"/>
  <c r="AJ159" i="89" s="1"/>
  <c r="AK159" i="89" s="1"/>
  <c r="J28" i="61"/>
  <c r="J14" i="61"/>
  <c r="AJ154" i="89" s="1"/>
  <c r="AK154" i="89" s="1"/>
  <c r="J30" i="61"/>
  <c r="J10" i="61"/>
  <c r="K10" i="61" s="1"/>
  <c r="Q31" i="49" s="1"/>
  <c r="P31" i="49" s="1"/>
  <c r="J27" i="61"/>
  <c r="J25" i="61"/>
  <c r="J15" i="61"/>
  <c r="AJ155" i="89" s="1"/>
  <c r="AK155" i="89" s="1"/>
  <c r="J17" i="61"/>
  <c r="AJ157" i="89" s="1"/>
  <c r="AK157" i="89" s="1"/>
  <c r="J8" i="61"/>
  <c r="K8" i="61" s="1"/>
  <c r="Q24" i="49" s="1"/>
  <c r="P24" i="49" s="1"/>
  <c r="J7" i="61"/>
  <c r="K7" i="61" s="1"/>
  <c r="Q29" i="49" s="1"/>
  <c r="P29" i="49" s="1"/>
  <c r="W40" i="89"/>
  <c r="I12" i="51"/>
  <c r="I10" i="51"/>
  <c r="I11" i="51"/>
  <c r="C25" i="64"/>
  <c r="C26" i="64"/>
  <c r="C31" i="64"/>
  <c r="Q196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Q25" i="49" l="1"/>
  <c r="P25" i="49" s="1"/>
  <c r="I19" i="51"/>
  <c r="C3" i="61"/>
  <c r="C25" i="78"/>
  <c r="C29" i="78" s="1"/>
  <c r="I6" i="51"/>
  <c r="BB274" i="89"/>
  <c r="X9" i="89"/>
  <c r="X10" i="89" s="1"/>
  <c r="G60" i="89"/>
  <c r="J85" i="89"/>
  <c r="L84" i="89"/>
  <c r="F60" i="89"/>
  <c r="G17" i="78"/>
  <c r="I22" i="51" l="1"/>
  <c r="C7" i="51" s="1"/>
  <c r="D18" i="64" s="1"/>
  <c r="N103" i="89" s="1"/>
  <c r="AU212" i="89"/>
  <c r="Q14" i="49"/>
  <c r="P226" i="49"/>
  <c r="N15" i="78"/>
  <c r="F70" i="89"/>
  <c r="G70" i="89"/>
  <c r="AT226" i="89"/>
  <c r="AW214" i="89" s="1"/>
  <c r="AY214" i="89" s="1"/>
  <c r="J97" i="89"/>
  <c r="AT220" i="89"/>
  <c r="AT219" i="89" s="1"/>
  <c r="L85" i="89"/>
  <c r="K76" i="89" l="1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38" i="49"/>
  <c r="P39" i="49"/>
  <c r="P40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69" i="49"/>
  <c r="Q188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147" i="85"/>
  <c r="C5" i="85"/>
  <c r="C87" i="85"/>
  <c r="C145" i="85"/>
  <c r="C127" i="85"/>
  <c r="C95" i="85"/>
  <c r="C21" i="85"/>
  <c r="C148" i="85"/>
  <c r="C139" i="85"/>
  <c r="C38" i="85"/>
  <c r="C125" i="85"/>
  <c r="C159" i="85"/>
  <c r="C96" i="85"/>
  <c r="C25" i="85"/>
  <c r="C108" i="85"/>
  <c r="C133" i="85"/>
  <c r="C106" i="85"/>
  <c r="C155" i="85"/>
  <c r="C163" i="85"/>
  <c r="C45" i="85"/>
  <c r="C71" i="85"/>
  <c r="C166" i="85"/>
  <c r="C119" i="85"/>
  <c r="C114" i="85"/>
  <c r="C157" i="85"/>
  <c r="C130" i="85"/>
  <c r="C9" i="85"/>
  <c r="C13" i="85"/>
  <c r="C14" i="85"/>
  <c r="C104" i="85"/>
  <c r="C165" i="85"/>
  <c r="C160" i="85"/>
  <c r="C20" i="85"/>
  <c r="C18" i="85"/>
  <c r="C73" i="85"/>
  <c r="C90" i="85"/>
  <c r="C77" i="85"/>
  <c r="C129" i="85"/>
  <c r="C149" i="85"/>
  <c r="C154" i="85"/>
  <c r="C99" i="85"/>
  <c r="C167" i="85"/>
  <c r="C101" i="85"/>
  <c r="C98" i="85"/>
  <c r="C107" i="85"/>
  <c r="C10" i="85"/>
  <c r="C121" i="85"/>
  <c r="C132" i="85"/>
  <c r="C162" i="85"/>
  <c r="C103" i="85"/>
  <c r="C36" i="85"/>
  <c r="C19" i="85"/>
  <c r="C115" i="85"/>
  <c r="C112" i="85"/>
  <c r="C150" i="85"/>
  <c r="C60" i="85"/>
  <c r="C17" i="85"/>
  <c r="C137" i="85"/>
  <c r="C8" i="85"/>
  <c r="C117" i="85"/>
  <c r="C16" i="85"/>
  <c r="C46" i="85"/>
  <c r="C4" i="85"/>
  <c r="C144" i="85"/>
  <c r="C158" i="85"/>
  <c r="C152" i="85"/>
  <c r="C23" i="85"/>
  <c r="C37" i="85"/>
  <c r="C141" i="85"/>
  <c r="C100" i="85"/>
  <c r="C105" i="85"/>
  <c r="C113" i="85"/>
  <c r="C123" i="85"/>
  <c r="C143" i="85"/>
  <c r="C3" i="85"/>
  <c r="C26" i="85"/>
  <c r="C111" i="85"/>
  <c r="C57" i="85"/>
  <c r="C6" i="85"/>
  <c r="C109" i="85"/>
  <c r="C7" i="85"/>
  <c r="C134" i="85"/>
  <c r="C32" i="85"/>
  <c r="C110" i="85"/>
  <c r="C44" i="85"/>
  <c r="C151" i="85"/>
  <c r="C161" i="85"/>
  <c r="C138" i="85"/>
  <c r="C142" i="85"/>
  <c r="C156" i="85"/>
  <c r="C97" i="85"/>
  <c r="C12" i="85"/>
  <c r="C102" i="85"/>
  <c r="C24" i="85"/>
  <c r="C131" i="85"/>
  <c r="C146" i="85"/>
  <c r="C11" i="85"/>
  <c r="C164" i="85"/>
  <c r="C153" i="85"/>
  <c r="C39" i="85"/>
  <c r="C15" i="85"/>
  <c r="C140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93" i="49" l="1"/>
  <c r="P192" i="49"/>
  <c r="P185" i="49"/>
  <c r="Q166" i="49"/>
  <c r="P166" i="49" s="1"/>
  <c r="C152" i="49"/>
  <c r="C151" i="49"/>
  <c r="C148" i="49"/>
  <c r="C147" i="49"/>
  <c r="C146" i="49"/>
  <c r="C145" i="49"/>
  <c r="C143" i="49"/>
  <c r="C142" i="49"/>
  <c r="C141" i="49"/>
  <c r="C140" i="49"/>
  <c r="P109" i="49"/>
  <c r="Q69" i="49"/>
  <c r="P69" i="49" s="1"/>
  <c r="P42" i="49"/>
  <c r="P1739" i="49"/>
  <c r="P1738" i="49"/>
  <c r="P1737" i="49"/>
  <c r="P1736" i="49"/>
  <c r="P1735" i="49"/>
  <c r="P1734" i="49"/>
  <c r="P1733" i="49"/>
  <c r="P1732" i="49"/>
  <c r="P1731" i="49"/>
  <c r="P1730" i="49"/>
  <c r="P1729" i="49"/>
  <c r="P1728" i="49"/>
  <c r="P1727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05" i="49"/>
  <c r="P200" i="49"/>
  <c r="P187" i="49"/>
  <c r="P186" i="49"/>
  <c r="P168" i="49"/>
  <c r="P167" i="49"/>
  <c r="P10" i="49"/>
  <c r="P9" i="49"/>
  <c r="M49" i="25" l="1"/>
  <c r="B48" i="25"/>
  <c r="C22" i="25"/>
  <c r="G14" i="25"/>
  <c r="H14" i="25" s="1"/>
  <c r="I14" i="25" s="1"/>
  <c r="J14" i="25" s="1"/>
  <c r="G13" i="25"/>
  <c r="O24" i="50"/>
  <c r="M24" i="50" s="1"/>
  <c r="C103" i="49"/>
  <c r="O17" i="50"/>
  <c r="M17" i="50" s="1"/>
  <c r="C16" i="50"/>
  <c r="C101" i="49" s="1"/>
  <c r="C15" i="50"/>
  <c r="C100" i="49" s="1"/>
  <c r="C14" i="50"/>
  <c r="C99" i="49" s="1"/>
  <c r="C12" i="50"/>
  <c r="C97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88" i="85"/>
  <c r="C82" i="85"/>
  <c r="C70" i="85"/>
  <c r="C135" i="85"/>
  <c r="C31" i="85"/>
  <c r="C22" i="85"/>
  <c r="C136" i="85"/>
  <c r="I31" i="58" l="1"/>
  <c r="F31" i="58" s="1"/>
  <c r="I30" i="58"/>
  <c r="F30" i="58" s="1"/>
  <c r="I32" i="58"/>
  <c r="F32" i="58" s="1"/>
  <c r="I29" i="58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15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40" i="49"/>
  <c r="P1740" i="49" s="1"/>
  <c r="Q1741" i="49"/>
  <c r="P1741" i="49" s="1"/>
  <c r="B79" i="25"/>
  <c r="V79" i="25" s="1"/>
  <c r="B58" i="51"/>
  <c r="B73" i="51" s="1"/>
  <c r="Q53" i="49"/>
  <c r="P53" i="49" s="1"/>
  <c r="Q16" i="49"/>
  <c r="Q12" i="49"/>
  <c r="P12" i="49" s="1"/>
  <c r="F16" i="64"/>
  <c r="Q19" i="49"/>
  <c r="P19" i="49" s="1"/>
  <c r="Q165" i="49"/>
  <c r="P165" i="49" s="1"/>
  <c r="Q184" i="49"/>
  <c r="P184" i="49" s="1"/>
  <c r="C135" i="49"/>
  <c r="C136" i="49"/>
  <c r="C132" i="49"/>
  <c r="C133" i="49"/>
  <c r="C134" i="49"/>
  <c r="Q15" i="49"/>
  <c r="Q11" i="49"/>
  <c r="P11" i="49" s="1"/>
  <c r="C131" i="49"/>
  <c r="C137" i="49"/>
  <c r="K14" i="39"/>
  <c r="K16" i="39" s="1"/>
  <c r="K15" i="39"/>
  <c r="B47" i="25"/>
  <c r="F47" i="25" s="1"/>
  <c r="F15" i="64"/>
  <c r="G11" i="87"/>
  <c r="G15" i="25"/>
  <c r="G17" i="25" s="1"/>
  <c r="H13" i="25"/>
  <c r="M74" i="78"/>
  <c r="E74" i="78"/>
  <c r="K74" i="78"/>
  <c r="O74" i="78"/>
  <c r="T74" i="78"/>
  <c r="G74" i="78"/>
  <c r="N74" i="78"/>
  <c r="C30" i="85"/>
  <c r="J74" i="78"/>
  <c r="D74" i="78"/>
  <c r="H74" i="78"/>
  <c r="I74" i="78"/>
  <c r="S74" i="78"/>
  <c r="R74" i="78"/>
  <c r="C72" i="85"/>
  <c r="F74" i="78"/>
  <c r="Q74" i="78"/>
  <c r="L74" i="78"/>
  <c r="P74" i="78"/>
  <c r="U74" i="78"/>
  <c r="F29" i="58" l="1"/>
  <c r="I28" i="58"/>
  <c r="F28" i="58" s="1"/>
  <c r="H28" i="58" s="1"/>
  <c r="L53" i="58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62" i="49"/>
  <c r="H31" i="58"/>
  <c r="Q63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H42" i="39"/>
  <c r="Q90" i="49"/>
  <c r="P90" i="49" s="1"/>
  <c r="F3" i="121"/>
  <c r="BW300" i="89"/>
  <c r="BV300" i="89"/>
  <c r="BV298" i="89"/>
  <c r="BV303" i="89"/>
  <c r="BW301" i="89"/>
  <c r="BV301" i="89"/>
  <c r="BV299" i="89"/>
  <c r="BV302" i="89"/>
  <c r="P15" i="49"/>
  <c r="P16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84" i="49"/>
  <c r="P84" i="49" s="1"/>
  <c r="Q78" i="49"/>
  <c r="P78" i="49" s="1"/>
  <c r="Q74" i="49"/>
  <c r="P74" i="49" s="1"/>
  <c r="Q68" i="49"/>
  <c r="P68" i="49" s="1"/>
  <c r="M7" i="58"/>
  <c r="M24" i="58" s="1"/>
  <c r="Q67" i="49"/>
  <c r="P67" i="49" s="1"/>
  <c r="Q86" i="49"/>
  <c r="P86" i="49" s="1"/>
  <c r="Q85" i="49"/>
  <c r="P85" i="49" s="1"/>
  <c r="Q72" i="49"/>
  <c r="P72" i="49" s="1"/>
  <c r="Q70" i="49"/>
  <c r="P70" i="49" s="1"/>
  <c r="Q82" i="49"/>
  <c r="P82" i="49" s="1"/>
  <c r="Q79" i="49"/>
  <c r="P79" i="49" s="1"/>
  <c r="Q88" i="49"/>
  <c r="P88" i="49" s="1"/>
  <c r="Q81" i="49"/>
  <c r="P81" i="49" s="1"/>
  <c r="Q75" i="49"/>
  <c r="P75" i="49" s="1"/>
  <c r="Q73" i="49"/>
  <c r="P73" i="49" s="1"/>
  <c r="Q71" i="49"/>
  <c r="P71" i="49" s="1"/>
  <c r="Q65" i="49"/>
  <c r="P65" i="49" s="1"/>
  <c r="Q83" i="49"/>
  <c r="P83" i="49" s="1"/>
  <c r="Q66" i="49"/>
  <c r="P66" i="49" s="1"/>
  <c r="M8" i="58"/>
  <c r="Q80" i="49"/>
  <c r="P80" i="49" s="1"/>
  <c r="Q76" i="49"/>
  <c r="P76" i="49" s="1"/>
  <c r="M9" i="58"/>
  <c r="K17" i="39"/>
  <c r="E16" i="87"/>
  <c r="E21" i="87" s="1"/>
  <c r="D31" i="64" s="1"/>
  <c r="C21" i="87"/>
  <c r="I13" i="25"/>
  <c r="H15" i="25"/>
  <c r="H17" i="25" s="1"/>
  <c r="B46" i="25"/>
  <c r="M73" i="78"/>
  <c r="U73" i="78"/>
  <c r="K73" i="78"/>
  <c r="T73" i="78"/>
  <c r="H73" i="78"/>
  <c r="D73" i="78"/>
  <c r="L73" i="78"/>
  <c r="F73" i="78"/>
  <c r="N73" i="78"/>
  <c r="G73" i="78"/>
  <c r="P73" i="78"/>
  <c r="O73" i="78"/>
  <c r="E73" i="78"/>
  <c r="Q73" i="78"/>
  <c r="S73" i="78"/>
  <c r="J73" i="78"/>
  <c r="I73" i="78"/>
  <c r="R73" i="78"/>
  <c r="I33" i="64" l="1"/>
  <c r="I34" i="64"/>
  <c r="M16" i="58"/>
  <c r="L9" i="58"/>
  <c r="BV297" i="89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O47" i="25"/>
  <c r="P47" i="25" s="1"/>
  <c r="B41" i="51"/>
  <c r="V78" i="25"/>
  <c r="T78" i="25"/>
  <c r="H30" i="58"/>
  <c r="Q61" i="49"/>
  <c r="BW299" i="89"/>
  <c r="BW298" i="89"/>
  <c r="S31" i="58"/>
  <c r="T31" i="58" s="1"/>
  <c r="V31" i="58" s="1"/>
  <c r="T30" i="58"/>
  <c r="U30" i="58" s="1"/>
  <c r="W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91" i="49"/>
  <c r="P91" i="49" s="1"/>
  <c r="CA305" i="89"/>
  <c r="CA304" i="89" s="1"/>
  <c r="P63" i="49"/>
  <c r="X133" i="89"/>
  <c r="BW302" i="89"/>
  <c r="BW303" i="89"/>
  <c r="Q199" i="49"/>
  <c r="AE15" i="89"/>
  <c r="Q179" i="49"/>
  <c r="P179" i="49" s="1"/>
  <c r="L72" i="51"/>
  <c r="K78" i="25" s="1"/>
  <c r="AC6" i="89"/>
  <c r="BM283" i="89"/>
  <c r="BN283" i="89" s="1"/>
  <c r="AU224" i="89"/>
  <c r="Q37" i="49"/>
  <c r="P37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L5" i="58" s="1"/>
  <c r="L17" i="58" s="1"/>
  <c r="Q89" i="49"/>
  <c r="P89" i="49" s="1"/>
  <c r="Q87" i="49"/>
  <c r="P87" i="49" s="1"/>
  <c r="Q3" i="49"/>
  <c r="P3" i="49" s="1"/>
  <c r="M11" i="25"/>
  <c r="Q64" i="49"/>
  <c r="P64" i="49" s="1"/>
  <c r="M10" i="25"/>
  <c r="J13" i="25"/>
  <c r="J15" i="25" s="1"/>
  <c r="J17" i="25" s="1"/>
  <c r="I15" i="25"/>
  <c r="I17" i="25" s="1"/>
  <c r="B45" i="25"/>
  <c r="P41" i="49"/>
  <c r="N72" i="78"/>
  <c r="T72" i="78"/>
  <c r="L72" i="78"/>
  <c r="U72" i="78"/>
  <c r="P72" i="78"/>
  <c r="E72" i="78"/>
  <c r="F72" i="78"/>
  <c r="M72" i="78"/>
  <c r="K72" i="78"/>
  <c r="J72" i="78"/>
  <c r="G72" i="78"/>
  <c r="H72" i="78"/>
  <c r="Q72" i="78"/>
  <c r="S72" i="78"/>
  <c r="I72" i="78"/>
  <c r="O72" i="78"/>
  <c r="D72" i="78"/>
  <c r="R72" i="78"/>
  <c r="H71" i="51" l="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C7" i="58"/>
  <c r="N25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35" i="49"/>
  <c r="P35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69" i="49"/>
  <c r="Q77" i="49"/>
  <c r="P77" i="49" s="1"/>
  <c r="C105" i="39"/>
  <c r="B44" i="25"/>
  <c r="U71" i="78"/>
  <c r="N71" i="78"/>
  <c r="Q71" i="78"/>
  <c r="J71" i="78"/>
  <c r="S71" i="78"/>
  <c r="M71" i="78"/>
  <c r="K71" i="78"/>
  <c r="C55" i="85"/>
  <c r="F71" i="78"/>
  <c r="E71" i="78"/>
  <c r="G71" i="78"/>
  <c r="O71" i="78"/>
  <c r="R71" i="78"/>
  <c r="P71" i="78"/>
  <c r="I71" i="78"/>
  <c r="D71" i="78"/>
  <c r="L71" i="78"/>
  <c r="T71" i="78"/>
  <c r="H71" i="78"/>
  <c r="H70" i="51" l="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C10" i="51"/>
  <c r="Q58" i="49"/>
  <c r="P58" i="49" s="1"/>
  <c r="L70" i="51"/>
  <c r="K76" i="25" s="1"/>
  <c r="C6" i="58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88" i="49"/>
  <c r="P14" i="49"/>
  <c r="Q180" i="49"/>
  <c r="P180" i="49" s="1"/>
  <c r="C6" i="64"/>
  <c r="B43" i="25"/>
  <c r="N44" i="25"/>
  <c r="E70" i="78"/>
  <c r="V41" i="89" l="1"/>
  <c r="W41" i="89" s="1"/>
  <c r="P14" i="78"/>
  <c r="T119" i="89"/>
  <c r="G73" i="39"/>
  <c r="O44" i="25" s="1"/>
  <c r="P44" i="25" s="1"/>
  <c r="N24" i="58"/>
  <c r="B38" i="51"/>
  <c r="T75" i="25"/>
  <c r="V75" i="25"/>
  <c r="D4" i="50"/>
  <c r="AY264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D21" i="64"/>
  <c r="AD6" i="89"/>
  <c r="F19" i="25"/>
  <c r="E30" i="64"/>
  <c r="E27" i="64"/>
  <c r="E28" i="64"/>
  <c r="E29" i="64"/>
  <c r="L76" i="25"/>
  <c r="C53" i="89"/>
  <c r="Q92" i="49"/>
  <c r="P92" i="49" s="1"/>
  <c r="B72" i="39"/>
  <c r="J70" i="51"/>
  <c r="J39" i="51" s="1"/>
  <c r="B74" i="25"/>
  <c r="X74" i="25" s="1"/>
  <c r="B53" i="51"/>
  <c r="B68" i="51" s="1"/>
  <c r="E16" i="64"/>
  <c r="E15" i="64"/>
  <c r="B42" i="25"/>
  <c r="N43" i="25"/>
  <c r="G69" i="78"/>
  <c r="R69" i="78"/>
  <c r="U70" i="78"/>
  <c r="H69" i="78"/>
  <c r="G70" i="78"/>
  <c r="R70" i="78"/>
  <c r="P70" i="78"/>
  <c r="H70" i="78"/>
  <c r="Q69" i="78"/>
  <c r="I69" i="78"/>
  <c r="T69" i="78"/>
  <c r="T70" i="78"/>
  <c r="J69" i="78"/>
  <c r="N69" i="78"/>
  <c r="S69" i="78"/>
  <c r="U69" i="78"/>
  <c r="E69" i="78"/>
  <c r="K69" i="78"/>
  <c r="P69" i="78"/>
  <c r="L70" i="78"/>
  <c r="K70" i="78"/>
  <c r="L69" i="78"/>
  <c r="D69" i="78"/>
  <c r="M69" i="78"/>
  <c r="N70" i="78"/>
  <c r="D70" i="78"/>
  <c r="J70" i="78"/>
  <c r="I70" i="78"/>
  <c r="O69" i="78"/>
  <c r="M70" i="78"/>
  <c r="Q70" i="78"/>
  <c r="O70" i="78"/>
  <c r="S70" i="78"/>
  <c r="F69" i="78"/>
  <c r="F70" i="78"/>
  <c r="AW249" i="89" l="1"/>
  <c r="AY249" i="89" s="1"/>
  <c r="AW253" i="89"/>
  <c r="AW257" i="89"/>
  <c r="AW248" i="89"/>
  <c r="AW260" i="89"/>
  <c r="AY260" i="89" s="1"/>
  <c r="AW251" i="89"/>
  <c r="AY251" i="89" s="1"/>
  <c r="AW255" i="89"/>
  <c r="AW245" i="89"/>
  <c r="AW252" i="89"/>
  <c r="AY252" i="89" s="1"/>
  <c r="AW247" i="89"/>
  <c r="AY247" i="89" s="1"/>
  <c r="AW246" i="89"/>
  <c r="AW250" i="89"/>
  <c r="AW240" i="89"/>
  <c r="AW242" i="89"/>
  <c r="AW243" i="89"/>
  <c r="E35" i="50"/>
  <c r="Q153" i="49" s="1"/>
  <c r="P153" i="49" s="1"/>
  <c r="E39" i="50"/>
  <c r="Q157" i="49" s="1"/>
  <c r="P157" i="49" s="1"/>
  <c r="E43" i="50"/>
  <c r="Q161" i="49" s="1"/>
  <c r="P161" i="49" s="1"/>
  <c r="E47" i="50"/>
  <c r="E63" i="50"/>
  <c r="E36" i="50"/>
  <c r="Q154" i="49" s="1"/>
  <c r="P154" i="49" s="1"/>
  <c r="E40" i="50"/>
  <c r="Q158" i="49" s="1"/>
  <c r="P158" i="49" s="1"/>
  <c r="E44" i="50"/>
  <c r="E48" i="50"/>
  <c r="E56" i="50"/>
  <c r="E64" i="50"/>
  <c r="E37" i="50"/>
  <c r="Q155" i="49" s="1"/>
  <c r="P155" i="49" s="1"/>
  <c r="E41" i="50"/>
  <c r="E45" i="50"/>
  <c r="Q163" i="49" s="1"/>
  <c r="P163" i="49" s="1"/>
  <c r="E49" i="50"/>
  <c r="E81" i="50"/>
  <c r="E34" i="50"/>
  <c r="E38" i="50"/>
  <c r="Q156" i="49" s="1"/>
  <c r="P156" i="49" s="1"/>
  <c r="E42" i="50"/>
  <c r="Q160" i="49" s="1"/>
  <c r="P160" i="49" s="1"/>
  <c r="E46" i="50"/>
  <c r="Q164" i="49" s="1"/>
  <c r="P164" i="49" s="1"/>
  <c r="E50" i="50"/>
  <c r="E70" i="50"/>
  <c r="E30" i="50"/>
  <c r="Q148" i="49" s="1"/>
  <c r="E28" i="50"/>
  <c r="E24" i="50"/>
  <c r="E17" i="50"/>
  <c r="E25" i="50"/>
  <c r="E14" i="50"/>
  <c r="E23" i="50"/>
  <c r="I69" i="51"/>
  <c r="I38" i="51" s="1"/>
  <c r="Q75" i="25" s="1"/>
  <c r="R75" i="25" s="1"/>
  <c r="D69" i="51"/>
  <c r="D38" i="51" s="1"/>
  <c r="C69" i="51"/>
  <c r="C38" i="51" s="1"/>
  <c r="C75" i="25" s="1"/>
  <c r="G69" i="51"/>
  <c r="G38" i="51" s="1"/>
  <c r="E69" i="51"/>
  <c r="E38" i="51" s="1"/>
  <c r="L69" i="51"/>
  <c r="K75" i="25" s="1"/>
  <c r="H69" i="51"/>
  <c r="H38" i="51" s="1"/>
  <c r="O75" i="25" s="1"/>
  <c r="P75" i="25" s="1"/>
  <c r="F69" i="51"/>
  <c r="F38" i="51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D81" i="64"/>
  <c r="E81" i="64" s="1"/>
  <c r="D65" i="64"/>
  <c r="E65" i="64" s="1"/>
  <c r="D74" i="64"/>
  <c r="E74" i="64" s="1"/>
  <c r="D63" i="64"/>
  <c r="E63" i="64" s="1"/>
  <c r="D82" i="64"/>
  <c r="E82" i="64" s="1"/>
  <c r="D66" i="64"/>
  <c r="E66" i="64" s="1"/>
  <c r="D64" i="64"/>
  <c r="E64" i="64" s="1"/>
  <c r="D67" i="64"/>
  <c r="E67" i="64" s="1"/>
  <c r="D62" i="64"/>
  <c r="E62" i="64" s="1"/>
  <c r="P12" i="78"/>
  <c r="G72" i="39"/>
  <c r="O43" i="25" s="1"/>
  <c r="P43" i="25" s="1"/>
  <c r="B37" i="51"/>
  <c r="V74" i="25"/>
  <c r="T74" i="25"/>
  <c r="D61" i="64"/>
  <c r="E61" i="64" s="1"/>
  <c r="D57" i="64"/>
  <c r="E57" i="64" s="1"/>
  <c r="D58" i="64"/>
  <c r="E58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F50" i="71"/>
  <c r="F42" i="25"/>
  <c r="AO169" i="8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B73" i="25"/>
  <c r="X73" i="25" s="1"/>
  <c r="B52" i="51"/>
  <c r="B67" i="51" s="1"/>
  <c r="B41" i="25"/>
  <c r="N42" i="25"/>
  <c r="K68" i="78"/>
  <c r="J68" i="78"/>
  <c r="T68" i="78"/>
  <c r="G68" i="78"/>
  <c r="H68" i="78"/>
  <c r="R68" i="78"/>
  <c r="Q68" i="78"/>
  <c r="D68" i="78"/>
  <c r="U68" i="78"/>
  <c r="O68" i="78"/>
  <c r="L68" i="78"/>
  <c r="F68" i="78"/>
  <c r="M68" i="78"/>
  <c r="I68" i="78"/>
  <c r="S68" i="78"/>
  <c r="N68" i="78"/>
  <c r="P68" i="78"/>
  <c r="E68" i="78"/>
  <c r="J69" i="51" l="1"/>
  <c r="J38" i="51" s="1"/>
  <c r="H67" i="51"/>
  <c r="H36" i="51" s="1"/>
  <c r="O73" i="25" s="1"/>
  <c r="P73" i="25" s="1"/>
  <c r="Q162" i="49"/>
  <c r="P162" i="49" s="1"/>
  <c r="Q159" i="49"/>
  <c r="P159" i="49" s="1"/>
  <c r="I67" i="51"/>
  <c r="I36" i="51" s="1"/>
  <c r="Q73" i="25" s="1"/>
  <c r="R73" i="25" s="1"/>
  <c r="C67" i="51"/>
  <c r="C36" i="51" s="1"/>
  <c r="Q152" i="49"/>
  <c r="P10" i="78"/>
  <c r="AY246" i="89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I67" i="78"/>
  <c r="H67" i="78"/>
  <c r="N67" i="78"/>
  <c r="G67" i="78"/>
  <c r="P67" i="78"/>
  <c r="T67" i="78"/>
  <c r="D67" i="78"/>
  <c r="L67" i="78"/>
  <c r="U67" i="78"/>
  <c r="Q67" i="78"/>
  <c r="M67" i="78"/>
  <c r="S67" i="78"/>
  <c r="K67" i="78"/>
  <c r="F67" i="78"/>
  <c r="O67" i="78"/>
  <c r="R67" i="78"/>
  <c r="E67" i="78"/>
  <c r="J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S66" i="78"/>
  <c r="Q66" i="78"/>
  <c r="E66" i="78"/>
  <c r="I66" i="78"/>
  <c r="U66" i="78"/>
  <c r="P66" i="78"/>
  <c r="L66" i="78"/>
  <c r="M66" i="78"/>
  <c r="G66" i="78"/>
  <c r="T66" i="78"/>
  <c r="R66" i="78"/>
  <c r="H66" i="78"/>
  <c r="N66" i="78"/>
  <c r="F66" i="78"/>
  <c r="K66" i="78"/>
  <c r="O66" i="78"/>
  <c r="D66" i="78"/>
  <c r="J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J65" i="78"/>
  <c r="H65" i="78"/>
  <c r="T65" i="78"/>
  <c r="K65" i="78"/>
  <c r="E65" i="78"/>
  <c r="N65" i="78"/>
  <c r="G65" i="78"/>
  <c r="M65" i="78"/>
  <c r="U65" i="78"/>
  <c r="R65" i="78"/>
  <c r="O65" i="78"/>
  <c r="L65" i="78"/>
  <c r="P65" i="78"/>
  <c r="I65" i="78"/>
  <c r="S65" i="78"/>
  <c r="F65" i="78"/>
  <c r="D65" i="78"/>
  <c r="Q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K44" i="25"/>
  <c r="L44" i="25" s="1"/>
  <c r="E51" i="71" s="1"/>
  <c r="L64" i="51"/>
  <c r="K70" i="25" s="1"/>
  <c r="B67" i="39"/>
  <c r="G67" i="39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F64" i="78"/>
  <c r="Q64" i="78"/>
  <c r="R64" i="78"/>
  <c r="H64" i="78"/>
  <c r="D64" i="78"/>
  <c r="L64" i="78"/>
  <c r="O64" i="78"/>
  <c r="G64" i="78"/>
  <c r="M64" i="78"/>
  <c r="P2" i="78" l="1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Q110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D32" i="51" s="1"/>
  <c r="J64" i="51"/>
  <c r="J33" i="51" s="1"/>
  <c r="B68" i="25"/>
  <c r="B47" i="51"/>
  <c r="B62" i="51" s="1"/>
  <c r="B36" i="25"/>
  <c r="N37" i="25"/>
  <c r="S63" i="78"/>
  <c r="P63" i="78"/>
  <c r="T63" i="78"/>
  <c r="D63" i="78"/>
  <c r="I63" i="78"/>
  <c r="E63" i="78"/>
  <c r="Q63" i="78"/>
  <c r="F63" i="78"/>
  <c r="I64" i="78"/>
  <c r="L63" i="78"/>
  <c r="S64" i="78"/>
  <c r="P64" i="78"/>
  <c r="E64" i="78"/>
  <c r="M63" i="78"/>
  <c r="N64" i="78"/>
  <c r="R63" i="78"/>
  <c r="T64" i="78"/>
  <c r="U63" i="78"/>
  <c r="K63" i="78"/>
  <c r="K64" i="78"/>
  <c r="J63" i="78"/>
  <c r="H63" i="78"/>
  <c r="O63" i="78"/>
  <c r="G63" i="78"/>
  <c r="J64" i="78"/>
  <c r="U64" i="78"/>
  <c r="N63" i="78"/>
  <c r="H63" i="51" l="1"/>
  <c r="H32" i="51" s="1"/>
  <c r="O69" i="25" s="1"/>
  <c r="P69" i="25" s="1"/>
  <c r="E63" i="51"/>
  <c r="E32" i="51" s="1"/>
  <c r="I63" i="51"/>
  <c r="I32" i="51" s="1"/>
  <c r="Q69" i="25" s="1"/>
  <c r="R69" i="25" s="1"/>
  <c r="C63" i="51"/>
  <c r="C32" i="51" s="1"/>
  <c r="C69" i="25" s="1"/>
  <c r="D69" i="25" s="1"/>
  <c r="H62" i="51"/>
  <c r="H31" i="51" s="1"/>
  <c r="O68" i="25" s="1"/>
  <c r="I62" i="51"/>
  <c r="I31" i="51" s="1"/>
  <c r="Q68" i="25" s="1"/>
  <c r="U75" i="78"/>
  <c r="C62" i="51"/>
  <c r="C31" i="51" s="1"/>
  <c r="T75" i="78"/>
  <c r="S75" i="78"/>
  <c r="R75" i="78"/>
  <c r="G66" i="39"/>
  <c r="O37" i="25" s="1"/>
  <c r="P37" i="25" s="1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F44" i="71"/>
  <c r="N79" i="78"/>
  <c r="Q79" i="78"/>
  <c r="K78" i="78"/>
  <c r="M79" i="78"/>
  <c r="P79" i="78"/>
  <c r="O79" i="78"/>
  <c r="K42" i="25"/>
  <c r="L42" i="25" s="1"/>
  <c r="E49" i="71" s="1"/>
  <c r="Q144" i="49"/>
  <c r="P144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J78" i="89" s="1"/>
  <c r="G75" i="78"/>
  <c r="J81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B35" i="25"/>
  <c r="N36" i="25"/>
  <c r="AT213" i="89" l="1"/>
  <c r="AV213" i="89" s="1"/>
  <c r="Q80" i="25"/>
  <c r="G69" i="25"/>
  <c r="H69" i="25" s="1"/>
  <c r="J63" i="51"/>
  <c r="J32" i="51" s="1"/>
  <c r="R68" i="25"/>
  <c r="X67" i="25"/>
  <c r="R67" i="25"/>
  <c r="P67" i="25"/>
  <c r="P68" i="25"/>
  <c r="O80" i="25"/>
  <c r="C65" i="39"/>
  <c r="C36" i="25" s="1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3" i="89"/>
  <c r="C23" i="64"/>
  <c r="J82" i="89"/>
  <c r="AT217" i="89" s="1"/>
  <c r="C22" i="64"/>
  <c r="M70" i="25"/>
  <c r="N70" i="25" s="1"/>
  <c r="H70" i="25"/>
  <c r="E69" i="25"/>
  <c r="C68" i="25"/>
  <c r="D68" i="25" s="1"/>
  <c r="G68" i="25" s="1"/>
  <c r="H65" i="39"/>
  <c r="F43" i="71"/>
  <c r="J79" i="89"/>
  <c r="L79" i="89" s="1"/>
  <c r="J80" i="89"/>
  <c r="AT215" i="89" s="1"/>
  <c r="AV215" i="89" s="1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2" i="89"/>
  <c r="AW212" i="89" s="1"/>
  <c r="L78" i="89"/>
  <c r="K78" i="89"/>
  <c r="AT216" i="89"/>
  <c r="AW216" i="89" s="1"/>
  <c r="K81" i="89"/>
  <c r="L81" i="89"/>
  <c r="F67" i="25"/>
  <c r="H67" i="25"/>
  <c r="N67" i="25"/>
  <c r="B66" i="25"/>
  <c r="B64" i="39"/>
  <c r="J67" i="25"/>
  <c r="J62" i="51"/>
  <c r="J31" i="51" s="1"/>
  <c r="B34" i="25"/>
  <c r="N35" i="25"/>
  <c r="G80" i="25" l="1"/>
  <c r="X66" i="25"/>
  <c r="R66" i="25"/>
  <c r="P66" i="25"/>
  <c r="C35" i="25"/>
  <c r="D35" i="25" s="1"/>
  <c r="G35" i="25"/>
  <c r="H35" i="25" s="1"/>
  <c r="AW215" i="89"/>
  <c r="AY215" i="89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18" i="89"/>
  <c r="AW218" i="89" s="1"/>
  <c r="K82" i="89"/>
  <c r="K83" i="89"/>
  <c r="AV216" i="89"/>
  <c r="AV212" i="89"/>
  <c r="AY212" i="89"/>
  <c r="F69" i="25"/>
  <c r="I69" i="25"/>
  <c r="J69" i="25" s="1"/>
  <c r="E68" i="25"/>
  <c r="I68" i="25" s="1"/>
  <c r="J68" i="25" s="1"/>
  <c r="C80" i="25"/>
  <c r="F42" i="71"/>
  <c r="K79" i="89"/>
  <c r="J74" i="89"/>
  <c r="K80" i="89"/>
  <c r="E20" i="64"/>
  <c r="F20" i="64"/>
  <c r="H68" i="25"/>
  <c r="L68" i="25"/>
  <c r="K39" i="25"/>
  <c r="L39" i="25" s="1"/>
  <c r="E46" i="71" s="1"/>
  <c r="L66" i="25"/>
  <c r="AY216" i="89"/>
  <c r="H66" i="25"/>
  <c r="N66" i="25"/>
  <c r="F66" i="25"/>
  <c r="J66" i="25"/>
  <c r="B65" i="25"/>
  <c r="B63" i="39"/>
  <c r="B33" i="25"/>
  <c r="N34" i="25"/>
  <c r="X65" i="25" l="1"/>
  <c r="P65" i="25"/>
  <c r="R65" i="25"/>
  <c r="G63" i="39"/>
  <c r="O34" i="25" s="1"/>
  <c r="P34" i="25" s="1"/>
  <c r="D63" i="39"/>
  <c r="Q34" i="25" s="1"/>
  <c r="C34" i="25"/>
  <c r="D34" i="25" s="1"/>
  <c r="D65" i="25"/>
  <c r="V65" i="25"/>
  <c r="T65" i="25"/>
  <c r="AW213" i="89"/>
  <c r="AY213" i="89" s="1"/>
  <c r="T33" i="25"/>
  <c r="G34" i="25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K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AW222" i="89" s="1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X59" i="25" l="1"/>
  <c r="R59" i="25"/>
  <c r="P59" i="25"/>
  <c r="V59" i="25"/>
  <c r="T59" i="25"/>
  <c r="T27" i="25"/>
  <c r="V27" i="25"/>
  <c r="L59" i="25"/>
  <c r="D59" i="25"/>
  <c r="P27" i="25"/>
  <c r="R27" i="25"/>
  <c r="AY224" i="89"/>
  <c r="AV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D25" i="25"/>
  <c r="D49" i="25" s="1"/>
  <c r="H25" i="25"/>
  <c r="H49" i="25" s="1"/>
  <c r="D27" i="50" s="1"/>
  <c r="C53" i="64" l="1"/>
  <c r="E29" i="50"/>
  <c r="AN171" i="89"/>
  <c r="AO171" i="89" s="1"/>
  <c r="C51" i="64"/>
  <c r="AN172" i="89"/>
  <c r="AU238" i="89" s="1"/>
  <c r="AW238" i="89" s="1"/>
  <c r="I15" i="135"/>
  <c r="D82" i="50" s="1"/>
  <c r="AN178" i="89" s="1"/>
  <c r="AU244" i="89" s="1"/>
  <c r="AW244" i="89" s="1"/>
  <c r="X56" i="25"/>
  <c r="P56" i="25"/>
  <c r="R56" i="25"/>
  <c r="D12" i="137"/>
  <c r="T56" i="25"/>
  <c r="V56" i="25"/>
  <c r="T24" i="25"/>
  <c r="V24" i="25"/>
  <c r="AN173" i="89"/>
  <c r="AO173" i="89" s="1"/>
  <c r="Q114" i="49"/>
  <c r="P114" i="49" s="1"/>
  <c r="L56" i="25"/>
  <c r="D56" i="25"/>
  <c r="D80" i="25" s="1"/>
  <c r="P24" i="25"/>
  <c r="R24" i="25"/>
  <c r="N24" i="25"/>
  <c r="H24" i="25"/>
  <c r="B55" i="25"/>
  <c r="J24" i="25"/>
  <c r="L24" i="25"/>
  <c r="D9" i="50"/>
  <c r="D53" i="64"/>
  <c r="E53" i="64" s="1"/>
  <c r="Q113" i="49"/>
  <c r="P113" i="49" s="1"/>
  <c r="J56" i="25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D11" i="50" l="1"/>
  <c r="E11" i="50" s="1"/>
  <c r="D10" i="50"/>
  <c r="E10" i="50" s="1"/>
  <c r="AO178" i="89"/>
  <c r="AU237" i="89"/>
  <c r="AW237" i="89" s="1"/>
  <c r="AO183" i="89"/>
  <c r="AY248" i="89"/>
  <c r="C100" i="64"/>
  <c r="D100" i="64" s="1"/>
  <c r="E100" i="64" s="1"/>
  <c r="E82" i="50"/>
  <c r="AY240" i="89"/>
  <c r="AO172" i="89"/>
  <c r="Q261" i="49"/>
  <c r="P261" i="49" s="1"/>
  <c r="X55" i="25"/>
  <c r="X80" i="25" s="1"/>
  <c r="G31" i="135" s="1"/>
  <c r="R55" i="25"/>
  <c r="R80" i="25" s="1"/>
  <c r="M42" i="51" s="1"/>
  <c r="D20" i="50" s="1"/>
  <c r="AN168" i="89" s="1"/>
  <c r="P55" i="25"/>
  <c r="P80" i="25" s="1"/>
  <c r="M41" i="51" s="1"/>
  <c r="T55" i="25"/>
  <c r="T80" i="25" s="1"/>
  <c r="V55" i="25"/>
  <c r="V80" i="25" s="1"/>
  <c r="AU239" i="89"/>
  <c r="AW239" i="89" s="1"/>
  <c r="P118" i="49"/>
  <c r="AU232" i="89"/>
  <c r="AW232" i="89" s="1"/>
  <c r="AN165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E12" i="50" s="1"/>
  <c r="J55" i="25"/>
  <c r="J80" i="25" s="1"/>
  <c r="BE268" i="89"/>
  <c r="Q146" i="49"/>
  <c r="BE273" i="89"/>
  <c r="BE270" i="89"/>
  <c r="BE271" i="89"/>
  <c r="BE272" i="89"/>
  <c r="M34" i="51"/>
  <c r="D15" i="50" s="1"/>
  <c r="E15" i="50" s="1"/>
  <c r="M36" i="51"/>
  <c r="D18" i="50" s="1"/>
  <c r="E18" i="50" s="1"/>
  <c r="AO168" i="89" l="1"/>
  <c r="AU235" i="89"/>
  <c r="C48" i="64"/>
  <c r="E20" i="50"/>
  <c r="Q139" i="49" s="1"/>
  <c r="P139" i="49" s="1"/>
  <c r="D52" i="64"/>
  <c r="E52" i="64" s="1"/>
  <c r="E16" i="50"/>
  <c r="D54" i="64"/>
  <c r="E54" i="64" s="1"/>
  <c r="AY244" i="89"/>
  <c r="D51" i="64"/>
  <c r="E51" i="64" s="1"/>
  <c r="G32" i="135"/>
  <c r="D99" i="64" s="1"/>
  <c r="E99" i="64" s="1"/>
  <c r="G27" i="135"/>
  <c r="G25" i="135"/>
  <c r="G33" i="135" s="1"/>
  <c r="G30" i="135"/>
  <c r="G28" i="135"/>
  <c r="G26" i="135"/>
  <c r="G29" i="135"/>
  <c r="M43" i="51"/>
  <c r="D19" i="50"/>
  <c r="Q105" i="49"/>
  <c r="P105" i="49" s="1"/>
  <c r="P126" i="49"/>
  <c r="Q129" i="49"/>
  <c r="Q103" i="49"/>
  <c r="P103" i="49" s="1"/>
  <c r="AY250" i="89"/>
  <c r="P260" i="49"/>
  <c r="AO180" i="89"/>
  <c r="Q122" i="49"/>
  <c r="P122" i="49" s="1"/>
  <c r="D59" i="64"/>
  <c r="E59" i="64" s="1"/>
  <c r="Q123" i="49"/>
  <c r="P123" i="49" s="1"/>
  <c r="D60" i="64"/>
  <c r="E60" i="64" s="1"/>
  <c r="AY238" i="89"/>
  <c r="M32" i="51"/>
  <c r="Q97" i="49"/>
  <c r="P97" i="49" s="1"/>
  <c r="Q101" i="49"/>
  <c r="Q100" i="49"/>
  <c r="O12" i="50"/>
  <c r="M12" i="50" s="1"/>
  <c r="BE269" i="89"/>
  <c r="BE274" i="89" s="1"/>
  <c r="O15" i="50"/>
  <c r="M15" i="50" s="1"/>
  <c r="P110" i="49"/>
  <c r="O18" i="50"/>
  <c r="M18" i="50" s="1"/>
  <c r="O14" i="50"/>
  <c r="M14" i="50" s="1"/>
  <c r="D48" i="64" l="1"/>
  <c r="E48" i="64" s="1"/>
  <c r="AW235" i="89"/>
  <c r="AY235" i="89" s="1"/>
  <c r="C47" i="64"/>
  <c r="E19" i="50"/>
  <c r="Q138" i="49" s="1"/>
  <c r="P138" i="49" s="1"/>
  <c r="AN167" i="89"/>
  <c r="AU234" i="89" s="1"/>
  <c r="AW234" i="89" s="1"/>
  <c r="D55" i="64"/>
  <c r="E55" i="64" s="1"/>
  <c r="Q104" i="49"/>
  <c r="P104" i="49" s="1"/>
  <c r="D13" i="50"/>
  <c r="E13" i="50" s="1"/>
  <c r="M38" i="51"/>
  <c r="P102" i="49"/>
  <c r="O16" i="50"/>
  <c r="M16" i="50" s="1"/>
  <c r="P108" i="49"/>
  <c r="Q142" i="49"/>
  <c r="Q147" i="49"/>
  <c r="Q143" i="49"/>
  <c r="P128" i="49"/>
  <c r="D47" i="64" l="1"/>
  <c r="E47" i="64" s="1"/>
  <c r="AO167" i="89"/>
  <c r="AN166" i="89"/>
  <c r="D49" i="64"/>
  <c r="E49" i="64" s="1"/>
  <c r="AY239" i="89"/>
  <c r="AY245" i="89"/>
  <c r="Q98" i="49"/>
  <c r="P98" i="49" s="1"/>
  <c r="O13" i="50"/>
  <c r="M13" i="50" s="1"/>
  <c r="BC273" i="89"/>
  <c r="BC268" i="89"/>
  <c r="BC269" i="89"/>
  <c r="P15" i="50"/>
  <c r="Q134" i="49"/>
  <c r="P134" i="49" s="1"/>
  <c r="N15" i="50"/>
  <c r="P12" i="50"/>
  <c r="Q131" i="49"/>
  <c r="P131" i="49" s="1"/>
  <c r="N12" i="50"/>
  <c r="P18" i="50"/>
  <c r="N18" i="50"/>
  <c r="Q137" i="49"/>
  <c r="P137" i="49" s="1"/>
  <c r="P147" i="49"/>
  <c r="P142" i="49"/>
  <c r="P23" i="50"/>
  <c r="N23" i="50"/>
  <c r="Q136" i="49"/>
  <c r="P136" i="49" s="1"/>
  <c r="N17" i="50"/>
  <c r="P17" i="50"/>
  <c r="P14" i="50"/>
  <c r="Q133" i="49"/>
  <c r="P133" i="49" s="1"/>
  <c r="N14" i="50"/>
  <c r="P24" i="50"/>
  <c r="P143" i="49"/>
  <c r="N24" i="50"/>
  <c r="P148" i="49"/>
  <c r="N16" i="50"/>
  <c r="Q135" i="49"/>
  <c r="P135" i="49" s="1"/>
  <c r="P16" i="50"/>
  <c r="C46" i="64" l="1"/>
  <c r="AO166" i="89"/>
  <c r="AU233" i="89"/>
  <c r="N13" i="50"/>
  <c r="P13" i="50"/>
  <c r="Q132" i="49"/>
  <c r="P132" i="49" s="1"/>
  <c r="BC271" i="89"/>
  <c r="BC270" i="89"/>
  <c r="BC272" i="89"/>
  <c r="AW233" i="89" l="1"/>
  <c r="BC274" i="89"/>
  <c r="BI272" i="89"/>
  <c r="AY233" i="89" l="1"/>
  <c r="BI273" i="89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C50" i="64" s="1"/>
  <c r="G72" i="82"/>
  <c r="D72" i="82" s="1"/>
  <c r="Q194" i="49"/>
  <c r="P194" i="49" s="1"/>
  <c r="E25" i="64"/>
  <c r="Q195" i="49"/>
  <c r="P195" i="49" s="1"/>
  <c r="P197" i="49" l="1"/>
  <c r="P198" i="49"/>
  <c r="P196" i="49" l="1"/>
  <c r="P199" i="49"/>
  <c r="C24" i="64"/>
  <c r="C34" i="64" l="1"/>
  <c r="E27" i="50"/>
  <c r="C45" i="64"/>
  <c r="D45" i="64" s="1"/>
  <c r="AF15" i="89"/>
  <c r="J86" i="89"/>
  <c r="P146" i="49" l="1"/>
  <c r="Q145" i="49"/>
  <c r="AY237" i="89"/>
  <c r="P111" i="49"/>
  <c r="E26" i="50"/>
  <c r="Q96" i="49"/>
  <c r="P96" i="49" s="1"/>
  <c r="Q95" i="49"/>
  <c r="P95" i="49" s="1"/>
  <c r="Q112" i="49"/>
  <c r="P112" i="49" s="1"/>
  <c r="O27" i="50"/>
  <c r="M27" i="50" s="1"/>
  <c r="Q130" i="49"/>
  <c r="P101" i="49"/>
  <c r="O26" i="50"/>
  <c r="M26" i="50" s="1"/>
  <c r="AN170" i="89"/>
  <c r="D50" i="64"/>
  <c r="E50" i="64" s="1"/>
  <c r="E9" i="50"/>
  <c r="P99" i="49"/>
  <c r="P94" i="49"/>
  <c r="P100" i="49"/>
  <c r="E45" i="64"/>
  <c r="C39" i="64"/>
  <c r="D39" i="64" s="1"/>
  <c r="J95" i="89"/>
  <c r="L86" i="89"/>
  <c r="K86" i="89"/>
  <c r="P130" i="49" l="1"/>
  <c r="P127" i="49"/>
  <c r="AO170" i="89"/>
  <c r="AU236" i="89"/>
  <c r="AW236" i="89" s="1"/>
  <c r="P125" i="49"/>
  <c r="N27" i="50"/>
  <c r="P145" i="49"/>
  <c r="P27" i="50"/>
  <c r="N26" i="50"/>
  <c r="P26" i="50"/>
  <c r="P129" i="49"/>
  <c r="AD15" i="89"/>
  <c r="K95" i="89"/>
  <c r="J96" i="89"/>
  <c r="K96" i="89" s="1"/>
  <c r="AY232" i="89" l="1"/>
  <c r="D46" i="64"/>
  <c r="E46" i="64" s="1"/>
  <c r="K97" i="89"/>
  <c r="P203" i="49" l="1"/>
  <c r="Q93" i="49"/>
  <c r="P93" i="49" s="1"/>
  <c r="Q173" i="49"/>
  <c r="P173" i="49" s="1"/>
  <c r="Q206" i="49"/>
  <c r="P206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44" i="49" l="1"/>
  <c r="P1744" i="49" s="1"/>
  <c r="E9" i="82"/>
  <c r="C10" i="82"/>
  <c r="Q1745" i="49" s="1"/>
  <c r="P1745" i="49" s="1"/>
  <c r="E10" i="82"/>
  <c r="Q1743" i="49" s="1"/>
  <c r="P1743" i="49" s="1"/>
  <c r="Q1742" i="49" l="1"/>
  <c r="P1742" i="49" s="1"/>
  <c r="D26" i="64"/>
  <c r="C27" i="95"/>
  <c r="D52" i="50" l="1"/>
  <c r="D54" i="50"/>
  <c r="D55" i="50"/>
  <c r="D53" i="50"/>
  <c r="D51" i="50"/>
  <c r="D22" i="50"/>
  <c r="E22" i="50" s="1"/>
  <c r="D21" i="50"/>
  <c r="E21" i="50" s="1"/>
  <c r="F26" i="64"/>
  <c r="C104" i="39"/>
  <c r="BM278" i="89"/>
  <c r="BN278" i="89" s="1"/>
  <c r="AU223" i="89"/>
  <c r="AW223" i="89" s="1"/>
  <c r="Q36" i="49"/>
  <c r="P36" i="49" s="1"/>
  <c r="E26" i="64"/>
  <c r="C30" i="95"/>
  <c r="C21" i="95"/>
  <c r="C73" i="64" l="1"/>
  <c r="D73" i="64" s="1"/>
  <c r="E73" i="64" s="1"/>
  <c r="E55" i="50"/>
  <c r="C72" i="64"/>
  <c r="D72" i="64" s="1"/>
  <c r="E72" i="64" s="1"/>
  <c r="E54" i="50"/>
  <c r="C71" i="64"/>
  <c r="E53" i="50"/>
  <c r="C69" i="64"/>
  <c r="E51" i="50"/>
  <c r="C70" i="64"/>
  <c r="D70" i="64" s="1"/>
  <c r="E70" i="64" s="1"/>
  <c r="E52" i="50"/>
  <c r="Q230" i="49"/>
  <c r="P230" i="49" s="1"/>
  <c r="Q232" i="49"/>
  <c r="P232" i="49" s="1"/>
  <c r="D71" i="64"/>
  <c r="E71" i="64" s="1"/>
  <c r="Q234" i="49"/>
  <c r="P234" i="49" s="1"/>
  <c r="Q233" i="49"/>
  <c r="P233" i="49" s="1"/>
  <c r="Q231" i="49"/>
  <c r="P231" i="49" s="1"/>
  <c r="Q107" i="49"/>
  <c r="P107" i="49" s="1"/>
  <c r="Q141" i="49"/>
  <c r="O22" i="50"/>
  <c r="M22" i="50" s="1"/>
  <c r="Q106" i="49"/>
  <c r="P106" i="49" s="1"/>
  <c r="O21" i="50"/>
  <c r="M21" i="50" s="1"/>
  <c r="Q140" i="49"/>
  <c r="BM285" i="89"/>
  <c r="AY223" i="89"/>
  <c r="C20" i="94"/>
  <c r="C35" i="95"/>
  <c r="P140" i="49" l="1"/>
  <c r="P21" i="50"/>
  <c r="N21" i="50"/>
  <c r="P141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207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32" i="49"/>
  <c r="P32" i="49" s="1"/>
  <c r="AJ146" i="89"/>
  <c r="AK146" i="89" s="1"/>
  <c r="AJ150" i="89" l="1"/>
  <c r="AK150" i="89" s="1"/>
  <c r="Q59" i="49" l="1"/>
  <c r="P59" i="49" s="1"/>
  <c r="P62" i="49"/>
  <c r="P61" i="49" l="1"/>
  <c r="X131" i="89"/>
  <c r="X129" i="89"/>
  <c r="Q60" i="49"/>
  <c r="P60" i="49" s="1"/>
  <c r="X132" i="89"/>
  <c r="H35" i="58" l="1"/>
  <c r="K41" i="58" s="1"/>
  <c r="L41" i="58" s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12" i="49"/>
  <c r="P212" i="49" s="1"/>
  <c r="BR292" i="89"/>
  <c r="BF271" i="89"/>
  <c r="BR291" i="89"/>
  <c r="Q211" i="49"/>
  <c r="P211" i="49" s="1"/>
  <c r="G9" i="123"/>
  <c r="N9" i="123" s="1"/>
  <c r="L5" i="123"/>
  <c r="G5" i="123"/>
  <c r="D11" i="123"/>
  <c r="Q210" i="49" l="1"/>
  <c r="P210" i="49" s="1"/>
  <c r="BR290" i="89"/>
  <c r="Q222" i="49" s="1"/>
  <c r="P222" i="49" s="1"/>
  <c r="Q209" i="49"/>
  <c r="P209" i="49" s="1"/>
  <c r="BR289" i="89"/>
  <c r="BS289" i="89" s="1"/>
  <c r="BH272" i="89"/>
  <c r="BJ272" i="89" s="1"/>
  <c r="BS292" i="89"/>
  <c r="Q224" i="49"/>
  <c r="P224" i="49" s="1"/>
  <c r="BP288" i="89"/>
  <c r="BH271" i="89"/>
  <c r="BJ271" i="89" s="1"/>
  <c r="BS291" i="89"/>
  <c r="Q223" i="49"/>
  <c r="P223" i="49" s="1"/>
  <c r="N5" i="123"/>
  <c r="BS290" i="89" l="1"/>
  <c r="BH270" i="89"/>
  <c r="BJ270" i="89" s="1"/>
  <c r="BH269" i="89"/>
  <c r="BJ269" i="89" s="1"/>
  <c r="Q221" i="49"/>
  <c r="P221" i="49" s="1"/>
  <c r="BF268" i="89"/>
  <c r="BR288" i="89"/>
  <c r="Q208" i="49"/>
  <c r="P208" i="49" s="1"/>
  <c r="BH268" i="89" l="1"/>
  <c r="BS288" i="89"/>
  <c r="Q220" i="49"/>
  <c r="P220" i="49" s="1"/>
  <c r="BJ268" i="89" l="1"/>
  <c r="AO165" i="89" l="1"/>
  <c r="Q34" i="49" l="1"/>
  <c r="Q33" i="49" l="1"/>
  <c r="P33" i="49" s="1"/>
  <c r="P34" i="49"/>
  <c r="D32" i="64"/>
  <c r="C103" i="39" s="1"/>
  <c r="AE149" i="89"/>
  <c r="AL149" i="89" s="1"/>
  <c r="AJ149" i="89"/>
  <c r="AK149" i="89" s="1"/>
  <c r="AK161" i="89" s="1"/>
  <c r="AU225" i="89" l="1"/>
  <c r="AW225" i="89" s="1"/>
  <c r="AW221" i="89" s="1"/>
  <c r="E32" i="64"/>
  <c r="D24" i="64"/>
  <c r="F32" i="64"/>
  <c r="K52" i="39" s="1"/>
  <c r="AV225" i="89" l="1"/>
  <c r="AU221" i="89"/>
  <c r="Q175" i="49"/>
  <c r="P175" i="49" s="1"/>
  <c r="O8" i="51"/>
  <c r="E24" i="64"/>
  <c r="L9" i="89" s="1"/>
  <c r="F24" i="64"/>
  <c r="AF16" i="89"/>
  <c r="AY225" i="89" l="1"/>
  <c r="AY221" i="89"/>
  <c r="U10" i="89"/>
  <c r="AV221" i="89"/>
  <c r="AB141" i="89" l="1"/>
  <c r="M14" i="58" l="1"/>
  <c r="R14" i="58" s="1"/>
  <c r="M17" i="58" l="1"/>
  <c r="Q14" i="58" l="1"/>
  <c r="M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13" i="49" l="1"/>
  <c r="P213" i="49" s="1"/>
  <c r="BP294" i="89"/>
  <c r="BR294" i="89" s="1"/>
  <c r="BS294" i="89" s="1"/>
  <c r="BR293" i="89"/>
  <c r="BF273" i="89"/>
  <c r="BF274" i="89" s="1"/>
  <c r="Q225" i="49" l="1"/>
  <c r="P225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C56" i="64" s="1"/>
  <c r="P152" i="49"/>
  <c r="AY243" i="89"/>
  <c r="AY242" i="89" l="1"/>
  <c r="AY234" i="89"/>
  <c r="AY236" i="89"/>
  <c r="E31" i="50" l="1"/>
  <c r="AN175" i="89" l="1"/>
  <c r="AO175" i="89" l="1"/>
  <c r="D56" i="64"/>
  <c r="E56" i="64" s="1"/>
  <c r="AU241" i="89"/>
  <c r="AW241" i="89" s="1"/>
  <c r="AY241" i="89" l="1"/>
  <c r="Q249" i="49"/>
  <c r="P249" i="49" s="1"/>
  <c r="D88" i="64"/>
  <c r="E88" i="64" s="1"/>
  <c r="V32" i="58" l="1"/>
  <c r="V34" i="58" s="1"/>
  <c r="V52" i="58" s="1"/>
  <c r="V56" i="58" s="1"/>
  <c r="Q11" i="58" l="1"/>
  <c r="Q13" i="58" s="1"/>
  <c r="R13" i="58" s="1"/>
  <c r="R15" i="58" s="1"/>
  <c r="N13" i="58"/>
  <c r="Q49" i="49" s="1"/>
  <c r="P49" i="49" s="1"/>
  <c r="N16" i="58"/>
  <c r="N17" i="58"/>
  <c r="Q44" i="49" l="1"/>
  <c r="P44" i="49" s="1"/>
  <c r="K35" i="39"/>
  <c r="S15" i="58"/>
  <c r="N15" i="58"/>
  <c r="Q112" i="89" s="1"/>
  <c r="Q45" i="49"/>
  <c r="P45" i="49" s="1"/>
  <c r="N14" i="58"/>
  <c r="Q113" i="89" s="1"/>
  <c r="Q15" i="58"/>
  <c r="C10" i="58"/>
  <c r="T124" i="89" l="1"/>
  <c r="U124" i="89" s="1"/>
  <c r="Q114" i="89"/>
  <c r="Q50" i="49"/>
  <c r="P50" i="49" s="1"/>
  <c r="N19" i="58"/>
  <c r="L19" i="58" s="1"/>
  <c r="Q177" i="49"/>
  <c r="P177" i="49" s="1"/>
  <c r="N18" i="58"/>
  <c r="L18" i="58" s="1"/>
  <c r="Q16" i="58"/>
  <c r="R16" i="58" s="1"/>
  <c r="R17" i="58" s="1"/>
  <c r="Q18" i="58" s="1"/>
  <c r="Q48" i="49"/>
  <c r="P48" i="49" s="1"/>
  <c r="K36" i="39"/>
  <c r="C99" i="39" s="1"/>
  <c r="L34" i="58" l="1"/>
  <c r="Q286" i="49" s="1"/>
  <c r="P286" i="49" s="1"/>
  <c r="Q17" i="58"/>
  <c r="C12" i="58"/>
  <c r="Q47" i="49"/>
  <c r="P47" i="49" s="1"/>
  <c r="Q46" i="49"/>
  <c r="P46" i="49" s="1"/>
  <c r="Q178" i="49"/>
  <c r="P178" i="49" s="1"/>
  <c r="C11" i="58"/>
  <c r="T123" i="89" l="1"/>
  <c r="C9" i="58"/>
  <c r="U123" i="89" l="1"/>
  <c r="T122" i="89"/>
  <c r="T125" i="89" s="1"/>
  <c r="Q191" i="49"/>
  <c r="P191" i="49" s="1"/>
  <c r="L8" i="51"/>
  <c r="C5" i="58"/>
  <c r="D62" i="50" s="1"/>
  <c r="C80" i="64" l="1"/>
  <c r="E62" i="50"/>
  <c r="D60" i="50"/>
  <c r="D61" i="50"/>
  <c r="D58" i="50"/>
  <c r="D59" i="50"/>
  <c r="D79" i="50"/>
  <c r="E79" i="50" s="1"/>
  <c r="D80" i="50"/>
  <c r="E80" i="50" s="1"/>
  <c r="D77" i="50"/>
  <c r="E77" i="50" s="1"/>
  <c r="D78" i="50"/>
  <c r="E78" i="50" s="1"/>
  <c r="D76" i="50"/>
  <c r="D57" i="50"/>
  <c r="D66" i="50"/>
  <c r="D71" i="50"/>
  <c r="D73" i="50"/>
  <c r="Q170" i="49"/>
  <c r="P170" i="49" s="1"/>
  <c r="Q189" i="49"/>
  <c r="P189" i="49" s="1"/>
  <c r="D65" i="50"/>
  <c r="D72" i="50"/>
  <c r="D67" i="50"/>
  <c r="Q43" i="49"/>
  <c r="P43" i="49" s="1"/>
  <c r="L6" i="51"/>
  <c r="L10" i="51" s="1"/>
  <c r="N30" i="58"/>
  <c r="D68" i="50"/>
  <c r="D75" i="50"/>
  <c r="D74" i="50"/>
  <c r="D69" i="50"/>
  <c r="AN193" i="89" l="1"/>
  <c r="AN192" i="89"/>
  <c r="AU258" i="89" s="1"/>
  <c r="AW258" i="89" s="1"/>
  <c r="E76" i="50"/>
  <c r="AN190" i="89"/>
  <c r="AU256" i="89" s="1"/>
  <c r="AW256" i="89" s="1"/>
  <c r="AY256" i="89" s="1"/>
  <c r="C91" i="64"/>
  <c r="E73" i="50"/>
  <c r="C86" i="64"/>
  <c r="E68" i="50"/>
  <c r="C85" i="64"/>
  <c r="E67" i="50"/>
  <c r="C87" i="64"/>
  <c r="E69" i="50"/>
  <c r="C90" i="64"/>
  <c r="E72" i="50"/>
  <c r="C78" i="64"/>
  <c r="E60" i="50"/>
  <c r="C92" i="64"/>
  <c r="E74" i="50"/>
  <c r="C83" i="64"/>
  <c r="E65" i="50"/>
  <c r="C89" i="64"/>
  <c r="E71" i="50"/>
  <c r="C77" i="64"/>
  <c r="E59" i="50"/>
  <c r="C75" i="64"/>
  <c r="E57" i="50"/>
  <c r="C79" i="64"/>
  <c r="E61" i="50"/>
  <c r="C93" i="64"/>
  <c r="E75" i="50"/>
  <c r="C84" i="64"/>
  <c r="E66" i="50"/>
  <c r="C76" i="64"/>
  <c r="E58" i="50"/>
  <c r="C95" i="64"/>
  <c r="C98" i="64"/>
  <c r="Q255" i="49"/>
  <c r="P255" i="49" s="1"/>
  <c r="C94" i="64"/>
  <c r="C97" i="64"/>
  <c r="C96" i="64"/>
  <c r="Q257" i="49"/>
  <c r="P257" i="49" s="1"/>
  <c r="Q259" i="49"/>
  <c r="P259" i="49" s="1"/>
  <c r="Q256" i="49"/>
  <c r="P256" i="49" s="1"/>
  <c r="Q258" i="49"/>
  <c r="P258" i="49" s="1"/>
  <c r="L9" i="51"/>
  <c r="Q248" i="49"/>
  <c r="P248" i="49" s="1"/>
  <c r="Q241" i="49"/>
  <c r="P241" i="49" s="1"/>
  <c r="D80" i="64"/>
  <c r="E80" i="64" s="1"/>
  <c r="Q251" i="49"/>
  <c r="P251" i="49" s="1"/>
  <c r="Q252" i="49"/>
  <c r="P252" i="49" s="1"/>
  <c r="Q239" i="49"/>
  <c r="P239" i="49" s="1"/>
  <c r="Q253" i="49"/>
  <c r="P253" i="49" s="1"/>
  <c r="Q240" i="49"/>
  <c r="P240" i="49" s="1"/>
  <c r="Q246" i="49"/>
  <c r="P246" i="49" s="1"/>
  <c r="Q244" i="49"/>
  <c r="P244" i="49" s="1"/>
  <c r="Q250" i="49"/>
  <c r="P250" i="49" s="1"/>
  <c r="T29" i="58"/>
  <c r="O30" i="58"/>
  <c r="AA141" i="89"/>
  <c r="Q238" i="49"/>
  <c r="P238" i="49" s="1"/>
  <c r="Q245" i="49"/>
  <c r="P245" i="49" s="1"/>
  <c r="Q254" i="49"/>
  <c r="P254" i="49" s="1"/>
  <c r="Q247" i="49"/>
  <c r="P247" i="49" s="1"/>
  <c r="Q236" i="49"/>
  <c r="P236" i="49" s="1"/>
  <c r="AN188" i="89"/>
  <c r="AU254" i="89" s="1"/>
  <c r="AW254" i="89" s="1"/>
  <c r="AY254" i="89" s="1"/>
  <c r="Q237" i="49"/>
  <c r="P237" i="49" s="1"/>
  <c r="D96" i="64" l="1"/>
  <c r="E96" i="64" s="1"/>
  <c r="D98" i="64"/>
  <c r="E98" i="64" s="1"/>
  <c r="D97" i="64"/>
  <c r="E97" i="64" s="1"/>
  <c r="D95" i="64"/>
  <c r="E95" i="64" s="1"/>
  <c r="D84" i="64"/>
  <c r="E84" i="64" s="1"/>
  <c r="D79" i="64"/>
  <c r="E79" i="64" s="1"/>
  <c r="D77" i="64"/>
  <c r="E77" i="64" s="1"/>
  <c r="D83" i="64"/>
  <c r="E83" i="64" s="1"/>
  <c r="D78" i="64"/>
  <c r="E78" i="64" s="1"/>
  <c r="D87" i="64"/>
  <c r="E87" i="64" s="1"/>
  <c r="D86" i="64"/>
  <c r="E86" i="64" s="1"/>
  <c r="D94" i="64"/>
  <c r="E94" i="64" s="1"/>
  <c r="D76" i="64"/>
  <c r="E76" i="64" s="1"/>
  <c r="D93" i="64"/>
  <c r="E93" i="64" s="1"/>
  <c r="D89" i="64"/>
  <c r="E89" i="64" s="1"/>
  <c r="D92" i="64"/>
  <c r="E92" i="64" s="1"/>
  <c r="D90" i="64"/>
  <c r="E90" i="64" s="1"/>
  <c r="D85" i="64"/>
  <c r="E85" i="64" s="1"/>
  <c r="D91" i="64"/>
  <c r="E91" i="64" s="1"/>
  <c r="AY258" i="89"/>
  <c r="AU259" i="89"/>
  <c r="AW259" i="89" s="1"/>
  <c r="AY259" i="89" s="1"/>
  <c r="AN197" i="89"/>
  <c r="AO193" i="89"/>
  <c r="AY257" i="89"/>
  <c r="AO192" i="89"/>
  <c r="U29" i="58"/>
  <c r="W29" i="58" s="1"/>
  <c r="T32" i="58"/>
  <c r="AO188" i="89"/>
  <c r="AO190" i="89"/>
  <c r="D75" i="64"/>
  <c r="E75" i="64" s="1"/>
  <c r="AC141" i="89"/>
  <c r="AD141" i="89"/>
  <c r="C21" i="58"/>
  <c r="M42" i="58"/>
  <c r="N42" i="58" s="1"/>
  <c r="M44" i="58"/>
  <c r="N44" i="58" s="1"/>
  <c r="M46" i="58"/>
  <c r="N46" i="58" s="1"/>
  <c r="C68" i="58"/>
  <c r="C18" i="58"/>
  <c r="M54" i="58"/>
  <c r="N54" i="58" s="1"/>
  <c r="M56" i="58"/>
  <c r="N56" i="58" s="1"/>
  <c r="M58" i="58"/>
  <c r="N58" i="58" s="1"/>
  <c r="C20" i="58"/>
  <c r="C22" i="58"/>
  <c r="Q54" i="49" s="1"/>
  <c r="P54" i="49" s="1"/>
  <c r="M41" i="58"/>
  <c r="M43" i="58"/>
  <c r="N43" i="58" s="1"/>
  <c r="M45" i="58"/>
  <c r="N45" i="58" s="1"/>
  <c r="M47" i="58"/>
  <c r="N47" i="58" s="1"/>
  <c r="M53" i="58"/>
  <c r="M55" i="58"/>
  <c r="N55" i="58" s="1"/>
  <c r="M57" i="58"/>
  <c r="N57" i="58" s="1"/>
  <c r="M59" i="58"/>
  <c r="N59" i="58" s="1"/>
  <c r="AY253" i="89" l="1"/>
  <c r="AU261" i="89"/>
  <c r="C23" i="58"/>
  <c r="E6" i="58" s="1"/>
  <c r="F18" i="58"/>
  <c r="Q56" i="49"/>
  <c r="P56" i="49" s="1"/>
  <c r="R11" i="58"/>
  <c r="AA139" i="89"/>
  <c r="Q280" i="49"/>
  <c r="P280" i="49" s="1"/>
  <c r="F20" i="58"/>
  <c r="Q281" i="49" s="1"/>
  <c r="P281" i="49" s="1"/>
  <c r="F21" i="58"/>
  <c r="Q283" i="49" s="1"/>
  <c r="P283" i="49" s="1"/>
  <c r="Q282" i="49"/>
  <c r="P282" i="49" s="1"/>
  <c r="K48" i="58"/>
  <c r="M48" i="58"/>
  <c r="N41" i="58"/>
  <c r="N48" i="58" s="1"/>
  <c r="N53" i="58"/>
  <c r="N60" i="58" s="1"/>
  <c r="K60" i="58"/>
  <c r="M60" i="58"/>
  <c r="AY255" i="89" l="1"/>
  <c r="AW261" i="89"/>
  <c r="E22" i="58"/>
  <c r="F22" i="58" s="1"/>
  <c r="Q55" i="49" s="1"/>
  <c r="P55" i="49" s="1"/>
  <c r="AC139" i="89"/>
  <c r="AC142" i="89" s="1"/>
  <c r="AD139" i="89"/>
  <c r="AA142" i="89"/>
  <c r="L13" i="51"/>
  <c r="L14" i="51" s="1"/>
  <c r="C6" i="51" s="1"/>
  <c r="Q57" i="49"/>
  <c r="P57" i="49" s="1"/>
  <c r="E23" i="58" l="1"/>
  <c r="C13" i="58" s="1"/>
  <c r="Q52" i="49" s="1"/>
  <c r="P52" i="49" s="1"/>
  <c r="F23" i="58"/>
  <c r="L73" i="39" s="1"/>
  <c r="AB142" i="89"/>
  <c r="O7" i="51"/>
  <c r="C13" i="51"/>
  <c r="D17" i="64"/>
  <c r="D33" i="64" l="1"/>
  <c r="O9" i="51" s="1"/>
  <c r="O11" i="51" s="1"/>
  <c r="M73" i="39"/>
  <c r="C14" i="58"/>
  <c r="Q190" i="49" s="1"/>
  <c r="P190" i="49" s="1"/>
  <c r="Q13" i="49"/>
  <c r="P13" i="49" s="1"/>
  <c r="E17" i="64"/>
  <c r="F17" i="64"/>
  <c r="K42" i="39" s="1"/>
  <c r="N102" i="89"/>
  <c r="D14" i="64"/>
  <c r="AU211" i="89"/>
  <c r="D42" i="71"/>
  <c r="D46" i="71"/>
  <c r="D50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C102" i="39" l="1"/>
  <c r="Q171" i="49"/>
  <c r="P171" i="49" s="1"/>
  <c r="Q51" i="49"/>
  <c r="P51" i="49" s="1"/>
  <c r="AE16" i="89"/>
  <c r="F33" i="64"/>
  <c r="E33" i="64"/>
  <c r="L10" i="89" s="1"/>
  <c r="AU220" i="89"/>
  <c r="AU219" i="89" s="1"/>
  <c r="D34" i="64"/>
  <c r="E34" i="64" s="1"/>
  <c r="C14" i="137"/>
  <c r="D14" i="137" s="1"/>
  <c r="E14" i="137" s="1"/>
  <c r="D33" i="50" s="1"/>
  <c r="C13" i="137"/>
  <c r="D13" i="137" s="1"/>
  <c r="E13" i="137" s="1"/>
  <c r="D32" i="50" s="1"/>
  <c r="J73" i="39"/>
  <c r="AV211" i="89"/>
  <c r="AU208" i="89"/>
  <c r="AW211" i="89"/>
  <c r="O102" i="89"/>
  <c r="N109" i="89"/>
  <c r="Q174" i="49"/>
  <c r="P174" i="49" s="1"/>
  <c r="E14" i="64"/>
  <c r="L8" i="89" s="1"/>
  <c r="AG16" i="89"/>
  <c r="F14" i="64"/>
  <c r="D69" i="64" l="1"/>
  <c r="E69" i="64" s="1"/>
  <c r="E33" i="50"/>
  <c r="Q151" i="49" s="1"/>
  <c r="P151" i="49" s="1"/>
  <c r="D68" i="64"/>
  <c r="E68" i="64" s="1"/>
  <c r="C44" i="64"/>
  <c r="Q172" i="49"/>
  <c r="P172" i="49" s="1"/>
  <c r="C5" i="64"/>
  <c r="Q176" i="49" s="1"/>
  <c r="P176" i="49" s="1"/>
  <c r="F34" i="64"/>
  <c r="AW220" i="89"/>
  <c r="AY220" i="89" s="1"/>
  <c r="AV220" i="89"/>
  <c r="AU227" i="89"/>
  <c r="U11" i="89"/>
  <c r="AV208" i="89"/>
  <c r="AU226" i="89"/>
  <c r="AX219" i="89" s="1"/>
  <c r="T22" i="89" s="1"/>
  <c r="Q117" i="49"/>
  <c r="P117" i="49" s="1"/>
  <c r="D7" i="50"/>
  <c r="AN201" i="89" s="1"/>
  <c r="AN203" i="89" s="1"/>
  <c r="Q116" i="49"/>
  <c r="P116" i="49" s="1"/>
  <c r="E32" i="50"/>
  <c r="D84" i="50"/>
  <c r="AW208" i="89"/>
  <c r="AY211" i="89"/>
  <c r="U9" i="89"/>
  <c r="AV219" i="89"/>
  <c r="D44" i="64" l="1"/>
  <c r="E44" i="64" s="1"/>
  <c r="C7" i="64"/>
  <c r="I1" i="51" s="1"/>
  <c r="C52" i="89"/>
  <c r="C54" i="89" s="1"/>
  <c r="AW219" i="89"/>
  <c r="AY219" i="89" s="1"/>
  <c r="O12" i="51"/>
  <c r="O13" i="51" s="1"/>
  <c r="Q181" i="49"/>
  <c r="P181" i="49" s="1"/>
  <c r="D5" i="50"/>
  <c r="Q183" i="49"/>
  <c r="P183" i="49" s="1"/>
  <c r="AV227" i="89"/>
  <c r="AX227" i="89"/>
  <c r="AW227" i="89"/>
  <c r="AW229" i="89"/>
  <c r="AW262" i="89" s="1"/>
  <c r="U15" i="89"/>
  <c r="T11" i="89" s="1"/>
  <c r="Q150" i="49"/>
  <c r="P150" i="49" s="1"/>
  <c r="Q149" i="49"/>
  <c r="P149" i="49" s="1"/>
  <c r="AX223" i="89"/>
  <c r="AX212" i="89"/>
  <c r="T27" i="89" s="1"/>
  <c r="AX216" i="89"/>
  <c r="T26" i="89" s="1"/>
  <c r="AX224" i="89"/>
  <c r="AX221" i="89"/>
  <c r="T23" i="89" s="1"/>
  <c r="AX228" i="89"/>
  <c r="AX226" i="89"/>
  <c r="AX209" i="89"/>
  <c r="T24" i="89" s="1"/>
  <c r="AX213" i="89"/>
  <c r="AX217" i="89"/>
  <c r="T30" i="89" s="1"/>
  <c r="AX225" i="89"/>
  <c r="AX215" i="89"/>
  <c r="T29" i="89" s="1"/>
  <c r="AX210" i="89"/>
  <c r="T25" i="89" s="1"/>
  <c r="AX214" i="89"/>
  <c r="AX218" i="89"/>
  <c r="AX222" i="89"/>
  <c r="AX211" i="89"/>
  <c r="AX220" i="89"/>
  <c r="AX208" i="89"/>
  <c r="H1" i="82" l="1"/>
  <c r="H1" i="78"/>
  <c r="H1" i="50"/>
  <c r="H1" i="87"/>
  <c r="Q6" i="49"/>
  <c r="P6" i="49" s="1"/>
  <c r="G1" i="58"/>
  <c r="F1" i="71"/>
  <c r="H1" i="25"/>
  <c r="H1" i="61"/>
  <c r="T9" i="89"/>
  <c r="T28" i="89"/>
  <c r="E7" i="50"/>
  <c r="H44" i="64"/>
  <c r="D10" i="64"/>
  <c r="AC5" i="89"/>
  <c r="AW263" i="89"/>
  <c r="AY227" i="89"/>
  <c r="T21" i="89"/>
  <c r="T8" i="89"/>
  <c r="T10" i="89"/>
  <c r="U12" i="89"/>
  <c r="U13" i="89"/>
  <c r="T31" i="89" l="1"/>
  <c r="T15" i="89"/>
  <c r="U14" i="89"/>
  <c r="L13" i="89"/>
  <c r="Q182" i="49"/>
  <c r="P182" i="49" s="1"/>
  <c r="C8" i="64"/>
  <c r="Q7" i="49" l="1"/>
  <c r="P7" i="49" s="1"/>
  <c r="L12" i="89"/>
  <c r="C55" i="89"/>
  <c r="C56" i="89" s="1"/>
  <c r="C9" i="64"/>
  <c r="G2" i="58" l="1"/>
  <c r="H2" i="87"/>
  <c r="I2" i="51"/>
  <c r="F2" i="71"/>
  <c r="H2" i="50"/>
  <c r="Q8" i="49"/>
  <c r="P8" i="49" s="1"/>
  <c r="H2" i="78"/>
  <c r="H2" i="61"/>
  <c r="H2" i="82"/>
  <c r="C10" i="64"/>
  <c r="H2" i="25"/>
  <c r="C597" i="85" l="1"/>
  <c r="C667" i="85"/>
  <c r="C201" i="85"/>
  <c r="C1111" i="85"/>
  <c r="C273" i="85"/>
  <c r="C955" i="85"/>
  <c r="C345" i="85"/>
  <c r="C1719" i="85"/>
  <c r="C304" i="85"/>
  <c r="C463" i="85"/>
  <c r="C1112" i="85"/>
  <c r="C939" i="85"/>
  <c r="C1596" i="85"/>
  <c r="C913" i="85"/>
  <c r="C865" i="85"/>
  <c r="C686" i="85"/>
  <c r="C916" i="85"/>
  <c r="C557" i="85"/>
  <c r="C49" i="85"/>
  <c r="C1976" i="85"/>
  <c r="C1791" i="85"/>
  <c r="C1445" i="85"/>
  <c r="C625" i="85"/>
  <c r="C1420" i="85"/>
  <c r="C1979" i="85"/>
  <c r="C548" i="85"/>
  <c r="C1750" i="85"/>
  <c r="C835" i="85"/>
  <c r="C567" i="85"/>
  <c r="C646" i="85"/>
  <c r="C1177" i="85"/>
  <c r="C177" i="85"/>
  <c r="C562" i="85"/>
  <c r="C205" i="85"/>
  <c r="C1582" i="85"/>
  <c r="C80" i="85"/>
  <c r="C1013" i="85"/>
  <c r="C1273" i="85"/>
  <c r="C494" i="85"/>
  <c r="C1949" i="85"/>
  <c r="C1294" i="85"/>
  <c r="C908" i="85"/>
  <c r="C1105" i="85"/>
  <c r="C1393" i="85"/>
  <c r="C803" i="85"/>
  <c r="C1461" i="85"/>
  <c r="C692" i="85"/>
  <c r="C1066" i="85"/>
  <c r="C1906" i="85"/>
  <c r="C1315" i="85"/>
  <c r="C91" i="85"/>
  <c r="C1859" i="85"/>
  <c r="C1229" i="85"/>
  <c r="C1083" i="85"/>
  <c r="C1561" i="85"/>
  <c r="C761" i="85"/>
  <c r="C491" i="85"/>
  <c r="C1097" i="85"/>
  <c r="C378" i="85"/>
  <c r="C897" i="85"/>
  <c r="C280" i="85"/>
  <c r="C1772" i="85"/>
  <c r="C1715" i="85"/>
  <c r="C513" i="85"/>
  <c r="C756" i="85"/>
  <c r="C927" i="85"/>
  <c r="C550" i="85"/>
  <c r="C1668" i="85"/>
  <c r="C1018" i="85"/>
  <c r="C257" i="85"/>
  <c r="C1632" i="85"/>
  <c r="C215" i="85"/>
  <c r="C1243" i="85"/>
  <c r="C522" i="85"/>
  <c r="C645" i="85"/>
  <c r="C29" i="85"/>
  <c r="C433" i="85"/>
  <c r="C829" i="85"/>
  <c r="C900" i="85"/>
  <c r="C1762" i="85"/>
  <c r="C1531" i="85"/>
  <c r="C873" i="85"/>
  <c r="C1142" i="85"/>
  <c r="C341" i="85"/>
  <c r="C1910" i="85"/>
  <c r="C1295" i="85"/>
  <c r="C1376" i="85"/>
  <c r="C1526" i="85"/>
  <c r="C1437" i="85"/>
  <c r="C425" i="85"/>
  <c r="C1005" i="85"/>
  <c r="C506" i="85"/>
  <c r="C636" i="85"/>
  <c r="C1052" i="85"/>
  <c r="C1943" i="85"/>
  <c r="C774" i="85"/>
  <c r="C223" i="85"/>
  <c r="C1305" i="85"/>
  <c r="C1224" i="85"/>
  <c r="C1480" i="85"/>
  <c r="C324" i="85"/>
  <c r="C1124" i="85"/>
  <c r="C607" i="85"/>
  <c r="C1277" i="85"/>
  <c r="C200" i="85"/>
  <c r="C705" i="85"/>
  <c r="C1473" i="85"/>
  <c r="C693" i="85"/>
  <c r="C353" i="85"/>
  <c r="C808" i="85"/>
  <c r="C1359" i="85"/>
  <c r="C895" i="85"/>
  <c r="C1282" i="85"/>
  <c r="C426" i="85"/>
  <c r="C995" i="85"/>
  <c r="C687" i="85"/>
  <c r="C1200" i="85"/>
  <c r="C1810" i="85"/>
  <c r="C1288" i="85"/>
  <c r="C1426" i="85"/>
  <c r="C1060" i="85"/>
  <c r="C1333" i="85"/>
  <c r="C1642" i="85"/>
  <c r="C994" i="85"/>
  <c r="C1309" i="85"/>
  <c r="C1272" i="85"/>
  <c r="C754" i="85"/>
  <c r="C1744" i="85"/>
  <c r="C1080" i="85"/>
  <c r="C1803" i="85"/>
  <c r="C1566" i="85"/>
  <c r="C1402" i="85"/>
  <c r="C946" i="85"/>
  <c r="C964" i="85"/>
  <c r="C872" i="85"/>
  <c r="C1578" i="85"/>
  <c r="C1036" i="85"/>
  <c r="C1817" i="85"/>
  <c r="C901" i="85"/>
  <c r="C1874" i="85"/>
  <c r="C1432" i="85"/>
  <c r="C1524" i="85"/>
  <c r="C1084" i="85"/>
  <c r="C1279" i="85"/>
  <c r="C1957" i="85"/>
  <c r="C1717" i="85"/>
  <c r="C1714" i="85"/>
  <c r="C1199" i="85"/>
  <c r="C224" i="85"/>
  <c r="C848" i="85"/>
  <c r="C340" i="85"/>
  <c r="C1914" i="85"/>
  <c r="C276" i="85"/>
  <c r="C799" i="85"/>
  <c r="C244" i="85"/>
  <c r="C1609" i="85"/>
  <c r="C1022" i="85"/>
  <c r="C573" i="85"/>
  <c r="C950" i="85"/>
  <c r="C1703" i="85"/>
  <c r="C880" i="85"/>
  <c r="C1290" i="85"/>
  <c r="C1210" i="85"/>
  <c r="C1564" i="85"/>
  <c r="C1363" i="85"/>
  <c r="C723" i="85"/>
  <c r="C1860" i="85"/>
  <c r="C1118" i="85"/>
  <c r="C1343" i="85"/>
  <c r="C266" i="85"/>
  <c r="C1782" i="85"/>
  <c r="C1940" i="85"/>
  <c r="C232" i="85"/>
  <c r="C1413" i="85"/>
  <c r="C801" i="85"/>
  <c r="C1242" i="85"/>
  <c r="C405" i="85"/>
  <c r="C283" i="85"/>
  <c r="C372" i="85"/>
  <c r="C451" i="85"/>
  <c r="C1271" i="85"/>
  <c r="C287" i="85"/>
  <c r="C1547" i="85"/>
  <c r="C892" i="85"/>
  <c r="C1591" i="85"/>
  <c r="C810" i="85"/>
  <c r="C839" i="85"/>
  <c r="C1863" i="85"/>
  <c r="C1785" i="85"/>
  <c r="C649" i="85"/>
  <c r="C1414" i="85"/>
  <c r="C1873" i="85"/>
  <c r="C1522" i="85"/>
  <c r="C312" i="85"/>
  <c r="C1895" i="85"/>
  <c r="C676" i="85"/>
  <c r="C972" i="85"/>
  <c r="C356" i="85"/>
  <c r="C1946" i="85"/>
  <c r="C334" i="85"/>
  <c r="C750" i="85"/>
  <c r="C1017" i="85"/>
  <c r="C814" i="85"/>
  <c r="C1161" i="85"/>
  <c r="C1102" i="85"/>
  <c r="C1121" i="85"/>
  <c r="C309" i="85"/>
  <c r="C1749" i="85"/>
  <c r="C477" i="85"/>
  <c r="C1476" i="85"/>
  <c r="C282" i="85"/>
  <c r="C1891" i="85"/>
  <c r="C1936" i="85"/>
  <c r="C734" i="85"/>
  <c r="C1598" i="85"/>
  <c r="C690" i="85"/>
  <c r="C1718" i="85"/>
  <c r="C1792" i="85"/>
  <c r="C1172" i="85"/>
  <c r="C572" i="85"/>
  <c r="C985" i="85"/>
  <c r="C249" i="85"/>
  <c r="C608" i="85"/>
  <c r="C599" i="85"/>
  <c r="C1898" i="85"/>
  <c r="C489" i="85"/>
  <c r="C711" i="85"/>
  <c r="C648" i="85"/>
  <c r="C1028" i="85"/>
  <c r="C1334" i="85"/>
  <c r="C898" i="85"/>
  <c r="C868" i="85"/>
  <c r="C1311" i="85"/>
  <c r="C1212" i="85"/>
  <c r="C393" i="85"/>
  <c r="C596" i="85"/>
  <c r="C1806" i="85"/>
  <c r="C1727" i="85"/>
  <c r="C1675" i="85"/>
  <c r="C566" i="85"/>
  <c r="C1495" i="85"/>
  <c r="C1280" i="85"/>
  <c r="C1320" i="85"/>
  <c r="C885" i="85"/>
  <c r="C1456" i="85"/>
  <c r="C1235" i="85"/>
  <c r="C288" i="85"/>
  <c r="C1626" i="85"/>
  <c r="C816" i="85"/>
  <c r="C1549" i="85"/>
  <c r="C285" i="85"/>
  <c r="C1462" i="85"/>
  <c r="C54" i="85"/>
  <c r="C924" i="85"/>
  <c r="C69" i="85"/>
  <c r="C959" i="85"/>
  <c r="C1818" i="85"/>
  <c r="C1646" i="85"/>
  <c r="C1485" i="85"/>
  <c r="C910" i="85"/>
  <c r="C1948" i="85"/>
  <c r="C779" i="85"/>
  <c r="C1423" i="85"/>
  <c r="C1182" i="85"/>
  <c r="C1939" i="85"/>
  <c r="C998" i="85"/>
  <c r="C1140" i="85"/>
  <c r="C569" i="85"/>
  <c r="C966" i="85"/>
  <c r="C1385" i="85"/>
  <c r="C1459" i="85"/>
  <c r="C1616" i="85"/>
  <c r="C822" i="85"/>
  <c r="C1636" i="85"/>
  <c r="C269" i="85"/>
  <c r="C1075" i="85"/>
  <c r="C1734" i="85"/>
  <c r="C1186" i="85"/>
  <c r="C798" i="85"/>
  <c r="C1649" i="85"/>
  <c r="C904" i="85"/>
  <c r="C294" i="85"/>
  <c r="C286" i="85"/>
  <c r="C1247" i="85"/>
  <c r="C578" i="85"/>
  <c r="C960" i="85"/>
  <c r="C1905" i="85"/>
  <c r="C662" i="85"/>
  <c r="C1131" i="85"/>
  <c r="C1899" i="85"/>
  <c r="C683" i="85"/>
  <c r="C1398" i="85"/>
  <c r="C1615" i="85"/>
  <c r="C473" i="85"/>
  <c r="C1670" i="85"/>
  <c r="C1032" i="85"/>
  <c r="C1729" i="85"/>
  <c r="C1016" i="85"/>
  <c r="C1146" i="85"/>
  <c r="C1912" i="85"/>
  <c r="C1466" i="85"/>
  <c r="C1410" i="85"/>
  <c r="C679" i="85"/>
  <c r="C1231" i="85"/>
  <c r="C664" i="85"/>
  <c r="C1788" i="85"/>
  <c r="C1284" i="85"/>
  <c r="C1168" i="85"/>
  <c r="C1977" i="85"/>
  <c r="C1150" i="85"/>
  <c r="C206" i="85"/>
  <c r="C402" i="85"/>
  <c r="C1439" i="85"/>
  <c r="C1440" i="85"/>
  <c r="C1674" i="85"/>
  <c r="C33" i="85"/>
  <c r="C1386" i="85"/>
  <c r="C853" i="85"/>
  <c r="C922" i="85"/>
  <c r="C1401" i="85"/>
  <c r="C1699" i="85"/>
  <c r="C722" i="85"/>
  <c r="C620" i="85"/>
  <c r="C126" i="85"/>
  <c r="C226" i="85"/>
  <c r="C376" i="85"/>
  <c r="C1255" i="85"/>
  <c r="C1852" i="85"/>
  <c r="C175" i="85"/>
  <c r="C1565" i="85"/>
  <c r="C1595" i="85"/>
  <c r="C831" i="85"/>
  <c r="C954" i="85"/>
  <c r="C970" i="85"/>
  <c r="C979" i="85"/>
  <c r="C381" i="85"/>
  <c r="C1512" i="85"/>
  <c r="C1732" i="85"/>
  <c r="C1994" i="85"/>
  <c r="C1238" i="85"/>
  <c r="C1119" i="85"/>
  <c r="C1930" i="85"/>
  <c r="C1689" i="85"/>
  <c r="C1657" i="85"/>
  <c r="C1147" i="85"/>
  <c r="C1452" i="85"/>
  <c r="C1705" i="85"/>
  <c r="C1341" i="85"/>
  <c r="C685" i="85"/>
  <c r="C1306" i="85"/>
  <c r="C849" i="85"/>
  <c r="C1007" i="85"/>
  <c r="C945" i="85"/>
  <c r="C1853" i="85"/>
  <c r="C485" i="85"/>
  <c r="C1158" i="85"/>
  <c r="C447" i="85"/>
  <c r="C824" i="85"/>
  <c r="C1696" i="85"/>
  <c r="C1109" i="85"/>
  <c r="C1370" i="85"/>
  <c r="C852" i="85"/>
  <c r="C1558" i="85"/>
  <c r="C1594" i="85"/>
  <c r="C948" i="85"/>
  <c r="C1193" i="85"/>
  <c r="C1679" i="85"/>
  <c r="C521" i="85"/>
  <c r="C1990" i="85"/>
  <c r="C317" i="85"/>
  <c r="C1040" i="85"/>
  <c r="C533" i="85"/>
  <c r="C1509" i="85"/>
  <c r="C1350" i="85"/>
  <c r="C745" i="85"/>
  <c r="C543" i="85"/>
  <c r="C66" i="85"/>
  <c r="C728" i="85"/>
  <c r="C560" i="85"/>
  <c r="C431" i="85"/>
  <c r="C1617" i="85"/>
  <c r="C860" i="85"/>
  <c r="C1033" i="85"/>
  <c r="C1127" i="85"/>
  <c r="C203" i="85"/>
  <c r="C1171" i="85"/>
  <c r="C701" i="85"/>
  <c r="C641" i="85"/>
  <c r="C1433" i="85"/>
  <c r="C719" i="85"/>
  <c r="C804" i="85"/>
  <c r="C598" i="85"/>
  <c r="C1966" i="85"/>
  <c r="C246" i="85"/>
  <c r="C628" i="85"/>
  <c r="C1353" i="85"/>
  <c r="C823" i="85"/>
  <c r="C1838" i="85"/>
  <c r="C1970" i="85"/>
  <c r="C1151" i="85"/>
  <c r="C549" i="85"/>
  <c r="C35" i="85"/>
  <c r="C1793" i="85"/>
  <c r="C1244" i="85"/>
  <c r="C1942" i="85"/>
  <c r="C989" i="85"/>
  <c r="C1392" i="85"/>
  <c r="C1866" i="85"/>
  <c r="C812" i="85"/>
  <c r="C1878" i="85"/>
  <c r="C991" i="85"/>
  <c r="C559" i="85"/>
  <c r="C1313" i="85"/>
  <c r="C1724" i="85"/>
  <c r="C1559" i="85"/>
  <c r="C1544" i="85"/>
  <c r="C412" i="85"/>
  <c r="C815" i="85"/>
  <c r="C624" i="85"/>
  <c r="C1560" i="85"/>
  <c r="C1653" i="85"/>
  <c r="C169" i="85"/>
  <c r="C209" i="85"/>
  <c r="C469" i="85"/>
  <c r="C252" i="85"/>
  <c r="C325" i="85"/>
  <c r="C1861" i="85"/>
  <c r="C475" i="85"/>
  <c r="C561" i="85"/>
  <c r="C1047" i="85"/>
  <c r="C1389" i="85"/>
  <c r="C1984" i="85"/>
  <c r="C603" i="85"/>
  <c r="C1731" i="85"/>
  <c r="C1917" i="85"/>
  <c r="C1865" i="85"/>
  <c r="C602" i="85"/>
  <c r="C984" i="85"/>
  <c r="C187" i="85"/>
  <c r="C1179" i="85"/>
  <c r="C498" i="85"/>
  <c r="C1907" i="85"/>
  <c r="C1307" i="85"/>
  <c r="C1346" i="85"/>
  <c r="C614" i="85"/>
  <c r="C1128" i="85"/>
  <c r="C622" i="85"/>
  <c r="C1312" i="85"/>
  <c r="C350" i="85"/>
  <c r="C1203" i="85"/>
  <c r="C806" i="85"/>
  <c r="C742" i="85"/>
  <c r="C1988" i="85"/>
  <c r="C845" i="85"/>
  <c r="C1723" i="85"/>
  <c r="C1408" i="85"/>
  <c r="C952" i="85"/>
  <c r="C1864" i="85"/>
  <c r="C1761" i="85"/>
  <c r="C1929" i="85"/>
  <c r="C919" i="85"/>
  <c r="C120" i="85"/>
  <c r="C1745" i="85"/>
  <c r="C210" i="85"/>
  <c r="C1048" i="85"/>
  <c r="C802" i="85"/>
  <c r="C1702" i="85"/>
  <c r="C1579" i="85"/>
  <c r="C1100" i="85"/>
  <c r="C936" i="85"/>
  <c r="C1062" i="85"/>
  <c r="C429" i="85"/>
  <c r="C883" i="85"/>
  <c r="C1327" i="85"/>
  <c r="C585" i="85"/>
  <c r="C384" i="85"/>
  <c r="C971" i="85"/>
  <c r="C672" i="85"/>
  <c r="C626" i="85"/>
  <c r="C1539" i="85"/>
  <c r="C289" i="85"/>
  <c r="C183" i="85"/>
  <c r="C270" i="85"/>
  <c r="C415" i="85"/>
  <c r="C1974" i="85"/>
  <c r="C902" i="85"/>
  <c r="C714" i="85"/>
  <c r="C450" i="85"/>
  <c r="C1555" i="85"/>
  <c r="C1557" i="85"/>
  <c r="C581" i="85"/>
  <c r="C490" i="85"/>
  <c r="C1924" i="85"/>
  <c r="C1844" i="85"/>
  <c r="C547" i="85"/>
  <c r="C395" i="85"/>
  <c r="C1149" i="85"/>
  <c r="C1908" i="85"/>
  <c r="C1982" i="85"/>
  <c r="C1157" i="85"/>
  <c r="C881" i="85"/>
  <c r="C1886" i="85"/>
  <c r="C1934" i="85"/>
  <c r="C484" i="85"/>
  <c r="C1694" i="85"/>
  <c r="C1141" i="85"/>
  <c r="C1503" i="85"/>
  <c r="C401" i="85"/>
  <c r="C526" i="85"/>
  <c r="C818" i="85"/>
  <c r="C1985" i="85"/>
  <c r="C233" i="85"/>
  <c r="C1079" i="85"/>
  <c r="C583" i="85"/>
  <c r="C1045" i="85"/>
  <c r="C1795" i="85"/>
  <c r="C222" i="85"/>
  <c r="C1604" i="85"/>
  <c r="C773" i="85"/>
  <c r="C344" i="85"/>
  <c r="C1536" i="85"/>
  <c r="C500" i="85"/>
  <c r="C1412" i="85"/>
  <c r="C780" i="85"/>
  <c r="C783" i="85"/>
  <c r="C1367" i="85"/>
  <c r="C928" i="85"/>
  <c r="C59" i="85"/>
  <c r="C1020" i="85"/>
  <c r="C724" i="85"/>
  <c r="C456" i="85"/>
  <c r="C553" i="85"/>
  <c r="C371" i="85"/>
  <c r="C1072" i="85"/>
  <c r="C1892" i="85"/>
  <c r="C1065" i="85"/>
  <c r="C563" i="85"/>
  <c r="C1739" i="85"/>
  <c r="C1074" i="85"/>
  <c r="C397" i="85"/>
  <c r="C1520" i="85"/>
  <c r="C647" i="85"/>
  <c r="C369" i="85"/>
  <c r="C1181" i="85"/>
  <c r="C42" i="85"/>
  <c r="C1688" i="85"/>
  <c r="C525" i="85"/>
  <c r="C470" i="85"/>
  <c r="C1551" i="85"/>
  <c r="C1677" i="85"/>
  <c r="C935" i="85"/>
  <c r="C408" i="85"/>
  <c r="C1237" i="85"/>
  <c r="C1046" i="85"/>
  <c r="C1640" i="85"/>
  <c r="C1836" i="85"/>
  <c r="C594" i="85"/>
  <c r="C772" i="85"/>
  <c r="C1132" i="85"/>
  <c r="C1049" i="85"/>
  <c r="C1207" i="85"/>
  <c r="C272" i="85"/>
  <c r="C1329" i="85"/>
  <c r="C1153" i="85"/>
  <c r="C619" i="85"/>
  <c r="C538" i="85"/>
  <c r="C1525" i="85"/>
  <c r="C1354" i="85"/>
  <c r="C782" i="85"/>
  <c r="C746" i="85"/>
  <c r="C1388" i="85"/>
  <c r="C1441" i="85"/>
  <c r="C217" i="85"/>
  <c r="C1260" i="85"/>
  <c r="C1527" i="85"/>
  <c r="C963" i="85"/>
  <c r="C1813" i="85"/>
  <c r="C836" i="85"/>
  <c r="C534" i="85"/>
  <c r="C838" i="85"/>
  <c r="C1556" i="85"/>
  <c r="C788" i="85"/>
  <c r="C1338" i="85"/>
  <c r="C406" i="85"/>
  <c r="C792" i="85"/>
  <c r="C1035" i="85"/>
  <c r="C736" i="85"/>
  <c r="C1160" i="85"/>
  <c r="C174" i="85"/>
  <c r="C709" i="85"/>
  <c r="C978" i="85"/>
  <c r="C1322" i="85"/>
  <c r="C727" i="85"/>
  <c r="C1603" i="85"/>
  <c r="C909" i="85"/>
  <c r="C1959" i="85"/>
  <c r="C987" i="85"/>
  <c r="C47" i="85"/>
  <c r="C638" i="85"/>
  <c r="C1262" i="85"/>
  <c r="C1442" i="85"/>
  <c r="C1528" i="85"/>
  <c r="C1648" i="85"/>
  <c r="C1840" i="85"/>
  <c r="C1736" i="85"/>
  <c r="C319" i="85"/>
  <c r="C768" i="85"/>
  <c r="C1916" i="85"/>
  <c r="C1371" i="85"/>
  <c r="C298" i="85"/>
  <c r="C1517" i="85"/>
  <c r="C51" i="85"/>
  <c r="C931" i="85"/>
  <c r="C428" i="85"/>
  <c r="C250" i="85"/>
  <c r="C980" i="85"/>
  <c r="C1222" i="85"/>
  <c r="C314" i="85"/>
  <c r="C1355" i="85"/>
  <c r="C1429" i="85"/>
  <c r="C1827" i="85"/>
  <c r="C1851" i="85"/>
  <c r="C1848" i="85"/>
  <c r="C1572" i="85"/>
  <c r="C499" i="85"/>
  <c r="C725" i="85"/>
  <c r="C1665" i="85"/>
  <c r="C740" i="85"/>
  <c r="C600" i="85"/>
  <c r="C847" i="85"/>
  <c r="C1326" i="85"/>
  <c r="C1601" i="85"/>
  <c r="C1303" i="85"/>
  <c r="C1575" i="85"/>
  <c r="C275" i="85"/>
  <c r="C564" i="85"/>
  <c r="C455" i="85"/>
  <c r="C300" i="85"/>
  <c r="C1405" i="85"/>
  <c r="C216" i="85"/>
  <c r="C1308" i="85"/>
  <c r="C507" i="85"/>
  <c r="C1639" i="85"/>
  <c r="C1880" i="85"/>
  <c r="C264" i="85"/>
  <c r="C1409" i="85"/>
  <c r="C449" i="85"/>
  <c r="C211" i="85"/>
  <c r="C385" i="85"/>
  <c r="C179" i="85"/>
  <c r="C551" i="85"/>
  <c r="C665" i="85"/>
  <c r="C621" i="85"/>
  <c r="C1542" i="85"/>
  <c r="C1590" i="85"/>
  <c r="C1117" i="85"/>
  <c r="C896" i="85"/>
  <c r="C1546" i="85"/>
  <c r="C1099" i="85"/>
  <c r="C1499" i="85"/>
  <c r="C1593" i="85"/>
  <c r="C869" i="85"/>
  <c r="C907" i="85"/>
  <c r="C517" i="85"/>
  <c r="C332" i="85"/>
  <c r="C592" i="85"/>
  <c r="C787" i="85"/>
  <c r="C1122" i="85"/>
  <c r="C840" i="85"/>
  <c r="C1360" i="85"/>
  <c r="C1589" i="85"/>
  <c r="C875" i="85"/>
  <c r="C1592" i="85"/>
  <c r="C999" i="85"/>
  <c r="C453" i="85"/>
  <c r="C438" i="85"/>
  <c r="C1041" i="85"/>
  <c r="C1686" i="85"/>
  <c r="C973" i="85"/>
  <c r="C1024" i="85"/>
  <c r="C1209" i="85"/>
  <c r="C1708" i="85"/>
  <c r="C411" i="85"/>
  <c r="C1448" i="85"/>
  <c r="C797" i="85"/>
  <c r="C423" i="85"/>
  <c r="C789" i="85"/>
  <c r="C1740" i="85"/>
  <c r="C56" i="85"/>
  <c r="C1692" i="85"/>
  <c r="C791" i="85"/>
  <c r="C236" i="85"/>
  <c r="C655" i="85"/>
  <c r="C1896" i="85"/>
  <c r="C1687" i="85"/>
  <c r="C807" i="85"/>
  <c r="C1992" i="85"/>
  <c r="C770" i="85"/>
  <c r="C627" i="85"/>
  <c r="C466" i="85"/>
  <c r="C809" i="85"/>
  <c r="C1201" i="85"/>
  <c r="C1487" i="85"/>
  <c r="C1163" i="85"/>
  <c r="C243" i="85"/>
  <c r="C1054" i="85"/>
  <c r="C1849" i="85"/>
  <c r="C1364" i="85"/>
  <c r="C805" i="85"/>
  <c r="C1716" i="85"/>
  <c r="C1758" i="85"/>
  <c r="C464" i="85"/>
  <c r="C1602" i="85"/>
  <c r="C364" i="85"/>
  <c r="C343" i="85"/>
  <c r="C536" i="85"/>
  <c r="C454" i="85"/>
  <c r="C255" i="85"/>
  <c r="C434" i="85"/>
  <c r="C1135" i="85"/>
  <c r="C1126" i="85"/>
  <c r="C1057" i="85"/>
  <c r="C1610" i="85"/>
  <c r="C1443" i="85"/>
  <c r="C965" i="85"/>
  <c r="C492" i="85"/>
  <c r="C432" i="85"/>
  <c r="C698" i="85"/>
  <c r="C1915" i="85"/>
  <c r="C1458" i="85"/>
  <c r="C1134" i="85"/>
  <c r="C1351" i="85"/>
  <c r="C1300" i="85"/>
  <c r="C1776" i="85"/>
  <c r="C1691" i="85"/>
  <c r="C1660" i="85"/>
  <c r="C531" i="85"/>
  <c r="C1995" i="85"/>
  <c r="C826" i="85"/>
  <c r="C1400" i="85"/>
  <c r="C842" i="85"/>
  <c r="C53" i="85"/>
  <c r="C749" i="85"/>
  <c r="C759" i="85"/>
  <c r="C870" i="85"/>
  <c r="C323" i="85"/>
  <c r="C1302" i="85"/>
  <c r="C956" i="85"/>
  <c r="C813" i="85"/>
  <c r="C545" i="85"/>
  <c r="C643" i="85"/>
  <c r="C1822" i="85"/>
  <c r="C1508" i="85"/>
  <c r="C1620" i="85"/>
  <c r="C565" i="85"/>
  <c r="C825" i="85"/>
  <c r="C540" i="85"/>
  <c r="C1195" i="85"/>
  <c r="C609" i="85"/>
  <c r="C811" i="85"/>
  <c r="C1530" i="85"/>
  <c r="C1540" i="85"/>
  <c r="C899" i="85"/>
  <c r="C1999" i="85"/>
  <c r="C784" i="85"/>
  <c r="C1170" i="85"/>
  <c r="C1809" i="85"/>
  <c r="C1198" i="85"/>
  <c r="C1641" i="85"/>
  <c r="C328" i="85"/>
  <c r="C1071" i="85"/>
  <c r="C1180" i="85"/>
  <c r="C122" i="85"/>
  <c r="C1746" i="85"/>
  <c r="C258" i="85"/>
  <c r="C586" i="85"/>
  <c r="C1278" i="85"/>
  <c r="C1812" i="85"/>
  <c r="C1667" i="85"/>
  <c r="C1931" i="85"/>
  <c r="C1879" i="85"/>
  <c r="C990" i="85"/>
  <c r="C1654" i="85"/>
  <c r="C554" i="85"/>
  <c r="C1152" i="85"/>
  <c r="C83" i="85"/>
  <c r="C389" i="85"/>
  <c r="C1777" i="85"/>
  <c r="C1076" i="85"/>
  <c r="C437" i="85"/>
  <c r="C1676" i="85"/>
  <c r="C673" i="85"/>
  <c r="C1391" i="85"/>
  <c r="C1331" i="85"/>
  <c r="C202" i="85"/>
  <c r="C1064" i="85"/>
  <c r="C1138" i="85"/>
  <c r="C730" i="85"/>
  <c r="C1266" i="85"/>
  <c r="C1754" i="85"/>
  <c r="C1911" i="85"/>
  <c r="C1446" i="85"/>
  <c r="C509" i="85"/>
  <c r="C968" i="85"/>
  <c r="C1658" i="85"/>
  <c r="C128" i="85"/>
  <c r="C1819" i="85"/>
  <c r="C1748" i="85"/>
  <c r="C834" i="85"/>
  <c r="C1457" i="85"/>
  <c r="C1855" i="85"/>
  <c r="C1348" i="85"/>
  <c r="C1496" i="85"/>
  <c r="C653" i="85"/>
  <c r="C1720" i="85"/>
  <c r="C733" i="85"/>
  <c r="C1794" i="85"/>
  <c r="C1741" i="85"/>
  <c r="C1998" i="85"/>
  <c r="C2000" i="85"/>
  <c r="C379" i="85"/>
  <c r="C1625" i="85"/>
  <c r="C671" i="85"/>
  <c r="C1725" i="85"/>
  <c r="C398" i="85"/>
  <c r="C695" i="85"/>
  <c r="C1159" i="85"/>
  <c r="C623" i="85"/>
  <c r="C1133" i="85"/>
  <c r="C241" i="85"/>
  <c r="C677" i="85"/>
  <c r="C976" i="85"/>
  <c r="C1753" i="85"/>
  <c r="C1379" i="85"/>
  <c r="C225" i="85"/>
  <c r="C1876" i="85"/>
  <c r="C1862" i="85"/>
  <c r="C1169" i="85"/>
  <c r="C775" i="85"/>
  <c r="C601" i="85"/>
  <c r="C1465" i="85"/>
  <c r="C544" i="85"/>
  <c r="C744" i="85"/>
  <c r="C947" i="85"/>
  <c r="C656" i="85"/>
  <c r="C1562" i="85"/>
  <c r="C944" i="85"/>
  <c r="C1155" i="85"/>
  <c r="C330" i="85"/>
  <c r="C1248" i="85"/>
  <c r="C737" i="85"/>
  <c r="C274" i="85"/>
  <c r="C1450" i="85"/>
  <c r="C58" i="85"/>
  <c r="C689" i="85"/>
  <c r="C40" i="85"/>
  <c r="C1481" i="85"/>
  <c r="C843" i="85"/>
  <c r="C1067" i="85"/>
  <c r="C346" i="85"/>
  <c r="C1008" i="85"/>
  <c r="C1043" i="85"/>
  <c r="C707" i="85"/>
  <c r="C934" i="85"/>
  <c r="C198" i="85"/>
  <c r="C1867" i="85"/>
  <c r="C1534" i="85"/>
  <c r="C1997" i="85"/>
  <c r="C310" i="85"/>
  <c r="C1245" i="85"/>
  <c r="C1310" i="85"/>
  <c r="C1759" i="85"/>
  <c r="C1681" i="85"/>
  <c r="C866" i="85"/>
  <c r="C1204" i="85"/>
  <c r="C1156" i="85"/>
  <c r="C1468" i="85"/>
  <c r="C189" i="85"/>
  <c r="C523" i="85"/>
  <c r="C1571" i="85"/>
  <c r="C1828" i="85"/>
  <c r="C766" i="85"/>
  <c r="C716" i="85"/>
  <c r="C352" i="85"/>
  <c r="C1826" i="85"/>
  <c r="C1519" i="85"/>
  <c r="C1767" i="85"/>
  <c r="C1063" i="85"/>
  <c r="C786" i="85"/>
  <c r="C546" i="85"/>
  <c r="C1090" i="85"/>
  <c r="C1815" i="85"/>
  <c r="C886" i="85"/>
  <c r="C817" i="85"/>
  <c r="C191" i="85"/>
  <c r="C278" i="85"/>
  <c r="C242" i="85"/>
  <c r="C1623" i="85"/>
  <c r="C997" i="85"/>
  <c r="C1125" i="85"/>
  <c r="C958" i="85"/>
  <c r="C1980" i="85"/>
  <c r="C420" i="85"/>
  <c r="C841" i="85"/>
  <c r="C347" i="85"/>
  <c r="C1613" i="85"/>
  <c r="C1543" i="85"/>
  <c r="C1628" i="85"/>
  <c r="C1191" i="85"/>
  <c r="C333" i="85"/>
  <c r="C1877" i="85"/>
  <c r="C1174" i="85"/>
  <c r="C837" i="85"/>
  <c r="C721" i="85"/>
  <c r="C1492" i="85"/>
  <c r="C1605" i="85"/>
  <c r="C1082" i="85"/>
  <c r="C1438" i="85"/>
  <c r="C436" i="85"/>
  <c r="C1945" i="85"/>
  <c r="C1114" i="85"/>
  <c r="C1612" i="85"/>
  <c r="C1932" i="85"/>
  <c r="C1698" i="85"/>
  <c r="C1882" i="85"/>
  <c r="C63" i="85"/>
  <c r="C1154" i="85"/>
  <c r="C336" i="85"/>
  <c r="C752" i="85"/>
  <c r="C1078" i="85"/>
  <c r="C527" i="85"/>
  <c r="C821" i="85"/>
  <c r="C231" i="85"/>
  <c r="C1349" i="85"/>
  <c r="C1722" i="85"/>
  <c r="C1869" i="85"/>
  <c r="C1211" i="85"/>
  <c r="C1143" i="85"/>
  <c r="C387" i="85"/>
  <c r="C1585" i="85"/>
  <c r="C67" i="85"/>
  <c r="C1323" i="85"/>
  <c r="C1894" i="85"/>
  <c r="C363" i="85"/>
  <c r="C1297" i="85"/>
  <c r="C1697" i="85"/>
  <c r="C1991" i="85"/>
  <c r="C472" i="85"/>
  <c r="C1344" i="85"/>
  <c r="C1913" i="85"/>
  <c r="C923" i="85"/>
  <c r="C293" i="85"/>
  <c r="C793" i="85"/>
  <c r="C1570" i="85"/>
  <c r="C1037" i="85"/>
  <c r="C366" i="85"/>
  <c r="C1507" i="85"/>
  <c r="C584" i="85"/>
  <c r="C1377" i="85"/>
  <c r="C1286" i="85"/>
  <c r="C208" i="85"/>
  <c r="C938" i="85"/>
  <c r="C1023" i="85"/>
  <c r="C1234" i="85"/>
  <c r="C1669" i="85"/>
  <c r="C1538" i="85"/>
  <c r="C1548" i="85"/>
  <c r="C857" i="85"/>
  <c r="C1475" i="85"/>
  <c r="C1586" i="85"/>
  <c r="C969" i="85"/>
  <c r="C632" i="85"/>
  <c r="C595" i="85"/>
  <c r="C1823" i="85"/>
  <c r="C776" i="85"/>
  <c r="C1961" i="85"/>
  <c r="C874" i="85"/>
  <c r="C502" i="85"/>
  <c r="C430" i="85"/>
  <c r="C124" i="85"/>
  <c r="C605" i="85"/>
  <c r="C1839" i="85"/>
  <c r="C1554" i="85"/>
  <c r="C1884" i="85"/>
  <c r="C308" i="85"/>
  <c r="C342" i="85"/>
  <c r="C1095" i="85"/>
  <c r="C1857" i="85"/>
  <c r="C925" i="85"/>
  <c r="C949" i="85"/>
  <c r="C1624" i="85"/>
  <c r="C1832" i="85"/>
  <c r="C1630" i="85"/>
  <c r="C1574" i="85"/>
  <c r="C713" i="85"/>
  <c r="C1710" i="85"/>
  <c r="C977" i="85"/>
  <c r="C917" i="85"/>
  <c r="C833" i="85"/>
  <c r="C1847" i="85"/>
  <c r="C1249" i="85"/>
  <c r="C172" i="85"/>
  <c r="C1325" i="85"/>
  <c r="C1552" i="85"/>
  <c r="C1352" i="85"/>
  <c r="C462" i="85"/>
  <c r="C1175" i="85"/>
  <c r="C932" i="85"/>
  <c r="C1514" i="85"/>
  <c r="C1962" i="85"/>
  <c r="C1269" i="85"/>
  <c r="C1053" i="85"/>
  <c r="C1682" i="85"/>
  <c r="C657" i="85"/>
  <c r="C850" i="85"/>
  <c r="C279" i="85"/>
  <c r="C830" i="85"/>
  <c r="C1928" i="85"/>
  <c r="C993" i="85"/>
  <c r="C1416" i="85"/>
  <c r="C1358" i="85"/>
  <c r="C207" i="85"/>
  <c r="C933" i="85"/>
  <c r="C1971" i="85"/>
  <c r="C1975" i="85"/>
  <c r="C1956" i="85"/>
  <c r="C43" i="85"/>
  <c r="C1541" i="85"/>
  <c r="C504" i="85"/>
  <c r="C1339" i="85"/>
  <c r="C1167" i="85"/>
  <c r="C1811" i="85"/>
  <c r="C903" i="85"/>
  <c r="C1511" i="85"/>
  <c r="C1014" i="85"/>
  <c r="C1039" i="85"/>
  <c r="C717" i="85"/>
  <c r="C1769" i="85"/>
  <c r="C854" i="85"/>
  <c r="C593" i="85"/>
  <c r="C1693" i="85"/>
  <c r="C1633" i="85"/>
  <c r="C443" i="85"/>
  <c r="C1799" i="85"/>
  <c r="C680" i="85"/>
  <c r="C1597" i="85"/>
  <c r="C361" i="85"/>
  <c r="C322" i="85"/>
  <c r="C1784" i="85"/>
  <c r="C362" i="85"/>
  <c r="C1110" i="85"/>
  <c r="C1972" i="85"/>
  <c r="C795" i="85"/>
  <c r="C1324" i="85"/>
  <c r="C315" i="85"/>
  <c r="C1252" i="85"/>
  <c r="C1164" i="85"/>
  <c r="C760" i="85"/>
  <c r="C996" i="85"/>
  <c r="C1285" i="85"/>
  <c r="C190" i="85"/>
  <c r="C1903" i="85"/>
  <c r="C1184" i="85"/>
  <c r="C1965" i="85"/>
  <c r="C937" i="85"/>
  <c r="C755" i="85"/>
  <c r="C197" i="85"/>
  <c r="C27" i="85"/>
  <c r="C1217" i="85"/>
  <c r="C228" i="85"/>
  <c r="C196" i="85"/>
  <c r="C1144" i="85"/>
  <c r="C1778" i="85"/>
  <c r="C858" i="85"/>
  <c r="C1096" i="85"/>
  <c r="C940" i="85"/>
  <c r="C588" i="85"/>
  <c r="C1292" i="85"/>
  <c r="C409" i="85"/>
  <c r="C1301" i="85"/>
  <c r="C1711" i="85"/>
  <c r="C633" i="85"/>
  <c r="C81" i="85"/>
  <c r="C468" i="85"/>
  <c r="C68" i="85"/>
  <c r="C251" i="85"/>
  <c r="C1434" i="85"/>
  <c r="C1506" i="85"/>
  <c r="C1330" i="85"/>
  <c r="C1236" i="85"/>
  <c r="C1621" i="85"/>
  <c r="C988" i="85"/>
  <c r="C399" i="85"/>
  <c r="C794" i="85"/>
  <c r="C1647" i="85"/>
  <c r="C1953" i="85"/>
  <c r="C1460" i="85"/>
  <c r="C1796" i="85"/>
  <c r="C1444" i="85"/>
  <c r="C1276" i="85"/>
  <c r="C1027" i="85"/>
  <c r="C906" i="85"/>
  <c r="C751" i="85"/>
  <c r="C1479" i="85"/>
  <c r="C1775" i="85"/>
  <c r="C668" i="85"/>
  <c r="C747" i="85"/>
  <c r="C1672" i="85"/>
  <c r="C1328" i="85"/>
  <c r="C1909" i="85"/>
  <c r="C1919" i="85"/>
  <c r="C1645" i="85"/>
  <c r="C1472" i="85"/>
  <c r="C1921" i="85"/>
  <c r="C846" i="85"/>
  <c r="C1194" i="85"/>
  <c r="C410" i="85"/>
  <c r="C844" i="85"/>
  <c r="C1068" i="85"/>
  <c r="C1373" i="85"/>
  <c r="C1805" i="85"/>
  <c r="C1680" i="85"/>
  <c r="C1841" i="85"/>
  <c r="C303" i="85"/>
  <c r="C699" i="85"/>
  <c r="C790" i="85"/>
  <c r="C828" i="85"/>
  <c r="C678" i="85"/>
  <c r="C514" i="85"/>
  <c r="C348" i="85"/>
  <c r="C1428" i="85"/>
  <c r="C1553" i="85"/>
  <c r="C1751" i="85"/>
  <c r="C1139" i="85"/>
  <c r="C1747" i="85"/>
  <c r="C214" i="85"/>
  <c r="C265" i="85"/>
  <c r="C488" i="85"/>
  <c r="C785" i="85"/>
  <c r="C1802" i="85"/>
  <c r="C213" i="85"/>
  <c r="C424" i="85"/>
  <c r="C337" i="85"/>
  <c r="C467" i="85"/>
  <c r="C591" i="85"/>
  <c r="C1031" i="85"/>
  <c r="C260" i="85"/>
  <c r="C650" i="85"/>
  <c r="C1950" i="85"/>
  <c r="C510" i="85"/>
  <c r="C1606" i="85"/>
  <c r="C1820" i="85"/>
  <c r="C856" i="85"/>
  <c r="C1537" i="85"/>
  <c r="C1253" i="85"/>
  <c r="C1763" i="85"/>
  <c r="C654" i="85"/>
  <c r="C262" i="85"/>
  <c r="C1484" i="85"/>
  <c r="C1482" i="85"/>
  <c r="C474" i="85"/>
  <c r="C1900" i="85"/>
  <c r="C524" i="85"/>
  <c r="C1357" i="85"/>
  <c r="C418" i="85"/>
  <c r="C929" i="85"/>
  <c r="C590" i="85"/>
  <c r="C1378" i="85"/>
  <c r="C986" i="85"/>
  <c r="C1569" i="85"/>
  <c r="C338" i="85"/>
  <c r="C302" i="85"/>
  <c r="C1510" i="85"/>
  <c r="C1872" i="85"/>
  <c r="C1246" i="85"/>
  <c r="C1637" i="85"/>
  <c r="C1600" i="85"/>
  <c r="C1958" i="85"/>
  <c r="C1205" i="85"/>
  <c r="C1801" i="85"/>
  <c r="C1299" i="85"/>
  <c r="C1368" i="85"/>
  <c r="C1937" i="85"/>
  <c r="C1925" i="85"/>
  <c r="C1843" i="85"/>
  <c r="C1055" i="85"/>
  <c r="C1214" i="85"/>
  <c r="C1808" i="85"/>
  <c r="C292" i="85"/>
  <c r="C1889" i="85"/>
  <c r="C1771" i="85"/>
  <c r="C458" i="85"/>
  <c r="C1223" i="85"/>
  <c r="C1488" i="85"/>
  <c r="C1888" i="85"/>
  <c r="C1274" i="85"/>
  <c r="C1868" i="85"/>
  <c r="C1890" i="85"/>
  <c r="C957" i="85"/>
  <c r="C1451" i="85"/>
  <c r="C1807" i="85"/>
  <c r="C556" i="85"/>
  <c r="C1103" i="85"/>
  <c r="C61" i="85"/>
  <c r="C1760" i="85"/>
  <c r="C1983" i="85"/>
  <c r="C1087" i="85"/>
  <c r="C666" i="85"/>
  <c r="C413" i="85"/>
  <c r="C670" i="85"/>
  <c r="C1733" i="85"/>
  <c r="C1779" i="85"/>
  <c r="C373" i="85"/>
  <c r="C204" i="85"/>
  <c r="C1707" i="85"/>
  <c r="C688" i="85"/>
  <c r="C329" i="85"/>
  <c r="C1497" i="85"/>
  <c r="C1920" i="85"/>
  <c r="C442" i="85"/>
  <c r="C1738" i="85"/>
  <c r="C891" i="85"/>
  <c r="C1289" i="85"/>
  <c r="C617" i="85"/>
  <c r="C741" i="85"/>
  <c r="C1221" i="85"/>
  <c r="C1113" i="85"/>
  <c r="C684" i="85"/>
  <c r="C710" i="85"/>
  <c r="C321" i="85"/>
  <c r="C889" i="85"/>
  <c r="C1757" i="85"/>
  <c r="C1824" i="85"/>
  <c r="C519" i="85"/>
  <c r="C1372" i="85"/>
  <c r="C1317" i="85"/>
  <c r="C1435" i="85"/>
  <c r="C819" i="85"/>
  <c r="C1319" i="85"/>
  <c r="C481" i="85"/>
  <c r="C1256" i="85"/>
  <c r="C1202" i="85"/>
  <c r="C1529" i="85"/>
  <c r="C465" i="85"/>
  <c r="C1447" i="85"/>
  <c r="C1101" i="85"/>
  <c r="C606" i="85"/>
  <c r="C1662" i="85"/>
  <c r="C194" i="85"/>
  <c r="C1622" i="85"/>
  <c r="C1384" i="85"/>
  <c r="C239" i="85"/>
  <c r="C1502" i="85"/>
  <c r="C1267" i="85"/>
  <c r="C1316" i="85"/>
  <c r="C396" i="85"/>
  <c r="C1232" i="85"/>
  <c r="C1721" i="85"/>
  <c r="C1006" i="85"/>
  <c r="C439" i="85"/>
  <c r="C253" i="85"/>
  <c r="C1019" i="85"/>
  <c r="C691" i="85"/>
  <c r="C1404" i="85"/>
  <c r="C1635" i="85"/>
  <c r="C1120" i="85"/>
  <c r="C358" i="85"/>
  <c r="C1342" i="85"/>
  <c r="C1834" i="85"/>
  <c r="C311" i="85"/>
  <c r="C170" i="85"/>
  <c r="C75" i="85"/>
  <c r="C634" i="85"/>
  <c r="C1842" i="85"/>
  <c r="C1196" i="85"/>
  <c r="C1875" i="85"/>
  <c r="C301" i="85"/>
  <c r="C1951" i="85"/>
  <c r="C1498" i="85"/>
  <c r="C1835" i="85"/>
  <c r="C284" i="85"/>
  <c r="C982" i="85"/>
  <c r="C604" i="85"/>
  <c r="C1089" i="85"/>
  <c r="C1901" i="85"/>
  <c r="C84" i="85"/>
  <c r="C1038" i="85"/>
  <c r="C1270" i="85"/>
  <c r="C76" i="85"/>
  <c r="C1467" i="85"/>
  <c r="C702" i="85"/>
  <c r="C1768" i="85"/>
  <c r="C1618" i="85"/>
  <c r="C1411" i="85"/>
  <c r="C404" i="85"/>
  <c r="C1192" i="85"/>
  <c r="C1897" i="85"/>
  <c r="C682" i="85"/>
  <c r="C1752" i="85"/>
  <c r="C951" i="85"/>
  <c r="C800" i="85"/>
  <c r="C259" i="85"/>
  <c r="C188" i="85"/>
  <c r="C878" i="85"/>
  <c r="C476" i="85"/>
  <c r="C1034" i="85"/>
  <c r="C1070" i="85"/>
  <c r="C1712" i="85"/>
  <c r="C616" i="85"/>
  <c r="C181" i="85"/>
  <c r="C1431" i="85"/>
  <c r="C613" i="85"/>
  <c r="C1871" i="85"/>
  <c r="C1685" i="85"/>
  <c r="C758" i="85"/>
  <c r="C630" i="85"/>
  <c r="C1845" i="85"/>
  <c r="C1730" i="85"/>
  <c r="C1726" i="85"/>
  <c r="C394" i="85"/>
  <c r="C1494" i="85"/>
  <c r="C1650" i="85"/>
  <c r="C1938" i="85"/>
  <c r="C1581" i="85"/>
  <c r="C571" i="85"/>
  <c r="C1469" i="85"/>
  <c r="C851" i="85"/>
  <c r="C942" i="85"/>
  <c r="C1361" i="85"/>
  <c r="C1964" i="85"/>
  <c r="C1130" i="85"/>
  <c r="C1830" i="85"/>
  <c r="C528" i="85"/>
  <c r="C351" i="85"/>
  <c r="C720" i="85"/>
  <c r="C1973" i="85"/>
  <c r="C427" i="85"/>
  <c r="C1608" i="85"/>
  <c r="C1345" i="85"/>
  <c r="C520" i="85"/>
  <c r="C704" i="85"/>
  <c r="C1798" i="85"/>
  <c r="C414" i="85"/>
  <c r="C64" i="85"/>
  <c r="C390" i="85"/>
  <c r="C367" i="85"/>
  <c r="C871" i="85"/>
  <c r="C1987" i="85"/>
  <c r="C459" i="85"/>
  <c r="C1770" i="85"/>
  <c r="C867" i="85"/>
  <c r="C28" i="85"/>
  <c r="C827" i="85"/>
  <c r="C732" i="85"/>
  <c r="C230" i="85"/>
  <c r="C1500" i="85"/>
  <c r="C1850" i="85"/>
  <c r="C1015" i="85"/>
  <c r="C876" i="85"/>
  <c r="C1568" i="85"/>
  <c r="C1831" i="85"/>
  <c r="C539" i="85"/>
  <c r="C884" i="85"/>
  <c r="C1012" i="85"/>
  <c r="C1380" i="85"/>
  <c r="C1383" i="85"/>
  <c r="C448" i="85"/>
  <c r="C1218" i="85"/>
  <c r="C1607" i="85"/>
  <c r="C1902" i="85"/>
  <c r="C178" i="85"/>
  <c r="C1663" i="85"/>
  <c r="C1922" i="85"/>
  <c r="C1396" i="85"/>
  <c r="C1599" i="85"/>
  <c r="C915" i="85"/>
  <c r="C879" i="85"/>
  <c r="C461" i="85"/>
  <c r="C370" i="85"/>
  <c r="C637" i="85"/>
  <c r="C1176" i="85"/>
  <c r="C1011" i="85"/>
  <c r="C706" i="85"/>
  <c r="C1986" i="85"/>
  <c r="C1464" i="85"/>
  <c r="C374" i="85"/>
  <c r="C1833" i="85"/>
  <c r="C1629" i="85"/>
  <c r="C1656" i="85"/>
  <c r="C1165" i="85"/>
  <c r="C912" i="85"/>
  <c r="C1816" i="85"/>
  <c r="C354" i="85"/>
  <c r="C118" i="85"/>
  <c r="C640" i="85"/>
  <c r="C618" i="85"/>
  <c r="C611" i="85"/>
  <c r="C570" i="85"/>
  <c r="C1215" i="85"/>
  <c r="C1963" i="85"/>
  <c r="C1619" i="85"/>
  <c r="C1786" i="85"/>
  <c r="C383" i="85"/>
  <c r="C663" i="85"/>
  <c r="C227" i="85"/>
  <c r="C1728" i="85"/>
  <c r="C238" i="85"/>
  <c r="C1268" i="85"/>
  <c r="C296" i="85"/>
  <c r="C921" i="85"/>
  <c r="C1281" i="85"/>
  <c r="C1233" i="85"/>
  <c r="C1197" i="85"/>
  <c r="C313" i="85"/>
  <c r="C1477" i="85"/>
  <c r="C1009" i="85"/>
  <c r="C888" i="85"/>
  <c r="C1474" i="85"/>
  <c r="C41" i="85"/>
  <c r="C1870" i="85"/>
  <c r="C1490" i="85"/>
  <c r="C1291" i="85"/>
  <c r="C537" i="85"/>
  <c r="C1829" i="85"/>
  <c r="C905" i="85"/>
  <c r="C1885" i="85"/>
  <c r="C1187" i="85"/>
  <c r="C1706" i="85"/>
  <c r="C326" i="85"/>
  <c r="C1381" i="85"/>
  <c r="C764" i="85"/>
  <c r="C1188" i="85"/>
  <c r="C1387" i="85"/>
  <c r="C1523" i="85"/>
  <c r="C1010" i="85"/>
  <c r="C1230" i="85"/>
  <c r="C168" i="85"/>
  <c r="C299" i="85"/>
  <c r="C1773" i="85"/>
  <c r="C176" i="85"/>
  <c r="C316" i="85"/>
  <c r="C1189" i="85"/>
  <c r="C1947" i="85"/>
  <c r="C864" i="85"/>
  <c r="C86" i="85"/>
  <c r="C392" i="85"/>
  <c r="C1651" i="85"/>
  <c r="C79" i="85"/>
  <c r="C731" i="85"/>
  <c r="C1051" i="85"/>
  <c r="C639" i="85"/>
  <c r="C669" i="85"/>
  <c r="C320" i="85"/>
  <c r="C1419" i="85"/>
  <c r="C1374" i="85"/>
  <c r="C116" i="85"/>
  <c r="C245" i="85"/>
  <c r="C516" i="85"/>
  <c r="C575" i="85"/>
  <c r="C305" i="85"/>
  <c r="C1293" i="85"/>
  <c r="C981" i="85"/>
  <c r="C254" i="85"/>
  <c r="C1362" i="85"/>
  <c r="C576" i="85"/>
  <c r="C529" i="85"/>
  <c r="C483" i="85"/>
  <c r="C967" i="85"/>
  <c r="C1137" i="85"/>
  <c r="C715" i="85"/>
  <c r="C1627" i="85"/>
  <c r="C1804" i="85"/>
  <c r="C574" i="85"/>
  <c r="C1661" i="85"/>
  <c r="C261" i="85"/>
  <c r="C1634" i="85"/>
  <c r="C1576" i="85"/>
  <c r="C1923" i="85"/>
  <c r="C1086" i="85"/>
  <c r="C820" i="85"/>
  <c r="C1264" i="85"/>
  <c r="C1471" i="85"/>
  <c r="C1073" i="85"/>
  <c r="C497" i="85"/>
  <c r="C1790" i="85"/>
  <c r="C612" i="85"/>
  <c r="C1430" i="85"/>
  <c r="C171" i="85"/>
  <c r="C1136" i="85"/>
  <c r="C757" i="85"/>
  <c r="C1395" i="85"/>
  <c r="C1258" i="85"/>
  <c r="C487" i="85"/>
  <c r="C452" i="85"/>
  <c r="C644" i="85"/>
  <c r="C78" i="85"/>
  <c r="C1021" i="85"/>
  <c r="C532" i="85"/>
  <c r="C738" i="85"/>
  <c r="C542" i="85"/>
  <c r="C1588" i="85"/>
  <c r="C1340" i="85"/>
  <c r="C894" i="85"/>
  <c r="C1275" i="85"/>
  <c r="C1173" i="85"/>
  <c r="C416" i="85"/>
  <c r="C377" i="85"/>
  <c r="C360" i="85"/>
  <c r="C1356" i="85"/>
  <c r="C419" i="85"/>
  <c r="C753" i="85"/>
  <c r="C1573" i="85"/>
  <c r="C861" i="85"/>
  <c r="C339" i="85"/>
  <c r="C735" i="85"/>
  <c r="C403" i="85"/>
  <c r="C1406" i="85"/>
  <c r="C1580" i="85"/>
  <c r="C331" i="85"/>
  <c r="C1513" i="85"/>
  <c r="C1166" i="85"/>
  <c r="C1425" i="85"/>
  <c r="C34" i="85"/>
  <c r="C235" i="85"/>
  <c r="C739" i="85"/>
  <c r="C1491" i="85"/>
  <c r="C1129" i="85"/>
  <c r="C1085" i="85"/>
  <c r="C1742" i="85"/>
  <c r="C1735" i="85"/>
  <c r="C1287" i="85"/>
  <c r="C1336" i="85"/>
  <c r="C1614" i="85"/>
  <c r="C659" i="85"/>
  <c r="C1239" i="85"/>
  <c r="C1567" i="85"/>
  <c r="C1764" i="85"/>
  <c r="C1259" i="85"/>
  <c r="C1337" i="85"/>
  <c r="C1250" i="85"/>
  <c r="C365" i="85"/>
  <c r="C1814" i="85"/>
  <c r="C1666" i="85"/>
  <c r="C508" i="85"/>
  <c r="C1489" i="85"/>
  <c r="C480" i="85"/>
  <c r="C855" i="85"/>
  <c r="C186" i="85"/>
  <c r="C219" i="85"/>
  <c r="C237" i="85"/>
  <c r="C587" i="85"/>
  <c r="C1967" i="85"/>
  <c r="C1659" i="85"/>
  <c r="C240" i="85"/>
  <c r="C382" i="85"/>
  <c r="C1056" i="85"/>
  <c r="C440" i="85"/>
  <c r="C1678" i="85"/>
  <c r="C182" i="85"/>
  <c r="C407" i="85"/>
  <c r="C1314" i="85"/>
  <c r="C1563" i="85"/>
  <c r="C1206" i="85"/>
  <c r="C1449" i="85"/>
  <c r="C1766" i="85"/>
  <c r="C93" i="85"/>
  <c r="C1486" i="85"/>
  <c r="C1254" i="85"/>
  <c r="C1532" i="85"/>
  <c r="C1952" i="85"/>
  <c r="C1026" i="85"/>
  <c r="C486" i="85"/>
  <c r="C1263" i="85"/>
  <c r="C877" i="85"/>
  <c r="C1265" i="85"/>
  <c r="C359" i="85"/>
  <c r="C327" i="85"/>
  <c r="C1044" i="85"/>
  <c r="C1216" i="85"/>
  <c r="C518" i="85"/>
  <c r="C1369" i="85"/>
  <c r="C1004" i="85"/>
  <c r="C1394" i="85"/>
  <c r="C1643" i="85"/>
  <c r="C610" i="85"/>
  <c r="C762" i="85"/>
  <c r="C930" i="85"/>
  <c r="C1545" i="85"/>
  <c r="C1881" i="85"/>
  <c r="C380" i="85"/>
  <c r="C1058" i="85"/>
  <c r="C694" i="85"/>
  <c r="C1001" i="85"/>
  <c r="C1335" i="85"/>
  <c r="C1162" i="85"/>
  <c r="C1981" i="85"/>
  <c r="C1208" i="85"/>
  <c r="C1700" i="85"/>
  <c r="C771" i="85"/>
  <c r="C368" i="85"/>
  <c r="C1960" i="85"/>
  <c r="C388" i="85"/>
  <c r="C1241" i="85"/>
  <c r="C48" i="85"/>
  <c r="C421" i="85"/>
  <c r="C1837" i="85"/>
  <c r="C1375" i="85"/>
  <c r="C1298" i="85"/>
  <c r="C1213" i="85"/>
  <c r="C192" i="85"/>
  <c r="C1407" i="85"/>
  <c r="C281" i="85"/>
  <c r="C220" i="85"/>
  <c r="C1145" i="85"/>
  <c r="C748" i="85"/>
  <c r="C1800" i="85"/>
  <c r="C1533" i="85"/>
  <c r="C1664" i="85"/>
  <c r="C1797" i="85"/>
  <c r="C1774" i="85"/>
  <c r="C1088" i="85"/>
  <c r="C1765" i="85"/>
  <c r="C941" i="85"/>
  <c r="C1893" i="85"/>
  <c r="C460" i="85"/>
  <c r="C307" i="85"/>
  <c r="C417" i="85"/>
  <c r="C446" i="85"/>
  <c r="C661" i="85"/>
  <c r="C589" i="85"/>
  <c r="C1652" i="85"/>
  <c r="C859" i="85"/>
  <c r="C1783" i="85"/>
  <c r="C52" i="85"/>
  <c r="C1304" i="85"/>
  <c r="C1825" i="85"/>
  <c r="C1577" i="85"/>
  <c r="C1094" i="85"/>
  <c r="C445" i="85"/>
  <c r="C1821" i="85"/>
  <c r="C541" i="85"/>
  <c r="C1737" i="85"/>
  <c r="C1190" i="85"/>
  <c r="C1453" i="85"/>
  <c r="C1227" i="85"/>
  <c r="C582" i="85"/>
  <c r="C1436" i="85"/>
  <c r="C1470" i="85"/>
  <c r="C1755" i="85"/>
  <c r="C386" i="85"/>
  <c r="C335" i="85"/>
  <c r="C193" i="85"/>
  <c r="C1347" i="85"/>
  <c r="C832" i="85"/>
  <c r="C1185" i="85"/>
  <c r="C535" i="85"/>
  <c r="C199" i="85"/>
  <c r="C1655" i="85"/>
  <c r="C1418" i="85"/>
  <c r="C1780" i="85"/>
  <c r="C943" i="85"/>
  <c r="C1756" i="85"/>
  <c r="C511" i="85"/>
  <c r="C615" i="85"/>
  <c r="C180" i="85"/>
  <c r="C1382" i="85"/>
  <c r="C1104" i="85"/>
  <c r="C1638" i="85"/>
  <c r="C471" i="85"/>
  <c r="C493" i="85"/>
  <c r="C635" i="85"/>
  <c r="C375" i="85"/>
  <c r="C85" i="85"/>
  <c r="C357" i="85"/>
  <c r="C1219" i="85"/>
  <c r="C579" i="85"/>
  <c r="C496" i="85"/>
  <c r="C675" i="85"/>
  <c r="C1969" i="85"/>
  <c r="C674" i="85"/>
  <c r="C1283" i="85"/>
  <c r="C767" i="85"/>
  <c r="C271" i="85"/>
  <c r="C660" i="85"/>
  <c r="C512" i="85"/>
  <c r="C1683" i="85"/>
  <c r="C1926" i="85"/>
  <c r="C1296" i="85"/>
  <c r="C247" i="85"/>
  <c r="C1226" i="85"/>
  <c r="C1673" i="85"/>
  <c r="C975" i="85"/>
  <c r="C1261" i="85"/>
  <c r="C62" i="85"/>
  <c r="C681" i="85"/>
  <c r="C263" i="85"/>
  <c r="C911" i="85"/>
  <c r="C1521" i="85"/>
  <c r="C184" i="85"/>
  <c r="C1025" i="85"/>
  <c r="C234" i="85"/>
  <c r="C173" i="85"/>
  <c r="C778" i="85"/>
  <c r="C558" i="85"/>
  <c r="C708" i="85"/>
  <c r="C457" i="85"/>
  <c r="C1515" i="85"/>
  <c r="C505" i="85"/>
  <c r="C295" i="85"/>
  <c r="C1587" i="85"/>
  <c r="C555" i="85"/>
  <c r="C318" i="85"/>
  <c r="C1424" i="85"/>
  <c r="C796" i="85"/>
  <c r="C961" i="85"/>
  <c r="C712" i="85"/>
  <c r="C1478" i="85"/>
  <c r="C290" i="85"/>
  <c r="C530" i="85"/>
  <c r="C1098" i="85"/>
  <c r="C277" i="85"/>
  <c r="C501" i="85"/>
  <c r="C1713" i="85"/>
  <c r="C1332" i="85"/>
  <c r="C355" i="85"/>
  <c r="C1106" i="85"/>
  <c r="C1501" i="85"/>
  <c r="C291" i="85"/>
  <c r="C1365" i="85"/>
  <c r="C1933" i="85"/>
  <c r="C1904" i="85"/>
  <c r="C248" i="85"/>
  <c r="C862" i="85"/>
  <c r="C1695" i="85"/>
  <c r="C926" i="85"/>
  <c r="C479" i="85"/>
  <c r="C218" i="85"/>
  <c r="C1505" i="85"/>
  <c r="C1978" i="85"/>
  <c r="C1955" i="85"/>
  <c r="C658" i="85"/>
  <c r="C1550" i="85"/>
  <c r="C1516" i="85"/>
  <c r="C765" i="85"/>
  <c r="C256" i="85"/>
  <c r="C629" i="85"/>
  <c r="C1397" i="85"/>
  <c r="C726" i="85"/>
  <c r="C195" i="85"/>
  <c r="C1954" i="85"/>
  <c r="C1887" i="85"/>
  <c r="C495" i="85"/>
  <c r="C1427" i="85"/>
  <c r="C1455" i="85"/>
  <c r="C1183" i="85"/>
  <c r="C1944" i="85"/>
  <c r="C781" i="85"/>
  <c r="C1968" i="85"/>
  <c r="C1535" i="85"/>
  <c r="C696" i="85"/>
  <c r="C700" i="85"/>
  <c r="C1108" i="85"/>
  <c r="C631" i="85"/>
  <c r="C1115" i="85"/>
  <c r="C1403" i="85"/>
  <c r="C1107" i="85"/>
  <c r="C552" i="85"/>
  <c r="C642" i="85"/>
  <c r="C1684" i="85"/>
  <c r="C887" i="85"/>
  <c r="C444" i="85"/>
  <c r="C1050" i="85"/>
  <c r="C229" i="85"/>
  <c r="C1483" i="85"/>
  <c r="C577" i="85"/>
  <c r="C1846" i="85"/>
  <c r="C1463" i="85"/>
  <c r="C1318" i="85"/>
  <c r="C703" i="85"/>
  <c r="C920" i="85"/>
  <c r="C1220" i="85"/>
  <c r="C1858" i="85"/>
  <c r="C1399" i="85"/>
  <c r="C515" i="85"/>
  <c r="C1781" i="85"/>
  <c r="C1042" i="85"/>
  <c r="C890" i="85"/>
  <c r="C651" i="85"/>
  <c r="C763" i="85"/>
  <c r="C729" i="85"/>
  <c r="C221" i="85"/>
  <c r="C1701" i="85"/>
  <c r="C1421" i="85"/>
  <c r="C1935" i="85"/>
  <c r="C1989" i="85"/>
  <c r="C1941" i="85"/>
  <c r="C1091" i="85"/>
  <c r="C1454" i="85"/>
  <c r="C1518" i="85"/>
  <c r="C65" i="85"/>
  <c r="C391" i="85"/>
  <c r="C1504" i="85"/>
  <c r="C1789" i="85"/>
  <c r="C1671" i="85"/>
  <c r="C1390" i="85"/>
  <c r="C983" i="85"/>
  <c r="C1854" i="85"/>
  <c r="C1631" i="85"/>
  <c r="C1003" i="85"/>
  <c r="C1093" i="85"/>
  <c r="C1002" i="85"/>
  <c r="C1077" i="85"/>
  <c r="C568" i="85"/>
  <c r="C1148" i="85"/>
  <c r="C1918" i="85"/>
  <c r="C718" i="85"/>
  <c r="C697" i="85"/>
  <c r="C441" i="85"/>
  <c r="C1030" i="85"/>
  <c r="C185" i="85"/>
  <c r="C1415" i="85"/>
  <c r="C1000" i="85"/>
  <c r="C349" i="85"/>
  <c r="C1927" i="85"/>
  <c r="C74" i="85"/>
  <c r="C1029" i="85"/>
  <c r="C1787" i="85"/>
  <c r="C1366" i="85"/>
  <c r="C863" i="85"/>
  <c r="C212" i="85"/>
  <c r="C1856" i="85"/>
  <c r="C1422" i="85"/>
  <c r="C1993" i="85"/>
  <c r="C1644" i="85"/>
  <c r="C1493" i="85"/>
  <c r="C306" i="85"/>
  <c r="C1061" i="85"/>
  <c r="C882" i="85"/>
  <c r="C478" i="85"/>
  <c r="C777" i="85"/>
  <c r="C1092" i="85"/>
  <c r="C1690" i="85"/>
  <c r="C580" i="85"/>
  <c r="C1178" i="85"/>
  <c r="C482" i="85"/>
  <c r="C893" i="85"/>
  <c r="C1059" i="85"/>
  <c r="C422" i="85"/>
  <c r="C92" i="85"/>
  <c r="C974" i="85"/>
  <c r="C1116" i="85"/>
  <c r="C652" i="85"/>
  <c r="C1584" i="85"/>
  <c r="C267" i="85"/>
  <c r="C1583" i="85"/>
  <c r="C1257" i="85"/>
  <c r="C953" i="85"/>
  <c r="C1251" i="85"/>
  <c r="C1743" i="85"/>
  <c r="C297" i="85"/>
  <c r="C94" i="85"/>
  <c r="C743" i="85"/>
  <c r="C962" i="85"/>
  <c r="C1996" i="85"/>
  <c r="C918" i="85"/>
  <c r="C1225" i="85"/>
  <c r="C503" i="85"/>
  <c r="C268" i="85"/>
  <c r="C1123" i="85"/>
  <c r="C769" i="85"/>
  <c r="C1417" i="85"/>
  <c r="C1704" i="85"/>
  <c r="C435" i="85"/>
  <c r="C914" i="85"/>
  <c r="C400" i="85"/>
  <c r="C992" i="85"/>
  <c r="C1611" i="85"/>
  <c r="C1228" i="85"/>
  <c r="C1069" i="85"/>
  <c r="C1883" i="85"/>
  <c r="C1321" i="85"/>
  <c r="C1709" i="85"/>
  <c r="C1240" i="85"/>
  <c r="C1081" i="85"/>
  <c r="C50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K53" authorId="0" shapeId="0" xr:uid="{13955B5D-17CC-46B0-972A-EC7AE0434B3A}">
      <text>
        <r>
          <rPr>
            <b/>
            <sz val="9"/>
            <color indexed="81"/>
            <rFont val="Segoe UI"/>
            <family val="2"/>
          </rPr>
          <t>Atualização pelo IPCA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<sst xmlns="http://schemas.openxmlformats.org/spreadsheetml/2006/main" count="26246" uniqueCount="2399">
  <si>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</si>
  <si>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</si>
  <si>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</si>
  <si>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</si>
  <si>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</si>
  <si>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</si>
  <si>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</si>
  <si>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</si>
  <si>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</si>
  <si>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Energia de revenda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</si>
  <si>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</si>
  <si>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</si>
  <si>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</si>
  <si>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</si>
  <si>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</si>
  <si>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</si>
  <si>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</si>
  <si>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</si>
  <si>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</si>
  <si>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</si>
  <si>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</si>
  <si>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</si>
  <si>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</si>
  <si>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</si>
  <si>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</si>
  <si>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</si>
  <si>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</si>
  <si>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</si>
  <si>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</si>
  <si>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</si>
  <si>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</si>
  <si>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</si>
  <si>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Energia MWh</t>
  </si>
  <si>
    <t>Data</t>
  </si>
  <si>
    <t>Valor Pis/Cofins Transmissora</t>
  </si>
  <si>
    <t>CVA</t>
  </si>
  <si>
    <t>Valor</t>
  </si>
  <si>
    <t>Conta Escassez</t>
  </si>
  <si>
    <t>Legislacao</t>
  </si>
  <si>
    <t>IMPORTACAO</t>
  </si>
  <si>
    <t>RGR</t>
  </si>
  <si>
    <t>BONUS_RED_VOLUNT</t>
  </si>
  <si>
    <t>CCC</t>
  </si>
  <si>
    <t>DIFERIMENTOS</t>
  </si>
  <si>
    <t>TFSEE</t>
  </si>
  <si>
    <t>REN 1010/2022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</si>
  <si>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</si>
  <si>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</si>
  <si>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</si>
  <si>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</si>
  <si>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</si>
  <si>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</si>
  <si>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</si>
  <si>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</si>
  <si>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</si>
  <si>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>CDE Covid TUSD</t>
  </si>
  <si>
    <t>Proinfa</t>
  </si>
  <si>
    <t>MWh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</si>
  <si>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</si>
  <si>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</si>
  <si>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</si>
  <si>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</si>
  <si>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</si>
  <si>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</si>
  <si>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</si>
  <si>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</si>
  <si>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</si>
  <si>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</si>
  <si>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</si>
  <si>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</si>
  <si>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</si>
  <si>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</si>
  <si>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</si>
  <si>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>Tabela de Financeiros para o cálculo da Neutralidade</t>
  </si>
  <si>
    <t>Tabela de Financeiros para o cálculo da Neutralidade - COVID</t>
  </si>
  <si>
    <t xml:space="preserve">   Conexão</t>
  </si>
  <si>
    <t>Grupo_TARIFA</t>
  </si>
  <si>
    <t>Detalhe_Grupo_TARIFA</t>
  </si>
  <si>
    <t>valor</t>
  </si>
  <si>
    <t>Grupo Tarifa</t>
  </si>
  <si>
    <t>Detalhe Grupo</t>
  </si>
  <si>
    <t>Det3</t>
  </si>
  <si>
    <t xml:space="preserve">   Uso do sistema de distribuição</t>
  </si>
  <si>
    <t>ENCARGO</t>
  </si>
  <si>
    <t>Parcela B</t>
  </si>
  <si>
    <t>Covid Demais Componentes</t>
  </si>
  <si>
    <t>Parcela B (VPB-OR)</t>
  </si>
  <si>
    <t>Dados de perda</t>
  </si>
  <si>
    <t>Perdas RB</t>
  </si>
  <si>
    <t>Dados de Revisão</t>
  </si>
  <si>
    <t>Perdas DITs</t>
  </si>
  <si>
    <t>ENERGIA</t>
  </si>
  <si>
    <t>reservado para energia</t>
  </si>
  <si>
    <t>TRANSPORTE TERCEIROS</t>
  </si>
  <si>
    <t>EUSD</t>
  </si>
  <si>
    <t>Perdas na Distribuição (Técnicas e Não Técnicas)</t>
  </si>
  <si>
    <t>Não se Aplica</t>
  </si>
  <si>
    <t>Não se aplica</t>
  </si>
  <si>
    <t>Fator de Carga</t>
  </si>
  <si>
    <t>ver</t>
  </si>
  <si>
    <t>Créditos de Pis/Cofins</t>
  </si>
  <si>
    <t>Limitador de Bandeira</t>
  </si>
  <si>
    <t>Subsídios</t>
  </si>
  <si>
    <t>Subsídio Carga Fonte Incentivada</t>
  </si>
  <si>
    <t>Subsídio Geração Fonte Incentivada</t>
  </si>
  <si>
    <t>Subsídio Distribuição</t>
  </si>
  <si>
    <t>Subsídio Água, Esgoto e Saneamento</t>
  </si>
  <si>
    <t>Subsídio Rural</t>
  </si>
  <si>
    <t>Subsídio Irrigante/Aquicultor</t>
  </si>
  <si>
    <t>Encargo</t>
  </si>
  <si>
    <t>DSP</t>
  </si>
  <si>
    <t>ESS/EER</t>
  </si>
  <si>
    <t>EER</t>
  </si>
  <si>
    <t>CDE Eletrobras</t>
  </si>
  <si>
    <t>CDE Covid</t>
  </si>
  <si>
    <t>CDE Covid TUSD%</t>
  </si>
  <si>
    <t>CDE Covid TE%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</si>
  <si>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</si>
  <si>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</si>
  <si>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</si>
  <si>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</si>
  <si>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</si>
  <si>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</si>
  <si>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</si>
  <si>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</si>
  <si>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</si>
  <si>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</si>
  <si>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</si>
  <si>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</si>
  <si>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</si>
  <si>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</si>
  <si>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</si>
  <si>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</si>
  <si>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</si>
  <si>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</si>
  <si>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</si>
  <si>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</si>
  <si>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</si>
  <si>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</si>
  <si>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</si>
  <si>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</si>
  <si>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</si>
  <si>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</si>
  <si>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</si>
  <si>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</si>
  <si>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</si>
  <si>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</si>
  <si>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</si>
  <si>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</si>
  <si>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</si>
  <si>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</si>
  <si>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</si>
  <si>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</si>
  <si>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</si>
  <si>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</si>
  <si>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</si>
  <si>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</si>
  <si>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</si>
  <si>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</si>
  <si>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</si>
  <si>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</si>
  <si>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</si>
  <si>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</si>
  <si>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</si>
  <si>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</si>
  <si>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</si>
  <si>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</si>
  <si>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</si>
  <si>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</si>
  <si>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</si>
  <si>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</si>
  <si>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</si>
  <si>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</si>
  <si>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</si>
  <si>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</si>
  <si>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</si>
  <si>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</si>
  <si>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</si>
  <si>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</si>
  <si>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</si>
  <si>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</si>
  <si>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</si>
  <si>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</si>
  <si>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</si>
  <si>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</si>
  <si>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</si>
  <si>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</si>
  <si>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</si>
  <si>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</si>
  <si>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</si>
  <si>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</si>
  <si>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</si>
  <si>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</si>
  <si>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</si>
  <si>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</si>
  <si>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</si>
  <si>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</si>
  <si>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</si>
  <si>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</si>
  <si>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</si>
  <si>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</si>
  <si>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</si>
  <si>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</si>
  <si>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</si>
  <si>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</si>
  <si>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</si>
  <si>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</si>
  <si>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</si>
  <si>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</si>
  <si>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</si>
  <si>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</si>
  <si>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</si>
  <si>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</si>
  <si>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</si>
  <si>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</si>
  <si>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</si>
  <si>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</si>
  <si>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</si>
  <si>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</si>
  <si>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</si>
  <si>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</si>
  <si>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</si>
  <si>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</si>
  <si>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</si>
  <si>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</si>
  <si>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</si>
  <si>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</si>
  <si>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</si>
  <si>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</si>
  <si>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</si>
  <si>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</si>
  <si>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</si>
  <si>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</si>
  <si>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</si>
  <si>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</si>
  <si>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</si>
  <si>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</si>
  <si>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</si>
  <si>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</si>
  <si>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</si>
  <si>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</si>
  <si>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</si>
  <si>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</si>
  <si>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</si>
  <si>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</si>
  <si>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</si>
  <si>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</si>
  <si>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</si>
  <si>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</si>
  <si>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</si>
  <si>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</si>
  <si>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</si>
  <si>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</si>
  <si>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</si>
  <si>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Maior Registro</t>
  </si>
  <si>
    <t>Replicar</t>
  </si>
  <si>
    <t>DICFIC</t>
  </si>
  <si>
    <t>Dem*</t>
  </si>
  <si>
    <t>Demanda Faturada Fora de Ponta</t>
  </si>
  <si>
    <t>Energia*</t>
  </si>
  <si>
    <t>Demanda Faturada Ponta</t>
  </si>
  <si>
    <t>A4 (2,3 a 25 kV)</t>
  </si>
  <si>
    <t>Consumo*</t>
  </si>
  <si>
    <t>Proinfa*</t>
  </si>
  <si>
    <t>Data de início</t>
  </si>
  <si>
    <t>Data fim</t>
  </si>
  <si>
    <t>Energia TUSD Fora de Ponta (kWh)</t>
  </si>
  <si>
    <t>Energia TUSD Ponta (kWh)</t>
  </si>
  <si>
    <t>Proinfa (kWh)</t>
  </si>
  <si>
    <t>PisConfins</t>
  </si>
  <si>
    <t>Consumo TE Fora de Ponta (kWh)</t>
  </si>
  <si>
    <t>Consumo TE Ponta (kWh)</t>
  </si>
  <si>
    <t>ICMS</t>
  </si>
  <si>
    <t>Tabelas constantes dessa aba</t>
  </si>
  <si>
    <t>Informações Gerais</t>
  </si>
  <si>
    <t>proinfa</t>
  </si>
  <si>
    <t>Descontos TE</t>
  </si>
  <si>
    <t>cde conta covid</t>
  </si>
  <si>
    <t>Ranking B1</t>
  </si>
  <si>
    <t>Informacoes</t>
  </si>
  <si>
    <t>ok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</si>
  <si>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</si>
  <si>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</si>
  <si>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</si>
  <si>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</si>
  <si>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</si>
  <si>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</si>
  <si>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</si>
  <si>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</si>
  <si>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</si>
  <si>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</si>
  <si>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</si>
  <si>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</si>
  <si>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</si>
  <si>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</si>
  <si>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</si>
  <si>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</si>
  <si>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</si>
  <si>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</si>
  <si>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</si>
  <si>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</si>
  <si>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</si>
  <si>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</si>
  <si>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</si>
  <si>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</si>
  <si>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</si>
  <si>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</si>
  <si>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</si>
  <si>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</si>
  <si>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</si>
  <si>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</si>
  <si>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</si>
  <si>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</si>
  <si>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</si>
  <si>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</si>
  <si>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</si>
  <si>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</si>
  <si>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</si>
  <si>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</si>
  <si>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</si>
  <si>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</si>
  <si>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</si>
  <si>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</si>
  <si>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</si>
  <si>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</si>
  <si>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</si>
  <si>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</si>
  <si>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</si>
  <si>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</si>
  <si>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ReH 2.995/2021</t>
  </si>
  <si>
    <t>Desp. 521/2022</t>
  </si>
  <si>
    <t>01/2008</t>
  </si>
  <si>
    <t>20 de junho de 2008</t>
  </si>
  <si>
    <t>23 de novembro de 2021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</si>
  <si>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</si>
  <si>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</si>
  <si>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</si>
  <si>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</si>
  <si>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</si>
  <si>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</si>
  <si>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</si>
  <si>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</si>
  <si>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28 de setembro de 2021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</si>
  <si>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</si>
  <si>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</si>
  <si>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</si>
  <si>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</si>
  <si>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</si>
  <si>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</si>
  <si>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</si>
  <si>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</si>
  <si>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</si>
  <si>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</si>
  <si>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</si>
  <si>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27 de abril de 2021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</si>
  <si>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</si>
  <si>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</si>
  <si>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</si>
  <si>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</si>
  <si>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</si>
  <si>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</si>
  <si>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</si>
  <si>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27 de julho de 2021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</si>
  <si>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</si>
  <si>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</si>
  <si>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</si>
  <si>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</si>
  <si>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</si>
  <si>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</si>
  <si>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</si>
  <si>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</si>
  <si>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</si>
  <si>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</si>
  <si>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</si>
  <si>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</si>
  <si>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</si>
  <si>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</si>
  <si>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</si>
  <si>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</si>
  <si>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</si>
  <si>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</si>
  <si>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</si>
  <si>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25 de maio de 2021</t>
  </si>
  <si>
    <t>Ceprag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</si>
  <si>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</si>
  <si>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</si>
  <si>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</si>
  <si>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</si>
  <si>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</si>
  <si>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</si>
  <si>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</si>
  <si>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</si>
  <si>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</si>
  <si>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</si>
  <si>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</si>
  <si>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</si>
  <si>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</si>
  <si>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</si>
  <si>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</si>
  <si>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</si>
  <si>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</si>
  <si>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</si>
  <si>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</si>
  <si>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</si>
  <si>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</si>
  <si>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</si>
  <si>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</si>
  <si>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14 de dezembro de 2021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</si>
  <si>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</si>
  <si>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</si>
  <si>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</si>
  <si>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</si>
  <si>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</si>
  <si>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</si>
  <si>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</si>
  <si>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</si>
  <si>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</si>
  <si>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</si>
  <si>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</si>
  <si>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</si>
  <si>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</si>
  <si>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</si>
  <si>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</si>
  <si>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</si>
  <si>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</si>
  <si>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</si>
  <si>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</si>
  <si>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</si>
  <si>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</si>
  <si>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</si>
  <si>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</si>
  <si>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</si>
  <si>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</si>
  <si>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</si>
  <si>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</si>
  <si>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</si>
  <si>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</si>
  <si>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</si>
  <si>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</si>
  <si>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</si>
  <si>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</si>
  <si>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</si>
  <si>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</si>
  <si>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</si>
  <si>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</si>
  <si>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</si>
  <si>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</si>
  <si>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</si>
  <si>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</si>
  <si>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</si>
  <si>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</si>
  <si>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</si>
  <si>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</si>
  <si>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</si>
  <si>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</si>
  <si>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</si>
  <si>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</si>
  <si>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</si>
  <si>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</si>
  <si>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</si>
  <si>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</si>
  <si>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</si>
  <si>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</si>
  <si>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</si>
  <si>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</si>
  <si>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</si>
  <si>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</si>
  <si>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</si>
  <si>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</si>
  <si>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</si>
  <si>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</si>
  <si>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</si>
  <si>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</si>
  <si>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</si>
  <si>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</si>
  <si>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</si>
  <si>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</si>
  <si>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</si>
  <si>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</si>
  <si>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</si>
  <si>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</si>
  <si>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</si>
  <si>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</si>
  <si>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</si>
  <si>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</si>
  <si>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</si>
  <si>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</si>
  <si>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</si>
  <si>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</si>
  <si>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</si>
  <si>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</si>
  <si>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</si>
  <si>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</si>
  <si>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</si>
  <si>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</si>
  <si>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</si>
  <si>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</si>
  <si>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</si>
  <si>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</si>
  <si>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</si>
  <si>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</si>
  <si>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</si>
  <si>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</si>
  <si>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</si>
  <si>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</si>
  <si>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</si>
  <si>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</si>
  <si>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</si>
  <si>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</si>
  <si>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</si>
  <si>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</si>
  <si>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</si>
  <si>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</si>
  <si>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</si>
  <si>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</si>
  <si>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</si>
  <si>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</si>
  <si>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</si>
  <si>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</si>
  <si>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</si>
  <si>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</si>
  <si>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</si>
  <si>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</si>
  <si>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</si>
  <si>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</si>
  <si>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</si>
  <si>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</si>
  <si>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</si>
  <si>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</si>
  <si>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</si>
  <si>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</si>
  <si>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</si>
  <si>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</si>
  <si>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</si>
  <si>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</si>
  <si>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</si>
  <si>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</si>
  <si>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</si>
  <si>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</si>
  <si>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</si>
  <si>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</si>
  <si>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</si>
  <si>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</si>
  <si>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10/2008</t>
  </si>
  <si>
    <t>ENEL RJ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</si>
  <si>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</si>
  <si>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</si>
  <si>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</si>
  <si>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</si>
  <si>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</si>
  <si>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</si>
  <si>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</si>
  <si>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</si>
  <si>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</si>
  <si>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</si>
  <si>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</si>
  <si>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</si>
  <si>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</si>
  <si>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</si>
  <si>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</si>
  <si>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</si>
  <si>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</si>
  <si>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</si>
  <si>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</si>
  <si>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</si>
  <si>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</si>
  <si>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</si>
  <si>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</si>
  <si>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</si>
  <si>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</si>
  <si>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</si>
  <si>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</si>
  <si>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</si>
  <si>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</si>
  <si>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</si>
  <si>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</si>
  <si>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</si>
  <si>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</si>
  <si>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</si>
  <si>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</si>
  <si>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</si>
  <si>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</si>
  <si>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</si>
  <si>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</si>
  <si>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</si>
  <si>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</si>
  <si>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</si>
  <si>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</si>
  <si>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</si>
  <si>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</si>
  <si>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</si>
  <si>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</si>
  <si>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</si>
  <si>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</si>
  <si>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</si>
  <si>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</si>
  <si>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</si>
  <si>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</si>
  <si>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</si>
  <si>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</si>
  <si>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</si>
  <si>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>Coopernorte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</si>
  <si>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</si>
  <si>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</si>
  <si>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</si>
  <si>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</si>
  <si>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</si>
  <si>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Coopersul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</si>
  <si>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</si>
  <si>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</si>
  <si>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</si>
  <si>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</si>
  <si>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</si>
  <si>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</si>
  <si>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</si>
  <si>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</si>
  <si>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</si>
  <si>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</si>
  <si>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</si>
  <si>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</si>
  <si>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</si>
  <si>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</si>
  <si>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</si>
  <si>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</si>
  <si>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</si>
  <si>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</si>
  <si>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</si>
  <si>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</si>
  <si>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</si>
  <si>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</si>
  <si>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</si>
  <si>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</si>
  <si>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</si>
  <si>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</si>
  <si>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</si>
  <si>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</si>
  <si>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</si>
  <si>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</si>
  <si>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</si>
  <si>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</si>
  <si>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</si>
  <si>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</si>
  <si>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</si>
  <si>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</si>
  <si>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</si>
  <si>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</si>
  <si>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</si>
  <si>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</si>
  <si>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</si>
  <si>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2022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</si>
  <si>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</si>
  <si>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</si>
  <si>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</si>
  <si>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</si>
  <si>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</si>
  <si>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</si>
  <si>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</si>
  <si>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</si>
  <si>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</si>
  <si>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</si>
  <si>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</si>
  <si>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</si>
  <si>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</si>
  <si>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</si>
  <si>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</si>
  <si>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</si>
  <si>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</si>
  <si>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</si>
  <si>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</si>
  <si>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</si>
  <si>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</si>
  <si>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</si>
  <si>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</si>
  <si>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</si>
  <si>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</si>
  <si>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</si>
  <si>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</si>
  <si>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</si>
  <si>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</si>
  <si>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</si>
  <si>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</si>
  <si>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</si>
  <si>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</si>
  <si>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</si>
  <si>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</si>
  <si>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</si>
  <si>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</si>
  <si>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</si>
  <si>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</si>
  <si>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</si>
  <si>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</si>
  <si>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</si>
  <si>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</si>
  <si>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</si>
  <si>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</si>
  <si>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</si>
  <si>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</si>
  <si>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</si>
  <si>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PERSAS 124</t>
  </si>
  <si>
    <t>Não apagar</t>
  </si>
  <si>
    <t>Diretor Relator</t>
  </si>
  <si>
    <t xml:space="preserve">Tarifa B1 </t>
  </si>
  <si>
    <t>Nota Técnica Ex: 00/2022-SGT/ANEEL</t>
  </si>
  <si>
    <t>Data NT Ex: 01 de janeiro de 2022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</si>
  <si>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</si>
  <si>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</si>
  <si>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</si>
  <si>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</si>
  <si>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</si>
  <si>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</si>
  <si>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</si>
  <si>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</si>
  <si>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</si>
  <si>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</si>
  <si>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Tarifas de Suprimento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</si>
  <si>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</si>
  <si>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</si>
  <si>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</si>
  <si>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</si>
  <si>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</si>
  <si>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</si>
  <si>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</si>
  <si>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</si>
  <si>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</si>
  <si>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</si>
  <si>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</si>
  <si>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</si>
  <si>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</si>
  <si>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</si>
  <si>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</si>
  <si>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CVE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</si>
  <si>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</si>
  <si>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</si>
  <si>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</si>
  <si>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</si>
  <si>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</si>
  <si>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</si>
  <si>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</si>
  <si>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</si>
  <si>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</si>
  <si>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</si>
  <si>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</si>
  <si>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</si>
  <si>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</si>
  <si>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</si>
  <si>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</si>
  <si>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</si>
  <si>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</si>
  <si>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</si>
  <si>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</si>
  <si>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</si>
  <si>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</si>
  <si>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</si>
  <si>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</si>
  <si>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</si>
  <si>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</si>
  <si>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</si>
  <si>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</si>
  <si>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</si>
  <si>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</si>
  <si>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</si>
  <si>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</si>
  <si>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</si>
  <si>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</si>
  <si>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</si>
  <si>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</si>
  <si>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</si>
  <si>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</si>
  <si>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</si>
  <si>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</si>
  <si>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</si>
  <si>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</si>
  <si>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</si>
  <si>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</si>
  <si>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</si>
  <si>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</si>
  <si>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</si>
  <si>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</si>
  <si>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</si>
  <si>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</si>
  <si>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</si>
  <si>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</si>
  <si>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</si>
  <si>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</si>
  <si>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</si>
  <si>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</si>
  <si>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</si>
  <si>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</si>
  <si>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</si>
  <si>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</si>
  <si>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</si>
  <si>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</si>
  <si>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</si>
  <si>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</si>
  <si>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</si>
  <si>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</si>
  <si>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</si>
  <si>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</si>
  <si>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</si>
  <si>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</si>
  <si>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</si>
  <si>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</si>
  <si>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</si>
  <si>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</si>
  <si>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</si>
  <si>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</si>
  <si>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</si>
  <si>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</si>
  <si>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</si>
  <si>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</si>
  <si>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</si>
  <si>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</si>
  <si>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</si>
  <si>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</si>
  <si>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</si>
  <si>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</si>
  <si>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</si>
  <si>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</si>
  <si>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</si>
  <si>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</si>
  <si>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</si>
  <si>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</si>
  <si>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</si>
  <si>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</si>
  <si>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</si>
  <si>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</si>
  <si>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</si>
  <si>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</si>
  <si>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</si>
  <si>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</si>
  <si>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ano anterior</t>
  </si>
  <si>
    <t>DRP</t>
  </si>
  <si>
    <t>Retirada dos Financeiros Ano Anterior</t>
  </si>
  <si>
    <t>Parcela A</t>
  </si>
  <si>
    <t>DRA</t>
  </si>
  <si>
    <t>Part.</t>
  </si>
  <si>
    <t>Var.</t>
  </si>
  <si>
    <t>Encargos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</si>
  <si>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</si>
  <si>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</si>
  <si>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</si>
  <si>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</si>
  <si>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</si>
  <si>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</si>
  <si>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</si>
  <si>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</si>
  <si>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</si>
  <si>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</si>
  <si>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</si>
  <si>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</si>
  <si>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</si>
  <si>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</si>
  <si>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</si>
  <si>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</si>
  <si>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</si>
  <si>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</si>
  <si>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</si>
  <si>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</si>
  <si>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</si>
  <si>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</si>
  <si>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</si>
  <si>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</si>
  <si>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</si>
  <si>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</si>
  <si>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</si>
  <si>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</si>
  <si>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</si>
  <si>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</si>
  <si>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</si>
  <si>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</si>
  <si>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</si>
  <si>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</si>
  <si>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</si>
  <si>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</si>
  <si>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</si>
  <si>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</si>
  <si>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</si>
  <si>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</si>
  <si>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</si>
  <si>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</si>
  <si>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</si>
  <si>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</si>
  <si>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</si>
  <si>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</si>
  <si>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</si>
  <si>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</si>
  <si>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</si>
  <si>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</si>
  <si>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</si>
  <si>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</si>
  <si>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</si>
  <si>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</si>
  <si>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</si>
  <si>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</si>
  <si>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</si>
  <si>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</si>
  <si>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</si>
  <si>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</si>
  <si>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</si>
  <si>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</si>
  <si>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</si>
  <si>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</si>
  <si>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</si>
  <si>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</si>
  <si>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</si>
  <si>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</si>
  <si>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</si>
  <si>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</si>
  <si>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</si>
  <si>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</si>
  <si>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</si>
  <si>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</si>
  <si>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</si>
  <si>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</si>
  <si>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</si>
  <si>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</si>
  <si>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</si>
  <si>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</si>
  <si>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</si>
  <si>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</si>
  <si>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</si>
  <si>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</si>
  <si>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</si>
  <si>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</si>
  <si>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</si>
  <si>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</si>
  <si>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</si>
  <si>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</si>
  <si>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</si>
  <si>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</si>
  <si>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</si>
  <si>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</si>
  <si>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</si>
  <si>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</si>
  <si>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</si>
  <si>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</si>
  <si>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</si>
  <si>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</si>
  <si>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</si>
  <si>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</si>
  <si>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</si>
  <si>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</si>
  <si>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</si>
  <si>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</si>
  <si>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</si>
  <si>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</si>
  <si>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</si>
  <si>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</si>
  <si>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</si>
  <si>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</si>
  <si>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Neutralidade Financeiros e Encargos Conta Covid</t>
  </si>
  <si>
    <t>Conta Covid-19</t>
  </si>
  <si>
    <t>Crédito Pis Cofins sobre ICMS</t>
  </si>
  <si>
    <t>Diferimento Pis Cofins</t>
  </si>
  <si>
    <t>CVE Energia</t>
  </si>
  <si>
    <t>CVE Encargos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</si>
  <si>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</si>
  <si>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</si>
  <si>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</si>
  <si>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</si>
  <si>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</si>
  <si>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</si>
  <si>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</si>
  <si>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</si>
  <si>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</si>
  <si>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</si>
  <si>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</si>
  <si>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</si>
  <si>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</si>
  <si>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</si>
  <si>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</si>
  <si>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</si>
  <si>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</si>
  <si>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</si>
  <si>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</si>
  <si>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</si>
  <si>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</si>
  <si>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</si>
  <si>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</si>
  <si>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</si>
  <si>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</si>
  <si>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</si>
  <si>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</si>
  <si>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</si>
  <si>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</si>
  <si>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</si>
  <si>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</si>
  <si>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</si>
  <si>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</si>
  <si>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</si>
  <si>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</si>
  <si>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</si>
  <si>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</si>
  <si>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</si>
  <si>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</si>
  <si>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</si>
  <si>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</si>
  <si>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</si>
  <si>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</si>
  <si>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</si>
  <si>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</si>
  <si>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</si>
  <si>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</si>
  <si>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</si>
  <si>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</si>
  <si>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</si>
  <si>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</si>
  <si>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</si>
  <si>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</si>
  <si>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</si>
  <si>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</si>
  <si>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</si>
  <si>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</si>
  <si>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</si>
  <si>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</si>
  <si>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</si>
  <si>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</si>
  <si>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</si>
  <si>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</si>
  <si>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</si>
  <si>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</si>
  <si>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</si>
  <si>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</si>
  <si>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</si>
  <si>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</si>
  <si>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</si>
  <si>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</si>
  <si>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</si>
  <si>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</si>
  <si>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</si>
  <si>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</si>
  <si>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</si>
  <si>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</si>
  <si>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</si>
  <si>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</si>
  <si>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</si>
  <si>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</si>
  <si>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</si>
  <si>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</si>
  <si>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</si>
  <si>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</si>
  <si>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</si>
  <si>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</si>
  <si>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</si>
  <si>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</si>
  <si>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</si>
  <si>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</si>
  <si>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</si>
  <si>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</si>
  <si>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</si>
  <si>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</si>
  <si>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</si>
  <si>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</si>
  <si>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</si>
  <si>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</si>
  <si>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</si>
  <si>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</si>
  <si>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</si>
  <si>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</si>
  <si>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</si>
  <si>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</si>
  <si>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</si>
  <si>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</si>
  <si>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</si>
  <si>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</si>
  <si>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covidTusdEco</t>
  </si>
  <si>
    <t>FinCT_ParcelaB</t>
  </si>
  <si>
    <t>FinCT_Subsidio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</si>
  <si>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</si>
  <si>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</si>
  <si>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</si>
  <si>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</si>
  <si>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</si>
  <si>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</si>
  <si>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</si>
  <si>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</si>
  <si>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</si>
  <si>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</si>
  <si>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</si>
  <si>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</si>
  <si>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</si>
  <si>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</si>
  <si>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</si>
  <si>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</si>
  <si>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</si>
  <si>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</si>
  <si>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</si>
  <si>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</si>
  <si>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</si>
  <si>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</si>
  <si>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</si>
  <si>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</si>
  <si>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</si>
  <si>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</si>
  <si>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</si>
  <si>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</si>
  <si>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</si>
  <si>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</si>
  <si>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</si>
  <si>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</si>
  <si>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</si>
  <si>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</si>
  <si>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</si>
  <si>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</si>
  <si>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</si>
  <si>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</si>
  <si>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</si>
  <si>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</si>
  <si>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</si>
  <si>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</si>
  <si>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</si>
  <si>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</si>
  <si>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</si>
  <si>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</si>
  <si>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</si>
  <si>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</si>
  <si>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</si>
  <si>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</si>
  <si>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</si>
  <si>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</si>
  <si>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</si>
  <si>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</si>
  <si>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</si>
  <si>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</si>
  <si>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</si>
  <si>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</si>
  <si>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</si>
  <si>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</si>
  <si>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</si>
  <si>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</si>
  <si>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</si>
  <si>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</si>
  <si>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</si>
  <si>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</si>
  <si>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</si>
  <si>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</si>
  <si>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</si>
  <si>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</si>
  <si>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</si>
  <si>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</si>
  <si>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</si>
  <si>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</si>
  <si>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</si>
  <si>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</si>
  <si>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</si>
  <si>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</si>
  <si>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</si>
  <si>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</si>
  <si>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</si>
  <si>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</si>
  <si>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</si>
  <si>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</si>
  <si>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</si>
  <si>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</si>
  <si>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</si>
  <si>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</si>
  <si>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</si>
  <si>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</si>
  <si>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</si>
  <si>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</si>
  <si>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</si>
  <si>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</si>
  <si>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</si>
  <si>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</si>
  <si>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</si>
  <si>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</si>
  <si>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</si>
  <si>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</si>
  <si>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</si>
  <si>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</si>
  <si>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</si>
  <si>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</si>
  <si>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</si>
  <si>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</si>
  <si>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</si>
  <si>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</si>
  <si>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</si>
  <si>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</si>
  <si>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</si>
  <si>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</si>
  <si>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</si>
  <si>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</si>
  <si>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</si>
  <si>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</si>
  <si>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</si>
  <si>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</si>
  <si>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</si>
  <si>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</si>
  <si>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</si>
  <si>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</si>
  <si>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</si>
  <si>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</si>
  <si>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</si>
  <si>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</si>
  <si>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</si>
  <si>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</si>
  <si>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</si>
  <si>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</si>
  <si>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</si>
  <si>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covidTeEco</t>
  </si>
  <si>
    <t>CVA_CovidTusd</t>
  </si>
  <si>
    <t>CVA_CovidTe_ou_CVA_CDE_E</t>
  </si>
  <si>
    <t>FinCT_CDECOVIDTUSD</t>
  </si>
  <si>
    <t>FinCT_CDECOVIDTE_ou_FinCT_CDE_E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</si>
  <si>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</si>
  <si>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</si>
  <si>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</si>
  <si>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</si>
  <si>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</si>
  <si>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</si>
  <si>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</si>
  <si>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</si>
  <si>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</si>
  <si>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</si>
  <si>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</si>
  <si>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</si>
  <si>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</si>
  <si>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</si>
  <si>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B1</t>
  </si>
  <si>
    <t>B3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</si>
  <si>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</si>
  <si>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</si>
  <si>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</si>
  <si>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</si>
  <si>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</si>
  <si>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</si>
  <si>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</si>
  <si>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</si>
  <si>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</si>
  <si>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</si>
  <si>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</si>
  <si>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</si>
  <si>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</si>
  <si>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</si>
  <si>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</si>
  <si>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</si>
  <si>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</si>
  <si>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</si>
  <si>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</si>
  <si>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</si>
  <si>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</si>
  <si>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</si>
  <si>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</si>
  <si>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</si>
  <si>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</si>
  <si>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</si>
  <si>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</si>
  <si>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</si>
  <si>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</si>
  <si>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</si>
  <si>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</si>
  <si>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</si>
  <si>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</si>
  <si>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</si>
  <si>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</si>
  <si>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</si>
  <si>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</si>
  <si>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</si>
  <si>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</si>
  <si>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</si>
  <si>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</si>
  <si>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</si>
  <si>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Perdas Rede Básica</t>
  </si>
  <si>
    <t>Custo médio geral de energia</t>
  </si>
  <si>
    <t>Perdas DIT</t>
  </si>
  <si>
    <t>Energia CUSD -Cálculo de perdas</t>
  </si>
  <si>
    <t>Para as empresas Totalmente Supridas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</si>
  <si>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</si>
  <si>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</si>
  <si>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</si>
  <si>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</si>
  <si>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</si>
  <si>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</si>
  <si>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</si>
  <si>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</si>
  <si>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</si>
  <si>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</si>
  <si>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</si>
  <si>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PARA AS PERMISSIONÁRIAS QUE TEM CONTRATO NO ACL</t>
  </si>
  <si>
    <t>PRENCHER OS VALORES CONTRATADOS DE SUPRIMENTO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</si>
  <si>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</si>
  <si>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</si>
  <si>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</si>
  <si>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</si>
  <si>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</si>
  <si>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</si>
  <si>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</si>
  <si>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</si>
  <si>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no ACL</t>
  </si>
  <si>
    <t>somarproduto(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</si>
  <si>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</si>
  <si>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</si>
  <si>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</si>
  <si>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</si>
  <si>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</si>
  <si>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</si>
  <si>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</si>
  <si>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</si>
  <si>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</si>
  <si>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</si>
  <si>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</si>
  <si>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</si>
  <si>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</si>
  <si>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</si>
  <si>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</si>
  <si>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</si>
  <si>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</si>
  <si>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</si>
  <si>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</si>
  <si>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</si>
  <si>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</si>
  <si>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</si>
  <si>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</si>
  <si>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</si>
  <si>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</si>
  <si>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</si>
  <si>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</si>
  <si>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</si>
  <si>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</si>
  <si>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</si>
  <si>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</si>
  <si>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</si>
  <si>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</si>
  <si>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</si>
  <si>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</si>
  <si>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</si>
  <si>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</si>
  <si>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</si>
  <si>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</si>
  <si>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</si>
  <si>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</si>
  <si>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</si>
  <si>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</si>
  <si>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</si>
  <si>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</si>
  <si>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</si>
  <si>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</si>
  <si>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</si>
  <si>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</si>
  <si>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</si>
  <si>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</si>
  <si>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</si>
  <si>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</si>
  <si>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</si>
  <si>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</si>
  <si>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</si>
  <si>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</si>
  <si>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</si>
  <si>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</si>
  <si>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</si>
  <si>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</si>
  <si>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</si>
  <si>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</si>
  <si>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</si>
  <si>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</si>
  <si>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</si>
  <si>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</si>
  <si>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</si>
  <si>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</si>
  <si>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</si>
  <si>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</si>
  <si>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</si>
  <si>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</si>
  <si>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</si>
  <si>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</si>
  <si>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</si>
  <si>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</si>
  <si>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</si>
  <si>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</si>
  <si>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</si>
  <si>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</si>
  <si>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</si>
  <si>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</si>
  <si>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</si>
  <si>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</si>
  <si>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</si>
  <si>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</si>
  <si>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</si>
  <si>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</si>
  <si>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</si>
  <si>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</si>
  <si>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</si>
  <si>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</si>
  <si>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</si>
  <si>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</si>
  <si>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</si>
  <si>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</si>
  <si>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</si>
  <si>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</si>
  <si>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</si>
  <si>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</si>
  <si>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</si>
  <si>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</si>
  <si>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</si>
  <si>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</si>
  <si>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</si>
  <si>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</si>
  <si>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</si>
  <si>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</si>
  <si>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</si>
  <si>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</si>
  <si>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</si>
  <si>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</si>
  <si>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</si>
  <si>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</si>
  <si>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 xml:space="preserve">CDE Covid TUSD 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</si>
  <si>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</si>
  <si>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</si>
  <si>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</si>
  <si>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</si>
  <si>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</si>
  <si>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</si>
  <si>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</si>
  <si>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</si>
  <si>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</si>
  <si>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</si>
  <si>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</si>
  <si>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</si>
  <si>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</si>
  <si>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Parcela EER</t>
  </si>
  <si>
    <t>BT S/SE/CO</t>
  </si>
  <si>
    <t>Parcela ESS</t>
  </si>
  <si>
    <t>CDE encargo</t>
  </si>
  <si>
    <t xml:space="preserve">CDE COVID TUSD </t>
  </si>
  <si>
    <t>CDE Eletrobrás</t>
  </si>
  <si>
    <t>CDE Total</t>
  </si>
  <si>
    <t>NEUTRALIDADE</t>
  </si>
  <si>
    <t>Para as empresas regularizadas em 2018 e  2019, só existe neutralidade a partir da data de vigência das tarifas iniciais</t>
  </si>
  <si>
    <t>CDE COVID</t>
  </si>
  <si>
    <t>Financeiro Covid</t>
  </si>
  <si>
    <t>Crédito Pis Cofins</t>
  </si>
  <si>
    <t>Total Neutralidade</t>
  </si>
  <si>
    <t>Neutralidade Atualizada</t>
  </si>
  <si>
    <t>CDE + P&amp;D</t>
  </si>
  <si>
    <t>Neutralidade Financeiros</t>
  </si>
  <si>
    <t>Crédito Pis Cofins sob ICMS</t>
  </si>
  <si>
    <t>Total encargos</t>
  </si>
  <si>
    <t>Valores arrecadados</t>
  </si>
  <si>
    <t>Crédito Pis cofins sob ICMS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</si>
  <si>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</si>
  <si>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</si>
  <si>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</si>
  <si>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</si>
  <si>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</si>
  <si>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</si>
  <si>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</si>
  <si>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</si>
  <si>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</si>
  <si>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</si>
  <si>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</si>
  <si>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</si>
  <si>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</si>
  <si>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</si>
  <si>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</si>
  <si>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</si>
  <si>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</si>
  <si>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</si>
  <si>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</si>
  <si>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Financeiro CDE Eletrobras</t>
  </si>
  <si>
    <t>Ajustes Processos anteriores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</si>
  <si>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</si>
  <si>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</si>
  <si>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</si>
  <si>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</si>
  <si>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</si>
  <si>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</si>
  <si>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</si>
  <si>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</si>
  <si>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</si>
  <si>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</si>
  <si>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</si>
  <si>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</si>
  <si>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</si>
  <si>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</si>
  <si>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</si>
  <si>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</si>
  <si>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</si>
  <si>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</si>
  <si>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</si>
  <si>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</si>
  <si>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</si>
  <si>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</si>
  <si>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</si>
  <si>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</si>
  <si>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</si>
  <si>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</si>
  <si>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</si>
  <si>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</si>
  <si>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</si>
  <si>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</si>
  <si>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</si>
  <si>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</si>
  <si>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</si>
  <si>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</si>
  <si>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</si>
  <si>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</si>
  <si>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</si>
  <si>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</si>
  <si>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</si>
  <si>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</si>
  <si>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</si>
  <si>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</si>
  <si>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</si>
  <si>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</si>
  <si>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Reversão de Risco Hidrológico</t>
  </si>
  <si>
    <t>ICMS no suprimento</t>
  </si>
  <si>
    <t>Preencher essa planilha para as permissionárias que possuem ICMS na fatura de suprimento. Atualmente, apenas as permissionárias do Estado Rio de Janeiro possuem.</t>
  </si>
  <si>
    <t>Previsão ano anterior</t>
  </si>
  <si>
    <t>Reversão Previsão ano anterior atualizada</t>
  </si>
  <si>
    <t>ICMS Faturas</t>
  </si>
  <si>
    <t>ICMS Previsão</t>
  </si>
  <si>
    <t>Financeiros Mitigação</t>
  </si>
  <si>
    <t>Financeiro de Bandeira Escassez Hídrica</t>
  </si>
  <si>
    <t>R$ (Líquido)</t>
  </si>
  <si>
    <t>Valor Corrigido</t>
  </si>
  <si>
    <t>Atuaização Bandeira escassez Hidrica</t>
  </si>
  <si>
    <t>Importação de Energia</t>
  </si>
  <si>
    <t>Bônus de redução voluntária</t>
  </si>
  <si>
    <t>Crédito de Pis cofins sobre ICMS</t>
  </si>
  <si>
    <t>CVA em Processamento e Saldo a Compensar</t>
  </si>
  <si>
    <t xml:space="preserve"> Dados da CVE em Processamento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</si>
  <si>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</si>
  <si>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</si>
  <si>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</si>
  <si>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</si>
  <si>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</si>
  <si>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</si>
  <si>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</si>
  <si>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</si>
  <si>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</si>
  <si>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</si>
  <si>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</si>
  <si>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</si>
  <si>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</si>
  <si>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</si>
  <si>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</si>
  <si>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</si>
  <si>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</si>
  <si>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</si>
  <si>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</si>
  <si>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</si>
  <si>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</si>
  <si>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</si>
  <si>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</si>
  <si>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</si>
  <si>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</si>
  <si>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</si>
  <si>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</si>
  <si>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</si>
  <si>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</si>
  <si>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</si>
  <si>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</si>
  <si>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</si>
  <si>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</si>
  <si>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</si>
  <si>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</si>
  <si>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</si>
  <si>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</si>
  <si>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</si>
  <si>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</si>
  <si>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</si>
  <si>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</si>
  <si>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</si>
  <si>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</si>
  <si>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</si>
  <si>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</si>
  <si>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</si>
  <si>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</si>
  <si>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</si>
  <si>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</si>
  <si>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</si>
  <si>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</si>
  <si>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</si>
  <si>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</si>
  <si>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</si>
  <si>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</si>
  <si>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</si>
  <si>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</si>
  <si>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</si>
  <si>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</si>
  <si>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</si>
  <si>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</si>
  <si>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</si>
  <si>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</si>
  <si>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</si>
  <si>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</si>
  <si>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</si>
  <si>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</si>
  <si>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</si>
  <si>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</si>
  <si>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</si>
  <si>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</si>
  <si>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</si>
  <si>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</si>
  <si>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</si>
  <si>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</si>
  <si>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</si>
  <si>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</si>
  <si>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</si>
  <si>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</si>
  <si>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</si>
  <si>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</si>
  <si>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Reversão ICMS TE</t>
  </si>
  <si>
    <t>Reversão ICMS CUSD</t>
  </si>
  <si>
    <t>Atualizar por:</t>
  </si>
  <si>
    <t>previsão de 2020</t>
  </si>
  <si>
    <t>NeutralidadeCDE COVID</t>
  </si>
  <si>
    <t>Neutralidade ESS/ERR</t>
  </si>
  <si>
    <t>Neutralidade TFSEE</t>
  </si>
  <si>
    <t>Neutralidade CDE</t>
  </si>
  <si>
    <t>Neutralidade P&amp;D</t>
  </si>
  <si>
    <t>Neutralidade PROINFA</t>
  </si>
  <si>
    <t>Neutralidade Financeiro COVID</t>
  </si>
  <si>
    <t>Neutralidade Financeiro Crédito Pis cofins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</si>
  <si>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</si>
  <si>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</si>
  <si>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</si>
  <si>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</si>
  <si>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</si>
  <si>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</si>
  <si>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</si>
  <si>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</si>
  <si>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</si>
  <si>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</si>
  <si>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</si>
  <si>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</si>
  <si>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</si>
  <si>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</si>
  <si>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</si>
  <si>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</si>
  <si>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</si>
  <si>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</si>
  <si>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</si>
  <si>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</si>
  <si>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</si>
  <si>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</si>
  <si>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</si>
  <si>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</si>
  <si>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</si>
  <si>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</si>
  <si>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</si>
  <si>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</si>
  <si>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</si>
  <si>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</si>
  <si>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</si>
  <si>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</si>
  <si>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</si>
  <si>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DataRef</t>
  </si>
  <si>
    <t>Selic Dia</t>
  </si>
  <si>
    <t>Valor Projetado</t>
  </si>
  <si>
    <t>DIA ÚTIL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</si>
  <si>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</si>
  <si>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</si>
  <si>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</si>
  <si>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</si>
  <si>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</si>
  <si>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</si>
  <si>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</si>
  <si>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</si>
  <si>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</si>
  <si>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</si>
  <si>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</si>
  <si>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</si>
  <si>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</si>
  <si>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</si>
  <si>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</si>
  <si>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</si>
  <si>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</si>
  <si>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</si>
  <si>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</si>
  <si>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</si>
  <si>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</si>
  <si>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</si>
  <si>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</si>
  <si>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</si>
  <si>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</si>
  <si>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</si>
  <si>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</si>
  <si>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</si>
  <si>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</si>
  <si>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</si>
  <si>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</si>
  <si>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</si>
  <si>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</si>
  <si>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</si>
  <si>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</si>
  <si>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</si>
  <si>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</si>
  <si>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</si>
  <si>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</si>
  <si>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</si>
  <si>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</si>
  <si>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</si>
  <si>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</si>
  <si>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</si>
  <si>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</si>
  <si>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</si>
  <si>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</si>
  <si>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</si>
  <si>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</si>
  <si>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</si>
  <si>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</si>
  <si>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</si>
  <si>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Dummy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</si>
  <si>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</si>
  <si>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</si>
  <si>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</si>
  <si>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</si>
  <si>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</si>
  <si>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</si>
  <si>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</si>
  <si>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</si>
  <si>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</si>
  <si>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</si>
  <si>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</si>
  <si>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</si>
  <si>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</si>
  <si>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</si>
  <si>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</si>
  <si>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</si>
  <si>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</si>
  <si>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</si>
  <si>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</si>
  <si>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</si>
  <si>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</si>
  <si>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</si>
  <si>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</si>
  <si>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</si>
  <si>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</si>
  <si>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</si>
  <si>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</si>
  <si>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</si>
  <si>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</si>
  <si>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</si>
  <si>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</si>
  <si>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</si>
  <si>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</si>
  <si>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</si>
  <si>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</si>
  <si>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</si>
  <si>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</si>
  <si>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</si>
  <si>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</si>
  <si>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</si>
  <si>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</si>
  <si>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</si>
  <si>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</si>
  <si>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</si>
  <si>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</si>
  <si>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</si>
  <si>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</si>
  <si>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</si>
  <si>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</si>
  <si>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</si>
  <si>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</si>
  <si>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</si>
  <si>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</si>
  <si>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</si>
  <si>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</si>
  <si>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</si>
  <si>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CVA cde energia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</si>
  <si>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</si>
  <si>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</si>
  <si>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</si>
  <si>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</si>
  <si>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</si>
  <si>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</si>
  <si>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</si>
  <si>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</si>
  <si>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</si>
  <si>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</si>
  <si>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CDE Elet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</si>
  <si>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</si>
  <si>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</si>
  <si>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</si>
  <si>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</si>
  <si>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</si>
  <si>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</si>
  <si>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</si>
  <si>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</si>
  <si>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</si>
  <si>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</si>
  <si>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</si>
  <si>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</si>
  <si>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</si>
  <si>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</si>
  <si>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</si>
  <si>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</si>
  <si>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</si>
  <si>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</si>
  <si>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</si>
  <si>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</si>
  <si>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</si>
  <si>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</si>
  <si>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</si>
  <si>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</si>
  <si>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</si>
  <si>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</si>
  <si>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</si>
  <si>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</si>
  <si>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</si>
  <si>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</si>
  <si>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</si>
  <si>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</si>
  <si>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</si>
  <si>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</si>
  <si>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</si>
  <si>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</si>
  <si>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</si>
  <si>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</si>
  <si>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</si>
  <si>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</si>
  <si>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</si>
  <si>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</si>
  <si>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</si>
  <si>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</si>
  <si>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</si>
  <si>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</si>
  <si>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</si>
  <si>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</si>
  <si>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</si>
  <si>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</si>
  <si>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</si>
  <si>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</si>
  <si>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</si>
  <si>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</si>
  <si>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</si>
  <si>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</si>
  <si>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</si>
  <si>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</si>
  <si>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</si>
  <si>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</si>
  <si>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</si>
  <si>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</si>
  <si>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</si>
  <si>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</si>
  <si>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</si>
  <si>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</si>
  <si>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</si>
  <si>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</si>
  <si>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</si>
  <si>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</si>
  <si>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</si>
  <si>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</si>
  <si>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</si>
  <si>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</si>
  <si>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</si>
  <si>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</si>
  <si>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</si>
  <si>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</si>
  <si>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</si>
  <si>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</si>
  <si>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</si>
  <si>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</si>
  <si>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</si>
  <si>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</si>
  <si>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</si>
  <si>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</si>
  <si>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</si>
  <si>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</si>
  <si>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</si>
  <si>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</si>
  <si>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</si>
  <si>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</si>
  <si>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</si>
  <si>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</si>
  <si>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</si>
  <si>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</si>
  <si>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</si>
  <si>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</si>
  <si>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</si>
  <si>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</si>
  <si>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</si>
  <si>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</si>
  <si>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</si>
  <si>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</si>
  <si>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</si>
  <si>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</si>
  <si>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</si>
  <si>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</si>
  <si>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</si>
  <si>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</si>
  <si>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</si>
  <si>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</si>
  <si>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</si>
  <si>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</si>
  <si>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</si>
  <si>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</si>
  <si>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</si>
  <si>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</si>
  <si>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</si>
  <si>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</si>
  <si>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</si>
  <si>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Ampla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</si>
  <si>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</si>
  <si>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</si>
  <si>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</si>
  <si>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</si>
  <si>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</si>
  <si>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</si>
  <si>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</si>
  <si>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</si>
  <si>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</si>
  <si>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</si>
  <si>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</si>
  <si>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</si>
  <si>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</si>
  <si>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</si>
  <si>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</si>
  <si>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</si>
  <si>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</si>
  <si>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</si>
  <si>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</si>
  <si>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</si>
  <si>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</si>
  <si>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</si>
  <si>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</si>
  <si>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</si>
  <si>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</si>
  <si>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</si>
  <si>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</si>
  <si>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</si>
  <si>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</si>
  <si>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</si>
  <si>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</si>
  <si>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</si>
  <si>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</si>
  <si>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</si>
  <si>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</si>
  <si>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</si>
  <si>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</si>
  <si>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</si>
  <si>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</si>
  <si>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</si>
  <si>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</si>
  <si>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</si>
  <si>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</si>
  <si>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</si>
  <si>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</si>
  <si>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</si>
  <si>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</si>
  <si>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</si>
  <si>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</si>
  <si>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</si>
  <si>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</si>
  <si>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</si>
  <si>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</si>
  <si>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</si>
  <si>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</si>
  <si>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</si>
  <si>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</si>
  <si>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</si>
  <si>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</si>
  <si>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</si>
  <si>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</si>
  <si>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</si>
  <si>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</si>
  <si>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</si>
  <si>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</si>
  <si>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</si>
  <si>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</si>
  <si>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</si>
  <si>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</si>
  <si>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</si>
  <si>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</si>
  <si>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</si>
  <si>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</si>
  <si>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</si>
  <si>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</si>
  <si>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</si>
  <si>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</si>
  <si>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</si>
  <si>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</si>
  <si>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</si>
  <si>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</si>
  <si>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</si>
  <si>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</si>
  <si>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</si>
  <si>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</si>
  <si>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</si>
  <si>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</si>
  <si>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</si>
  <si>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</si>
  <si>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</si>
  <si>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</si>
  <si>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</si>
  <si>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</si>
  <si>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</si>
  <si>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</si>
  <si>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</si>
  <si>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</si>
  <si>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</si>
  <si>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</si>
  <si>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</si>
  <si>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</si>
  <si>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</si>
  <si>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</si>
  <si>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</si>
  <si>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</si>
  <si>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</si>
  <si>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</si>
  <si>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</si>
  <si>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</si>
  <si>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</si>
  <si>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</si>
  <si>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</si>
  <si>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</si>
  <si>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</si>
  <si>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</si>
  <si>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</si>
  <si>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</si>
  <si>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</si>
  <si>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</si>
  <si>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</si>
  <si>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</si>
  <si>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</si>
  <si>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</si>
  <si>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</si>
  <si>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</si>
  <si>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</si>
  <si>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</si>
  <si>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</si>
  <si>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</si>
  <si>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</si>
  <si>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</si>
  <si>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</si>
  <si>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</si>
  <si>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</si>
  <si>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</si>
  <si>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</si>
  <si>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</si>
  <si>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</si>
  <si>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</si>
  <si>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</si>
  <si>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</si>
  <si>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</si>
  <si>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</si>
  <si>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</si>
  <si>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</si>
  <si>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</si>
  <si>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</si>
  <si>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</si>
  <si>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</si>
  <si>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</si>
  <si>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</si>
  <si>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</si>
  <si>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</si>
  <si>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</si>
  <si>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</si>
  <si>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</si>
  <si>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</si>
  <si>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</si>
  <si>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</si>
  <si>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</si>
  <si>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</si>
  <si>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</si>
  <si>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</si>
  <si>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</si>
  <si>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</si>
  <si>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</si>
  <si>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</si>
  <si>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</si>
  <si>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</si>
  <si>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</si>
  <si>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</si>
  <si>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</si>
  <si>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</si>
  <si>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</si>
  <si>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</si>
  <si>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</si>
  <si>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</si>
  <si>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</si>
  <si>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</si>
  <si>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</si>
  <si>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</si>
  <si>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</si>
  <si>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</si>
  <si>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</si>
  <si>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</si>
  <si>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</si>
  <si>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</si>
  <si>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</si>
  <si>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</si>
  <si>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</si>
  <si>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</si>
  <si>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</si>
  <si>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</si>
  <si>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B2-RURAL</t>
  </si>
  <si>
    <t>B2-IRRIGANTE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</si>
  <si>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</si>
  <si>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</si>
  <si>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</si>
  <si>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</si>
  <si>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</si>
  <si>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</si>
  <si>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</si>
  <si>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</si>
  <si>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</si>
  <si>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</si>
  <si>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</si>
  <si>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</si>
  <si>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</si>
  <si>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</si>
  <si>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</si>
  <si>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</si>
  <si>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</si>
  <si>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</si>
  <si>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</si>
  <si>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</si>
  <si>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</si>
  <si>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</si>
  <si>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</si>
  <si>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</si>
  <si>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</si>
  <si>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</si>
  <si>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</si>
  <si>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</si>
  <si>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</si>
  <si>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</si>
  <si>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</si>
  <si>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</si>
  <si>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</si>
  <si>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</si>
  <si>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</si>
  <si>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</si>
  <si>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</si>
  <si>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</si>
  <si>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</si>
  <si>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</si>
  <si>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</si>
  <si>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</si>
  <si>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</si>
  <si>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</si>
  <si>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</si>
  <si>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</si>
  <si>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</si>
  <si>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</si>
  <si>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</si>
  <si>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</si>
  <si>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</si>
  <si>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</si>
  <si>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</si>
  <si>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</si>
  <si>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</si>
  <si>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</si>
  <si>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</si>
  <si>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</si>
  <si>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</si>
  <si>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</si>
  <si>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</si>
  <si>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</si>
  <si>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</si>
  <si>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</si>
  <si>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</si>
  <si>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</si>
  <si>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</si>
  <si>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</si>
  <si>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</si>
  <si>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</si>
  <si>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</si>
  <si>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</si>
  <si>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</si>
  <si>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</si>
  <si>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</si>
  <si>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</si>
  <si>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</si>
  <si>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</si>
  <si>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</si>
  <si>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</si>
  <si>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</si>
  <si>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</si>
  <si>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</si>
  <si>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</si>
  <si>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</si>
  <si>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</si>
  <si>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</si>
  <si>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</si>
  <si>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</si>
  <si>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</si>
  <si>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</si>
  <si>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</si>
  <si>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</si>
  <si>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</si>
  <si>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</si>
  <si>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</si>
  <si>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</si>
  <si>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</si>
  <si>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</si>
  <si>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</si>
  <si>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</si>
  <si>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</si>
  <si>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</si>
  <si>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</si>
  <si>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</si>
  <si>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</si>
  <si>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</si>
  <si>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</si>
  <si>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</si>
  <si>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</si>
  <si>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</si>
  <si>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</si>
  <si>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</si>
  <si>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</si>
  <si>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</si>
  <si>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</si>
  <si>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</si>
  <si>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</si>
  <si>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</si>
  <si>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</si>
  <si>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</si>
  <si>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</si>
  <si>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</si>
  <si>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</si>
  <si>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</si>
  <si>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</si>
  <si>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</si>
  <si>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</si>
  <si>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</si>
  <si>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</si>
  <si>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</si>
  <si>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</si>
  <si>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</si>
  <si>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</si>
  <si>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</si>
  <si>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</si>
  <si>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</si>
  <si>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</si>
  <si>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</si>
  <si>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</si>
  <si>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</si>
  <si>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</si>
  <si>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</si>
  <si>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</si>
  <si>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</si>
  <si>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</si>
  <si>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</si>
  <si>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</si>
  <si>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</si>
  <si>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</si>
  <si>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</si>
  <si>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</si>
  <si>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</si>
  <si>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</si>
  <si>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</si>
  <si>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</si>
  <si>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</si>
  <si>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</si>
  <si>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</si>
  <si>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</si>
  <si>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</si>
  <si>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</si>
  <si>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</si>
  <si>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</si>
  <si>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</si>
  <si>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</si>
  <si>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</si>
  <si>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</si>
  <si>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</si>
  <si>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</si>
  <si>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</si>
  <si>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</si>
  <si>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</si>
  <si>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</si>
  <si>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</si>
  <si>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</si>
  <si>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</si>
  <si>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</si>
  <si>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</si>
  <si>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</si>
  <si>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</si>
  <si>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</si>
  <si>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</si>
  <si>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</si>
  <si>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</si>
  <si>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</si>
  <si>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</si>
  <si>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</si>
  <si>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</si>
  <si>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</si>
  <si>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</si>
  <si>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</si>
  <si>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</si>
  <si>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</si>
  <si>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</si>
  <si>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</si>
  <si>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DSP 1.708/2022</t>
  </si>
  <si>
    <t>Previsão-SGT-2022</t>
  </si>
  <si>
    <t>Previsão-2022</t>
  </si>
  <si>
    <t>RGE Uni</t>
  </si>
  <si>
    <t>RESOLUÇÃO HOMOLOGATÓRIA Nº 3.045, DE 21 DE JUNHO DE 2022</t>
  </si>
  <si>
    <t>Fora ponta</t>
  </si>
  <si>
    <t>Energia suprimento permissionária</t>
  </si>
  <si>
    <t>598</t>
  </si>
  <si>
    <t>CRELUZ - COOPERATIVA DE DISTRIBUIÇÃO DE ENERGIA</t>
  </si>
  <si>
    <t>396</t>
  </si>
  <si>
    <t>RGE SUL DISTRIBUIDORA DE ENERGIA S.A.</t>
  </si>
  <si>
    <t>A2 (88 a 138 kV)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</si>
  <si>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</si>
  <si>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</si>
  <si>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</si>
  <si>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</si>
  <si>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</si>
  <si>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</si>
  <si>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</si>
  <si>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</si>
  <si>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</si>
  <si>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</si>
  <si>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</si>
  <si>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</si>
  <si>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</si>
  <si>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</si>
  <si>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</si>
  <si>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</si>
  <si>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</si>
  <si>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</si>
  <si>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B2</t>
  </si>
  <si>
    <t>Poder público</t>
  </si>
  <si>
    <t>Azul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</si>
  <si>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</si>
  <si>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</si>
  <si>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</si>
  <si>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</si>
  <si>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</si>
  <si>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</si>
  <si>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</si>
  <si>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</si>
  <si>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</si>
  <si>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PROJETADO</t>
  </si>
  <si>
    <t>RIO FORTALEZA</t>
  </si>
  <si>
    <t>GERAÇÃO</t>
  </si>
  <si>
    <t>BRAGA</t>
  </si>
  <si>
    <t>LINHA GRANJA VELHA</t>
  </si>
  <si>
    <t>CARLOS BEVILÁCQUA</t>
  </si>
  <si>
    <t>MOINHO</t>
  </si>
  <si>
    <t>CASCATA DO BARREIRO</t>
  </si>
  <si>
    <t>SOLAR BOA VISTA</t>
  </si>
  <si>
    <t>SOLAR SÃO MIGUEL</t>
  </si>
  <si>
    <t>SOLAR SÃO GABRIEL</t>
  </si>
  <si>
    <t>SOLAR SÃO RAFAEL</t>
  </si>
  <si>
    <t>Efrain Pereira da Cruz</t>
  </si>
  <si>
    <t>48500.004968/2021-33</t>
  </si>
  <si>
    <t>OFÍCIO_D_036-22</t>
  </si>
  <si>
    <t>Copel Comercializadora</t>
  </si>
  <si>
    <t>48500.002715/2015-87</t>
  </si>
  <si>
    <t>48500.000646/2021-15</t>
  </si>
  <si>
    <t>Neutralidade Conta COVID</t>
  </si>
  <si>
    <t>CUSD A4DP</t>
  </si>
  <si>
    <t>CUSD A4DFP</t>
  </si>
  <si>
    <t>CUSD A4E</t>
  </si>
  <si>
    <t>CUSD A2DP</t>
  </si>
  <si>
    <t>CUSD A2DFP</t>
  </si>
  <si>
    <t>CUSD A2E</t>
  </si>
  <si>
    <t>REH 2915/2021</t>
  </si>
  <si>
    <t>Spread Conta Covid</t>
  </si>
  <si>
    <t xml:space="preserve">Spread Conta Covid - REN 952/2021, Art. 4º) 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</si>
  <si>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</si>
  <si>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</si>
  <si>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</si>
  <si>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</si>
  <si>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</si>
  <si>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</si>
  <si>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</si>
  <si>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</si>
  <si>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</si>
  <si>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</si>
  <si>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</si>
  <si>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</si>
  <si>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</si>
  <si>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</si>
  <si>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</si>
  <si>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</si>
  <si>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</si>
  <si>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</si>
  <si>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</si>
  <si>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</si>
  <si>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</si>
  <si>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</si>
  <si>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</si>
  <si>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Subsidio Carga Fonte Incentivada</t>
  </si>
  <si>
    <t>Subsidio Geração Fonte Incentivada</t>
  </si>
  <si>
    <t>PLEITO: "Informamos que a Creluz-D utilizou todos os Créditos de Pis Cofins sobre o ICMS resultado de ações judiciais no 
processo tarifário de 2021"</t>
  </si>
  <si>
    <t xml:space="preserve"> reversão 2021 (R$1.672.651)</t>
  </si>
  <si>
    <t>Informações para o cálculo da Sobrecontratação</t>
  </si>
  <si>
    <t>Perdas DRA realizadas</t>
  </si>
  <si>
    <t>Soma de TE_E</t>
  </si>
  <si>
    <t>Risco Hidrológico</t>
  </si>
  <si>
    <t>Sobrecontratação/Reversão de Energia - Energia de Revenda</t>
  </si>
  <si>
    <t>Sobrecontratação/Reversão de Energia - Perda Não Técnica</t>
  </si>
  <si>
    <t>Sobrecontratação/Reversão de Energia - Perda Técnica</t>
  </si>
  <si>
    <t>Sobrecontratação/Reversão de Energia - Perda Rede Básica sobre Dist.</t>
  </si>
  <si>
    <t>Sobrecontratação/Reversão de Energia - Perda Rede Básica sobre mercado Cat.</t>
  </si>
  <si>
    <t>%TE</t>
  </si>
  <si>
    <t>%TUSD</t>
  </si>
  <si>
    <t>Neutralidade Crédito Pis Cofins</t>
  </si>
  <si>
    <t>Reversão da Previsão de Risco Hidrologico</t>
  </si>
  <si>
    <t>Conta Escassez H. - Imp jul- ago/2021</t>
  </si>
  <si>
    <t>Conta Escassez H. - Bônus Red. Voluntária</t>
  </si>
  <si>
    <t>Conta Escassez H. - Diferimento</t>
  </si>
  <si>
    <t>Sobrecontratação/Reversão de Energia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</si>
</sst>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2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_-&quot;R$&quot;\ * #,##0.00_-;\-&quot;R$&quot;\ * #,##0.00_-;_-&quot;R$&quot;\ * &quot;-&quot;??_-;_-@_-"/>
    <numFmt numFmtId="165" formatCode="_(* #,##0_);_(* \(#,##0\);_(* &quot;-&quot;_);_(@_)"/>
    <numFmt numFmtId="166" formatCode="_(&quot;R$ &quot;* #,##0.00_);_(&quot;R$ &quot;* \(#,##0.00\);_(&quot;R$ &quot;* &quot;-&quot;??_);_(@_)"/>
    <numFmt numFmtId="167" formatCode="_(* #,##0.00_);_(* \(#,##0.00\);_(* &quot;-&quot;??_);_(@_)"/>
    <numFmt numFmtId="168" formatCode="&quot;$&quot;#,##0_);[Red]\(&quot;$&quot;#,##0\)"/>
    <numFmt numFmtId="169" formatCode="_(* #,##0_);_(* \(#,##0\);_(* &quot;-&quot;??_);_(@_)"/>
    <numFmt numFmtId="170" formatCode="[$-416]mmm\-yy;@"/>
    <numFmt numFmtId="171" formatCode="_(* #,##0.0000_);_(* \(#,##0.0000\);_(* &quot;-&quot;??_);_(@_)"/>
    <numFmt numFmtId="172" formatCode="0.0000"/>
    <numFmt numFmtId="173" formatCode="0.000"/>
    <numFmt numFmtId="174" formatCode="#,##0.0_);\(#,##0.0\)"/>
    <numFmt numFmtId="175" formatCode="#,##0.000"/>
    <numFmt numFmtId="176" formatCode="m\-d\-\y\y"/>
    <numFmt numFmtId="177" formatCode="General_)"/>
    <numFmt numFmtId="178" formatCode="#\ ###\ ###\ ##0\ "/>
    <numFmt numFmtId="179" formatCode="yyyy"/>
    <numFmt numFmtId="180" formatCode="&quot;\&quot;#,##0.00;[Red]&quot;\&quot;\-#,##0.00"/>
    <numFmt numFmtId="181" formatCode="&quot;$&quot;#,##0\ ;\(&quot;$&quot;#,##0\)"/>
    <numFmt numFmtId="182" formatCode="\U\S\$#,##0.00;\(\U\S\$#,##0.00\)"/>
    <numFmt numFmtId="183" formatCode="_([$€]* #,##0.00_);_([$€]* \(#,##0.00\);_([$€]* &quot;-&quot;??_);_(@_)"/>
    <numFmt numFmtId="184" formatCode="_-* #,##0.0_-;\-* #,##0.0_-;_-* &quot;-&quot;??_-;_-@_-"/>
    <numFmt numFmtId="185" formatCode="#,#00"/>
    <numFmt numFmtId="186" formatCode="0.0%;_(&quot;-&quot;_)"/>
    <numFmt numFmtId="187" formatCode="\$#,"/>
    <numFmt numFmtId="188" formatCode="0.00_)"/>
    <numFmt numFmtId="189" formatCode="0.00%;\(0.00%\)"/>
    <numFmt numFmtId="190" formatCode="#,##0.00;\(#,##0.00\)"/>
    <numFmt numFmtId="191" formatCode="#,"/>
    <numFmt numFmtId="192" formatCode="#.##000"/>
    <numFmt numFmtId="193" formatCode="#.##0,"/>
    <numFmt numFmtId="194" formatCode="[$-416]mmmm\-yy;@"/>
    <numFmt numFmtId="195" formatCode="_(* #,##0.0000000_);_(* \(#,##0.0000000\);_(* &quot;-&quot;??_);_(@_)"/>
    <numFmt numFmtId="196" formatCode="000"/>
    <numFmt numFmtId="197" formatCode="_-&quot;$&quot;* #,##0_-;\-&quot;$&quot;* #,##0_-;_-&quot;$&quot;* &quot;-&quot;_-;_-@_-"/>
    <numFmt numFmtId="198" formatCode="_-&quot;$&quot;* #,##0.00_-;\-&quot;$&quot;* #,##0.00_-;_-&quot;$&quot;* &quot;-&quot;??_-;_-@_-"/>
    <numFmt numFmtId="199" formatCode="[Blue]General"/>
    <numFmt numFmtId="200" formatCode="#,##0.00&quot; $&quot;;\-#,##0.00&quot; $&quot;"/>
    <numFmt numFmtId="201" formatCode="_ * #,##0.00_ ;_ * \-#,##0.00_ ;_ * &quot;-&quot;??_ ;_ @_ "/>
    <numFmt numFmtId="202" formatCode="_-* #,##0.00\ &quot;kr&quot;_-;\-* #,##0.00\ &quot;kr&quot;_-;_-* &quot;-&quot;??\ &quot;kr&quot;_-;_-@_-"/>
    <numFmt numFmtId="203" formatCode="mm/yy"/>
    <numFmt numFmtId="204" formatCode="dd/mm/yy"/>
    <numFmt numFmtId="205" formatCode="###0;[Blue]\(###0\)"/>
    <numFmt numFmtId="206" formatCode="#,##0;[Blue]\(#,##0\)"/>
    <numFmt numFmtId="207" formatCode="#,##0.0;[Blue]\(#,##0.0\)"/>
    <numFmt numFmtId="208" formatCode="0%;[Red]\(0%\)"/>
    <numFmt numFmtId="209" formatCode="#,##0.0%;[Blue]\(#,##0.0%\)"/>
    <numFmt numFmtId="210" formatCode="0.0%;[Blue]\(0.0%\)"/>
    <numFmt numFmtId="211" formatCode="0.00%;[Red]\(0.00%\)"/>
    <numFmt numFmtId="212" formatCode="#,##0.0_);[Red]\(#,##0.0\)"/>
    <numFmt numFmtId="213" formatCode="&quot;R$&quot;\ #,##0.00"/>
    <numFmt numFmtId="214" formatCode="_(* #,##0.0_);_(* \(#,##0.0\);_(* &quot;-&quot;??_);_(@_)"/>
    <numFmt numFmtId="215" formatCode="_(* #,##0.000_);_(* \(#,##0.000\);_(* &quot;-&quot;??_);_(@_)"/>
    <numFmt numFmtId="216" formatCode="0.0%"/>
    <numFmt numFmtId="217" formatCode="_([$€]\ * #,##0.00_);_([$€]\ * \(#,##0.00\);_([$€]\ * &quot;-&quot;??_);_(@_)"/>
    <numFmt numFmtId="218" formatCode="_(* #,##0_)&quot;MWh&quot;;_(* \(#,##0\)&quot;MWh&quot;;_(* &quot;-&quot;??_)&quot;MWh&quot;;_(@_)"/>
    <numFmt numFmtId="219" formatCode="_([$€-2]* #,##0.00_);_([$€-2]* \(#,##0.00\);_([$€-2]* &quot;-&quot;??_)"/>
    <numFmt numFmtId="220" formatCode="_([$€-2]* #,##0.0000_);_([$€-2]* \(#,##0.0000\);_([$€-2]* &quot;-&quot;??_)"/>
    <numFmt numFmtId="221" formatCode="&quot;$&quot;#,##0_);\(&quot;$&quot;#,##0\)"/>
    <numFmt numFmtId="222" formatCode="_(* #,##0.0_);_(* \(#,##0.0\);_(* &quot;-&quot;?_);_(@_)"/>
    <numFmt numFmtId="223" formatCode="#,##0.00\ &quot;m³/d&quot;"/>
    <numFmt numFmtId="224" formatCode="0.000_)"/>
    <numFmt numFmtId="225" formatCode="#,##0_);[Red]\(#,##0\);"/>
    <numFmt numFmtId="226" formatCode="#,##0.0000_);[Red]\(#,##0.00000\)"/>
    <numFmt numFmtId="227" formatCode="&quot;$&quot;#,##0_);[Red]\(&quot;$&quot;#,##0\);"/>
    <numFmt numFmtId="228" formatCode="_(* #,##0.00_);_(* \(#,##0.00\);_(* \-??_);_(@_)"/>
    <numFmt numFmtId="229" formatCode=";;;"/>
    <numFmt numFmtId="230" formatCode="#,##0.00\ &quot;Pts&quot;;\-#,##0.00\ &quot;Pts&quot;"/>
    <numFmt numFmtId="231" formatCode="0.00000000"/>
    <numFmt numFmtId="232" formatCode="#,##0.00&quot;F&quot;_);\(#,##0.00&quot;F&quot;\)"/>
    <numFmt numFmtId="233" formatCode="0\ 000\ 000\ 000"/>
    <numFmt numFmtId="234" formatCode="#,##0;\(#,##0\)"/>
    <numFmt numFmtId="235" formatCode="_-* #,##0.00\ &quot;Kč&quot;_-;\-* #,##0.00\ &quot;Kč&quot;_-;_-* &quot;-&quot;??\ &quot;Kč&quot;_-;_-@_-"/>
    <numFmt numFmtId="236" formatCode="_ * #,##0_ ;_ * \-#,##0_ ;_ * &quot;-&quot;_ ;_ @_ "/>
    <numFmt numFmtId="237" formatCode="0.0000000000"/>
    <numFmt numFmtId="238" formatCode="_(&quot;N$&quot;* #,##0_);_(&quot;N$&quot;* \(#,##0\);_(&quot;N$&quot;* &quot;-&quot;_);_(@_)"/>
    <numFmt numFmtId="239" formatCode="_(&quot;N$&quot;* #,##0.00_);_(&quot;N$&quot;* \(#,##0.00\);_(&quot;N$&quot;* &quot;-&quot;??_);_(@_)"/>
    <numFmt numFmtId="240" formatCode="&quot;$&quot;#,##0.00_);\(&quot;$&quot;#,##0.00\)"/>
    <numFmt numFmtId="241" formatCode="&quot;$&quot;#,##0.00_);[Red]\(&quot;$&quot;#,##0.00\)"/>
    <numFmt numFmtId="242" formatCode="#,##0.0%;[Red]\(#,##0.0%\)"/>
    <numFmt numFmtId="243" formatCode="0.000000000"/>
    <numFmt numFmtId="244" formatCode="0_)%;[Red]\(0\)%"/>
    <numFmt numFmtId="245" formatCode="0.0\ %;[Red]\(0.0\)%"/>
    <numFmt numFmtId="246" formatCode="0.00\ %;[Red]\(0.00\)%"/>
    <numFmt numFmtId="247" formatCode="_(&quot;$&quot;* #,##0_);_(&quot;$&quot;* \(#,##0\);_(&quot;$&quot;* &quot;-&quot;_);_(@_)"/>
    <numFmt numFmtId="248" formatCode="_(&quot;$&quot;* #,##0.00_);_(&quot;$&quot;* \(#,##0.00\);_(&quot;$&quot;* &quot;-&quot;??_);_(@_)"/>
    <numFmt numFmtId="249" formatCode="%#,#00"/>
    <numFmt numFmtId="250" formatCode="_-* #,##0.00\ _€_-;\-* #,##0.00\ _€_-;_-* &quot;-&quot;??\ _€_-;_-@_-"/>
    <numFmt numFmtId="251" formatCode="0000"/>
    <numFmt numFmtId="252" formatCode="00"/>
    <numFmt numFmtId="253" formatCode="0.0"/>
    <numFmt numFmtId="254" formatCode="_(* #,##0.00000_);_(* \(#,##0.00000\);_(* &quot;-&quot;??_);_(@_)"/>
    <numFmt numFmtId="255" formatCode="_(* #,##0.00_)&quot;MWh&quot;;_(* \(#,##0.00\)&quot;MWh&quot;;_(* &quot;-&quot;??_)&quot;MWh&quot;;_(@_)"/>
    <numFmt numFmtId="256" formatCode="dd\ &quot;de&quot;\ mmmm\ &quot;de&quot;\ yyyy"/>
    <numFmt numFmtId="257" formatCode="mmmm\ &quot;de&quot;\ yyyy"/>
    <numFmt numFmtId="258" formatCode="mmmm/yyyy"/>
    <numFmt numFmtId="259" formatCode="d&quot; de &quot;mmmm&quot; de &quot;yyyy"/>
    <numFmt numFmtId="260" formatCode="#,###.00%"/>
    <numFmt numFmtId="261" formatCode="#,##0.00%"/>
    <numFmt numFmtId="262" formatCode="dd/mm/yy\ hh:mm"/>
    <numFmt numFmtId="263" formatCode="d/m;@"/>
    <numFmt numFmtId="264" formatCode="_-* #,##0.0000_-;\-* #,##0.0000_-;_-* &quot;-&quot;??_-;_-@_-"/>
    <numFmt numFmtId="265" formatCode="_-* #,##0.00000_-;\-* #,##0.00000_-;_-* &quot;-&quot;??_-;_-@_-"/>
    <numFmt numFmtId="266" formatCode="dd\-mmm\-yy"/>
    <numFmt numFmtId="267" formatCode="0.000%"/>
    <numFmt numFmtId="268" formatCode="#,##0.00;\ \(#,##0.00\);;@"/>
    <numFmt numFmtId="269" formatCode="#,##0.00;\ \(#,##0.00\);0.00;@"/>
    <numFmt numFmtId="270" formatCode="#,##0.0000;\ \(#,##0.0000\);0.0000;@"/>
    <numFmt numFmtId="271" formatCode="_(* #,##0.000000_);_(* \(#,##0.000000\);_(* &quot;-&quot;??_);_(@_)"/>
    <numFmt numFmtId="272" formatCode="0.0000%"/>
    <numFmt numFmtId="273" formatCode="_-* #,##0_-;\-* #,##0_-;_-* &quot;-&quot;??_-;_-@_-"/>
    <numFmt numFmtId="274" formatCode="_(&quot;R$ &quot;* #,##0.0000_);_(&quot;R$ &quot;* \(#,##0.0000\);_(&quot;R$ &quot;* &quot;-&quot;??_);_(@_)"/>
    <numFmt numFmtId="275" formatCode="&quot;R$&quot;#,##0.00"/>
    <numFmt numFmtId="276" formatCode="[$-409]ddmmmyyyy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_-\ #,##0.00_-;\-\ #,##0.00_-;_-\ &quot;-&quot;??_-;_-@_-"/>
    <numFmt numFmtId="281" formatCode="mmm/yyyy"/>
    <numFmt numFmtId="282" formatCode="#0.00%;[Red]#0.00%"/>
  </numFmts>
  <fonts count="330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sz val="9"/>
      <color indexed="81"/>
      <name val="Segoe UI"/>
      <family val="2"/>
    </font>
    <font>
      <sz val="11"/>
      <color rgb="FF000000"/>
      <name val="Calibri"/>
      <family val="2"/>
      <scheme val="minor"/>
    </font>
    <font>
      <b/>
      <sz val="10"/>
      <color rgb="FFFFFFFF"/>
      <name val="Calibri"/>
      <family val="2"/>
    </font>
    <font>
      <b/>
      <sz val="10"/>
      <color rgb="FF000000"/>
      <name val="Calibri"/>
      <family val="2"/>
    </font>
    <font>
      <sz val="10"/>
      <color theme="0" tint="-0.34998626667073579"/>
      <name val="Microsoft New Tai Lue"/>
      <family val="2"/>
    </font>
    <font>
      <sz val="8"/>
      <color theme="0" tint="-0.34998626667073579"/>
      <name val="Arial"/>
      <family val="2"/>
    </font>
    <font>
      <sz val="8"/>
      <name val="Arial Narrow"/>
      <family val="2"/>
    </font>
    <font>
      <sz val="12"/>
      <color rgb="FFFF0000"/>
      <name val="Arial Narrow"/>
      <family val="2"/>
    </font>
  </fonts>
  <fills count="142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Up">
        <bgColor indexed="9"/>
      </patternFill>
    </fill>
    <fill>
      <patternFill patternType="darkUp">
        <bgColor theme="8" tint="0.59996337778862885"/>
      </patternFill>
    </fill>
    <fill>
      <patternFill patternType="lightUp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ACB9CA"/>
        <bgColor rgb="FF000000"/>
      </patternFill>
    </fill>
  </fills>
  <borders count="2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/>
      <top/>
      <bottom style="thin">
        <color indexed="5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D9D9D9"/>
      </right>
      <top style="thin">
        <color indexed="64"/>
      </top>
      <bottom style="thin">
        <color indexed="64"/>
      </bottom>
      <diagonal/>
    </border>
    <border>
      <left style="thin">
        <color rgb="FFD9D9D9"/>
      </left>
      <right style="thin">
        <color rgb="FFD9D9D9"/>
      </right>
      <top style="thin">
        <color indexed="64"/>
      </top>
      <bottom style="thin">
        <color indexed="64"/>
      </bottom>
      <diagonal/>
    </border>
    <border>
      <left style="thin">
        <color rgb="FFD9D9D9"/>
      </left>
      <right/>
      <top style="thin">
        <color indexed="64"/>
      </top>
      <bottom style="thin">
        <color indexed="64"/>
      </bottom>
      <diagonal/>
    </border>
    <border>
      <left style="thin">
        <color rgb="FFD9D9D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/>
      <top/>
      <bottom/>
      <diagonal/>
    </border>
  </borders>
  <cellStyleXfs count="43442">
    <xf numFmtId="0" fontId="0" fillId="0" borderId="0"/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2" fillId="0" borderId="0"/>
    <xf numFmtId="0" fontId="32" fillId="0" borderId="0"/>
    <xf numFmtId="0" fontId="32" fillId="0" borderId="0"/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2" fillId="0" borderId="0"/>
    <xf numFmtId="0" fontId="32" fillId="0" borderId="0"/>
    <xf numFmtId="0" fontId="32" fillId="0" borderId="0"/>
    <xf numFmtId="3" fontId="49" fillId="2" borderId="0">
      <alignment horizontal="left"/>
    </xf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3" fontId="51" fillId="9" borderId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3" fillId="0" borderId="0"/>
    <xf numFmtId="0" fontId="54" fillId="0" borderId="0"/>
    <xf numFmtId="0" fontId="54" fillId="0" borderId="0"/>
    <xf numFmtId="37" fontId="55" fillId="0" borderId="0"/>
    <xf numFmtId="0" fontId="55" fillId="0" borderId="1" applyBorder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76" fontId="33" fillId="22" borderId="2">
      <alignment horizontal="center" vertical="center"/>
    </xf>
    <xf numFmtId="0" fontId="42" fillId="0" borderId="0"/>
    <xf numFmtId="10" fontId="32" fillId="23" borderId="0" applyFont="0" applyBorder="0" applyAlignment="0">
      <protection locked="0"/>
    </xf>
    <xf numFmtId="172" fontId="32" fillId="23" borderId="0" applyBorder="0" applyAlignment="0">
      <protection locked="0"/>
    </xf>
    <xf numFmtId="3" fontId="56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58" fillId="4" borderId="0" applyNumberFormat="0" applyBorder="0" applyAlignment="0" applyProtection="0"/>
    <xf numFmtId="0" fontId="59" fillId="0" borderId="0" applyNumberFormat="0" applyFill="0" applyBorder="0" applyAlignment="0" applyProtection="0"/>
    <xf numFmtId="0" fontId="32" fillId="0" borderId="0" applyNumberFormat="0" applyFill="0" applyBorder="0" applyAlignment="0"/>
    <xf numFmtId="177" fontId="60" fillId="0" borderId="0">
      <alignment vertical="top"/>
    </xf>
    <xf numFmtId="178" fontId="61" fillId="0" borderId="3"/>
    <xf numFmtId="0" fontId="62" fillId="5" borderId="0" applyNumberFormat="0" applyBorder="0" applyAlignment="0" applyProtection="0"/>
    <xf numFmtId="0" fontId="63" fillId="0" borderId="0">
      <protection locked="0"/>
    </xf>
    <xf numFmtId="0" fontId="63" fillId="0" borderId="0">
      <protection locked="0"/>
    </xf>
    <xf numFmtId="14" fontId="64" fillId="24" borderId="4" applyBorder="0" applyAlignment="0">
      <alignment horizontal="center" vertical="center"/>
    </xf>
    <xf numFmtId="0" fontId="64" fillId="25" borderId="4" applyNumberFormat="0" applyBorder="0" applyAlignment="0">
      <alignment horizontal="center" vertical="center"/>
    </xf>
    <xf numFmtId="179" fontId="42" fillId="0" borderId="0" applyFill="0" applyBorder="0" applyAlignment="0"/>
    <xf numFmtId="177" fontId="65" fillId="0" borderId="0" applyFill="0" applyBorder="0" applyAlignment="0"/>
    <xf numFmtId="173" fontId="65" fillId="0" borderId="0" applyFill="0" applyBorder="0" applyAlignment="0"/>
    <xf numFmtId="174" fontId="47" fillId="0" borderId="0" applyFill="0" applyBorder="0" applyAlignment="0"/>
    <xf numFmtId="180" fontId="32" fillId="0" borderId="0" applyFill="0" applyBorder="0" applyAlignment="0"/>
    <xf numFmtId="179" fontId="42" fillId="0" borderId="0" applyFill="0" applyBorder="0" applyAlignment="0"/>
    <xf numFmtId="0" fontId="42" fillId="0" borderId="0" applyFill="0" applyBorder="0" applyAlignment="0"/>
    <xf numFmtId="177" fontId="65" fillId="0" borderId="0" applyFill="0" applyBorder="0" applyAlignment="0"/>
    <xf numFmtId="0" fontId="66" fillId="26" borderId="5" applyNumberFormat="0" applyAlignment="0" applyProtection="0"/>
    <xf numFmtId="0" fontId="66" fillId="26" borderId="5" applyNumberFormat="0" applyAlignment="0" applyProtection="0"/>
    <xf numFmtId="40" fontId="65" fillId="23" borderId="6">
      <alignment vertical="center"/>
    </xf>
    <xf numFmtId="0" fontId="67" fillId="27" borderId="7" applyNumberFormat="0" applyAlignment="0" applyProtection="0"/>
    <xf numFmtId="0" fontId="68" fillId="0" borderId="8" applyNumberFormat="0" applyFill="0" applyAlignment="0" applyProtection="0"/>
    <xf numFmtId="0" fontId="67" fillId="27" borderId="7" applyNumberFormat="0" applyAlignment="0" applyProtection="0"/>
    <xf numFmtId="0" fontId="69" fillId="28" borderId="9" applyFont="0" applyFill="0" applyBorder="0"/>
    <xf numFmtId="0" fontId="44" fillId="0" borderId="10"/>
    <xf numFmtId="0" fontId="70" fillId="0" borderId="11"/>
    <xf numFmtId="41" fontId="114" fillId="0" borderId="0" applyFont="0" applyFill="0" applyBorder="0" applyAlignment="0" applyProtection="0"/>
    <xf numFmtId="179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43" fontId="114" fillId="0" borderId="0" applyFont="0" applyFill="0" applyBorder="0" applyAlignment="0" applyProtection="0"/>
    <xf numFmtId="3" fontId="71" fillId="0" borderId="0" applyFont="0" applyFill="0" applyBorder="0" applyAlignment="0" applyProtection="0"/>
    <xf numFmtId="167" fontId="32" fillId="29" borderId="0" applyNumberFormat="0" applyFont="0" applyBorder="0" applyAlignment="0" applyProtection="0"/>
    <xf numFmtId="0" fontId="70" fillId="0" borderId="11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197" fontId="114" fillId="0" borderId="0" applyFont="0" applyFill="0" applyBorder="0" applyAlignment="0" applyProtection="0"/>
    <xf numFmtId="177" fontId="65" fillId="0" borderId="0" applyFont="0" applyFill="0" applyBorder="0" applyAlignment="0" applyProtection="0"/>
    <xf numFmtId="198" fontId="114" fillId="0" borderId="0" applyFont="0" applyFill="0" applyBorder="0" applyAlignment="0" applyProtection="0"/>
    <xf numFmtId="181" fontId="71" fillId="0" borderId="0" applyFont="0" applyFill="0" applyBorder="0" applyAlignment="0" applyProtection="0"/>
    <xf numFmtId="0" fontId="63" fillId="0" borderId="0">
      <protection locked="0"/>
    </xf>
    <xf numFmtId="168" fontId="73" fillId="0" borderId="0">
      <protection locked="0"/>
    </xf>
    <xf numFmtId="14" fontId="41" fillId="0" borderId="0" applyFill="0" applyBorder="0" applyAlignment="0"/>
    <xf numFmtId="0" fontId="32" fillId="0" borderId="0" applyFont="0" applyFill="0" applyBorder="0" applyProtection="0">
      <alignment horizontal="left"/>
    </xf>
    <xf numFmtId="0" fontId="32" fillId="0" borderId="0" applyFont="0" applyFill="0" applyBorder="0" applyAlignment="0" applyProtection="0">
      <protection locked="0"/>
    </xf>
    <xf numFmtId="39" fontId="70" fillId="0" borderId="0" applyFont="0" applyFill="0" applyBorder="0" applyAlignment="0" applyProtection="0"/>
    <xf numFmtId="0" fontId="72" fillId="0" borderId="0" applyFont="0" applyFill="0" applyBorder="0" applyAlignment="0"/>
    <xf numFmtId="182" fontId="42" fillId="0" borderId="12">
      <alignment vertical="center"/>
    </xf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79" fontId="42" fillId="0" borderId="0" applyFill="0" applyBorder="0" applyAlignment="0"/>
    <xf numFmtId="177" fontId="65" fillId="0" borderId="0" applyFill="0" applyBorder="0" applyAlignment="0"/>
    <xf numFmtId="179" fontId="42" fillId="0" borderId="0" applyFill="0" applyBorder="0" applyAlignment="0"/>
    <xf numFmtId="0" fontId="42" fillId="0" borderId="0" applyFill="0" applyBorder="0" applyAlignment="0"/>
    <xf numFmtId="177" fontId="65" fillId="0" borderId="0" applyFill="0" applyBorder="0" applyAlignment="0"/>
    <xf numFmtId="0" fontId="74" fillId="8" borderId="5" applyNumberFormat="0" applyAlignment="0" applyProtection="0"/>
    <xf numFmtId="0" fontId="46" fillId="0" borderId="0">
      <alignment vertical="center"/>
    </xf>
    <xf numFmtId="183" fontId="32" fillId="0" borderId="0" applyFont="0" applyFill="0" applyBorder="0" applyAlignment="0" applyProtection="0"/>
    <xf numFmtId="3" fontId="40" fillId="0" borderId="13" applyFill="0" applyBorder="0"/>
    <xf numFmtId="0" fontId="75" fillId="0" borderId="0" applyNumberFormat="0" applyFill="0" applyBorder="0" applyAlignment="0" applyProtection="0"/>
    <xf numFmtId="37" fontId="76" fillId="0" borderId="0" applyBorder="0" applyAlignment="0"/>
    <xf numFmtId="184" fontId="32" fillId="0" borderId="0">
      <protection locked="0"/>
    </xf>
    <xf numFmtId="185" fontId="63" fillId="0" borderId="0">
      <protection locked="0"/>
    </xf>
    <xf numFmtId="0" fontId="115" fillId="0" borderId="0" applyNumberFormat="0" applyFill="0" applyBorder="0" applyAlignment="0" applyProtection="0">
      <alignment vertical="top"/>
      <protection locked="0"/>
    </xf>
    <xf numFmtId="0" fontId="77" fillId="23" borderId="0" applyNumberFormat="0" applyFont="0" applyBorder="0" applyAlignment="0" applyProtection="0">
      <alignment horizontal="centerContinuous"/>
    </xf>
    <xf numFmtId="0" fontId="77" fillId="30" borderId="0" applyNumberFormat="0" applyFont="0" applyBorder="0" applyAlignment="0" applyProtection="0">
      <alignment horizontal="centerContinuous"/>
    </xf>
    <xf numFmtId="0" fontId="78" fillId="9" borderId="14" applyNumberFormat="0" applyFont="0" applyBorder="0" applyAlignment="0"/>
    <xf numFmtId="0" fontId="42" fillId="23" borderId="15" applyNumberFormat="0" applyFont="0" applyBorder="0" applyAlignment="0" applyProtection="0"/>
    <xf numFmtId="10" fontId="32" fillId="23" borderId="0" applyNumberFormat="0" applyFont="0" applyBorder="0" applyAlignment="0"/>
    <xf numFmtId="0" fontId="62" fillId="5" borderId="0" applyNumberFormat="0" applyBorder="0" applyAlignment="0" applyProtection="0"/>
    <xf numFmtId="38" fontId="79" fillId="9" borderId="0" applyNumberFormat="0" applyBorder="0" applyAlignment="0" applyProtection="0"/>
    <xf numFmtId="0" fontId="80" fillId="0" borderId="0" applyNumberFormat="0" applyFill="0" applyBorder="0" applyAlignment="0" applyProtection="0"/>
    <xf numFmtId="0" fontId="81" fillId="0" borderId="16" applyNumberFormat="0" applyAlignment="0" applyProtection="0">
      <alignment horizontal="left" vertical="center"/>
    </xf>
    <xf numFmtId="0" fontId="81" fillId="0" borderId="17">
      <alignment horizontal="left" vertical="center"/>
    </xf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186" fontId="32" fillId="0" borderId="0">
      <protection locked="0"/>
    </xf>
    <xf numFmtId="186" fontId="32" fillId="0" borderId="0">
      <protection locked="0"/>
    </xf>
    <xf numFmtId="0" fontId="85" fillId="0" borderId="19" applyNumberFormat="0" applyFill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58" fillId="4" borderId="0" applyNumberFormat="0" applyBorder="0" applyAlignment="0" applyProtection="0"/>
    <xf numFmtId="0" fontId="46" fillId="0" borderId="0"/>
    <xf numFmtId="37" fontId="86" fillId="0" borderId="0" applyFill="0" applyBorder="0" applyAlignment="0">
      <protection locked="0"/>
    </xf>
    <xf numFmtId="0" fontId="86" fillId="0" borderId="20" applyFill="0" applyBorder="0" applyAlignment="0">
      <alignment horizontal="center"/>
      <protection locked="0"/>
    </xf>
    <xf numFmtId="10" fontId="79" fillId="23" borderId="6" applyNumberFormat="0" applyBorder="0" applyAlignment="0" applyProtection="0"/>
    <xf numFmtId="0" fontId="32" fillId="0" borderId="0" applyFill="0" applyBorder="0" applyAlignment="0">
      <protection locked="0"/>
    </xf>
    <xf numFmtId="0" fontId="72" fillId="0" borderId="0" applyFill="0" applyBorder="0" applyAlignment="0" applyProtection="0">
      <protection locked="0"/>
    </xf>
    <xf numFmtId="179" fontId="42" fillId="0" borderId="0" applyFill="0" applyBorder="0" applyAlignment="0"/>
    <xf numFmtId="177" fontId="65" fillId="0" borderId="0" applyFill="0" applyBorder="0" applyAlignment="0"/>
    <xf numFmtId="179" fontId="42" fillId="0" borderId="0" applyFill="0" applyBorder="0" applyAlignment="0"/>
    <xf numFmtId="0" fontId="42" fillId="0" borderId="0" applyFill="0" applyBorder="0" applyAlignment="0"/>
    <xf numFmtId="177" fontId="65" fillId="0" borderId="0" applyFill="0" applyBorder="0" applyAlignment="0"/>
    <xf numFmtId="0" fontId="68" fillId="0" borderId="8" applyNumberFormat="0" applyFill="0" applyAlignment="0" applyProtection="0"/>
    <xf numFmtId="166" fontId="30" fillId="0" borderId="0" applyFont="0" applyFill="0" applyBorder="0" applyAlignment="0" applyProtection="0"/>
    <xf numFmtId="187" fontId="63" fillId="0" borderId="0">
      <protection locked="0"/>
    </xf>
    <xf numFmtId="0" fontId="32" fillId="0" borderId="0" applyFont="0" applyFill="0" applyBorder="0" applyAlignment="0" applyProtection="0"/>
    <xf numFmtId="3" fontId="87" fillId="2" borderId="1">
      <alignment horizontal="center"/>
    </xf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37" fontId="89" fillId="0" borderId="0"/>
    <xf numFmtId="188" fontId="90" fillId="0" borderId="0"/>
    <xf numFmtId="189" fontId="91" fillId="0" borderId="0"/>
    <xf numFmtId="190" fontId="91" fillId="0" borderId="0"/>
    <xf numFmtId="0" fontId="32" fillId="0" borderId="0" applyFill="0" applyBorder="0" applyAlignment="0"/>
    <xf numFmtId="0" fontId="32" fillId="0" borderId="0">
      <alignment vertical="top"/>
    </xf>
    <xf numFmtId="0" fontId="42" fillId="0" borderId="0"/>
    <xf numFmtId="0" fontId="42" fillId="0" borderId="0"/>
    <xf numFmtId="0" fontId="32" fillId="0" borderId="0"/>
    <xf numFmtId="0" fontId="42" fillId="0" borderId="0"/>
    <xf numFmtId="0" fontId="32" fillId="0" borderId="0"/>
    <xf numFmtId="0" fontId="42" fillId="0" borderId="0"/>
    <xf numFmtId="0" fontId="42" fillId="0" borderId="0"/>
    <xf numFmtId="0" fontId="32" fillId="0" borderId="0" applyProtection="0"/>
    <xf numFmtId="0" fontId="42" fillId="32" borderId="21" applyNumberFormat="0" applyFont="0" applyAlignment="0" applyProtection="0"/>
    <xf numFmtId="0" fontId="32" fillId="32" borderId="21" applyNumberFormat="0" applyFont="0" applyAlignment="0" applyProtection="0"/>
    <xf numFmtId="0" fontId="92" fillId="26" borderId="22" applyNumberFormat="0" applyAlignment="0" applyProtection="0"/>
    <xf numFmtId="0" fontId="93" fillId="33" borderId="0"/>
    <xf numFmtId="0" fontId="32" fillId="0" borderId="23" applyFont="0" applyFill="0" applyBorder="0" applyAlignment="0" applyProtection="0">
      <alignment horizontal="right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175" fontId="4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0" fillId="22" borderId="24" applyNumberFormat="0" applyFont="0" applyBorder="0" applyAlignment="0" applyProtection="0"/>
    <xf numFmtId="179" fontId="42" fillId="0" borderId="0" applyFill="0" applyBorder="0" applyAlignment="0"/>
    <xf numFmtId="177" fontId="65" fillId="0" borderId="0" applyFill="0" applyBorder="0" applyAlignment="0"/>
    <xf numFmtId="179" fontId="42" fillId="0" borderId="0" applyFill="0" applyBorder="0" applyAlignment="0"/>
    <xf numFmtId="0" fontId="42" fillId="0" borderId="0" applyFill="0" applyBorder="0" applyAlignment="0"/>
    <xf numFmtId="177" fontId="65" fillId="0" borderId="0" applyFill="0" applyBorder="0" applyAlignment="0"/>
    <xf numFmtId="14" fontId="64" fillId="34" borderId="19" applyNumberFormat="0" applyFont="0" applyBorder="0" applyAlignment="0" applyProtection="0">
      <alignment horizontal="center" vertical="center"/>
    </xf>
    <xf numFmtId="3" fontId="94" fillId="0" borderId="0" applyFill="0" applyBorder="0" applyAlignment="0" applyProtection="0"/>
    <xf numFmtId="3" fontId="45" fillId="0" borderId="0" applyFill="0" applyBorder="0" applyAlignment="0" applyProtection="0"/>
    <xf numFmtId="3" fontId="94" fillId="0" borderId="0" applyFill="0" applyBorder="0" applyAlignment="0" applyProtection="0"/>
    <xf numFmtId="0" fontId="92" fillId="26" borderId="22" applyNumberFormat="0" applyAlignment="0" applyProtection="0"/>
    <xf numFmtId="38" fontId="72" fillId="0" borderId="0" applyFont="0" applyFill="0" applyBorder="0" applyAlignment="0" applyProtection="0"/>
    <xf numFmtId="191" fontId="95" fillId="0" borderId="0">
      <protection locked="0"/>
    </xf>
    <xf numFmtId="167" fontId="30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2" fillId="0" borderId="0" applyFont="0" applyFill="0" applyBorder="0" applyAlignment="0" applyProtection="0"/>
    <xf numFmtId="38" fontId="72" fillId="35" borderId="0" applyNumberFormat="0" applyFont="0" applyBorder="0" applyAlignment="0" applyProtection="0"/>
    <xf numFmtId="3" fontId="96" fillId="36" borderId="0">
      <alignment horizontal="left"/>
    </xf>
    <xf numFmtId="0" fontId="48" fillId="0" borderId="0">
      <alignment vertical="top"/>
    </xf>
    <xf numFmtId="0" fontId="97" fillId="0" borderId="0"/>
    <xf numFmtId="0" fontId="97" fillId="0" borderId="0"/>
    <xf numFmtId="0" fontId="97" fillId="0" borderId="0"/>
    <xf numFmtId="0" fontId="97" fillId="0" borderId="0"/>
    <xf numFmtId="38" fontId="98" fillId="0" borderId="0" applyFill="0" applyBorder="0" applyAlignment="0" applyProtection="0"/>
    <xf numFmtId="0" fontId="32" fillId="0" borderId="0" applyFill="0" applyBorder="0" applyAlignment="0" applyProtection="0"/>
    <xf numFmtId="49" fontId="41" fillId="0" borderId="0" applyFill="0" applyBorder="0" applyAlignment="0"/>
    <xf numFmtId="0" fontId="42" fillId="0" borderId="0" applyFill="0" applyBorder="0" applyAlignment="0"/>
    <xf numFmtId="0" fontId="42" fillId="0" borderId="0" applyFill="0" applyBorder="0" applyAlignment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" fontId="100" fillId="0" borderId="0" applyFont="0" applyFill="0" applyBorder="0" applyAlignment="0" applyProtection="0">
      <alignment horizontal="left"/>
    </xf>
    <xf numFmtId="0" fontId="101" fillId="0" borderId="0" applyNumberFormat="0" applyFill="0" applyBorder="0" applyAlignment="0" applyProtection="0"/>
    <xf numFmtId="3" fontId="102" fillId="36" borderId="0">
      <alignment horizontal="center"/>
    </xf>
    <xf numFmtId="0" fontId="101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3" fontId="106" fillId="36" borderId="0">
      <alignment horizontal="left"/>
    </xf>
    <xf numFmtId="186" fontId="32" fillId="0" borderId="27">
      <protection locked="0"/>
    </xf>
    <xf numFmtId="3" fontId="51" fillId="37" borderId="0">
      <alignment horizontal="right"/>
    </xf>
    <xf numFmtId="10" fontId="107" fillId="0" borderId="28" applyNumberFormat="0" applyFont="0" applyFill="0" applyAlignment="0" applyProtection="0"/>
    <xf numFmtId="37" fontId="79" fillId="29" borderId="0" applyNumberFormat="0" applyBorder="0" applyAlignment="0" applyProtection="0"/>
    <xf numFmtId="37" fontId="44" fillId="0" borderId="0"/>
    <xf numFmtId="3" fontId="108" fillId="0" borderId="19" applyProtection="0"/>
    <xf numFmtId="192" fontId="63" fillId="0" borderId="0">
      <protection locked="0"/>
    </xf>
    <xf numFmtId="193" fontId="63" fillId="0" borderId="0">
      <protection locked="0"/>
    </xf>
    <xf numFmtId="0" fontId="99" fillId="0" borderId="0" applyNumberFormat="0" applyFill="0" applyBorder="0" applyAlignment="0" applyProtection="0"/>
    <xf numFmtId="0" fontId="32" fillId="0" borderId="17" applyFont="0" applyFill="0" applyBorder="0" applyAlignment="0" applyProtection="0"/>
    <xf numFmtId="166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37" fillId="0" borderId="0">
      <alignment vertical="top"/>
    </xf>
    <xf numFmtId="0" fontId="32" fillId="0" borderId="0"/>
    <xf numFmtId="9" fontId="32" fillId="0" borderId="0" applyFont="0" applyFill="0" applyBorder="0" applyAlignment="0" applyProtection="0"/>
    <xf numFmtId="0" fontId="3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5" fillId="0" borderId="30" applyBorder="0"/>
    <xf numFmtId="199" fontId="32" fillId="22" borderId="2">
      <alignment horizontal="center" vertical="center"/>
    </xf>
    <xf numFmtId="199" fontId="32" fillId="22" borderId="2">
      <alignment horizontal="center" vertical="center"/>
    </xf>
    <xf numFmtId="199" fontId="32" fillId="22" borderId="2">
      <alignment horizontal="center" vertical="center"/>
    </xf>
    <xf numFmtId="199" fontId="32" fillId="22" borderId="2">
      <alignment horizontal="center" vertical="center"/>
    </xf>
    <xf numFmtId="0" fontId="32" fillId="0" borderId="0"/>
    <xf numFmtId="3" fontId="49" fillId="0" borderId="0" applyNumberFormat="0" applyFill="0" applyBorder="0" applyAlignment="0" applyProtection="0"/>
    <xf numFmtId="0" fontId="62" fillId="5" borderId="0" applyNumberFormat="0" applyBorder="0" applyAlignment="0" applyProtection="0"/>
    <xf numFmtId="0" fontId="62" fillId="5" borderId="0" applyNumberFormat="0" applyBorder="0" applyAlignment="0" applyProtection="0"/>
    <xf numFmtId="179" fontId="32" fillId="0" borderId="0" applyFill="0" applyBorder="0" applyAlignment="0"/>
    <xf numFmtId="174" fontId="46" fillId="0" borderId="0" applyFill="0" applyBorder="0" applyAlignment="0"/>
    <xf numFmtId="179" fontId="32" fillId="0" borderId="0" applyFill="0" applyBorder="0" applyAlignment="0"/>
    <xf numFmtId="0" fontId="32" fillId="0" borderId="0" applyFill="0" applyBorder="0" applyAlignment="0"/>
    <xf numFmtId="0" fontId="66" fillId="26" borderId="31" applyNumberFormat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17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4" fontId="37" fillId="0" borderId="0" applyFill="0" applyBorder="0" applyAlignment="0"/>
    <xf numFmtId="182" fontId="32" fillId="0" borderId="12">
      <alignment vertical="center"/>
    </xf>
    <xf numFmtId="0" fontId="84" fillId="0" borderId="0" applyNumberFormat="0" applyFill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79" fontId="32" fillId="0" borderId="0" applyFill="0" applyBorder="0" applyAlignment="0"/>
    <xf numFmtId="179" fontId="32" fillId="0" borderId="0" applyFill="0" applyBorder="0" applyAlignment="0"/>
    <xf numFmtId="0" fontId="32" fillId="0" borderId="0" applyFill="0" applyBorder="0" applyAlignment="0"/>
    <xf numFmtId="0" fontId="74" fillId="8" borderId="31" applyNumberFormat="0" applyAlignment="0" applyProtection="0"/>
    <xf numFmtId="184" fontId="32" fillId="0" borderId="0">
      <protection locked="0"/>
    </xf>
    <xf numFmtId="184" fontId="32" fillId="0" borderId="0">
      <protection locked="0"/>
    </xf>
    <xf numFmtId="184" fontId="32" fillId="0" borderId="0">
      <protection locked="0"/>
    </xf>
    <xf numFmtId="0" fontId="32" fillId="23" borderId="33" applyNumberFormat="0" applyFon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200" fontId="32" fillId="0" borderId="0">
      <protection locked="0"/>
    </xf>
    <xf numFmtId="200" fontId="32" fillId="0" borderId="0">
      <protection locked="0"/>
    </xf>
    <xf numFmtId="200" fontId="32" fillId="0" borderId="0">
      <protection locked="0"/>
    </xf>
    <xf numFmtId="200" fontId="32" fillId="0" borderId="0">
      <protection locked="0"/>
    </xf>
    <xf numFmtId="200" fontId="32" fillId="0" borderId="0">
      <protection locked="0"/>
    </xf>
    <xf numFmtId="200" fontId="32" fillId="0" borderId="0">
      <protection locked="0"/>
    </xf>
    <xf numFmtId="200" fontId="32" fillId="0" borderId="0">
      <protection locked="0"/>
    </xf>
    <xf numFmtId="200" fontId="32" fillId="0" borderId="0">
      <protection locked="0"/>
    </xf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179" fontId="32" fillId="0" borderId="0" applyFill="0" applyBorder="0" applyAlignment="0"/>
    <xf numFmtId="179" fontId="32" fillId="0" borderId="0" applyFill="0" applyBorder="0" applyAlignment="0"/>
    <xf numFmtId="0" fontId="32" fillId="0" borderId="0" applyFill="0" applyBorder="0" applyAlignment="0"/>
    <xf numFmtId="167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3" fontId="87" fillId="2" borderId="30">
      <alignment horizontal="center"/>
    </xf>
    <xf numFmtId="0" fontId="88" fillId="31" borderId="0" applyNumberFormat="0" applyBorder="0" applyAlignment="0" applyProtection="0"/>
    <xf numFmtId="202" fontId="32" fillId="0" borderId="0"/>
    <xf numFmtId="202" fontId="32" fillId="0" borderId="0"/>
    <xf numFmtId="202" fontId="32" fillId="0" borderId="0"/>
    <xf numFmtId="202" fontId="32" fillId="0" borderId="0"/>
    <xf numFmtId="189" fontId="118" fillId="0" borderId="0"/>
    <xf numFmtId="190" fontId="118" fillId="0" borderId="0"/>
    <xf numFmtId="0" fontId="72" fillId="0" borderId="0"/>
    <xf numFmtId="0" fontId="37" fillId="0" borderId="0"/>
    <xf numFmtId="0" fontId="32" fillId="0" borderId="0">
      <alignment vertical="top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9" fillId="0" borderId="0"/>
    <xf numFmtId="0" fontId="119" fillId="0" borderId="0"/>
    <xf numFmtId="0" fontId="119" fillId="0" borderId="0"/>
    <xf numFmtId="0" fontId="119" fillId="0" borderId="0"/>
    <xf numFmtId="0" fontId="32" fillId="0" borderId="0"/>
    <xf numFmtId="0" fontId="32" fillId="0" borderId="0"/>
    <xf numFmtId="183" fontId="72" fillId="0" borderId="0"/>
    <xf numFmtId="183" fontId="7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9" fontId="32" fillId="0" borderId="0"/>
    <xf numFmtId="0" fontId="120" fillId="0" borderId="0"/>
    <xf numFmtId="0" fontId="32" fillId="0" borderId="0"/>
    <xf numFmtId="0" fontId="29" fillId="0" borderId="0"/>
    <xf numFmtId="169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50" fillId="0" borderId="0"/>
    <xf numFmtId="0" fontId="50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0" borderId="23" applyFont="0" applyFill="0" applyBorder="0" applyAlignment="0" applyProtection="0">
      <alignment horizontal="right"/>
    </xf>
    <xf numFmtId="175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179" fontId="32" fillId="0" borderId="0" applyFill="0" applyBorder="0" applyAlignment="0"/>
    <xf numFmtId="179" fontId="32" fillId="0" borderId="0" applyFill="0" applyBorder="0" applyAlignment="0"/>
    <xf numFmtId="0" fontId="32" fillId="0" borderId="0" applyFill="0" applyBorder="0" applyAlignment="0"/>
    <xf numFmtId="0" fontId="121" fillId="0" borderId="0" applyNumberFormat="0" applyFill="0" applyBorder="0" applyAlignment="0" applyProtection="0"/>
    <xf numFmtId="0" fontId="92" fillId="26" borderId="37" applyNumberFormat="0" applyAlignment="0" applyProtection="0"/>
    <xf numFmtId="0" fontId="92" fillId="26" borderId="37" applyNumberFormat="0" applyAlignment="0" applyProtection="0"/>
    <xf numFmtId="167" fontId="37" fillId="0" borderId="0" applyFont="0" applyFill="0" applyBorder="0" applyAlignment="0" applyProtection="0"/>
    <xf numFmtId="167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203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72" fillId="0" borderId="0" applyFont="0" applyFill="0" applyBorder="0" applyAlignment="0" applyProtection="0"/>
    <xf numFmtId="0" fontId="122" fillId="0" borderId="38" applyProtection="0">
      <alignment horizontal="centerContinuous"/>
    </xf>
    <xf numFmtId="0" fontId="45" fillId="0" borderId="0"/>
    <xf numFmtId="0" fontId="45" fillId="0" borderId="0"/>
    <xf numFmtId="0" fontId="45" fillId="0" borderId="0"/>
    <xf numFmtId="0" fontId="45" fillId="0" borderId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23" fillId="0" borderId="39" applyNumberFormat="0" applyFill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53" fillId="0" borderId="0"/>
    <xf numFmtId="0" fontId="53" fillId="0" borderId="0"/>
    <xf numFmtId="0" fontId="28" fillId="0" borderId="0"/>
    <xf numFmtId="167" fontId="43" fillId="0" borderId="0" applyFont="0" applyFill="0" applyBorder="0" applyAlignment="0" applyProtection="0"/>
    <xf numFmtId="0" fontId="43" fillId="0" borderId="0"/>
    <xf numFmtId="9" fontId="43" fillId="0" borderId="0" applyFont="0" applyFill="0" applyBorder="0" applyAlignment="0" applyProtection="0"/>
    <xf numFmtId="166" fontId="43" fillId="0" borderId="0" applyFont="0" applyFill="0" applyBorder="0" applyAlignment="0" applyProtection="0"/>
    <xf numFmtId="205" fontId="126" fillId="0" borderId="0" applyFill="0" applyBorder="0" applyProtection="0">
      <alignment horizontal="right"/>
      <protection locked="0"/>
    </xf>
    <xf numFmtId="206" fontId="126" fillId="0" borderId="0" applyFill="0" applyBorder="0" applyProtection="0">
      <alignment horizontal="right"/>
      <protection locked="0"/>
    </xf>
    <xf numFmtId="207" fontId="126" fillId="0" borderId="0" applyFill="0" applyBorder="0" applyProtection="0">
      <alignment horizontal="right"/>
      <protection locked="0"/>
    </xf>
    <xf numFmtId="206" fontId="126" fillId="0" borderId="0" applyFont="0" applyFill="0" applyBorder="0" applyAlignment="0"/>
    <xf numFmtId="207" fontId="126" fillId="0" borderId="0" applyFont="0" applyFill="0" applyBorder="0" applyAlignment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208" fontId="118" fillId="0" borderId="0" applyFill="0" applyBorder="0" applyProtection="0">
      <alignment horizontal="right"/>
      <protection locked="0"/>
    </xf>
    <xf numFmtId="209" fontId="126" fillId="0" borderId="41" applyFont="0" applyFill="0" applyBorder="0" applyAlignment="0"/>
    <xf numFmtId="210" fontId="126" fillId="0" borderId="0" applyFill="0" applyBorder="0" applyProtection="0">
      <alignment horizontal="right"/>
      <protection locked="0"/>
    </xf>
    <xf numFmtId="211" fontId="118" fillId="0" borderId="0" applyFill="0" applyBorder="0" applyProtection="0">
      <alignment horizontal="right"/>
      <protection locked="0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32" fillId="0" borderId="0"/>
    <xf numFmtId="167" fontId="32" fillId="0" borderId="0" applyFont="0" applyFill="0" applyBorder="0" applyAlignment="0" applyProtection="0">
      <alignment wrapText="1"/>
    </xf>
    <xf numFmtId="17" fontId="69" fillId="0" borderId="0" applyFill="0" applyBorder="0">
      <alignment horizontal="right"/>
    </xf>
    <xf numFmtId="168" fontId="73" fillId="0" borderId="0">
      <protection locked="0"/>
    </xf>
    <xf numFmtId="0" fontId="127" fillId="47" borderId="0" applyNumberFormat="0" applyBorder="0" applyProtection="0">
      <alignment horizontal="center"/>
      <protection locked="0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28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3" fontId="129" fillId="0" borderId="42" applyFill="0" applyBorder="0" applyAlignment="0">
      <alignment horizontal="center"/>
    </xf>
    <xf numFmtId="166" fontId="27" fillId="0" borderId="0" applyFont="0" applyFill="0" applyBorder="0" applyAlignment="0" applyProtection="0"/>
    <xf numFmtId="0" fontId="46" fillId="0" borderId="0"/>
    <xf numFmtId="0" fontId="32" fillId="0" borderId="0"/>
    <xf numFmtId="0" fontId="32" fillId="0" borderId="0"/>
    <xf numFmtId="0" fontId="32" fillId="0" borderId="0">
      <alignment vertical="top"/>
    </xf>
    <xf numFmtId="0" fontId="32" fillId="0" borderId="0"/>
    <xf numFmtId="0" fontId="32" fillId="0" borderId="0"/>
    <xf numFmtId="0" fontId="32" fillId="0" borderId="0"/>
    <xf numFmtId="0" fontId="27" fillId="0" borderId="0">
      <alignment vertical="center"/>
    </xf>
    <xf numFmtId="212" fontId="69" fillId="0" borderId="0" applyNumberFormat="0" applyFill="0" applyBorder="0" applyAlignment="0" applyProtection="0"/>
    <xf numFmtId="9" fontId="43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0" fillId="40" borderId="43">
      <alignment horizontal="left"/>
    </xf>
    <xf numFmtId="4" fontId="51" fillId="0" borderId="44" applyNumberFormat="0" applyProtection="0">
      <alignment vertical="center"/>
    </xf>
    <xf numFmtId="4" fontId="131" fillId="29" borderId="44" applyNumberFormat="0" applyProtection="0">
      <alignment vertical="center"/>
    </xf>
    <xf numFmtId="4" fontId="51" fillId="0" borderId="44" applyNumberFormat="0" applyProtection="0">
      <alignment horizontal="left" vertical="center" indent="1"/>
    </xf>
    <xf numFmtId="0" fontId="51" fillId="0" borderId="44" applyNumberFormat="0" applyProtection="0">
      <alignment horizontal="left" vertical="top" indent="1"/>
    </xf>
    <xf numFmtId="4" fontId="51" fillId="0" borderId="0" applyNumberFormat="0" applyProtection="0">
      <alignment horizontal="left" vertical="center" indent="1"/>
    </xf>
    <xf numFmtId="4" fontId="37" fillId="4" borderId="44" applyNumberFormat="0" applyProtection="0">
      <alignment horizontal="right" vertical="center"/>
    </xf>
    <xf numFmtId="4" fontId="37" fillId="11" borderId="44" applyNumberFormat="0" applyProtection="0">
      <alignment horizontal="right" vertical="center"/>
    </xf>
    <xf numFmtId="4" fontId="37" fillId="19" borderId="44" applyNumberFormat="0" applyProtection="0">
      <alignment horizontal="right" vertical="center"/>
    </xf>
    <xf numFmtId="4" fontId="37" fillId="13" borderId="44" applyNumberFormat="0" applyProtection="0">
      <alignment horizontal="right" vertical="center"/>
    </xf>
    <xf numFmtId="4" fontId="37" fillId="17" borderId="44" applyNumberFormat="0" applyProtection="0">
      <alignment horizontal="right" vertical="center"/>
    </xf>
    <xf numFmtId="4" fontId="37" fillId="21" borderId="44" applyNumberFormat="0" applyProtection="0">
      <alignment horizontal="right" vertical="center"/>
    </xf>
    <xf numFmtId="4" fontId="37" fillId="20" borderId="44" applyNumberFormat="0" applyProtection="0">
      <alignment horizontal="right" vertical="center"/>
    </xf>
    <xf numFmtId="4" fontId="37" fillId="48" borderId="44" applyNumberFormat="0" applyProtection="0">
      <alignment horizontal="right" vertical="center"/>
    </xf>
    <xf numFmtId="4" fontId="37" fillId="12" borderId="44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132" fillId="49" borderId="0" applyNumberFormat="0" applyProtection="0">
      <alignment horizontal="left" vertical="center" indent="1"/>
    </xf>
    <xf numFmtId="4" fontId="37" fillId="50" borderId="44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0" fontId="32" fillId="0" borderId="41" applyNumberFormat="0" applyProtection="0">
      <alignment horizontal="left" vertical="center" indent="1"/>
    </xf>
    <xf numFmtId="0" fontId="32" fillId="49" borderId="44" applyNumberFormat="0" applyProtection="0">
      <alignment horizontal="left" vertical="top" indent="1"/>
    </xf>
    <xf numFmtId="0" fontId="32" fillId="0" borderId="41" applyNumberFormat="0" applyProtection="0">
      <alignment horizontal="left" vertical="center" indent="1"/>
    </xf>
    <xf numFmtId="0" fontId="32" fillId="51" borderId="44" applyNumberFormat="0" applyProtection="0">
      <alignment horizontal="left" vertical="top" indent="1"/>
    </xf>
    <xf numFmtId="0" fontId="32" fillId="0" borderId="41" applyNumberFormat="0" applyProtection="0">
      <alignment horizontal="left" vertical="center" indent="1"/>
    </xf>
    <xf numFmtId="0" fontId="32" fillId="22" borderId="44" applyNumberFormat="0" applyProtection="0">
      <alignment horizontal="left" vertical="top" indent="1"/>
    </xf>
    <xf numFmtId="0" fontId="32" fillId="52" borderId="44" applyNumberFormat="0" applyProtection="0">
      <alignment horizontal="left" vertical="center" indent="1"/>
    </xf>
    <xf numFmtId="0" fontId="32" fillId="52" borderId="44" applyNumberFormat="0" applyProtection="0">
      <alignment horizontal="left" vertical="top" indent="1"/>
    </xf>
    <xf numFmtId="4" fontId="37" fillId="23" borderId="44" applyNumberFormat="0" applyProtection="0">
      <alignment vertical="center"/>
    </xf>
    <xf numFmtId="4" fontId="133" fillId="23" borderId="44" applyNumberFormat="0" applyProtection="0">
      <alignment vertical="center"/>
    </xf>
    <xf numFmtId="4" fontId="37" fillId="23" borderId="44" applyNumberFormat="0" applyProtection="0">
      <alignment horizontal="left" vertical="center" indent="1"/>
    </xf>
    <xf numFmtId="0" fontId="37" fillId="23" borderId="44" applyNumberFormat="0" applyProtection="0">
      <alignment horizontal="left" vertical="top" indent="1"/>
    </xf>
    <xf numFmtId="4" fontId="37" fillId="0" borderId="41" applyNumberFormat="0" applyProtection="0">
      <alignment horizontal="right" vertical="center"/>
    </xf>
    <xf numFmtId="4" fontId="133" fillId="0" borderId="44" applyNumberFormat="0" applyProtection="0">
      <alignment horizontal="right" vertical="center"/>
    </xf>
    <xf numFmtId="4" fontId="37" fillId="0" borderId="45" applyNumberFormat="0" applyProtection="0">
      <alignment horizontal="left" vertical="center" indent="1"/>
    </xf>
    <xf numFmtId="0" fontId="51" fillId="0" borderId="41" applyNumberFormat="0" applyProtection="0">
      <alignment horizontal="left" vertical="top" indent="1"/>
    </xf>
    <xf numFmtId="4" fontId="122" fillId="0" borderId="0" applyNumberFormat="0" applyProtection="0">
      <alignment horizontal="left" vertical="center" indent="1"/>
    </xf>
    <xf numFmtId="4" fontId="32" fillId="0" borderId="44" applyNumberFormat="0" applyProtection="0">
      <alignment horizontal="right" vertical="center"/>
    </xf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212" fontId="44" fillId="53" borderId="0" applyNumberFormat="0" applyFont="0" applyBorder="0" applyAlignment="0">
      <protection hidden="1"/>
    </xf>
    <xf numFmtId="0" fontId="134" fillId="0" borderId="0" applyFill="0" applyBorder="0" applyAlignment="0" applyProtection="0">
      <protection locked="0"/>
    </xf>
    <xf numFmtId="0" fontId="135" fillId="0" borderId="0" applyBorder="0" applyAlignment="0" applyProtection="0">
      <protection locked="0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26" fillId="0" borderId="0"/>
    <xf numFmtId="16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6" fillId="0" borderId="0">
      <alignment vertical="center"/>
    </xf>
    <xf numFmtId="167" fontId="30" fillId="0" borderId="0" applyFont="0" applyFill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3" fontId="49" fillId="0" borderId="0" applyNumberFormat="0" applyFill="0" applyBorder="0" applyAlignment="0" applyProtection="0"/>
    <xf numFmtId="0" fontId="62" fillId="5" borderId="0" applyNumberFormat="0" applyBorder="0" applyAlignment="0" applyProtection="0"/>
    <xf numFmtId="179" fontId="32" fillId="0" borderId="0" applyFill="0" applyBorder="0" applyAlignment="0"/>
    <xf numFmtId="174" fontId="46" fillId="0" borderId="0" applyFill="0" applyBorder="0" applyAlignment="0"/>
    <xf numFmtId="179" fontId="32" fillId="0" borderId="0" applyFill="0" applyBorder="0" applyAlignment="0"/>
    <xf numFmtId="0" fontId="32" fillId="0" borderId="0" applyFill="0" applyBorder="0" applyAlignment="0"/>
    <xf numFmtId="0" fontId="66" fillId="26" borderId="46" applyNumberFormat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14" fontId="37" fillId="0" borderId="0" applyFill="0" applyBorder="0" applyAlignment="0"/>
    <xf numFmtId="182" fontId="32" fillId="0" borderId="12">
      <alignment vertical="center"/>
    </xf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79" fontId="32" fillId="0" borderId="0" applyFill="0" applyBorder="0" applyAlignment="0"/>
    <xf numFmtId="179" fontId="32" fillId="0" borderId="0" applyFill="0" applyBorder="0" applyAlignment="0"/>
    <xf numFmtId="0" fontId="32" fillId="0" borderId="0" applyFill="0" applyBorder="0" applyAlignment="0"/>
    <xf numFmtId="0" fontId="74" fillId="8" borderId="46" applyNumberFormat="0" applyAlignment="0" applyProtection="0"/>
    <xf numFmtId="0" fontId="74" fillId="8" borderId="46" applyNumberFormat="0" applyAlignment="0" applyProtection="0"/>
    <xf numFmtId="0" fontId="58" fillId="4" borderId="0" applyNumberFormat="0" applyBorder="0" applyAlignment="0" applyProtection="0"/>
    <xf numFmtId="179" fontId="32" fillId="0" borderId="0" applyFill="0" applyBorder="0" applyAlignment="0"/>
    <xf numFmtId="179" fontId="32" fillId="0" borderId="0" applyFill="0" applyBorder="0" applyAlignment="0"/>
    <xf numFmtId="0" fontId="32" fillId="0" borderId="0" applyFill="0" applyBorder="0" applyAlignment="0"/>
    <xf numFmtId="166" fontId="26" fillId="0" borderId="0" applyFont="0" applyFill="0" applyBorder="0" applyAlignment="0" applyProtection="0"/>
    <xf numFmtId="0" fontId="88" fillId="31" borderId="0" applyNumberFormat="0" applyBorder="0" applyAlignment="0" applyProtection="0"/>
    <xf numFmtId="189" fontId="118" fillId="0" borderId="0"/>
    <xf numFmtId="189" fontId="118" fillId="0" borderId="0"/>
    <xf numFmtId="190" fontId="118" fillId="0" borderId="0"/>
    <xf numFmtId="190" fontId="118" fillId="0" borderId="0"/>
    <xf numFmtId="0" fontId="32" fillId="0" borderId="0">
      <alignment vertical="top"/>
    </xf>
    <xf numFmtId="0" fontId="32" fillId="0" borderId="0">
      <alignment vertical="top"/>
    </xf>
    <xf numFmtId="0" fontId="30" fillId="0" borderId="0"/>
    <xf numFmtId="0" fontId="50" fillId="32" borderId="47" applyNumberFormat="0" applyFont="0" applyAlignment="0" applyProtection="0"/>
    <xf numFmtId="179" fontId="32" fillId="0" borderId="0" applyFill="0" applyBorder="0" applyAlignment="0"/>
    <xf numFmtId="179" fontId="32" fillId="0" borderId="0" applyFill="0" applyBorder="0" applyAlignment="0"/>
    <xf numFmtId="0" fontId="32" fillId="0" borderId="0" applyFill="0" applyBorder="0" applyAlignment="0"/>
    <xf numFmtId="0" fontId="92" fillId="26" borderId="48" applyNumberFormat="0" applyAlignment="0" applyProtection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23" fillId="0" borderId="49" applyNumberFormat="0" applyFill="0" applyAlignment="0" applyProtection="0"/>
    <xf numFmtId="0" fontId="123" fillId="0" borderId="49" applyNumberFormat="0" applyFill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2" fillId="0" borderId="0" applyFont="0" applyFill="0" applyBorder="0" applyAlignment="0" applyProtection="0"/>
    <xf numFmtId="166" fontId="37" fillId="0" borderId="0" applyFont="0" applyFill="0" applyBorder="0" applyAlignment="0" applyProtection="0"/>
    <xf numFmtId="0" fontId="32" fillId="0" borderId="0"/>
    <xf numFmtId="0" fontId="37" fillId="0" borderId="0">
      <alignment vertical="top"/>
    </xf>
    <xf numFmtId="0" fontId="140" fillId="0" borderId="0" applyNumberFormat="0" applyFill="0" applyBorder="0" applyAlignment="0" applyProtection="0"/>
    <xf numFmtId="0" fontId="74" fillId="8" borderId="31" applyNumberFormat="0" applyAlignment="0" applyProtection="0"/>
    <xf numFmtId="0" fontId="66" fillId="26" borderId="31" applyNumberFormat="0" applyAlignment="0" applyProtection="0"/>
    <xf numFmtId="0" fontId="67" fillId="27" borderId="32" applyNumberFormat="0" applyAlignment="0" applyProtection="0"/>
    <xf numFmtId="217" fontId="44" fillId="0" borderId="0" applyFont="0" applyFill="0" applyBorder="0" applyAlignment="0" applyProtection="0"/>
    <xf numFmtId="0" fontId="141" fillId="0" borderId="0" applyNumberFormat="0" applyFill="0" applyBorder="0" applyAlignment="0" applyProtection="0">
      <alignment vertical="top"/>
      <protection locked="0"/>
    </xf>
    <xf numFmtId="0" fontId="74" fillId="8" borderId="31" applyNumberFormat="0" applyAlignment="0" applyProtection="0"/>
    <xf numFmtId="0" fontId="142" fillId="32" borderId="35" applyNumberFormat="0" applyFont="0" applyAlignment="0" applyProtection="0"/>
    <xf numFmtId="0" fontId="92" fillId="26" borderId="48" applyNumberFormat="0" applyAlignment="0" applyProtection="0"/>
    <xf numFmtId="0" fontId="25" fillId="0" borderId="0"/>
    <xf numFmtId="0" fontId="74" fillId="8" borderId="31" applyNumberFormat="0" applyAlignment="0" applyProtection="0"/>
    <xf numFmtId="0" fontId="74" fillId="8" borderId="31" applyNumberFormat="0" applyAlignment="0" applyProtection="0"/>
    <xf numFmtId="0" fontId="25" fillId="0" borderId="0"/>
    <xf numFmtId="0" fontId="25" fillId="0" borderId="0"/>
    <xf numFmtId="0" fontId="30" fillId="0" borderId="0"/>
    <xf numFmtId="0" fontId="55" fillId="0" borderId="55" applyBorder="0"/>
    <xf numFmtId="0" fontId="66" fillId="26" borderId="46" applyNumberFormat="0" applyAlignment="0" applyProtection="0"/>
    <xf numFmtId="40" fontId="65" fillId="23" borderId="56">
      <alignment vertical="center"/>
    </xf>
    <xf numFmtId="0" fontId="81" fillId="0" borderId="52">
      <alignment horizontal="left" vertical="center"/>
    </xf>
    <xf numFmtId="10" fontId="44" fillId="23" borderId="56" applyNumberFormat="0" applyBorder="0" applyAlignment="0" applyProtection="0"/>
    <xf numFmtId="3" fontId="87" fillId="2" borderId="55">
      <alignment horizontal="center"/>
    </xf>
    <xf numFmtId="0" fontId="32" fillId="32" borderId="35" applyNumberFormat="0" applyFont="0" applyAlignment="0" applyProtection="0"/>
    <xf numFmtId="0" fontId="32" fillId="0" borderId="54" applyFont="0" applyFill="0" applyBorder="0" applyAlignment="0" applyProtection="0">
      <alignment horizontal="right"/>
    </xf>
    <xf numFmtId="9" fontId="32" fillId="0" borderId="0" applyFont="0" applyFill="0" applyBorder="0" applyAlignment="0" applyProtection="0"/>
    <xf numFmtId="0" fontId="33" fillId="22" borderId="40" applyNumberFormat="0" applyFont="0" applyBorder="0" applyAlignment="0" applyProtection="0"/>
    <xf numFmtId="186" fontId="32" fillId="0" borderId="51">
      <protection locked="0"/>
    </xf>
    <xf numFmtId="0" fontId="32" fillId="0" borderId="52" applyFont="0" applyFill="0" applyBorder="0" applyAlignment="0" applyProtection="0"/>
    <xf numFmtId="0" fontId="55" fillId="0" borderId="55" applyBorder="0"/>
    <xf numFmtId="0" fontId="66" fillId="26" borderId="46" applyNumberFormat="0" applyAlignment="0" applyProtection="0"/>
    <xf numFmtId="0" fontId="67" fillId="27" borderId="57" applyNumberFormat="0" applyAlignment="0" applyProtection="0"/>
    <xf numFmtId="0" fontId="67" fillId="27" borderId="57" applyNumberFormat="0" applyAlignment="0" applyProtection="0"/>
    <xf numFmtId="0" fontId="74" fillId="8" borderId="46" applyNumberFormat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3" fontId="87" fillId="2" borderId="55">
      <alignment horizontal="center"/>
    </xf>
    <xf numFmtId="0" fontId="24" fillId="0" borderId="0"/>
    <xf numFmtId="0" fontId="24" fillId="0" borderId="0"/>
    <xf numFmtId="0" fontId="32" fillId="0" borderId="54" applyFont="0" applyFill="0" applyBorder="0" applyAlignment="0" applyProtection="0">
      <alignment horizontal="right"/>
    </xf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3" fillId="22" borderId="40" applyNumberFormat="0" applyFont="0" applyBorder="0" applyAlignment="0" applyProtection="0"/>
    <xf numFmtId="0" fontId="92" fillId="26" borderId="48" applyNumberFormat="0" applyAlignment="0" applyProtection="0"/>
    <xf numFmtId="0" fontId="92" fillId="26" borderId="4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22" fillId="0" borderId="50" applyProtection="0">
      <alignment horizontal="centerContinuous"/>
    </xf>
    <xf numFmtId="0" fontId="123" fillId="0" borderId="49" applyNumberFormat="0" applyFill="0" applyAlignment="0" applyProtection="0"/>
    <xf numFmtId="0" fontId="24" fillId="0" borderId="0"/>
    <xf numFmtId="209" fontId="126" fillId="0" borderId="56" applyFont="0" applyFill="0" applyBorder="0" applyAlignment="0"/>
    <xf numFmtId="166" fontId="24" fillId="0" borderId="0" applyFont="0" applyFill="0" applyBorder="0" applyAlignment="0" applyProtection="0"/>
    <xf numFmtId="0" fontId="24" fillId="0" borderId="0">
      <alignment vertical="center"/>
    </xf>
    <xf numFmtId="0" fontId="32" fillId="0" borderId="56" applyNumberFormat="0" applyProtection="0">
      <alignment horizontal="left" vertical="center" indent="1"/>
    </xf>
    <xf numFmtId="0" fontId="32" fillId="0" borderId="56" applyNumberFormat="0" applyProtection="0">
      <alignment horizontal="left" vertical="center" indent="1"/>
    </xf>
    <xf numFmtId="0" fontId="32" fillId="0" borderId="56" applyNumberFormat="0" applyProtection="0">
      <alignment horizontal="left" vertical="center" indent="1"/>
    </xf>
    <xf numFmtId="4" fontId="37" fillId="0" borderId="56" applyNumberFormat="0" applyProtection="0">
      <alignment horizontal="right" vertical="center"/>
    </xf>
    <xf numFmtId="4" fontId="37" fillId="0" borderId="58" applyNumberFormat="0" applyProtection="0">
      <alignment horizontal="left" vertical="center" indent="1"/>
    </xf>
    <xf numFmtId="0" fontId="51" fillId="0" borderId="56" applyNumberFormat="0" applyProtection="0">
      <alignment horizontal="left" vertical="top" indent="1"/>
    </xf>
    <xf numFmtId="0" fontId="24" fillId="0" borderId="0"/>
    <xf numFmtId="0" fontId="67" fillId="27" borderId="57" applyNumberFormat="0" applyAlignment="0" applyProtection="0"/>
    <xf numFmtId="166" fontId="24" fillId="0" borderId="0" applyFont="0" applyFill="0" applyBorder="0" applyAlignment="0" applyProtection="0"/>
    <xf numFmtId="0" fontId="50" fillId="32" borderId="35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4" fillId="8" borderId="46" applyNumberFormat="0" applyAlignment="0" applyProtection="0"/>
    <xf numFmtId="0" fontId="66" fillId="26" borderId="46" applyNumberFormat="0" applyAlignment="0" applyProtection="0"/>
    <xf numFmtId="0" fontId="67" fillId="27" borderId="57" applyNumberFormat="0" applyAlignment="0" applyProtection="0"/>
    <xf numFmtId="0" fontId="74" fillId="8" borderId="46" applyNumberFormat="0" applyAlignment="0" applyProtection="0"/>
    <xf numFmtId="0" fontId="24" fillId="0" borderId="0"/>
    <xf numFmtId="0" fontId="74" fillId="8" borderId="46" applyNumberFormat="0" applyAlignment="0" applyProtection="0"/>
    <xf numFmtId="0" fontId="74" fillId="8" borderId="46" applyNumberFormat="0" applyAlignment="0" applyProtection="0"/>
    <xf numFmtId="0" fontId="24" fillId="0" borderId="0"/>
    <xf numFmtId="0" fontId="24" fillId="0" borderId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4" fontId="32" fillId="0" borderId="72" applyNumberFormat="0" applyProtection="0">
      <alignment horizontal="right" vertical="center"/>
    </xf>
    <xf numFmtId="4" fontId="133" fillId="0" borderId="72" applyNumberFormat="0" applyProtection="0">
      <alignment horizontal="right" vertical="center"/>
    </xf>
    <xf numFmtId="4" fontId="37" fillId="23" borderId="72" applyNumberFormat="0" applyProtection="0">
      <alignment horizontal="left" vertical="center" indent="1"/>
    </xf>
    <xf numFmtId="4" fontId="37" fillId="23" borderId="72" applyNumberFormat="0" applyProtection="0">
      <alignment vertical="center"/>
    </xf>
    <xf numFmtId="0" fontId="32" fillId="52" borderId="72" applyNumberFormat="0" applyProtection="0">
      <alignment horizontal="left" vertical="top" indent="1"/>
    </xf>
    <xf numFmtId="0" fontId="32" fillId="49" borderId="72" applyNumberFormat="0" applyProtection="0">
      <alignment horizontal="left" vertical="top" indent="1"/>
    </xf>
    <xf numFmtId="4" fontId="37" fillId="12" borderId="72" applyNumberFormat="0" applyProtection="0">
      <alignment horizontal="right" vertical="center"/>
    </xf>
    <xf numFmtId="4" fontId="37" fillId="20" borderId="72" applyNumberFormat="0" applyProtection="0">
      <alignment horizontal="right" vertical="center"/>
    </xf>
    <xf numFmtId="4" fontId="37" fillId="17" borderId="72" applyNumberFormat="0" applyProtection="0">
      <alignment horizontal="right" vertical="center"/>
    </xf>
    <xf numFmtId="4" fontId="37" fillId="13" borderId="72" applyNumberFormat="0" applyProtection="0">
      <alignment horizontal="right" vertical="center"/>
    </xf>
    <xf numFmtId="0" fontId="51" fillId="0" borderId="72" applyNumberFormat="0" applyProtection="0">
      <alignment horizontal="left" vertical="top" indent="1"/>
    </xf>
    <xf numFmtId="4" fontId="51" fillId="0" borderId="72" applyNumberFormat="0" applyProtection="0">
      <alignment horizontal="left" vertical="center" indent="1"/>
    </xf>
    <xf numFmtId="4" fontId="51" fillId="0" borderId="72" applyNumberFormat="0" applyProtection="0">
      <alignment vertical="center"/>
    </xf>
    <xf numFmtId="0" fontId="66" fillId="26" borderId="65" applyNumberFormat="0" applyAlignment="0" applyProtection="0"/>
    <xf numFmtId="0" fontId="66" fillId="26" borderId="65" applyNumberFormat="0" applyAlignment="0" applyProtection="0"/>
    <xf numFmtId="40" fontId="65" fillId="23" borderId="62">
      <alignment vertical="center"/>
    </xf>
    <xf numFmtId="0" fontId="74" fillId="8" borderId="65" applyNumberFormat="0" applyAlignment="0" applyProtection="0"/>
    <xf numFmtId="0" fontId="32" fillId="23" borderId="66" applyNumberFormat="0" applyFont="0" applyBorder="0" applyAlignment="0" applyProtection="0"/>
    <xf numFmtId="0" fontId="81" fillId="0" borderId="59">
      <alignment horizontal="left" vertical="center"/>
    </xf>
    <xf numFmtId="10" fontId="44" fillId="23" borderId="62" applyNumberFormat="0" applyBorder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0" fontId="30" fillId="0" borderId="0"/>
    <xf numFmtId="0" fontId="32" fillId="0" borderId="59" applyFont="0" applyFill="0" applyBorder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32" fillId="23" borderId="66" applyNumberFormat="0" applyFon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50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122" fillId="0" borderId="61" applyProtection="0">
      <alignment horizontal="centerContinuous"/>
    </xf>
    <xf numFmtId="0" fontId="123" fillId="0" borderId="69" applyNumberFormat="0" applyFill="0" applyAlignment="0" applyProtection="0"/>
    <xf numFmtId="4" fontId="37" fillId="0" borderId="73" applyNumberFormat="0" applyProtection="0">
      <alignment horizontal="left" vertical="center" indent="1"/>
    </xf>
    <xf numFmtId="4" fontId="133" fillId="23" borderId="72" applyNumberFormat="0" applyProtection="0">
      <alignment vertical="center"/>
    </xf>
    <xf numFmtId="4" fontId="37" fillId="50" borderId="72" applyNumberFormat="0" applyProtection="0">
      <alignment horizontal="right" vertical="center"/>
    </xf>
    <xf numFmtId="4" fontId="37" fillId="21" borderId="72" applyNumberFormat="0" applyProtection="0">
      <alignment horizontal="right" vertical="center"/>
    </xf>
    <xf numFmtId="4" fontId="131" fillId="29" borderId="72" applyNumberFormat="0" applyProtection="0">
      <alignment vertical="center"/>
    </xf>
    <xf numFmtId="0" fontId="23" fillId="0" borderId="0"/>
    <xf numFmtId="0" fontId="37" fillId="23" borderId="72" applyNumberFormat="0" applyProtection="0">
      <alignment horizontal="left" vertical="top" indent="1"/>
    </xf>
    <xf numFmtId="0" fontId="32" fillId="52" borderId="72" applyNumberFormat="0" applyProtection="0">
      <alignment horizontal="left" vertical="center" indent="1"/>
    </xf>
    <xf numFmtId="0" fontId="32" fillId="22" borderId="72" applyNumberFormat="0" applyProtection="0">
      <alignment horizontal="left" vertical="top" indent="1"/>
    </xf>
    <xf numFmtId="0" fontId="32" fillId="51" borderId="72" applyNumberFormat="0" applyProtection="0">
      <alignment horizontal="left" vertical="top" indent="1"/>
    </xf>
    <xf numFmtId="4" fontId="37" fillId="48" borderId="72" applyNumberFormat="0" applyProtection="0">
      <alignment horizontal="right" vertical="center"/>
    </xf>
    <xf numFmtId="4" fontId="37" fillId="19" borderId="72" applyNumberFormat="0" applyProtection="0">
      <alignment horizontal="right" vertical="center"/>
    </xf>
    <xf numFmtId="4" fontId="37" fillId="11" borderId="72" applyNumberFormat="0" applyProtection="0">
      <alignment horizontal="right" vertical="center"/>
    </xf>
    <xf numFmtId="4" fontId="37" fillId="4" borderId="72" applyNumberFormat="0" applyProtection="0">
      <alignment horizontal="right" vertical="center"/>
    </xf>
    <xf numFmtId="209" fontId="126" fillId="0" borderId="62" applyFont="0" applyFill="0" applyBorder="0" applyAlignment="0"/>
    <xf numFmtId="166" fontId="23" fillId="0" borderId="0" applyFont="0" applyFill="0" applyBorder="0" applyAlignment="0" applyProtection="0"/>
    <xf numFmtId="0" fontId="23" fillId="0" borderId="0">
      <alignment vertical="center"/>
    </xf>
    <xf numFmtId="4" fontId="51" fillId="0" borderId="70" applyNumberFormat="0" applyProtection="0">
      <alignment vertical="center"/>
    </xf>
    <xf numFmtId="4" fontId="131" fillId="29" borderId="70" applyNumberFormat="0" applyProtection="0">
      <alignment vertical="center"/>
    </xf>
    <xf numFmtId="4" fontId="51" fillId="0" borderId="70" applyNumberFormat="0" applyProtection="0">
      <alignment horizontal="left" vertical="center" indent="1"/>
    </xf>
    <xf numFmtId="0" fontId="51" fillId="0" borderId="70" applyNumberFormat="0" applyProtection="0">
      <alignment horizontal="left" vertical="top" indent="1"/>
    </xf>
    <xf numFmtId="4" fontId="37" fillId="4" borderId="70" applyNumberFormat="0" applyProtection="0">
      <alignment horizontal="right" vertical="center"/>
    </xf>
    <xf numFmtId="4" fontId="37" fillId="11" borderId="70" applyNumberFormat="0" applyProtection="0">
      <alignment horizontal="right" vertical="center"/>
    </xf>
    <xf numFmtId="4" fontId="37" fillId="19" borderId="70" applyNumberFormat="0" applyProtection="0">
      <alignment horizontal="right" vertical="center"/>
    </xf>
    <xf numFmtId="4" fontId="37" fillId="13" borderId="70" applyNumberFormat="0" applyProtection="0">
      <alignment horizontal="right" vertical="center"/>
    </xf>
    <xf numFmtId="4" fontId="37" fillId="17" borderId="70" applyNumberFormat="0" applyProtection="0">
      <alignment horizontal="right" vertical="center"/>
    </xf>
    <xf numFmtId="4" fontId="37" fillId="21" borderId="70" applyNumberFormat="0" applyProtection="0">
      <alignment horizontal="right" vertical="center"/>
    </xf>
    <xf numFmtId="4" fontId="37" fillId="20" borderId="70" applyNumberFormat="0" applyProtection="0">
      <alignment horizontal="right" vertical="center"/>
    </xf>
    <xf numFmtId="4" fontId="37" fillId="48" borderId="70" applyNumberFormat="0" applyProtection="0">
      <alignment horizontal="right" vertical="center"/>
    </xf>
    <xf numFmtId="4" fontId="37" fillId="12" borderId="70" applyNumberFormat="0" applyProtection="0">
      <alignment horizontal="right" vertical="center"/>
    </xf>
    <xf numFmtId="4" fontId="37" fillId="50" borderId="70" applyNumberFormat="0" applyProtection="0">
      <alignment horizontal="right" vertical="center"/>
    </xf>
    <xf numFmtId="0" fontId="32" fillId="0" borderId="62" applyNumberFormat="0" applyProtection="0">
      <alignment horizontal="left" vertical="center" indent="1"/>
    </xf>
    <xf numFmtId="0" fontId="32" fillId="49" borderId="70" applyNumberFormat="0" applyProtection="0">
      <alignment horizontal="left" vertical="top" indent="1"/>
    </xf>
    <xf numFmtId="0" fontId="32" fillId="0" borderId="62" applyNumberFormat="0" applyProtection="0">
      <alignment horizontal="left" vertical="center" indent="1"/>
    </xf>
    <xf numFmtId="0" fontId="32" fillId="51" borderId="70" applyNumberFormat="0" applyProtection="0">
      <alignment horizontal="left" vertical="top" indent="1"/>
    </xf>
    <xf numFmtId="0" fontId="32" fillId="0" borderId="62" applyNumberFormat="0" applyProtection="0">
      <alignment horizontal="left" vertical="center" indent="1"/>
    </xf>
    <xf numFmtId="0" fontId="32" fillId="22" borderId="70" applyNumberFormat="0" applyProtection="0">
      <alignment horizontal="left" vertical="top" indent="1"/>
    </xf>
    <xf numFmtId="0" fontId="32" fillId="52" borderId="70" applyNumberFormat="0" applyProtection="0">
      <alignment horizontal="left" vertical="center" indent="1"/>
    </xf>
    <xf numFmtId="0" fontId="32" fillId="52" borderId="70" applyNumberFormat="0" applyProtection="0">
      <alignment horizontal="left" vertical="top" indent="1"/>
    </xf>
    <xf numFmtId="4" fontId="37" fillId="23" borderId="70" applyNumberFormat="0" applyProtection="0">
      <alignment vertical="center"/>
    </xf>
    <xf numFmtId="4" fontId="133" fillId="23" borderId="70" applyNumberFormat="0" applyProtection="0">
      <alignment vertical="center"/>
    </xf>
    <xf numFmtId="4" fontId="37" fillId="23" borderId="70" applyNumberFormat="0" applyProtection="0">
      <alignment horizontal="left" vertical="center" indent="1"/>
    </xf>
    <xf numFmtId="0" fontId="37" fillId="23" borderId="70" applyNumberFormat="0" applyProtection="0">
      <alignment horizontal="left" vertical="top" indent="1"/>
    </xf>
    <xf numFmtId="4" fontId="37" fillId="0" borderId="62" applyNumberFormat="0" applyProtection="0">
      <alignment horizontal="right" vertical="center"/>
    </xf>
    <xf numFmtId="4" fontId="133" fillId="0" borderId="70" applyNumberFormat="0" applyProtection="0">
      <alignment horizontal="right" vertical="center"/>
    </xf>
    <xf numFmtId="4" fontId="37" fillId="0" borderId="71" applyNumberFormat="0" applyProtection="0">
      <alignment horizontal="left" vertical="center" indent="1"/>
    </xf>
    <xf numFmtId="0" fontId="51" fillId="0" borderId="62" applyNumberFormat="0" applyProtection="0">
      <alignment horizontal="left" vertical="top" indent="1"/>
    </xf>
    <xf numFmtId="4" fontId="32" fillId="0" borderId="70" applyNumberFormat="0" applyProtection="0">
      <alignment horizontal="right" vertical="center"/>
    </xf>
    <xf numFmtId="0" fontId="23" fillId="0" borderId="0"/>
    <xf numFmtId="0" fontId="66" fillId="26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166" fontId="23" fillId="0" borderId="0" applyFont="0" applyFill="0" applyBorder="0" applyAlignment="0" applyProtection="0"/>
    <xf numFmtId="0" fontId="50" fillId="32" borderId="67" applyNumberFormat="0" applyFont="0" applyAlignment="0" applyProtection="0"/>
    <xf numFmtId="0" fontId="92" fillId="26" borderId="68" applyNumberFormat="0" applyAlignment="0" applyProtection="0"/>
    <xf numFmtId="0" fontId="123" fillId="0" borderId="69" applyNumberFormat="0" applyFill="0" applyAlignment="0" applyProtection="0"/>
    <xf numFmtId="0" fontId="123" fillId="0" borderId="69" applyNumberFormat="0" applyFill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4" fillId="8" borderId="65" applyNumberFormat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142" fillId="32" borderId="67" applyNumberFormat="0" applyFont="0" applyAlignment="0" applyProtection="0"/>
    <xf numFmtId="0" fontId="92" fillId="26" borderId="68" applyNumberFormat="0" applyAlignment="0" applyProtection="0"/>
    <xf numFmtId="0" fontId="23" fillId="0" borderId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66" fillId="26" borderId="65" applyNumberFormat="0" applyAlignment="0" applyProtection="0"/>
    <xf numFmtId="0" fontId="81" fillId="0" borderId="59">
      <alignment horizontal="left" vertical="center"/>
    </xf>
    <xf numFmtId="0" fontId="32" fillId="32" borderId="67" applyNumberFormat="0" applyFont="0" applyAlignment="0" applyProtection="0"/>
    <xf numFmtId="0" fontId="33" fillId="22" borderId="36" applyNumberFormat="0" applyFont="0" applyBorder="0" applyAlignment="0" applyProtection="0"/>
    <xf numFmtId="0" fontId="32" fillId="0" borderId="59" applyFont="0" applyFill="0" applyBorder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122" fillId="0" borderId="61" applyProtection="0">
      <alignment horizontal="centerContinuous"/>
    </xf>
    <xf numFmtId="0" fontId="123" fillId="0" borderId="69" applyNumberFormat="0" applyFill="0" applyAlignment="0" applyProtection="0"/>
    <xf numFmtId="0" fontId="23" fillId="0" borderId="0"/>
    <xf numFmtId="166" fontId="23" fillId="0" borderId="0" applyFont="0" applyFill="0" applyBorder="0" applyAlignment="0" applyProtection="0"/>
    <xf numFmtId="0" fontId="23" fillId="0" borderId="0">
      <alignment vertical="center"/>
    </xf>
    <xf numFmtId="4" fontId="37" fillId="0" borderId="71" applyNumberFormat="0" applyProtection="0">
      <alignment horizontal="left" vertical="center" indent="1"/>
    </xf>
    <xf numFmtId="0" fontId="23" fillId="0" borderId="0"/>
    <xf numFmtId="166" fontId="23" fillId="0" borderId="0" applyFont="0" applyFill="0" applyBorder="0" applyAlignment="0" applyProtection="0"/>
    <xf numFmtId="0" fontId="50" fillId="32" borderId="67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4" fillId="8" borderId="65" applyNumberFormat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66" fillId="26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50" fillId="32" borderId="76" applyNumberFormat="0" applyFont="0" applyAlignment="0" applyProtection="0"/>
    <xf numFmtId="0" fontId="92" fillId="26" borderId="77" applyNumberFormat="0" applyAlignment="0" applyProtection="0"/>
    <xf numFmtId="0" fontId="123" fillId="0" borderId="78" applyNumberFormat="0" applyFill="0" applyAlignment="0" applyProtection="0"/>
    <xf numFmtId="0" fontId="123" fillId="0" borderId="78" applyNumberFormat="0" applyFill="0" applyAlignment="0" applyProtection="0"/>
    <xf numFmtId="0" fontId="92" fillId="26" borderId="77" applyNumberFormat="0" applyAlignment="0" applyProtection="0"/>
    <xf numFmtId="0" fontId="66" fillId="26" borderId="75" applyNumberFormat="0" applyAlignment="0" applyProtection="0"/>
    <xf numFmtId="40" fontId="65" fillId="23" borderId="74">
      <alignment vertical="center"/>
    </xf>
    <xf numFmtId="0" fontId="81" fillId="0" borderId="81">
      <alignment horizontal="left" vertical="center"/>
    </xf>
    <xf numFmtId="10" fontId="44" fillId="23" borderId="74" applyNumberFormat="0" applyBorder="0" applyAlignment="0" applyProtection="0"/>
    <xf numFmtId="186" fontId="32" fillId="0" borderId="80">
      <protection locked="0"/>
    </xf>
    <xf numFmtId="0" fontId="32" fillId="0" borderId="81" applyFont="0" applyFill="0" applyBorder="0" applyAlignment="0" applyProtection="0"/>
    <xf numFmtId="0" fontId="66" fillId="26" borderId="75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74" fillId="8" borderId="75" applyNumberFormat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92" fillId="26" borderId="77" applyNumberFormat="0" applyAlignment="0" applyProtection="0"/>
    <xf numFmtId="0" fontId="92" fillId="26" borderId="77" applyNumberFormat="0" applyAlignment="0" applyProtection="0"/>
    <xf numFmtId="0" fontId="122" fillId="0" borderId="79" applyProtection="0">
      <alignment horizontal="centerContinuous"/>
    </xf>
    <xf numFmtId="0" fontId="123" fillId="0" borderId="78" applyNumberFormat="0" applyFill="0" applyAlignment="0" applyProtection="0"/>
    <xf numFmtId="209" fontId="126" fillId="0" borderId="74" applyFont="0" applyFill="0" applyBorder="0" applyAlignment="0"/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4" fontId="37" fillId="0" borderId="74" applyNumberFormat="0" applyProtection="0">
      <alignment horizontal="right" vertical="center"/>
    </xf>
    <xf numFmtId="4" fontId="37" fillId="0" borderId="73" applyNumberFormat="0" applyProtection="0">
      <alignment horizontal="left" vertical="center" indent="1"/>
    </xf>
    <xf numFmtId="0" fontId="51" fillId="0" borderId="74" applyNumberFormat="0" applyProtection="0">
      <alignment horizontal="left" vertical="top" indent="1"/>
    </xf>
    <xf numFmtId="0" fontId="67" fillId="27" borderId="82" applyNumberFormat="0" applyAlignment="0" applyProtection="0"/>
    <xf numFmtId="0" fontId="74" fillId="8" borderId="75" applyNumberFormat="0" applyAlignment="0" applyProtection="0"/>
    <xf numFmtId="0" fontId="66" fillId="26" borderId="75" applyNumberFormat="0" applyAlignment="0" applyProtection="0"/>
    <xf numFmtId="0" fontId="67" fillId="27" borderId="82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30" fillId="0" borderId="0"/>
    <xf numFmtId="0" fontId="74" fillId="8" borderId="86" applyNumberFormat="0" applyAlignment="0" applyProtection="0"/>
    <xf numFmtId="0" fontId="66" fillId="26" borderId="86" applyNumberFormat="0" applyAlignment="0" applyProtection="0"/>
    <xf numFmtId="0" fontId="32" fillId="0" borderId="92" applyFont="0" applyFill="0" applyBorder="0" applyAlignment="0" applyProtection="0"/>
    <xf numFmtId="10" fontId="44" fillId="23" borderId="85" applyNumberFormat="0" applyBorder="0" applyAlignment="0" applyProtection="0"/>
    <xf numFmtId="0" fontId="81" fillId="0" borderId="92">
      <alignment horizontal="left" vertical="center"/>
    </xf>
    <xf numFmtId="0" fontId="51" fillId="0" borderId="94" applyNumberFormat="0" applyProtection="0">
      <alignment horizontal="left" vertical="top" indent="1"/>
    </xf>
    <xf numFmtId="0" fontId="123" fillId="0" borderId="89" applyNumberFormat="0" applyFill="0" applyAlignment="0" applyProtection="0"/>
    <xf numFmtId="0" fontId="123" fillId="0" borderId="89" applyNumberFormat="0" applyFill="0" applyAlignment="0" applyProtection="0"/>
    <xf numFmtId="0" fontId="92" fillId="26" borderId="88" applyNumberFormat="0" applyAlignment="0" applyProtection="0"/>
    <xf numFmtId="0" fontId="50" fillId="32" borderId="87" applyNumberFormat="0" applyFont="0" applyAlignment="0" applyProtection="0"/>
    <xf numFmtId="0" fontId="74" fillId="8" borderId="86" applyNumberFormat="0" applyAlignment="0" applyProtection="0"/>
    <xf numFmtId="0" fontId="92" fillId="26" borderId="98" applyNumberFormat="0" applyAlignment="0" applyProtection="0"/>
    <xf numFmtId="4" fontId="37" fillId="23" borderId="83" applyNumberFormat="0" applyProtection="0">
      <alignment horizontal="left" vertical="center" indent="1"/>
    </xf>
    <xf numFmtId="4" fontId="133" fillId="23" borderId="83" applyNumberFormat="0" applyProtection="0">
      <alignment vertical="center"/>
    </xf>
    <xf numFmtId="4" fontId="37" fillId="23" borderId="83" applyNumberFormat="0" applyProtection="0">
      <alignment vertical="center"/>
    </xf>
    <xf numFmtId="0" fontId="32" fillId="52" borderId="83" applyNumberFormat="0" applyProtection="0">
      <alignment horizontal="left" vertical="center" indent="1"/>
    </xf>
    <xf numFmtId="0" fontId="32" fillId="51" borderId="83" applyNumberFormat="0" applyProtection="0">
      <alignment horizontal="left" vertical="top" indent="1"/>
    </xf>
    <xf numFmtId="0" fontId="32" fillId="49" borderId="83" applyNumberFormat="0" applyProtection="0">
      <alignment horizontal="left" vertical="top" indent="1"/>
    </xf>
    <xf numFmtId="4" fontId="37" fillId="50" borderId="83" applyNumberFormat="0" applyProtection="0">
      <alignment horizontal="right" vertical="center"/>
    </xf>
    <xf numFmtId="4" fontId="37" fillId="12" borderId="83" applyNumberFormat="0" applyProtection="0">
      <alignment horizontal="right" vertical="center"/>
    </xf>
    <xf numFmtId="4" fontId="37" fillId="48" borderId="83" applyNumberFormat="0" applyProtection="0">
      <alignment horizontal="right" vertical="center"/>
    </xf>
    <xf numFmtId="4" fontId="37" fillId="21" borderId="83" applyNumberFormat="0" applyProtection="0">
      <alignment horizontal="right" vertical="center"/>
    </xf>
    <xf numFmtId="4" fontId="37" fillId="17" borderId="83" applyNumberFormat="0" applyProtection="0">
      <alignment horizontal="right" vertical="center"/>
    </xf>
    <xf numFmtId="4" fontId="37" fillId="13" borderId="83" applyNumberFormat="0" applyProtection="0">
      <alignment horizontal="right" vertical="center"/>
    </xf>
    <xf numFmtId="4" fontId="37" fillId="11" borderId="83" applyNumberFormat="0" applyProtection="0">
      <alignment horizontal="right" vertical="center"/>
    </xf>
    <xf numFmtId="4" fontId="37" fillId="4" borderId="83" applyNumberFormat="0" applyProtection="0">
      <alignment horizontal="right" vertical="center"/>
    </xf>
    <xf numFmtId="4" fontId="51" fillId="0" borderId="83" applyNumberFormat="0" applyProtection="0">
      <alignment horizontal="left" vertical="center" indent="1"/>
    </xf>
    <xf numFmtId="4" fontId="131" fillId="29" borderId="83" applyNumberFormat="0" applyProtection="0">
      <alignment vertical="center"/>
    </xf>
    <xf numFmtId="4" fontId="51" fillId="0" borderId="83" applyNumberFormat="0" applyProtection="0">
      <alignment vertical="center"/>
    </xf>
    <xf numFmtId="0" fontId="92" fillId="26" borderId="98" applyNumberFormat="0" applyAlignment="0" applyProtection="0"/>
    <xf numFmtId="4" fontId="37" fillId="13" borderId="102" applyNumberFormat="0" applyProtection="0">
      <alignment horizontal="right" vertical="center"/>
    </xf>
    <xf numFmtId="0" fontId="66" fillId="26" borderId="93" applyNumberFormat="0" applyAlignment="0" applyProtection="0"/>
    <xf numFmtId="0" fontId="74" fillId="8" borderId="93" applyNumberFormat="0" applyAlignment="0" applyProtection="0"/>
    <xf numFmtId="0" fontId="122" fillId="0" borderId="100" applyProtection="0">
      <alignment horizontal="centerContinuous"/>
    </xf>
    <xf numFmtId="0" fontId="32" fillId="0" borderId="94" applyNumberFormat="0" applyProtection="0">
      <alignment horizontal="left" vertical="center" indent="1"/>
    </xf>
    <xf numFmtId="4" fontId="37" fillId="0" borderId="94" applyNumberFormat="0" applyProtection="0">
      <alignment horizontal="right" vertical="center"/>
    </xf>
    <xf numFmtId="0" fontId="51" fillId="0" borderId="94" applyNumberFormat="0" applyProtection="0">
      <alignment horizontal="left" vertical="top" indent="1"/>
    </xf>
    <xf numFmtId="0" fontId="32" fillId="32" borderId="97" applyNumberFormat="0" applyFont="0" applyAlignment="0" applyProtection="0"/>
    <xf numFmtId="0" fontId="122" fillId="0" borderId="100" applyProtection="0">
      <alignment horizontal="centerContinuous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123" fillId="0" borderId="101" applyNumberFormat="0" applyFill="0" applyAlignment="0" applyProtection="0"/>
    <xf numFmtId="0" fontId="32" fillId="0" borderId="94" applyNumberFormat="0" applyProtection="0">
      <alignment horizontal="left" vertical="center" indent="1"/>
    </xf>
    <xf numFmtId="0" fontId="32" fillId="52" borderId="102" applyNumberFormat="0" applyProtection="0">
      <alignment horizontal="left" vertical="top" indent="1"/>
    </xf>
    <xf numFmtId="0" fontId="37" fillId="23" borderId="102" applyNumberFormat="0" applyProtection="0">
      <alignment horizontal="left" vertical="top" indent="1"/>
    </xf>
    <xf numFmtId="0" fontId="51" fillId="0" borderId="94" applyNumberFormat="0" applyProtection="0">
      <alignment horizontal="left" vertical="top" indent="1"/>
    </xf>
    <xf numFmtId="0" fontId="74" fillId="8" borderId="93" applyNumberFormat="0" applyAlignment="0" applyProtection="0"/>
    <xf numFmtId="0" fontId="92" fillId="26" borderId="98" applyNumberFormat="0" applyAlignment="0" applyProtection="0"/>
    <xf numFmtId="0" fontId="123" fillId="0" borderId="101" applyNumberFormat="0" applyFill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0" fontId="74" fillId="8" borderId="93" applyNumberFormat="0" applyAlignment="0" applyProtection="0"/>
    <xf numFmtId="10" fontId="44" fillId="23" borderId="94" applyNumberFormat="0" applyBorder="0" applyAlignment="0" applyProtection="0"/>
    <xf numFmtId="186" fontId="32" fillId="0" borderId="99">
      <protection locked="0"/>
    </xf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142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4" fontId="37" fillId="0" borderId="94" applyNumberFormat="0" applyProtection="0">
      <alignment horizontal="right" vertical="center"/>
    </xf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0" fillId="0" borderId="0"/>
    <xf numFmtId="40" fontId="65" fillId="23" borderId="94">
      <alignment vertical="center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92" fillId="26" borderId="98" applyNumberForma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4" fontId="51" fillId="0" borderId="102" applyNumberFormat="0" applyProtection="0">
      <alignment horizontal="left" vertical="center" indent="1"/>
    </xf>
    <xf numFmtId="4" fontId="37" fillId="19" borderId="102" applyNumberFormat="0" applyProtection="0">
      <alignment horizontal="right" vertical="center"/>
    </xf>
    <xf numFmtId="4" fontId="37" fillId="17" borderId="102" applyNumberFormat="0" applyProtection="0">
      <alignment horizontal="right" vertical="center"/>
    </xf>
    <xf numFmtId="4" fontId="37" fillId="12" borderId="102" applyNumberFormat="0" applyProtection="0">
      <alignment horizontal="right" vertical="center"/>
    </xf>
    <xf numFmtId="0" fontId="32" fillId="0" borderId="94" applyNumberFormat="0" applyProtection="0">
      <alignment horizontal="left" vertical="center" indent="1"/>
    </xf>
    <xf numFmtId="0" fontId="32" fillId="49" borderId="102" applyNumberFormat="0" applyProtection="0">
      <alignment horizontal="left" vertical="top" indent="1"/>
    </xf>
    <xf numFmtId="0" fontId="32" fillId="51" borderId="102" applyNumberFormat="0" applyProtection="0">
      <alignment horizontal="left" vertical="top" indent="1"/>
    </xf>
    <xf numFmtId="0" fontId="32" fillId="0" borderId="94" applyNumberFormat="0" applyProtection="0">
      <alignment horizontal="left" vertical="center" indent="1"/>
    </xf>
    <xf numFmtId="4" fontId="37" fillId="23" borderId="102" applyNumberFormat="0" applyProtection="0">
      <alignment vertical="center"/>
    </xf>
    <xf numFmtId="0" fontId="32" fillId="0" borderId="94" applyNumberFormat="0" applyProtection="0">
      <alignment horizontal="left" vertical="center" indent="1"/>
    </xf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0" fontId="66" fillId="26" borderId="93" applyNumberFormat="0" applyAlignment="0" applyProtection="0"/>
    <xf numFmtId="209" fontId="126" fillId="0" borderId="94" applyFont="0" applyFill="0" applyBorder="0" applyAlignment="0"/>
    <xf numFmtId="40" fontId="65" fillId="23" borderId="94">
      <alignment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0" fontId="32" fillId="0" borderId="94" applyNumberFormat="0" applyProtection="0">
      <alignment horizontal="left" vertical="center" indent="1"/>
    </xf>
    <xf numFmtId="0" fontId="32" fillId="0" borderId="94" applyNumberFormat="0" applyProtection="0">
      <alignment horizontal="left" vertical="center" indent="1"/>
    </xf>
    <xf numFmtId="0" fontId="122" fillId="0" borderId="100" applyProtection="0">
      <alignment horizontal="centerContinuous"/>
    </xf>
    <xf numFmtId="0" fontId="74" fillId="8" borderId="93" applyNumberFormat="0" applyAlignment="0" applyProtection="0"/>
    <xf numFmtId="0" fontId="66" fillId="26" borderId="93" applyNumberFormat="0" applyAlignment="0" applyProtection="0"/>
    <xf numFmtId="186" fontId="32" fillId="0" borderId="99">
      <protection locked="0"/>
    </xf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22" fillId="0" borderId="0"/>
    <xf numFmtId="0" fontId="22" fillId="0" borderId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9" fontId="22" fillId="0" borderId="0" applyFont="0" applyFill="0" applyBorder="0" applyAlignment="0" applyProtection="0"/>
    <xf numFmtId="209" fontId="126" fillId="0" borderId="94" applyFont="0" applyFill="0" applyBorder="0" applyAlignment="0"/>
    <xf numFmtId="9" fontId="22" fillId="0" borderId="0" applyFont="0" applyFill="0" applyBorder="0" applyAlignment="0" applyProtection="0"/>
    <xf numFmtId="0" fontId="51" fillId="0" borderId="102" applyNumberFormat="0" applyProtection="0">
      <alignment horizontal="left" vertical="top" indent="1"/>
    </xf>
    <xf numFmtId="4" fontId="37" fillId="21" borderId="102" applyNumberFormat="0" applyProtection="0">
      <alignment horizontal="right" vertical="center"/>
    </xf>
    <xf numFmtId="0" fontId="32" fillId="52" borderId="102" applyNumberFormat="0" applyProtection="0">
      <alignment horizontal="left" vertical="center" indent="1"/>
    </xf>
    <xf numFmtId="4" fontId="133" fillId="23" borderId="102" applyNumberFormat="0" applyProtection="0">
      <alignment vertical="center"/>
    </xf>
    <xf numFmtId="4" fontId="133" fillId="0" borderId="102" applyNumberFormat="0" applyProtection="0">
      <alignment horizontal="right" vertical="center"/>
    </xf>
    <xf numFmtId="0" fontId="123" fillId="0" borderId="101" applyNumberFormat="0" applyFill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74" fillId="8" borderId="93" applyNumberFormat="0" applyAlignment="0" applyProtection="0"/>
    <xf numFmtId="0" fontId="142" fillId="32" borderId="97" applyNumberFormat="0" applyFont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4" fontId="37" fillId="0" borderId="103" applyNumberFormat="0" applyProtection="0">
      <alignment horizontal="left" vertical="center" indent="1"/>
    </xf>
    <xf numFmtId="0" fontId="74" fillId="8" borderId="93" applyNumberFormat="0" applyAlignment="0" applyProtection="0"/>
    <xf numFmtId="40" fontId="65" fillId="23" borderId="94">
      <alignment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186" fontId="32" fillId="0" borderId="91">
      <protection locked="0"/>
    </xf>
    <xf numFmtId="0" fontId="92" fillId="26" borderId="88" applyNumberFormat="0" applyAlignment="0" applyProtection="0"/>
    <xf numFmtId="0" fontId="74" fillId="8" borderId="86" applyNumberFormat="0" applyAlignment="0" applyProtection="0"/>
    <xf numFmtId="0" fontId="32" fillId="32" borderId="97" applyNumberFormat="0" applyFont="0" applyAlignment="0" applyProtection="0"/>
    <xf numFmtId="4" fontId="32" fillId="0" borderId="83" applyNumberFormat="0" applyProtection="0">
      <alignment horizontal="right" vertical="center"/>
    </xf>
    <xf numFmtId="0" fontId="37" fillId="23" borderId="83" applyNumberFormat="0" applyProtection="0">
      <alignment horizontal="left" vertical="top" indent="1"/>
    </xf>
    <xf numFmtId="0" fontId="32" fillId="52" borderId="83" applyNumberFormat="0" applyProtection="0">
      <alignment horizontal="left" vertical="top" indent="1"/>
    </xf>
    <xf numFmtId="0" fontId="32" fillId="22" borderId="83" applyNumberFormat="0" applyProtection="0">
      <alignment horizontal="left" vertical="top" indent="1"/>
    </xf>
    <xf numFmtId="4" fontId="37" fillId="20" borderId="83" applyNumberFormat="0" applyProtection="0">
      <alignment horizontal="right" vertical="center"/>
    </xf>
    <xf numFmtId="4" fontId="37" fillId="19" borderId="83" applyNumberFormat="0" applyProtection="0">
      <alignment horizontal="right" vertical="center"/>
    </xf>
    <xf numFmtId="0" fontId="51" fillId="0" borderId="83" applyNumberFormat="0" applyProtection="0">
      <alignment horizontal="left" vertical="top" indent="1"/>
    </xf>
    <xf numFmtId="209" fontId="126" fillId="0" borderId="94" applyFont="0" applyFill="0" applyBorder="0" applyAlignment="0"/>
    <xf numFmtId="0" fontId="32" fillId="0" borderId="94" applyNumberFormat="0" applyProtection="0">
      <alignment horizontal="left" vertical="center" indent="1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4" fontId="37" fillId="11" borderId="102" applyNumberFormat="0" applyProtection="0">
      <alignment horizontal="right" vertical="center"/>
    </xf>
    <xf numFmtId="0" fontId="32" fillId="22" borderId="102" applyNumberFormat="0" applyProtection="0">
      <alignment horizontal="left" vertical="top" indent="1"/>
    </xf>
    <xf numFmtId="0" fontId="66" fillId="26" borderId="93" applyNumberFormat="0" applyAlignment="0" applyProtection="0"/>
    <xf numFmtId="0" fontId="32" fillId="32" borderId="97" applyNumberFormat="0" applyFon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209" fontId="126" fillId="0" borderId="94" applyFont="0" applyFill="0" applyBorder="0" applyAlignment="0"/>
    <xf numFmtId="0" fontId="32" fillId="32" borderId="97" applyNumberFormat="0" applyFont="0" applyAlignment="0" applyProtection="0"/>
    <xf numFmtId="0" fontId="123" fillId="0" borderId="101" applyNumberFormat="0" applyFill="0" applyAlignment="0" applyProtection="0"/>
    <xf numFmtId="0" fontId="22" fillId="0" borderId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0" fontId="74" fillId="8" borderId="86" applyNumberFormat="0" applyAlignment="0" applyProtection="0"/>
    <xf numFmtId="40" fontId="65" fillId="23" borderId="85">
      <alignment vertical="center"/>
    </xf>
    <xf numFmtId="0" fontId="66" fillId="26" borderId="86" applyNumberFormat="0" applyAlignment="0" applyProtection="0"/>
    <xf numFmtId="0" fontId="66" fillId="26" borderId="86" applyNumberFormat="0" applyAlignment="0" applyProtection="0"/>
    <xf numFmtId="4" fontId="37" fillId="0" borderId="84" applyNumberFormat="0" applyProtection="0">
      <alignment horizontal="left" vertical="center" indent="1"/>
    </xf>
    <xf numFmtId="4" fontId="133" fillId="0" borderId="83" applyNumberFormat="0" applyProtection="0">
      <alignment horizontal="right" vertical="center"/>
    </xf>
    <xf numFmtId="0" fontId="50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0" fontId="32" fillId="0" borderId="96" applyFont="0" applyFill="0" applyBorder="0" applyAlignment="0" applyProtection="0"/>
    <xf numFmtId="0" fontId="66" fillId="26" borderId="93" applyNumberFormat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4" fontId="131" fillId="29" borderId="102" applyNumberFormat="0" applyProtection="0">
      <alignment vertical="center"/>
    </xf>
    <xf numFmtId="4" fontId="37" fillId="20" borderId="102" applyNumberFormat="0" applyProtection="0">
      <alignment horizontal="right" vertical="center"/>
    </xf>
    <xf numFmtId="0" fontId="32" fillId="23" borderId="95" applyNumberFormat="0" applyFont="0" applyBorder="0" applyAlignment="0" applyProtection="0"/>
    <xf numFmtId="0" fontId="32" fillId="32" borderId="97" applyNumberFormat="0" applyFont="0" applyAlignment="0" applyProtection="0"/>
    <xf numFmtId="166" fontId="22" fillId="0" borderId="0" applyFont="0" applyFill="0" applyBorder="0" applyAlignment="0" applyProtection="0"/>
    <xf numFmtId="0" fontId="22" fillId="0" borderId="0">
      <alignment vertical="center"/>
    </xf>
    <xf numFmtId="4" fontId="32" fillId="0" borderId="102" applyNumberFormat="0" applyProtection="0">
      <alignment horizontal="right" vertical="center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4" fontId="37" fillId="0" borderId="94" applyNumberFormat="0" applyProtection="0">
      <alignment horizontal="right" vertical="center"/>
    </xf>
    <xf numFmtId="0" fontId="51" fillId="0" borderId="94" applyNumberFormat="0" applyProtection="0">
      <alignment horizontal="left" vertical="top" indent="1"/>
    </xf>
    <xf numFmtId="0" fontId="22" fillId="0" borderId="0"/>
    <xf numFmtId="0" fontId="66" fillId="26" borderId="93" applyNumberFormat="0" applyAlignment="0" applyProtection="0"/>
    <xf numFmtId="0" fontId="66" fillId="26" borderId="93" applyNumberFormat="0" applyAlignment="0" applyProtection="0"/>
    <xf numFmtId="0" fontId="32" fillId="23" borderId="95" applyNumberFormat="0" applyFont="0" applyBorder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92" fillId="26" borderId="98" applyNumberFormat="0" applyAlignment="0" applyProtection="0"/>
    <xf numFmtId="0" fontId="122" fillId="0" borderId="100" applyProtection="0">
      <alignment horizontal="centerContinuous"/>
    </xf>
    <xf numFmtId="166" fontId="22" fillId="0" borderId="0" applyFont="0" applyFill="0" applyBorder="0" applyAlignment="0" applyProtection="0"/>
    <xf numFmtId="4" fontId="37" fillId="4" borderId="102" applyNumberFormat="0" applyProtection="0">
      <alignment horizontal="right" vertical="center"/>
    </xf>
    <xf numFmtId="4" fontId="37" fillId="48" borderId="102" applyNumberFormat="0" applyProtection="0">
      <alignment horizontal="right" vertical="center"/>
    </xf>
    <xf numFmtId="4" fontId="37" fillId="50" borderId="102" applyNumberFormat="0" applyProtection="0">
      <alignment horizontal="right" vertical="center"/>
    </xf>
    <xf numFmtId="4" fontId="37" fillId="0" borderId="94" applyNumberFormat="0" applyProtection="0">
      <alignment horizontal="right" vertical="center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32" fillId="0" borderId="94" applyNumberFormat="0" applyProtection="0">
      <alignment horizontal="left" vertical="center" indent="1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42" fillId="32" borderId="76" applyNumberFormat="0" applyFont="0" applyAlignment="0" applyProtection="0"/>
    <xf numFmtId="0" fontId="22" fillId="0" borderId="0"/>
    <xf numFmtId="0" fontId="22" fillId="0" borderId="0"/>
    <xf numFmtId="0" fontId="22" fillId="0" borderId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32" fillId="32" borderId="76" applyNumberFormat="0" applyFont="0" applyAlignment="0" applyProtection="0"/>
    <xf numFmtId="0" fontId="50" fillId="32" borderId="97" applyNumberFormat="0" applyFont="0" applyAlignment="0" applyProtection="0"/>
    <xf numFmtId="0" fontId="30" fillId="0" borderId="0"/>
    <xf numFmtId="0" fontId="74" fillId="8" borderId="93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" fontId="37" fillId="23" borderId="102" applyNumberFormat="0" applyProtection="0">
      <alignment horizontal="left" vertical="center" indent="1"/>
    </xf>
    <xf numFmtId="4" fontId="37" fillId="0" borderId="103" applyNumberFormat="0" applyProtection="0">
      <alignment horizontal="left" vertical="center" indent="1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40" fontId="65" fillId="23" borderId="94">
      <alignment vertical="center"/>
    </xf>
    <xf numFmtId="0" fontId="22" fillId="0" borderId="0"/>
    <xf numFmtId="166" fontId="22" fillId="0" borderId="0" applyFont="0" applyFill="0" applyBorder="0" applyAlignment="0" applyProtection="0"/>
    <xf numFmtId="0" fontId="22" fillId="0" borderId="0">
      <alignment vertical="center"/>
    </xf>
    <xf numFmtId="0" fontId="66" fillId="26" borderId="93" applyNumberFormat="0" applyAlignment="0" applyProtection="0"/>
    <xf numFmtId="0" fontId="50" fillId="32" borderId="97" applyNumberFormat="0" applyFont="0" applyAlignment="0" applyProtection="0"/>
    <xf numFmtId="0" fontId="22" fillId="0" borderId="0"/>
    <xf numFmtId="166" fontId="22" fillId="0" borderId="0" applyFont="0" applyFill="0" applyBorder="0" applyAlignment="0" applyProtection="0"/>
    <xf numFmtId="0" fontId="50" fillId="32" borderId="76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10" fontId="44" fillId="23" borderId="94" applyNumberFormat="0" applyBorder="0" applyAlignment="0" applyProtection="0"/>
    <xf numFmtId="0" fontId="22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209" fontId="126" fillId="0" borderId="74" applyFont="0" applyFill="0" applyBorder="0" applyAlignment="0"/>
    <xf numFmtId="40" fontId="65" fillId="23" borderId="74">
      <alignment vertical="center"/>
    </xf>
    <xf numFmtId="0" fontId="74" fillId="8" borderId="93" applyNumberFormat="0" applyAlignment="0" applyProtection="0"/>
    <xf numFmtId="0" fontId="81" fillId="0" borderId="81">
      <alignment horizontal="left" vertical="center"/>
    </xf>
    <xf numFmtId="0" fontId="81" fillId="0" borderId="81">
      <alignment horizontal="left" vertical="center"/>
    </xf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50" fillId="32" borderId="76" applyNumberFormat="0" applyFont="0" applyAlignment="0" applyProtection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142" fillId="32" borderId="76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4" fontId="37" fillId="0" borderId="74" applyNumberFormat="0" applyProtection="0">
      <alignment horizontal="right" vertical="center"/>
    </xf>
    <xf numFmtId="0" fontId="51" fillId="0" borderId="74" applyNumberFormat="0" applyProtection="0">
      <alignment horizontal="left" vertical="top" indent="1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122" fillId="0" borderId="79" applyProtection="0">
      <alignment horizontal="centerContinuous"/>
    </xf>
    <xf numFmtId="0" fontId="122" fillId="0" borderId="79" applyProtection="0">
      <alignment horizontal="centerContinuous"/>
    </xf>
    <xf numFmtId="0" fontId="32" fillId="0" borderId="81" applyFont="0" applyFill="0" applyBorder="0" applyAlignment="0" applyProtection="0"/>
    <xf numFmtId="0" fontId="32" fillId="0" borderId="81" applyFont="0" applyFill="0" applyBorder="0" applyAlignment="0" applyProtection="0"/>
    <xf numFmtId="208" fontId="91" fillId="0" borderId="0" applyFill="0" applyBorder="0" applyProtection="0">
      <alignment horizontal="right"/>
      <protection locked="0"/>
    </xf>
    <xf numFmtId="211" fontId="91" fillId="0" borderId="0" applyFill="0" applyBorder="0" applyProtection="0">
      <alignment horizontal="right"/>
      <protection locked="0"/>
    </xf>
    <xf numFmtId="0" fontId="55" fillId="0" borderId="55" applyBorder="0"/>
    <xf numFmtId="0" fontId="55" fillId="0" borderId="55" applyBorder="0"/>
    <xf numFmtId="0" fontId="55" fillId="0" borderId="55" applyBorder="0"/>
    <xf numFmtId="0" fontId="55" fillId="0" borderId="55" applyBorder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166" fontId="3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3" fontId="87" fillId="2" borderId="55">
      <alignment horizontal="center"/>
    </xf>
    <xf numFmtId="3" fontId="87" fillId="2" borderId="55">
      <alignment horizontal="center"/>
    </xf>
    <xf numFmtId="3" fontId="87" fillId="2" borderId="55">
      <alignment horizontal="center"/>
    </xf>
    <xf numFmtId="3" fontId="87" fillId="2" borderId="55">
      <alignment horizontal="center"/>
    </xf>
    <xf numFmtId="0" fontId="43" fillId="0" borderId="0"/>
    <xf numFmtId="0" fontId="22" fillId="0" borderId="0"/>
    <xf numFmtId="0" fontId="2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0" fillId="0" borderId="0"/>
    <xf numFmtId="0" fontId="30" fillId="0" borderId="0"/>
    <xf numFmtId="0" fontId="30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2" fillId="0" borderId="0"/>
    <xf numFmtId="0" fontId="32" fillId="0" borderId="0">
      <alignment vertical="top"/>
    </xf>
    <xf numFmtId="0" fontId="22" fillId="0" borderId="0"/>
    <xf numFmtId="0" fontId="32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0" fontId="22" fillId="0" borderId="0"/>
    <xf numFmtId="0" fontId="32" fillId="0" borderId="0">
      <alignment vertical="top"/>
    </xf>
    <xf numFmtId="0" fontId="50" fillId="32" borderId="76" applyNumberFormat="0" applyFont="0" applyAlignment="0" applyProtection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142" fillId="32" borderId="76" applyNumberFormat="0" applyFont="0" applyAlignment="0" applyProtection="0"/>
    <xf numFmtId="0" fontId="32" fillId="32" borderId="76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4" fontId="51" fillId="0" borderId="102" applyNumberForma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5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86" fontId="32" fillId="0" borderId="80">
      <protection locked="0"/>
    </xf>
    <xf numFmtId="0" fontId="92" fillId="26" borderId="88" applyNumberFormat="0" applyAlignment="0" applyProtection="0"/>
    <xf numFmtId="0" fontId="92" fillId="26" borderId="88" applyNumberFormat="0" applyAlignment="0" applyProtection="0"/>
    <xf numFmtId="0" fontId="122" fillId="0" borderId="90" applyProtection="0">
      <alignment horizontal="centerContinuous"/>
    </xf>
    <xf numFmtId="0" fontId="123" fillId="0" borderId="89" applyNumberFormat="0" applyFill="0" applyAlignment="0" applyProtection="0"/>
    <xf numFmtId="209" fontId="126" fillId="0" borderId="85" applyFont="0" applyFill="0" applyBorder="0" applyAlignment="0"/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4" fontId="37" fillId="0" borderId="85" applyNumberFormat="0" applyProtection="0">
      <alignment horizontal="right" vertical="center"/>
    </xf>
    <xf numFmtId="4" fontId="37" fillId="0" borderId="84" applyNumberFormat="0" applyProtection="0">
      <alignment horizontal="left" vertical="center" indent="1"/>
    </xf>
    <xf numFmtId="0" fontId="51" fillId="0" borderId="85" applyNumberFormat="0" applyProtection="0">
      <alignment horizontal="left" vertical="top" indent="1"/>
    </xf>
    <xf numFmtId="0" fontId="74" fillId="8" borderId="86" applyNumberFormat="0" applyAlignment="0" applyProtection="0"/>
    <xf numFmtId="0" fontId="66" fillId="26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209" fontId="126" fillId="0" borderId="85" applyFont="0" applyFill="0" applyBorder="0" applyAlignment="0"/>
    <xf numFmtId="209" fontId="126" fillId="0" borderId="85" applyFont="0" applyFill="0" applyBorder="0" applyAlignment="0"/>
    <xf numFmtId="40" fontId="65" fillId="23" borderId="85">
      <alignment vertical="center"/>
    </xf>
    <xf numFmtId="40" fontId="65" fillId="23" borderId="85">
      <alignment vertical="center"/>
    </xf>
    <xf numFmtId="0" fontId="81" fillId="0" borderId="92">
      <alignment horizontal="left" vertical="center"/>
    </xf>
    <xf numFmtId="0" fontId="81" fillId="0" borderId="92">
      <alignment horizontal="left" vertical="center"/>
    </xf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0" fontId="50" fillId="32" borderId="87" applyNumberFormat="0" applyFont="0" applyAlignment="0" applyProtection="0"/>
    <xf numFmtId="0" fontId="50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142" fillId="32" borderId="87" applyNumberFormat="0" applyFont="0" applyAlignment="0" applyProtection="0"/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4" fontId="37" fillId="0" borderId="85" applyNumberFormat="0" applyProtection="0">
      <alignment horizontal="right" vertical="center"/>
    </xf>
    <xf numFmtId="4" fontId="37" fillId="0" borderId="85" applyNumberFormat="0" applyProtection="0">
      <alignment horizontal="right" vertical="center"/>
    </xf>
    <xf numFmtId="0" fontId="51" fillId="0" borderId="85" applyNumberFormat="0" applyProtection="0">
      <alignment horizontal="left" vertical="top" indent="1"/>
    </xf>
    <xf numFmtId="0" fontId="51" fillId="0" borderId="85" applyNumberFormat="0" applyProtection="0">
      <alignment horizontal="left" vertical="top" indent="1"/>
    </xf>
    <xf numFmtId="0" fontId="122" fillId="0" borderId="90" applyProtection="0">
      <alignment horizontal="centerContinuous"/>
    </xf>
    <xf numFmtId="0" fontId="122" fillId="0" borderId="90" applyProtection="0">
      <alignment horizontal="centerContinuous"/>
    </xf>
    <xf numFmtId="0" fontId="32" fillId="0" borderId="92" applyFont="0" applyFill="0" applyBorder="0" applyAlignment="0" applyProtection="0"/>
    <xf numFmtId="0" fontId="32" fillId="0" borderId="92" applyFont="0" applyFill="0" applyBorder="0" applyAlignment="0" applyProtection="0"/>
    <xf numFmtId="0" fontId="50" fillId="32" borderId="87" applyNumberFormat="0" applyFont="0" applyAlignment="0" applyProtection="0"/>
    <xf numFmtId="0" fontId="50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142" fillId="32" borderId="87" applyNumberFormat="0" applyFont="0" applyAlignment="0" applyProtection="0"/>
    <xf numFmtId="0" fontId="32" fillId="32" borderId="87" applyNumberFormat="0" applyFont="0" applyAlignment="0" applyProtection="0"/>
    <xf numFmtId="186" fontId="32" fillId="0" borderId="91">
      <protection locked="0"/>
    </xf>
    <xf numFmtId="0" fontId="50" fillId="32" borderId="97" applyNumberFormat="0" applyFont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142" fillId="32" borderId="97" applyNumberFormat="0" applyFont="0" applyAlignment="0" applyProtection="0"/>
    <xf numFmtId="0" fontId="32" fillId="32" borderId="97" applyNumberFormat="0" applyFont="0" applyAlignment="0" applyProtection="0"/>
    <xf numFmtId="186" fontId="32" fillId="0" borderId="99">
      <protection locked="0"/>
    </xf>
    <xf numFmtId="0" fontId="3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47" fillId="0" borderId="0" applyNumberFormat="0" applyFill="0" applyBorder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37" fontId="55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8" fillId="0" borderId="0"/>
    <xf numFmtId="0" fontId="148" fillId="0" borderId="0"/>
    <xf numFmtId="0" fontId="148" fillId="0" borderId="0"/>
    <xf numFmtId="0" fontId="148" fillId="0" borderId="0"/>
    <xf numFmtId="0" fontId="70" fillId="0" borderId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7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2" fillId="0" borderId="0"/>
    <xf numFmtId="0" fontId="37" fillId="0" borderId="0">
      <alignment vertical="top"/>
    </xf>
    <xf numFmtId="0" fontId="140" fillId="0" borderId="0" applyFont="0" applyFill="0" applyBorder="0" applyAlignment="0" applyProtection="0"/>
    <xf numFmtId="0" fontId="140" fillId="0" borderId="0" applyFont="0" applyFill="0" applyBorder="0" applyAlignment="0" applyProtection="0"/>
    <xf numFmtId="9" fontId="32" fillId="53" borderId="0"/>
    <xf numFmtId="9" fontId="32" fillId="53" borderId="0"/>
    <xf numFmtId="9" fontId="32" fillId="53" borderId="0"/>
    <xf numFmtId="9" fontId="32" fillId="53" borderId="0"/>
    <xf numFmtId="191" fontId="63" fillId="0" borderId="0">
      <protection locked="0"/>
    </xf>
    <xf numFmtId="191" fontId="63" fillId="0" borderId="0">
      <protection locked="0"/>
    </xf>
    <xf numFmtId="191" fontId="63" fillId="0" borderId="0">
      <protection locked="0"/>
    </xf>
    <xf numFmtId="0" fontId="32" fillId="0" borderId="0"/>
    <xf numFmtId="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0" fontId="149" fillId="0" borderId="0">
      <alignment horizontal="left"/>
    </xf>
    <xf numFmtId="3" fontId="49" fillId="2" borderId="0">
      <alignment horizontal="left"/>
    </xf>
    <xf numFmtId="3" fontId="49" fillId="2" borderId="0">
      <alignment horizontal="left"/>
    </xf>
    <xf numFmtId="0" fontId="150" fillId="3" borderId="0" applyNumberFormat="0" applyBorder="0" applyAlignment="0" applyProtection="0"/>
    <xf numFmtId="0" fontId="150" fillId="4" borderId="0" applyNumberFormat="0" applyBorder="0" applyAlignment="0" applyProtection="0"/>
    <xf numFmtId="0" fontId="150" fillId="5" borderId="0" applyNumberFormat="0" applyBorder="0" applyAlignment="0" applyProtection="0"/>
    <xf numFmtId="0" fontId="150" fillId="6" borderId="0" applyNumberFormat="0" applyBorder="0" applyAlignment="0" applyProtection="0"/>
    <xf numFmtId="0" fontId="150" fillId="7" borderId="0" applyNumberFormat="0" applyBorder="0" applyAlignment="0" applyProtection="0"/>
    <xf numFmtId="0" fontId="150" fillId="8" borderId="0" applyNumberFormat="0" applyBorder="0" applyAlignment="0" applyProtection="0"/>
    <xf numFmtId="219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19" fontId="50" fillId="3" borderId="0" applyNumberFormat="0" applyBorder="0" applyAlignment="0" applyProtection="0"/>
    <xf numFmtId="220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19" fontId="50" fillId="4" borderId="0" applyNumberFormat="0" applyBorder="0" applyAlignment="0" applyProtection="0"/>
    <xf numFmtId="220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19" fontId="50" fillId="5" borderId="0" applyNumberFormat="0" applyBorder="0" applyAlignment="0" applyProtection="0"/>
    <xf numFmtId="220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19" fontId="50" fillId="6" borderId="0" applyNumberFormat="0" applyBorder="0" applyAlignment="0" applyProtection="0"/>
    <xf numFmtId="220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19" fontId="50" fillId="7" borderId="0" applyNumberFormat="0" applyBorder="0" applyAlignment="0" applyProtection="0"/>
    <xf numFmtId="220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19" fontId="50" fillId="8" borderId="0" applyNumberFormat="0" applyBorder="0" applyAlignment="0" applyProtection="0"/>
    <xf numFmtId="220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20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20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20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3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20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20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20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4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20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20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20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5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20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20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20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20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20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20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7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20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20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20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219" fontId="50" fillId="8" borderId="0" applyNumberFormat="0" applyBorder="0" applyAlignment="0" applyProtection="0"/>
    <xf numFmtId="0" fontId="150" fillId="10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6" borderId="0" applyNumberFormat="0" applyBorder="0" applyAlignment="0" applyProtection="0"/>
    <xf numFmtId="0" fontId="150" fillId="10" borderId="0" applyNumberFormat="0" applyBorder="0" applyAlignment="0" applyProtection="0"/>
    <xf numFmtId="0" fontId="150" fillId="13" borderId="0" applyNumberFormat="0" applyBorder="0" applyAlignment="0" applyProtection="0"/>
    <xf numFmtId="219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19" fontId="50" fillId="10" borderId="0" applyNumberFormat="0" applyBorder="0" applyAlignment="0" applyProtection="0"/>
    <xf numFmtId="220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19" fontId="50" fillId="11" borderId="0" applyNumberFormat="0" applyBorder="0" applyAlignment="0" applyProtection="0"/>
    <xf numFmtId="220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19" fontId="50" fillId="12" borderId="0" applyNumberFormat="0" applyBorder="0" applyAlignment="0" applyProtection="0"/>
    <xf numFmtId="220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19" fontId="50" fillId="6" borderId="0" applyNumberFormat="0" applyBorder="0" applyAlignment="0" applyProtection="0"/>
    <xf numFmtId="220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19" fontId="50" fillId="10" borderId="0" applyNumberFormat="0" applyBorder="0" applyAlignment="0" applyProtection="0"/>
    <xf numFmtId="220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19" fontId="50" fillId="13" borderId="0" applyNumberFormat="0" applyBorder="0" applyAlignment="0" applyProtection="0"/>
    <xf numFmtId="220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20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20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20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20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20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20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1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20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20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20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12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20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20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20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6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20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20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20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0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20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20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20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219" fontId="50" fillId="13" borderId="0" applyNumberFormat="0" applyBorder="0" applyAlignment="0" applyProtection="0"/>
    <xf numFmtId="0" fontId="151" fillId="14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15" borderId="0" applyNumberFormat="0" applyBorder="0" applyAlignment="0" applyProtection="0"/>
    <xf numFmtId="0" fontId="151" fillId="16" borderId="0" applyNumberFormat="0" applyBorder="0" applyAlignment="0" applyProtection="0"/>
    <xf numFmtId="0" fontId="151" fillId="17" borderId="0" applyNumberFormat="0" applyBorder="0" applyAlignment="0" applyProtection="0"/>
    <xf numFmtId="219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19" fontId="52" fillId="14" borderId="0" applyNumberFormat="0" applyBorder="0" applyAlignment="0" applyProtection="0"/>
    <xf numFmtId="220" fontId="52" fillId="14" borderId="0" applyNumberFormat="0" applyBorder="0" applyAlignment="0" applyProtection="0"/>
    <xf numFmtId="219" fontId="52" fillId="14" borderId="0" applyNumberFormat="0" applyBorder="0" applyAlignment="0" applyProtection="0"/>
    <xf numFmtId="219" fontId="52" fillId="14" borderId="0" applyNumberFormat="0" applyBorder="0" applyAlignment="0" applyProtection="0"/>
    <xf numFmtId="219" fontId="52" fillId="14" borderId="0" applyNumberFormat="0" applyBorder="0" applyAlignment="0" applyProtection="0"/>
    <xf numFmtId="219" fontId="52" fillId="14" borderId="0" applyNumberFormat="0" applyBorder="0" applyAlignment="0" applyProtection="0"/>
    <xf numFmtId="219" fontId="52" fillId="14" borderId="0" applyNumberFormat="0" applyBorder="0" applyAlignment="0" applyProtection="0"/>
    <xf numFmtId="219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19" fontId="52" fillId="11" borderId="0" applyNumberFormat="0" applyBorder="0" applyAlignment="0" applyProtection="0"/>
    <xf numFmtId="220" fontId="52" fillId="11" borderId="0" applyNumberFormat="0" applyBorder="0" applyAlignment="0" applyProtection="0"/>
    <xf numFmtId="219" fontId="52" fillId="11" borderId="0" applyNumberFormat="0" applyBorder="0" applyAlignment="0" applyProtection="0"/>
    <xf numFmtId="219" fontId="52" fillId="11" borderId="0" applyNumberFormat="0" applyBorder="0" applyAlignment="0" applyProtection="0"/>
    <xf numFmtId="219" fontId="52" fillId="11" borderId="0" applyNumberFormat="0" applyBorder="0" applyAlignment="0" applyProtection="0"/>
    <xf numFmtId="219" fontId="52" fillId="11" borderId="0" applyNumberFormat="0" applyBorder="0" applyAlignment="0" applyProtection="0"/>
    <xf numFmtId="219" fontId="52" fillId="11" borderId="0" applyNumberFormat="0" applyBorder="0" applyAlignment="0" applyProtection="0"/>
    <xf numFmtId="219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19" fontId="52" fillId="12" borderId="0" applyNumberFormat="0" applyBorder="0" applyAlignment="0" applyProtection="0"/>
    <xf numFmtId="220" fontId="52" fillId="12" borderId="0" applyNumberFormat="0" applyBorder="0" applyAlignment="0" applyProtection="0"/>
    <xf numFmtId="219" fontId="52" fillId="12" borderId="0" applyNumberFormat="0" applyBorder="0" applyAlignment="0" applyProtection="0"/>
    <xf numFmtId="219" fontId="52" fillId="12" borderId="0" applyNumberFormat="0" applyBorder="0" applyAlignment="0" applyProtection="0"/>
    <xf numFmtId="219" fontId="52" fillId="12" borderId="0" applyNumberFormat="0" applyBorder="0" applyAlignment="0" applyProtection="0"/>
    <xf numFmtId="219" fontId="52" fillId="12" borderId="0" applyNumberFormat="0" applyBorder="0" applyAlignment="0" applyProtection="0"/>
    <xf numFmtId="219" fontId="52" fillId="12" borderId="0" applyNumberFormat="0" applyBorder="0" applyAlignment="0" applyProtection="0"/>
    <xf numFmtId="219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19" fontId="52" fillId="15" borderId="0" applyNumberFormat="0" applyBorder="0" applyAlignment="0" applyProtection="0"/>
    <xf numFmtId="220" fontId="52" fillId="15" borderId="0" applyNumberFormat="0" applyBorder="0" applyAlignment="0" applyProtection="0"/>
    <xf numFmtId="219" fontId="52" fillId="15" borderId="0" applyNumberFormat="0" applyBorder="0" applyAlignment="0" applyProtection="0"/>
    <xf numFmtId="219" fontId="52" fillId="15" borderId="0" applyNumberFormat="0" applyBorder="0" applyAlignment="0" applyProtection="0"/>
    <xf numFmtId="219" fontId="52" fillId="15" borderId="0" applyNumberFormat="0" applyBorder="0" applyAlignment="0" applyProtection="0"/>
    <xf numFmtId="219" fontId="52" fillId="15" borderId="0" applyNumberFormat="0" applyBorder="0" applyAlignment="0" applyProtection="0"/>
    <xf numFmtId="219" fontId="52" fillId="15" borderId="0" applyNumberFormat="0" applyBorder="0" applyAlignment="0" applyProtection="0"/>
    <xf numFmtId="219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19" fontId="52" fillId="16" borderId="0" applyNumberFormat="0" applyBorder="0" applyAlignment="0" applyProtection="0"/>
    <xf numFmtId="220" fontId="52" fillId="16" borderId="0" applyNumberFormat="0" applyBorder="0" applyAlignment="0" applyProtection="0"/>
    <xf numFmtId="219" fontId="52" fillId="16" borderId="0" applyNumberFormat="0" applyBorder="0" applyAlignment="0" applyProtection="0"/>
    <xf numFmtId="219" fontId="52" fillId="16" borderId="0" applyNumberFormat="0" applyBorder="0" applyAlignment="0" applyProtection="0"/>
    <xf numFmtId="219" fontId="52" fillId="16" borderId="0" applyNumberFormat="0" applyBorder="0" applyAlignment="0" applyProtection="0"/>
    <xf numFmtId="219" fontId="52" fillId="16" borderId="0" applyNumberFormat="0" applyBorder="0" applyAlignment="0" applyProtection="0"/>
    <xf numFmtId="219" fontId="52" fillId="16" borderId="0" applyNumberFormat="0" applyBorder="0" applyAlignment="0" applyProtection="0"/>
    <xf numFmtId="219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19" fontId="52" fillId="17" borderId="0" applyNumberFormat="0" applyBorder="0" applyAlignment="0" applyProtection="0"/>
    <xf numFmtId="220" fontId="52" fillId="17" borderId="0" applyNumberFormat="0" applyBorder="0" applyAlignment="0" applyProtection="0"/>
    <xf numFmtId="219" fontId="52" fillId="17" borderId="0" applyNumberFormat="0" applyBorder="0" applyAlignment="0" applyProtection="0"/>
    <xf numFmtId="219" fontId="52" fillId="17" borderId="0" applyNumberFormat="0" applyBorder="0" applyAlignment="0" applyProtection="0"/>
    <xf numFmtId="219" fontId="52" fillId="17" borderId="0" applyNumberFormat="0" applyBorder="0" applyAlignment="0" applyProtection="0"/>
    <xf numFmtId="219" fontId="52" fillId="17" borderId="0" applyNumberFormat="0" applyBorder="0" applyAlignment="0" applyProtection="0"/>
    <xf numFmtId="219" fontId="52" fillId="17" borderId="0" applyNumberFormat="0" applyBorder="0" applyAlignment="0" applyProtection="0"/>
    <xf numFmtId="220" fontId="52" fillId="14" borderId="0" applyNumberFormat="0" applyBorder="0" applyAlignment="0" applyProtection="0"/>
    <xf numFmtId="220" fontId="52" fillId="11" borderId="0" applyNumberFormat="0" applyBorder="0" applyAlignment="0" applyProtection="0"/>
    <xf numFmtId="220" fontId="52" fillId="12" borderId="0" applyNumberFormat="0" applyBorder="0" applyAlignment="0" applyProtection="0"/>
    <xf numFmtId="220" fontId="52" fillId="15" borderId="0" applyNumberFormat="0" applyBorder="0" applyAlignment="0" applyProtection="0"/>
    <xf numFmtId="220" fontId="52" fillId="16" borderId="0" applyNumberFormat="0" applyBorder="0" applyAlignment="0" applyProtection="0"/>
    <xf numFmtId="220" fontId="52" fillId="17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0" fillId="63" borderId="0" applyNumberFormat="0" applyBorder="0" applyAlignment="0" applyProtection="0"/>
    <xf numFmtId="0" fontId="50" fillId="64" borderId="0" applyNumberFormat="0" applyBorder="0" applyAlignment="0" applyProtection="0"/>
    <xf numFmtId="0" fontId="52" fillId="65" borderId="0" applyNumberFormat="0" applyBorder="0" applyAlignment="0" applyProtection="0"/>
    <xf numFmtId="0" fontId="151" fillId="18" borderId="0" applyNumberFormat="0" applyBorder="0" applyAlignment="0" applyProtection="0"/>
    <xf numFmtId="0" fontId="52" fillId="66" borderId="0" applyNumberFormat="0" applyBorder="0" applyAlignment="0" applyProtection="0"/>
    <xf numFmtId="0" fontId="50" fillId="67" borderId="0" applyNumberFormat="0" applyBorder="0" applyAlignment="0" applyProtection="0"/>
    <xf numFmtId="0" fontId="50" fillId="68" borderId="0" applyNumberFormat="0" applyBorder="0" applyAlignment="0" applyProtection="0"/>
    <xf numFmtId="0" fontId="52" fillId="69" borderId="0" applyNumberFormat="0" applyBorder="0" applyAlignment="0" applyProtection="0"/>
    <xf numFmtId="183" fontId="138" fillId="70" borderId="0" applyNumberFormat="0" applyBorder="0" applyAlignment="0" applyProtection="0"/>
    <xf numFmtId="0" fontId="151" fillId="19" borderId="0" applyNumberFormat="0" applyBorder="0" applyAlignment="0" applyProtection="0"/>
    <xf numFmtId="0" fontId="52" fillId="71" borderId="0" applyNumberFormat="0" applyBorder="0" applyAlignment="0" applyProtection="0"/>
    <xf numFmtId="0" fontId="50" fillId="72" borderId="0" applyNumberFormat="0" applyBorder="0" applyAlignment="0" applyProtection="0"/>
    <xf numFmtId="0" fontId="50" fillId="73" borderId="0" applyNumberFormat="0" applyBorder="0" applyAlignment="0" applyProtection="0"/>
    <xf numFmtId="0" fontId="52" fillId="74" borderId="0" applyNumberFormat="0" applyBorder="0" applyAlignment="0" applyProtection="0"/>
    <xf numFmtId="183" fontId="138" fillId="75" borderId="0" applyNumberFormat="0" applyBorder="0" applyAlignment="0" applyProtection="0"/>
    <xf numFmtId="0" fontId="151" fillId="20" borderId="0" applyNumberFormat="0" applyBorder="0" applyAlignment="0" applyProtection="0"/>
    <xf numFmtId="0" fontId="52" fillId="69" borderId="0" applyNumberFormat="0" applyBorder="0" applyAlignment="0" applyProtection="0"/>
    <xf numFmtId="0" fontId="50" fillId="73" borderId="0" applyNumberFormat="0" applyBorder="0" applyAlignment="0" applyProtection="0"/>
    <xf numFmtId="0" fontId="50" fillId="74" borderId="0" applyNumberFormat="0" applyBorder="0" applyAlignment="0" applyProtection="0"/>
    <xf numFmtId="0" fontId="52" fillId="74" borderId="0" applyNumberFormat="0" applyBorder="0" applyAlignment="0" applyProtection="0"/>
    <xf numFmtId="0" fontId="151" fillId="15" borderId="0" applyNumberFormat="0" applyBorder="0" applyAlignment="0" applyProtection="0"/>
    <xf numFmtId="0" fontId="52" fillId="76" borderId="0" applyNumberFormat="0" applyBorder="0" applyAlignment="0" applyProtection="0"/>
    <xf numFmtId="0" fontId="50" fillId="63" borderId="0" applyNumberFormat="0" applyBorder="0" applyAlignment="0" applyProtection="0"/>
    <xf numFmtId="0" fontId="50" fillId="64" borderId="0" applyNumberFormat="0" applyBorder="0" applyAlignment="0" applyProtection="0"/>
    <xf numFmtId="0" fontId="52" fillId="64" borderId="0" applyNumberFormat="0" applyBorder="0" applyAlignment="0" applyProtection="0"/>
    <xf numFmtId="0" fontId="151" fillId="16" borderId="0" applyNumberFormat="0" applyBorder="0" applyAlignment="0" applyProtection="0"/>
    <xf numFmtId="0" fontId="52" fillId="77" borderId="0" applyNumberFormat="0" applyBorder="0" applyAlignment="0" applyProtection="0"/>
    <xf numFmtId="0" fontId="50" fillId="78" borderId="0" applyNumberFormat="0" applyBorder="0" applyAlignment="0" applyProtection="0"/>
    <xf numFmtId="0" fontId="50" fillId="68" borderId="0" applyNumberFormat="0" applyBorder="0" applyAlignment="0" applyProtection="0"/>
    <xf numFmtId="0" fontId="52" fillId="79" borderId="0" applyNumberFormat="0" applyBorder="0" applyAlignment="0" applyProtection="0"/>
    <xf numFmtId="0" fontId="151" fillId="21" borderId="0" applyNumberFormat="0" applyBorder="0" applyAlignment="0" applyProtection="0"/>
    <xf numFmtId="0" fontId="52" fillId="80" borderId="0" applyNumberFormat="0" applyBorder="0" applyAlignment="0" applyProtection="0"/>
    <xf numFmtId="176" fontId="33" fillId="22" borderId="2">
      <alignment horizontal="center"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3" fontId="32" fillId="0" borderId="0"/>
    <xf numFmtId="180" fontId="32" fillId="0" borderId="0"/>
    <xf numFmtId="0" fontId="32" fillId="0" borderId="0"/>
    <xf numFmtId="10" fontId="32" fillId="23" borderId="0" applyFont="0" applyBorder="0" applyAlignment="0">
      <protection locked="0"/>
    </xf>
    <xf numFmtId="10" fontId="32" fillId="23" borderId="0" applyFont="0" applyBorder="0" applyAlignment="0">
      <protection locked="0"/>
    </xf>
    <xf numFmtId="10" fontId="32" fillId="23" borderId="0" applyFont="0" applyBorder="0" applyAlignment="0">
      <protection locked="0"/>
    </xf>
    <xf numFmtId="172" fontId="32" fillId="23" borderId="0" applyBorder="0" applyAlignment="0">
      <protection locked="0"/>
    </xf>
    <xf numFmtId="172" fontId="32" fillId="23" borderId="0" applyBorder="0" applyAlignment="0">
      <protection locked="0"/>
    </xf>
    <xf numFmtId="172" fontId="32" fillId="23" borderId="0" applyBorder="0" applyAlignment="0">
      <protection locked="0"/>
    </xf>
    <xf numFmtId="172" fontId="32" fillId="23" borderId="0" applyBorder="0" applyAlignment="0">
      <protection locked="0"/>
    </xf>
    <xf numFmtId="0" fontId="32" fillId="0" borderId="0" applyNumberFormat="0" applyFont="0" applyBorder="0" applyAlignment="0"/>
    <xf numFmtId="0" fontId="32" fillId="0" borderId="0" applyNumberFormat="0" applyFont="0" applyBorder="0" applyAlignment="0"/>
    <xf numFmtId="0" fontId="32" fillId="0" borderId="0" applyNumberFormat="0" applyFont="0" applyBorder="0" applyAlignment="0"/>
    <xf numFmtId="3" fontId="49" fillId="0" borderId="0" applyNumberFormat="0" applyFill="0" applyBorder="0" applyAlignment="0" applyProtection="0"/>
    <xf numFmtId="0" fontId="152" fillId="0" borderId="10">
      <protection hidden="1"/>
    </xf>
    <xf numFmtId="0" fontId="149" fillId="26" borderId="10" applyNumberFormat="0" applyFont="0" applyBorder="0" applyAlignment="0" applyProtection="0">
      <protection hidden="1"/>
    </xf>
    <xf numFmtId="0" fontId="152" fillId="0" borderId="10">
      <protection hidden="1"/>
    </xf>
    <xf numFmtId="0" fontId="153" fillId="81" borderId="0"/>
    <xf numFmtId="0" fontId="154" fillId="4" borderId="0" applyNumberFormat="0" applyBorder="0" applyAlignment="0" applyProtection="0"/>
    <xf numFmtId="0" fontId="155" fillId="0" borderId="0" applyFont="0" applyFill="0" applyBorder="0" applyAlignment="0" applyProtection="0">
      <alignment horizontal="right"/>
    </xf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156" fillId="0" borderId="55" applyNumberFormat="0" applyFill="0" applyAlignment="0" applyProtection="0"/>
    <xf numFmtId="177" fontId="157" fillId="0" borderId="0">
      <alignment horizontal="right"/>
    </xf>
    <xf numFmtId="219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19" fontId="62" fillId="5" borderId="0" applyNumberFormat="0" applyBorder="0" applyAlignment="0" applyProtection="0"/>
    <xf numFmtId="220" fontId="62" fillId="5" borderId="0" applyNumberFormat="0" applyBorder="0" applyAlignment="0" applyProtection="0"/>
    <xf numFmtId="219" fontId="62" fillId="5" borderId="0" applyNumberFormat="0" applyBorder="0" applyAlignment="0" applyProtection="0"/>
    <xf numFmtId="219" fontId="62" fillId="5" borderId="0" applyNumberFormat="0" applyBorder="0" applyAlignment="0" applyProtection="0"/>
    <xf numFmtId="219" fontId="62" fillId="5" borderId="0" applyNumberFormat="0" applyBorder="0" applyAlignment="0" applyProtection="0"/>
    <xf numFmtId="219" fontId="62" fillId="5" borderId="0" applyNumberFormat="0" applyBorder="0" applyAlignment="0" applyProtection="0"/>
    <xf numFmtId="219" fontId="62" fillId="5" borderId="0" applyNumberFormat="0" applyBorder="0" applyAlignment="0" applyProtection="0"/>
    <xf numFmtId="221" fontId="121" fillId="0" borderId="63" applyAlignment="0" applyProtection="0"/>
    <xf numFmtId="220" fontId="62" fillId="5" borderId="0" applyNumberFormat="0" applyBorder="0" applyAlignment="0" applyProtection="0"/>
    <xf numFmtId="0" fontId="140" fillId="0" borderId="0" applyFon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179" fontId="32" fillId="0" borderId="0" applyFill="0" applyBorder="0" applyAlignment="0"/>
    <xf numFmtId="174" fontId="46" fillId="0" borderId="0" applyFill="0" applyBorder="0" applyAlignment="0"/>
    <xf numFmtId="180" fontId="32" fillId="0" borderId="0" applyFill="0" applyBorder="0" applyAlignment="0"/>
    <xf numFmtId="180" fontId="32" fillId="0" borderId="0" applyFill="0" applyBorder="0" applyAlignment="0"/>
    <xf numFmtId="180" fontId="32" fillId="0" borderId="0" applyFill="0" applyBorder="0" applyAlignment="0"/>
    <xf numFmtId="180" fontId="32" fillId="0" borderId="0" applyFill="0" applyBorder="0" applyAlignment="0"/>
    <xf numFmtId="179" fontId="32" fillId="0" borderId="0" applyFill="0" applyBorder="0" applyAlignment="0"/>
    <xf numFmtId="0" fontId="32" fillId="0" borderId="0" applyFill="0" applyBorder="0" applyAlignment="0"/>
    <xf numFmtId="219" fontId="66" fillId="26" borderId="93" applyNumberFormat="0" applyAlignment="0" applyProtection="0"/>
    <xf numFmtId="220" fontId="66" fillId="26" borderId="93" applyNumberFormat="0" applyAlignment="0" applyProtection="0"/>
    <xf numFmtId="219" fontId="66" fillId="26" borderId="93" applyNumberFormat="0" applyAlignment="0" applyProtection="0"/>
    <xf numFmtId="219" fontId="66" fillId="26" borderId="93" applyNumberFormat="0" applyAlignment="0" applyProtection="0"/>
    <xf numFmtId="219" fontId="66" fillId="26" borderId="93" applyNumberFormat="0" applyAlignment="0" applyProtection="0"/>
    <xf numFmtId="219" fontId="66" fillId="26" borderId="93" applyNumberFormat="0" applyAlignment="0" applyProtection="0"/>
    <xf numFmtId="222" fontId="32" fillId="0" borderId="0" applyFont="0" applyFill="0" applyBorder="0" applyAlignment="0" applyProtection="0"/>
    <xf numFmtId="223" fontId="32" fillId="0" borderId="0" applyFont="0" applyFill="0" applyBorder="0" applyAlignment="0" applyProtection="0"/>
    <xf numFmtId="0" fontId="67" fillId="27" borderId="82" applyNumberFormat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37" fontId="158" fillId="29" borderId="94" applyProtection="0">
      <alignment horizontal="center"/>
    </xf>
    <xf numFmtId="0" fontId="67" fillId="69" borderId="82" applyNumberFormat="0" applyAlignment="0" applyProtection="0"/>
    <xf numFmtId="0" fontId="69" fillId="28" borderId="9" applyFont="0" applyFill="0" applyBorder="0"/>
    <xf numFmtId="0" fontId="44" fillId="0" borderId="10"/>
    <xf numFmtId="0" fontId="44" fillId="0" borderId="10"/>
    <xf numFmtId="0" fontId="44" fillId="0" borderId="10"/>
    <xf numFmtId="0" fontId="31" fillId="0" borderId="0" applyNumberFormat="0" applyFill="0" applyBorder="0" applyAlignment="0" applyProtection="0">
      <alignment vertical="top"/>
      <protection locked="0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224" fontId="160" fillId="0" borderId="0"/>
    <xf numFmtId="224" fontId="160" fillId="0" borderId="0"/>
    <xf numFmtId="212" fontId="126" fillId="0" borderId="0" applyFill="0" applyBorder="0" applyAlignment="0" applyProtection="0"/>
    <xf numFmtId="40" fontId="126" fillId="0" borderId="0" applyFill="0" applyBorder="0" applyAlignment="0" applyProtection="0"/>
    <xf numFmtId="225" fontId="126" fillId="82" borderId="0" applyFill="0" applyBorder="0" applyAlignment="0">
      <alignment vertical="top"/>
    </xf>
    <xf numFmtId="226" fontId="126" fillId="0" borderId="0" applyFill="0" applyBorder="0" applyAlignment="0" applyProtection="0"/>
    <xf numFmtId="179" fontId="32" fillId="0" borderId="0" applyFont="0" applyFill="0" applyBorder="0" applyAlignment="0" applyProtection="0"/>
    <xf numFmtId="0" fontId="161" fillId="0" borderId="0" applyFont="0" applyFill="0" applyBorder="0" applyAlignment="0" applyProtection="0">
      <alignment horizontal="right"/>
    </xf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37" fillId="0" borderId="0" applyProtection="0"/>
    <xf numFmtId="222" fontId="37" fillId="0" borderId="0" applyProtection="0"/>
    <xf numFmtId="167" fontId="37" fillId="0" borderId="0" applyProtection="0"/>
    <xf numFmtId="165" fontId="85" fillId="0" borderId="0" applyProtection="0"/>
    <xf numFmtId="222" fontId="85" fillId="0" borderId="0" applyProtection="0"/>
    <xf numFmtId="167" fontId="85" fillId="0" borderId="0" applyProtection="0"/>
    <xf numFmtId="0" fontId="70" fillId="0" borderId="0"/>
    <xf numFmtId="0" fontId="55" fillId="0" borderId="0"/>
    <xf numFmtId="0" fontId="162" fillId="0" borderId="0"/>
    <xf numFmtId="0" fontId="70" fillId="0" borderId="0"/>
    <xf numFmtId="3" fontId="71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55" fillId="0" borderId="0"/>
    <xf numFmtId="0" fontId="162" fillId="0" borderId="0"/>
    <xf numFmtId="0" fontId="70" fillId="0" borderId="0"/>
    <xf numFmtId="167" fontId="32" fillId="29" borderId="0" applyNumberFormat="0" applyFont="0" applyBorder="0" applyAlignment="0" applyProtection="0"/>
    <xf numFmtId="167" fontId="32" fillId="29" borderId="0" applyNumberFormat="0" applyFont="0" applyBorder="0" applyAlignment="0" applyProtection="0"/>
    <xf numFmtId="167" fontId="32" fillId="29" borderId="0" applyNumberFormat="0" applyFont="0" applyBorder="0" applyAlignment="0" applyProtection="0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227" fontId="126" fillId="82" borderId="99" applyFill="0" applyBorder="0" applyAlignment="0">
      <alignment horizontal="right"/>
    </xf>
    <xf numFmtId="0" fontId="161" fillId="0" borderId="0" applyFont="0" applyFill="0" applyBorder="0" applyAlignment="0" applyProtection="0">
      <alignment horizontal="right"/>
    </xf>
    <xf numFmtId="0" fontId="161" fillId="0" borderId="0" applyFont="0" applyFill="0" applyBorder="0" applyAlignment="0" applyProtection="0">
      <alignment horizontal="right"/>
    </xf>
    <xf numFmtId="181" fontId="71" fillId="0" borderId="0" applyFont="0" applyFill="0" applyBorder="0" applyAlignment="0" applyProtection="0"/>
    <xf numFmtId="181" fontId="71" fillId="0" borderId="0" applyFont="0" applyFill="0" applyBorder="0" applyAlignment="0" applyProtection="0"/>
    <xf numFmtId="0" fontId="140" fillId="0" borderId="0" applyFon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161" fillId="0" borderId="0" applyFont="0" applyFill="0" applyBorder="0" applyAlignment="0" applyProtection="0"/>
    <xf numFmtId="14" fontId="37" fillId="0" borderId="0" applyFill="0" applyBorder="0" applyAlignment="0"/>
    <xf numFmtId="0" fontId="32" fillId="0" borderId="0" applyFont="0" applyFill="0" applyBorder="0" applyProtection="0">
      <alignment horizontal="left"/>
    </xf>
    <xf numFmtId="0" fontId="32" fillId="0" borderId="0" applyFont="0" applyFill="0" applyBorder="0" applyProtection="0">
      <alignment horizontal="left"/>
    </xf>
    <xf numFmtId="0" fontId="32" fillId="0" borderId="0" applyFont="0" applyFill="0" applyBorder="0" applyProtection="0">
      <alignment horizontal="left"/>
    </xf>
    <xf numFmtId="0" fontId="32" fillId="0" borderId="0" applyFont="0" applyFill="0" applyBorder="0" applyAlignment="0" applyProtection="0">
      <protection locked="0"/>
    </xf>
    <xf numFmtId="0" fontId="32" fillId="0" borderId="0" applyFont="0" applyFill="0" applyBorder="0" applyAlignment="0" applyProtection="0">
      <protection locked="0"/>
    </xf>
    <xf numFmtId="0" fontId="32" fillId="0" borderId="0" applyFont="0" applyFill="0" applyBorder="0" applyAlignment="0" applyProtection="0">
      <protection locked="0"/>
    </xf>
    <xf numFmtId="0" fontId="72" fillId="0" borderId="0" applyFont="0" applyFill="0" applyBorder="0" applyAlignment="0"/>
    <xf numFmtId="182" fontId="32" fillId="0" borderId="12">
      <alignment vertical="center"/>
    </xf>
    <xf numFmtId="0" fontId="163" fillId="9" borderId="64" applyNumberFormat="0" applyBorder="0" applyAlignment="0">
      <alignment horizontal="center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0" fontId="63" fillId="0" borderId="0">
      <protection locked="0"/>
    </xf>
    <xf numFmtId="0" fontId="161" fillId="0" borderId="105" applyNumberFormat="0" applyFont="0" applyFill="0" applyAlignment="0" applyProtection="0"/>
    <xf numFmtId="0" fontId="126" fillId="0" borderId="0" applyNumberFormat="0" applyFill="0" applyBorder="0" applyAlignment="0" applyProtection="0"/>
    <xf numFmtId="0" fontId="123" fillId="83" borderId="0" applyNumberFormat="0" applyBorder="0" applyAlignment="0" applyProtection="0"/>
    <xf numFmtId="0" fontId="123" fillId="84" borderId="0" applyNumberFormat="0" applyBorder="0" applyAlignment="0" applyProtection="0"/>
    <xf numFmtId="0" fontId="123" fillId="85" borderId="0" applyNumberFormat="0" applyBorder="0" applyAlignment="0" applyProtection="0"/>
    <xf numFmtId="0" fontId="164" fillId="0" borderId="0">
      <protection locked="0"/>
    </xf>
    <xf numFmtId="0" fontId="164" fillId="0" borderId="0">
      <protection locked="0"/>
    </xf>
    <xf numFmtId="219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19" fontId="52" fillId="18" borderId="0" applyNumberFormat="0" applyBorder="0" applyAlignment="0" applyProtection="0"/>
    <xf numFmtId="220" fontId="52" fillId="18" borderId="0" applyNumberFormat="0" applyBorder="0" applyAlignment="0" applyProtection="0"/>
    <xf numFmtId="219" fontId="52" fillId="18" borderId="0" applyNumberFormat="0" applyBorder="0" applyAlignment="0" applyProtection="0"/>
    <xf numFmtId="219" fontId="52" fillId="18" borderId="0" applyNumberFormat="0" applyBorder="0" applyAlignment="0" applyProtection="0"/>
    <xf numFmtId="219" fontId="52" fillId="18" borderId="0" applyNumberFormat="0" applyBorder="0" applyAlignment="0" applyProtection="0"/>
    <xf numFmtId="219" fontId="52" fillId="18" borderId="0" applyNumberFormat="0" applyBorder="0" applyAlignment="0" applyProtection="0"/>
    <xf numFmtId="219" fontId="52" fillId="18" borderId="0" applyNumberFormat="0" applyBorder="0" applyAlignment="0" applyProtection="0"/>
    <xf numFmtId="219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19" fontId="52" fillId="19" borderId="0" applyNumberFormat="0" applyBorder="0" applyAlignment="0" applyProtection="0"/>
    <xf numFmtId="220" fontId="52" fillId="19" borderId="0" applyNumberFormat="0" applyBorder="0" applyAlignment="0" applyProtection="0"/>
    <xf numFmtId="219" fontId="52" fillId="19" borderId="0" applyNumberFormat="0" applyBorder="0" applyAlignment="0" applyProtection="0"/>
    <xf numFmtId="219" fontId="52" fillId="19" borderId="0" applyNumberFormat="0" applyBorder="0" applyAlignment="0" applyProtection="0"/>
    <xf numFmtId="219" fontId="52" fillId="19" borderId="0" applyNumberFormat="0" applyBorder="0" applyAlignment="0" applyProtection="0"/>
    <xf numFmtId="219" fontId="52" fillId="19" borderId="0" applyNumberFormat="0" applyBorder="0" applyAlignment="0" applyProtection="0"/>
    <xf numFmtId="219" fontId="52" fillId="19" borderId="0" applyNumberFormat="0" applyBorder="0" applyAlignment="0" applyProtection="0"/>
    <xf numFmtId="219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19" fontId="52" fillId="20" borderId="0" applyNumberFormat="0" applyBorder="0" applyAlignment="0" applyProtection="0"/>
    <xf numFmtId="220" fontId="52" fillId="20" borderId="0" applyNumberFormat="0" applyBorder="0" applyAlignment="0" applyProtection="0"/>
    <xf numFmtId="219" fontId="52" fillId="20" borderId="0" applyNumberFormat="0" applyBorder="0" applyAlignment="0" applyProtection="0"/>
    <xf numFmtId="219" fontId="52" fillId="20" borderId="0" applyNumberFormat="0" applyBorder="0" applyAlignment="0" applyProtection="0"/>
    <xf numFmtId="219" fontId="52" fillId="20" borderId="0" applyNumberFormat="0" applyBorder="0" applyAlignment="0" applyProtection="0"/>
    <xf numFmtId="219" fontId="52" fillId="20" borderId="0" applyNumberFormat="0" applyBorder="0" applyAlignment="0" applyProtection="0"/>
    <xf numFmtId="219" fontId="52" fillId="20" borderId="0" applyNumberFormat="0" applyBorder="0" applyAlignment="0" applyProtection="0"/>
    <xf numFmtId="219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19" fontId="52" fillId="15" borderId="0" applyNumberFormat="0" applyBorder="0" applyAlignment="0" applyProtection="0"/>
    <xf numFmtId="220" fontId="52" fillId="15" borderId="0" applyNumberFormat="0" applyBorder="0" applyAlignment="0" applyProtection="0"/>
    <xf numFmtId="219" fontId="52" fillId="15" borderId="0" applyNumberFormat="0" applyBorder="0" applyAlignment="0" applyProtection="0"/>
    <xf numFmtId="219" fontId="52" fillId="15" borderId="0" applyNumberFormat="0" applyBorder="0" applyAlignment="0" applyProtection="0"/>
    <xf numFmtId="219" fontId="52" fillId="15" borderId="0" applyNumberFormat="0" applyBorder="0" applyAlignment="0" applyProtection="0"/>
    <xf numFmtId="219" fontId="52" fillId="15" borderId="0" applyNumberFormat="0" applyBorder="0" applyAlignment="0" applyProtection="0"/>
    <xf numFmtId="219" fontId="52" fillId="15" borderId="0" applyNumberFormat="0" applyBorder="0" applyAlignment="0" applyProtection="0"/>
    <xf numFmtId="219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19" fontId="52" fillId="16" borderId="0" applyNumberFormat="0" applyBorder="0" applyAlignment="0" applyProtection="0"/>
    <xf numFmtId="220" fontId="52" fillId="16" borderId="0" applyNumberFormat="0" applyBorder="0" applyAlignment="0" applyProtection="0"/>
    <xf numFmtId="219" fontId="52" fillId="16" borderId="0" applyNumberFormat="0" applyBorder="0" applyAlignment="0" applyProtection="0"/>
    <xf numFmtId="219" fontId="52" fillId="16" borderId="0" applyNumberFormat="0" applyBorder="0" applyAlignment="0" applyProtection="0"/>
    <xf numFmtId="219" fontId="52" fillId="16" borderId="0" applyNumberFormat="0" applyBorder="0" applyAlignment="0" applyProtection="0"/>
    <xf numFmtId="219" fontId="52" fillId="16" borderId="0" applyNumberFormat="0" applyBorder="0" applyAlignment="0" applyProtection="0"/>
    <xf numFmtId="219" fontId="52" fillId="16" borderId="0" applyNumberFormat="0" applyBorder="0" applyAlignment="0" applyProtection="0"/>
    <xf numFmtId="219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19" fontId="52" fillId="21" borderId="0" applyNumberFormat="0" applyBorder="0" applyAlignment="0" applyProtection="0"/>
    <xf numFmtId="220" fontId="52" fillId="21" borderId="0" applyNumberFormat="0" applyBorder="0" applyAlignment="0" applyProtection="0"/>
    <xf numFmtId="219" fontId="52" fillId="21" borderId="0" applyNumberFormat="0" applyBorder="0" applyAlignment="0" applyProtection="0"/>
    <xf numFmtId="219" fontId="52" fillId="21" borderId="0" applyNumberFormat="0" applyBorder="0" applyAlignment="0" applyProtection="0"/>
    <xf numFmtId="219" fontId="52" fillId="21" borderId="0" applyNumberFormat="0" applyBorder="0" applyAlignment="0" applyProtection="0"/>
    <xf numFmtId="219" fontId="52" fillId="21" borderId="0" applyNumberFormat="0" applyBorder="0" applyAlignment="0" applyProtection="0"/>
    <xf numFmtId="219" fontId="52" fillId="21" borderId="0" applyNumberFormat="0" applyBorder="0" applyAlignment="0" applyProtection="0"/>
    <xf numFmtId="220" fontId="52" fillId="18" borderId="0" applyNumberFormat="0" applyBorder="0" applyAlignment="0" applyProtection="0"/>
    <xf numFmtId="220" fontId="52" fillId="19" borderId="0" applyNumberFormat="0" applyBorder="0" applyAlignment="0" applyProtection="0"/>
    <xf numFmtId="220" fontId="52" fillId="20" borderId="0" applyNumberFormat="0" applyBorder="0" applyAlignment="0" applyProtection="0"/>
    <xf numFmtId="220" fontId="52" fillId="15" borderId="0" applyNumberFormat="0" applyBorder="0" applyAlignment="0" applyProtection="0"/>
    <xf numFmtId="220" fontId="52" fillId="16" borderId="0" applyNumberFormat="0" applyBorder="0" applyAlignment="0" applyProtection="0"/>
    <xf numFmtId="220" fontId="52" fillId="21" borderId="0" applyNumberFormat="0" applyBorder="0" applyAlignment="0" applyProtection="0"/>
    <xf numFmtId="179" fontId="32" fillId="0" borderId="0" applyFill="0" applyBorder="0" applyAlignment="0"/>
    <xf numFmtId="179" fontId="32" fillId="0" borderId="0" applyFill="0" applyBorder="0" applyAlignment="0"/>
    <xf numFmtId="0" fontId="32" fillId="0" borderId="0" applyFill="0" applyBorder="0" applyAlignment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19" fontId="74" fillId="8" borderId="93" applyNumberFormat="0" applyAlignment="0" applyProtection="0"/>
    <xf numFmtId="219" fontId="74" fillId="8" borderId="93" applyNumberFormat="0" applyAlignment="0" applyProtection="0"/>
    <xf numFmtId="219" fontId="74" fillId="8" borderId="93" applyNumberFormat="0" applyAlignment="0" applyProtection="0"/>
    <xf numFmtId="219" fontId="74" fillId="8" borderId="93" applyNumberFormat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183" fontId="32" fillId="0" borderId="0" applyFont="0" applyFill="0" applyBorder="0" applyAlignment="0" applyProtection="0"/>
    <xf numFmtId="219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228" fontId="32" fillId="0" borderId="0" applyFill="0" applyBorder="0" applyAlignment="0" applyProtection="0"/>
    <xf numFmtId="0" fontId="165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38" fontId="44" fillId="0" borderId="0" applyNumberFormat="0" applyFill="0" applyBorder="0" applyProtection="0">
      <alignment wrapText="1"/>
    </xf>
    <xf numFmtId="38" fontId="44" fillId="0" borderId="0" applyNumberFormat="0" applyFill="0" applyBorder="0" applyProtection="0">
      <alignment wrapText="1"/>
    </xf>
    <xf numFmtId="38" fontId="44" fillId="0" borderId="0" applyNumberFormat="0" applyFill="0" applyBorder="0" applyProtection="0">
      <alignment wrapText="1"/>
    </xf>
    <xf numFmtId="37" fontId="76" fillId="0" borderId="0" applyBorder="0" applyAlignment="0"/>
    <xf numFmtId="37" fontId="76" fillId="0" borderId="0" applyBorder="0" applyAlignment="0"/>
    <xf numFmtId="0" fontId="63" fillId="0" borderId="0">
      <protection locked="0"/>
    </xf>
    <xf numFmtId="3" fontId="71" fillId="0" borderId="0" applyFont="0" applyFill="0" applyBorder="0" applyAlignment="0" applyProtection="0"/>
    <xf numFmtId="0" fontId="63" fillId="0" borderId="0">
      <protection locked="0"/>
    </xf>
    <xf numFmtId="184" fontId="32" fillId="0" borderId="0">
      <protection locked="0"/>
    </xf>
    <xf numFmtId="184" fontId="32" fillId="0" borderId="0">
      <protection locked="0"/>
    </xf>
    <xf numFmtId="184" fontId="32" fillId="0" borderId="0">
      <protection locked="0"/>
    </xf>
    <xf numFmtId="185" fontId="63" fillId="0" borderId="0">
      <protection locked="0"/>
    </xf>
    <xf numFmtId="185" fontId="63" fillId="0" borderId="0">
      <protection locked="0"/>
    </xf>
    <xf numFmtId="0" fontId="166" fillId="0" borderId="0" applyFill="0" applyBorder="0" applyProtection="0">
      <alignment horizontal="left"/>
    </xf>
    <xf numFmtId="0" fontId="139" fillId="0" borderId="0"/>
    <xf numFmtId="38" fontId="163" fillId="0" borderId="10" applyBorder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10" fontId="32" fillId="23" borderId="0" applyNumberFormat="0" applyFont="0" applyBorder="0" applyAlignment="0"/>
    <xf numFmtId="10" fontId="32" fillId="23" borderId="0" applyNumberFormat="0" applyFont="0" applyBorder="0" applyAlignment="0"/>
    <xf numFmtId="10" fontId="32" fillId="23" borderId="0" applyNumberFormat="0" applyFont="0" applyBorder="0" applyAlignment="0"/>
    <xf numFmtId="2" fontId="32" fillId="0" borderId="0"/>
    <xf numFmtId="2" fontId="32" fillId="0" borderId="0"/>
    <xf numFmtId="2" fontId="32" fillId="0" borderId="0"/>
    <xf numFmtId="2" fontId="32" fillId="0" borderId="0"/>
    <xf numFmtId="0" fontId="167" fillId="5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0" fontId="161" fillId="0" borderId="0" applyFont="0" applyFill="0" applyBorder="0" applyAlignment="0" applyProtection="0">
      <alignment horizontal="right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168" fillId="0" borderId="0" applyProtection="0">
      <alignment horizontal="left"/>
    </xf>
    <xf numFmtId="183" fontId="84" fillId="0" borderId="0" applyNumberFormat="0" applyFill="0" applyBorder="0" applyAlignment="0" applyProtection="0"/>
    <xf numFmtId="186" fontId="32" fillId="0" borderId="0">
      <protection locked="0"/>
    </xf>
    <xf numFmtId="186" fontId="32" fillId="0" borderId="0">
      <protection locked="0"/>
    </xf>
    <xf numFmtId="186" fontId="32" fillId="0" borderId="0">
      <protection locked="0"/>
    </xf>
    <xf numFmtId="186" fontId="32" fillId="0" borderId="0">
      <protection locked="0"/>
    </xf>
    <xf numFmtId="186" fontId="32" fillId="0" borderId="0">
      <protection locked="0"/>
    </xf>
    <xf numFmtId="186" fontId="32" fillId="0" borderId="0">
      <protection locked="0"/>
    </xf>
    <xf numFmtId="229" fontId="126" fillId="0" borderId="0" applyFill="0" applyBorder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169" fillId="0" borderId="0" applyNumberFormat="0" applyFill="0" applyBorder="0" applyAlignment="0" applyProtection="0">
      <alignment vertical="top"/>
      <protection locked="0"/>
    </xf>
    <xf numFmtId="0" fontId="169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0" fontId="46" fillId="0" borderId="0"/>
    <xf numFmtId="230" fontId="32" fillId="0" borderId="0" applyNumberFormat="0" applyFill="0" applyBorder="0" applyAlignment="0" applyProtection="0"/>
    <xf numFmtId="230" fontId="32" fillId="0" borderId="0" applyNumberFormat="0" applyFill="0" applyBorder="0" applyAlignment="0" applyProtection="0"/>
    <xf numFmtId="0" fontId="86" fillId="0" borderId="20" applyFill="0" applyBorder="0" applyAlignment="0">
      <alignment horizontal="center"/>
      <protection locked="0"/>
    </xf>
    <xf numFmtId="0" fontId="86" fillId="0" borderId="20" applyFill="0" applyBorder="0" applyAlignment="0">
      <alignment horizontal="center"/>
      <protection locked="0"/>
    </xf>
    <xf numFmtId="0" fontId="86" fillId="0" borderId="20" applyFill="0" applyBorder="0" applyAlignment="0">
      <alignment horizontal="center"/>
      <protection locked="0"/>
    </xf>
    <xf numFmtId="231" fontId="140" fillId="0" borderId="0"/>
    <xf numFmtId="231" fontId="140" fillId="0" borderId="0"/>
    <xf numFmtId="231" fontId="140" fillId="0" borderId="0"/>
    <xf numFmtId="232" fontId="140" fillId="0" borderId="0"/>
    <xf numFmtId="232" fontId="140" fillId="0" borderId="0"/>
    <xf numFmtId="232" fontId="140" fillId="0" borderId="0"/>
    <xf numFmtId="233" fontId="140" fillId="0" borderId="0"/>
    <xf numFmtId="233" fontId="140" fillId="0" borderId="0"/>
    <xf numFmtId="233" fontId="140" fillId="0" borderId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72" fillId="0" borderId="0" applyFill="0" applyBorder="0" applyAlignment="0" applyProtection="0">
      <protection locked="0"/>
    </xf>
    <xf numFmtId="0" fontId="170" fillId="86" borderId="0" applyNumberFormat="0" applyBorder="0" applyAlignment="0">
      <protection locked="0"/>
    </xf>
    <xf numFmtId="0" fontId="74" fillId="8" borderId="93" applyNumberFormat="0" applyAlignment="0" applyProtection="0"/>
    <xf numFmtId="234" fontId="171" fillId="0" borderId="0"/>
    <xf numFmtId="0" fontId="31" fillId="0" borderId="0" applyNumberFormat="0" applyFill="0" applyBorder="0" applyAlignment="0" applyProtection="0">
      <alignment vertical="top"/>
      <protection locked="0"/>
    </xf>
    <xf numFmtId="179" fontId="32" fillId="0" borderId="0" applyFill="0" applyBorder="0" applyAlignment="0"/>
    <xf numFmtId="179" fontId="32" fillId="0" borderId="0" applyFill="0" applyBorder="0" applyAlignment="0"/>
    <xf numFmtId="0" fontId="32" fillId="0" borderId="0" applyFill="0" applyBorder="0" applyAlignment="0"/>
    <xf numFmtId="0" fontId="172" fillId="0" borderId="8" applyNumberFormat="0" applyFill="0" applyAlignment="0" applyProtection="0"/>
    <xf numFmtId="0" fontId="173" fillId="0" borderId="10">
      <alignment horizontal="left"/>
      <protection locked="0"/>
    </xf>
    <xf numFmtId="235" fontId="174" fillId="0" borderId="0" applyFont="0" applyFill="0" applyBorder="0" applyAlignment="0" applyProtection="0"/>
    <xf numFmtId="38" fontId="72" fillId="0" borderId="0" applyFont="0" applyFill="0" applyBorder="0" applyAlignment="0" applyProtection="0"/>
    <xf numFmtId="40" fontId="72" fillId="0" borderId="0" applyFont="0" applyFill="0" applyBorder="0" applyAlignment="0" applyProtection="0"/>
    <xf numFmtId="0" fontId="175" fillId="0" borderId="0" applyBorder="0"/>
    <xf numFmtId="236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166" fontId="30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237" fontId="21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50" fillId="0" borderId="0" applyFont="0" applyFill="0" applyBorder="0" applyAlignment="0" applyProtection="0"/>
    <xf numFmtId="187" fontId="63" fillId="0" borderId="0">
      <protection locked="0"/>
    </xf>
    <xf numFmtId="187" fontId="63" fillId="0" borderId="0">
      <protection locked="0"/>
    </xf>
    <xf numFmtId="238" fontId="32" fillId="0" borderId="0" applyFont="0" applyFill="0" applyBorder="0" applyAlignment="0" applyProtection="0"/>
    <xf numFmtId="23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3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61" fillId="0" borderId="0" applyFont="0" applyFill="0" applyBorder="0" applyAlignment="0" applyProtection="0">
      <alignment horizontal="right"/>
    </xf>
    <xf numFmtId="168" fontId="146" fillId="0" borderId="0" applyProtection="0"/>
    <xf numFmtId="240" fontId="146" fillId="0" borderId="0" applyProtection="0"/>
    <xf numFmtId="241" fontId="146" fillId="0" borderId="0" applyProtection="0"/>
    <xf numFmtId="168" fontId="146" fillId="0" borderId="0" applyProtection="0"/>
    <xf numFmtId="240" fontId="146" fillId="0" borderId="0" applyProtection="0"/>
    <xf numFmtId="241" fontId="146" fillId="0" borderId="0" applyProtection="0"/>
    <xf numFmtId="219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19" fontId="88" fillId="31" borderId="0" applyNumberFormat="0" applyBorder="0" applyAlignment="0" applyProtection="0"/>
    <xf numFmtId="220" fontId="88" fillId="31" borderId="0" applyNumberFormat="0" applyBorder="0" applyAlignment="0" applyProtection="0"/>
    <xf numFmtId="219" fontId="88" fillId="31" borderId="0" applyNumberFormat="0" applyBorder="0" applyAlignment="0" applyProtection="0"/>
    <xf numFmtId="219" fontId="88" fillId="31" borderId="0" applyNumberFormat="0" applyBorder="0" applyAlignment="0" applyProtection="0"/>
    <xf numFmtId="219" fontId="88" fillId="31" borderId="0" applyNumberFormat="0" applyBorder="0" applyAlignment="0" applyProtection="0"/>
    <xf numFmtId="219" fontId="88" fillId="31" borderId="0" applyNumberFormat="0" applyBorder="0" applyAlignment="0" applyProtection="0"/>
    <xf numFmtId="219" fontId="88" fillId="31" borderId="0" applyNumberFormat="0" applyBorder="0" applyAlignment="0" applyProtection="0"/>
    <xf numFmtId="0" fontId="176" fillId="31" borderId="0" applyNumberFormat="0" applyBorder="0" applyAlignment="0" applyProtection="0"/>
    <xf numFmtId="0" fontId="32" fillId="0" borderId="0" applyNumberFormat="0" applyFill="0" applyBorder="0" applyAlignment="0" applyProtection="0"/>
    <xf numFmtId="37" fontId="89" fillId="0" borderId="0"/>
    <xf numFmtId="37" fontId="89" fillId="0" borderId="0"/>
    <xf numFmtId="0" fontId="46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242" fontId="32" fillId="0" borderId="0"/>
    <xf numFmtId="242" fontId="32" fillId="0" borderId="0"/>
    <xf numFmtId="242" fontId="32" fillId="0" borderId="0"/>
    <xf numFmtId="242" fontId="32" fillId="0" borderId="0"/>
    <xf numFmtId="242" fontId="32" fillId="0" borderId="0"/>
    <xf numFmtId="232" fontId="140" fillId="0" borderId="0"/>
    <xf numFmtId="232" fontId="140" fillId="0" borderId="0"/>
    <xf numFmtId="232" fontId="140" fillId="0" borderId="0"/>
    <xf numFmtId="243" fontId="140" fillId="0" borderId="0">
      <alignment horizontal="right"/>
    </xf>
    <xf numFmtId="243" fontId="140" fillId="0" borderId="0">
      <alignment horizontal="right"/>
    </xf>
    <xf numFmtId="243" fontId="140" fillId="0" borderId="0">
      <alignment horizontal="right"/>
    </xf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19" fontId="21" fillId="0" borderId="0"/>
    <xf numFmtId="219" fontId="21" fillId="0" borderId="0"/>
    <xf numFmtId="219" fontId="21" fillId="0" borderId="0"/>
    <xf numFmtId="0" fontId="30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219" fontId="21" fillId="0" borderId="0"/>
    <xf numFmtId="219" fontId="21" fillId="0" borderId="0"/>
    <xf numFmtId="219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 applyFill="0" applyBorder="0" applyAlignment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3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1" fillId="0" borderId="0"/>
    <xf numFmtId="0" fontId="21" fillId="0" borderId="0"/>
    <xf numFmtId="0" fontId="3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32" fillId="0" borderId="0"/>
    <xf numFmtId="0" fontId="21" fillId="0" borderId="0"/>
    <xf numFmtId="0" fontId="21" fillId="0" borderId="0"/>
    <xf numFmtId="219" fontId="32" fillId="0" borderId="0"/>
    <xf numFmtId="219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19" fontId="72" fillId="0" borderId="0"/>
    <xf numFmtId="219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32" fillId="0" borderId="0"/>
    <xf numFmtId="219" fontId="72" fillId="0" borderId="0"/>
    <xf numFmtId="0" fontId="32" fillId="0" borderId="0"/>
    <xf numFmtId="0" fontId="32" fillId="0" borderId="0"/>
    <xf numFmtId="0" fontId="32" fillId="0" borderId="0"/>
    <xf numFmtId="219" fontId="72" fillId="0" borderId="0"/>
    <xf numFmtId="219" fontId="72" fillId="0" borderId="0"/>
    <xf numFmtId="0" fontId="32" fillId="0" borderId="0"/>
    <xf numFmtId="219" fontId="7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32" fillId="0" borderId="0"/>
    <xf numFmtId="219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19" fontId="72" fillId="0" borderId="0"/>
    <xf numFmtId="219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219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19" fontId="72" fillId="0" borderId="0"/>
    <xf numFmtId="219" fontId="72" fillId="0" borderId="0"/>
    <xf numFmtId="219" fontId="7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19" fontId="72" fillId="0" borderId="0"/>
    <xf numFmtId="0" fontId="32" fillId="0" borderId="0"/>
    <xf numFmtId="0" fontId="32" fillId="0" borderId="0"/>
    <xf numFmtId="0" fontId="32" fillId="0" borderId="0"/>
    <xf numFmtId="219" fontId="72" fillId="0" borderId="0"/>
    <xf numFmtId="219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219" fontId="72" fillId="0" borderId="0"/>
    <xf numFmtId="0" fontId="32" fillId="0" borderId="0"/>
    <xf numFmtId="219" fontId="72" fillId="0" borderId="0"/>
    <xf numFmtId="219" fontId="72" fillId="0" borderId="0"/>
    <xf numFmtId="219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19" fontId="72" fillId="0" borderId="0"/>
    <xf numFmtId="0" fontId="32" fillId="0" borderId="0"/>
    <xf numFmtId="219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219" fontId="72" fillId="0" borderId="0"/>
    <xf numFmtId="0" fontId="32" fillId="0" borderId="0"/>
    <xf numFmtId="219" fontId="72" fillId="0" borderId="0"/>
    <xf numFmtId="0" fontId="32" fillId="0" borderId="0"/>
    <xf numFmtId="0" fontId="32" fillId="0" borderId="0"/>
    <xf numFmtId="0" fontId="32" fillId="0" borderId="0"/>
    <xf numFmtId="219" fontId="72" fillId="0" borderId="0"/>
    <xf numFmtId="219" fontId="72" fillId="0" borderId="0"/>
    <xf numFmtId="219" fontId="72" fillId="0" borderId="0"/>
    <xf numFmtId="0" fontId="32" fillId="0" borderId="0"/>
    <xf numFmtId="0" fontId="32" fillId="0" borderId="0"/>
    <xf numFmtId="219" fontId="72" fillId="0" borderId="0"/>
    <xf numFmtId="0" fontId="32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1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19" fontId="7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19" fontId="72" fillId="0" borderId="0"/>
    <xf numFmtId="0" fontId="32" fillId="0" borderId="0"/>
    <xf numFmtId="219" fontId="72" fillId="0" borderId="0"/>
    <xf numFmtId="219" fontId="72" fillId="0" borderId="0"/>
    <xf numFmtId="219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32" fillId="0" borderId="0"/>
    <xf numFmtId="219" fontId="32" fillId="0" borderId="0"/>
    <xf numFmtId="219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219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3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20" fontId="32" fillId="0" borderId="0"/>
    <xf numFmtId="219" fontId="32" fillId="0" borderId="0"/>
    <xf numFmtId="219" fontId="32" fillId="0" borderId="0"/>
    <xf numFmtId="219" fontId="3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19" fontId="32" fillId="0" borderId="0"/>
    <xf numFmtId="0" fontId="32" fillId="0" borderId="0"/>
    <xf numFmtId="220" fontId="32" fillId="0" borderId="0"/>
    <xf numFmtId="0" fontId="32" fillId="0" borderId="0"/>
    <xf numFmtId="0" fontId="32" fillId="0" borderId="0"/>
    <xf numFmtId="219" fontId="32" fillId="0" borderId="0"/>
    <xf numFmtId="220" fontId="32" fillId="0" borderId="0"/>
    <xf numFmtId="219" fontId="32" fillId="0" borderId="0"/>
    <xf numFmtId="0" fontId="32" fillId="0" borderId="0"/>
    <xf numFmtId="219" fontId="32" fillId="0" borderId="0"/>
    <xf numFmtId="0" fontId="32" fillId="0" borderId="0"/>
    <xf numFmtId="219" fontId="32" fillId="0" borderId="0"/>
    <xf numFmtId="219" fontId="32" fillId="0" borderId="0"/>
    <xf numFmtId="219" fontId="32" fillId="0" borderId="0"/>
    <xf numFmtId="0" fontId="32" fillId="0" borderId="0"/>
    <xf numFmtId="219" fontId="32" fillId="0" borderId="0"/>
    <xf numFmtId="0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32" fillId="0" borderId="0">
      <alignment vertical="top"/>
    </xf>
    <xf numFmtId="219" fontId="32" fillId="0" borderId="0"/>
    <xf numFmtId="219" fontId="32" fillId="0" borderId="0"/>
    <xf numFmtId="219" fontId="32" fillId="0" borderId="0"/>
    <xf numFmtId="219" fontId="32" fillId="0" borderId="0"/>
    <xf numFmtId="219" fontId="32" fillId="0" borderId="0"/>
    <xf numFmtId="220" fontId="32" fillId="0" borderId="0"/>
    <xf numFmtId="219" fontId="32" fillId="0" borderId="0"/>
    <xf numFmtId="219" fontId="32" fillId="0" borderId="0"/>
    <xf numFmtId="219" fontId="32" fillId="0" borderId="0"/>
    <xf numFmtId="0" fontId="21" fillId="0" borderId="0"/>
    <xf numFmtId="0" fontId="72" fillId="0" borderId="0"/>
    <xf numFmtId="220" fontId="72" fillId="0" borderId="0"/>
    <xf numFmtId="219" fontId="32" fillId="0" borderId="0"/>
    <xf numFmtId="0" fontId="32" fillId="0" borderId="0"/>
    <xf numFmtId="220" fontId="32" fillId="0" borderId="0"/>
    <xf numFmtId="219" fontId="32" fillId="0" borderId="0"/>
    <xf numFmtId="220" fontId="32" fillId="0" borderId="0"/>
    <xf numFmtId="219" fontId="32" fillId="0" borderId="0"/>
    <xf numFmtId="219" fontId="32" fillId="0" borderId="0"/>
    <xf numFmtId="219" fontId="32" fillId="0" borderId="0"/>
    <xf numFmtId="183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8" fillId="0" borderId="0"/>
    <xf numFmtId="0" fontId="146" fillId="0" borderId="0"/>
    <xf numFmtId="0" fontId="174" fillId="0" borderId="0"/>
    <xf numFmtId="0" fontId="148" fillId="0" borderId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20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219" fontId="32" fillId="32" borderId="97" applyNumberFormat="0" applyFont="0" applyAlignment="0" applyProtection="0"/>
    <xf numFmtId="0" fontId="179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0" fillId="33" borderId="29"/>
    <xf numFmtId="1" fontId="181" fillId="0" borderId="0" applyProtection="0">
      <alignment horizontal="right" vertical="center"/>
    </xf>
    <xf numFmtId="177" fontId="182" fillId="0" borderId="55">
      <alignment vertical="center"/>
    </xf>
    <xf numFmtId="0" fontId="70" fillId="0" borderId="0"/>
    <xf numFmtId="0" fontId="55" fillId="0" borderId="0"/>
    <xf numFmtId="0" fontId="32" fillId="0" borderId="54" applyFont="0" applyFill="0" applyBorder="0" applyAlignment="0" applyProtection="0">
      <alignment horizontal="right"/>
    </xf>
    <xf numFmtId="244" fontId="126" fillId="82" borderId="0" applyFill="0" applyBorder="0" applyAlignment="0" applyProtection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45" fontId="126" fillId="82" borderId="0" applyFill="0" applyBorder="0" applyAlignment="0" applyProtection="0">
      <alignment vertical="top"/>
    </xf>
    <xf numFmtId="246" fontId="126" fillId="0" borderId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175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2" fillId="0" borderId="0" applyFont="0" applyFill="0" applyBorder="0" applyAlignment="0" applyProtection="0"/>
    <xf numFmtId="247" fontId="146" fillId="0" borderId="0" applyProtection="0"/>
    <xf numFmtId="248" fontId="146" fillId="0" borderId="0" applyProtection="0"/>
    <xf numFmtId="173" fontId="146" fillId="0" borderId="0" applyProtection="0"/>
    <xf numFmtId="247" fontId="146" fillId="0" borderId="0" applyProtection="0"/>
    <xf numFmtId="248" fontId="146" fillId="0" borderId="0" applyProtection="0"/>
    <xf numFmtId="173" fontId="146" fillId="0" borderId="0" applyProtection="0"/>
    <xf numFmtId="10" fontId="71" fillId="0" borderId="0" applyFont="0" applyFill="0" applyBorder="0" applyAlignment="0" applyProtection="0"/>
    <xf numFmtId="249" fontId="63" fillId="0" borderId="0">
      <protection locked="0"/>
    </xf>
    <xf numFmtId="192" fontId="63" fillId="0" borderId="0">
      <protection locked="0"/>
    </xf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63" fillId="0" borderId="0">
      <protection locked="0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10" fontId="71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179" fontId="32" fillId="0" borderId="0" applyFill="0" applyBorder="0" applyAlignment="0"/>
    <xf numFmtId="179" fontId="32" fillId="0" borderId="0" applyFill="0" applyBorder="0" applyAlignment="0"/>
    <xf numFmtId="0" fontId="32" fillId="0" borderId="0" applyFill="0" applyBorder="0" applyAlignment="0"/>
    <xf numFmtId="0" fontId="183" fillId="0" borderId="0" applyNumberFormat="0">
      <alignment horizontal="left"/>
    </xf>
    <xf numFmtId="230" fontId="32" fillId="0" borderId="0" applyNumberFormat="0" applyAlignment="0">
      <alignment horizontal="left"/>
    </xf>
    <xf numFmtId="0" fontId="72" fillId="0" borderId="0" applyNumberFormat="0" applyFont="0" applyFill="0" applyBorder="0" applyAlignment="0" applyProtection="0">
      <alignment horizontal="left"/>
    </xf>
    <xf numFmtId="15" fontId="72" fillId="0" borderId="0" applyFont="0" applyFill="0" applyBorder="0" applyAlignment="0" applyProtection="0"/>
    <xf numFmtId="4" fontId="72" fillId="0" borderId="0" applyFont="0" applyFill="0" applyBorder="0" applyAlignment="0" applyProtection="0"/>
    <xf numFmtId="0" fontId="121" fillId="0" borderId="106">
      <alignment horizontal="center"/>
    </xf>
    <xf numFmtId="3" fontId="72" fillId="0" borderId="0" applyFont="0" applyFill="0" applyBorder="0" applyAlignment="0" applyProtection="0"/>
    <xf numFmtId="0" fontId="72" fillId="28" borderId="0" applyNumberFormat="0" applyFont="0" applyBorder="0" applyAlignment="0" applyProtection="0"/>
    <xf numFmtId="3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0" fontId="184" fillId="0" borderId="94">
      <alignment horizontal="center" vertical="center"/>
    </xf>
    <xf numFmtId="0" fontId="185" fillId="0" borderId="107" applyBorder="0">
      <alignment vertical="top"/>
      <protection locked="0"/>
    </xf>
    <xf numFmtId="3" fontId="45" fillId="0" borderId="0" applyFill="0" applyBorder="0" applyAlignment="0" applyProtection="0"/>
    <xf numFmtId="3" fontId="45" fillId="0" borderId="0" applyFill="0" applyBorder="0" applyAlignment="0" applyProtection="0"/>
    <xf numFmtId="0" fontId="186" fillId="0" borderId="10" applyNumberFormat="0" applyFill="0" applyBorder="0" applyAlignment="0" applyProtection="0">
      <protection hidden="1"/>
    </xf>
    <xf numFmtId="38" fontId="183" fillId="0" borderId="0"/>
    <xf numFmtId="219" fontId="92" fillId="26" borderId="98" applyNumberFormat="0" applyAlignment="0" applyProtection="0"/>
    <xf numFmtId="220" fontId="92" fillId="26" borderId="98" applyNumberFormat="0" applyAlignment="0" applyProtection="0"/>
    <xf numFmtId="219" fontId="92" fillId="26" borderId="98" applyNumberFormat="0" applyAlignment="0" applyProtection="0"/>
    <xf numFmtId="219" fontId="92" fillId="26" borderId="98" applyNumberFormat="0" applyAlignment="0" applyProtection="0"/>
    <xf numFmtId="219" fontId="92" fillId="26" borderId="98" applyNumberFormat="0" applyAlignment="0" applyProtection="0"/>
    <xf numFmtId="219" fontId="92" fillId="26" borderId="98" applyNumberFormat="0" applyAlignment="0" applyProtection="0"/>
    <xf numFmtId="4" fontId="51" fillId="0" borderId="102" applyNumberFormat="0" applyProtection="0">
      <alignment vertical="center"/>
    </xf>
    <xf numFmtId="4" fontId="131" fillId="29" borderId="102" applyNumberFormat="0" applyProtection="0">
      <alignment vertical="center"/>
    </xf>
    <xf numFmtId="4" fontId="51" fillId="0" borderId="102" applyNumberFormat="0" applyProtection="0">
      <alignment horizontal="left" vertical="center" indent="1"/>
    </xf>
    <xf numFmtId="0" fontId="51" fillId="0" borderId="102" applyNumberFormat="0" applyProtection="0">
      <alignment horizontal="left" vertical="top" indent="1"/>
    </xf>
    <xf numFmtId="0" fontId="32" fillId="87" borderId="98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4" fontId="51" fillId="50" borderId="0" applyNumberFormat="0" applyProtection="0">
      <alignment horizontal="left" vertical="center" indent="1"/>
    </xf>
    <xf numFmtId="4" fontId="37" fillId="4" borderId="102" applyNumberFormat="0" applyProtection="0">
      <alignment horizontal="right" vertical="center"/>
    </xf>
    <xf numFmtId="4" fontId="37" fillId="11" borderId="102" applyNumberFormat="0" applyProtection="0">
      <alignment horizontal="right" vertical="center"/>
    </xf>
    <xf numFmtId="4" fontId="37" fillId="19" borderId="102" applyNumberFormat="0" applyProtection="0">
      <alignment horizontal="right" vertical="center"/>
    </xf>
    <xf numFmtId="4" fontId="37" fillId="13" borderId="102" applyNumberFormat="0" applyProtection="0">
      <alignment horizontal="right" vertical="center"/>
    </xf>
    <xf numFmtId="4" fontId="37" fillId="17" borderId="102" applyNumberFormat="0" applyProtection="0">
      <alignment horizontal="right" vertical="center"/>
    </xf>
    <xf numFmtId="4" fontId="37" fillId="21" borderId="102" applyNumberFormat="0" applyProtection="0">
      <alignment horizontal="right" vertical="center"/>
    </xf>
    <xf numFmtId="4" fontId="37" fillId="20" borderId="102" applyNumberFormat="0" applyProtection="0">
      <alignment horizontal="right" vertical="center"/>
    </xf>
    <xf numFmtId="4" fontId="37" fillId="48" borderId="102" applyNumberFormat="0" applyProtection="0">
      <alignment horizontal="right" vertical="center"/>
    </xf>
    <xf numFmtId="4" fontId="37" fillId="12" borderId="102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132" fillId="88" borderId="0" applyNumberFormat="0" applyProtection="0">
      <alignment horizontal="left" vertical="center" indent="1"/>
    </xf>
    <xf numFmtId="4" fontId="37" fillId="50" borderId="102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89" borderId="98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0" fontId="32" fillId="49" borderId="102" applyNumberFormat="0" applyProtection="0">
      <alignment horizontal="left" vertical="top" indent="1"/>
    </xf>
    <xf numFmtId="0" fontId="32" fillId="51" borderId="102" applyNumberFormat="0" applyProtection="0">
      <alignment horizontal="left" vertical="top" indent="1"/>
    </xf>
    <xf numFmtId="0" fontId="32" fillId="22" borderId="102" applyNumberFormat="0" applyProtection="0">
      <alignment horizontal="left" vertical="top" indent="1"/>
    </xf>
    <xf numFmtId="0" fontId="32" fillId="52" borderId="102" applyNumberFormat="0" applyProtection="0">
      <alignment horizontal="left" vertical="center" indent="1"/>
    </xf>
    <xf numFmtId="0" fontId="32" fillId="52" borderId="102" applyNumberFormat="0" applyProtection="0">
      <alignment horizontal="left" vertical="top" indent="1"/>
    </xf>
    <xf numFmtId="0" fontId="32" fillId="82" borderId="94" applyNumberFormat="0">
      <protection locked="0"/>
    </xf>
    <xf numFmtId="4" fontId="37" fillId="23" borderId="102" applyNumberFormat="0" applyProtection="0">
      <alignment vertical="center"/>
    </xf>
    <xf numFmtId="4" fontId="133" fillId="23" borderId="102" applyNumberFormat="0" applyProtection="0">
      <alignment vertical="center"/>
    </xf>
    <xf numFmtId="4" fontId="37" fillId="23" borderId="102" applyNumberFormat="0" applyProtection="0">
      <alignment horizontal="left" vertical="center" indent="1"/>
    </xf>
    <xf numFmtId="0" fontId="37" fillId="23" borderId="102" applyNumberFormat="0" applyProtection="0">
      <alignment horizontal="left" vertical="top" indent="1"/>
    </xf>
    <xf numFmtId="4" fontId="133" fillId="0" borderId="102" applyNumberFormat="0" applyProtection="0">
      <alignment horizontal="right" vertical="center"/>
    </xf>
    <xf numFmtId="0" fontId="187" fillId="0" borderId="0"/>
    <xf numFmtId="4" fontId="122" fillId="0" borderId="0" applyNumberFormat="0" applyProtection="0">
      <alignment horizontal="left" vertical="center" indent="1"/>
    </xf>
    <xf numFmtId="4" fontId="188" fillId="90" borderId="98" applyNumberFormat="0" applyProtection="0">
      <alignment horizontal="right" vertical="center"/>
    </xf>
    <xf numFmtId="4" fontId="32" fillId="0" borderId="102" applyNumberFormat="0" applyProtection="0">
      <alignment horizontal="right" vertical="center"/>
    </xf>
    <xf numFmtId="4" fontId="32" fillId="0" borderId="102" applyNumberFormat="0" applyProtection="0">
      <alignment horizontal="right" vertical="center"/>
    </xf>
    <xf numFmtId="4" fontId="188" fillId="90" borderId="98" applyNumberFormat="0" applyProtection="0">
      <alignment horizontal="right" vertical="center"/>
    </xf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38" fontId="72" fillId="0" borderId="0" applyFont="0" applyFill="0" applyBorder="0" applyAlignment="0" applyProtection="0"/>
    <xf numFmtId="191" fontId="95" fillId="0" borderId="0">
      <protection locked="0"/>
    </xf>
    <xf numFmtId="191" fontId="95" fillId="0" borderId="0">
      <protection locked="0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201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5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0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38" fontId="72" fillId="35" borderId="0" applyNumberFormat="0" applyFont="0" applyBorder="0" applyAlignment="0" applyProtection="0"/>
    <xf numFmtId="0" fontId="105" fillId="0" borderId="0" applyNumberFormat="0" applyFill="0" applyBorder="0" applyAlignment="0" applyProtection="0"/>
    <xf numFmtId="0" fontId="32" fillId="0" borderId="108"/>
    <xf numFmtId="0" fontId="37" fillId="0" borderId="0">
      <alignment vertical="top"/>
    </xf>
    <xf numFmtId="0" fontId="37" fillId="0" borderId="0">
      <alignment vertical="top"/>
    </xf>
    <xf numFmtId="0" fontId="32" fillId="0" borderId="94" applyNumberFormat="0" applyFont="0" applyFill="0" applyProtection="0">
      <alignment horizontal="center"/>
    </xf>
    <xf numFmtId="22" fontId="32" fillId="0" borderId="94" applyFont="0" applyFill="0" applyProtection="0">
      <alignment horizontal="center"/>
    </xf>
    <xf numFmtId="0" fontId="33" fillId="9" borderId="94" applyNumberFormat="0" applyProtection="0">
      <alignment horizontal="center"/>
    </xf>
    <xf numFmtId="0" fontId="189" fillId="38" borderId="94" applyNumberFormat="0" applyProtection="0">
      <alignment horizontal="right"/>
    </xf>
    <xf numFmtId="4" fontId="32" fillId="0" borderId="94" applyFont="0" applyFill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2" fillId="91" borderId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165" fontId="32" fillId="0" borderId="0"/>
    <xf numFmtId="0" fontId="32" fillId="0" borderId="109"/>
    <xf numFmtId="0" fontId="190" fillId="0" borderId="0" applyBorder="0" applyProtection="0">
      <alignment vertical="center"/>
    </xf>
    <xf numFmtId="0" fontId="146" fillId="0" borderId="53" applyBorder="0" applyProtection="0">
      <alignment horizontal="right" vertical="center"/>
    </xf>
    <xf numFmtId="0" fontId="191" fillId="92" borderId="0" applyBorder="0" applyProtection="0">
      <alignment horizontal="centerContinuous" vertical="center"/>
    </xf>
    <xf numFmtId="0" fontId="191" fillId="93" borderId="53" applyBorder="0" applyProtection="0">
      <alignment horizontal="centerContinuous" vertical="center"/>
    </xf>
    <xf numFmtId="0" fontId="192" fillId="0" borderId="0" applyFill="0" applyBorder="0" applyProtection="0">
      <alignment horizontal="left"/>
    </xf>
    <xf numFmtId="0" fontId="166" fillId="0" borderId="20" applyFill="0" applyBorder="0" applyProtection="0">
      <alignment horizontal="left" vertical="top"/>
    </xf>
    <xf numFmtId="0" fontId="193" fillId="0" borderId="0"/>
    <xf numFmtId="0" fontId="46" fillId="0" borderId="0"/>
    <xf numFmtId="0" fontId="194" fillId="0" borderId="0" applyNumberFormat="0" applyFill="0" applyBorder="0" applyAlignment="0" applyProtection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219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19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19" fontId="75" fillId="0" borderId="0" applyNumberFormat="0" applyFill="0" applyBorder="0" applyAlignment="0" applyProtection="0"/>
    <xf numFmtId="219" fontId="75" fillId="0" borderId="0" applyNumberFormat="0" applyFill="0" applyBorder="0" applyAlignment="0" applyProtection="0"/>
    <xf numFmtId="219" fontId="75" fillId="0" borderId="0" applyNumberFormat="0" applyFill="0" applyBorder="0" applyAlignment="0" applyProtection="0"/>
    <xf numFmtId="219" fontId="75" fillId="0" borderId="0" applyNumberFormat="0" applyFill="0" applyBorder="0" applyAlignment="0" applyProtection="0"/>
    <xf numFmtId="219" fontId="75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40" fontId="195" fillId="0" borderId="0"/>
    <xf numFmtId="183" fontId="101" fillId="0" borderId="0" applyNumberFormat="0" applyFill="0" applyBorder="0" applyAlignment="0" applyProtection="0"/>
    <xf numFmtId="219" fontId="103" fillId="0" borderId="25" applyNumberFormat="0" applyFill="0" applyAlignment="0" applyProtection="0"/>
    <xf numFmtId="220" fontId="103" fillId="0" borderId="25" applyNumberFormat="0" applyFill="0" applyAlignment="0" applyProtection="0"/>
    <xf numFmtId="0" fontId="82" fillId="0" borderId="0" applyNumberFormat="0" applyFill="0" applyBorder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19" fontId="103" fillId="0" borderId="25" applyNumberFormat="0" applyFill="0" applyAlignment="0" applyProtection="0"/>
    <xf numFmtId="219" fontId="103" fillId="0" borderId="25" applyNumberFormat="0" applyFill="0" applyAlignment="0" applyProtection="0"/>
    <xf numFmtId="219" fontId="103" fillId="0" borderId="25" applyNumberFormat="0" applyFill="0" applyAlignment="0" applyProtection="0"/>
    <xf numFmtId="219" fontId="103" fillId="0" borderId="25" applyNumberFormat="0" applyFill="0" applyAlignment="0" applyProtection="0"/>
    <xf numFmtId="219" fontId="103" fillId="0" borderId="25" applyNumberFormat="0" applyFill="0" applyAlignment="0" applyProtection="0"/>
    <xf numFmtId="219" fontId="101" fillId="0" borderId="0" applyNumberFormat="0" applyFill="0" applyBorder="0" applyAlignment="0" applyProtection="0"/>
    <xf numFmtId="219" fontId="101" fillId="0" borderId="0" applyNumberFormat="0" applyFill="0" applyBorder="0" applyAlignment="0" applyProtection="0"/>
    <xf numFmtId="219" fontId="101" fillId="0" borderId="0" applyNumberFormat="0" applyFill="0" applyBorder="0" applyAlignment="0" applyProtection="0"/>
    <xf numFmtId="219" fontId="101" fillId="0" borderId="0" applyNumberFormat="0" applyFill="0" applyBorder="0" applyAlignment="0" applyProtection="0"/>
    <xf numFmtId="219" fontId="104" fillId="0" borderId="26" applyNumberFormat="0" applyFill="0" applyAlignment="0" applyProtection="0"/>
    <xf numFmtId="220" fontId="104" fillId="0" borderId="26" applyNumberFormat="0" applyFill="0" applyAlignment="0" applyProtection="0"/>
    <xf numFmtId="0" fontId="83" fillId="0" borderId="0" applyNumberFormat="0" applyFill="0" applyBorder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19" fontId="104" fillId="0" borderId="26" applyNumberFormat="0" applyFill="0" applyAlignment="0" applyProtection="0"/>
    <xf numFmtId="219" fontId="104" fillId="0" borderId="26" applyNumberFormat="0" applyFill="0" applyAlignment="0" applyProtection="0"/>
    <xf numFmtId="219" fontId="104" fillId="0" borderId="26" applyNumberFormat="0" applyFill="0" applyAlignment="0" applyProtection="0"/>
    <xf numFmtId="219" fontId="104" fillId="0" borderId="26" applyNumberFormat="0" applyFill="0" applyAlignment="0" applyProtection="0"/>
    <xf numFmtId="219" fontId="104" fillId="0" borderId="26" applyNumberFormat="0" applyFill="0" applyAlignment="0" applyProtection="0"/>
    <xf numFmtId="219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19" fontId="84" fillId="0" borderId="18" applyNumberFormat="0" applyFill="0" applyAlignment="0" applyProtection="0"/>
    <xf numFmtId="220" fontId="84" fillId="0" borderId="18" applyNumberFormat="0" applyFill="0" applyAlignment="0" applyProtection="0"/>
    <xf numFmtId="219" fontId="84" fillId="0" borderId="18" applyNumberFormat="0" applyFill="0" applyAlignment="0" applyProtection="0"/>
    <xf numFmtId="219" fontId="84" fillId="0" borderId="18" applyNumberFormat="0" applyFill="0" applyAlignment="0" applyProtection="0"/>
    <xf numFmtId="219" fontId="84" fillId="0" borderId="18" applyNumberFormat="0" applyFill="0" applyAlignment="0" applyProtection="0"/>
    <xf numFmtId="219" fontId="84" fillId="0" borderId="18" applyNumberFormat="0" applyFill="0" applyAlignment="0" applyProtection="0"/>
    <xf numFmtId="219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19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19" fontId="101" fillId="0" borderId="0" applyNumberFormat="0" applyFill="0" applyBorder="0" applyAlignment="0" applyProtection="0"/>
    <xf numFmtId="219" fontId="101" fillId="0" borderId="0" applyNumberFormat="0" applyFill="0" applyBorder="0" applyAlignment="0" applyProtection="0"/>
    <xf numFmtId="191" fontId="164" fillId="0" borderId="0">
      <protection locked="0"/>
    </xf>
    <xf numFmtId="191" fontId="164" fillId="0" borderId="0">
      <protection locked="0"/>
    </xf>
    <xf numFmtId="0" fontId="32" fillId="91" borderId="0"/>
    <xf numFmtId="0" fontId="183" fillId="26" borderId="10"/>
    <xf numFmtId="177" fontId="196" fillId="0" borderId="0">
      <alignment horizontal="left"/>
      <protection locked="0"/>
    </xf>
    <xf numFmtId="251" fontId="32" fillId="0" borderId="60" applyFont="0" applyFill="0" applyBorder="0" applyProtection="0">
      <alignment horizontal="center"/>
      <protection locked="0"/>
    </xf>
    <xf numFmtId="251" fontId="32" fillId="0" borderId="60" applyFont="0" applyFill="0" applyBorder="0" applyProtection="0">
      <alignment horizontal="center"/>
      <protection locked="0"/>
    </xf>
    <xf numFmtId="251" fontId="32" fillId="0" borderId="60" applyFont="0" applyFill="0" applyBorder="0" applyProtection="0">
      <alignment horizontal="center"/>
      <protection locked="0"/>
    </xf>
    <xf numFmtId="252" fontId="33" fillId="0" borderId="63" applyFont="0" applyFill="0" applyBorder="0" applyProtection="0">
      <alignment horizontal="center"/>
    </xf>
    <xf numFmtId="38" fontId="32" fillId="0" borderId="94" applyFont="0" applyFill="0" applyBorder="0" applyAlignment="0" applyProtection="0">
      <protection locked="0"/>
    </xf>
    <xf numFmtId="38" fontId="32" fillId="0" borderId="94" applyFont="0" applyFill="0" applyBorder="0" applyAlignment="0" applyProtection="0">
      <protection locked="0"/>
    </xf>
    <xf numFmtId="38" fontId="32" fillId="0" borderId="94" applyFont="0" applyFill="0" applyBorder="0" applyAlignment="0" applyProtection="0">
      <protection locked="0"/>
    </xf>
    <xf numFmtId="15" fontId="32" fillId="0" borderId="94" applyFont="0" applyFill="0" applyBorder="0" applyProtection="0">
      <alignment horizontal="center"/>
      <protection locked="0"/>
    </xf>
    <xf numFmtId="15" fontId="32" fillId="0" borderId="94" applyFont="0" applyFill="0" applyBorder="0" applyProtection="0">
      <alignment horizontal="center"/>
      <protection locked="0"/>
    </xf>
    <xf numFmtId="15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96" fontId="32" fillId="0" borderId="94" applyFont="0" applyFill="0" applyBorder="0" applyProtection="0">
      <alignment horizontal="center"/>
    </xf>
    <xf numFmtId="196" fontId="32" fillId="0" borderId="94" applyFont="0" applyFill="0" applyBorder="0" applyProtection="0">
      <alignment horizontal="center"/>
    </xf>
    <xf numFmtId="196" fontId="32" fillId="0" borderId="94" applyFont="0" applyFill="0" applyBorder="0" applyProtection="0">
      <alignment horizontal="center"/>
    </xf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0" borderId="0"/>
    <xf numFmtId="37" fontId="44" fillId="0" borderId="0"/>
    <xf numFmtId="37" fontId="44" fillId="0" borderId="0"/>
    <xf numFmtId="37" fontId="44" fillId="29" borderId="0" applyNumberFormat="0" applyBorder="0" applyAlignment="0" applyProtection="0"/>
    <xf numFmtId="0" fontId="197" fillId="0" borderId="0">
      <alignment vertical="top"/>
    </xf>
    <xf numFmtId="37" fontId="198" fillId="0" borderId="0">
      <protection locked="0"/>
    </xf>
    <xf numFmtId="192" fontId="63" fillId="0" borderId="0">
      <protection locked="0"/>
    </xf>
    <xf numFmtId="192" fontId="63" fillId="0" borderId="0">
      <protection locked="0"/>
    </xf>
    <xf numFmtId="193" fontId="63" fillId="0" borderId="0">
      <protection locked="0"/>
    </xf>
    <xf numFmtId="193" fontId="63" fillId="0" borderId="0">
      <protection locked="0"/>
    </xf>
    <xf numFmtId="188" fontId="146" fillId="0" borderId="0" applyFont="0" applyFill="0" applyBorder="0" applyAlignment="0" applyProtection="0"/>
    <xf numFmtId="188" fontId="146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0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50" fillId="0" borderId="0" applyFont="0" applyFill="0" applyBorder="0" applyAlignment="0" applyProtection="0"/>
    <xf numFmtId="3" fontId="32" fillId="0" borderId="0" applyFont="0" applyFill="0" applyBorder="0" applyAlignment="0" applyProtection="0"/>
    <xf numFmtId="2" fontId="71" fillId="0" borderId="0" applyFont="0" applyFill="0" applyBorder="0" applyAlignment="0" applyProtection="0"/>
    <xf numFmtId="234" fontId="118" fillId="0" borderId="0" applyFill="0"/>
    <xf numFmtId="0" fontId="199" fillId="0" borderId="0" applyNumberFormat="0" applyFill="0" applyBorder="0" applyAlignment="0" applyProtection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201" fillId="0" borderId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202" fillId="0" borderId="0"/>
    <xf numFmtId="43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43" fontId="5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2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204" fillId="0" borderId="0"/>
    <xf numFmtId="0" fontId="19" fillId="0" borderId="0"/>
    <xf numFmtId="0" fontId="113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7" fillId="0" borderId="0"/>
    <xf numFmtId="0" fontId="30" fillId="0" borderId="0"/>
    <xf numFmtId="0" fontId="16" fillId="0" borderId="0"/>
    <xf numFmtId="209" fontId="126" fillId="0" borderId="110" applyFont="0" applyFill="0" applyBorder="0" applyAlignment="0"/>
    <xf numFmtId="209" fontId="126" fillId="0" borderId="110" applyFont="0" applyFill="0" applyBorder="0" applyAlignment="0"/>
    <xf numFmtId="0" fontId="55" fillId="0" borderId="53" applyBorder="0"/>
    <xf numFmtId="0" fontId="55" fillId="0" borderId="53" applyBorder="0"/>
    <xf numFmtId="0" fontId="55" fillId="0" borderId="53" applyBorder="0"/>
    <xf numFmtId="0" fontId="55" fillId="0" borderId="53" applyBorder="0"/>
    <xf numFmtId="40" fontId="65" fillId="23" borderId="110">
      <alignment vertical="center"/>
    </xf>
    <xf numFmtId="40" fontId="65" fillId="23" borderId="110">
      <alignment vertical="center"/>
    </xf>
    <xf numFmtId="43" fontId="32" fillId="0" borderId="0" applyFont="0" applyFill="0" applyBorder="0" applyAlignment="0" applyProtection="0">
      <alignment wrapText="1"/>
    </xf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29" borderId="0" applyNumberFormat="0" applyFont="0" applyBorder="0" applyAlignment="0" applyProtection="0"/>
    <xf numFmtId="0" fontId="81" fillId="0" borderId="112">
      <alignment horizontal="left" vertical="center"/>
    </xf>
    <xf numFmtId="0" fontId="81" fillId="0" borderId="112">
      <alignment horizontal="left" vertical="center"/>
    </xf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43" fontId="3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4" fontId="37" fillId="0" borderId="110" applyNumberFormat="0" applyProtection="0">
      <alignment horizontal="right" vertical="center"/>
    </xf>
    <xf numFmtId="4" fontId="37" fillId="0" borderId="110" applyNumberFormat="0" applyProtection="0">
      <alignment horizontal="right" vertical="center"/>
    </xf>
    <xf numFmtId="0" fontId="51" fillId="0" borderId="110" applyNumberFormat="0" applyProtection="0">
      <alignment horizontal="left" vertical="top" indent="1"/>
    </xf>
    <xf numFmtId="0" fontId="51" fillId="0" borderId="110" applyNumberFormat="0" applyProtection="0">
      <alignment horizontal="left" vertical="top" indent="1"/>
    </xf>
    <xf numFmtId="43" fontId="37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122" fillId="0" borderId="111" applyProtection="0">
      <alignment horizontal="centerContinuous"/>
    </xf>
    <xf numFmtId="0" fontId="122" fillId="0" borderId="111" applyProtection="0">
      <alignment horizontal="centerContinuous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30" fillId="0" borderId="0"/>
    <xf numFmtId="0" fontId="32" fillId="0" borderId="112" applyFont="0" applyFill="0" applyBorder="0" applyAlignment="0" applyProtection="0"/>
    <xf numFmtId="0" fontId="32" fillId="0" borderId="112" applyFont="0" applyFill="0" applyBorder="0" applyAlignment="0" applyProtection="0"/>
    <xf numFmtId="0" fontId="55" fillId="0" borderId="53" applyBorder="0"/>
    <xf numFmtId="0" fontId="55" fillId="0" borderId="53" applyBorder="0"/>
    <xf numFmtId="0" fontId="55" fillId="0" borderId="53" applyBorder="0"/>
    <xf numFmtId="0" fontId="55" fillId="0" borderId="53" applyBorder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/>
    <xf numFmtId="0" fontId="15" fillId="0" borderId="0"/>
    <xf numFmtId="43" fontId="15" fillId="0" borderId="0" applyFont="0" applyFill="0" applyBorder="0" applyAlignment="0" applyProtection="0"/>
    <xf numFmtId="0" fontId="14" fillId="0" borderId="0"/>
    <xf numFmtId="43" fontId="30" fillId="0" borderId="0" applyFont="0" applyFill="0" applyBorder="0" applyAlignment="0" applyProtection="0"/>
    <xf numFmtId="0" fontId="13" fillId="0" borderId="0"/>
    <xf numFmtId="0" fontId="12" fillId="0" borderId="0"/>
    <xf numFmtId="0" fontId="266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270" fillId="112" borderId="156" applyNumberFormat="0" applyAlignment="0" applyProtection="0"/>
    <xf numFmtId="9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00" fillId="0" borderId="0" applyNumberFormat="0" applyFill="0" applyBorder="0" applyAlignment="0" applyProtection="0"/>
    <xf numFmtId="0" fontId="301" fillId="0" borderId="0" applyNumberForma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2" fillId="0" borderId="0"/>
    <xf numFmtId="0" fontId="32" fillId="0" borderId="0"/>
    <xf numFmtId="167" fontId="32" fillId="0" borderId="0" applyFont="0" applyFill="0" applyBorder="0" applyAlignment="0" applyProtection="0"/>
    <xf numFmtId="0" fontId="323" fillId="0" borderId="0"/>
    <xf numFmtId="43" fontId="1" fillId="0" borderId="0" applyFont="0" applyFill="0" applyBorder="0" applyAlignment="0" applyProtection="0"/>
  </cellStyleXfs>
  <cellXfs count="1859">
    <xf numFmtId="0" fontId="0" fillId="0" borderId="0" xfId="0"/>
    <xf numFmtId="0" fontId="32" fillId="0" borderId="0" xfId="831"/>
    <xf numFmtId="0" fontId="32" fillId="33" borderId="0" xfId="831" applyFill="1"/>
    <xf numFmtId="0" fontId="31" fillId="33" borderId="0" xfId="801" applyFill="1" applyBorder="1" applyAlignment="1" applyProtection="1">
      <alignment horizontal="right"/>
    </xf>
    <xf numFmtId="14" fontId="32" fillId="0" borderId="0" xfId="831" applyNumberFormat="1"/>
    <xf numFmtId="0" fontId="35" fillId="33" borderId="0" xfId="831" applyFont="1" applyFill="1" applyAlignment="1">
      <alignment horizontal="left"/>
    </xf>
    <xf numFmtId="0" fontId="39" fillId="39" borderId="29" xfId="831" applyFont="1" applyFill="1" applyBorder="1" applyAlignment="1">
      <alignment horizontal="center" vertical="center"/>
    </xf>
    <xf numFmtId="14" fontId="109" fillId="0" borderId="0" xfId="831" applyNumberFormat="1" applyFont="1"/>
    <xf numFmtId="14" fontId="0" fillId="0" borderId="0" xfId="0" applyNumberFormat="1"/>
    <xf numFmtId="0" fontId="30" fillId="0" borderId="0" xfId="0" applyFont="1"/>
    <xf numFmtId="167" fontId="32" fillId="0" borderId="0" xfId="863" applyFont="1"/>
    <xf numFmtId="10" fontId="32" fillId="0" borderId="0" xfId="847" applyNumberFormat="1" applyFont="1"/>
    <xf numFmtId="0" fontId="0" fillId="41" borderId="0" xfId="0" applyFill="1"/>
    <xf numFmtId="0" fontId="43" fillId="0" borderId="0" xfId="0" applyFont="1" applyAlignment="1">
      <alignment vertical="center"/>
    </xf>
    <xf numFmtId="0" fontId="125" fillId="0" borderId="0" xfId="0" applyFont="1"/>
    <xf numFmtId="0" fontId="116" fillId="41" borderId="0" xfId="0" applyFont="1" applyFill="1"/>
    <xf numFmtId="0" fontId="30" fillId="0" borderId="0" xfId="1891" applyAlignment="1">
      <alignment vertical="top"/>
    </xf>
    <xf numFmtId="14" fontId="30" fillId="0" borderId="0" xfId="0" applyNumberFormat="1" applyFont="1"/>
    <xf numFmtId="0" fontId="30" fillId="0" borderId="0" xfId="2697"/>
    <xf numFmtId="10" fontId="43" fillId="41" borderId="0" xfId="847" applyNumberFormat="1" applyFont="1" applyFill="1" applyBorder="1"/>
    <xf numFmtId="10" fontId="43" fillId="0" borderId="0" xfId="847" applyNumberFormat="1" applyFont="1"/>
    <xf numFmtId="10" fontId="144" fillId="41" borderId="0" xfId="847" applyNumberFormat="1" applyFont="1" applyFill="1" applyBorder="1" applyAlignment="1">
      <alignment horizontal="center" vertical="center"/>
    </xf>
    <xf numFmtId="3" fontId="43" fillId="41" borderId="0" xfId="907" applyNumberFormat="1" applyFont="1" applyFill="1" applyAlignment="1">
      <alignment horizontal="center"/>
    </xf>
    <xf numFmtId="0" fontId="43" fillId="41" borderId="0" xfId="907" applyFont="1" applyFill="1"/>
    <xf numFmtId="4" fontId="43" fillId="41" borderId="0" xfId="907" applyNumberFormat="1" applyFont="1" applyFill="1"/>
    <xf numFmtId="10" fontId="43" fillId="41" borderId="0" xfId="907" applyNumberFormat="1" applyFont="1" applyFill="1"/>
    <xf numFmtId="166" fontId="43" fillId="41" borderId="0" xfId="907" applyNumberFormat="1" applyFont="1" applyFill="1"/>
    <xf numFmtId="166" fontId="137" fillId="41" borderId="0" xfId="1033" applyFont="1" applyFill="1" applyBorder="1"/>
    <xf numFmtId="166" fontId="43" fillId="41" borderId="0" xfId="815" applyFont="1" applyFill="1" applyBorder="1"/>
    <xf numFmtId="0" fontId="143" fillId="41" borderId="0" xfId="907" applyFont="1" applyFill="1"/>
    <xf numFmtId="0" fontId="110" fillId="41" borderId="0" xfId="907" applyFont="1" applyFill="1"/>
    <xf numFmtId="166" fontId="43" fillId="41" borderId="0" xfId="815" applyFont="1" applyFill="1" applyBorder="1" applyAlignment="1" applyProtection="1"/>
    <xf numFmtId="166" fontId="38" fillId="41" borderId="0" xfId="907" applyNumberFormat="1" applyFont="1" applyFill="1" applyProtection="1">
      <protection hidden="1"/>
    </xf>
    <xf numFmtId="166" fontId="38" fillId="41" borderId="0" xfId="907" applyNumberFormat="1" applyFont="1" applyFill="1" applyAlignment="1" applyProtection="1">
      <alignment horizontal="center"/>
      <protection hidden="1"/>
    </xf>
    <xf numFmtId="10" fontId="38" fillId="41" borderId="0" xfId="847" applyNumberFormat="1" applyFont="1" applyFill="1" applyBorder="1" applyAlignment="1" applyProtection="1">
      <alignment horizontal="center"/>
      <protection hidden="1"/>
    </xf>
    <xf numFmtId="0" fontId="43" fillId="41" borderId="0" xfId="43187" quotePrefix="1" applyFont="1" applyFill="1" applyAlignment="1">
      <alignment horizontal="left"/>
    </xf>
    <xf numFmtId="10" fontId="43" fillId="41" borderId="0" xfId="847" applyNumberFormat="1" applyFont="1" applyFill="1" applyBorder="1" applyAlignment="1" applyProtection="1">
      <alignment horizontal="center"/>
    </xf>
    <xf numFmtId="0" fontId="43" fillId="41" borderId="0" xfId="43187" applyFont="1" applyFill="1" applyAlignment="1">
      <alignment horizontal="left"/>
    </xf>
    <xf numFmtId="0" fontId="117" fillId="41" borderId="0" xfId="907" applyFont="1" applyFill="1" applyAlignment="1">
      <alignment horizontal="center"/>
    </xf>
    <xf numFmtId="166" fontId="143" fillId="41" borderId="0" xfId="815" applyFont="1" applyFill="1" applyBorder="1"/>
    <xf numFmtId="0" fontId="203" fillId="41" borderId="0" xfId="907" applyFont="1" applyFill="1"/>
    <xf numFmtId="10" fontId="203" fillId="41" borderId="0" xfId="847" applyNumberFormat="1" applyFont="1" applyFill="1" applyBorder="1" applyAlignment="1" applyProtection="1">
      <alignment horizontal="center"/>
      <protection hidden="1"/>
    </xf>
    <xf numFmtId="166" fontId="43" fillId="41" borderId="0" xfId="815" applyFont="1" applyFill="1" applyBorder="1" applyAlignment="1">
      <alignment horizontal="left"/>
    </xf>
    <xf numFmtId="10" fontId="110" fillId="41" borderId="0" xfId="847" applyNumberFormat="1" applyFont="1" applyFill="1" applyBorder="1" applyAlignment="1">
      <alignment horizontal="center"/>
    </xf>
    <xf numFmtId="0" fontId="43" fillId="41" borderId="0" xfId="43187" applyFont="1" applyFill="1"/>
    <xf numFmtId="10" fontId="43" fillId="41" borderId="0" xfId="847" applyNumberFormat="1" applyFont="1" applyFill="1" applyBorder="1" applyAlignment="1">
      <alignment horizontal="right"/>
    </xf>
    <xf numFmtId="166" fontId="43" fillId="41" borderId="0" xfId="815" applyFont="1" applyFill="1" applyBorder="1" applyAlignment="1">
      <alignment horizontal="left" indent="1"/>
    </xf>
    <xf numFmtId="0" fontId="43" fillId="33" borderId="0" xfId="776" applyFont="1" applyFill="1" applyAlignment="1">
      <alignment wrapText="1"/>
    </xf>
    <xf numFmtId="10" fontId="43" fillId="33" borderId="0" xfId="847" applyNumberFormat="1" applyFont="1" applyFill="1" applyBorder="1" applyAlignment="1">
      <alignment horizontal="center" wrapText="1"/>
    </xf>
    <xf numFmtId="0" fontId="43" fillId="0" borderId="0" xfId="907" applyFont="1"/>
    <xf numFmtId="0" fontId="110" fillId="0" borderId="0" xfId="907" applyFont="1" applyAlignment="1">
      <alignment horizontal="center"/>
    </xf>
    <xf numFmtId="9" fontId="38" fillId="0" borderId="0" xfId="1823" applyFont="1" applyFill="1" applyBorder="1" applyAlignment="1">
      <alignment horizontal="center" vertical="center" wrapText="1"/>
    </xf>
    <xf numFmtId="9" fontId="43" fillId="41" borderId="0" xfId="1823" applyFont="1" applyFill="1" applyBorder="1" applyAlignment="1">
      <alignment horizontal="left" vertical="center" wrapText="1"/>
    </xf>
    <xf numFmtId="37" fontId="43" fillId="41" borderId="0" xfId="905" applyNumberFormat="1" applyFont="1" applyFill="1" applyAlignment="1">
      <alignment horizontal="left"/>
    </xf>
    <xf numFmtId="166" fontId="110" fillId="41" borderId="0" xfId="815" applyFont="1" applyFill="1" applyBorder="1"/>
    <xf numFmtId="216" fontId="43" fillId="33" borderId="0" xfId="1095" applyNumberFormat="1" applyFont="1" applyFill="1" applyBorder="1" applyAlignment="1">
      <alignment horizontal="center"/>
    </xf>
    <xf numFmtId="166" fontId="43" fillId="33" borderId="0" xfId="815" applyFont="1" applyFill="1" applyBorder="1"/>
    <xf numFmtId="216" fontId="43" fillId="33" borderId="0" xfId="1718" applyNumberFormat="1" applyFont="1" applyFill="1" applyBorder="1" applyAlignment="1">
      <alignment horizontal="center"/>
    </xf>
    <xf numFmtId="10" fontId="43" fillId="33" borderId="0" xfId="1718" applyNumberFormat="1" applyFont="1" applyFill="1" applyBorder="1" applyAlignment="1">
      <alignment horizontal="center"/>
    </xf>
    <xf numFmtId="0" fontId="43" fillId="0" borderId="0" xfId="2544" applyFont="1"/>
    <xf numFmtId="166" fontId="38" fillId="38" borderId="0" xfId="815" applyFont="1" applyFill="1" applyBorder="1" applyAlignment="1">
      <alignment horizontal="center" vertical="center" wrapText="1"/>
    </xf>
    <xf numFmtId="0" fontId="43" fillId="0" borderId="0" xfId="776" applyFont="1" applyAlignment="1">
      <alignment wrapText="1"/>
    </xf>
    <xf numFmtId="216" fontId="43" fillId="0" borderId="0" xfId="1718" applyNumberFormat="1" applyFont="1" applyFill="1" applyBorder="1" applyAlignment="1">
      <alignment horizontal="center"/>
    </xf>
    <xf numFmtId="0" fontId="31" fillId="0" borderId="0" xfId="801" applyAlignment="1" applyProtection="1"/>
    <xf numFmtId="0" fontId="31" fillId="0" borderId="0" xfId="801" quotePrefix="1" applyAlignment="1" applyProtection="1"/>
    <xf numFmtId="0" fontId="43" fillId="0" borderId="0" xfId="2697" applyFont="1" applyAlignment="1">
      <alignment vertical="center"/>
    </xf>
    <xf numFmtId="171" fontId="32" fillId="0" borderId="0" xfId="863" applyNumberFormat="1" applyFont="1"/>
    <xf numFmtId="254" fontId="32" fillId="0" borderId="0" xfId="863" applyNumberFormat="1" applyFont="1"/>
    <xf numFmtId="0" fontId="205" fillId="0" borderId="0" xfId="0" applyFont="1"/>
    <xf numFmtId="167" fontId="205" fillId="0" borderId="0" xfId="863" applyFont="1"/>
    <xf numFmtId="0" fontId="205" fillId="33" borderId="0" xfId="829" applyFont="1" applyFill="1"/>
    <xf numFmtId="0" fontId="208" fillId="0" borderId="0" xfId="0" applyFont="1"/>
    <xf numFmtId="0" fontId="205" fillId="41" borderId="0" xfId="0" applyFont="1" applyFill="1"/>
    <xf numFmtId="0" fontId="209" fillId="0" borderId="0" xfId="0" applyFont="1" applyAlignment="1">
      <alignment horizontal="center"/>
    </xf>
    <xf numFmtId="0" fontId="209" fillId="0" borderId="0" xfId="0" applyFont="1"/>
    <xf numFmtId="0" fontId="211" fillId="0" borderId="0" xfId="0" applyFont="1" applyAlignment="1">
      <alignment horizontal="right" vertical="center"/>
    </xf>
    <xf numFmtId="0" fontId="205" fillId="60" borderId="0" xfId="0" applyFont="1" applyFill="1" applyAlignment="1" applyProtection="1">
      <alignment horizontal="left" wrapText="1"/>
      <protection hidden="1"/>
    </xf>
    <xf numFmtId="166" fontId="205" fillId="0" borderId="0" xfId="815" applyFont="1" applyBorder="1"/>
    <xf numFmtId="0" fontId="205" fillId="0" borderId="0" xfId="0" applyFont="1" applyAlignment="1">
      <alignment horizontal="left" indent="1"/>
    </xf>
    <xf numFmtId="10" fontId="205" fillId="0" borderId="0" xfId="847" applyNumberFormat="1" applyFont="1"/>
    <xf numFmtId="166" fontId="205" fillId="0" borderId="0" xfId="815" applyFont="1" applyFill="1" applyBorder="1"/>
    <xf numFmtId="0" fontId="205" fillId="0" borderId="0" xfId="907" applyFont="1" applyAlignment="1">
      <alignment horizontal="left" indent="1"/>
    </xf>
    <xf numFmtId="37" fontId="205" fillId="0" borderId="0" xfId="0" applyNumberFormat="1" applyFont="1"/>
    <xf numFmtId="37" fontId="205" fillId="0" borderId="0" xfId="0" applyNumberFormat="1" applyFont="1" applyAlignment="1">
      <alignment horizontal="left"/>
    </xf>
    <xf numFmtId="0" fontId="206" fillId="33" borderId="0" xfId="829" applyFont="1" applyFill="1" applyAlignment="1">
      <alignment vertical="top"/>
    </xf>
    <xf numFmtId="10" fontId="211" fillId="0" borderId="0" xfId="0" applyNumberFormat="1" applyFont="1" applyAlignment="1">
      <alignment horizontal="right" vertical="top"/>
    </xf>
    <xf numFmtId="173" fontId="211" fillId="0" borderId="0" xfId="0" applyNumberFormat="1" applyFont="1" applyAlignment="1">
      <alignment horizontal="right"/>
    </xf>
    <xf numFmtId="10" fontId="211" fillId="0" borderId="0" xfId="0" applyNumberFormat="1" applyFont="1" applyAlignment="1">
      <alignment horizontal="right"/>
    </xf>
    <xf numFmtId="167" fontId="205" fillId="45" borderId="0" xfId="863" applyFont="1" applyFill="1" applyBorder="1"/>
    <xf numFmtId="167" fontId="205" fillId="41" borderId="0" xfId="863" applyFont="1" applyFill="1" applyBorder="1"/>
    <xf numFmtId="167" fontId="205" fillId="41" borderId="0" xfId="863" applyFont="1" applyFill="1" applyBorder="1" applyAlignment="1">
      <alignment horizontal="center"/>
    </xf>
    <xf numFmtId="0" fontId="209" fillId="41" borderId="0" xfId="0" applyFont="1" applyFill="1"/>
    <xf numFmtId="0" fontId="205" fillId="41" borderId="0" xfId="0" applyFont="1" applyFill="1" applyAlignment="1">
      <alignment horizontal="center"/>
    </xf>
    <xf numFmtId="167" fontId="205" fillId="0" borderId="0" xfId="0" applyNumberFormat="1" applyFont="1"/>
    <xf numFmtId="0" fontId="205" fillId="41" borderId="0" xfId="0" applyFont="1" applyFill="1" applyAlignment="1" applyProtection="1">
      <alignment horizontal="left"/>
      <protection hidden="1"/>
    </xf>
    <xf numFmtId="0" fontId="205" fillId="0" borderId="0" xfId="2697" applyFont="1"/>
    <xf numFmtId="0" fontId="214" fillId="0" borderId="0" xfId="801" applyFont="1" applyAlignment="1" applyProtection="1"/>
    <xf numFmtId="0" fontId="205" fillId="41" borderId="0" xfId="2697" applyFont="1" applyFill="1"/>
    <xf numFmtId="0" fontId="205" fillId="33" borderId="0" xfId="2697" applyFont="1" applyFill="1"/>
    <xf numFmtId="167" fontId="205" fillId="41" borderId="0" xfId="43185" applyNumberFormat="1" applyFont="1" applyFill="1" applyBorder="1" applyAlignment="1" applyProtection="1">
      <alignment horizontal="right"/>
      <protection locked="0"/>
    </xf>
    <xf numFmtId="166" fontId="205" fillId="41" borderId="29" xfId="815" applyFont="1" applyFill="1" applyBorder="1"/>
    <xf numFmtId="0" fontId="205" fillId="0" borderId="0" xfId="907" applyFont="1"/>
    <xf numFmtId="0" fontId="208" fillId="58" borderId="20" xfId="834" applyFont="1" applyFill="1" applyBorder="1" applyAlignment="1" applyProtection="1">
      <alignment horizontal="left" vertical="center"/>
    </xf>
    <xf numFmtId="0" fontId="208" fillId="58" borderId="29" xfId="834" applyFont="1" applyFill="1" applyBorder="1" applyAlignment="1" applyProtection="1">
      <alignment horizontal="left" vertical="center"/>
    </xf>
    <xf numFmtId="164" fontId="205" fillId="0" borderId="0" xfId="43184" applyFont="1" applyBorder="1"/>
    <xf numFmtId="43" fontId="205" fillId="0" borderId="0" xfId="2697" applyNumberFormat="1" applyFont="1"/>
    <xf numFmtId="164" fontId="205" fillId="0" borderId="0" xfId="2697" applyNumberFormat="1" applyFont="1"/>
    <xf numFmtId="164" fontId="209" fillId="0" borderId="0" xfId="2697" applyNumberFormat="1" applyFont="1"/>
    <xf numFmtId="166" fontId="205" fillId="0" borderId="0" xfId="815" applyFont="1"/>
    <xf numFmtId="166" fontId="205" fillId="0" borderId="0" xfId="815" applyFont="1" applyAlignment="1">
      <alignment horizontal="right"/>
    </xf>
    <xf numFmtId="10" fontId="205" fillId="0" borderId="0" xfId="847" applyNumberFormat="1" applyFont="1" applyAlignment="1">
      <alignment horizontal="right"/>
    </xf>
    <xf numFmtId="166" fontId="205" fillId="0" borderId="0" xfId="2697" applyNumberFormat="1" applyFont="1"/>
    <xf numFmtId="0" fontId="208" fillId="0" borderId="0" xfId="907" applyFont="1" applyAlignment="1">
      <alignment horizontal="left"/>
    </xf>
    <xf numFmtId="0" fontId="205" fillId="41" borderId="0" xfId="834" applyFont="1" applyFill="1" applyAlignment="1" applyProtection="1">
      <alignment horizontal="left" vertical="center" indent="2"/>
    </xf>
    <xf numFmtId="164" fontId="205" fillId="41" borderId="0" xfId="43184" applyFont="1" applyFill="1" applyBorder="1" applyAlignment="1" applyProtection="1">
      <alignment horizontal="right"/>
      <protection locked="0"/>
    </xf>
    <xf numFmtId="0" fontId="215" fillId="41" borderId="0" xfId="834" applyFont="1" applyFill="1" applyAlignment="1" applyProtection="1">
      <alignment horizontal="left" vertical="center" indent="1"/>
    </xf>
    <xf numFmtId="166" fontId="205" fillId="41" borderId="0" xfId="815" applyFont="1" applyFill="1" applyBorder="1"/>
    <xf numFmtId="10" fontId="205" fillId="0" borderId="0" xfId="847" applyNumberFormat="1" applyFont="1" applyFill="1" applyBorder="1"/>
    <xf numFmtId="0" fontId="205" fillId="97" borderId="0" xfId="0" applyFont="1" applyFill="1" applyAlignment="1" applyProtection="1">
      <alignment horizontal="left"/>
      <protection hidden="1"/>
    </xf>
    <xf numFmtId="14" fontId="205" fillId="0" borderId="0" xfId="2697" applyNumberFormat="1" applyFont="1" applyAlignment="1">
      <alignment horizontal="left"/>
    </xf>
    <xf numFmtId="164" fontId="205" fillId="45" borderId="0" xfId="863" applyNumberFormat="1" applyFont="1" applyFill="1" applyBorder="1"/>
    <xf numFmtId="0" fontId="206" fillId="33" borderId="0" xfId="829" applyFont="1" applyFill="1" applyAlignment="1">
      <alignment horizontal="right" vertical="top"/>
    </xf>
    <xf numFmtId="10" fontId="211" fillId="0" borderId="0" xfId="0" applyNumberFormat="1" applyFont="1" applyAlignment="1">
      <alignment horizontal="left" vertical="top"/>
    </xf>
    <xf numFmtId="43" fontId="205" fillId="41" borderId="0" xfId="863" applyNumberFormat="1" applyFont="1" applyFill="1" applyBorder="1" applyAlignment="1">
      <alignment horizontal="right"/>
    </xf>
    <xf numFmtId="0" fontId="205" fillId="0" borderId="0" xfId="0" applyFont="1" applyAlignment="1">
      <alignment horizontal="right"/>
    </xf>
    <xf numFmtId="0" fontId="219" fillId="0" borderId="0" xfId="0" applyFont="1"/>
    <xf numFmtId="9" fontId="207" fillId="0" borderId="0" xfId="847" applyFont="1" applyFill="1" applyBorder="1" applyAlignment="1">
      <alignment horizontal="right"/>
    </xf>
    <xf numFmtId="0" fontId="219" fillId="41" borderId="0" xfId="0" applyFont="1" applyFill="1"/>
    <xf numFmtId="43" fontId="205" fillId="41" borderId="0" xfId="0" applyNumberFormat="1" applyFont="1" applyFill="1" applyAlignment="1">
      <alignment horizontal="center"/>
    </xf>
    <xf numFmtId="10" fontId="205" fillId="41" borderId="0" xfId="847" applyNumberFormat="1" applyFont="1" applyFill="1" applyAlignment="1">
      <alignment horizontal="center"/>
    </xf>
    <xf numFmtId="0" fontId="208" fillId="0" borderId="0" xfId="907" applyFont="1"/>
    <xf numFmtId="169" fontId="205" fillId="0" borderId="0" xfId="863" applyNumberFormat="1" applyFont="1" applyBorder="1"/>
    <xf numFmtId="43" fontId="205" fillId="57" borderId="0" xfId="863" applyNumberFormat="1" applyFont="1" applyFill="1" applyBorder="1"/>
    <xf numFmtId="166" fontId="205" fillId="0" borderId="29" xfId="815" applyFont="1" applyBorder="1"/>
    <xf numFmtId="2" fontId="208" fillId="0" borderId="0" xfId="0" applyNumberFormat="1" applyFont="1"/>
    <xf numFmtId="9" fontId="205" fillId="41" borderId="0" xfId="847" applyFont="1" applyFill="1"/>
    <xf numFmtId="255" fontId="208" fillId="0" borderId="0" xfId="907" applyNumberFormat="1" applyFont="1"/>
    <xf numFmtId="167" fontId="219" fillId="0" borderId="0" xfId="0" applyNumberFormat="1" applyFont="1"/>
    <xf numFmtId="0" fontId="208" fillId="33" borderId="0" xfId="829" applyFont="1" applyFill="1" applyAlignment="1">
      <alignment horizontal="left" vertical="top"/>
    </xf>
    <xf numFmtId="0" fontId="208" fillId="0" borderId="0" xfId="0" applyFont="1" applyAlignment="1">
      <alignment horizontal="left" indent="1"/>
    </xf>
    <xf numFmtId="167" fontId="205" fillId="0" borderId="0" xfId="863" applyFont="1" applyBorder="1"/>
    <xf numFmtId="43" fontId="205" fillId="0" borderId="0" xfId="0" applyNumberFormat="1" applyFont="1"/>
    <xf numFmtId="164" fontId="205" fillId="0" borderId="0" xfId="0" applyNumberFormat="1" applyFont="1"/>
    <xf numFmtId="166" fontId="205" fillId="0" borderId="0" xfId="0" applyNumberFormat="1" applyFont="1"/>
    <xf numFmtId="0" fontId="205" fillId="0" borderId="0" xfId="907" applyFont="1" applyAlignment="1">
      <alignment horizontal="left" indent="2"/>
    </xf>
    <xf numFmtId="218" fontId="218" fillId="41" borderId="0" xfId="863" applyNumberFormat="1" applyFont="1" applyFill="1" applyBorder="1"/>
    <xf numFmtId="0" fontId="210" fillId="43" borderId="0" xfId="0" applyFont="1" applyFill="1"/>
    <xf numFmtId="10" fontId="211" fillId="0" borderId="0" xfId="0" applyNumberFormat="1" applyFont="1" applyAlignment="1">
      <alignment horizontal="center" vertical="top"/>
    </xf>
    <xf numFmtId="167" fontId="205" fillId="45" borderId="0" xfId="863" applyFont="1" applyFill="1" applyBorder="1" applyAlignment="1"/>
    <xf numFmtId="10" fontId="205" fillId="41" borderId="0" xfId="847" applyNumberFormat="1" applyFont="1" applyFill="1" applyBorder="1" applyAlignment="1">
      <alignment horizontal="center"/>
    </xf>
    <xf numFmtId="0" fontId="205" fillId="33" borderId="0" xfId="831" applyFont="1" applyFill="1" applyAlignment="1">
      <alignment vertical="center"/>
    </xf>
    <xf numFmtId="10" fontId="211" fillId="0" borderId="0" xfId="2697" applyNumberFormat="1" applyFont="1" applyAlignment="1">
      <alignment horizontal="right" vertical="top"/>
    </xf>
    <xf numFmtId="0" fontId="206" fillId="33" borderId="0" xfId="831" applyFont="1" applyFill="1" applyAlignment="1">
      <alignment horizontal="left" vertical="center"/>
    </xf>
    <xf numFmtId="169" fontId="205" fillId="33" borderId="0" xfId="863" applyNumberFormat="1" applyFont="1" applyFill="1" applyAlignment="1">
      <alignment vertical="center"/>
    </xf>
    <xf numFmtId="169" fontId="205" fillId="33" borderId="0" xfId="863" applyNumberFormat="1" applyFont="1" applyFill="1" applyBorder="1" applyAlignment="1">
      <alignment vertical="center"/>
    </xf>
    <xf numFmtId="0" fontId="223" fillId="33" borderId="0" xfId="831" applyFont="1" applyFill="1" applyAlignment="1">
      <alignment horizontal="left" vertical="center"/>
    </xf>
    <xf numFmtId="0" fontId="205" fillId="33" borderId="0" xfId="831" applyFont="1" applyFill="1" applyAlignment="1">
      <alignment vertical="center" wrapText="1"/>
    </xf>
    <xf numFmtId="0" fontId="205" fillId="0" borderId="0" xfId="831" applyFont="1" applyAlignment="1">
      <alignment vertical="center"/>
    </xf>
    <xf numFmtId="175" fontId="205" fillId="0" borderId="0" xfId="863" applyNumberFormat="1" applyFont="1" applyFill="1" applyBorder="1" applyAlignment="1">
      <alignment vertical="center"/>
    </xf>
    <xf numFmtId="167" fontId="208" fillId="33" borderId="0" xfId="831" applyNumberFormat="1" applyFont="1" applyFill="1" applyAlignment="1">
      <alignment vertical="center"/>
    </xf>
    <xf numFmtId="169" fontId="208" fillId="33" borderId="0" xfId="863" applyNumberFormat="1" applyFont="1" applyFill="1" applyBorder="1" applyAlignment="1">
      <alignment vertical="center"/>
    </xf>
    <xf numFmtId="167" fontId="208" fillId="33" borderId="0" xfId="863" applyFont="1" applyFill="1" applyBorder="1" applyAlignment="1">
      <alignment vertical="center"/>
    </xf>
    <xf numFmtId="175" fontId="205" fillId="33" borderId="0" xfId="831" applyNumberFormat="1" applyFont="1" applyFill="1" applyAlignment="1">
      <alignment vertical="center"/>
    </xf>
    <xf numFmtId="0" fontId="223" fillId="0" borderId="0" xfId="831" applyFont="1" applyAlignment="1">
      <alignment horizontal="left" vertical="center"/>
    </xf>
    <xf numFmtId="0" fontId="208" fillId="0" borderId="0" xfId="831" applyFont="1" applyAlignment="1">
      <alignment horizontal="center" vertical="center"/>
    </xf>
    <xf numFmtId="4" fontId="208" fillId="0" borderId="0" xfId="831" applyNumberFormat="1" applyFont="1" applyAlignment="1">
      <alignment horizontal="right" vertical="center"/>
    </xf>
    <xf numFmtId="0" fontId="205" fillId="41" borderId="0" xfId="831" applyFont="1" applyFill="1" applyAlignment="1">
      <alignment vertical="center"/>
    </xf>
    <xf numFmtId="169" fontId="205" fillId="41" borderId="0" xfId="863" applyNumberFormat="1" applyFont="1" applyFill="1" applyBorder="1" applyAlignment="1">
      <alignment vertical="center"/>
    </xf>
    <xf numFmtId="0" fontId="205" fillId="61" borderId="0" xfId="831" applyFont="1" applyFill="1" applyAlignment="1">
      <alignment vertical="center"/>
    </xf>
    <xf numFmtId="0" fontId="224" fillId="95" borderId="113" xfId="2697" applyFont="1" applyFill="1" applyBorder="1" applyAlignment="1">
      <alignment vertical="top"/>
    </xf>
    <xf numFmtId="0" fontId="224" fillId="95" borderId="114" xfId="2697" applyFont="1" applyFill="1" applyBorder="1" applyAlignment="1">
      <alignment horizontal="right" vertical="top"/>
    </xf>
    <xf numFmtId="0" fontId="224" fillId="95" borderId="115" xfId="2697" applyFont="1" applyFill="1" applyBorder="1" applyAlignment="1">
      <alignment vertical="top"/>
    </xf>
    <xf numFmtId="0" fontId="224" fillId="95" borderId="116" xfId="2697" applyFont="1" applyFill="1" applyBorder="1" applyAlignment="1">
      <alignment vertical="top"/>
    </xf>
    <xf numFmtId="0" fontId="224" fillId="95" borderId="117" xfId="2697" applyFont="1" applyFill="1" applyBorder="1" applyAlignment="1">
      <alignment horizontal="right" vertical="top"/>
    </xf>
    <xf numFmtId="0" fontId="224" fillId="95" borderId="118" xfId="2697" applyFont="1" applyFill="1" applyBorder="1" applyAlignment="1">
      <alignment vertical="top"/>
    </xf>
    <xf numFmtId="0" fontId="208" fillId="41" borderId="0" xfId="2697" applyFont="1" applyFill="1"/>
    <xf numFmtId="2" fontId="205" fillId="41" borderId="0" xfId="0" applyNumberFormat="1" applyFont="1" applyFill="1"/>
    <xf numFmtId="169" fontId="205" fillId="41" borderId="0" xfId="863" applyNumberFormat="1" applyFont="1" applyFill="1" applyBorder="1"/>
    <xf numFmtId="0" fontId="205" fillId="41" borderId="0" xfId="0" applyFont="1" applyFill="1" applyAlignment="1">
      <alignment vertical="center"/>
    </xf>
    <xf numFmtId="167" fontId="208" fillId="41" borderId="0" xfId="863" applyFont="1" applyFill="1" applyBorder="1"/>
    <xf numFmtId="167" fontId="205" fillId="33" borderId="0" xfId="863" applyFont="1" applyFill="1" applyBorder="1" applyAlignment="1" applyProtection="1">
      <alignment horizontal="center" vertical="center"/>
      <protection locked="0"/>
    </xf>
    <xf numFmtId="0" fontId="205" fillId="0" borderId="0" xfId="831" applyFont="1"/>
    <xf numFmtId="169" fontId="225" fillId="0" borderId="0" xfId="863" applyNumberFormat="1" applyFont="1" applyAlignment="1">
      <alignment horizontal="right"/>
    </xf>
    <xf numFmtId="0" fontId="224" fillId="95" borderId="0" xfId="2697" applyFont="1" applyFill="1" applyAlignment="1">
      <alignment vertical="top"/>
    </xf>
    <xf numFmtId="0" fontId="224" fillId="95" borderId="0" xfId="2697" applyFont="1" applyFill="1" applyAlignment="1">
      <alignment horizontal="right" vertical="top"/>
    </xf>
    <xf numFmtId="0" fontId="224" fillId="95" borderId="119" xfId="2697" applyFont="1" applyFill="1" applyBorder="1" applyAlignment="1">
      <alignment vertical="top"/>
    </xf>
    <xf numFmtId="0" fontId="224" fillId="95" borderId="120" xfId="2697" applyFont="1" applyFill="1" applyBorder="1" applyAlignment="1">
      <alignment horizontal="right" vertical="top"/>
    </xf>
    <xf numFmtId="0" fontId="224" fillId="95" borderId="121" xfId="2697" applyFont="1" applyFill="1" applyBorder="1" applyAlignment="1">
      <alignment vertical="top"/>
    </xf>
    <xf numFmtId="14" fontId="205" fillId="33" borderId="0" xfId="831" applyNumberFormat="1" applyFont="1" applyFill="1" applyAlignment="1">
      <alignment vertical="center"/>
    </xf>
    <xf numFmtId="167" fontId="208" fillId="33" borderId="0" xfId="863" applyFont="1" applyFill="1" applyBorder="1" applyAlignment="1">
      <alignment horizontal="center" vertical="center"/>
    </xf>
    <xf numFmtId="4" fontId="205" fillId="33" borderId="0" xfId="831" applyNumberFormat="1" applyFont="1" applyFill="1" applyAlignment="1">
      <alignment horizontal="center" vertical="center"/>
    </xf>
    <xf numFmtId="4" fontId="205" fillId="46" borderId="0" xfId="831" applyNumberFormat="1" applyFont="1" applyFill="1" applyAlignment="1">
      <alignment horizontal="center" vertical="center"/>
    </xf>
    <xf numFmtId="167" fontId="208" fillId="54" borderId="0" xfId="903" applyFont="1" applyFill="1" applyBorder="1" applyAlignment="1">
      <alignment horizontal="right"/>
    </xf>
    <xf numFmtId="167" fontId="208" fillId="54" borderId="0" xfId="903" applyFont="1" applyFill="1" applyBorder="1" applyAlignment="1">
      <alignment horizontal="left" vertical="top" wrapText="1"/>
    </xf>
    <xf numFmtId="0" fontId="214" fillId="0" borderId="0" xfId="801" applyFont="1" applyFill="1" applyBorder="1" applyAlignment="1" applyProtection="1">
      <alignment horizontal="right" vertical="center"/>
    </xf>
    <xf numFmtId="0" fontId="214" fillId="33" borderId="0" xfId="801" applyFont="1" applyFill="1" applyBorder="1" applyAlignment="1" applyProtection="1">
      <alignment horizontal="right" vertical="center"/>
    </xf>
    <xf numFmtId="0" fontId="205" fillId="33" borderId="0" xfId="0" applyFont="1" applyFill="1" applyAlignment="1">
      <alignment vertical="center"/>
    </xf>
    <xf numFmtId="14" fontId="205" fillId="0" borderId="0" xfId="0" applyNumberFormat="1" applyFont="1"/>
    <xf numFmtId="0" fontId="205" fillId="0" borderId="20" xfId="0" applyFont="1" applyBorder="1"/>
    <xf numFmtId="166" fontId="205" fillId="0" borderId="0" xfId="815" applyFont="1" applyFill="1"/>
    <xf numFmtId="167" fontId="205" fillId="54" borderId="0" xfId="903" applyFont="1" applyFill="1" applyBorder="1" applyAlignment="1">
      <alignment horizontal="left" vertical="top"/>
    </xf>
    <xf numFmtId="214" fontId="205" fillId="54" borderId="0" xfId="903" applyNumberFormat="1" applyFont="1" applyFill="1" applyBorder="1" applyAlignment="1">
      <alignment horizontal="right"/>
    </xf>
    <xf numFmtId="167" fontId="205" fillId="41" borderId="0" xfId="903" applyFont="1" applyFill="1" applyBorder="1" applyAlignment="1">
      <alignment horizontal="left" vertical="top" wrapText="1"/>
    </xf>
    <xf numFmtId="166" fontId="205" fillId="0" borderId="0" xfId="815" applyFont="1" applyFill="1" applyBorder="1" applyAlignment="1">
      <alignment horizontal="right"/>
    </xf>
    <xf numFmtId="166" fontId="205" fillId="41" borderId="0" xfId="815" applyFont="1" applyFill="1" applyBorder="1" applyAlignment="1">
      <alignment horizontal="right"/>
    </xf>
    <xf numFmtId="0" fontId="205" fillId="0" borderId="0" xfId="832" applyFont="1"/>
    <xf numFmtId="0" fontId="206" fillId="33" borderId="0" xfId="0" applyFont="1" applyFill="1" applyAlignment="1">
      <alignment horizontal="left"/>
    </xf>
    <xf numFmtId="166" fontId="205" fillId="0" borderId="0" xfId="815" applyFont="1" applyAlignment="1">
      <alignment vertical="center"/>
    </xf>
    <xf numFmtId="166" fontId="205" fillId="41" borderId="20" xfId="815" applyFont="1" applyFill="1" applyBorder="1"/>
    <xf numFmtId="196" fontId="205" fillId="0" borderId="0" xfId="0" applyNumberFormat="1" applyFont="1"/>
    <xf numFmtId="0" fontId="211" fillId="33" borderId="0" xfId="0" applyFont="1" applyFill="1" applyAlignment="1">
      <alignment horizontal="right"/>
    </xf>
    <xf numFmtId="9" fontId="205" fillId="0" borderId="0" xfId="847" applyFont="1"/>
    <xf numFmtId="0" fontId="205" fillId="33" borderId="0" xfId="0" applyFont="1" applyFill="1"/>
    <xf numFmtId="0" fontId="205" fillId="33" borderId="20" xfId="789" applyFont="1" applyFill="1" applyBorder="1"/>
    <xf numFmtId="0" fontId="205" fillId="33" borderId="29" xfId="789" applyFont="1" applyFill="1" applyBorder="1"/>
    <xf numFmtId="10" fontId="205" fillId="33" borderId="29" xfId="847" applyNumberFormat="1" applyFont="1" applyFill="1" applyBorder="1"/>
    <xf numFmtId="17" fontId="205" fillId="0" borderId="29" xfId="0" applyNumberFormat="1" applyFont="1" applyBorder="1"/>
    <xf numFmtId="0" fontId="211" fillId="0" borderId="0" xfId="0" applyFont="1" applyAlignment="1">
      <alignment horizontal="right"/>
    </xf>
    <xf numFmtId="167" fontId="205" fillId="41" borderId="0" xfId="863" applyFont="1" applyFill="1"/>
    <xf numFmtId="167" fontId="205" fillId="41" borderId="0" xfId="863" applyFont="1" applyFill="1" applyAlignment="1">
      <alignment vertical="center"/>
    </xf>
    <xf numFmtId="166" fontId="205" fillId="41" borderId="0" xfId="815" applyFont="1" applyFill="1"/>
    <xf numFmtId="43" fontId="205" fillId="41" borderId="0" xfId="0" applyNumberFormat="1" applyFont="1" applyFill="1"/>
    <xf numFmtId="10" fontId="205" fillId="0" borderId="20" xfId="847" applyNumberFormat="1" applyFont="1" applyBorder="1" applyAlignment="1">
      <alignment horizontal="right"/>
    </xf>
    <xf numFmtId="10" fontId="205" fillId="0" borderId="20" xfId="847" applyNumberFormat="1" applyFont="1" applyFill="1" applyBorder="1" applyAlignment="1">
      <alignment horizontal="right"/>
    </xf>
    <xf numFmtId="166" fontId="205" fillId="0" borderId="20" xfId="815" applyFont="1" applyBorder="1"/>
    <xf numFmtId="166" fontId="205" fillId="0" borderId="20" xfId="815" applyFont="1" applyFill="1" applyBorder="1"/>
    <xf numFmtId="166" fontId="205" fillId="0" borderId="29" xfId="815" applyFont="1" applyFill="1" applyBorder="1"/>
    <xf numFmtId="0" fontId="208" fillId="0" borderId="0" xfId="2697" applyFont="1"/>
    <xf numFmtId="0" fontId="229" fillId="0" borderId="0" xfId="2697" applyFont="1"/>
    <xf numFmtId="10" fontId="43" fillId="41" borderId="0" xfId="847" applyNumberFormat="1" applyFont="1" applyFill="1" applyBorder="1" applyAlignment="1">
      <alignment horizontal="center"/>
    </xf>
    <xf numFmtId="0" fontId="38" fillId="55" borderId="0" xfId="834" applyFont="1" applyFill="1" applyAlignment="1" applyProtection="1">
      <alignment horizontal="center" vertical="center"/>
    </xf>
    <xf numFmtId="0" fontId="205" fillId="46" borderId="0" xfId="2697" applyFont="1" applyFill="1"/>
    <xf numFmtId="164" fontId="205" fillId="46" borderId="0" xfId="2697" applyNumberFormat="1" applyFont="1" applyFill="1"/>
    <xf numFmtId="167" fontId="0" fillId="0" borderId="0" xfId="863" applyFont="1"/>
    <xf numFmtId="167" fontId="30" fillId="0" borderId="0" xfId="863" applyFont="1"/>
    <xf numFmtId="167" fontId="231" fillId="0" borderId="0" xfId="863" applyFont="1"/>
    <xf numFmtId="0" fontId="232" fillId="0" borderId="122" xfId="0" applyFont="1" applyBorder="1"/>
    <xf numFmtId="167" fontId="232" fillId="0" borderId="122" xfId="863" applyFont="1" applyBorder="1"/>
    <xf numFmtId="14" fontId="232" fillId="0" borderId="122" xfId="0" applyNumberFormat="1" applyFont="1" applyBorder="1"/>
    <xf numFmtId="0" fontId="232" fillId="62" borderId="122" xfId="0" applyFont="1" applyFill="1" applyBorder="1"/>
    <xf numFmtId="167" fontId="232" fillId="62" borderId="122" xfId="863" applyFont="1" applyFill="1" applyBorder="1"/>
    <xf numFmtId="14" fontId="232" fillId="62" borderId="122" xfId="0" applyNumberFormat="1" applyFont="1" applyFill="1" applyBorder="1"/>
    <xf numFmtId="167" fontId="233" fillId="0" borderId="0" xfId="863" applyFont="1"/>
    <xf numFmtId="0" fontId="233" fillId="0" borderId="0" xfId="0" applyFont="1"/>
    <xf numFmtId="0" fontId="233" fillId="41" borderId="0" xfId="0" applyFont="1" applyFill="1"/>
    <xf numFmtId="0" fontId="234" fillId="41" borderId="0" xfId="0" applyFont="1" applyFill="1"/>
    <xf numFmtId="167" fontId="233" fillId="0" borderId="0" xfId="0" applyNumberFormat="1" applyFont="1"/>
    <xf numFmtId="167" fontId="0" fillId="0" borderId="0" xfId="863" applyFont="1" applyBorder="1"/>
    <xf numFmtId="10" fontId="0" fillId="0" borderId="0" xfId="847" applyNumberFormat="1" applyFont="1"/>
    <xf numFmtId="257" fontId="205" fillId="0" borderId="0" xfId="847" applyNumberFormat="1" applyFont="1" applyAlignment="1">
      <alignment horizontal="left"/>
    </xf>
    <xf numFmtId="256" fontId="205" fillId="0" borderId="0" xfId="847" applyNumberFormat="1" applyFont="1" applyAlignment="1">
      <alignment horizontal="left"/>
    </xf>
    <xf numFmtId="169" fontId="205" fillId="0" borderId="0" xfId="863" applyNumberFormat="1" applyFont="1" applyAlignment="1">
      <alignment horizontal="left" vertical="top"/>
    </xf>
    <xf numFmtId="166" fontId="208" fillId="44" borderId="29" xfId="0" applyNumberFormat="1" applyFont="1" applyFill="1" applyBorder="1" applyProtection="1">
      <protection hidden="1"/>
    </xf>
    <xf numFmtId="167" fontId="0" fillId="46" borderId="0" xfId="863" applyFont="1" applyFill="1"/>
    <xf numFmtId="0" fontId="0" fillId="46" borderId="0" xfId="0" applyFill="1"/>
    <xf numFmtId="169" fontId="205" fillId="41" borderId="0" xfId="863" applyNumberFormat="1" applyFont="1" applyFill="1" applyBorder="1" applyAlignment="1">
      <alignment horizontal="right"/>
    </xf>
    <xf numFmtId="261" fontId="205" fillId="0" borderId="0" xfId="847" applyNumberFormat="1" applyFont="1" applyBorder="1"/>
    <xf numFmtId="261" fontId="205" fillId="0" borderId="0" xfId="847" applyNumberFormat="1" applyFont="1" applyFill="1" applyBorder="1" applyAlignment="1">
      <alignment horizontal="right"/>
    </xf>
    <xf numFmtId="261" fontId="205" fillId="0" borderId="0" xfId="847" applyNumberFormat="1" applyFont="1" applyBorder="1" applyAlignment="1">
      <alignment horizontal="right"/>
    </xf>
    <xf numFmtId="0" fontId="30" fillId="0" borderId="0" xfId="0" applyFont="1" applyAlignment="1">
      <alignment horizontal="right" vertical="center"/>
    </xf>
    <xf numFmtId="0" fontId="237" fillId="0" borderId="0" xfId="0" applyFont="1" applyAlignment="1">
      <alignment horizontal="right" vertical="center"/>
    </xf>
    <xf numFmtId="0" fontId="205" fillId="0" borderId="0" xfId="0" applyFont="1" applyAlignment="1">
      <alignment horizontal="left"/>
    </xf>
    <xf numFmtId="0" fontId="229" fillId="0" borderId="0" xfId="832" applyFont="1"/>
    <xf numFmtId="252" fontId="116" fillId="0" borderId="0" xfId="0" applyNumberFormat="1" applyFont="1"/>
    <xf numFmtId="4" fontId="116" fillId="0" borderId="0" xfId="0" applyNumberFormat="1" applyFont="1"/>
    <xf numFmtId="0" fontId="116" fillId="0" borderId="0" xfId="0" applyFont="1"/>
    <xf numFmtId="166" fontId="205" fillId="0" borderId="0" xfId="801" applyNumberFormat="1" applyFont="1" applyBorder="1" applyAlignment="1" applyProtection="1"/>
    <xf numFmtId="166" fontId="205" fillId="0" borderId="0" xfId="815" applyFont="1" applyFill="1" applyBorder="1" applyAlignment="1">
      <alignment horizontal="right" indent="2"/>
    </xf>
    <xf numFmtId="166" fontId="205" fillId="0" borderId="0" xfId="815" applyFont="1" applyFill="1" applyBorder="1" applyAlignment="1">
      <alignment horizontal="right" indent="5"/>
    </xf>
    <xf numFmtId="166" fontId="205" fillId="0" borderId="0" xfId="801" applyNumberFormat="1" applyFont="1" applyFill="1" applyBorder="1" applyAlignment="1" applyProtection="1"/>
    <xf numFmtId="0" fontId="208" fillId="0" borderId="0" xfId="0" applyFont="1" applyAlignment="1">
      <alignment horizontal="center"/>
    </xf>
    <xf numFmtId="170" fontId="205" fillId="0" borderId="0" xfId="0" applyNumberFormat="1" applyFont="1"/>
    <xf numFmtId="0" fontId="212" fillId="0" borderId="0" xfId="0" applyFont="1" applyAlignment="1">
      <alignment horizontal="center" vertical="center" wrapText="1"/>
    </xf>
    <xf numFmtId="166" fontId="208" fillId="0" borderId="0" xfId="0" applyNumberFormat="1" applyFont="1"/>
    <xf numFmtId="0" fontId="30" fillId="0" borderId="0" xfId="907"/>
    <xf numFmtId="170" fontId="30" fillId="0" borderId="10" xfId="907" applyNumberFormat="1" applyBorder="1" applyAlignment="1">
      <alignment horizontal="center"/>
    </xf>
    <xf numFmtId="167" fontId="0" fillId="9" borderId="10" xfId="863" applyFont="1" applyFill="1" applyBorder="1"/>
    <xf numFmtId="17" fontId="39" fillId="0" borderId="0" xfId="905" applyNumberFormat="1" applyFont="1" applyAlignment="1">
      <alignment horizontal="center" vertical="center" wrapText="1"/>
    </xf>
    <xf numFmtId="0" fontId="33" fillId="0" borderId="0" xfId="907" applyFont="1"/>
    <xf numFmtId="166" fontId="33" fillId="0" borderId="0" xfId="815" applyFont="1" applyFill="1" applyBorder="1" applyAlignment="1">
      <alignment horizontal="right"/>
    </xf>
    <xf numFmtId="17" fontId="39" fillId="0" borderId="0" xfId="905" applyNumberFormat="1" applyFont="1" applyAlignment="1">
      <alignment horizontal="left" vertical="center" indent="6"/>
    </xf>
    <xf numFmtId="17" fontId="39" fillId="38" borderId="29" xfId="905" applyNumberFormat="1" applyFont="1" applyFill="1" applyBorder="1" applyAlignment="1">
      <alignment horizontal="center" vertical="center" wrapText="1"/>
    </xf>
    <xf numFmtId="0" fontId="36" fillId="0" borderId="0" xfId="907" applyFont="1"/>
    <xf numFmtId="167" fontId="30" fillId="0" borderId="10" xfId="863" applyBorder="1"/>
    <xf numFmtId="0" fontId="224" fillId="0" borderId="0" xfId="2697" applyFont="1" applyAlignment="1">
      <alignment vertical="top"/>
    </xf>
    <xf numFmtId="0" fontId="224" fillId="0" borderId="0" xfId="2697" applyFont="1" applyAlignment="1">
      <alignment horizontal="right" vertical="top"/>
    </xf>
    <xf numFmtId="17" fontId="39" fillId="0" borderId="0" xfId="905" applyNumberFormat="1" applyFont="1" applyAlignment="1">
      <alignment horizontal="left" vertical="center" indent="11"/>
    </xf>
    <xf numFmtId="166" fontId="33" fillId="0" borderId="0" xfId="815" applyFont="1" applyFill="1" applyBorder="1"/>
    <xf numFmtId="170" fontId="33" fillId="0" borderId="0" xfId="907" applyNumberFormat="1" applyFont="1"/>
    <xf numFmtId="0" fontId="146" fillId="41" borderId="0" xfId="907" applyFont="1" applyFill="1"/>
    <xf numFmtId="167" fontId="116" fillId="0" borderId="0" xfId="863" applyFont="1"/>
    <xf numFmtId="167" fontId="205" fillId="0" borderId="0" xfId="863" applyFont="1" applyFill="1" applyBorder="1"/>
    <xf numFmtId="0" fontId="228" fillId="0" borderId="0" xfId="830" applyFont="1"/>
    <xf numFmtId="0" fontId="226" fillId="0" borderId="0" xfId="831" applyFont="1"/>
    <xf numFmtId="0" fontId="205" fillId="0" borderId="0" xfId="0" applyFont="1" applyAlignment="1">
      <alignment horizontal="center"/>
    </xf>
    <xf numFmtId="14" fontId="205" fillId="0" borderId="0" xfId="0" applyNumberFormat="1" applyFont="1" applyAlignment="1">
      <alignment horizontal="center"/>
    </xf>
    <xf numFmtId="0" fontId="225" fillId="0" borderId="0" xfId="0" applyFont="1"/>
    <xf numFmtId="166" fontId="205" fillId="0" borderId="10" xfId="815" applyFont="1" applyFill="1" applyBorder="1"/>
    <xf numFmtId="0" fontId="241" fillId="33" borderId="0" xfId="831" applyFont="1" applyFill="1" applyAlignment="1">
      <alignment horizontal="right" vertical="center"/>
    </xf>
    <xf numFmtId="0" fontId="110" fillId="41" borderId="0" xfId="907" applyFont="1" applyFill="1" applyAlignment="1">
      <alignment horizontal="center"/>
    </xf>
    <xf numFmtId="9" fontId="38" fillId="38" borderId="0" xfId="1823" applyFont="1" applyFill="1" applyBorder="1" applyAlignment="1">
      <alignment horizontal="center" vertical="center" wrapText="1"/>
    </xf>
    <xf numFmtId="0" fontId="43" fillId="41" borderId="0" xfId="907" applyFont="1" applyFill="1" applyAlignment="1">
      <alignment horizontal="left" indent="1"/>
    </xf>
    <xf numFmtId="0" fontId="242" fillId="41" borderId="106" xfId="831" applyFont="1" applyFill="1" applyBorder="1" applyAlignment="1">
      <alignment horizontal="left"/>
    </xf>
    <xf numFmtId="0" fontId="31" fillId="41" borderId="0" xfId="801" applyFill="1" applyBorder="1" applyAlignment="1" applyProtection="1">
      <alignment horizontal="left"/>
    </xf>
    <xf numFmtId="0" fontId="43" fillId="41" borderId="0" xfId="2697" applyFont="1" applyFill="1"/>
    <xf numFmtId="0" fontId="31" fillId="41" borderId="0" xfId="801" applyFill="1" applyBorder="1" applyAlignment="1" applyProtection="1"/>
    <xf numFmtId="0" fontId="243" fillId="41" borderId="0" xfId="907" applyFont="1" applyFill="1" applyAlignment="1">
      <alignment horizontal="left"/>
    </xf>
    <xf numFmtId="0" fontId="31" fillId="41" borderId="0" xfId="801" applyFill="1" applyBorder="1" applyAlignment="1" applyProtection="1">
      <alignment horizontal="right"/>
    </xf>
    <xf numFmtId="0" fontId="117" fillId="101" borderId="0" xfId="2697" applyFont="1" applyFill="1" applyAlignment="1">
      <alignment horizontal="center" vertical="center" wrapText="1"/>
    </xf>
    <xf numFmtId="0" fontId="43" fillId="41" borderId="0" xfId="2697" applyFont="1" applyFill="1" applyAlignment="1">
      <alignment horizontal="left" vertical="center"/>
    </xf>
    <xf numFmtId="43" fontId="43" fillId="41" borderId="0" xfId="43199" applyFont="1" applyFill="1" applyBorder="1" applyAlignment="1"/>
    <xf numFmtId="43" fontId="43" fillId="41" borderId="0" xfId="43199" applyFont="1" applyFill="1" applyBorder="1"/>
    <xf numFmtId="166" fontId="43" fillId="41" borderId="0" xfId="815" quotePrefix="1" applyFont="1" applyFill="1" applyBorder="1"/>
    <xf numFmtId="10" fontId="43" fillId="41" borderId="0" xfId="847" applyNumberFormat="1" applyFont="1" applyFill="1" applyBorder="1" applyAlignment="1">
      <alignment horizontal="right" vertical="center"/>
    </xf>
    <xf numFmtId="43" fontId="43" fillId="41" borderId="0" xfId="907" applyNumberFormat="1" applyFont="1" applyFill="1"/>
    <xf numFmtId="166" fontId="110" fillId="41" borderId="0" xfId="815" applyFont="1" applyFill="1" applyBorder="1" applyAlignment="1"/>
    <xf numFmtId="43" fontId="110" fillId="41" borderId="0" xfId="907" applyNumberFormat="1" applyFont="1" applyFill="1"/>
    <xf numFmtId="0" fontId="30" fillId="41" borderId="0" xfId="2697" applyFill="1" applyAlignment="1">
      <alignment horizontal="center"/>
    </xf>
    <xf numFmtId="166" fontId="243" fillId="41" borderId="0" xfId="815" applyFont="1" applyFill="1" applyBorder="1" applyAlignment="1"/>
    <xf numFmtId="43" fontId="43" fillId="41" borderId="0" xfId="43200" applyFont="1" applyFill="1" applyBorder="1" applyAlignment="1" applyProtection="1">
      <alignment horizontal="center"/>
    </xf>
    <xf numFmtId="43" fontId="203" fillId="41" borderId="0" xfId="43199" applyFont="1" applyFill="1" applyBorder="1"/>
    <xf numFmtId="43" fontId="110" fillId="41" borderId="0" xfId="43199" applyFont="1" applyFill="1" applyBorder="1"/>
    <xf numFmtId="0" fontId="43" fillId="41" borderId="0" xfId="907" applyFont="1" applyFill="1" applyAlignment="1">
      <alignment horizontal="center"/>
    </xf>
    <xf numFmtId="0" fontId="232" fillId="41" borderId="123" xfId="2697" applyFont="1" applyFill="1" applyBorder="1" applyAlignment="1">
      <alignment horizontal="center"/>
    </xf>
    <xf numFmtId="0" fontId="232" fillId="41" borderId="124" xfId="2697" applyFont="1" applyFill="1" applyBorder="1" applyAlignment="1">
      <alignment horizontal="center"/>
    </xf>
    <xf numFmtId="0" fontId="243" fillId="41" borderId="0" xfId="907" applyFont="1" applyFill="1"/>
    <xf numFmtId="169" fontId="43" fillId="33" borderId="0" xfId="43199" applyNumberFormat="1" applyFont="1" applyFill="1" applyBorder="1" applyAlignment="1">
      <alignment horizontal="center" wrapText="1"/>
    </xf>
    <xf numFmtId="43" fontId="43" fillId="41" borderId="0" xfId="43199" applyFont="1" applyFill="1" applyBorder="1" applyAlignment="1">
      <alignment horizontal="center"/>
    </xf>
    <xf numFmtId="0" fontId="43" fillId="41" borderId="0" xfId="2697" applyFont="1" applyFill="1" applyAlignment="1">
      <alignment horizontal="center" vertical="center"/>
    </xf>
    <xf numFmtId="2" fontId="43" fillId="41" borderId="0" xfId="2697" applyNumberFormat="1" applyFont="1" applyFill="1" applyAlignment="1">
      <alignment horizontal="center"/>
    </xf>
    <xf numFmtId="43" fontId="43" fillId="41" borderId="0" xfId="2697" applyNumberFormat="1" applyFont="1" applyFill="1" applyAlignment="1">
      <alignment horizontal="left"/>
    </xf>
    <xf numFmtId="0" fontId="43" fillId="41" borderId="0" xfId="2697" applyFont="1" applyFill="1" applyAlignment="1">
      <alignment horizontal="center"/>
    </xf>
    <xf numFmtId="0" fontId="43" fillId="41" borderId="0" xfId="2697" applyFont="1" applyFill="1" applyAlignment="1">
      <alignment horizontal="left"/>
    </xf>
    <xf numFmtId="0" fontId="143" fillId="41" borderId="125" xfId="907" applyFont="1" applyFill="1" applyBorder="1" applyAlignment="1">
      <alignment horizontal="center"/>
    </xf>
    <xf numFmtId="3" fontId="43" fillId="41" borderId="0" xfId="43199" applyNumberFormat="1" applyFont="1" applyFill="1" applyBorder="1" applyAlignment="1">
      <alignment horizontal="right"/>
    </xf>
    <xf numFmtId="43" fontId="43" fillId="41" borderId="0" xfId="43199" applyFont="1" applyFill="1" applyBorder="1" applyAlignment="1">
      <alignment horizontal="right"/>
    </xf>
    <xf numFmtId="43" fontId="43" fillId="41" borderId="0" xfId="43199" applyFont="1" applyFill="1" applyBorder="1" applyAlignment="1">
      <alignment horizontal="left"/>
    </xf>
    <xf numFmtId="0" fontId="244" fillId="41" borderId="123" xfId="907" applyFont="1" applyFill="1" applyBorder="1" applyAlignment="1">
      <alignment horizontal="center"/>
    </xf>
    <xf numFmtId="43" fontId="43" fillId="0" borderId="0" xfId="43199" applyFont="1" applyFill="1" applyBorder="1" applyAlignment="1">
      <alignment horizontal="left"/>
    </xf>
    <xf numFmtId="0" fontId="244" fillId="41" borderId="124" xfId="907" applyFont="1" applyFill="1" applyBorder="1" applyAlignment="1">
      <alignment horizontal="center"/>
    </xf>
    <xf numFmtId="43" fontId="110" fillId="0" borderId="0" xfId="43199" applyFont="1" applyFill="1" applyBorder="1" applyAlignment="1">
      <alignment horizontal="left"/>
    </xf>
    <xf numFmtId="43" fontId="43" fillId="0" borderId="0" xfId="2697" applyNumberFormat="1" applyFont="1"/>
    <xf numFmtId="43" fontId="110" fillId="0" borderId="0" xfId="2697" applyNumberFormat="1" applyFont="1" applyAlignment="1">
      <alignment horizontal="left"/>
    </xf>
    <xf numFmtId="43" fontId="110" fillId="41" borderId="0" xfId="43199" quotePrefix="1" applyFont="1" applyFill="1" applyBorder="1" applyAlignment="1">
      <alignment horizontal="left"/>
    </xf>
    <xf numFmtId="10" fontId="43" fillId="41" borderId="0" xfId="43199" applyNumberFormat="1" applyFont="1" applyFill="1" applyBorder="1"/>
    <xf numFmtId="0" fontId="145" fillId="41" borderId="0" xfId="2697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 wrapText="1"/>
    </xf>
    <xf numFmtId="0" fontId="144" fillId="41" borderId="0" xfId="2697" applyFont="1" applyFill="1" applyAlignment="1">
      <alignment vertical="center"/>
    </xf>
    <xf numFmtId="3" fontId="144" fillId="41" borderId="0" xfId="2697" applyNumberFormat="1" applyFont="1" applyFill="1" applyAlignment="1">
      <alignment horizontal="center" vertical="center"/>
    </xf>
    <xf numFmtId="10" fontId="144" fillId="41" borderId="0" xfId="2697" applyNumberFormat="1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/>
    </xf>
    <xf numFmtId="3" fontId="144" fillId="41" borderId="0" xfId="2697" applyNumberFormat="1" applyFont="1" applyFill="1" applyAlignment="1">
      <alignment vertical="center"/>
    </xf>
    <xf numFmtId="10" fontId="144" fillId="41" borderId="0" xfId="2697" applyNumberFormat="1" applyFont="1" applyFill="1" applyAlignment="1">
      <alignment horizontal="right" vertical="center"/>
    </xf>
    <xf numFmtId="0" fontId="146" fillId="41" borderId="0" xfId="2697" applyFont="1" applyFill="1"/>
    <xf numFmtId="9" fontId="38" fillId="38" borderId="0" xfId="1095" applyFont="1" applyFill="1" applyBorder="1" applyAlignment="1">
      <alignment horizontal="center" vertical="center" wrapText="1"/>
    </xf>
    <xf numFmtId="0" fontId="143" fillId="41" borderId="0" xfId="2697" applyFont="1" applyFill="1" applyAlignment="1">
      <alignment horizontal="center" vertical="center"/>
    </xf>
    <xf numFmtId="43" fontId="43" fillId="0" borderId="0" xfId="43199" applyFont="1" applyAlignment="1">
      <alignment vertical="center"/>
    </xf>
    <xf numFmtId="0" fontId="43" fillId="0" borderId="0" xfId="2697" applyFont="1"/>
    <xf numFmtId="0" fontId="110" fillId="0" borderId="0" xfId="2697" applyFont="1"/>
    <xf numFmtId="43" fontId="43" fillId="0" borderId="0" xfId="43201" applyFont="1" applyFill="1" applyBorder="1" applyAlignment="1">
      <alignment horizontal="right" vertical="center"/>
    </xf>
    <xf numFmtId="0" fontId="146" fillId="0" borderId="0" xfId="2697" applyFont="1" applyAlignment="1">
      <alignment vertical="center"/>
    </xf>
    <xf numFmtId="0" fontId="146" fillId="0" borderId="0" xfId="2697" applyFont="1"/>
    <xf numFmtId="43" fontId="146" fillId="41" borderId="0" xfId="43199" applyFont="1" applyFill="1" applyBorder="1"/>
    <xf numFmtId="43" fontId="143" fillId="41" borderId="0" xfId="2697" applyNumberFormat="1" applyFont="1" applyFill="1" applyAlignment="1">
      <alignment horizontal="center" vertical="center"/>
    </xf>
    <xf numFmtId="9" fontId="43" fillId="0" borderId="0" xfId="2697" applyNumberFormat="1" applyFont="1"/>
    <xf numFmtId="10" fontId="43" fillId="0" borderId="0" xfId="2697" applyNumberFormat="1" applyFont="1"/>
    <xf numFmtId="0" fontId="43" fillId="41" borderId="0" xfId="2697" applyFont="1" applyFill="1" applyAlignment="1">
      <alignment vertical="center"/>
    </xf>
    <xf numFmtId="43" fontId="43" fillId="41" borderId="0" xfId="43199" applyFont="1" applyFill="1" applyBorder="1" applyAlignment="1">
      <alignment vertical="center"/>
    </xf>
    <xf numFmtId="216" fontId="43" fillId="33" borderId="0" xfId="2697" applyNumberFormat="1" applyFont="1" applyFill="1" applyAlignment="1">
      <alignment horizontal="center"/>
    </xf>
    <xf numFmtId="0" fontId="124" fillId="41" borderId="0" xfId="43202" applyFont="1" applyFill="1" applyAlignment="1">
      <alignment horizontal="center" wrapText="1"/>
    </xf>
    <xf numFmtId="0" fontId="124" fillId="41" borderId="0" xfId="43202" applyFont="1" applyFill="1" applyAlignment="1">
      <alignment horizontal="center"/>
    </xf>
    <xf numFmtId="0" fontId="137" fillId="41" borderId="0" xfId="43202" applyFont="1" applyFill="1"/>
    <xf numFmtId="43" fontId="137" fillId="41" borderId="0" xfId="43199" applyFont="1" applyFill="1" applyBorder="1"/>
    <xf numFmtId="166" fontId="30" fillId="0" borderId="0" xfId="815" applyFont="1" applyFill="1" applyBorder="1" applyAlignment="1">
      <alignment horizontal="left"/>
    </xf>
    <xf numFmtId="3" fontId="30" fillId="0" borderId="0" xfId="0" applyNumberFormat="1" applyFont="1"/>
    <xf numFmtId="49" fontId="30" fillId="0" borderId="0" xfId="847" applyNumberFormat="1" applyFont="1" applyFill="1" applyBorder="1" applyAlignment="1">
      <alignment horizontal="center"/>
    </xf>
    <xf numFmtId="167" fontId="205" fillId="0" borderId="0" xfId="863" applyFont="1" applyFill="1" applyBorder="1" applyAlignment="1"/>
    <xf numFmtId="167" fontId="205" fillId="0" borderId="0" xfId="863" applyFont="1" applyFill="1" applyBorder="1" applyAlignment="1">
      <alignment horizontal="left"/>
    </xf>
    <xf numFmtId="0" fontId="110" fillId="102" borderId="0" xfId="0" applyFont="1" applyFill="1"/>
    <xf numFmtId="0" fontId="32" fillId="45" borderId="0" xfId="10225" applyFill="1" applyAlignment="1"/>
    <xf numFmtId="0" fontId="43" fillId="0" borderId="0" xfId="0" applyFont="1"/>
    <xf numFmtId="173" fontId="0" fillId="0" borderId="0" xfId="0" applyNumberFormat="1"/>
    <xf numFmtId="0" fontId="110" fillId="102" borderId="0" xfId="0" applyFont="1" applyFill="1" applyAlignment="1">
      <alignment wrapText="1"/>
    </xf>
    <xf numFmtId="0" fontId="0" fillId="0" borderId="0" xfId="0" applyAlignment="1">
      <alignment wrapText="1"/>
    </xf>
    <xf numFmtId="173" fontId="0" fillId="0" borderId="0" xfId="0" applyNumberFormat="1" applyAlignment="1">
      <alignment wrapText="1"/>
    </xf>
    <xf numFmtId="0" fontId="43" fillId="0" borderId="0" xfId="0" applyFont="1" applyAlignment="1">
      <alignment wrapText="1"/>
    </xf>
    <xf numFmtId="0" fontId="43" fillId="0" borderId="0" xfId="2697" applyFont="1" applyAlignment="1">
      <alignment horizontal="center" vertical="center"/>
    </xf>
    <xf numFmtId="169" fontId="38" fillId="55" borderId="137" xfId="863" applyNumberFormat="1" applyFont="1" applyFill="1" applyBorder="1" applyAlignment="1">
      <alignment horizontal="center" vertical="center"/>
    </xf>
    <xf numFmtId="169" fontId="38" fillId="55" borderId="138" xfId="863" applyNumberFormat="1" applyFont="1" applyFill="1" applyBorder="1" applyAlignment="1">
      <alignment horizontal="center" vertical="center"/>
    </xf>
    <xf numFmtId="169" fontId="38" fillId="55" borderId="139" xfId="863" applyNumberFormat="1" applyFont="1" applyFill="1" applyBorder="1" applyAlignment="1">
      <alignment horizontal="center" vertical="center"/>
    </xf>
    <xf numFmtId="17" fontId="38" fillId="55" borderId="140" xfId="905" applyNumberFormat="1" applyFont="1" applyFill="1" applyBorder="1" applyAlignment="1">
      <alignment horizontal="center" vertical="center"/>
    </xf>
    <xf numFmtId="17" fontId="38" fillId="55" borderId="138" xfId="905" applyNumberFormat="1" applyFont="1" applyFill="1" applyBorder="1" applyAlignment="1">
      <alignment horizontal="center" vertical="center"/>
    </xf>
    <xf numFmtId="17" fontId="38" fillId="55" borderId="141" xfId="905" applyNumberFormat="1" applyFont="1" applyFill="1" applyBorder="1" applyAlignment="1">
      <alignment horizontal="center" vertical="center"/>
    </xf>
    <xf numFmtId="167" fontId="208" fillId="41" borderId="0" xfId="863" applyFont="1" applyFill="1" applyBorder="1" applyAlignment="1">
      <alignment horizontal="center" vertical="center"/>
    </xf>
    <xf numFmtId="167" fontId="205" fillId="41" borderId="0" xfId="863" applyFont="1" applyFill="1" applyBorder="1" applyAlignment="1">
      <alignment horizontal="center" vertical="center"/>
    </xf>
    <xf numFmtId="167" fontId="205" fillId="41" borderId="0" xfId="863" applyFont="1" applyFill="1" applyBorder="1" applyAlignment="1">
      <alignment vertical="center"/>
    </xf>
    <xf numFmtId="10" fontId="43" fillId="33" borderId="0" xfId="2697" applyNumberFormat="1" applyFont="1" applyFill="1" applyAlignment="1">
      <alignment horizontal="center"/>
    </xf>
    <xf numFmtId="10" fontId="205" fillId="0" borderId="0" xfId="0" applyNumberFormat="1" applyFont="1"/>
    <xf numFmtId="167" fontId="205" fillId="100" borderId="0" xfId="863" applyFont="1" applyFill="1" applyBorder="1"/>
    <xf numFmtId="49" fontId="30" fillId="0" borderId="0" xfId="847" applyNumberFormat="1" applyFont="1" applyFill="1" applyBorder="1" applyAlignment="1">
      <alignment vertical="center" wrapText="1"/>
    </xf>
    <xf numFmtId="167" fontId="0" fillId="104" borderId="0" xfId="863" applyFont="1" applyFill="1"/>
    <xf numFmtId="167" fontId="0" fillId="100" borderId="0" xfId="863" applyFont="1" applyFill="1"/>
    <xf numFmtId="10" fontId="205" fillId="104" borderId="0" xfId="847" applyNumberFormat="1" applyFont="1" applyFill="1" applyBorder="1" applyAlignment="1">
      <alignment horizontal="right"/>
    </xf>
    <xf numFmtId="166" fontId="205" fillId="100" borderId="29" xfId="815" applyFont="1" applyFill="1" applyBorder="1"/>
    <xf numFmtId="169" fontId="43" fillId="0" borderId="0" xfId="43199" applyNumberFormat="1" applyFont="1" applyFill="1" applyBorder="1" applyAlignment="1">
      <alignment horizontal="right"/>
    </xf>
    <xf numFmtId="2" fontId="43" fillId="0" borderId="0" xfId="2697" applyNumberFormat="1" applyFont="1" applyAlignment="1">
      <alignment horizontal="center"/>
    </xf>
    <xf numFmtId="0" fontId="43" fillId="0" borderId="0" xfId="907" applyFont="1" applyAlignment="1">
      <alignment horizontal="center"/>
    </xf>
    <xf numFmtId="4" fontId="0" fillId="0" borderId="0" xfId="0" applyNumberFormat="1"/>
    <xf numFmtId="9" fontId="43" fillId="41" borderId="0" xfId="847" applyFont="1" applyFill="1" applyBorder="1"/>
    <xf numFmtId="43" fontId="43" fillId="0" borderId="0" xfId="43199" applyFont="1" applyFill="1" applyBorder="1" applyAlignment="1">
      <alignment horizontal="left" vertical="center"/>
    </xf>
    <xf numFmtId="43" fontId="43" fillId="41" borderId="0" xfId="43199" applyFont="1" applyFill="1" applyBorder="1" applyAlignment="1">
      <alignment horizontal="center" vertical="center"/>
    </xf>
    <xf numFmtId="0" fontId="117" fillId="41" borderId="142" xfId="907" applyFont="1" applyFill="1" applyBorder="1" applyAlignment="1">
      <alignment horizontal="center"/>
    </xf>
    <xf numFmtId="0" fontId="146" fillId="41" borderId="0" xfId="907" applyFont="1" applyFill="1" applyProtection="1">
      <protection locked="0"/>
    </xf>
    <xf numFmtId="43" fontId="146" fillId="41" borderId="0" xfId="43199" applyFont="1" applyFill="1" applyBorder="1" applyProtection="1">
      <protection locked="0"/>
    </xf>
    <xf numFmtId="0" fontId="43" fillId="0" borderId="0" xfId="2697" applyFont="1" applyProtection="1">
      <protection locked="0"/>
    </xf>
    <xf numFmtId="166" fontId="205" fillId="44" borderId="20" xfId="815" applyFont="1" applyFill="1" applyBorder="1"/>
    <xf numFmtId="0" fontId="0" fillId="61" borderId="0" xfId="0" applyFill="1"/>
    <xf numFmtId="167" fontId="0" fillId="61" borderId="0" xfId="863" applyFont="1" applyFill="1"/>
    <xf numFmtId="10" fontId="0" fillId="61" borderId="0" xfId="847" applyNumberFormat="1" applyFont="1" applyFill="1"/>
    <xf numFmtId="0" fontId="244" fillId="41" borderId="125" xfId="907" applyFont="1" applyFill="1" applyBorder="1" applyAlignment="1">
      <alignment horizontal="center"/>
    </xf>
    <xf numFmtId="0" fontId="30" fillId="61" borderId="0" xfId="0" applyFont="1" applyFill="1"/>
    <xf numFmtId="167" fontId="43" fillId="41" borderId="0" xfId="863" applyFont="1" applyFill="1" applyBorder="1" applyAlignment="1">
      <alignment horizontal="right"/>
    </xf>
    <xf numFmtId="167" fontId="0" fillId="106" borderId="0" xfId="863" applyFont="1" applyFill="1"/>
    <xf numFmtId="0" fontId="220" fillId="0" borderId="0" xfId="0" applyFont="1"/>
    <xf numFmtId="167" fontId="43" fillId="41" borderId="0" xfId="863" applyFont="1" applyFill="1" applyBorder="1"/>
    <xf numFmtId="0" fontId="247" fillId="0" borderId="0" xfId="0" applyFont="1" applyAlignment="1">
      <alignment horizontal="right" vertical="center"/>
    </xf>
    <xf numFmtId="43" fontId="43" fillId="0" borderId="0" xfId="43185" applyFont="1" applyFill="1" applyBorder="1" applyAlignment="1" applyProtection="1">
      <alignment horizontal="right"/>
      <protection locked="0"/>
    </xf>
    <xf numFmtId="0" fontId="212" fillId="43" borderId="0" xfId="0" applyFont="1" applyFill="1" applyAlignment="1">
      <alignment horizontal="center"/>
    </xf>
    <xf numFmtId="0" fontId="117" fillId="0" borderId="0" xfId="907" applyFont="1"/>
    <xf numFmtId="0" fontId="43" fillId="0" borderId="0" xfId="2697" applyFont="1" applyAlignment="1">
      <alignment horizontal="left" vertical="center"/>
    </xf>
    <xf numFmtId="43" fontId="43" fillId="0" borderId="0" xfId="43199" applyFont="1" applyFill="1" applyBorder="1" applyAlignment="1"/>
    <xf numFmtId="10" fontId="43" fillId="41" borderId="0" xfId="43199" applyNumberFormat="1" applyFont="1" applyFill="1" applyBorder="1" applyAlignment="1"/>
    <xf numFmtId="0" fontId="244" fillId="0" borderId="0" xfId="43405" applyFont="1"/>
    <xf numFmtId="10" fontId="244" fillId="0" borderId="0" xfId="847" applyNumberFormat="1" applyFont="1" applyFill="1" applyBorder="1"/>
    <xf numFmtId="0" fontId="250" fillId="0" borderId="0" xfId="7308" applyFont="1"/>
    <xf numFmtId="0" fontId="251" fillId="0" borderId="0" xfId="7308" applyFont="1" applyAlignment="1">
      <alignment horizontal="center"/>
    </xf>
    <xf numFmtId="2" fontId="250" fillId="0" borderId="0" xfId="7308" applyNumberFormat="1" applyFont="1"/>
    <xf numFmtId="0" fontId="251" fillId="0" borderId="0" xfId="7308" applyFont="1"/>
    <xf numFmtId="0" fontId="252" fillId="0" borderId="0" xfId="7308" applyFont="1" applyAlignment="1">
      <alignment horizontal="center"/>
    </xf>
    <xf numFmtId="0" fontId="253" fillId="0" borderId="0" xfId="7308" applyFont="1"/>
    <xf numFmtId="167" fontId="252" fillId="0" borderId="0" xfId="43165" applyFont="1"/>
    <xf numFmtId="0" fontId="250" fillId="42" borderId="0" xfId="7308" applyFont="1" applyFill="1"/>
    <xf numFmtId="0" fontId="259" fillId="41" borderId="0" xfId="831" applyFont="1" applyFill="1" applyAlignment="1">
      <alignment horizontal="left"/>
    </xf>
    <xf numFmtId="0" fontId="250" fillId="0" borderId="20" xfId="7308" applyFont="1" applyBorder="1"/>
    <xf numFmtId="10" fontId="250" fillId="41" borderId="10" xfId="1095" applyNumberFormat="1" applyFont="1" applyFill="1" applyBorder="1"/>
    <xf numFmtId="0" fontId="260" fillId="55" borderId="0" xfId="834" applyFont="1" applyFill="1" applyAlignment="1" applyProtection="1">
      <alignment horizontal="left" vertical="center"/>
    </xf>
    <xf numFmtId="0" fontId="260" fillId="55" borderId="0" xfId="834" applyFont="1" applyFill="1" applyAlignment="1" applyProtection="1">
      <alignment horizontal="center" vertical="center"/>
    </xf>
    <xf numFmtId="0" fontId="250" fillId="0" borderId="0" xfId="2697" applyFont="1" applyAlignment="1">
      <alignment vertical="center"/>
    </xf>
    <xf numFmtId="190" fontId="250" fillId="0" borderId="0" xfId="1095" applyNumberFormat="1" applyFont="1" applyBorder="1" applyAlignment="1">
      <alignment horizontal="right" vertical="center"/>
    </xf>
    <xf numFmtId="166" fontId="250" fillId="41" borderId="10" xfId="902" applyFont="1" applyFill="1" applyBorder="1"/>
    <xf numFmtId="10" fontId="250" fillId="0" borderId="0" xfId="1095" applyNumberFormat="1" applyFont="1" applyBorder="1" applyAlignment="1">
      <alignment horizontal="right" vertical="center"/>
    </xf>
    <xf numFmtId="43" fontId="250" fillId="0" borderId="0" xfId="7308" applyNumberFormat="1" applyFont="1"/>
    <xf numFmtId="167" fontId="250" fillId="0" borderId="0" xfId="43165" applyFont="1" applyAlignment="1">
      <alignment horizontal="center"/>
    </xf>
    <xf numFmtId="0" fontId="264" fillId="0" borderId="0" xfId="7308" applyFont="1" applyAlignment="1">
      <alignment horizontal="center"/>
    </xf>
    <xf numFmtId="167" fontId="250" fillId="0" borderId="0" xfId="43165" applyFont="1" applyAlignment="1"/>
    <xf numFmtId="167" fontId="250" fillId="0" borderId="0" xfId="43165" applyFont="1" applyAlignment="1">
      <alignment horizontal="left" vertical="center"/>
    </xf>
    <xf numFmtId="167" fontId="251" fillId="0" borderId="0" xfId="43165" applyFont="1" applyAlignment="1"/>
    <xf numFmtId="167" fontId="251" fillId="0" borderId="0" xfId="43165" applyFont="1" applyAlignment="1">
      <alignment horizontal="center"/>
    </xf>
    <xf numFmtId="164" fontId="205" fillId="0" borderId="0" xfId="815" applyNumberFormat="1" applyFont="1" applyBorder="1"/>
    <xf numFmtId="164" fontId="205" fillId="0" borderId="0" xfId="815" applyNumberFormat="1" applyFont="1" applyBorder="1" applyAlignment="1">
      <alignment horizontal="left"/>
    </xf>
    <xf numFmtId="0" fontId="243" fillId="0" borderId="0" xfId="831" applyFont="1" applyAlignment="1">
      <alignment horizontal="left"/>
    </xf>
    <xf numFmtId="0" fontId="38" fillId="0" borderId="0" xfId="834" applyFont="1" applyAlignment="1" applyProtection="1">
      <alignment horizontal="center" vertical="center"/>
    </xf>
    <xf numFmtId="190" fontId="43" fillId="0" borderId="0" xfId="1095" applyNumberFormat="1" applyFont="1" applyFill="1" applyBorder="1" applyAlignment="1">
      <alignment horizontal="right" vertical="center"/>
    </xf>
    <xf numFmtId="0" fontId="263" fillId="0" borderId="0" xfId="7308" applyFont="1"/>
    <xf numFmtId="167" fontId="250" fillId="0" borderId="0" xfId="43165" applyFont="1" applyFill="1" applyBorder="1" applyAlignment="1">
      <alignment horizontal="center"/>
    </xf>
    <xf numFmtId="167" fontId="250" fillId="0" borderId="0" xfId="43165" applyFont="1" applyFill="1" applyBorder="1" applyAlignment="1"/>
    <xf numFmtId="0" fontId="110" fillId="0" borderId="0" xfId="2697" applyFont="1" applyAlignment="1">
      <alignment vertical="center"/>
    </xf>
    <xf numFmtId="4" fontId="110" fillId="0" borderId="0" xfId="2697" applyNumberFormat="1" applyFont="1" applyAlignment="1">
      <alignment vertical="center"/>
    </xf>
    <xf numFmtId="167" fontId="251" fillId="0" borderId="0" xfId="43165" applyFont="1" applyFill="1" applyBorder="1" applyAlignment="1"/>
    <xf numFmtId="10" fontId="261" fillId="61" borderId="150" xfId="1095" applyNumberFormat="1" applyFont="1" applyFill="1" applyBorder="1" applyAlignment="1">
      <alignment vertical="center"/>
    </xf>
    <xf numFmtId="0" fontId="251" fillId="0" borderId="151" xfId="7308" applyFont="1" applyBorder="1" applyAlignment="1">
      <alignment horizontal="center"/>
    </xf>
    <xf numFmtId="166" fontId="250" fillId="102" borderId="10" xfId="902" applyFont="1" applyFill="1" applyBorder="1"/>
    <xf numFmtId="0" fontId="210" fillId="41" borderId="0" xfId="0" applyFont="1" applyFill="1"/>
    <xf numFmtId="0" fontId="203" fillId="41" borderId="125" xfId="907" applyFont="1" applyFill="1" applyBorder="1" applyAlignment="1">
      <alignment horizontal="center"/>
    </xf>
    <xf numFmtId="10" fontId="30" fillId="0" borderId="0" xfId="847" applyNumberFormat="1" applyFont="1" applyFill="1" applyBorder="1" applyAlignment="1">
      <alignment horizontal="right"/>
    </xf>
    <xf numFmtId="10" fontId="205" fillId="108" borderId="0" xfId="847" applyNumberFormat="1" applyFont="1" applyFill="1" applyBorder="1"/>
    <xf numFmtId="167" fontId="205" fillId="108" borderId="0" xfId="863" applyFont="1" applyFill="1" applyBorder="1"/>
    <xf numFmtId="10" fontId="205" fillId="0" borderId="0" xfId="847" applyNumberFormat="1" applyFont="1" applyFill="1" applyBorder="1" applyAlignment="1">
      <alignment horizontal="right"/>
    </xf>
    <xf numFmtId="0" fontId="113" fillId="0" borderId="0" xfId="0" applyFont="1"/>
    <xf numFmtId="0" fontId="43" fillId="0" borderId="20" xfId="0" applyFont="1" applyBorder="1"/>
    <xf numFmtId="0" fontId="0" fillId="0" borderId="0" xfId="0" applyAlignment="1">
      <alignment horizontal="center"/>
    </xf>
    <xf numFmtId="0" fontId="265" fillId="0" borderId="0" xfId="43410" applyFont="1"/>
    <xf numFmtId="0" fontId="266" fillId="0" borderId="0" xfId="43411"/>
    <xf numFmtId="167" fontId="30" fillId="0" borderId="0" xfId="863" applyFont="1" applyFill="1" applyBorder="1"/>
    <xf numFmtId="10" fontId="30" fillId="0" borderId="0" xfId="847" applyNumberFormat="1" applyFont="1"/>
    <xf numFmtId="0" fontId="30" fillId="0" borderId="0" xfId="0" applyFont="1" applyAlignment="1">
      <alignment horizontal="center"/>
    </xf>
    <xf numFmtId="10" fontId="30" fillId="0" borderId="0" xfId="0" applyNumberFormat="1" applyFont="1"/>
    <xf numFmtId="14" fontId="36" fillId="0" borderId="0" xfId="0" applyNumberFormat="1" applyFont="1" applyAlignment="1">
      <alignment horizontal="center"/>
    </xf>
    <xf numFmtId="259" fontId="30" fillId="0" borderId="0" xfId="0" applyNumberFormat="1" applyFont="1"/>
    <xf numFmtId="167" fontId="30" fillId="0" borderId="0" xfId="863" applyFont="1" applyFill="1"/>
    <xf numFmtId="170" fontId="30" fillId="0" borderId="0" xfId="0" applyNumberFormat="1" applyFont="1"/>
    <xf numFmtId="0" fontId="36" fillId="0" borderId="0" xfId="0" applyFont="1"/>
    <xf numFmtId="0" fontId="36" fillId="45" borderId="152" xfId="907" applyFont="1" applyFill="1" applyBorder="1" applyAlignment="1">
      <alignment horizontal="center" vertical="center" wrapText="1"/>
    </xf>
    <xf numFmtId="0" fontId="205" fillId="0" borderId="20" xfId="0" applyFont="1" applyBorder="1" applyAlignment="1">
      <alignment horizontal="right"/>
    </xf>
    <xf numFmtId="0" fontId="205" fillId="0" borderId="29" xfId="832" applyFont="1" applyBorder="1" applyAlignment="1">
      <alignment horizontal="left"/>
    </xf>
    <xf numFmtId="0" fontId="205" fillId="41" borderId="20" xfId="0" applyFont="1" applyFill="1" applyBorder="1" applyAlignment="1">
      <alignment horizontal="right"/>
    </xf>
    <xf numFmtId="14" fontId="116" fillId="0" borderId="0" xfId="0" applyNumberFormat="1" applyFont="1"/>
    <xf numFmtId="167" fontId="30" fillId="44" borderId="0" xfId="863" applyFont="1" applyFill="1" applyBorder="1" applyAlignment="1">
      <alignment horizontal="right"/>
    </xf>
    <xf numFmtId="10" fontId="211" fillId="0" borderId="0" xfId="847" applyNumberFormat="1" applyFont="1" applyFill="1" applyBorder="1" applyAlignment="1">
      <alignment horizontal="right" vertical="center"/>
    </xf>
    <xf numFmtId="10" fontId="205" fillId="0" borderId="0" xfId="847" applyNumberFormat="1" applyFont="1" applyFill="1" applyBorder="1" applyAlignment="1">
      <alignment horizontal="right" vertical="center"/>
    </xf>
    <xf numFmtId="0" fontId="30" fillId="104" borderId="0" xfId="0" applyFont="1" applyFill="1"/>
    <xf numFmtId="14" fontId="32" fillId="0" borderId="0" xfId="831" applyNumberFormat="1" applyAlignment="1">
      <alignment horizontal="center"/>
    </xf>
    <xf numFmtId="10" fontId="205" fillId="0" borderId="0" xfId="847" applyNumberFormat="1" applyFont="1" applyFill="1"/>
    <xf numFmtId="0" fontId="6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7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7" fillId="103" borderId="10" xfId="0" applyFont="1" applyFill="1" applyBorder="1" applyAlignment="1">
      <alignment horizontal="center"/>
    </xf>
    <xf numFmtId="167" fontId="30" fillId="61" borderId="0" xfId="863" applyFont="1" applyFill="1"/>
    <xf numFmtId="167" fontId="43" fillId="41" borderId="0" xfId="903" applyFont="1" applyFill="1" applyBorder="1" applyAlignment="1">
      <alignment horizontal="left" vertical="top" wrapText="1"/>
    </xf>
    <xf numFmtId="0" fontId="30" fillId="111" borderId="0" xfId="0" applyFont="1" applyFill="1" applyAlignment="1">
      <alignment horizontal="center"/>
    </xf>
    <xf numFmtId="0" fontId="30" fillId="111" borderId="0" xfId="0" applyFont="1" applyFill="1"/>
    <xf numFmtId="14" fontId="30" fillId="111" borderId="0" xfId="0" applyNumberFormat="1" applyFont="1" applyFill="1"/>
    <xf numFmtId="0" fontId="0" fillId="0" borderId="155" xfId="0" pivotButton="1" applyBorder="1"/>
    <xf numFmtId="0" fontId="0" fillId="0" borderId="155" xfId="0" applyBorder="1"/>
    <xf numFmtId="10" fontId="205" fillId="111" borderId="0" xfId="847" applyNumberFormat="1" applyFont="1" applyFill="1" applyBorder="1"/>
    <xf numFmtId="167" fontId="205" fillId="111" borderId="0" xfId="863" applyFont="1" applyFill="1" applyBorder="1"/>
    <xf numFmtId="167" fontId="205" fillId="111" borderId="0" xfId="0" applyNumberFormat="1" applyFont="1" applyFill="1"/>
    <xf numFmtId="2" fontId="237" fillId="0" borderId="0" xfId="0" applyNumberFormat="1" applyFont="1" applyAlignment="1">
      <alignment horizontal="center" vertical="center" wrapText="1"/>
    </xf>
    <xf numFmtId="167" fontId="237" fillId="0" borderId="0" xfId="863" applyFont="1" applyFill="1" applyBorder="1" applyAlignment="1">
      <alignment horizontal="right" vertical="center" wrapText="1"/>
    </xf>
    <xf numFmtId="167" fontId="237" fillId="0" borderId="0" xfId="863" applyFont="1" applyFill="1" applyBorder="1" applyAlignment="1">
      <alignment horizontal="center" vertical="center" wrapText="1"/>
    </xf>
    <xf numFmtId="0" fontId="248" fillId="0" borderId="0" xfId="0" applyFont="1" applyAlignment="1">
      <alignment horizontal="center" vertical="center" wrapText="1"/>
    </xf>
    <xf numFmtId="0" fontId="125" fillId="0" borderId="0" xfId="0" applyFont="1" applyAlignment="1">
      <alignment horizontal="justify" vertical="center" wrapText="1"/>
    </xf>
    <xf numFmtId="263" fontId="125" fillId="0" borderId="0" xfId="907" applyNumberFormat="1" applyFont="1" applyAlignment="1">
      <alignment horizontal="center"/>
    </xf>
    <xf numFmtId="0" fontId="125" fillId="0" borderId="0" xfId="0" applyFont="1" applyAlignment="1">
      <alignment horizontal="center" vertical="center" wrapText="1"/>
    </xf>
    <xf numFmtId="166" fontId="43" fillId="0" borderId="0" xfId="815" applyFont="1" applyFill="1" applyBorder="1" applyAlignment="1">
      <alignment horizontal="left"/>
    </xf>
    <xf numFmtId="166" fontId="43" fillId="113" borderId="16" xfId="815" applyFont="1" applyFill="1" applyBorder="1" applyAlignment="1">
      <alignment horizontal="left"/>
    </xf>
    <xf numFmtId="3" fontId="30" fillId="113" borderId="16" xfId="0" applyNumberFormat="1" applyFont="1" applyFill="1" applyBorder="1"/>
    <xf numFmtId="166" fontId="30" fillId="42" borderId="0" xfId="815" applyFont="1" applyFill="1" applyBorder="1" applyAlignment="1">
      <alignment horizontal="left"/>
    </xf>
    <xf numFmtId="4" fontId="30" fillId="0" borderId="0" xfId="0" applyNumberFormat="1" applyFont="1"/>
    <xf numFmtId="229" fontId="30" fillId="111" borderId="0" xfId="863" applyNumberFormat="1" applyFont="1" applyFill="1" applyBorder="1" applyAlignment="1">
      <alignment horizontal="left"/>
    </xf>
    <xf numFmtId="229" fontId="30" fillId="111" borderId="0" xfId="0" applyNumberFormat="1" applyFont="1" applyFill="1"/>
    <xf numFmtId="229" fontId="30" fillId="111" borderId="0" xfId="0" applyNumberFormat="1" applyFont="1" applyFill="1" applyAlignment="1">
      <alignment horizontal="left"/>
    </xf>
    <xf numFmtId="229" fontId="116" fillId="111" borderId="0" xfId="0" applyNumberFormat="1" applyFont="1" applyFill="1" applyAlignment="1">
      <alignment horizontal="left"/>
    </xf>
    <xf numFmtId="0" fontId="271" fillId="113" borderId="16" xfId="0" applyFont="1" applyFill="1" applyBorder="1"/>
    <xf numFmtId="164" fontId="30" fillId="0" borderId="0" xfId="863" applyNumberFormat="1" applyFont="1" applyFill="1" applyBorder="1"/>
    <xf numFmtId="167" fontId="30" fillId="111" borderId="0" xfId="863" applyFont="1" applyFill="1" applyBorder="1"/>
    <xf numFmtId="0" fontId="268" fillId="0" borderId="0" xfId="0" applyFont="1"/>
    <xf numFmtId="0" fontId="43" fillId="0" borderId="29" xfId="0" applyFont="1" applyBorder="1"/>
    <xf numFmtId="0" fontId="271" fillId="0" borderId="0" xfId="0" applyFont="1"/>
    <xf numFmtId="0" fontId="43" fillId="33" borderId="0" xfId="829" applyFont="1" applyFill="1"/>
    <xf numFmtId="0" fontId="274" fillId="0" borderId="0" xfId="0" applyFont="1"/>
    <xf numFmtId="0" fontId="263" fillId="0" borderId="0" xfId="0" applyFont="1"/>
    <xf numFmtId="0" fontId="125" fillId="0" borderId="20" xfId="0" applyFont="1" applyBorder="1" applyAlignment="1">
      <alignment horizontal="left"/>
    </xf>
    <xf numFmtId="0" fontId="43" fillId="113" borderId="157" xfId="0" applyFont="1" applyFill="1" applyBorder="1"/>
    <xf numFmtId="0" fontId="43" fillId="113" borderId="16" xfId="0" applyFont="1" applyFill="1" applyBorder="1"/>
    <xf numFmtId="0" fontId="43" fillId="113" borderId="16" xfId="907" applyFont="1" applyFill="1" applyBorder="1"/>
    <xf numFmtId="10" fontId="43" fillId="113" borderId="16" xfId="847" applyNumberFormat="1" applyFont="1" applyFill="1" applyBorder="1" applyAlignment="1"/>
    <xf numFmtId="14" fontId="43" fillId="113" borderId="16" xfId="0" applyNumberFormat="1" applyFont="1" applyFill="1" applyBorder="1"/>
    <xf numFmtId="0" fontId="275" fillId="113" borderId="151" xfId="0" applyFont="1" applyFill="1" applyBorder="1"/>
    <xf numFmtId="0" fontId="125" fillId="0" borderId="0" xfId="0" applyFont="1" applyAlignment="1">
      <alignment horizontal="left"/>
    </xf>
    <xf numFmtId="0" fontId="275" fillId="0" borderId="0" xfId="0" applyFont="1"/>
    <xf numFmtId="0" fontId="276" fillId="0" borderId="0" xfId="0" applyFont="1"/>
    <xf numFmtId="0" fontId="275" fillId="0" borderId="29" xfId="0" applyFont="1" applyBorder="1"/>
    <xf numFmtId="10" fontId="43" fillId="0" borderId="0" xfId="847" applyNumberFormat="1" applyFont="1" applyFill="1" applyBorder="1" applyAlignment="1"/>
    <xf numFmtId="14" fontId="43" fillId="0" borderId="0" xfId="0" applyNumberFormat="1" applyFont="1"/>
    <xf numFmtId="4" fontId="144" fillId="0" borderId="0" xfId="0" applyNumberFormat="1" applyFont="1"/>
    <xf numFmtId="0" fontId="43" fillId="0" borderId="0" xfId="0" quotePrefix="1" applyFont="1"/>
    <xf numFmtId="43" fontId="268" fillId="0" borderId="0" xfId="0" applyNumberFormat="1" applyFont="1"/>
    <xf numFmtId="167" fontId="43" fillId="0" borderId="0" xfId="863" applyFont="1"/>
    <xf numFmtId="0" fontId="30" fillId="0" borderId="29" xfId="0" applyFont="1" applyBorder="1"/>
    <xf numFmtId="0" fontId="275" fillId="0" borderId="153" xfId="0" applyFont="1" applyBorder="1"/>
    <xf numFmtId="167" fontId="43" fillId="0" borderId="0" xfId="863" applyFont="1" applyBorder="1"/>
    <xf numFmtId="0" fontId="43" fillId="0" borderId="0" xfId="0" applyFont="1" applyAlignment="1">
      <alignment horizontal="center"/>
    </xf>
    <xf numFmtId="0" fontId="43" fillId="0" borderId="20" xfId="0" applyFont="1" applyBorder="1" applyAlignment="1">
      <alignment horizontal="left"/>
    </xf>
    <xf numFmtId="167" fontId="43" fillId="0" borderId="0" xfId="863" applyFont="1" applyBorder="1" applyAlignment="1">
      <alignment horizontal="center"/>
    </xf>
    <xf numFmtId="0" fontId="237" fillId="0" borderId="0" xfId="0" applyFont="1" applyAlignment="1">
      <alignment horizontal="center" vertical="center"/>
    </xf>
    <xf numFmtId="0" fontId="237" fillId="0" borderId="20" xfId="0" applyFont="1" applyBorder="1" applyAlignment="1">
      <alignment horizontal="center" vertical="center"/>
    </xf>
    <xf numFmtId="43" fontId="43" fillId="0" borderId="0" xfId="0" applyNumberFormat="1" applyFont="1"/>
    <xf numFmtId="14" fontId="237" fillId="0" borderId="20" xfId="0" applyNumberFormat="1" applyFont="1" applyBorder="1" applyAlignment="1">
      <alignment horizontal="center" vertical="center"/>
    </xf>
    <xf numFmtId="0" fontId="271" fillId="113" borderId="157" xfId="0" applyFont="1" applyFill="1" applyBorder="1"/>
    <xf numFmtId="0" fontId="271" fillId="113" borderId="151" xfId="0" applyFont="1" applyFill="1" applyBorder="1"/>
    <xf numFmtId="14" fontId="237" fillId="0" borderId="0" xfId="0" applyNumberFormat="1" applyFont="1" applyAlignment="1">
      <alignment horizontal="center" vertical="center"/>
    </xf>
    <xf numFmtId="0" fontId="278" fillId="0" borderId="0" xfId="0" applyFont="1"/>
    <xf numFmtId="170" fontId="43" fillId="0" borderId="0" xfId="907" applyNumberFormat="1" applyFont="1"/>
    <xf numFmtId="0" fontId="30" fillId="59" borderId="0" xfId="907" applyFill="1"/>
    <xf numFmtId="43" fontId="30" fillId="0" borderId="0" xfId="0" applyNumberFormat="1" applyFont="1"/>
    <xf numFmtId="0" fontId="30" fillId="0" borderId="0" xfId="907" applyAlignment="1">
      <alignment horizontal="center"/>
    </xf>
    <xf numFmtId="0" fontId="272" fillId="43" borderId="149" xfId="0" applyFont="1" applyFill="1" applyBorder="1" applyAlignment="1">
      <alignment horizontal="center" vertical="center" wrapText="1"/>
    </xf>
    <xf numFmtId="0" fontId="272" fillId="43" borderId="148" xfId="0" applyFont="1" applyFill="1" applyBorder="1" applyAlignment="1">
      <alignment horizontal="center" vertical="center" wrapText="1"/>
    </xf>
    <xf numFmtId="0" fontId="30" fillId="59" borderId="144" xfId="907" applyFill="1" applyBorder="1"/>
    <xf numFmtId="0" fontId="272" fillId="59" borderId="144" xfId="0" applyFont="1" applyFill="1" applyBorder="1"/>
    <xf numFmtId="10" fontId="30" fillId="0" borderId="0" xfId="847" applyNumberFormat="1" applyFont="1" applyFill="1" applyBorder="1" applyAlignment="1"/>
    <xf numFmtId="0" fontId="30" fillId="0" borderId="0" xfId="907" applyAlignment="1">
      <alignment horizontal="left"/>
    </xf>
    <xf numFmtId="10" fontId="30" fillId="0" borderId="0" xfId="847" applyNumberFormat="1" applyFont="1" applyFill="1" applyBorder="1" applyAlignment="1">
      <alignment horizontal="left"/>
    </xf>
    <xf numFmtId="10" fontId="30" fillId="0" borderId="144" xfId="847" applyNumberFormat="1" applyFont="1" applyFill="1" applyBorder="1" applyAlignment="1"/>
    <xf numFmtId="0" fontId="36" fillId="42" borderId="0" xfId="0" applyFont="1" applyFill="1"/>
    <xf numFmtId="0" fontId="30" fillId="42" borderId="0" xfId="0" applyFont="1" applyFill="1"/>
    <xf numFmtId="164" fontId="30" fillId="0" borderId="0" xfId="0" applyNumberFormat="1" applyFont="1"/>
    <xf numFmtId="166" fontId="30" fillId="111" borderId="0" xfId="815" applyFont="1" applyFill="1" applyBorder="1" applyAlignment="1"/>
    <xf numFmtId="10" fontId="30" fillId="111" borderId="0" xfId="847" applyNumberFormat="1" applyFont="1" applyFill="1" applyBorder="1" applyAlignment="1">
      <alignment horizontal="right"/>
    </xf>
    <xf numFmtId="167" fontId="30" fillId="0" borderId="0" xfId="863" applyFont="1" applyFill="1" applyBorder="1" applyAlignment="1"/>
    <xf numFmtId="169" fontId="30" fillId="0" borderId="0" xfId="0" applyNumberFormat="1" applyFont="1"/>
    <xf numFmtId="0" fontId="279" fillId="96" borderId="147" xfId="0" applyFont="1" applyFill="1" applyBorder="1" applyAlignment="1">
      <alignment vertical="center"/>
    </xf>
    <xf numFmtId="0" fontId="279" fillId="96" borderId="29" xfId="0" applyFont="1" applyFill="1" applyBorder="1" applyAlignment="1">
      <alignment vertical="center"/>
    </xf>
    <xf numFmtId="14" fontId="30" fillId="0" borderId="0" xfId="0" applyNumberFormat="1" applyFont="1" applyAlignment="1">
      <alignment horizontal="right"/>
    </xf>
    <xf numFmtId="14" fontId="30" fillId="41" borderId="0" xfId="0" applyNumberFormat="1" applyFont="1" applyFill="1" applyAlignment="1">
      <alignment horizontal="right"/>
    </xf>
    <xf numFmtId="14" fontId="30" fillId="41" borderId="0" xfId="0" applyNumberFormat="1" applyFont="1" applyFill="1"/>
    <xf numFmtId="14" fontId="30" fillId="0" borderId="0" xfId="0" applyNumberFormat="1" applyFont="1" applyAlignment="1">
      <alignment horizontal="center"/>
    </xf>
    <xf numFmtId="0" fontId="116" fillId="0" borderId="0" xfId="0" applyFont="1" applyAlignment="1">
      <alignment horizontal="center"/>
    </xf>
    <xf numFmtId="14" fontId="30" fillId="0" borderId="10" xfId="0" applyNumberFormat="1" applyFont="1" applyBorder="1" applyAlignment="1">
      <alignment horizontal="center"/>
    </xf>
    <xf numFmtId="14" fontId="116" fillId="0" borderId="0" xfId="0" applyNumberFormat="1" applyFont="1" applyAlignment="1">
      <alignment horizontal="center"/>
    </xf>
    <xf numFmtId="0" fontId="116" fillId="98" borderId="152" xfId="0" applyFont="1" applyFill="1" applyBorder="1"/>
    <xf numFmtId="0" fontId="30" fillId="98" borderId="152" xfId="0" applyFont="1" applyFill="1" applyBorder="1"/>
    <xf numFmtId="262" fontId="116" fillId="98" borderId="152" xfId="0" applyNumberFormat="1" applyFont="1" applyFill="1" applyBorder="1"/>
    <xf numFmtId="0" fontId="30" fillId="0" borderId="10" xfId="0" applyFont="1" applyBorder="1"/>
    <xf numFmtId="1" fontId="30" fillId="0" borderId="0" xfId="815" applyNumberFormat="1" applyFont="1" applyFill="1" applyBorder="1" applyAlignment="1"/>
    <xf numFmtId="3" fontId="30" fillId="42" borderId="144" xfId="0" applyNumberFormat="1" applyFont="1" applyFill="1" applyBorder="1"/>
    <xf numFmtId="10" fontId="205" fillId="44" borderId="0" xfId="847" applyNumberFormat="1" applyFont="1" applyFill="1" applyBorder="1"/>
    <xf numFmtId="0" fontId="30" fillId="111" borderId="0" xfId="863" applyNumberFormat="1" applyFont="1" applyFill="1" applyBorder="1" applyAlignment="1">
      <alignment horizontal="left"/>
    </xf>
    <xf numFmtId="10" fontId="30" fillId="111" borderId="0" xfId="847" applyNumberFormat="1" applyFont="1" applyFill="1" applyBorder="1" applyAlignment="1">
      <alignment horizontal="left"/>
    </xf>
    <xf numFmtId="259" fontId="30" fillId="111" borderId="0" xfId="0" applyNumberFormat="1" applyFont="1" applyFill="1" applyAlignment="1">
      <alignment horizontal="left"/>
    </xf>
    <xf numFmtId="259" fontId="30" fillId="111" borderId="0" xfId="0" applyNumberFormat="1" applyFont="1" applyFill="1"/>
    <xf numFmtId="256" fontId="30" fillId="111" borderId="0" xfId="863" applyNumberFormat="1" applyFont="1" applyFill="1" applyBorder="1" applyAlignment="1">
      <alignment horizontal="left"/>
    </xf>
    <xf numFmtId="257" fontId="30" fillId="111" borderId="0" xfId="847" applyNumberFormat="1" applyFont="1" applyFill="1" applyBorder="1" applyAlignment="1">
      <alignment horizontal="left"/>
    </xf>
    <xf numFmtId="258" fontId="30" fillId="111" borderId="0" xfId="0" applyNumberFormat="1" applyFont="1" applyFill="1" applyAlignment="1">
      <alignment horizontal="left"/>
    </xf>
    <xf numFmtId="229" fontId="30" fillId="111" borderId="0" xfId="2697" applyNumberFormat="1" applyFill="1"/>
    <xf numFmtId="256" fontId="30" fillId="111" borderId="0" xfId="847" applyNumberFormat="1" applyFont="1" applyFill="1" applyBorder="1" applyAlignment="1">
      <alignment horizontal="left"/>
    </xf>
    <xf numFmtId="4" fontId="30" fillId="111" borderId="0" xfId="863" applyNumberFormat="1" applyFont="1" applyFill="1" applyBorder="1" applyAlignment="1">
      <alignment horizontal="left"/>
    </xf>
    <xf numFmtId="0" fontId="30" fillId="111" borderId="0" xfId="0" applyFont="1" applyFill="1" applyAlignment="1">
      <alignment horizontal="left"/>
    </xf>
    <xf numFmtId="0" fontId="275" fillId="0" borderId="158" xfId="0" applyFont="1" applyBorder="1"/>
    <xf numFmtId="0" fontId="30" fillId="0" borderId="0" xfId="0" applyFont="1" applyAlignment="1">
      <alignment horizontal="center" vertical="distributed"/>
    </xf>
    <xf numFmtId="0" fontId="212" fillId="0" borderId="0" xfId="0" applyFont="1" applyAlignment="1">
      <alignment horizontal="center"/>
    </xf>
    <xf numFmtId="0" fontId="205" fillId="0" borderId="0" xfId="908" applyFont="1">
      <alignment vertical="top"/>
    </xf>
    <xf numFmtId="0" fontId="212" fillId="0" borderId="0" xfId="0" applyFont="1" applyAlignment="1">
      <alignment horizontal="left"/>
    </xf>
    <xf numFmtId="0" fontId="205" fillId="0" borderId="0" xfId="0" applyFont="1" applyAlignment="1" applyProtection="1">
      <alignment horizontal="left"/>
      <protection hidden="1"/>
    </xf>
    <xf numFmtId="167" fontId="205" fillId="0" borderId="0" xfId="43185" applyNumberFormat="1" applyFont="1" applyFill="1" applyBorder="1" applyAlignment="1" applyProtection="1">
      <alignment horizontal="right"/>
      <protection locked="0"/>
    </xf>
    <xf numFmtId="167" fontId="208" fillId="0" borderId="0" xfId="43183" applyNumberFormat="1" applyFont="1" applyFill="1" applyBorder="1" applyAlignment="1" applyProtection="1">
      <alignment vertical="center"/>
    </xf>
    <xf numFmtId="0" fontId="282" fillId="33" borderId="0" xfId="829" applyFont="1" applyFill="1" applyAlignment="1">
      <alignment horizontal="left" vertical="top"/>
    </xf>
    <xf numFmtId="0" fontId="276" fillId="33" borderId="0" xfId="829" applyFont="1" applyFill="1"/>
    <xf numFmtId="0" fontId="283" fillId="33" borderId="0" xfId="829" applyFont="1" applyFill="1"/>
    <xf numFmtId="0" fontId="283" fillId="0" borderId="0" xfId="0" applyFont="1"/>
    <xf numFmtId="0" fontId="284" fillId="33" borderId="0" xfId="829" applyFont="1" applyFill="1" applyAlignment="1">
      <alignment horizontal="right" vertical="top"/>
    </xf>
    <xf numFmtId="10" fontId="285" fillId="0" borderId="0" xfId="0" applyNumberFormat="1" applyFont="1" applyAlignment="1">
      <alignment horizontal="left" vertical="top"/>
    </xf>
    <xf numFmtId="0" fontId="284" fillId="33" borderId="0" xfId="829" applyFont="1" applyFill="1" applyAlignment="1">
      <alignment horizontal="left" vertical="top"/>
    </xf>
    <xf numFmtId="167" fontId="283" fillId="0" borderId="0" xfId="863" applyFont="1"/>
    <xf numFmtId="167" fontId="283" fillId="0" borderId="0" xfId="0" applyNumberFormat="1" applyFont="1"/>
    <xf numFmtId="0" fontId="288" fillId="0" borderId="0" xfId="0" applyFont="1"/>
    <xf numFmtId="0" fontId="283" fillId="117" borderId="0" xfId="0" applyFont="1" applyFill="1"/>
    <xf numFmtId="164" fontId="283" fillId="117" borderId="0" xfId="815" applyNumberFormat="1" applyFont="1" applyFill="1" applyBorder="1"/>
    <xf numFmtId="166" fontId="289" fillId="43" borderId="0" xfId="0" applyNumberFormat="1" applyFont="1" applyFill="1"/>
    <xf numFmtId="10" fontId="289" fillId="43" borderId="0" xfId="0" applyNumberFormat="1" applyFont="1" applyFill="1"/>
    <xf numFmtId="0" fontId="290" fillId="0" borderId="0" xfId="0" applyFont="1"/>
    <xf numFmtId="0" fontId="283" fillId="1" borderId="0" xfId="0" applyFont="1" applyFill="1"/>
    <xf numFmtId="0" fontId="283" fillId="42" borderId="0" xfId="0" applyFont="1" applyFill="1"/>
    <xf numFmtId="166" fontId="283" fillId="42" borderId="0" xfId="815" applyFont="1" applyFill="1" applyBorder="1"/>
    <xf numFmtId="166" fontId="282" fillId="42" borderId="0" xfId="815" applyFont="1" applyFill="1" applyBorder="1"/>
    <xf numFmtId="0" fontId="280" fillId="0" borderId="0" xfId="0" applyFont="1"/>
    <xf numFmtId="0" fontId="30" fillId="0" borderId="0" xfId="0" applyFont="1" applyAlignment="1">
      <alignment horizontal="center" vertical="center"/>
    </xf>
    <xf numFmtId="0" fontId="30" fillId="115" borderId="159" xfId="0" applyFont="1" applyFill="1" applyBorder="1" applyAlignment="1">
      <alignment horizontal="center" vertical="distributed"/>
    </xf>
    <xf numFmtId="0" fontId="30" fillId="116" borderId="159" xfId="0" applyFont="1" applyFill="1" applyBorder="1" applyAlignment="1">
      <alignment horizontal="center" vertical="distributed"/>
    </xf>
    <xf numFmtId="0" fontId="30" fillId="116" borderId="160" xfId="0" applyFont="1" applyFill="1" applyBorder="1" applyAlignment="1">
      <alignment horizontal="center" vertical="distributed"/>
    </xf>
    <xf numFmtId="2" fontId="0" fillId="0" borderId="0" xfId="0" applyNumberFormat="1"/>
    <xf numFmtId="10" fontId="30" fillId="42" borderId="0" xfId="847" applyNumberFormat="1" applyFont="1" applyFill="1" applyBorder="1" applyAlignment="1">
      <alignment horizontal="left"/>
    </xf>
    <xf numFmtId="229" fontId="30" fillId="42" borderId="0" xfId="863" applyNumberFormat="1" applyFont="1" applyFill="1" applyBorder="1" applyAlignment="1">
      <alignment horizontal="left"/>
    </xf>
    <xf numFmtId="0" fontId="116" fillId="99" borderId="0" xfId="907" applyFont="1" applyFill="1" applyAlignment="1">
      <alignment horizontal="center"/>
    </xf>
    <xf numFmtId="166" fontId="110" fillId="94" borderId="0" xfId="815" applyFont="1" applyFill="1" applyBorder="1" applyAlignment="1">
      <alignment horizontal="center" vertical="center" wrapText="1"/>
    </xf>
    <xf numFmtId="0" fontId="117" fillId="0" borderId="0" xfId="2697" applyFont="1" applyAlignment="1">
      <alignment horizontal="center" vertical="center" wrapText="1"/>
    </xf>
    <xf numFmtId="166" fontId="38" fillId="0" borderId="0" xfId="815" applyFont="1" applyFill="1" applyBorder="1" applyAlignment="1">
      <alignment horizontal="center" vertical="center" wrapText="1"/>
    </xf>
    <xf numFmtId="166" fontId="43" fillId="0" borderId="0" xfId="815" applyFont="1" applyFill="1" applyBorder="1" applyAlignment="1">
      <alignment wrapText="1"/>
    </xf>
    <xf numFmtId="166" fontId="43" fillId="0" borderId="0" xfId="815" applyFont="1" applyFill="1" applyBorder="1" applyAlignment="1"/>
    <xf numFmtId="9" fontId="110" fillId="0" borderId="0" xfId="1823" applyFont="1" applyFill="1" applyBorder="1" applyAlignment="1">
      <alignment horizontal="left" vertical="center" wrapText="1"/>
    </xf>
    <xf numFmtId="216" fontId="110" fillId="0" borderId="0" xfId="1823" applyNumberFormat="1" applyFont="1" applyFill="1" applyBorder="1" applyAlignment="1">
      <alignment horizontal="center" vertical="center" wrapText="1"/>
    </xf>
    <xf numFmtId="166" fontId="110" fillId="0" borderId="0" xfId="815" applyFont="1" applyFill="1" applyBorder="1" applyAlignment="1">
      <alignment horizontal="center" vertical="center" wrapText="1"/>
    </xf>
    <xf numFmtId="166" fontId="110" fillId="0" borderId="0" xfId="815" applyFont="1" applyFill="1" applyBorder="1" applyAlignment="1">
      <alignment wrapText="1"/>
    </xf>
    <xf numFmtId="9" fontId="110" fillId="0" borderId="0" xfId="1823" applyFont="1" applyFill="1" applyBorder="1" applyAlignment="1">
      <alignment horizontal="center" vertical="center" wrapText="1"/>
    </xf>
    <xf numFmtId="0" fontId="43" fillId="41" borderId="106" xfId="907" applyFont="1" applyFill="1" applyBorder="1"/>
    <xf numFmtId="0" fontId="43" fillId="41" borderId="106" xfId="2697" applyFont="1" applyFill="1" applyBorder="1"/>
    <xf numFmtId="0" fontId="43" fillId="0" borderId="106" xfId="907" applyFont="1" applyBorder="1"/>
    <xf numFmtId="43" fontId="43" fillId="41" borderId="106" xfId="907" applyNumberFormat="1" applyFont="1" applyFill="1" applyBorder="1"/>
    <xf numFmtId="0" fontId="263" fillId="0" borderId="0" xfId="2697" applyFont="1"/>
    <xf numFmtId="0" fontId="146" fillId="41" borderId="0" xfId="36379" applyFont="1" applyFill="1" applyProtection="1">
      <protection locked="0"/>
    </xf>
    <xf numFmtId="0" fontId="43" fillId="41" borderId="0" xfId="36379" applyFont="1" applyFill="1"/>
    <xf numFmtId="0" fontId="291" fillId="41" borderId="0" xfId="36379" applyFont="1" applyFill="1" applyProtection="1">
      <protection locked="0"/>
    </xf>
    <xf numFmtId="10" fontId="30" fillId="0" borderId="0" xfId="847" applyNumberFormat="1" applyFont="1" applyAlignment="1">
      <alignment horizontal="center"/>
    </xf>
    <xf numFmtId="0" fontId="212" fillId="43" borderId="0" xfId="0" applyFont="1" applyFill="1" applyAlignment="1">
      <alignment horizontal="left"/>
    </xf>
    <xf numFmtId="10" fontId="205" fillId="45" borderId="0" xfId="847" applyNumberFormat="1" applyFont="1" applyFill="1" applyBorder="1"/>
    <xf numFmtId="261" fontId="205" fillId="0" borderId="152" xfId="847" applyNumberFormat="1" applyFont="1" applyFill="1" applyBorder="1"/>
    <xf numFmtId="22" fontId="43" fillId="0" borderId="0" xfId="0" applyNumberFormat="1" applyFont="1" applyAlignment="1">
      <alignment horizontal="right"/>
    </xf>
    <xf numFmtId="0" fontId="43" fillId="0" borderId="144" xfId="907" applyFont="1" applyBorder="1"/>
    <xf numFmtId="0" fontId="205" fillId="0" borderId="152" xfId="0" applyFont="1" applyBorder="1" applyAlignment="1">
      <alignment horizontal="center"/>
    </xf>
    <xf numFmtId="0" fontId="212" fillId="43" borderId="144" xfId="0" applyFont="1" applyFill="1" applyBorder="1" applyAlignment="1">
      <alignment horizontal="center"/>
    </xf>
    <xf numFmtId="0" fontId="208" fillId="56" borderId="154" xfId="834" applyFont="1" applyFill="1" applyBorder="1" applyAlignment="1" applyProtection="1">
      <alignment horizontal="left" vertical="center"/>
    </xf>
    <xf numFmtId="10" fontId="205" fillId="0" borderId="152" xfId="847" applyNumberFormat="1" applyFont="1" applyFill="1" applyBorder="1"/>
    <xf numFmtId="0" fontId="242" fillId="41" borderId="0" xfId="831" applyFont="1" applyFill="1" applyAlignment="1">
      <alignment horizontal="left"/>
    </xf>
    <xf numFmtId="0" fontId="248" fillId="41" borderId="106" xfId="831" applyFont="1" applyFill="1" applyBorder="1" applyAlignment="1">
      <alignment horizontal="left"/>
    </xf>
    <xf numFmtId="0" fontId="243" fillId="41" borderId="0" xfId="831" applyFont="1" applyFill="1" applyAlignment="1">
      <alignment horizontal="left"/>
    </xf>
    <xf numFmtId="0" fontId="43" fillId="0" borderId="0" xfId="2697" applyFont="1" applyAlignment="1">
      <alignment horizontal="center"/>
    </xf>
    <xf numFmtId="0" fontId="117" fillId="55" borderId="161" xfId="2697" applyFont="1" applyFill="1" applyBorder="1" applyAlignment="1">
      <alignment horizontal="center" vertical="center" wrapText="1"/>
    </xf>
    <xf numFmtId="0" fontId="117" fillId="55" borderId="162" xfId="2697" applyFont="1" applyFill="1" applyBorder="1" applyAlignment="1">
      <alignment horizontal="center" vertical="center" wrapText="1"/>
    </xf>
    <xf numFmtId="268" fontId="43" fillId="0" borderId="20" xfId="43183" applyNumberFormat="1" applyFont="1" applyBorder="1" applyAlignment="1">
      <alignment vertical="center"/>
    </xf>
    <xf numFmtId="0" fontId="43" fillId="0" borderId="29" xfId="2697" applyFont="1" applyBorder="1" applyAlignment="1">
      <alignment vertical="center"/>
    </xf>
    <xf numFmtId="268" fontId="43" fillId="0" borderId="20" xfId="2697" applyNumberFormat="1" applyFont="1" applyBorder="1" applyAlignment="1">
      <alignment vertical="center"/>
    </xf>
    <xf numFmtId="268" fontId="43" fillId="0" borderId="10" xfId="2697" applyNumberFormat="1" applyFont="1" applyBorder="1" applyAlignment="1">
      <alignment vertical="center"/>
    </xf>
    <xf numFmtId="0" fontId="43" fillId="0" borderId="154" xfId="2697" applyFont="1" applyBorder="1" applyAlignment="1">
      <alignment vertical="center"/>
    </xf>
    <xf numFmtId="0" fontId="117" fillId="55" borderId="0" xfId="2697" applyFont="1" applyFill="1" applyAlignment="1">
      <alignment horizontal="center" vertical="center" wrapText="1"/>
    </xf>
    <xf numFmtId="170" fontId="117" fillId="43" borderId="0" xfId="2697" applyNumberFormat="1" applyFont="1" applyFill="1" applyAlignment="1">
      <alignment horizontal="center" vertical="center" wrapText="1"/>
    </xf>
    <xf numFmtId="170" fontId="117" fillId="55" borderId="0" xfId="2697" applyNumberFormat="1" applyFont="1" applyFill="1" applyAlignment="1">
      <alignment horizontal="center" vertical="center" wrapText="1"/>
    </xf>
    <xf numFmtId="0" fontId="43" fillId="0" borderId="29" xfId="2697" applyFont="1" applyBorder="1"/>
    <xf numFmtId="0" fontId="43" fillId="0" borderId="10" xfId="2697" applyFont="1" applyBorder="1" applyAlignment="1">
      <alignment vertical="center"/>
    </xf>
    <xf numFmtId="269" fontId="43" fillId="0" borderId="0" xfId="2697" applyNumberFormat="1" applyFont="1" applyAlignment="1">
      <alignment vertical="center"/>
    </xf>
    <xf numFmtId="0" fontId="43" fillId="0" borderId="154" xfId="2697" applyFont="1" applyBorder="1"/>
    <xf numFmtId="0" fontId="43" fillId="0" borderId="20" xfId="2697" applyFont="1" applyBorder="1" applyAlignment="1">
      <alignment vertical="center"/>
    </xf>
    <xf numFmtId="269" fontId="43" fillId="118" borderId="20" xfId="2697" applyNumberFormat="1" applyFont="1" applyFill="1" applyBorder="1" applyAlignment="1">
      <alignment vertical="center"/>
    </xf>
    <xf numFmtId="269" fontId="43" fillId="118" borderId="0" xfId="2697" applyNumberFormat="1" applyFont="1" applyFill="1" applyAlignment="1">
      <alignment vertical="center"/>
    </xf>
    <xf numFmtId="0" fontId="43" fillId="0" borderId="152" xfId="0" applyFont="1" applyBorder="1"/>
    <xf numFmtId="0" fontId="268" fillId="0" borderId="152" xfId="0" applyFont="1" applyBorder="1"/>
    <xf numFmtId="0" fontId="268" fillId="99" borderId="152" xfId="0" applyFont="1" applyFill="1" applyBorder="1"/>
    <xf numFmtId="14" fontId="30" fillId="111" borderId="0" xfId="0" applyNumberFormat="1" applyFont="1" applyFill="1" applyAlignment="1">
      <alignment horizontal="right"/>
    </xf>
    <xf numFmtId="167" fontId="43" fillId="0" borderId="10" xfId="863" applyFont="1" applyBorder="1" applyAlignment="1">
      <alignment vertical="center"/>
    </xf>
    <xf numFmtId="0" fontId="292" fillId="0" borderId="152" xfId="907" applyFont="1" applyBorder="1" applyAlignment="1">
      <alignment horizontal="left"/>
    </xf>
    <xf numFmtId="10" fontId="43" fillId="0" borderId="152" xfId="907" applyNumberFormat="1" applyFont="1" applyBorder="1"/>
    <xf numFmtId="0" fontId="43" fillId="0" borderId="152" xfId="907" applyFont="1" applyBorder="1"/>
    <xf numFmtId="0" fontId="110" fillId="0" borderId="152" xfId="907" applyFont="1" applyBorder="1" applyAlignment="1">
      <alignment horizontal="left"/>
    </xf>
    <xf numFmtId="0" fontId="293" fillId="0" borderId="152" xfId="907" applyFont="1" applyBorder="1"/>
    <xf numFmtId="167" fontId="293" fillId="0" borderId="152" xfId="863" applyFont="1" applyFill="1" applyBorder="1"/>
    <xf numFmtId="0" fontId="43" fillId="41" borderId="152" xfId="907" applyFont="1" applyFill="1" applyBorder="1"/>
    <xf numFmtId="0" fontId="43" fillId="0" borderId="152" xfId="907" applyFont="1" applyBorder="1" applyAlignment="1">
      <alignment horizontal="center"/>
    </xf>
    <xf numFmtId="4" fontId="43" fillId="0" borderId="152" xfId="815" applyNumberFormat="1" applyFont="1" applyFill="1" applyBorder="1"/>
    <xf numFmtId="22" fontId="43" fillId="0" borderId="0" xfId="907" applyNumberFormat="1" applyFont="1"/>
    <xf numFmtId="22" fontId="43" fillId="0" borderId="152" xfId="907" applyNumberFormat="1" applyFont="1" applyBorder="1"/>
    <xf numFmtId="167" fontId="211" fillId="0" borderId="0" xfId="863" applyFont="1" applyBorder="1" applyAlignment="1">
      <alignment horizontal="right" vertical="center"/>
    </xf>
    <xf numFmtId="43" fontId="283" fillId="0" borderId="0" xfId="0" applyNumberFormat="1" applyFont="1"/>
    <xf numFmtId="0" fontId="205" fillId="0" borderId="164" xfId="0" applyFont="1" applyBorder="1"/>
    <xf numFmtId="0" fontId="212" fillId="0" borderId="164" xfId="0" applyFont="1" applyBorder="1" applyAlignment="1">
      <alignment horizontal="center"/>
    </xf>
    <xf numFmtId="166" fontId="208" fillId="0" borderId="164" xfId="0" applyNumberFormat="1" applyFont="1" applyBorder="1" applyProtection="1">
      <protection hidden="1"/>
    </xf>
    <xf numFmtId="0" fontId="240" fillId="0" borderId="0" xfId="831" applyFont="1" applyAlignment="1">
      <alignment horizontal="right" vertical="center"/>
    </xf>
    <xf numFmtId="267" fontId="0" fillId="0" borderId="0" xfId="0" applyNumberFormat="1" applyAlignment="1">
      <alignment horizontal="center"/>
    </xf>
    <xf numFmtId="14" fontId="30" fillId="0" borderId="0" xfId="0" applyNumberFormat="1" applyFont="1" applyAlignment="1">
      <alignment horizontal="center" vertical="distributed"/>
    </xf>
    <xf numFmtId="0" fontId="235" fillId="42" borderId="0" xfId="0" applyFont="1" applyFill="1"/>
    <xf numFmtId="170" fontId="30" fillId="110" borderId="165" xfId="907" applyNumberFormat="1" applyFill="1" applyBorder="1"/>
    <xf numFmtId="170" fontId="30" fillId="110" borderId="168" xfId="907" applyNumberFormat="1" applyFill="1" applyBorder="1"/>
    <xf numFmtId="170" fontId="30" fillId="59" borderId="168" xfId="907" applyNumberFormat="1" applyFill="1" applyBorder="1"/>
    <xf numFmtId="170" fontId="30" fillId="59" borderId="170" xfId="907" applyNumberFormat="1" applyFill="1" applyBorder="1"/>
    <xf numFmtId="0" fontId="272" fillId="43" borderId="165" xfId="0" applyFont="1" applyFill="1" applyBorder="1" applyAlignment="1">
      <alignment horizontal="center" vertical="center" wrapText="1"/>
    </xf>
    <xf numFmtId="0" fontId="272" fillId="43" borderId="172" xfId="0" applyFont="1" applyFill="1" applyBorder="1" applyAlignment="1">
      <alignment horizontal="center" vertical="center" wrapText="1"/>
    </xf>
    <xf numFmtId="0" fontId="272" fillId="43" borderId="167" xfId="0" applyFont="1" applyFill="1" applyBorder="1" applyAlignment="1">
      <alignment vertical="center" wrapText="1"/>
    </xf>
    <xf numFmtId="170" fontId="30" fillId="110" borderId="170" xfId="907" applyNumberFormat="1" applyFill="1" applyBorder="1"/>
    <xf numFmtId="166" fontId="30" fillId="111" borderId="169" xfId="815" applyFont="1" applyFill="1" applyBorder="1" applyAlignment="1">
      <alignment horizontal="center" vertical="center"/>
    </xf>
    <xf numFmtId="167" fontId="233" fillId="0" borderId="0" xfId="863" quotePrefix="1" applyFont="1"/>
    <xf numFmtId="0" fontId="36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7" fontId="208" fillId="41" borderId="176" xfId="863" applyFont="1" applyFill="1" applyBorder="1"/>
    <xf numFmtId="271" fontId="208" fillId="41" borderId="176" xfId="863" applyNumberFormat="1" applyFont="1" applyFill="1" applyBorder="1"/>
    <xf numFmtId="166" fontId="30" fillId="44" borderId="171" xfId="815" applyFont="1" applyFill="1" applyBorder="1" applyAlignment="1">
      <alignment horizontal="center" vertical="center"/>
    </xf>
    <xf numFmtId="166" fontId="30" fillId="44" borderId="174" xfId="815" applyFont="1" applyFill="1" applyBorder="1" applyAlignment="1">
      <alignment horizontal="center" vertical="center"/>
    </xf>
    <xf numFmtId="0" fontId="208" fillId="41" borderId="176" xfId="0" applyFont="1" applyFill="1" applyBorder="1" applyAlignment="1">
      <alignment horizontal="right"/>
    </xf>
    <xf numFmtId="0" fontId="208" fillId="41" borderId="176" xfId="0" applyFont="1" applyFill="1" applyBorder="1" applyAlignment="1">
      <alignment horizontal="left"/>
    </xf>
    <xf numFmtId="0" fontId="205" fillId="41" borderId="176" xfId="0" applyFont="1" applyFill="1" applyBorder="1" applyAlignment="1">
      <alignment horizontal="right"/>
    </xf>
    <xf numFmtId="167" fontId="208" fillId="41" borderId="176" xfId="0" applyNumberFormat="1" applyFont="1" applyFill="1" applyBorder="1"/>
    <xf numFmtId="166" fontId="30" fillId="44" borderId="177" xfId="815" applyFont="1" applyFill="1" applyBorder="1" applyAlignment="1">
      <alignment horizontal="center" vertical="center"/>
    </xf>
    <xf numFmtId="166" fontId="30" fillId="44" borderId="178" xfId="815" applyFont="1" applyFill="1" applyBorder="1" applyAlignment="1">
      <alignment horizontal="center" vertical="center"/>
    </xf>
    <xf numFmtId="166" fontId="30" fillId="59" borderId="177" xfId="815" applyFont="1" applyFill="1" applyBorder="1" applyAlignment="1">
      <alignment horizontal="center" vertical="center"/>
    </xf>
    <xf numFmtId="166" fontId="30" fillId="59" borderId="171" xfId="815" applyFont="1" applyFill="1" applyBorder="1" applyAlignment="1">
      <alignment horizontal="center" vertical="center"/>
    </xf>
    <xf numFmtId="166" fontId="30" fillId="59" borderId="178" xfId="815" applyFont="1" applyFill="1" applyBorder="1" applyAlignment="1">
      <alignment horizontal="center" vertical="center"/>
    </xf>
    <xf numFmtId="0" fontId="205" fillId="0" borderId="0" xfId="847" applyNumberFormat="1" applyFont="1" applyFill="1" applyBorder="1" applyAlignment="1">
      <alignment horizontal="right"/>
    </xf>
    <xf numFmtId="0" fontId="43" fillId="0" borderId="158" xfId="0" applyFont="1" applyBorder="1"/>
    <xf numFmtId="0" fontId="43" fillId="0" borderId="153" xfId="0" applyFont="1" applyBorder="1"/>
    <xf numFmtId="4" fontId="237" fillId="0" borderId="20" xfId="0" applyNumberFormat="1" applyFont="1" applyBorder="1" applyAlignment="1">
      <alignment horizontal="right" vertical="center"/>
    </xf>
    <xf numFmtId="166" fontId="30" fillId="111" borderId="178" xfId="815" applyFont="1" applyFill="1" applyBorder="1" applyAlignment="1">
      <alignment horizontal="center" vertical="center"/>
    </xf>
    <xf numFmtId="0" fontId="30" fillId="59" borderId="164" xfId="907" applyFill="1" applyBorder="1"/>
    <xf numFmtId="0" fontId="30" fillId="59" borderId="176" xfId="907" applyFill="1" applyBorder="1"/>
    <xf numFmtId="216" fontId="43" fillId="41" borderId="0" xfId="847" applyNumberFormat="1" applyFont="1" applyFill="1" applyBorder="1" applyAlignment="1">
      <alignment horizontal="center"/>
    </xf>
    <xf numFmtId="0" fontId="30" fillId="111" borderId="164" xfId="0" applyFont="1" applyFill="1" applyBorder="1" applyAlignment="1">
      <alignment horizontal="left" wrapText="1"/>
    </xf>
    <xf numFmtId="14" fontId="30" fillId="111" borderId="176" xfId="0" applyNumberFormat="1" applyFont="1" applyFill="1" applyBorder="1" applyAlignment="1">
      <alignment horizontal="left" wrapText="1"/>
    </xf>
    <xf numFmtId="0" fontId="30" fillId="111" borderId="144" xfId="0" applyFont="1" applyFill="1" applyBorder="1" applyAlignment="1">
      <alignment horizontal="left" wrapText="1"/>
    </xf>
    <xf numFmtId="0" fontId="205" fillId="0" borderId="0" xfId="863" applyNumberFormat="1" applyFont="1" applyFill="1" applyBorder="1"/>
    <xf numFmtId="0" fontId="205" fillId="0" borderId="0" xfId="815" applyNumberFormat="1" applyFont="1" applyFill="1" applyBorder="1"/>
    <xf numFmtId="272" fontId="205" fillId="119" borderId="0" xfId="847" applyNumberFormat="1" applyFont="1" applyFill="1"/>
    <xf numFmtId="167" fontId="0" fillId="0" borderId="0" xfId="0" applyNumberFormat="1"/>
    <xf numFmtId="0" fontId="195" fillId="0" borderId="0" xfId="0" applyFont="1" applyAlignment="1">
      <alignment vertical="center"/>
    </xf>
    <xf numFmtId="0" fontId="30" fillId="0" borderId="176" xfId="0" applyFont="1" applyBorder="1"/>
    <xf numFmtId="166" fontId="30" fillId="42" borderId="176" xfId="815" applyFont="1" applyFill="1" applyBorder="1" applyAlignment="1">
      <alignment horizontal="left"/>
    </xf>
    <xf numFmtId="167" fontId="43" fillId="0" borderId="0" xfId="0" applyNumberFormat="1" applyFont="1"/>
    <xf numFmtId="0" fontId="30" fillId="0" borderId="0" xfId="0" applyFont="1" applyAlignment="1">
      <alignment horizontal="right"/>
    </xf>
    <xf numFmtId="167" fontId="43" fillId="41" borderId="0" xfId="863" applyFont="1" applyFill="1" applyBorder="1" applyAlignment="1"/>
    <xf numFmtId="14" fontId="30" fillId="0" borderId="106" xfId="0" applyNumberFormat="1" applyFont="1" applyBorder="1"/>
    <xf numFmtId="14" fontId="43" fillId="0" borderId="0" xfId="847" applyNumberFormat="1" applyFont="1"/>
    <xf numFmtId="14" fontId="275" fillId="113" borderId="16" xfId="0" applyNumberFormat="1" applyFont="1" applyFill="1" applyBorder="1"/>
    <xf numFmtId="14" fontId="237" fillId="0" borderId="0" xfId="863" applyNumberFormat="1" applyFont="1" applyFill="1" applyBorder="1" applyAlignment="1">
      <alignment horizontal="center" vertical="center" wrapText="1"/>
    </xf>
    <xf numFmtId="14" fontId="246" fillId="0" borderId="0" xfId="43183" applyNumberFormat="1" applyFont="1" applyFill="1" applyBorder="1"/>
    <xf numFmtId="9" fontId="283" fillId="0" borderId="0" xfId="847" applyFont="1"/>
    <xf numFmtId="4" fontId="0" fillId="0" borderId="0" xfId="0" applyNumberFormat="1" applyAlignment="1">
      <alignment horizontal="center" vertical="center"/>
    </xf>
    <xf numFmtId="273" fontId="205" fillId="41" borderId="0" xfId="863" applyNumberFormat="1" applyFont="1" applyFill="1" applyBorder="1" applyAlignment="1">
      <alignment horizontal="right"/>
    </xf>
    <xf numFmtId="167" fontId="216" fillId="0" borderId="0" xfId="863" applyFont="1"/>
    <xf numFmtId="167" fontId="219" fillId="0" borderId="0" xfId="863" applyFont="1"/>
    <xf numFmtId="10" fontId="208" fillId="0" borderId="0" xfId="847" applyNumberFormat="1" applyFont="1"/>
    <xf numFmtId="0" fontId="0" fillId="0" borderId="179" xfId="0" applyBorder="1"/>
    <xf numFmtId="0" fontId="0" fillId="0" borderId="180" xfId="0" applyBorder="1"/>
    <xf numFmtId="14" fontId="30" fillId="42" borderId="176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7" fontId="43" fillId="41" borderId="0" xfId="847" applyNumberFormat="1" applyFont="1" applyFill="1" applyBorder="1"/>
    <xf numFmtId="167" fontId="210" fillId="0" borderId="0" xfId="831" applyNumberFormat="1" applyFont="1" applyAlignment="1">
      <alignment vertical="center"/>
    </xf>
    <xf numFmtId="10" fontId="43" fillId="103" borderId="0" xfId="907" applyNumberFormat="1" applyFont="1" applyFill="1"/>
    <xf numFmtId="0" fontId="272" fillId="0" borderId="144" xfId="0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distributed"/>
    </xf>
    <xf numFmtId="10" fontId="116" fillId="0" borderId="0" xfId="847" applyNumberFormat="1" applyFont="1" applyAlignment="1">
      <alignment horizontal="center"/>
    </xf>
    <xf numFmtId="0" fontId="267" fillId="103" borderId="152" xfId="0" applyFont="1" applyFill="1" applyBorder="1" applyAlignment="1">
      <alignment horizontal="center" vertical="distributed"/>
    </xf>
    <xf numFmtId="167" fontId="116" fillId="0" borderId="0" xfId="863" quotePrefix="1" applyFont="1"/>
    <xf numFmtId="2" fontId="30" fillId="0" borderId="0" xfId="0" applyNumberFormat="1" applyFont="1" applyAlignment="1">
      <alignment horizontal="center"/>
    </xf>
    <xf numFmtId="10" fontId="30" fillId="0" borderId="0" xfId="847" applyNumberFormat="1" applyFont="1" applyAlignment="1">
      <alignment horizontal="center" vertical="distributed"/>
    </xf>
    <xf numFmtId="10" fontId="30" fillId="0" borderId="0" xfId="0" applyNumberFormat="1" applyFont="1" applyAlignment="1">
      <alignment horizontal="center"/>
    </xf>
    <xf numFmtId="10" fontId="30" fillId="0" borderId="0" xfId="847" applyNumberFormat="1" applyFont="1" applyBorder="1" applyAlignment="1">
      <alignment horizontal="center" vertical="distributed"/>
    </xf>
    <xf numFmtId="0" fontId="30" fillId="0" borderId="152" xfId="0" applyFont="1" applyBorder="1" applyAlignment="1">
      <alignment horizontal="center" vertical="distributed"/>
    </xf>
    <xf numFmtId="0" fontId="30" fillId="0" borderId="0" xfId="0" quotePrefix="1" applyFont="1"/>
    <xf numFmtId="167" fontId="30" fillId="61" borderId="144" xfId="863" applyFont="1" applyFill="1" applyBorder="1" applyAlignment="1">
      <alignment horizontal="right"/>
    </xf>
    <xf numFmtId="167" fontId="30" fillId="61" borderId="0" xfId="863" applyFont="1" applyFill="1" applyBorder="1" applyAlignment="1">
      <alignment horizontal="right"/>
    </xf>
    <xf numFmtId="167" fontId="30" fillId="0" borderId="0" xfId="0" applyNumberFormat="1" applyFont="1"/>
    <xf numFmtId="0" fontId="36" fillId="0" borderId="176" xfId="0" applyFont="1" applyBorder="1"/>
    <xf numFmtId="0" fontId="205" fillId="0" borderId="176" xfId="0" applyFont="1" applyBorder="1"/>
    <xf numFmtId="0" fontId="296" fillId="59" borderId="0" xfId="0" applyFont="1" applyFill="1" applyAlignment="1">
      <alignment horizontal="left"/>
    </xf>
    <xf numFmtId="43" fontId="295" fillId="118" borderId="0" xfId="43408" applyFont="1" applyFill="1"/>
    <xf numFmtId="204" fontId="0" fillId="0" borderId="0" xfId="0" applyNumberFormat="1"/>
    <xf numFmtId="167" fontId="205" fillId="42" borderId="0" xfId="863" applyFont="1" applyFill="1"/>
    <xf numFmtId="166" fontId="205" fillId="111" borderId="0" xfId="815" applyFont="1" applyFill="1"/>
    <xf numFmtId="167" fontId="208" fillId="59" borderId="0" xfId="863" applyFont="1" applyFill="1"/>
    <xf numFmtId="0" fontId="295" fillId="0" borderId="0" xfId="907" applyFont="1"/>
    <xf numFmtId="43" fontId="296" fillId="0" borderId="0" xfId="43408" applyFont="1" applyFill="1" applyBorder="1"/>
    <xf numFmtId="43" fontId="295" fillId="0" borderId="0" xfId="43408" applyFont="1" applyFill="1" applyBorder="1"/>
    <xf numFmtId="166" fontId="296" fillId="0" borderId="0" xfId="815" applyFont="1" applyFill="1" applyBorder="1"/>
    <xf numFmtId="0" fontId="296" fillId="0" borderId="0" xfId="0" applyFont="1"/>
    <xf numFmtId="167" fontId="205" fillId="111" borderId="0" xfId="863" applyFont="1" applyFill="1"/>
    <xf numFmtId="0" fontId="295" fillId="0" borderId="20" xfId="907" applyFont="1" applyBorder="1"/>
    <xf numFmtId="43" fontId="295" fillId="0" borderId="29" xfId="43408" applyFont="1" applyFill="1" applyBorder="1"/>
    <xf numFmtId="43" fontId="205" fillId="0" borderId="0" xfId="907" applyNumberFormat="1" applyFont="1"/>
    <xf numFmtId="169" fontId="205" fillId="42" borderId="0" xfId="863" applyNumberFormat="1" applyFont="1" applyFill="1" applyBorder="1" applyAlignment="1">
      <alignment horizontal="right"/>
    </xf>
    <xf numFmtId="43" fontId="205" fillId="42" borderId="0" xfId="863" applyNumberFormat="1" applyFont="1" applyFill="1" applyAlignment="1">
      <alignment horizontal="right"/>
    </xf>
    <xf numFmtId="274" fontId="296" fillId="42" borderId="0" xfId="815" applyNumberFormat="1" applyFont="1" applyFill="1"/>
    <xf numFmtId="167" fontId="208" fillId="0" borderId="0" xfId="863" applyFont="1"/>
    <xf numFmtId="14" fontId="30" fillId="0" borderId="29" xfId="0" applyNumberFormat="1" applyFont="1" applyBorder="1"/>
    <xf numFmtId="166" fontId="205" fillId="42" borderId="0" xfId="815" applyFont="1" applyFill="1" applyBorder="1"/>
    <xf numFmtId="40" fontId="120" fillId="0" borderId="152" xfId="0" applyNumberFormat="1" applyFont="1" applyBorder="1" applyAlignment="1">
      <alignment horizontal="center" vertical="center"/>
    </xf>
    <xf numFmtId="0" fontId="43" fillId="0" borderId="152" xfId="43433" quotePrefix="1" applyFont="1" applyBorder="1"/>
    <xf numFmtId="43" fontId="244" fillId="0" borderId="152" xfId="43431" applyFont="1" applyBorder="1"/>
    <xf numFmtId="43" fontId="244" fillId="113" borderId="152" xfId="43431" applyFont="1" applyFill="1" applyBorder="1"/>
    <xf numFmtId="4" fontId="43" fillId="42" borderId="152" xfId="815" applyNumberFormat="1" applyFont="1" applyFill="1" applyBorder="1"/>
    <xf numFmtId="166" fontId="205" fillId="111" borderId="0" xfId="815" applyFont="1" applyFill="1" applyBorder="1"/>
    <xf numFmtId="167" fontId="0" fillId="0" borderId="0" xfId="863" applyFont="1" applyFill="1"/>
    <xf numFmtId="167" fontId="0" fillId="111" borderId="0" xfId="863" applyFont="1" applyFill="1"/>
    <xf numFmtId="0" fontId="302" fillId="0" borderId="0" xfId="0" applyFont="1"/>
    <xf numFmtId="167" fontId="30" fillId="111" borderId="176" xfId="863" applyFont="1" applyFill="1" applyBorder="1"/>
    <xf numFmtId="167" fontId="30" fillId="111" borderId="164" xfId="863" applyFont="1" applyFill="1" applyBorder="1"/>
    <xf numFmtId="167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30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4" fillId="0" borderId="152" xfId="43431" applyFont="1" applyFill="1" applyBorder="1"/>
    <xf numFmtId="167" fontId="283" fillId="0" borderId="0" xfId="863" applyFont="1" applyFill="1" applyBorder="1"/>
    <xf numFmtId="167" fontId="283" fillId="117" borderId="0" xfId="863" applyFont="1" applyFill="1" applyBorder="1"/>
    <xf numFmtId="167" fontId="283" fillId="44" borderId="0" xfId="863" applyFont="1" applyFill="1" applyBorder="1"/>
    <xf numFmtId="196" fontId="205" fillId="61" borderId="0" xfId="0" applyNumberFormat="1" applyFont="1" applyFill="1"/>
    <xf numFmtId="170" fontId="205" fillId="61" borderId="0" xfId="0" applyNumberFormat="1" applyFont="1" applyFill="1"/>
    <xf numFmtId="166" fontId="205" fillId="61" borderId="10" xfId="815" applyFont="1" applyFill="1" applyBorder="1"/>
    <xf numFmtId="166" fontId="205" fillId="61" borderId="29" xfId="815" applyFont="1" applyFill="1" applyBorder="1"/>
    <xf numFmtId="166" fontId="205" fillId="61" borderId="20" xfId="815" applyFont="1" applyFill="1" applyBorder="1"/>
    <xf numFmtId="166" fontId="205" fillId="61" borderId="0" xfId="815" applyFont="1" applyFill="1" applyBorder="1"/>
    <xf numFmtId="0" fontId="205" fillId="61" borderId="0" xfId="0" applyFont="1" applyFill="1"/>
    <xf numFmtId="166" fontId="30" fillId="59" borderId="181" xfId="815" applyFont="1" applyFill="1" applyBorder="1" applyAlignment="1">
      <alignment horizontal="center" vertical="center"/>
    </xf>
    <xf numFmtId="0" fontId="36" fillId="0" borderId="0" xfId="2697" applyFont="1"/>
    <xf numFmtId="9" fontId="36" fillId="103" borderId="0" xfId="2697" applyNumberFormat="1" applyFont="1" applyFill="1"/>
    <xf numFmtId="0" fontId="272" fillId="101" borderId="0" xfId="2697" applyFont="1" applyFill="1"/>
    <xf numFmtId="167" fontId="30" fillId="0" borderId="0" xfId="2697" applyNumberFormat="1"/>
    <xf numFmtId="0" fontId="2" fillId="0" borderId="0" xfId="43435"/>
    <xf numFmtId="43" fontId="0" fillId="0" borderId="0" xfId="43436" applyFont="1"/>
    <xf numFmtId="276" fontId="2" fillId="0" borderId="0" xfId="43435" applyNumberFormat="1"/>
    <xf numFmtId="166" fontId="283" fillId="0" borderId="0" xfId="815" applyFont="1" applyFill="1" applyBorder="1"/>
    <xf numFmtId="167" fontId="43" fillId="41" borderId="0" xfId="863" applyFont="1" applyFill="1" applyBorder="1" applyAlignment="1">
      <alignment horizontal="right" vertical="center" wrapText="1"/>
    </xf>
    <xf numFmtId="167" fontId="43" fillId="0" borderId="0" xfId="863" applyFont="1" applyFill="1" applyBorder="1" applyAlignment="1">
      <alignment horizontal="right" vertical="center" wrapText="1"/>
    </xf>
    <xf numFmtId="0" fontId="30" fillId="0" borderId="152" xfId="0" applyFont="1" applyBorder="1"/>
    <xf numFmtId="276" fontId="0" fillId="0" borderId="0" xfId="0" applyNumberFormat="1"/>
    <xf numFmtId="167" fontId="0" fillId="0" borderId="0" xfId="863" applyFont="1" applyFill="1" applyBorder="1" applyAlignment="1">
      <alignment horizontal="center" vertical="center"/>
    </xf>
    <xf numFmtId="254" fontId="43" fillId="41" borderId="0" xfId="863" applyNumberFormat="1" applyFont="1" applyFill="1" applyBorder="1"/>
    <xf numFmtId="4" fontId="205" fillId="0" borderId="0" xfId="0" applyNumberFormat="1" applyFont="1"/>
    <xf numFmtId="170" fontId="117" fillId="0" borderId="0" xfId="2697" applyNumberFormat="1" applyFont="1" applyAlignment="1">
      <alignment horizontal="center" vertical="center" wrapText="1"/>
    </xf>
    <xf numFmtId="0" fontId="304" fillId="0" borderId="0" xfId="0" applyFont="1"/>
    <xf numFmtId="269" fontId="43" fillId="118" borderId="176" xfId="2697" applyNumberFormat="1" applyFont="1" applyFill="1" applyBorder="1" applyAlignment="1">
      <alignment vertical="center"/>
    </xf>
    <xf numFmtId="0" fontId="303" fillId="0" borderId="0" xfId="2697" applyFont="1" applyAlignment="1">
      <alignment horizontal="center" vertical="center" wrapText="1"/>
    </xf>
    <xf numFmtId="167" fontId="43" fillId="0" borderId="0" xfId="863" applyFont="1" applyFill="1" applyBorder="1"/>
    <xf numFmtId="268" fontId="43" fillId="0" borderId="0" xfId="2697" applyNumberFormat="1" applyFont="1" applyAlignment="1">
      <alignment vertical="center"/>
    </xf>
    <xf numFmtId="270" fontId="43" fillId="0" borderId="0" xfId="2697" applyNumberFormat="1" applyFont="1" applyAlignment="1">
      <alignment vertical="center"/>
    </xf>
    <xf numFmtId="269" fontId="110" fillId="0" borderId="0" xfId="43183" applyNumberFormat="1" applyFont="1" applyFill="1" applyBorder="1" applyAlignment="1">
      <alignment vertical="center"/>
    </xf>
    <xf numFmtId="0" fontId="250" fillId="0" borderId="0" xfId="0" applyFont="1"/>
    <xf numFmtId="0" fontId="250" fillId="0" borderId="0" xfId="0" applyFont="1" applyAlignment="1">
      <alignment vertical="center"/>
    </xf>
    <xf numFmtId="0" fontId="250" fillId="118" borderId="0" xfId="0" applyFont="1" applyFill="1" applyAlignment="1">
      <alignment vertical="center"/>
    </xf>
    <xf numFmtId="173" fontId="250" fillId="118" borderId="0" xfId="0" applyNumberFormat="1" applyFont="1" applyFill="1" applyAlignment="1">
      <alignment vertical="center"/>
    </xf>
    <xf numFmtId="0" fontId="250" fillId="0" borderId="0" xfId="907" applyFont="1"/>
    <xf numFmtId="167" fontId="250" fillId="0" borderId="0" xfId="863" applyFont="1"/>
    <xf numFmtId="0" fontId="251" fillId="0" borderId="0" xfId="907" applyFont="1"/>
    <xf numFmtId="0" fontId="205" fillId="0" borderId="0" xfId="0" applyFont="1" applyAlignment="1">
      <alignment vertical="center"/>
    </xf>
    <xf numFmtId="14" fontId="250" fillId="118" borderId="0" xfId="0" applyNumberFormat="1" applyFont="1" applyFill="1" applyAlignment="1">
      <alignment vertical="center"/>
    </xf>
    <xf numFmtId="0" fontId="43" fillId="33" borderId="0" xfId="43437" applyFont="1" applyFill="1" applyAlignment="1">
      <alignment vertical="center"/>
    </xf>
    <xf numFmtId="0" fontId="43" fillId="33" borderId="0" xfId="43437" applyFont="1" applyFill="1" applyAlignment="1">
      <alignment vertical="center" wrapText="1"/>
    </xf>
    <xf numFmtId="0" fontId="305" fillId="33" borderId="176" xfId="43437" applyFont="1" applyFill="1" applyBorder="1" applyAlignment="1">
      <alignment horizontal="left" vertical="center"/>
    </xf>
    <xf numFmtId="0" fontId="250" fillId="33" borderId="176" xfId="43437" applyFont="1" applyFill="1" applyBorder="1" applyAlignment="1">
      <alignment vertical="center" wrapText="1"/>
    </xf>
    <xf numFmtId="0" fontId="43" fillId="33" borderId="176" xfId="43437" applyFont="1" applyFill="1" applyBorder="1" applyAlignment="1">
      <alignment vertical="center"/>
    </xf>
    <xf numFmtId="0" fontId="250" fillId="33" borderId="176" xfId="43437" applyFont="1" applyFill="1" applyBorder="1" applyAlignment="1">
      <alignment horizontal="right" vertical="center"/>
    </xf>
    <xf numFmtId="10" fontId="250" fillId="33" borderId="176" xfId="847" applyNumberFormat="1" applyFont="1" applyFill="1" applyBorder="1" applyAlignment="1">
      <alignment vertical="center"/>
    </xf>
    <xf numFmtId="0" fontId="250" fillId="33" borderId="0" xfId="43437" applyFont="1" applyFill="1" applyAlignment="1">
      <alignment vertical="center"/>
    </xf>
    <xf numFmtId="0" fontId="306" fillId="0" borderId="0" xfId="2697" applyFont="1" applyAlignment="1">
      <alignment vertical="center"/>
    </xf>
    <xf numFmtId="0" fontId="250" fillId="33" borderId="0" xfId="43437" applyFont="1" applyFill="1" applyAlignment="1">
      <alignment vertical="center" wrapText="1"/>
    </xf>
    <xf numFmtId="0" fontId="250" fillId="33" borderId="0" xfId="43437" applyFont="1" applyFill="1" applyAlignment="1">
      <alignment horizontal="right" vertical="center"/>
    </xf>
    <xf numFmtId="10" fontId="250" fillId="33" borderId="0" xfId="847" applyNumberFormat="1" applyFont="1" applyFill="1" applyAlignment="1">
      <alignment vertical="center"/>
    </xf>
    <xf numFmtId="0" fontId="307" fillId="33" borderId="0" xfId="43437" applyFont="1" applyFill="1" applyAlignment="1">
      <alignment horizontal="right" vertical="center"/>
    </xf>
    <xf numFmtId="167" fontId="250" fillId="33" borderId="0" xfId="43437" applyNumberFormat="1" applyFont="1" applyFill="1" applyAlignment="1">
      <alignment vertical="center" wrapText="1"/>
    </xf>
    <xf numFmtId="0" fontId="308" fillId="33" borderId="0" xfId="43437" applyFont="1" applyFill="1" applyAlignment="1">
      <alignment horizontal="right" vertical="center"/>
    </xf>
    <xf numFmtId="0" fontId="309" fillId="33" borderId="0" xfId="43437" applyFont="1" applyFill="1" applyAlignment="1">
      <alignment vertical="center"/>
    </xf>
    <xf numFmtId="0" fontId="309" fillId="33" borderId="0" xfId="43437" applyFont="1" applyFill="1" applyAlignment="1">
      <alignment vertical="center" wrapText="1"/>
    </xf>
    <xf numFmtId="0" fontId="310" fillId="33" borderId="0" xfId="43437" applyFont="1" applyFill="1" applyAlignment="1">
      <alignment vertical="center"/>
    </xf>
    <xf numFmtId="0" fontId="311" fillId="33" borderId="0" xfId="43437" applyFont="1" applyFill="1" applyAlignment="1">
      <alignment vertical="center"/>
    </xf>
    <xf numFmtId="0" fontId="309" fillId="33" borderId="0" xfId="43437" applyFont="1" applyFill="1" applyAlignment="1">
      <alignment horizontal="center" vertical="center" wrapText="1"/>
    </xf>
    <xf numFmtId="0" fontId="309" fillId="33" borderId="0" xfId="43437" applyFont="1" applyFill="1" applyAlignment="1">
      <alignment horizontal="right" vertical="center"/>
    </xf>
    <xf numFmtId="0" fontId="260" fillId="101" borderId="176" xfId="43438" applyFont="1" applyFill="1" applyBorder="1" applyAlignment="1">
      <alignment horizontal="center" vertical="center" wrapText="1"/>
    </xf>
    <xf numFmtId="169" fontId="250" fillId="33" borderId="0" xfId="863" applyNumberFormat="1" applyFont="1" applyFill="1" applyAlignment="1">
      <alignment vertical="center"/>
    </xf>
    <xf numFmtId="0" fontId="250" fillId="0" borderId="0" xfId="43437" quotePrefix="1" applyFont="1" applyAlignment="1">
      <alignment horizontal="left" vertical="center"/>
    </xf>
    <xf numFmtId="277" fontId="250" fillId="41" borderId="0" xfId="43439" applyNumberFormat="1" applyFont="1" applyFill="1" applyBorder="1" applyAlignment="1">
      <alignment vertical="center" wrapText="1"/>
    </xf>
    <xf numFmtId="0" fontId="250" fillId="0" borderId="10" xfId="43437" quotePrefix="1" applyFont="1" applyBorder="1" applyAlignment="1">
      <alignment horizontal="left" vertical="center"/>
    </xf>
    <xf numFmtId="169" fontId="250" fillId="41" borderId="10" xfId="863" applyNumberFormat="1" applyFont="1" applyFill="1" applyBorder="1" applyAlignment="1">
      <alignment vertical="center"/>
    </xf>
    <xf numFmtId="169" fontId="250" fillId="42" borderId="10" xfId="863" applyNumberFormat="1" applyFont="1" applyFill="1" applyBorder="1" applyAlignment="1">
      <alignment vertical="center"/>
    </xf>
    <xf numFmtId="0" fontId="251" fillId="60" borderId="176" xfId="43437" quotePrefix="1" applyFont="1" applyFill="1" applyBorder="1" applyAlignment="1">
      <alignment horizontal="left" vertical="center"/>
    </xf>
    <xf numFmtId="277" fontId="251" fillId="60" borderId="176" xfId="43439" applyNumberFormat="1" applyFont="1" applyFill="1" applyBorder="1" applyAlignment="1">
      <alignment vertical="center" wrapText="1"/>
    </xf>
    <xf numFmtId="169" fontId="257" fillId="9" borderId="0" xfId="863" applyNumberFormat="1" applyFont="1" applyFill="1" applyBorder="1" applyAlignment="1">
      <alignment vertical="center" wrapText="1"/>
    </xf>
    <xf numFmtId="0" fontId="250" fillId="0" borderId="126" xfId="43437" quotePrefix="1" applyFont="1" applyBorder="1" applyAlignment="1">
      <alignment horizontal="left" vertical="center"/>
    </xf>
    <xf numFmtId="169" fontId="250" fillId="41" borderId="163" xfId="863" applyNumberFormat="1" applyFont="1" applyFill="1" applyBorder="1" applyAlignment="1">
      <alignment vertical="center" wrapText="1"/>
    </xf>
    <xf numFmtId="169" fontId="312" fillId="9" borderId="0" xfId="863" applyNumberFormat="1" applyFont="1" applyFill="1" applyBorder="1" applyAlignment="1">
      <alignment vertical="center" wrapText="1"/>
    </xf>
    <xf numFmtId="169" fontId="250" fillId="41" borderId="0" xfId="863" applyNumberFormat="1" applyFont="1" applyFill="1" applyBorder="1" applyAlignment="1">
      <alignment vertical="center" wrapText="1"/>
    </xf>
    <xf numFmtId="169" fontId="250" fillId="41" borderId="0" xfId="863" applyNumberFormat="1" applyFont="1" applyFill="1" applyBorder="1" applyAlignment="1">
      <alignment vertical="center"/>
    </xf>
    <xf numFmtId="169" fontId="250" fillId="0" borderId="0" xfId="863" applyNumberFormat="1" applyFont="1" applyFill="1" applyBorder="1" applyAlignment="1">
      <alignment vertical="center" wrapText="1"/>
    </xf>
    <xf numFmtId="169" fontId="250" fillId="0" borderId="0" xfId="863" applyNumberFormat="1" applyFont="1" applyFill="1" applyBorder="1" applyAlignment="1">
      <alignment vertical="center"/>
    </xf>
    <xf numFmtId="169" fontId="250" fillId="41" borderId="182" xfId="863" applyNumberFormat="1" applyFont="1" applyFill="1" applyBorder="1" applyAlignment="1">
      <alignment vertical="center" wrapText="1"/>
    </xf>
    <xf numFmtId="169" fontId="250" fillId="0" borderId="176" xfId="863" applyNumberFormat="1" applyFont="1" applyFill="1" applyBorder="1" applyAlignment="1">
      <alignment vertical="center" wrapText="1"/>
    </xf>
    <xf numFmtId="169" fontId="250" fillId="0" borderId="176" xfId="863" applyNumberFormat="1" applyFont="1" applyFill="1" applyBorder="1" applyAlignment="1">
      <alignment vertical="center"/>
    </xf>
    <xf numFmtId="169" fontId="251" fillId="60" borderId="176" xfId="863" applyNumberFormat="1" applyFont="1" applyFill="1" applyBorder="1" applyAlignment="1">
      <alignment vertical="center" wrapText="1"/>
    </xf>
    <xf numFmtId="169" fontId="251" fillId="60" borderId="176" xfId="863" applyNumberFormat="1" applyFont="1" applyFill="1" applyBorder="1" applyAlignment="1">
      <alignment vertical="center"/>
    </xf>
    <xf numFmtId="167" fontId="250" fillId="33" borderId="0" xfId="43186" applyFont="1" applyFill="1" applyAlignment="1">
      <alignment vertical="center" wrapText="1"/>
    </xf>
    <xf numFmtId="39" fontId="250" fillId="33" borderId="0" xfId="43437" applyNumberFormat="1" applyFont="1" applyFill="1" applyAlignment="1">
      <alignment vertical="center"/>
    </xf>
    <xf numFmtId="0" fontId="250" fillId="0" borderId="0" xfId="2697" applyFont="1" applyAlignment="1">
      <alignment vertical="center" wrapText="1"/>
    </xf>
    <xf numFmtId="0" fontId="250" fillId="123" borderId="0" xfId="2697" applyFont="1" applyFill="1" applyAlignment="1">
      <alignment vertical="center" wrapText="1"/>
    </xf>
    <xf numFmtId="0" fontId="250" fillId="122" borderId="0" xfId="43437" applyFont="1" applyFill="1" applyAlignment="1">
      <alignment vertical="center" wrapText="1"/>
    </xf>
    <xf numFmtId="43" fontId="250" fillId="41" borderId="0" xfId="43408" applyFont="1" applyFill="1" applyBorder="1" applyAlignment="1">
      <alignment vertical="center" wrapText="1"/>
    </xf>
    <xf numFmtId="0" fontId="250" fillId="124" borderId="0" xfId="2697" applyFont="1" applyFill="1" applyAlignment="1">
      <alignment vertical="center" wrapText="1"/>
    </xf>
    <xf numFmtId="43" fontId="250" fillId="123" borderId="0" xfId="43408" applyFont="1" applyFill="1" applyBorder="1" applyAlignment="1">
      <alignment vertical="center" wrapText="1"/>
    </xf>
    <xf numFmtId="167" fontId="250" fillId="44" borderId="0" xfId="863" applyFont="1" applyFill="1" applyBorder="1" applyAlignment="1">
      <alignment vertical="center" wrapText="1"/>
    </xf>
    <xf numFmtId="0" fontId="250" fillId="122" borderId="0" xfId="2697" applyFont="1" applyFill="1" applyAlignment="1">
      <alignment vertical="center" wrapText="1"/>
    </xf>
    <xf numFmtId="0" fontId="250" fillId="44" borderId="176" xfId="2697" applyFont="1" applyFill="1" applyBorder="1" applyAlignment="1">
      <alignment vertical="center" wrapText="1"/>
    </xf>
    <xf numFmtId="0" fontId="250" fillId="123" borderId="176" xfId="2697" applyFont="1" applyFill="1" applyBorder="1" applyAlignment="1">
      <alignment vertical="center" wrapText="1"/>
    </xf>
    <xf numFmtId="0" fontId="43" fillId="0" borderId="0" xfId="2697" applyFont="1" applyAlignment="1">
      <alignment vertical="center" wrapText="1"/>
    </xf>
    <xf numFmtId="0" fontId="313" fillId="0" borderId="0" xfId="0" applyFont="1"/>
    <xf numFmtId="0" fontId="314" fillId="55" borderId="183" xfId="0" applyFont="1" applyFill="1" applyBorder="1" applyAlignment="1">
      <alignment vertical="center"/>
    </xf>
    <xf numFmtId="14" fontId="250" fillId="0" borderId="20" xfId="0" applyNumberFormat="1" applyFont="1" applyBorder="1" applyAlignment="1">
      <alignment horizontal="left" vertical="center"/>
    </xf>
    <xf numFmtId="166" fontId="250" fillId="0" borderId="0" xfId="815" applyFont="1" applyBorder="1" applyAlignment="1">
      <alignment vertical="center"/>
    </xf>
    <xf numFmtId="169" fontId="250" fillId="0" borderId="10" xfId="863" applyNumberFormat="1" applyFont="1" applyBorder="1" applyAlignment="1">
      <alignment vertical="center"/>
    </xf>
    <xf numFmtId="271" fontId="250" fillId="0" borderId="10" xfId="863" applyNumberFormat="1" applyFont="1" applyBorder="1" applyAlignment="1">
      <alignment vertical="center"/>
    </xf>
    <xf numFmtId="169" fontId="251" fillId="41" borderId="0" xfId="863" applyNumberFormat="1" applyFont="1" applyFill="1" applyBorder="1" applyAlignment="1">
      <alignment vertical="center"/>
    </xf>
    <xf numFmtId="169" fontId="250" fillId="33" borderId="0" xfId="863" applyNumberFormat="1" applyFont="1" applyFill="1" applyBorder="1" applyAlignment="1">
      <alignment vertical="center"/>
    </xf>
    <xf numFmtId="0" fontId="250" fillId="41" borderId="0" xfId="863" applyNumberFormat="1" applyFont="1" applyFill="1" applyBorder="1" applyAlignment="1">
      <alignment vertical="center"/>
    </xf>
    <xf numFmtId="0" fontId="250" fillId="0" borderId="0" xfId="863" applyNumberFormat="1" applyFont="1" applyFill="1" applyBorder="1" applyAlignment="1">
      <alignment vertical="center"/>
    </xf>
    <xf numFmtId="0" fontId="250" fillId="0" borderId="176" xfId="863" applyNumberFormat="1" applyFont="1" applyFill="1" applyBorder="1" applyAlignment="1">
      <alignment vertical="center"/>
    </xf>
    <xf numFmtId="169" fontId="250" fillId="0" borderId="20" xfId="863" applyNumberFormat="1" applyFont="1" applyBorder="1" applyAlignment="1">
      <alignment vertical="center"/>
    </xf>
    <xf numFmtId="169" fontId="250" fillId="0" borderId="29" xfId="863" applyNumberFormat="1" applyFont="1" applyBorder="1" applyAlignment="1">
      <alignment vertical="center"/>
    </xf>
    <xf numFmtId="271" fontId="250" fillId="0" borderId="0" xfId="863" applyNumberFormat="1" applyFont="1" applyBorder="1" applyAlignment="1">
      <alignment vertical="center"/>
    </xf>
    <xf numFmtId="14" fontId="313" fillId="118" borderId="0" xfId="0" applyNumberFormat="1" applyFont="1" applyFill="1" applyAlignment="1">
      <alignment vertical="center"/>
    </xf>
    <xf numFmtId="173" fontId="313" fillId="118" borderId="0" xfId="0" applyNumberFormat="1" applyFont="1" applyFill="1" applyAlignment="1">
      <alignment vertical="center"/>
    </xf>
    <xf numFmtId="0" fontId="249" fillId="0" borderId="0" xfId="0" applyFont="1"/>
    <xf numFmtId="14" fontId="249" fillId="118" borderId="0" xfId="0" applyNumberFormat="1" applyFont="1" applyFill="1" applyAlignment="1">
      <alignment vertical="center"/>
    </xf>
    <xf numFmtId="173" fontId="249" fillId="118" borderId="0" xfId="0" applyNumberFormat="1" applyFont="1" applyFill="1" applyAlignment="1">
      <alignment vertical="center"/>
    </xf>
    <xf numFmtId="43" fontId="296" fillId="59" borderId="0" xfId="0" applyNumberFormat="1" applyFont="1" applyFill="1"/>
    <xf numFmtId="0" fontId="212" fillId="125" borderId="0" xfId="0" applyFont="1" applyFill="1"/>
    <xf numFmtId="3" fontId="0" fillId="0" borderId="0" xfId="43169" applyFont="1"/>
    <xf numFmtId="0" fontId="30" fillId="0" borderId="152" xfId="0" applyFont="1" applyBorder="1" applyAlignment="1">
      <alignment horizontal="center" vertical="center"/>
    </xf>
    <xf numFmtId="169" fontId="250" fillId="0" borderId="0" xfId="863" applyNumberFormat="1" applyFont="1" applyAlignment="1">
      <alignment vertical="center"/>
    </xf>
    <xf numFmtId="169" fontId="250" fillId="0" borderId="0" xfId="863" applyNumberFormat="1" applyFont="1" applyBorder="1" applyAlignment="1">
      <alignment vertical="center"/>
    </xf>
    <xf numFmtId="0" fontId="283" fillId="33" borderId="0" xfId="829" applyFont="1" applyFill="1" applyAlignment="1">
      <alignment horizontal="center"/>
    </xf>
    <xf numFmtId="167" fontId="283" fillId="0" borderId="0" xfId="863" applyFont="1" applyAlignment="1">
      <alignment horizontal="center"/>
    </xf>
    <xf numFmtId="10" fontId="283" fillId="0" borderId="0" xfId="847" applyNumberFormat="1" applyFont="1" applyAlignment="1">
      <alignment horizontal="center"/>
    </xf>
    <xf numFmtId="0" fontId="283" fillId="0" borderId="0" xfId="0" applyFont="1" applyAlignment="1">
      <alignment horizontal="center"/>
    </xf>
    <xf numFmtId="10" fontId="283" fillId="117" borderId="0" xfId="847" applyNumberFormat="1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10" fontId="205" fillId="0" borderId="0" xfId="847" applyNumberFormat="1" applyFont="1" applyAlignment="1">
      <alignment horizontal="center"/>
    </xf>
    <xf numFmtId="166" fontId="282" fillId="126" borderId="0" xfId="5583" applyNumberFormat="1" applyFont="1" applyFill="1" applyBorder="1" applyAlignment="1">
      <alignment vertical="center"/>
    </xf>
    <xf numFmtId="166" fontId="282" fillId="0" borderId="0" xfId="5583" applyNumberFormat="1" applyFont="1" applyFill="1" applyBorder="1" applyAlignment="1">
      <alignment vertical="center"/>
    </xf>
    <xf numFmtId="3" fontId="250" fillId="0" borderId="0" xfId="43169" applyFont="1"/>
    <xf numFmtId="173" fontId="250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7" borderId="0" xfId="0" applyNumberFormat="1" applyFill="1"/>
    <xf numFmtId="0" fontId="43" fillId="41" borderId="0" xfId="36379" applyFont="1" applyFill="1" applyAlignment="1">
      <alignment horizontal="center"/>
    </xf>
    <xf numFmtId="9" fontId="43" fillId="0" borderId="0" xfId="847" applyFont="1" applyFill="1"/>
    <xf numFmtId="164" fontId="205" fillId="0" borderId="176" xfId="815" applyNumberFormat="1" applyFont="1" applyBorder="1" applyAlignment="1">
      <alignment horizontal="left"/>
    </xf>
    <xf numFmtId="10" fontId="205" fillId="0" borderId="176" xfId="847" applyNumberFormat="1" applyFont="1" applyFill="1" applyBorder="1" applyAlignment="1">
      <alignment horizontal="right"/>
    </xf>
    <xf numFmtId="164" fontId="205" fillId="0" borderId="164" xfId="815" applyNumberFormat="1" applyFont="1" applyBorder="1" applyAlignment="1">
      <alignment horizontal="left"/>
    </xf>
    <xf numFmtId="10" fontId="205" fillId="0" borderId="164" xfId="847" applyNumberFormat="1" applyFont="1" applyFill="1" applyBorder="1" applyAlignment="1">
      <alignment horizontal="right"/>
    </xf>
    <xf numFmtId="9" fontId="260" fillId="38" borderId="0" xfId="1823" applyFont="1" applyFill="1" applyBorder="1" applyAlignment="1">
      <alignment horizontal="center" vertical="center" wrapText="1"/>
    </xf>
    <xf numFmtId="9" fontId="250" fillId="41" borderId="0" xfId="1823" applyFont="1" applyFill="1" applyBorder="1" applyAlignment="1">
      <alignment horizontal="left" vertical="center" wrapText="1"/>
    </xf>
    <xf numFmtId="43" fontId="250" fillId="41" borderId="0" xfId="43199" applyFont="1" applyFill="1" applyBorder="1" applyAlignment="1">
      <alignment horizontal="center" vertical="center" wrapText="1"/>
    </xf>
    <xf numFmtId="261" fontId="250" fillId="41" borderId="0" xfId="1823" applyNumberFormat="1" applyFont="1" applyFill="1" applyBorder="1" applyAlignment="1">
      <alignment horizontal="center" vertical="center" wrapText="1"/>
    </xf>
    <xf numFmtId="0" fontId="250" fillId="33" borderId="0" xfId="905" applyFont="1" applyFill="1"/>
    <xf numFmtId="261" fontId="250" fillId="41" borderId="0" xfId="907" applyNumberFormat="1" applyFont="1" applyFill="1"/>
    <xf numFmtId="261" fontId="250" fillId="33" borderId="0" xfId="905" applyNumberFormat="1" applyFont="1" applyFill="1"/>
    <xf numFmtId="37" fontId="250" fillId="41" borderId="0" xfId="905" applyNumberFormat="1" applyFont="1" applyFill="1" applyAlignment="1">
      <alignment horizontal="left"/>
    </xf>
    <xf numFmtId="167" fontId="250" fillId="41" borderId="0" xfId="863" applyFont="1" applyFill="1" applyBorder="1" applyAlignment="1">
      <alignment horizontal="center" vertical="center" wrapText="1"/>
    </xf>
    <xf numFmtId="261" fontId="250" fillId="41" borderId="0" xfId="847" applyNumberFormat="1" applyFont="1" applyFill="1" applyBorder="1" applyAlignment="1">
      <alignment horizontal="center" vertical="center" wrapText="1"/>
    </xf>
    <xf numFmtId="0" fontId="250" fillId="41" borderId="0" xfId="907" applyFont="1" applyFill="1"/>
    <xf numFmtId="167" fontId="250" fillId="41" borderId="0" xfId="863" applyFont="1" applyFill="1" applyBorder="1"/>
    <xf numFmtId="9" fontId="260" fillId="38" borderId="0" xfId="1095" applyFont="1" applyFill="1" applyBorder="1" applyAlignment="1">
      <alignment horizontal="center" vertical="center" wrapText="1"/>
    </xf>
    <xf numFmtId="43" fontId="250" fillId="0" borderId="0" xfId="43199" applyFont="1" applyAlignment="1">
      <alignment vertical="center"/>
    </xf>
    <xf numFmtId="269" fontId="43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2" fillId="0" borderId="176" xfId="907" applyFont="1" applyBorder="1" applyAlignment="1">
      <alignment horizontal="left"/>
    </xf>
    <xf numFmtId="0" fontId="205" fillId="33" borderId="176" xfId="829" applyFont="1" applyFill="1" applyBorder="1"/>
    <xf numFmtId="173" fontId="211" fillId="0" borderId="176" xfId="0" applyNumberFormat="1" applyFont="1" applyBorder="1" applyAlignment="1">
      <alignment horizontal="left"/>
    </xf>
    <xf numFmtId="10" fontId="211" fillId="0" borderId="176" xfId="0" applyNumberFormat="1" applyFont="1" applyBorder="1" applyAlignment="1">
      <alignment horizontal="right"/>
    </xf>
    <xf numFmtId="0" fontId="208" fillId="0" borderId="176" xfId="0" applyFont="1" applyBorder="1"/>
    <xf numFmtId="0" fontId="212" fillId="43" borderId="144" xfId="0" applyFont="1" applyFill="1" applyBorder="1" applyAlignment="1">
      <alignment horizontal="left"/>
    </xf>
    <xf numFmtId="167" fontId="208" fillId="45" borderId="144" xfId="863" applyFont="1" applyFill="1" applyBorder="1"/>
    <xf numFmtId="0" fontId="30" fillId="111" borderId="164" xfId="0" applyFont="1" applyFill="1" applyBorder="1" applyAlignment="1">
      <alignment horizontal="center"/>
    </xf>
    <xf numFmtId="0" fontId="30" fillId="111" borderId="164" xfId="0" applyFont="1" applyFill="1" applyBorder="1"/>
    <xf numFmtId="14" fontId="30" fillId="111" borderId="164" xfId="0" applyNumberFormat="1" applyFont="1" applyFill="1" applyBorder="1"/>
    <xf numFmtId="0" fontId="205" fillId="41" borderId="164" xfId="0" applyFont="1" applyFill="1" applyBorder="1" applyAlignment="1" applyProtection="1">
      <alignment horizontal="left"/>
      <protection hidden="1"/>
    </xf>
    <xf numFmtId="164" fontId="205" fillId="45" borderId="164" xfId="863" applyNumberFormat="1" applyFont="1" applyFill="1" applyBorder="1"/>
    <xf numFmtId="0" fontId="205" fillId="41" borderId="176" xfId="0" applyFont="1" applyFill="1" applyBorder="1" applyAlignment="1" applyProtection="1">
      <alignment horizontal="left"/>
      <protection hidden="1"/>
    </xf>
    <xf numFmtId="164" fontId="205" fillId="45" borderId="176" xfId="863" applyNumberFormat="1" applyFont="1" applyFill="1" applyBorder="1"/>
    <xf numFmtId="164" fontId="212" fillId="43" borderId="144" xfId="863" applyNumberFormat="1" applyFont="1" applyFill="1" applyBorder="1"/>
    <xf numFmtId="164" fontId="208" fillId="45" borderId="144" xfId="863" applyNumberFormat="1" applyFont="1" applyFill="1" applyBorder="1"/>
    <xf numFmtId="167" fontId="208" fillId="0" borderId="176" xfId="863" applyFont="1" applyBorder="1"/>
    <xf numFmtId="0" fontId="212" fillId="43" borderId="164" xfId="0" applyFont="1" applyFill="1" applyBorder="1" applyAlignment="1">
      <alignment horizontal="left"/>
    </xf>
    <xf numFmtId="10" fontId="205" fillId="45" borderId="164" xfId="847" applyNumberFormat="1" applyFont="1" applyFill="1" applyBorder="1"/>
    <xf numFmtId="0" fontId="212" fillId="43" borderId="176" xfId="0" applyFont="1" applyFill="1" applyBorder="1" applyAlignment="1">
      <alignment horizontal="left"/>
    </xf>
    <xf numFmtId="10" fontId="205" fillId="61" borderId="176" xfId="847" applyNumberFormat="1" applyFont="1" applyFill="1" applyBorder="1"/>
    <xf numFmtId="167" fontId="205" fillId="45" borderId="164" xfId="863" applyFont="1" applyFill="1" applyBorder="1"/>
    <xf numFmtId="167" fontId="205" fillId="45" borderId="176" xfId="863" applyFont="1" applyFill="1" applyBorder="1"/>
    <xf numFmtId="14" fontId="30" fillId="0" borderId="164" xfId="0" applyNumberFormat="1" applyFont="1" applyBorder="1"/>
    <xf numFmtId="14" fontId="30" fillId="111" borderId="176" xfId="0" applyNumberFormat="1" applyFont="1" applyFill="1" applyBorder="1"/>
    <xf numFmtId="0" fontId="30" fillId="111" borderId="176" xfId="0" applyFont="1" applyFill="1" applyBorder="1" applyAlignment="1">
      <alignment horizontal="center"/>
    </xf>
    <xf numFmtId="0" fontId="30" fillId="111" borderId="176" xfId="0" applyFont="1" applyFill="1" applyBorder="1"/>
    <xf numFmtId="14" fontId="30" fillId="111" borderId="164" xfId="0" applyNumberFormat="1" applyFont="1" applyFill="1" applyBorder="1" applyAlignment="1">
      <alignment horizontal="right"/>
    </xf>
    <xf numFmtId="14" fontId="30" fillId="111" borderId="176" xfId="0" applyNumberFormat="1" applyFont="1" applyFill="1" applyBorder="1" applyAlignment="1">
      <alignment horizontal="right"/>
    </xf>
    <xf numFmtId="0" fontId="273" fillId="0" borderId="176" xfId="907" applyFont="1" applyBorder="1" applyAlignment="1">
      <alignment horizontal="left"/>
    </xf>
    <xf numFmtId="0" fontId="43" fillId="33" borderId="176" xfId="829" applyFont="1" applyFill="1" applyBorder="1"/>
    <xf numFmtId="0" fontId="36" fillId="33" borderId="152" xfId="834" applyFont="1" applyFill="1" applyBorder="1" applyAlignment="1" applyProtection="1">
      <alignment horizontal="center" vertical="center" wrapText="1"/>
    </xf>
    <xf numFmtId="170" fontId="30" fillId="0" borderId="152" xfId="863" applyNumberFormat="1" applyFont="1" applyFill="1" applyBorder="1" applyAlignment="1">
      <alignment horizontal="center"/>
    </xf>
    <xf numFmtId="170" fontId="30" fillId="0" borderId="152" xfId="863" applyNumberFormat="1" applyFont="1" applyBorder="1" applyAlignment="1">
      <alignment horizontal="center"/>
    </xf>
    <xf numFmtId="170" fontId="30" fillId="103" borderId="152" xfId="863" applyNumberFormat="1" applyFont="1" applyFill="1" applyBorder="1" applyAlignment="1">
      <alignment horizontal="center"/>
    </xf>
    <xf numFmtId="0" fontId="36" fillId="61" borderId="152" xfId="907" applyFont="1" applyFill="1" applyBorder="1" applyAlignment="1">
      <alignment horizontal="center" vertical="center"/>
    </xf>
    <xf numFmtId="0" fontId="36" fillId="61" borderId="152" xfId="907" applyFont="1" applyFill="1" applyBorder="1" applyAlignment="1">
      <alignment horizontal="center" vertical="center" wrapText="1"/>
    </xf>
    <xf numFmtId="0" fontId="30" fillId="60" borderId="164" xfId="0" applyFont="1" applyFill="1" applyBorder="1" applyAlignment="1">
      <alignment horizontal="right"/>
    </xf>
    <xf numFmtId="0" fontId="279" fillId="96" borderId="154" xfId="0" applyFont="1" applyFill="1" applyBorder="1" applyAlignment="1">
      <alignment vertical="center"/>
    </xf>
    <xf numFmtId="14" fontId="30" fillId="0" borderId="176" xfId="0" applyNumberFormat="1" applyFont="1" applyBorder="1" applyAlignment="1">
      <alignment horizontal="right"/>
    </xf>
    <xf numFmtId="0" fontId="30" fillId="0" borderId="146" xfId="0" applyFont="1" applyBorder="1" applyAlignment="1">
      <alignment horizontal="center"/>
    </xf>
    <xf numFmtId="1" fontId="30" fillId="0" borderId="164" xfId="815" applyNumberFormat="1" applyFont="1" applyFill="1" applyBorder="1" applyAlignment="1"/>
    <xf numFmtId="169" fontId="30" fillId="0" borderId="164" xfId="863" applyNumberFormat="1" applyFont="1" applyFill="1" applyBorder="1" applyAlignment="1">
      <alignment horizontal="left"/>
    </xf>
    <xf numFmtId="10" fontId="30" fillId="0" borderId="176" xfId="847" applyNumberFormat="1" applyFont="1" applyFill="1" applyBorder="1" applyAlignment="1"/>
    <xf numFmtId="0" fontId="276" fillId="0" borderId="176" xfId="0" applyFont="1" applyBorder="1"/>
    <xf numFmtId="0" fontId="43" fillId="0" borderId="176" xfId="0" applyFont="1" applyBorder="1"/>
    <xf numFmtId="43" fontId="43" fillId="0" borderId="176" xfId="0" applyNumberFormat="1" applyFont="1" applyBorder="1"/>
    <xf numFmtId="43" fontId="277" fillId="0" borderId="176" xfId="0" applyNumberFormat="1" applyFont="1" applyBorder="1"/>
    <xf numFmtId="2" fontId="276" fillId="0" borderId="176" xfId="0" applyNumberFormat="1" applyFont="1" applyBorder="1"/>
    <xf numFmtId="14" fontId="276" fillId="0" borderId="176" xfId="0" applyNumberFormat="1" applyFont="1" applyBorder="1"/>
    <xf numFmtId="10" fontId="30" fillId="61" borderId="164" xfId="847" applyNumberFormat="1" applyFont="1" applyFill="1" applyBorder="1" applyAlignment="1">
      <alignment horizontal="right"/>
    </xf>
    <xf numFmtId="166" fontId="30" fillId="111" borderId="164" xfId="815" applyFont="1" applyFill="1" applyBorder="1" applyAlignment="1"/>
    <xf numFmtId="10" fontId="30" fillId="44" borderId="176" xfId="847" applyNumberFormat="1" applyFont="1" applyFill="1" applyBorder="1" applyAlignment="1">
      <alignment horizontal="right"/>
    </xf>
    <xf numFmtId="0" fontId="30" fillId="42" borderId="164" xfId="907" applyFill="1" applyBorder="1"/>
    <xf numFmtId="10" fontId="30" fillId="42" borderId="164" xfId="847" applyNumberFormat="1" applyFont="1" applyFill="1" applyBorder="1" applyAlignment="1">
      <alignment horizontal="right"/>
    </xf>
    <xf numFmtId="166" fontId="30" fillId="111" borderId="176" xfId="815" applyFont="1" applyFill="1" applyBorder="1" applyAlignment="1"/>
    <xf numFmtId="0" fontId="30" fillId="0" borderId="164" xfId="0" applyFont="1" applyBorder="1" applyAlignment="1">
      <alignment horizontal="left"/>
    </xf>
    <xf numFmtId="0" fontId="36" fillId="42" borderId="176" xfId="0" applyFont="1" applyFill="1" applyBorder="1"/>
    <xf numFmtId="0" fontId="30" fillId="42" borderId="176" xfId="0" applyFont="1" applyFill="1" applyBorder="1"/>
    <xf numFmtId="167" fontId="30" fillId="41" borderId="164" xfId="863" applyFont="1" applyFill="1" applyBorder="1" applyAlignment="1"/>
    <xf numFmtId="167" fontId="30" fillId="41" borderId="176" xfId="863" applyFont="1" applyFill="1" applyBorder="1" applyAlignment="1"/>
    <xf numFmtId="0" fontId="30" fillId="0" borderId="176" xfId="0" applyFont="1" applyBorder="1" applyAlignment="1">
      <alignment horizontal="left"/>
    </xf>
    <xf numFmtId="167" fontId="30" fillId="0" borderId="176" xfId="863" applyFont="1" applyFill="1" applyBorder="1" applyAlignment="1"/>
    <xf numFmtId="167" fontId="30" fillId="44" borderId="176" xfId="863" applyFont="1" applyFill="1" applyBorder="1" applyAlignment="1">
      <alignment horizontal="right"/>
    </xf>
    <xf numFmtId="10" fontId="30" fillId="111" borderId="164" xfId="847" applyNumberFormat="1" applyFont="1" applyFill="1" applyBorder="1" applyAlignment="1">
      <alignment horizontal="right"/>
    </xf>
    <xf numFmtId="169" fontId="30" fillId="0" borderId="164" xfId="0" applyNumberFormat="1" applyFont="1" applyBorder="1"/>
    <xf numFmtId="167" fontId="30" fillId="0" borderId="164" xfId="863" applyFont="1" applyFill="1" applyBorder="1" applyAlignment="1"/>
    <xf numFmtId="10" fontId="30" fillId="111" borderId="176" xfId="847" applyNumberFormat="1" applyFont="1" applyFill="1" applyBorder="1" applyAlignment="1">
      <alignment horizontal="right"/>
    </xf>
    <xf numFmtId="167" fontId="30" fillId="0" borderId="144" xfId="863" applyFont="1" applyFill="1" applyBorder="1" applyAlignment="1">
      <alignment horizontal="left"/>
    </xf>
    <xf numFmtId="267" fontId="30" fillId="0" borderId="164" xfId="847" applyNumberFormat="1" applyFont="1" applyFill="1" applyBorder="1" applyAlignment="1">
      <alignment horizontal="left"/>
    </xf>
    <xf numFmtId="10" fontId="30" fillId="0" borderId="164" xfId="847" applyNumberFormat="1" applyFont="1" applyFill="1" applyBorder="1" applyAlignment="1"/>
    <xf numFmtId="10" fontId="30" fillId="0" borderId="176" xfId="847" applyNumberFormat="1" applyFont="1" applyFill="1" applyBorder="1" applyAlignment="1">
      <alignment horizontal="left"/>
    </xf>
    <xf numFmtId="166" fontId="30" fillId="0" borderId="164" xfId="815" applyFont="1" applyFill="1" applyBorder="1" applyAlignment="1">
      <alignment horizontal="left"/>
    </xf>
    <xf numFmtId="166" fontId="30" fillId="0" borderId="176" xfId="815" applyFont="1" applyFill="1" applyBorder="1" applyAlignment="1">
      <alignment horizontal="left"/>
    </xf>
    <xf numFmtId="164" fontId="30" fillId="0" borderId="144" xfId="863" applyNumberFormat="1" applyFont="1" applyFill="1" applyBorder="1"/>
    <xf numFmtId="0" fontId="272" fillId="43" borderId="152" xfId="0" applyFont="1" applyFill="1" applyBorder="1" applyAlignment="1">
      <alignment horizontal="center" vertical="center" wrapText="1"/>
    </xf>
    <xf numFmtId="0" fontId="36" fillId="59" borderId="144" xfId="907" applyFont="1" applyFill="1" applyBorder="1"/>
    <xf numFmtId="0" fontId="30" fillId="59" borderId="144" xfId="907" applyFill="1" applyBorder="1" applyAlignment="1">
      <alignment horizontal="center"/>
    </xf>
    <xf numFmtId="170" fontId="30" fillId="111" borderId="144" xfId="907" applyNumberFormat="1" applyFill="1" applyBorder="1" applyAlignment="1">
      <alignment horizontal="left"/>
    </xf>
    <xf numFmtId="167" fontId="36" fillId="59" borderId="149" xfId="863" applyFont="1" applyFill="1" applyBorder="1"/>
    <xf numFmtId="14" fontId="30" fillId="59" borderId="152" xfId="863" applyNumberFormat="1" applyFont="1" applyFill="1" applyBorder="1"/>
    <xf numFmtId="14" fontId="30" fillId="59" borderId="152" xfId="847" applyNumberFormat="1" applyFont="1" applyFill="1" applyBorder="1" applyAlignment="1">
      <alignment horizontal="center"/>
    </xf>
    <xf numFmtId="167" fontId="30" fillId="111" borderId="144" xfId="863" applyFont="1" applyFill="1" applyBorder="1" applyAlignment="1">
      <alignment horizontal="left"/>
    </xf>
    <xf numFmtId="229" fontId="30" fillId="111" borderId="144" xfId="863" applyNumberFormat="1" applyFont="1" applyFill="1" applyBorder="1" applyAlignment="1">
      <alignment horizontal="left"/>
    </xf>
    <xf numFmtId="3" fontId="30" fillId="111" borderId="164" xfId="863" applyNumberFormat="1" applyFont="1" applyFill="1" applyBorder="1" applyAlignment="1">
      <alignment horizontal="left"/>
    </xf>
    <xf numFmtId="229" fontId="30" fillId="111" borderId="164" xfId="0" applyNumberFormat="1" applyFont="1" applyFill="1" applyBorder="1"/>
    <xf numFmtId="10" fontId="30" fillId="42" borderId="164" xfId="847" applyNumberFormat="1" applyFont="1" applyFill="1" applyBorder="1" applyAlignment="1">
      <alignment horizontal="left"/>
    </xf>
    <xf numFmtId="229" fontId="30" fillId="42" borderId="164" xfId="863" applyNumberFormat="1" applyFont="1" applyFill="1" applyBorder="1" applyAlignment="1">
      <alignment horizontal="left"/>
    </xf>
    <xf numFmtId="10" fontId="30" fillId="42" borderId="176" xfId="847" applyNumberFormat="1" applyFont="1" applyFill="1" applyBorder="1" applyAlignment="1">
      <alignment horizontal="left"/>
    </xf>
    <xf numFmtId="229" fontId="30" fillId="42" borderId="176" xfId="863" applyNumberFormat="1" applyFont="1" applyFill="1" applyBorder="1" applyAlignment="1">
      <alignment horizontal="left"/>
    </xf>
    <xf numFmtId="0" fontId="30" fillId="111" borderId="176" xfId="0" applyFont="1" applyFill="1" applyBorder="1" applyAlignment="1">
      <alignment horizontal="left"/>
    </xf>
    <xf numFmtId="229" fontId="30" fillId="111" borderId="176" xfId="0" applyNumberFormat="1" applyFont="1" applyFill="1" applyBorder="1"/>
    <xf numFmtId="0" fontId="110" fillId="58" borderId="149" xfId="834" applyFont="1" applyFill="1" applyBorder="1" applyAlignment="1" applyProtection="1">
      <alignment horizontal="left" vertical="center"/>
    </xf>
    <xf numFmtId="0" fontId="110" fillId="56" borderId="149" xfId="834" applyFont="1" applyFill="1" applyBorder="1" applyAlignment="1" applyProtection="1">
      <alignment horizontal="left" vertical="center"/>
    </xf>
    <xf numFmtId="14" fontId="110" fillId="56" borderId="148" xfId="834" applyNumberFormat="1" applyFont="1" applyFill="1" applyBorder="1" applyAlignment="1" applyProtection="1">
      <alignment horizontal="left" vertical="center"/>
    </xf>
    <xf numFmtId="0" fontId="281" fillId="0" borderId="176" xfId="907" applyFont="1" applyBorder="1" applyAlignment="1">
      <alignment horizontal="left"/>
    </xf>
    <xf numFmtId="0" fontId="229" fillId="33" borderId="176" xfId="829" applyFont="1" applyFill="1" applyBorder="1"/>
    <xf numFmtId="0" fontId="205" fillId="60" borderId="164" xfId="0" applyFont="1" applyFill="1" applyBorder="1" applyAlignment="1" applyProtection="1">
      <alignment horizontal="left" wrapText="1"/>
      <protection hidden="1"/>
    </xf>
    <xf numFmtId="166" fontId="205" fillId="0" borderId="164" xfId="815" applyFont="1" applyBorder="1"/>
    <xf numFmtId="0" fontId="208" fillId="114" borderId="176" xfId="0" applyFont="1" applyFill="1" applyBorder="1" applyAlignment="1" applyProtection="1">
      <alignment horizontal="left" wrapText="1"/>
      <protection hidden="1"/>
    </xf>
    <xf numFmtId="261" fontId="208" fillId="0" borderId="176" xfId="847" applyNumberFormat="1" applyFont="1" applyBorder="1"/>
    <xf numFmtId="0" fontId="208" fillId="114" borderId="144" xfId="0" applyFont="1" applyFill="1" applyBorder="1" applyAlignment="1" applyProtection="1">
      <alignment horizontal="left" wrapText="1"/>
      <protection hidden="1"/>
    </xf>
    <xf numFmtId="261" fontId="208" fillId="0" borderId="144" xfId="847" applyNumberFormat="1" applyFont="1" applyBorder="1"/>
    <xf numFmtId="0" fontId="211" fillId="0" borderId="176" xfId="0" applyFont="1" applyBorder="1" applyAlignment="1">
      <alignment horizontal="right" vertical="center"/>
    </xf>
    <xf numFmtId="0" fontId="211" fillId="0" borderId="164" xfId="0" applyFont="1" applyBorder="1" applyAlignment="1">
      <alignment horizontal="right" vertical="center"/>
    </xf>
    <xf numFmtId="0" fontId="212" fillId="43" borderId="164" xfId="0" applyFont="1" applyFill="1" applyBorder="1" applyAlignment="1">
      <alignment horizontal="center"/>
    </xf>
    <xf numFmtId="0" fontId="212" fillId="43" borderId="145" xfId="0" applyFont="1" applyFill="1" applyBorder="1" applyAlignment="1">
      <alignment horizontal="center"/>
    </xf>
    <xf numFmtId="0" fontId="212" fillId="43" borderId="147" xfId="0" applyFont="1" applyFill="1" applyBorder="1" applyAlignment="1">
      <alignment horizontal="center"/>
    </xf>
    <xf numFmtId="0" fontId="213" fillId="59" borderId="144" xfId="907" applyFont="1" applyFill="1" applyBorder="1"/>
    <xf numFmtId="166" fontId="208" fillId="59" borderId="149" xfId="0" applyNumberFormat="1" applyFont="1" applyFill="1" applyBorder="1" applyProtection="1">
      <protection hidden="1"/>
    </xf>
    <xf numFmtId="166" fontId="208" fillId="59" borderId="148" xfId="0" applyNumberFormat="1" applyFont="1" applyFill="1" applyBorder="1" applyProtection="1">
      <protection hidden="1"/>
    </xf>
    <xf numFmtId="10" fontId="208" fillId="59" borderId="149" xfId="847" applyNumberFormat="1" applyFont="1" applyFill="1" applyBorder="1" applyAlignment="1" applyProtection="1">
      <alignment horizontal="right"/>
      <protection hidden="1"/>
    </xf>
    <xf numFmtId="261" fontId="208" fillId="59" borderId="144" xfId="847" applyNumberFormat="1" applyFont="1" applyFill="1" applyBorder="1" applyAlignment="1" applyProtection="1">
      <alignment horizontal="right"/>
      <protection hidden="1"/>
    </xf>
    <xf numFmtId="0" fontId="208" fillId="59" borderId="144" xfId="0" applyFont="1" applyFill="1" applyBorder="1" applyAlignment="1" applyProtection="1">
      <alignment horizontal="left"/>
      <protection hidden="1"/>
    </xf>
    <xf numFmtId="0" fontId="208" fillId="59" borderId="176" xfId="0" applyFont="1" applyFill="1" applyBorder="1" applyAlignment="1">
      <alignment horizontal="left"/>
    </xf>
    <xf numFmtId="166" fontId="208" fillId="59" borderId="154" xfId="0" applyNumberFormat="1" applyFont="1" applyFill="1" applyBorder="1" applyProtection="1">
      <protection hidden="1"/>
    </xf>
    <xf numFmtId="261" fontId="208" fillId="59" borderId="176" xfId="847" applyNumberFormat="1" applyFont="1" applyFill="1" applyBorder="1" applyAlignment="1" applyProtection="1">
      <alignment horizontal="right"/>
      <protection hidden="1"/>
    </xf>
    <xf numFmtId="0" fontId="212" fillId="43" borderId="149" xfId="0" applyFont="1" applyFill="1" applyBorder="1" applyAlignment="1">
      <alignment horizontal="center"/>
    </xf>
    <xf numFmtId="0" fontId="208" fillId="59" borderId="176" xfId="0" applyFont="1" applyFill="1" applyBorder="1" applyAlignment="1" applyProtection="1">
      <alignment horizontal="left"/>
      <protection hidden="1"/>
    </xf>
    <xf numFmtId="166" fontId="208" fillId="59" borderId="176" xfId="0" applyNumberFormat="1" applyFont="1" applyFill="1" applyBorder="1" applyProtection="1">
      <protection hidden="1"/>
    </xf>
    <xf numFmtId="166" fontId="208" fillId="114" borderId="176" xfId="0" applyNumberFormat="1" applyFont="1" applyFill="1" applyBorder="1" applyProtection="1">
      <protection hidden="1"/>
    </xf>
    <xf numFmtId="261" fontId="208" fillId="59" borderId="176" xfId="847" applyNumberFormat="1" applyFont="1" applyFill="1" applyBorder="1" applyAlignment="1" applyProtection="1">
      <alignment horizontal="center"/>
      <protection hidden="1"/>
    </xf>
    <xf numFmtId="0" fontId="208" fillId="59" borderId="164" xfId="0" applyFont="1" applyFill="1" applyBorder="1" applyProtection="1">
      <protection hidden="1"/>
    </xf>
    <xf numFmtId="166" fontId="208" fillId="59" borderId="164" xfId="815" applyFont="1" applyFill="1" applyBorder="1" applyAlignment="1" applyProtection="1">
      <protection hidden="1"/>
    </xf>
    <xf numFmtId="10" fontId="208" fillId="59" borderId="164" xfId="847" applyNumberFormat="1" applyFont="1" applyFill="1" applyBorder="1" applyAlignment="1" applyProtection="1">
      <alignment horizontal="right"/>
      <protection hidden="1"/>
    </xf>
    <xf numFmtId="9" fontId="38" fillId="38" borderId="149" xfId="1823" applyFont="1" applyFill="1" applyBorder="1" applyAlignment="1">
      <alignment horizontal="center" vertical="center" wrapText="1"/>
    </xf>
    <xf numFmtId="9" fontId="110" fillId="94" borderId="144" xfId="1823" applyFont="1" applyFill="1" applyBorder="1" applyAlignment="1">
      <alignment horizontal="center" vertical="center" wrapText="1"/>
    </xf>
    <xf numFmtId="10" fontId="110" fillId="94" borderId="144" xfId="1823" applyNumberFormat="1" applyFont="1" applyFill="1" applyBorder="1" applyAlignment="1">
      <alignment horizontal="center" vertical="center" wrapText="1"/>
    </xf>
    <xf numFmtId="0" fontId="43" fillId="33" borderId="176" xfId="776" applyFont="1" applyFill="1" applyBorder="1" applyAlignment="1">
      <alignment wrapText="1"/>
    </xf>
    <xf numFmtId="216" fontId="43" fillId="33" borderId="176" xfId="2697" applyNumberFormat="1" applyFont="1" applyFill="1" applyBorder="1" applyAlignment="1">
      <alignment horizontal="center"/>
    </xf>
    <xf numFmtId="166" fontId="43" fillId="33" borderId="176" xfId="815" applyFont="1" applyFill="1" applyBorder="1"/>
    <xf numFmtId="216" fontId="110" fillId="94" borderId="144" xfId="1823" applyNumberFormat="1" applyFont="1" applyFill="1" applyBorder="1" applyAlignment="1">
      <alignment horizontal="center" vertical="center" wrapText="1"/>
    </xf>
    <xf numFmtId="166" fontId="110" fillId="94" borderId="144" xfId="815" applyFont="1" applyFill="1" applyBorder="1" applyAlignment="1">
      <alignment horizontal="center" vertical="center" wrapText="1"/>
    </xf>
    <xf numFmtId="0" fontId="43" fillId="94" borderId="144" xfId="776" applyFont="1" applyFill="1" applyBorder="1" applyAlignment="1">
      <alignment wrapText="1"/>
    </xf>
    <xf numFmtId="216" fontId="43" fillId="94" borderId="144" xfId="2697" applyNumberFormat="1" applyFont="1" applyFill="1" applyBorder="1" applyAlignment="1">
      <alignment horizontal="center"/>
    </xf>
    <xf numFmtId="170" fontId="30" fillId="0" borderId="152" xfId="907" applyNumberFormat="1" applyBorder="1" applyAlignment="1">
      <alignment horizontal="center"/>
    </xf>
    <xf numFmtId="14" fontId="30" fillId="41" borderId="152" xfId="907" applyNumberFormat="1" applyFill="1" applyBorder="1"/>
    <xf numFmtId="9" fontId="38" fillId="38" borderId="144" xfId="1823" applyFont="1" applyFill="1" applyBorder="1" applyAlignment="1">
      <alignment horizontal="center" vertical="center" wrapText="1"/>
    </xf>
    <xf numFmtId="170" fontId="38" fillId="38" borderId="144" xfId="847" applyNumberFormat="1" applyFont="1" applyFill="1" applyBorder="1" applyAlignment="1">
      <alignment horizontal="center" vertical="center" wrapText="1"/>
    </xf>
    <xf numFmtId="0" fontId="43" fillId="0" borderId="176" xfId="2697" applyFont="1" applyBorder="1" applyAlignment="1">
      <alignment vertical="center"/>
    </xf>
    <xf numFmtId="43" fontId="43" fillId="41" borderId="176" xfId="43199" applyFont="1" applyFill="1" applyBorder="1" applyAlignment="1">
      <alignment vertical="center"/>
    </xf>
    <xf numFmtId="43" fontId="43" fillId="41" borderId="176" xfId="43199" applyFont="1" applyFill="1" applyBorder="1" applyAlignment="1">
      <alignment horizontal="center" vertical="center"/>
    </xf>
    <xf numFmtId="0" fontId="110" fillId="59" borderId="144" xfId="2697" applyFont="1" applyFill="1" applyBorder="1" applyAlignment="1">
      <alignment vertical="center"/>
    </xf>
    <xf numFmtId="10" fontId="110" fillId="59" borderId="144" xfId="847" applyNumberFormat="1" applyFont="1" applyFill="1" applyBorder="1" applyAlignment="1">
      <alignment vertical="center"/>
    </xf>
    <xf numFmtId="43" fontId="110" fillId="59" borderId="144" xfId="43199" applyFont="1" applyFill="1" applyBorder="1" applyAlignment="1">
      <alignment vertical="center"/>
    </xf>
    <xf numFmtId="0" fontId="110" fillId="42" borderId="144" xfId="2697" applyFont="1" applyFill="1" applyBorder="1" applyAlignment="1">
      <alignment vertical="center"/>
    </xf>
    <xf numFmtId="43" fontId="110" fillId="42" borderId="144" xfId="43199" applyFont="1" applyFill="1" applyBorder="1" applyAlignment="1">
      <alignment vertical="center"/>
    </xf>
    <xf numFmtId="10" fontId="110" fillId="42" borderId="144" xfId="847" applyNumberFormat="1" applyFont="1" applyFill="1" applyBorder="1" applyAlignment="1">
      <alignment horizontal="center" vertical="center"/>
    </xf>
    <xf numFmtId="10" fontId="110" fillId="59" borderId="144" xfId="847" applyNumberFormat="1" applyFont="1" applyFill="1" applyBorder="1" applyAlignment="1">
      <alignment horizontal="center" vertical="center"/>
    </xf>
    <xf numFmtId="10" fontId="43" fillId="41" borderId="176" xfId="847" applyNumberFormat="1" applyFont="1" applyFill="1" applyBorder="1" applyAlignment="1">
      <alignment horizontal="center"/>
    </xf>
    <xf numFmtId="0" fontId="43" fillId="42" borderId="144" xfId="776" applyFont="1" applyFill="1" applyBorder="1" applyAlignment="1">
      <alignment wrapText="1"/>
    </xf>
    <xf numFmtId="169" fontId="43" fillId="42" borderId="144" xfId="43199" applyNumberFormat="1" applyFont="1" applyFill="1" applyBorder="1" applyAlignment="1">
      <alignment horizontal="center" wrapText="1"/>
    </xf>
    <xf numFmtId="169" fontId="43" fillId="42" borderId="144" xfId="847" applyNumberFormat="1" applyFont="1" applyFill="1" applyBorder="1" applyAlignment="1">
      <alignment horizontal="center" wrapText="1"/>
    </xf>
    <xf numFmtId="169" fontId="110" fillId="59" borderId="144" xfId="863" applyNumberFormat="1" applyFont="1" applyFill="1" applyBorder="1" applyAlignment="1">
      <alignment vertical="center"/>
    </xf>
    <xf numFmtId="0" fontId="243" fillId="41" borderId="176" xfId="907" applyFont="1" applyFill="1" applyBorder="1" applyAlignment="1">
      <alignment horizontal="left"/>
    </xf>
    <xf numFmtId="9" fontId="38" fillId="38" borderId="144" xfId="1823" applyFont="1" applyFill="1" applyBorder="1" applyAlignment="1">
      <alignment horizontal="left" vertical="center" wrapText="1"/>
    </xf>
    <xf numFmtId="0" fontId="43" fillId="41" borderId="176" xfId="2697" applyFont="1" applyFill="1" applyBorder="1" applyAlignment="1">
      <alignment horizontal="center" vertical="center"/>
    </xf>
    <xf numFmtId="0" fontId="43" fillId="41" borderId="164" xfId="2697" applyFont="1" applyFill="1" applyBorder="1" applyAlignment="1">
      <alignment horizontal="center"/>
    </xf>
    <xf numFmtId="0" fontId="43" fillId="41" borderId="164" xfId="2697" applyFont="1" applyFill="1" applyBorder="1" applyAlignment="1">
      <alignment horizontal="left"/>
    </xf>
    <xf numFmtId="2" fontId="43" fillId="41" borderId="164" xfId="2697" applyNumberFormat="1" applyFont="1" applyFill="1" applyBorder="1" applyAlignment="1">
      <alignment horizontal="center"/>
    </xf>
    <xf numFmtId="3" fontId="43" fillId="41" borderId="176" xfId="43199" applyNumberFormat="1" applyFont="1" applyFill="1" applyBorder="1" applyAlignment="1">
      <alignment horizontal="right"/>
    </xf>
    <xf numFmtId="43" fontId="43" fillId="41" borderId="176" xfId="43199" applyFont="1" applyFill="1" applyBorder="1" applyAlignment="1">
      <alignment horizontal="right"/>
    </xf>
    <xf numFmtId="43" fontId="43" fillId="41" borderId="176" xfId="43199" applyFont="1" applyFill="1" applyBorder="1" applyAlignment="1">
      <alignment horizontal="left"/>
    </xf>
    <xf numFmtId="3" fontId="43" fillId="42" borderId="144" xfId="847" applyNumberFormat="1" applyFont="1" applyFill="1" applyBorder="1" applyAlignment="1">
      <alignment horizontal="right" wrapText="1"/>
    </xf>
    <xf numFmtId="43" fontId="43" fillId="42" borderId="176" xfId="43199" applyFont="1" applyFill="1" applyBorder="1" applyAlignment="1">
      <alignment horizontal="right"/>
    </xf>
    <xf numFmtId="3" fontId="110" fillId="59" borderId="144" xfId="2697" applyNumberFormat="1" applyFont="1" applyFill="1" applyBorder="1" applyAlignment="1">
      <alignment horizontal="right" vertical="center"/>
    </xf>
    <xf numFmtId="43" fontId="110" fillId="59" borderId="144" xfId="43199" applyFont="1" applyFill="1" applyBorder="1" applyAlignment="1">
      <alignment horizontal="right" vertical="center"/>
    </xf>
    <xf numFmtId="0" fontId="243" fillId="0" borderId="176" xfId="907" applyFont="1" applyBorder="1" applyAlignment="1">
      <alignment horizontal="left"/>
    </xf>
    <xf numFmtId="169" fontId="110" fillId="59" borderId="144" xfId="43199" applyNumberFormat="1" applyFont="1" applyFill="1" applyBorder="1" applyAlignment="1">
      <alignment horizontal="right"/>
    </xf>
    <xf numFmtId="9" fontId="38" fillId="38" borderId="144" xfId="1823" applyFont="1" applyFill="1" applyBorder="1" applyAlignment="1">
      <alignment vertical="center" wrapText="1"/>
    </xf>
    <xf numFmtId="167" fontId="110" fillId="59" borderId="144" xfId="863" applyFont="1" applyFill="1" applyBorder="1" applyAlignment="1">
      <alignment vertical="center"/>
    </xf>
    <xf numFmtId="9" fontId="250" fillId="42" borderId="144" xfId="1823" applyFont="1" applyFill="1" applyBorder="1" applyAlignment="1">
      <alignment horizontal="left" vertical="center" wrapText="1"/>
    </xf>
    <xf numFmtId="43" fontId="250" fillId="42" borderId="144" xfId="43199" applyFont="1" applyFill="1" applyBorder="1" applyAlignment="1">
      <alignment horizontal="center" vertical="center" wrapText="1"/>
    </xf>
    <xf numFmtId="261" fontId="250" fillId="42" borderId="144" xfId="1823" applyNumberFormat="1" applyFont="1" applyFill="1" applyBorder="1" applyAlignment="1">
      <alignment horizontal="center" vertical="center" wrapText="1"/>
    </xf>
    <xf numFmtId="261" fontId="250" fillId="42" borderId="144" xfId="1823" applyNumberFormat="1" applyFont="1" applyFill="1" applyBorder="1" applyAlignment="1">
      <alignment horizontal="left" vertical="center" wrapText="1"/>
    </xf>
    <xf numFmtId="37" fontId="250" fillId="42" borderId="144" xfId="905" quotePrefix="1" applyNumberFormat="1" applyFont="1" applyFill="1" applyBorder="1" applyAlignment="1">
      <alignment horizontal="left"/>
    </xf>
    <xf numFmtId="43" fontId="250" fillId="42" borderId="144" xfId="43199" applyFont="1" applyFill="1" applyBorder="1" applyAlignment="1">
      <alignment horizontal="center"/>
    </xf>
    <xf numFmtId="261" fontId="250" fillId="42" borderId="144" xfId="1823" applyNumberFormat="1" applyFont="1" applyFill="1" applyBorder="1" applyAlignment="1">
      <alignment horizontal="center"/>
    </xf>
    <xf numFmtId="0" fontId="251" fillId="59" borderId="144" xfId="905" applyFont="1" applyFill="1" applyBorder="1" applyAlignment="1">
      <alignment horizontal="left"/>
    </xf>
    <xf numFmtId="261" fontId="251" fillId="59" borderId="144" xfId="905" applyNumberFormat="1" applyFont="1" applyFill="1" applyBorder="1" applyAlignment="1">
      <alignment horizontal="left"/>
    </xf>
    <xf numFmtId="261" fontId="251" fillId="59" borderId="144" xfId="847" applyNumberFormat="1" applyFont="1" applyFill="1" applyBorder="1" applyAlignment="1">
      <alignment horizontal="center"/>
    </xf>
    <xf numFmtId="9" fontId="251" fillId="42" borderId="144" xfId="1823" applyFont="1" applyFill="1" applyBorder="1" applyAlignment="1">
      <alignment horizontal="left" vertical="center" wrapText="1"/>
    </xf>
    <xf numFmtId="261" fontId="251" fillId="42" borderId="144" xfId="1823" applyNumberFormat="1" applyFont="1" applyFill="1" applyBorder="1" applyAlignment="1">
      <alignment horizontal="center" vertical="center" wrapText="1"/>
    </xf>
    <xf numFmtId="43" fontId="251" fillId="59" borderId="144" xfId="905" applyNumberFormat="1" applyFont="1" applyFill="1" applyBorder="1" applyAlignment="1">
      <alignment horizontal="left"/>
    </xf>
    <xf numFmtId="261" fontId="251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1" fontId="316" fillId="55" borderId="144" xfId="1823" applyNumberFormat="1" applyFont="1" applyFill="1" applyBorder="1" applyAlignment="1">
      <alignment horizontal="center" vertical="center" wrapText="1"/>
    </xf>
    <xf numFmtId="261" fontId="251" fillId="59" borderId="144" xfId="905" applyNumberFormat="1" applyFont="1" applyFill="1" applyBorder="1" applyAlignment="1">
      <alignment horizontal="center" vertical="center" wrapText="1"/>
    </xf>
    <xf numFmtId="0" fontId="251" fillId="59" borderId="144" xfId="905" applyFont="1" applyFill="1" applyBorder="1" applyAlignment="1">
      <alignment wrapText="1"/>
    </xf>
    <xf numFmtId="10" fontId="251" fillId="59" borderId="144" xfId="847" applyNumberFormat="1" applyFont="1" applyFill="1" applyBorder="1" applyAlignment="1">
      <alignment horizontal="center" vertical="center" wrapText="1"/>
    </xf>
    <xf numFmtId="260" fontId="251" fillId="59" borderId="144" xfId="905" applyNumberFormat="1" applyFont="1" applyFill="1" applyBorder="1" applyAlignment="1">
      <alignment horizontal="center" vertical="center" wrapText="1"/>
    </xf>
    <xf numFmtId="171" fontId="251" fillId="59" borderId="144" xfId="43199" applyNumberFormat="1" applyFont="1" applyFill="1" applyBorder="1" applyAlignment="1">
      <alignment vertical="center"/>
    </xf>
    <xf numFmtId="167" fontId="251" fillId="59" borderId="144" xfId="863" applyFont="1" applyFill="1" applyBorder="1" applyAlignment="1">
      <alignment vertical="center"/>
    </xf>
    <xf numFmtId="171" fontId="110" fillId="59" borderId="144" xfId="43199" applyNumberFormat="1" applyFont="1" applyFill="1" applyBorder="1" applyAlignment="1">
      <alignment vertical="center"/>
    </xf>
    <xf numFmtId="0" fontId="117" fillId="101" borderId="185" xfId="2697" applyFont="1" applyFill="1" applyBorder="1" applyAlignment="1">
      <alignment horizontal="center" vertical="center" wrapText="1"/>
    </xf>
    <xf numFmtId="0" fontId="146" fillId="0" borderId="187" xfId="2697" applyFont="1" applyBorder="1" applyAlignment="1">
      <alignment horizontal="center" vertical="center" wrapText="1"/>
    </xf>
    <xf numFmtId="0" fontId="146" fillId="0" borderId="188" xfId="2697" applyFont="1" applyBorder="1" applyAlignment="1">
      <alignment horizontal="center" vertical="center" wrapText="1"/>
    </xf>
    <xf numFmtId="0" fontId="146" fillId="0" borderId="187" xfId="2697" applyFont="1" applyBorder="1" applyAlignment="1">
      <alignment vertical="center"/>
    </xf>
    <xf numFmtId="4" fontId="146" fillId="0" borderId="187" xfId="43199" applyNumberFormat="1" applyFont="1" applyBorder="1" applyAlignment="1">
      <alignment horizontal="right" vertical="center" wrapText="1"/>
    </xf>
    <xf numFmtId="4" fontId="146" fillId="0" borderId="188" xfId="43199" applyNumberFormat="1" applyFont="1" applyBorder="1" applyAlignment="1">
      <alignment horizontal="right" vertical="center" wrapText="1"/>
    </xf>
    <xf numFmtId="0" fontId="146" fillId="41" borderId="187" xfId="907" applyFont="1" applyFill="1" applyBorder="1"/>
    <xf numFmtId="0" fontId="143" fillId="43" borderId="164" xfId="43405" applyFont="1" applyFill="1" applyBorder="1" applyAlignment="1">
      <alignment horizontal="left" wrapText="1"/>
    </xf>
    <xf numFmtId="10" fontId="143" fillId="43" borderId="164" xfId="847" applyNumberFormat="1" applyFont="1" applyFill="1" applyBorder="1" applyAlignment="1">
      <alignment horizontal="right"/>
    </xf>
    <xf numFmtId="0" fontId="244" fillId="0" borderId="176" xfId="43405" applyFont="1" applyBorder="1"/>
    <xf numFmtId="10" fontId="244" fillId="0" borderId="176" xfId="847" applyNumberFormat="1" applyFont="1" applyFill="1" applyBorder="1"/>
    <xf numFmtId="173" fontId="211" fillId="0" borderId="176" xfId="0" applyNumberFormat="1" applyFont="1" applyBorder="1" applyAlignment="1">
      <alignment horizontal="right"/>
    </xf>
    <xf numFmtId="10" fontId="211" fillId="0" borderId="176" xfId="0" applyNumberFormat="1" applyFont="1" applyBorder="1" applyAlignment="1">
      <alignment horizontal="left"/>
    </xf>
    <xf numFmtId="0" fontId="208" fillId="58" borderId="189" xfId="834" applyFont="1" applyFill="1" applyBorder="1" applyAlignment="1" applyProtection="1">
      <alignment horizontal="left" vertical="center"/>
    </xf>
    <xf numFmtId="0" fontId="208" fillId="58" borderId="190" xfId="834" applyFont="1" applyFill="1" applyBorder="1" applyAlignment="1" applyProtection="1">
      <alignment horizontal="left" vertical="center"/>
    </xf>
    <xf numFmtId="4" fontId="208" fillId="58" borderId="189" xfId="834" applyNumberFormat="1" applyFont="1" applyFill="1" applyBorder="1" applyAlignment="1" applyProtection="1">
      <alignment horizontal="left" vertical="center"/>
    </xf>
    <xf numFmtId="0" fontId="212" fillId="43" borderId="186" xfId="0" applyFont="1" applyFill="1" applyBorder="1" applyAlignment="1">
      <alignment horizontal="center"/>
    </xf>
    <xf numFmtId="0" fontId="208" fillId="41" borderId="186" xfId="0" applyFont="1" applyFill="1" applyBorder="1" applyAlignment="1" applyProtection="1">
      <alignment horizontal="left"/>
      <protection hidden="1"/>
    </xf>
    <xf numFmtId="169" fontId="208" fillId="41" borderId="186" xfId="43183" applyNumberFormat="1" applyFont="1" applyFill="1" applyBorder="1" applyAlignment="1" applyProtection="1">
      <alignment horizontal="center" vertical="center"/>
    </xf>
    <xf numFmtId="164" fontId="208" fillId="41" borderId="186" xfId="43184" applyFont="1" applyFill="1" applyBorder="1" applyAlignment="1" applyProtection="1">
      <alignment horizontal="center" vertical="center"/>
    </xf>
    <xf numFmtId="0" fontId="229" fillId="0" borderId="176" xfId="2697" applyFont="1" applyBorder="1"/>
    <xf numFmtId="10" fontId="205" fillId="0" borderId="176" xfId="847" applyNumberFormat="1" applyFont="1" applyFill="1" applyBorder="1"/>
    <xf numFmtId="0" fontId="230" fillId="0" borderId="176" xfId="2697" applyFont="1" applyBorder="1"/>
    <xf numFmtId="10" fontId="208" fillId="0" borderId="176" xfId="2697" applyNumberFormat="1" applyFont="1" applyBorder="1"/>
    <xf numFmtId="0" fontId="205" fillId="41" borderId="176" xfId="2697" applyFont="1" applyFill="1" applyBorder="1"/>
    <xf numFmtId="43" fontId="43" fillId="0" borderId="176" xfId="43185" applyFont="1" applyFill="1" applyBorder="1" applyAlignment="1" applyProtection="1">
      <alignment horizontal="right"/>
      <protection locked="0"/>
    </xf>
    <xf numFmtId="166" fontId="205" fillId="41" borderId="176" xfId="815" applyFont="1" applyFill="1" applyBorder="1"/>
    <xf numFmtId="167" fontId="208" fillId="41" borderId="186" xfId="43185" applyNumberFormat="1" applyFont="1" applyFill="1" applyBorder="1" applyAlignment="1" applyProtection="1">
      <alignment horizontal="right"/>
      <protection locked="0"/>
    </xf>
    <xf numFmtId="164" fontId="208" fillId="41" borderId="186" xfId="43184" applyFont="1" applyFill="1" applyBorder="1" applyAlignment="1" applyProtection="1">
      <alignment horizontal="right"/>
      <protection locked="0"/>
    </xf>
    <xf numFmtId="0" fontId="208" fillId="97" borderId="186" xfId="2697" applyFont="1" applyFill="1" applyBorder="1"/>
    <xf numFmtId="166" fontId="208" fillId="97" borderId="186" xfId="2697" applyNumberFormat="1" applyFont="1" applyFill="1" applyBorder="1"/>
    <xf numFmtId="0" fontId="230" fillId="0" borderId="186" xfId="2697" applyFont="1" applyBorder="1"/>
    <xf numFmtId="169" fontId="205" fillId="0" borderId="186" xfId="43183" applyNumberFormat="1" applyFont="1" applyFill="1" applyBorder="1" applyAlignment="1">
      <alignment vertical="center" wrapText="1"/>
    </xf>
    <xf numFmtId="169" fontId="208" fillId="41" borderId="186" xfId="43183" applyNumberFormat="1" applyFont="1" applyFill="1" applyBorder="1" applyAlignment="1" applyProtection="1">
      <alignment vertical="center"/>
    </xf>
    <xf numFmtId="164" fontId="208" fillId="0" borderId="186" xfId="43184" applyFont="1" applyFill="1" applyBorder="1" applyAlignment="1" applyProtection="1">
      <alignment vertical="center"/>
    </xf>
    <xf numFmtId="0" fontId="208" fillId="97" borderId="186" xfId="0" applyFont="1" applyFill="1" applyBorder="1" applyAlignment="1" applyProtection="1">
      <alignment horizontal="left"/>
      <protection hidden="1"/>
    </xf>
    <xf numFmtId="43" fontId="208" fillId="97" borderId="186" xfId="43183" applyFont="1" applyFill="1" applyBorder="1" applyAlignment="1" applyProtection="1">
      <alignment vertical="center"/>
    </xf>
    <xf numFmtId="164" fontId="208" fillId="97" borderId="186" xfId="43184" applyFont="1" applyFill="1" applyBorder="1" applyAlignment="1" applyProtection="1">
      <alignment vertical="center"/>
    </xf>
    <xf numFmtId="0" fontId="110" fillId="58" borderId="188" xfId="834" applyFont="1" applyFill="1" applyBorder="1" applyAlignment="1" applyProtection="1">
      <alignment horizontal="left" vertical="center"/>
    </xf>
    <xf numFmtId="0" fontId="110" fillId="58" borderId="192" xfId="834" applyFont="1" applyFill="1" applyBorder="1" applyAlignment="1" applyProtection="1">
      <alignment horizontal="left" vertical="center"/>
    </xf>
    <xf numFmtId="0" fontId="110" fillId="56" borderId="188" xfId="834" applyFont="1" applyFill="1" applyBorder="1" applyAlignment="1" applyProtection="1">
      <alignment horizontal="left" vertical="center"/>
    </xf>
    <xf numFmtId="0" fontId="110" fillId="56" borderId="192" xfId="834" applyFont="1" applyFill="1" applyBorder="1" applyAlignment="1" applyProtection="1">
      <alignment horizontal="left" vertical="center"/>
    </xf>
    <xf numFmtId="0" fontId="208" fillId="0" borderId="186" xfId="2697" applyFont="1" applyBorder="1" applyAlignment="1">
      <alignment horizontal="left"/>
    </xf>
    <xf numFmtId="164" fontId="208" fillId="0" borderId="186" xfId="2697" applyNumberFormat="1" applyFont="1" applyBorder="1"/>
    <xf numFmtId="167" fontId="205" fillId="0" borderId="193" xfId="863" applyFont="1" applyBorder="1"/>
    <xf numFmtId="167" fontId="205" fillId="0" borderId="187" xfId="863" applyFont="1" applyBorder="1"/>
    <xf numFmtId="0" fontId="205" fillId="97" borderId="176" xfId="0" applyFont="1" applyFill="1" applyBorder="1" applyAlignment="1" applyProtection="1">
      <alignment horizontal="left"/>
      <protection hidden="1"/>
    </xf>
    <xf numFmtId="164" fontId="205" fillId="0" borderId="176" xfId="43184" applyFont="1" applyBorder="1"/>
    <xf numFmtId="14" fontId="110" fillId="56" borderId="192" xfId="834" applyNumberFormat="1" applyFont="1" applyFill="1" applyBorder="1" applyAlignment="1" applyProtection="1">
      <alignment horizontal="left" vertical="center"/>
    </xf>
    <xf numFmtId="0" fontId="217" fillId="43" borderId="186" xfId="0" applyFont="1" applyFill="1" applyBorder="1" applyAlignment="1">
      <alignment horizontal="center"/>
    </xf>
    <xf numFmtId="0" fontId="213" fillId="59" borderId="186" xfId="907" applyFont="1" applyFill="1" applyBorder="1"/>
    <xf numFmtId="218" fontId="213" fillId="59" borderId="186" xfId="863" applyNumberFormat="1" applyFont="1" applyFill="1" applyBorder="1"/>
    <xf numFmtId="0" fontId="205" fillId="0" borderId="186" xfId="907" applyFont="1" applyBorder="1" applyAlignment="1">
      <alignment horizontal="left" indent="1"/>
    </xf>
    <xf numFmtId="218" fontId="218" fillId="41" borderId="186" xfId="863" applyNumberFormat="1" applyFont="1" applyFill="1" applyBorder="1"/>
    <xf numFmtId="167" fontId="205" fillId="0" borderId="176" xfId="863" applyFont="1" applyBorder="1"/>
    <xf numFmtId="0" fontId="210" fillId="43" borderId="176" xfId="0" applyFont="1" applyFill="1" applyBorder="1"/>
    <xf numFmtId="0" fontId="210" fillId="43" borderId="176" xfId="0" applyFont="1" applyFill="1" applyBorder="1" applyAlignment="1">
      <alignment horizontal="center"/>
    </xf>
    <xf numFmtId="0" fontId="208" fillId="0" borderId="176" xfId="907" applyFont="1" applyBorder="1"/>
    <xf numFmtId="213" fontId="208" fillId="0" borderId="176" xfId="0" applyNumberFormat="1" applyFont="1" applyBorder="1"/>
    <xf numFmtId="167" fontId="205" fillId="100" borderId="176" xfId="863" applyFont="1" applyFill="1" applyBorder="1"/>
    <xf numFmtId="0" fontId="208" fillId="59" borderId="186" xfId="907" applyFont="1" applyFill="1" applyBorder="1"/>
    <xf numFmtId="169" fontId="208" fillId="59" borderId="186" xfId="907" applyNumberFormat="1" applyFont="1" applyFill="1" applyBorder="1"/>
    <xf numFmtId="167" fontId="208" fillId="59" borderId="186" xfId="863" applyFont="1" applyFill="1" applyBorder="1"/>
    <xf numFmtId="166" fontId="208" fillId="59" borderId="186" xfId="907" applyNumberFormat="1" applyFont="1" applyFill="1" applyBorder="1"/>
    <xf numFmtId="0" fontId="217" fillId="43" borderId="186" xfId="0" applyFont="1" applyFill="1" applyBorder="1" applyAlignment="1">
      <alignment horizontal="center" vertical="center" wrapText="1"/>
    </xf>
    <xf numFmtId="0" fontId="297" fillId="43" borderId="189" xfId="907" applyFont="1" applyFill="1" applyBorder="1"/>
    <xf numFmtId="0" fontId="297" fillId="43" borderId="190" xfId="907" applyFont="1" applyFill="1" applyBorder="1"/>
    <xf numFmtId="0" fontId="294" fillId="43" borderId="188" xfId="907" applyFont="1" applyFill="1" applyBorder="1"/>
    <xf numFmtId="0" fontId="294" fillId="43" borderId="186" xfId="907" applyFont="1" applyFill="1" applyBorder="1"/>
    <xf numFmtId="0" fontId="294" fillId="43" borderId="187" xfId="907" applyFont="1" applyFill="1" applyBorder="1"/>
    <xf numFmtId="0" fontId="208" fillId="97" borderId="186" xfId="0" applyFont="1" applyFill="1" applyBorder="1"/>
    <xf numFmtId="0" fontId="298" fillId="97" borderId="186" xfId="0" applyFont="1" applyFill="1" applyBorder="1"/>
    <xf numFmtId="0" fontId="216" fillId="97" borderId="186" xfId="0" applyFont="1" applyFill="1" applyBorder="1"/>
    <xf numFmtId="167" fontId="208" fillId="97" borderId="186" xfId="0" applyNumberFormat="1" applyFont="1" applyFill="1" applyBorder="1"/>
    <xf numFmtId="271" fontId="208" fillId="97" borderId="186" xfId="863" applyNumberFormat="1" applyFont="1" applyFill="1" applyBorder="1"/>
    <xf numFmtId="43" fontId="208" fillId="97" borderId="186" xfId="0" applyNumberFormat="1" applyFont="1" applyFill="1" applyBorder="1"/>
    <xf numFmtId="0" fontId="294" fillId="43" borderId="188" xfId="907" applyFont="1" applyFill="1" applyBorder="1" applyAlignment="1">
      <alignment vertical="center"/>
    </xf>
    <xf numFmtId="0" fontId="294" fillId="43" borderId="186" xfId="907" applyFont="1" applyFill="1" applyBorder="1" applyAlignment="1">
      <alignment horizontal="center" vertical="center"/>
    </xf>
    <xf numFmtId="0" fontId="294" fillId="43" borderId="187" xfId="907" applyFont="1" applyFill="1" applyBorder="1" applyAlignment="1">
      <alignment vertical="center"/>
    </xf>
    <xf numFmtId="0" fontId="294" fillId="43" borderId="186" xfId="907" applyFont="1" applyFill="1" applyBorder="1" applyAlignment="1">
      <alignment vertical="center"/>
    </xf>
    <xf numFmtId="0" fontId="294" fillId="120" borderId="189" xfId="907" applyFont="1" applyFill="1" applyBorder="1"/>
    <xf numFmtId="0" fontId="294" fillId="120" borderId="190" xfId="907" applyFont="1" applyFill="1" applyBorder="1" applyAlignment="1">
      <alignment horizontal="center"/>
    </xf>
    <xf numFmtId="0" fontId="295" fillId="0" borderId="189" xfId="907" applyFont="1" applyBorder="1"/>
    <xf numFmtId="43" fontId="295" fillId="0" borderId="190" xfId="43408" applyFont="1" applyFill="1" applyBorder="1"/>
    <xf numFmtId="218" fontId="295" fillId="121" borderId="186" xfId="43408" applyNumberFormat="1" applyFont="1" applyFill="1" applyBorder="1"/>
    <xf numFmtId="43" fontId="296" fillId="121" borderId="186" xfId="43408" applyFont="1" applyFill="1" applyBorder="1"/>
    <xf numFmtId="166" fontId="296" fillId="121" borderId="192" xfId="815" applyFont="1" applyFill="1" applyBorder="1"/>
    <xf numFmtId="0" fontId="238" fillId="0" borderId="176" xfId="907" applyFont="1" applyBorder="1" applyAlignment="1">
      <alignment horizontal="left"/>
    </xf>
    <xf numFmtId="0" fontId="233" fillId="33" borderId="176" xfId="829" applyFont="1" applyFill="1" applyBorder="1"/>
    <xf numFmtId="0" fontId="205" fillId="33" borderId="176" xfId="831" applyFont="1" applyFill="1" applyBorder="1" applyAlignment="1">
      <alignment vertical="center"/>
    </xf>
    <xf numFmtId="169" fontId="205" fillId="33" borderId="176" xfId="863" applyNumberFormat="1" applyFont="1" applyFill="1" applyBorder="1" applyAlignment="1">
      <alignment vertical="center"/>
    </xf>
    <xf numFmtId="10" fontId="211" fillId="0" borderId="176" xfId="0" applyNumberFormat="1" applyFont="1" applyBorder="1" applyAlignment="1">
      <alignment horizontal="center"/>
    </xf>
    <xf numFmtId="0" fontId="223" fillId="33" borderId="194" xfId="831" applyFont="1" applyFill="1" applyBorder="1" applyAlignment="1">
      <alignment horizontal="left" vertical="center"/>
    </xf>
    <xf numFmtId="0" fontId="212" fillId="43" borderId="186" xfId="0" applyFont="1" applyFill="1" applyBorder="1" applyAlignment="1">
      <alignment horizontal="center" vertical="center" wrapText="1"/>
    </xf>
    <xf numFmtId="0" fontId="205" fillId="0" borderId="176" xfId="831" applyFont="1" applyBorder="1" applyAlignment="1">
      <alignment vertical="center"/>
    </xf>
    <xf numFmtId="167" fontId="205" fillId="33" borderId="176" xfId="863" applyFont="1" applyFill="1" applyBorder="1" applyAlignment="1" applyProtection="1">
      <alignment horizontal="center" vertical="center"/>
      <protection locked="0"/>
    </xf>
    <xf numFmtId="0" fontId="207" fillId="38" borderId="188" xfId="905" applyFont="1" applyFill="1" applyBorder="1" applyAlignment="1">
      <alignment horizontal="center" vertical="center"/>
    </xf>
    <xf numFmtId="0" fontId="207" fillId="38" borderId="186" xfId="905" applyFont="1" applyFill="1" applyBorder="1" applyAlignment="1">
      <alignment vertical="center"/>
    </xf>
    <xf numFmtId="0" fontId="207" fillId="38" borderId="192" xfId="905" applyFont="1" applyFill="1" applyBorder="1" applyAlignment="1">
      <alignment vertical="center"/>
    </xf>
    <xf numFmtId="175" fontId="205" fillId="0" borderId="187" xfId="863" applyNumberFormat="1" applyFont="1" applyFill="1" applyBorder="1" applyAlignment="1">
      <alignment vertical="center"/>
    </xf>
    <xf numFmtId="167" fontId="208" fillId="33" borderId="187" xfId="831" applyNumberFormat="1" applyFont="1" applyFill="1" applyBorder="1" applyAlignment="1">
      <alignment vertical="center"/>
    </xf>
    <xf numFmtId="167" fontId="208" fillId="33" borderId="187" xfId="863" applyFont="1" applyFill="1" applyBorder="1" applyAlignment="1">
      <alignment vertical="center"/>
    </xf>
    <xf numFmtId="167" fontId="212" fillId="0" borderId="176" xfId="863" applyFont="1" applyFill="1" applyBorder="1" applyAlignment="1">
      <alignment horizontal="center" vertical="center"/>
    </xf>
    <xf numFmtId="17" fontId="207" fillId="38" borderId="187" xfId="905" applyNumberFormat="1" applyFont="1" applyFill="1" applyBorder="1" applyAlignment="1">
      <alignment horizontal="center" vertical="center"/>
    </xf>
    <xf numFmtId="0" fontId="33" fillId="33" borderId="187" xfId="907" applyFont="1" applyFill="1" applyBorder="1" applyAlignment="1">
      <alignment horizontal="center" vertical="center"/>
    </xf>
    <xf numFmtId="4" fontId="208" fillId="33" borderId="187" xfId="831" applyNumberFormat="1" applyFont="1" applyFill="1" applyBorder="1" applyAlignment="1">
      <alignment horizontal="right" vertical="center"/>
    </xf>
    <xf numFmtId="4" fontId="205" fillId="33" borderId="187" xfId="863" applyNumberFormat="1" applyFont="1" applyFill="1" applyBorder="1" applyAlignment="1">
      <alignment horizontal="right" vertical="center"/>
    </xf>
    <xf numFmtId="17" fontId="39" fillId="38" borderId="187" xfId="905" applyNumberFormat="1" applyFont="1" applyFill="1" applyBorder="1" applyAlignment="1">
      <alignment horizontal="center" vertical="center"/>
    </xf>
    <xf numFmtId="17" fontId="39" fillId="38" borderId="187" xfId="905" applyNumberFormat="1" applyFont="1" applyFill="1" applyBorder="1" applyAlignment="1">
      <alignment horizontal="center" vertical="center" wrapText="1"/>
    </xf>
    <xf numFmtId="175" fontId="33" fillId="0" borderId="187" xfId="907" applyNumberFormat="1" applyFont="1" applyBorder="1" applyAlignment="1">
      <alignment horizontal="center" vertical="center"/>
    </xf>
    <xf numFmtId="170" fontId="30" fillId="0" borderId="193" xfId="907" applyNumberFormat="1" applyBorder="1" applyAlignment="1">
      <alignment horizontal="center"/>
    </xf>
    <xf numFmtId="167" fontId="0" fillId="9" borderId="193" xfId="863" applyFont="1" applyFill="1" applyBorder="1"/>
    <xf numFmtId="167" fontId="30" fillId="0" borderId="193" xfId="863" applyBorder="1"/>
    <xf numFmtId="17" fontId="38" fillId="38" borderId="192" xfId="905" applyNumberFormat="1" applyFont="1" applyFill="1" applyBorder="1" applyAlignment="1">
      <alignment horizontal="center" vertical="center" wrapText="1"/>
    </xf>
    <xf numFmtId="17" fontId="38" fillId="38" borderId="187" xfId="905" applyNumberFormat="1" applyFont="1" applyFill="1" applyBorder="1" applyAlignment="1">
      <alignment horizontal="center" vertical="center" wrapText="1"/>
    </xf>
    <xf numFmtId="0" fontId="30" fillId="0" borderId="187" xfId="907" applyBorder="1"/>
    <xf numFmtId="167" fontId="30" fillId="0" borderId="187" xfId="863" applyFont="1" applyFill="1" applyBorder="1" applyAlignment="1"/>
    <xf numFmtId="0" fontId="33" fillId="0" borderId="187" xfId="907" applyFont="1" applyBorder="1" applyAlignment="1">
      <alignment horizontal="center" vertical="center"/>
    </xf>
    <xf numFmtId="0" fontId="208" fillId="97" borderId="186" xfId="831" applyFont="1" applyFill="1" applyBorder="1" applyAlignment="1">
      <alignment horizontal="center"/>
    </xf>
    <xf numFmtId="4" fontId="208" fillId="97" borderId="186" xfId="831" applyNumberFormat="1" applyFont="1" applyFill="1" applyBorder="1" applyAlignment="1">
      <alignment horizontal="right"/>
    </xf>
    <xf numFmtId="169" fontId="208" fillId="97" borderId="186" xfId="863" applyNumberFormat="1" applyFont="1" applyFill="1" applyBorder="1" applyAlignment="1">
      <alignment horizontal="right"/>
    </xf>
    <xf numFmtId="0" fontId="205" fillId="33" borderId="186" xfId="831" applyFont="1" applyFill="1" applyBorder="1" applyAlignment="1">
      <alignment vertical="center"/>
    </xf>
    <xf numFmtId="169" fontId="208" fillId="97" borderId="186" xfId="863" applyNumberFormat="1" applyFont="1" applyFill="1" applyBorder="1" applyAlignment="1">
      <alignment horizontal="center"/>
    </xf>
    <xf numFmtId="4" fontId="208" fillId="0" borderId="186" xfId="831" applyNumberFormat="1" applyFont="1" applyBorder="1" applyAlignment="1">
      <alignment vertical="center"/>
    </xf>
    <xf numFmtId="14" fontId="208" fillId="42" borderId="186" xfId="863" applyNumberFormat="1" applyFont="1" applyFill="1" applyBorder="1" applyAlignment="1">
      <alignment horizontal="center" vertical="top" wrapText="1"/>
    </xf>
    <xf numFmtId="215" fontId="208" fillId="97" borderId="186" xfId="863" applyNumberFormat="1" applyFont="1" applyFill="1" applyBorder="1" applyAlignment="1">
      <alignment horizontal="center"/>
    </xf>
    <xf numFmtId="0" fontId="239" fillId="33" borderId="176" xfId="829" applyFont="1" applyFill="1" applyBorder="1"/>
    <xf numFmtId="0" fontId="0" fillId="0" borderId="176" xfId="0" applyBorder="1"/>
    <xf numFmtId="0" fontId="212" fillId="43" borderId="186" xfId="0" applyFont="1" applyFill="1" applyBorder="1"/>
    <xf numFmtId="166" fontId="208" fillId="0" borderId="186" xfId="815" applyFont="1" applyBorder="1"/>
    <xf numFmtId="10" fontId="205" fillId="44" borderId="186" xfId="847" applyNumberFormat="1" applyFont="1" applyFill="1" applyBorder="1" applyAlignment="1">
      <alignment horizontal="right"/>
    </xf>
    <xf numFmtId="10" fontId="205" fillId="45" borderId="186" xfId="847" applyNumberFormat="1" applyFont="1" applyFill="1" applyBorder="1" applyAlignment="1">
      <alignment horizontal="right"/>
    </xf>
    <xf numFmtId="0" fontId="236" fillId="43" borderId="186" xfId="0" applyFont="1" applyFill="1" applyBorder="1" applyAlignment="1">
      <alignment horizontal="center" vertical="center" wrapText="1"/>
    </xf>
    <xf numFmtId="167" fontId="205" fillId="54" borderId="176" xfId="903" applyFont="1" applyFill="1" applyBorder="1" applyAlignment="1">
      <alignment horizontal="left" vertical="top" wrapText="1"/>
    </xf>
    <xf numFmtId="275" fontId="205" fillId="111" borderId="176" xfId="863" applyNumberFormat="1" applyFont="1" applyFill="1" applyBorder="1" applyAlignment="1">
      <alignment horizontal="right"/>
    </xf>
    <xf numFmtId="0" fontId="208" fillId="0" borderId="186" xfId="0" applyFont="1" applyBorder="1"/>
    <xf numFmtId="166" fontId="208" fillId="0" borderId="186" xfId="0" applyNumberFormat="1" applyFont="1" applyBorder="1"/>
    <xf numFmtId="167" fontId="43" fillId="41" borderId="176" xfId="903" applyFont="1" applyFill="1" applyBorder="1" applyAlignment="1">
      <alignment horizontal="left" vertical="top" wrapText="1"/>
    </xf>
    <xf numFmtId="167" fontId="43" fillId="41" borderId="176" xfId="863" applyFont="1" applyFill="1" applyBorder="1" applyAlignment="1">
      <alignment horizontal="right"/>
    </xf>
    <xf numFmtId="167" fontId="205" fillId="41" borderId="176" xfId="903" applyFont="1" applyFill="1" applyBorder="1" applyAlignment="1">
      <alignment horizontal="left" vertical="top" wrapText="1"/>
    </xf>
    <xf numFmtId="166" fontId="205" fillId="41" borderId="176" xfId="815" applyFont="1" applyFill="1" applyBorder="1" applyAlignment="1">
      <alignment horizontal="right"/>
    </xf>
    <xf numFmtId="167" fontId="110" fillId="41" borderId="176" xfId="903" applyFont="1" applyFill="1" applyBorder="1" applyAlignment="1">
      <alignment horizontal="left" vertical="top" wrapText="1"/>
    </xf>
    <xf numFmtId="166" fontId="110" fillId="41" borderId="176" xfId="815" applyFont="1" applyFill="1" applyBorder="1" applyAlignment="1">
      <alignment horizontal="right"/>
    </xf>
    <xf numFmtId="0" fontId="205" fillId="0" borderId="176" xfId="0" applyFont="1" applyBorder="1" applyAlignment="1">
      <alignment horizontal="left"/>
    </xf>
    <xf numFmtId="166" fontId="205" fillId="111" borderId="176" xfId="815" applyFont="1" applyFill="1" applyBorder="1"/>
    <xf numFmtId="166" fontId="205" fillId="0" borderId="176" xfId="815" applyFont="1" applyFill="1" applyBorder="1"/>
    <xf numFmtId="0" fontId="205" fillId="0" borderId="186" xfId="0" applyFont="1" applyBorder="1"/>
    <xf numFmtId="4" fontId="205" fillId="0" borderId="186" xfId="0" applyNumberFormat="1" applyFont="1" applyBorder="1"/>
    <xf numFmtId="43" fontId="205" fillId="0" borderId="176" xfId="0" applyNumberFormat="1" applyFont="1" applyBorder="1"/>
    <xf numFmtId="166" fontId="205" fillId="0" borderId="176" xfId="0" applyNumberFormat="1" applyFont="1" applyBorder="1"/>
    <xf numFmtId="164" fontId="205" fillId="0" borderId="176" xfId="0" applyNumberFormat="1" applyFont="1" applyBorder="1"/>
    <xf numFmtId="10" fontId="233" fillId="0" borderId="176" xfId="0" applyNumberFormat="1" applyFont="1" applyBorder="1" applyAlignment="1">
      <alignment horizontal="left"/>
    </xf>
    <xf numFmtId="0" fontId="205" fillId="33" borderId="176" xfId="829" applyFont="1" applyFill="1" applyBorder="1" applyAlignment="1">
      <alignment horizontal="center"/>
    </xf>
    <xf numFmtId="0" fontId="286" fillId="43" borderId="176" xfId="832" applyFont="1" applyFill="1" applyBorder="1" applyAlignment="1">
      <alignment horizontal="center"/>
    </xf>
    <xf numFmtId="166" fontId="282" fillId="0" borderId="176" xfId="815" applyFont="1" applyFill="1" applyBorder="1"/>
    <xf numFmtId="4" fontId="110" fillId="0" borderId="186" xfId="43199" applyNumberFormat="1" applyFont="1" applyFill="1" applyBorder="1" applyAlignment="1">
      <alignment vertical="center"/>
    </xf>
    <xf numFmtId="0" fontId="287" fillId="43" borderId="189" xfId="0" applyFont="1" applyFill="1" applyBorder="1"/>
    <xf numFmtId="10" fontId="282" fillId="0" borderId="190" xfId="847" applyNumberFormat="1" applyFont="1" applyFill="1" applyBorder="1" applyAlignment="1">
      <alignment horizontal="center"/>
    </xf>
    <xf numFmtId="0" fontId="287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5" fillId="0" borderId="187" xfId="0" applyFont="1" applyBorder="1"/>
    <xf numFmtId="169" fontId="283" fillId="0" borderId="0" xfId="863" applyNumberFormat="1" applyFont="1" applyBorder="1" applyAlignment="1">
      <alignment vertical="center"/>
    </xf>
    <xf numFmtId="0" fontId="251" fillId="58" borderId="189" xfId="834" applyFont="1" applyFill="1" applyBorder="1" applyAlignment="1" applyProtection="1">
      <alignment horizontal="left" vertical="center"/>
    </xf>
    <xf numFmtId="0" fontId="250" fillId="0" borderId="193" xfId="43437" quotePrefix="1" applyFont="1" applyBorder="1" applyAlignment="1">
      <alignment horizontal="left" vertical="center"/>
    </xf>
    <xf numFmtId="169" fontId="312" fillId="42" borderId="193" xfId="863" applyNumberFormat="1" applyFont="1" applyFill="1" applyBorder="1" applyAlignment="1">
      <alignment vertical="center"/>
    </xf>
    <xf numFmtId="169" fontId="250" fillId="42" borderId="193" xfId="863" applyNumberFormat="1" applyFont="1" applyFill="1" applyBorder="1" applyAlignment="1">
      <alignment vertical="center"/>
    </xf>
    <xf numFmtId="0" fontId="260" fillId="101" borderId="186" xfId="43438" applyFont="1" applyFill="1" applyBorder="1" applyAlignment="1">
      <alignment horizontal="center" vertical="center" wrapText="1"/>
    </xf>
    <xf numFmtId="0" fontId="250" fillId="0" borderId="196" xfId="43437" quotePrefix="1" applyFont="1" applyBorder="1" applyAlignment="1">
      <alignment horizontal="left" vertical="center"/>
    </xf>
    <xf numFmtId="169" fontId="250" fillId="41" borderId="197" xfId="863" applyNumberFormat="1" applyFont="1" applyFill="1" applyBorder="1" applyAlignment="1">
      <alignment vertical="center" wrapText="1"/>
    </xf>
    <xf numFmtId="169" fontId="251" fillId="60" borderId="186" xfId="863" applyNumberFormat="1" applyFont="1" applyFill="1" applyBorder="1" applyAlignment="1">
      <alignment vertical="center" wrapText="1"/>
    </xf>
    <xf numFmtId="0" fontId="260" fillId="38" borderId="186" xfId="43438" applyFont="1" applyFill="1" applyBorder="1" applyAlignment="1">
      <alignment horizontal="center" vertical="center" wrapText="1"/>
    </xf>
    <xf numFmtId="0" fontId="314" fillId="55" borderId="189" xfId="0" applyFont="1" applyFill="1" applyBorder="1" applyAlignment="1">
      <alignment vertical="center"/>
    </xf>
    <xf numFmtId="0" fontId="314" fillId="55" borderId="198" xfId="0" applyFont="1" applyFill="1" applyBorder="1" applyAlignment="1">
      <alignment vertical="center"/>
    </xf>
    <xf numFmtId="169" fontId="250" fillId="0" borderId="193" xfId="863" applyNumberFormat="1" applyFont="1" applyBorder="1" applyAlignment="1">
      <alignment vertical="center"/>
    </xf>
    <xf numFmtId="169" fontId="250" fillId="0" borderId="189" xfId="863" applyNumberFormat="1" applyFont="1" applyBorder="1" applyAlignment="1">
      <alignment vertical="center"/>
    </xf>
    <xf numFmtId="271" fontId="250" fillId="0" borderId="193" xfId="863" applyNumberFormat="1" applyFont="1" applyBorder="1" applyAlignment="1">
      <alignment vertical="center"/>
    </xf>
    <xf numFmtId="169" fontId="250" fillId="0" borderId="190" xfId="863" applyNumberFormat="1" applyFont="1" applyBorder="1" applyAlignment="1">
      <alignment vertical="center"/>
    </xf>
    <xf numFmtId="0" fontId="250" fillId="0" borderId="188" xfId="0" applyFont="1" applyBorder="1" applyAlignment="1">
      <alignment horizontal="left" vertical="center"/>
    </xf>
    <xf numFmtId="278" fontId="250" fillId="0" borderId="186" xfId="0" applyNumberFormat="1" applyFont="1" applyBorder="1" applyAlignment="1">
      <alignment vertical="center"/>
    </xf>
    <xf numFmtId="169" fontId="250" fillId="0" borderId="187" xfId="863" applyNumberFormat="1" applyFont="1" applyBorder="1" applyAlignment="1">
      <alignment vertical="center"/>
    </xf>
    <xf numFmtId="0" fontId="251" fillId="0" borderId="188" xfId="0" applyFont="1" applyBorder="1" applyAlignment="1">
      <alignment vertical="center"/>
    </xf>
    <xf numFmtId="0" fontId="251" fillId="0" borderId="186" xfId="0" applyFont="1" applyBorder="1" applyAlignment="1">
      <alignment vertical="center"/>
    </xf>
    <xf numFmtId="169" fontId="251" fillId="0" borderId="187" xfId="863" applyNumberFormat="1" applyFont="1" applyFill="1" applyBorder="1" applyAlignment="1">
      <alignment vertical="center"/>
    </xf>
    <xf numFmtId="169" fontId="251" fillId="0" borderId="192" xfId="863" applyNumberFormat="1" applyFont="1" applyFill="1" applyBorder="1" applyAlignment="1">
      <alignment vertical="center"/>
    </xf>
    <xf numFmtId="0" fontId="272" fillId="101" borderId="187" xfId="2697" applyFont="1" applyFill="1" applyBorder="1"/>
    <xf numFmtId="14" fontId="30" fillId="0" borderId="187" xfId="2697" applyNumberFormat="1" applyBorder="1"/>
    <xf numFmtId="0" fontId="30" fillId="0" borderId="187" xfId="2697" applyBorder="1"/>
    <xf numFmtId="43" fontId="30" fillId="0" borderId="187" xfId="2697" applyNumberFormat="1" applyBorder="1"/>
    <xf numFmtId="167" fontId="0" fillId="0" borderId="187" xfId="863" applyFont="1" applyBorder="1"/>
    <xf numFmtId="0" fontId="272" fillId="97" borderId="187" xfId="2697" applyFont="1" applyFill="1" applyBorder="1"/>
    <xf numFmtId="167" fontId="272" fillId="97" borderId="187" xfId="863" applyFont="1" applyFill="1" applyBorder="1"/>
    <xf numFmtId="0" fontId="117" fillId="55" borderId="186" xfId="2697" applyFont="1" applyFill="1" applyBorder="1" applyAlignment="1">
      <alignment horizontal="left" vertical="center" wrapText="1"/>
    </xf>
    <xf numFmtId="0" fontId="117" fillId="55" borderId="199" xfId="2697" applyFont="1" applyFill="1" applyBorder="1" applyAlignment="1">
      <alignment horizontal="center" vertical="center" wrapText="1"/>
    </xf>
    <xf numFmtId="0" fontId="43" fillId="0" borderId="190" xfId="2697" applyFont="1" applyBorder="1" applyAlignment="1">
      <alignment vertical="center"/>
    </xf>
    <xf numFmtId="268" fontId="43" fillId="0" borderId="189" xfId="2697" applyNumberFormat="1" applyFont="1" applyBorder="1" applyAlignment="1">
      <alignment vertical="center"/>
    </xf>
    <xf numFmtId="167" fontId="43" fillId="0" borderId="193" xfId="863" applyFont="1" applyBorder="1" applyAlignment="1">
      <alignment vertical="center"/>
    </xf>
    <xf numFmtId="268" fontId="43" fillId="0" borderId="193" xfId="2697" applyNumberFormat="1" applyFont="1" applyBorder="1" applyAlignment="1">
      <alignment vertical="center"/>
    </xf>
    <xf numFmtId="0" fontId="110" fillId="59" borderId="176" xfId="2697" applyFont="1" applyFill="1" applyBorder="1" applyAlignment="1">
      <alignment vertical="center"/>
    </xf>
    <xf numFmtId="269" fontId="110" fillId="59" borderId="187" xfId="43183" applyNumberFormat="1" applyFont="1" applyFill="1" applyBorder="1" applyAlignment="1">
      <alignment vertical="center"/>
    </xf>
    <xf numFmtId="269" fontId="110" fillId="59" borderId="188" xfId="43183" applyNumberFormat="1" applyFont="1" applyFill="1" applyBorder="1" applyAlignment="1">
      <alignment vertical="center"/>
    </xf>
    <xf numFmtId="0" fontId="43" fillId="60" borderId="192" xfId="905" applyFont="1" applyFill="1" applyBorder="1" applyAlignment="1">
      <alignment horizontal="left" vertical="center"/>
    </xf>
    <xf numFmtId="0" fontId="43" fillId="98" borderId="187" xfId="2697" applyFont="1" applyFill="1" applyBorder="1" applyAlignment="1">
      <alignment vertical="center"/>
    </xf>
    <xf numFmtId="270" fontId="43" fillId="60" borderId="186" xfId="2697" applyNumberFormat="1" applyFont="1" applyFill="1" applyBorder="1" applyAlignment="1">
      <alignment vertical="center"/>
    </xf>
    <xf numFmtId="0" fontId="110" fillId="60" borderId="192" xfId="905" applyFont="1" applyFill="1" applyBorder="1" applyAlignment="1">
      <alignment horizontal="left" vertical="center"/>
    </xf>
    <xf numFmtId="0" fontId="43" fillId="98" borderId="187" xfId="2697" applyFont="1" applyFill="1" applyBorder="1"/>
    <xf numFmtId="269" fontId="110" fillId="98" borderId="186" xfId="2697" applyNumberFormat="1" applyFont="1" applyFill="1" applyBorder="1" applyAlignment="1">
      <alignment vertical="center"/>
    </xf>
    <xf numFmtId="269" fontId="110" fillId="60" borderId="186" xfId="2697" applyNumberFormat="1" applyFont="1" applyFill="1" applyBorder="1" applyAlignment="1">
      <alignment vertical="center"/>
    </xf>
    <xf numFmtId="270" fontId="43" fillId="98" borderId="186" xfId="2697" applyNumberFormat="1" applyFont="1" applyFill="1" applyBorder="1" applyAlignment="1">
      <alignment vertical="center"/>
    </xf>
    <xf numFmtId="170" fontId="117" fillId="43" borderId="189" xfId="2697" applyNumberFormat="1" applyFont="1" applyFill="1" applyBorder="1" applyAlignment="1">
      <alignment horizontal="center" vertical="center" wrapText="1"/>
    </xf>
    <xf numFmtId="0" fontId="30" fillId="0" borderId="187" xfId="0" applyFont="1" applyBorder="1"/>
    <xf numFmtId="0" fontId="0" fillId="0" borderId="187" xfId="0" applyBorder="1"/>
    <xf numFmtId="170" fontId="117" fillId="55" borderId="189" xfId="2697" applyNumberFormat="1" applyFont="1" applyFill="1" applyBorder="1" applyAlignment="1">
      <alignment horizontal="center" vertical="center" wrapText="1"/>
    </xf>
    <xf numFmtId="170" fontId="117" fillId="55" borderId="190" xfId="2697" applyNumberFormat="1" applyFont="1" applyFill="1" applyBorder="1" applyAlignment="1">
      <alignment horizontal="center" vertical="center" wrapText="1"/>
    </xf>
    <xf numFmtId="0" fontId="221" fillId="0" borderId="176" xfId="0" applyFont="1" applyBorder="1" applyAlignment="1">
      <alignment horizontal="right"/>
    </xf>
    <xf numFmtId="0" fontId="205" fillId="0" borderId="200" xfId="832" applyFont="1" applyBorder="1"/>
    <xf numFmtId="0" fontId="205" fillId="33" borderId="200" xfId="0" applyFont="1" applyFill="1" applyBorder="1"/>
    <xf numFmtId="0" fontId="208" fillId="33" borderId="188" xfId="831" applyFont="1" applyFill="1" applyBorder="1" applyAlignment="1">
      <alignment vertical="center"/>
    </xf>
    <xf numFmtId="0" fontId="208" fillId="33" borderId="192" xfId="831" applyFont="1" applyFill="1" applyBorder="1" applyAlignment="1">
      <alignment vertical="center"/>
    </xf>
    <xf numFmtId="0" fontId="208" fillId="0" borderId="187" xfId="832" applyFont="1" applyBorder="1" applyAlignment="1">
      <alignment horizontal="center"/>
    </xf>
    <xf numFmtId="0" fontId="208" fillId="44" borderId="187" xfId="832" applyFont="1" applyFill="1" applyBorder="1" applyAlignment="1">
      <alignment horizontal="center"/>
    </xf>
    <xf numFmtId="0" fontId="208" fillId="44" borderId="187" xfId="0" applyFont="1" applyFill="1" applyBorder="1"/>
    <xf numFmtId="0" fontId="205" fillId="0" borderId="187" xfId="832" applyFont="1" applyBorder="1" applyAlignment="1">
      <alignment horizontal="center"/>
    </xf>
    <xf numFmtId="0" fontId="205" fillId="33" borderId="189" xfId="789" applyFont="1" applyFill="1" applyBorder="1"/>
    <xf numFmtId="17" fontId="205" fillId="0" borderId="190" xfId="0" applyNumberFormat="1" applyFont="1" applyBorder="1"/>
    <xf numFmtId="194" fontId="205" fillId="0" borderId="187" xfId="832" applyNumberFormat="1" applyFont="1" applyBorder="1"/>
    <xf numFmtId="17" fontId="205" fillId="0" borderId="154" xfId="0" applyNumberFormat="1" applyFont="1" applyBorder="1"/>
    <xf numFmtId="171" fontId="215" fillId="0" borderId="187" xfId="863" applyNumberFormat="1" applyFont="1" applyFill="1" applyBorder="1" applyAlignment="1">
      <alignment vertical="top"/>
    </xf>
    <xf numFmtId="164" fontId="227" fillId="44" borderId="187" xfId="863" applyNumberFormat="1" applyFont="1" applyFill="1" applyBorder="1" applyAlignment="1">
      <alignment vertical="top"/>
    </xf>
    <xf numFmtId="164" fontId="215" fillId="0" borderId="187" xfId="863" applyNumberFormat="1" applyFont="1" applyFill="1" applyBorder="1" applyAlignment="1">
      <alignment vertical="top"/>
    </xf>
    <xf numFmtId="0" fontId="207" fillId="0" borderId="186" xfId="832" applyFont="1" applyBorder="1"/>
    <xf numFmtId="0" fontId="205" fillId="0" borderId="186" xfId="832" applyFont="1" applyBorder="1"/>
    <xf numFmtId="0" fontId="205" fillId="0" borderId="188" xfId="0" applyFont="1" applyBorder="1" applyAlignment="1">
      <alignment horizontal="right"/>
    </xf>
    <xf numFmtId="0" fontId="205" fillId="0" borderId="192" xfId="832" applyFont="1" applyBorder="1" applyAlignment="1">
      <alignment horizontal="left"/>
    </xf>
    <xf numFmtId="0" fontId="205" fillId="41" borderId="188" xfId="0" applyFont="1" applyFill="1" applyBorder="1" applyAlignment="1">
      <alignment horizontal="right"/>
    </xf>
    <xf numFmtId="0" fontId="205" fillId="41" borderId="192" xfId="832" applyFont="1" applyFill="1" applyBorder="1" applyAlignment="1">
      <alignment horizontal="left"/>
    </xf>
    <xf numFmtId="170" fontId="205" fillId="0" borderId="191" xfId="0" applyNumberFormat="1" applyFont="1" applyBorder="1"/>
    <xf numFmtId="170" fontId="205" fillId="0" borderId="176" xfId="0" applyNumberFormat="1" applyFont="1" applyBorder="1"/>
    <xf numFmtId="166" fontId="208" fillId="0" borderId="188" xfId="815" applyFont="1" applyFill="1" applyBorder="1"/>
    <xf numFmtId="166" fontId="208" fillId="0" borderId="192" xfId="815" applyFont="1" applyFill="1" applyBorder="1"/>
    <xf numFmtId="166" fontId="208" fillId="0" borderId="186" xfId="815" applyFont="1" applyFill="1" applyBorder="1"/>
    <xf numFmtId="166" fontId="205" fillId="0" borderId="188" xfId="815" applyFont="1" applyFill="1" applyBorder="1"/>
    <xf numFmtId="166" fontId="205" fillId="0" borderId="192" xfId="815" applyFont="1" applyFill="1" applyBorder="1"/>
    <xf numFmtId="166" fontId="208" fillId="0" borderId="188" xfId="815" applyFont="1" applyBorder="1"/>
    <xf numFmtId="166" fontId="208" fillId="0" borderId="192" xfId="815" applyFont="1" applyBorder="1"/>
    <xf numFmtId="0" fontId="205" fillId="41" borderId="192" xfId="832" applyFont="1" applyFill="1" applyBorder="1" applyAlignment="1">
      <alignment horizontal="center"/>
    </xf>
    <xf numFmtId="166" fontId="208" fillId="0" borderId="187" xfId="815" applyFont="1" applyBorder="1"/>
    <xf numFmtId="0" fontId="39" fillId="39" borderId="187" xfId="831" applyFont="1" applyFill="1" applyBorder="1" applyAlignment="1">
      <alignment horizontal="center" vertical="center"/>
    </xf>
    <xf numFmtId="14" fontId="33" fillId="0" borderId="0" xfId="831" applyNumberFormat="1" applyFont="1"/>
    <xf numFmtId="17" fontId="43" fillId="0" borderId="187" xfId="831" applyNumberFormat="1" applyFont="1" applyBorder="1" applyAlignment="1">
      <alignment horizontal="center"/>
    </xf>
    <xf numFmtId="171" fontId="43" fillId="0" borderId="187" xfId="863" applyNumberFormat="1" applyFont="1" applyBorder="1" applyAlignment="1">
      <alignment horizontal="center"/>
    </xf>
    <xf numFmtId="195" fontId="43" fillId="0" borderId="187" xfId="863" applyNumberFormat="1" applyFont="1" applyBorder="1" applyAlignment="1">
      <alignment horizontal="center"/>
    </xf>
    <xf numFmtId="0" fontId="2" fillId="0" borderId="0" xfId="43418" applyFont="1"/>
    <xf numFmtId="0" fontId="2" fillId="0" borderId="0" xfId="43418" quotePrefix="1" applyFont="1"/>
    <xf numFmtId="0" fontId="2" fillId="0" borderId="0" xfId="43418" applyFont="1" applyAlignment="1">
      <alignment horizontal="center" vertical="center"/>
    </xf>
    <xf numFmtId="40" fontId="120" fillId="0" borderId="187" xfId="43410" applyNumberFormat="1" applyFont="1" applyBorder="1" applyAlignment="1">
      <alignment vertical="center"/>
    </xf>
    <xf numFmtId="40" fontId="120" fillId="42" borderId="187" xfId="43410" applyNumberFormat="1" applyFont="1" applyFill="1" applyBorder="1" applyAlignment="1">
      <alignment vertical="center"/>
    </xf>
    <xf numFmtId="0" fontId="50" fillId="109" borderId="201" xfId="43411" applyFont="1" applyFill="1" applyBorder="1" applyAlignment="1">
      <alignment horizontal="center"/>
    </xf>
    <xf numFmtId="0" fontId="50" fillId="0" borderId="202" xfId="43411" applyFont="1" applyBorder="1" applyAlignment="1">
      <alignment horizontal="right" wrapText="1"/>
    </xf>
    <xf numFmtId="0" fontId="50" fillId="0" borderId="202" xfId="43411" applyFont="1" applyBorder="1" applyAlignment="1">
      <alignment wrapText="1"/>
    </xf>
    <xf numFmtId="14" fontId="50" fillId="0" borderId="202" xfId="43411" applyNumberFormat="1" applyFont="1" applyBorder="1" applyAlignment="1">
      <alignment horizontal="right" wrapText="1"/>
    </xf>
    <xf numFmtId="266" fontId="50" fillId="0" borderId="202" xfId="43411" applyNumberFormat="1" applyFont="1" applyBorder="1" applyAlignment="1">
      <alignment horizontal="right" wrapText="1"/>
    </xf>
    <xf numFmtId="0" fontId="251" fillId="0" borderId="187" xfId="7308" applyFont="1" applyBorder="1"/>
    <xf numFmtId="213" fontId="250" fillId="0" borderId="187" xfId="7308" applyNumberFormat="1" applyFont="1" applyBorder="1"/>
    <xf numFmtId="0" fontId="261" fillId="0" borderId="187" xfId="7308" applyFont="1" applyBorder="1" applyAlignment="1">
      <alignment vertical="center"/>
    </xf>
    <xf numFmtId="0" fontId="250" fillId="42" borderId="187" xfId="7308" applyFont="1" applyFill="1" applyBorder="1" applyAlignment="1">
      <alignment horizontal="center"/>
    </xf>
    <xf numFmtId="0" fontId="250" fillId="0" borderId="187" xfId="7308" applyFont="1" applyBorder="1"/>
    <xf numFmtId="173" fontId="250" fillId="0" borderId="187" xfId="7308" applyNumberFormat="1" applyFont="1" applyBorder="1"/>
    <xf numFmtId="265" fontId="250" fillId="0" borderId="187" xfId="7308" applyNumberFormat="1" applyFont="1" applyBorder="1"/>
    <xf numFmtId="10" fontId="255" fillId="0" borderId="187" xfId="7308" applyNumberFormat="1" applyFont="1" applyBorder="1" applyAlignment="1">
      <alignment horizontal="right" vertical="center"/>
    </xf>
    <xf numFmtId="213" fontId="250" fillId="0" borderId="187" xfId="43165" applyNumberFormat="1" applyFont="1" applyBorder="1"/>
    <xf numFmtId="166" fontId="258" fillId="41" borderId="187" xfId="902" applyFont="1" applyFill="1" applyBorder="1" applyAlignment="1">
      <alignment horizontal="center"/>
    </xf>
    <xf numFmtId="0" fontId="250" fillId="0" borderId="187" xfId="7308" applyFont="1" applyBorder="1" applyAlignment="1">
      <alignment horizontal="right"/>
    </xf>
    <xf numFmtId="0" fontId="250" fillId="0" borderId="187" xfId="7308" applyFont="1" applyBorder="1" applyAlignment="1">
      <alignment horizontal="center"/>
    </xf>
    <xf numFmtId="10" fontId="257" fillId="0" borderId="187" xfId="7308" applyNumberFormat="1" applyFont="1" applyBorder="1" applyAlignment="1">
      <alignment horizontal="center"/>
    </xf>
    <xf numFmtId="166" fontId="261" fillId="0" borderId="187" xfId="7308" applyNumberFormat="1" applyFont="1" applyBorder="1" applyAlignment="1">
      <alignment vertical="center"/>
    </xf>
    <xf numFmtId="0" fontId="261" fillId="0" borderId="193" xfId="7308" applyFont="1" applyBorder="1" applyAlignment="1">
      <alignment vertical="center"/>
    </xf>
    <xf numFmtId="43" fontId="261" fillId="0" borderId="187" xfId="7308" applyNumberFormat="1" applyFont="1" applyBorder="1" applyAlignment="1">
      <alignment vertical="center"/>
    </xf>
    <xf numFmtId="43" fontId="261" fillId="0" borderId="188" xfId="7308" applyNumberFormat="1" applyFont="1" applyBorder="1" applyAlignment="1">
      <alignment vertical="center"/>
    </xf>
    <xf numFmtId="10" fontId="262" fillId="0" borderId="187" xfId="1095" applyNumberFormat="1" applyFont="1" applyFill="1" applyBorder="1" applyAlignment="1">
      <alignment vertical="center"/>
    </xf>
    <xf numFmtId="10" fontId="262" fillId="0" borderId="187" xfId="1095" applyNumberFormat="1" applyFont="1" applyBorder="1" applyAlignment="1">
      <alignment vertical="center"/>
    </xf>
    <xf numFmtId="10" fontId="261" fillId="0" borderId="187" xfId="7308" applyNumberFormat="1" applyFont="1" applyBorder="1" applyAlignment="1">
      <alignment vertical="center"/>
    </xf>
    <xf numFmtId="0" fontId="251" fillId="107" borderId="188" xfId="7308" applyFont="1" applyFill="1" applyBorder="1"/>
    <xf numFmtId="166" fontId="251" fillId="41" borderId="187" xfId="902" applyFont="1" applyFill="1" applyBorder="1"/>
    <xf numFmtId="0" fontId="254" fillId="0" borderId="187" xfId="7308" applyFont="1" applyBorder="1" applyAlignment="1">
      <alignment horizontal="center" vertical="center"/>
    </xf>
    <xf numFmtId="0" fontId="251" fillId="0" borderId="187" xfId="7308" applyFont="1" applyBorder="1" applyAlignment="1">
      <alignment horizontal="center"/>
    </xf>
    <xf numFmtId="0" fontId="254" fillId="0" borderId="187" xfId="7308" applyFont="1" applyBorder="1" applyAlignment="1">
      <alignment vertical="center"/>
    </xf>
    <xf numFmtId="2" fontId="255" fillId="0" borderId="187" xfId="7308" applyNumberFormat="1" applyFont="1" applyBorder="1" applyAlignment="1">
      <alignment horizontal="center" vertical="center"/>
    </xf>
    <xf numFmtId="0" fontId="256" fillId="42" borderId="187" xfId="7308" applyFont="1" applyFill="1" applyBorder="1" applyAlignment="1">
      <alignment horizontal="center" vertical="center"/>
    </xf>
    <xf numFmtId="10" fontId="255" fillId="42" borderId="187" xfId="7308" applyNumberFormat="1" applyFont="1" applyFill="1" applyBorder="1" applyAlignment="1">
      <alignment horizontal="center" vertical="center"/>
    </xf>
    <xf numFmtId="0" fontId="257" fillId="61" borderId="187" xfId="7308" applyFont="1" applyFill="1" applyBorder="1"/>
    <xf numFmtId="2" fontId="250" fillId="42" borderId="187" xfId="7308" applyNumberFormat="1" applyFont="1" applyFill="1" applyBorder="1" applyAlignment="1">
      <alignment horizontal="center"/>
    </xf>
    <xf numFmtId="2" fontId="255" fillId="42" borderId="187" xfId="7308" applyNumberFormat="1" applyFont="1" applyFill="1" applyBorder="1" applyAlignment="1">
      <alignment horizontal="center" vertical="center"/>
    </xf>
    <xf numFmtId="166" fontId="258" fillId="42" borderId="187" xfId="902" applyFont="1" applyFill="1" applyBorder="1"/>
    <xf numFmtId="0" fontId="250" fillId="46" borderId="187" xfId="7308" applyFont="1" applyFill="1" applyBorder="1"/>
    <xf numFmtId="264" fontId="250" fillId="0" borderId="187" xfId="7308" applyNumberFormat="1" applyFont="1" applyBorder="1"/>
    <xf numFmtId="2" fontId="250" fillId="0" borderId="187" xfId="7308" applyNumberFormat="1" applyFont="1" applyBorder="1"/>
    <xf numFmtId="10" fontId="250" fillId="0" borderId="187" xfId="7308" applyNumberFormat="1" applyFont="1" applyBorder="1"/>
    <xf numFmtId="172" fontId="250" fillId="0" borderId="187" xfId="7308" applyNumberFormat="1" applyFont="1" applyBorder="1"/>
    <xf numFmtId="166" fontId="251" fillId="102" borderId="187" xfId="902" applyFont="1" applyFill="1" applyBorder="1"/>
    <xf numFmtId="0" fontId="251" fillId="59" borderId="186" xfId="2697" applyFont="1" applyFill="1" applyBorder="1" applyAlignment="1">
      <alignment vertical="center"/>
    </xf>
    <xf numFmtId="4" fontId="251" fillId="59" borderId="186" xfId="2697" applyNumberFormat="1" applyFont="1" applyFill="1" applyBorder="1" applyAlignment="1">
      <alignment vertical="center"/>
    </xf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7" fontId="283" fillId="42" borderId="0" xfId="863" applyFont="1" applyFill="1" applyBorder="1"/>
    <xf numFmtId="0" fontId="113" fillId="42" borderId="0" xfId="0" applyFont="1" applyFill="1"/>
    <xf numFmtId="166" fontId="205" fillId="41" borderId="164" xfId="815" applyFont="1" applyFill="1" applyBorder="1"/>
    <xf numFmtId="0" fontId="212" fillId="43" borderId="164" xfId="0" applyFont="1" applyFill="1" applyBorder="1" applyAlignment="1">
      <alignment horizontal="center" vertical="center" wrapText="1"/>
    </xf>
    <xf numFmtId="0" fontId="205" fillId="0" borderId="0" xfId="847" applyNumberFormat="1" applyFont="1"/>
    <xf numFmtId="167" fontId="205" fillId="44" borderId="0" xfId="863" applyFont="1" applyFill="1"/>
    <xf numFmtId="2" fontId="205" fillId="44" borderId="0" xfId="863" applyNumberFormat="1" applyFont="1" applyFill="1"/>
    <xf numFmtId="14" fontId="205" fillId="44" borderId="0" xfId="847" applyNumberFormat="1" applyFont="1" applyFill="1"/>
    <xf numFmtId="14" fontId="205" fillId="44" borderId="0" xfId="0" applyNumberFormat="1" applyFont="1" applyFill="1"/>
    <xf numFmtId="2" fontId="205" fillId="44" borderId="0" xfId="0" applyNumberFormat="1" applyFont="1" applyFill="1"/>
    <xf numFmtId="166" fontId="205" fillId="44" borderId="0" xfId="815" applyFont="1" applyFill="1"/>
    <xf numFmtId="2" fontId="205" fillId="44" borderId="0" xfId="847" applyNumberFormat="1" applyFont="1" applyFill="1"/>
    <xf numFmtId="0" fontId="205" fillId="44" borderId="0" xfId="0" applyFont="1" applyFill="1"/>
    <xf numFmtId="10" fontId="205" fillId="108" borderId="176" xfId="0" applyNumberFormat="1" applyFont="1" applyFill="1" applyBorder="1"/>
    <xf numFmtId="0" fontId="205" fillId="108" borderId="176" xfId="847" applyNumberFormat="1" applyFont="1" applyFill="1" applyBorder="1"/>
    <xf numFmtId="167" fontId="205" fillId="108" borderId="176" xfId="863" applyFont="1" applyFill="1" applyBorder="1"/>
    <xf numFmtId="3" fontId="30" fillId="0" borderId="0" xfId="0" applyNumberFormat="1" applyFont="1" applyAlignment="1">
      <alignment horizontal="center" vertical="distributed"/>
    </xf>
    <xf numFmtId="256" fontId="30" fillId="0" borderId="0" xfId="0" applyNumberFormat="1" applyFont="1" applyAlignment="1">
      <alignment horizontal="center" vertical="distributed"/>
    </xf>
    <xf numFmtId="10" fontId="30" fillId="0" borderId="0" xfId="0" applyNumberFormat="1" applyFont="1" applyAlignment="1">
      <alignment horizontal="center" vertical="distributed"/>
    </xf>
    <xf numFmtId="9" fontId="30" fillId="0" borderId="0" xfId="0" applyNumberFormat="1" applyFont="1"/>
    <xf numFmtId="14" fontId="30" fillId="0" borderId="0" xfId="863" applyNumberFormat="1" applyFont="1" applyFill="1" applyAlignment="1">
      <alignment horizontal="center"/>
    </xf>
    <xf numFmtId="167" fontId="30" fillId="0" borderId="0" xfId="863" applyFont="1" applyFill="1" applyAlignment="1">
      <alignment horizontal="center" vertical="distributed"/>
    </xf>
    <xf numFmtId="167" fontId="30" fillId="0" borderId="0" xfId="0" applyNumberFormat="1" applyFont="1" applyAlignment="1">
      <alignment horizontal="center" vertical="distributed"/>
    </xf>
    <xf numFmtId="167" fontId="30" fillId="0" borderId="0" xfId="863" applyFont="1" applyFill="1" applyBorder="1" applyAlignment="1">
      <alignment horizontal="center" vertical="distributed"/>
    </xf>
    <xf numFmtId="9" fontId="30" fillId="0" borderId="0" xfId="847" applyFont="1" applyFill="1" applyAlignment="1">
      <alignment horizontal="center" vertical="distributed"/>
    </xf>
    <xf numFmtId="9" fontId="30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7" fontId="0" fillId="0" borderId="0" xfId="0" applyNumberFormat="1" applyAlignment="1">
      <alignment horizontal="center" vertical="distributed"/>
    </xf>
    <xf numFmtId="14" fontId="30" fillId="0" borderId="0" xfId="863" applyNumberFormat="1" applyFont="1" applyFill="1" applyAlignment="1">
      <alignment horizontal="center" vertical="distributed"/>
    </xf>
    <xf numFmtId="10" fontId="30" fillId="0" borderId="0" xfId="847" applyNumberFormat="1" applyFont="1" applyFill="1" applyAlignment="1">
      <alignment horizontal="center" vertical="distributed"/>
    </xf>
    <xf numFmtId="4" fontId="30" fillId="0" borderId="0" xfId="0" applyNumberFormat="1" applyFont="1" applyAlignment="1">
      <alignment vertical="center"/>
    </xf>
    <xf numFmtId="49" fontId="30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7" fillId="128" borderId="203" xfId="0" applyFont="1" applyFill="1" applyBorder="1"/>
    <xf numFmtId="0" fontId="317" fillId="128" borderId="204" xfId="0" applyFont="1" applyFill="1" applyBorder="1"/>
    <xf numFmtId="0" fontId="317" fillId="128" borderId="0" xfId="0" applyFont="1" applyFill="1"/>
    <xf numFmtId="167" fontId="212" fillId="43" borderId="186" xfId="0" applyNumberFormat="1" applyFont="1" applyFill="1" applyBorder="1" applyAlignment="1">
      <alignment horizontal="center" vertical="center" wrapText="1"/>
    </xf>
    <xf numFmtId="0" fontId="250" fillId="0" borderId="0" xfId="0" applyFont="1" applyAlignment="1">
      <alignment horizontal="left" vertical="center"/>
    </xf>
    <xf numFmtId="0" fontId="250" fillId="0" borderId="0" xfId="0" applyFont="1" applyAlignment="1">
      <alignment horizontal="right" vertical="center"/>
    </xf>
    <xf numFmtId="167" fontId="250" fillId="118" borderId="0" xfId="863" applyFont="1" applyFill="1" applyBorder="1" applyAlignment="1">
      <alignment vertical="center"/>
    </xf>
    <xf numFmtId="167" fontId="205" fillId="129" borderId="0" xfId="863" applyFont="1" applyFill="1"/>
    <xf numFmtId="0" fontId="205" fillId="129" borderId="0" xfId="0" applyFont="1" applyFill="1" applyAlignment="1">
      <alignment horizontal="left"/>
    </xf>
    <xf numFmtId="0" fontId="0" fillId="0" borderId="0" xfId="863" applyNumberFormat="1" applyFont="1" applyFill="1"/>
    <xf numFmtId="166" fontId="205" fillId="0" borderId="164" xfId="815" applyFont="1" applyFill="1" applyBorder="1"/>
    <xf numFmtId="166" fontId="282" fillId="114" borderId="0" xfId="5583" applyNumberFormat="1" applyFont="1" applyFill="1" applyBorder="1" applyAlignment="1">
      <alignment vertical="center"/>
    </xf>
    <xf numFmtId="0" fontId="250" fillId="42" borderId="205" xfId="0" applyFont="1" applyFill="1" applyBorder="1" applyAlignment="1">
      <alignment vertical="center"/>
    </xf>
    <xf numFmtId="0" fontId="260" fillId="39" borderId="183" xfId="831" applyFont="1" applyFill="1" applyBorder="1" applyAlignment="1">
      <alignment horizontal="left" vertical="center"/>
    </xf>
    <xf numFmtId="167" fontId="260" fillId="39" borderId="183" xfId="863" applyFont="1" applyFill="1" applyBorder="1" applyAlignment="1">
      <alignment horizontal="left" vertical="center"/>
    </xf>
    <xf numFmtId="0" fontId="250" fillId="0" borderId="0" xfId="831" applyFont="1"/>
    <xf numFmtId="0" fontId="318" fillId="0" borderId="0" xfId="0" applyFont="1"/>
    <xf numFmtId="0" fontId="316" fillId="0" borderId="0" xfId="43418" applyFont="1" applyAlignment="1">
      <alignment horizontal="center" vertical="center" wrapText="1"/>
    </xf>
    <xf numFmtId="213" fontId="250" fillId="0" borderId="0" xfId="0" applyNumberFormat="1" applyFont="1" applyAlignment="1">
      <alignment horizontal="center"/>
    </xf>
    <xf numFmtId="213" fontId="251" fillId="0" borderId="0" xfId="0" applyNumberFormat="1" applyFont="1" applyAlignment="1">
      <alignment horizontal="center"/>
    </xf>
    <xf numFmtId="43" fontId="205" fillId="108" borderId="0" xfId="863" applyNumberFormat="1" applyFont="1" applyFill="1" applyBorder="1"/>
    <xf numFmtId="43" fontId="205" fillId="108" borderId="176" xfId="863" applyNumberFormat="1" applyFont="1" applyFill="1" applyBorder="1"/>
    <xf numFmtId="0" fontId="316" fillId="101" borderId="176" xfId="0" applyFont="1" applyFill="1" applyBorder="1" applyAlignment="1">
      <alignment horizontal="center"/>
    </xf>
    <xf numFmtId="213" fontId="262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5" fillId="0" borderId="0" xfId="0" applyNumberFormat="1" applyFont="1" applyAlignment="1">
      <alignment horizontal="center"/>
    </xf>
    <xf numFmtId="166" fontId="250" fillId="0" borderId="0" xfId="815" applyFont="1"/>
    <xf numFmtId="0" fontId="316" fillId="0" borderId="0" xfId="43418" applyFont="1" applyAlignment="1">
      <alignment horizontal="center" vertical="center"/>
    </xf>
    <xf numFmtId="17" fontId="319" fillId="0" borderId="0" xfId="43418" applyNumberFormat="1" applyFont="1" applyAlignment="1">
      <alignment horizontal="center"/>
    </xf>
    <xf numFmtId="0" fontId="319" fillId="0" borderId="0" xfId="43418" applyFont="1" applyAlignment="1">
      <alignment horizontal="center"/>
    </xf>
    <xf numFmtId="0" fontId="319" fillId="0" borderId="0" xfId="43418" applyFont="1" applyAlignment="1">
      <alignment horizontal="center" vertical="center"/>
    </xf>
    <xf numFmtId="213" fontId="319" fillId="0" borderId="0" xfId="43418" applyNumberFormat="1" applyFont="1" applyAlignment="1">
      <alignment horizontal="center"/>
    </xf>
    <xf numFmtId="17" fontId="257" fillId="0" borderId="0" xfId="43418" applyNumberFormat="1" applyFont="1" applyAlignment="1">
      <alignment horizontal="center"/>
    </xf>
    <xf numFmtId="0" fontId="257" fillId="0" borderId="0" xfId="43418" applyFont="1" applyAlignment="1">
      <alignment horizontal="center"/>
    </xf>
    <xf numFmtId="0" fontId="251" fillId="0" borderId="0" xfId="0" applyFont="1" applyAlignment="1">
      <alignment horizontal="center"/>
    </xf>
    <xf numFmtId="166" fontId="282" fillId="42" borderId="0" xfId="5583" applyNumberFormat="1" applyFont="1" applyFill="1" applyBorder="1"/>
    <xf numFmtId="0" fontId="267" fillId="103" borderId="206" xfId="0" applyFont="1" applyFill="1" applyBorder="1" applyAlignment="1">
      <alignment horizontal="center" vertical="distributed"/>
    </xf>
    <xf numFmtId="14" fontId="267" fillId="103" borderId="206" xfId="0" applyNumberFormat="1" applyFont="1" applyFill="1" applyBorder="1" applyAlignment="1">
      <alignment horizontal="center" vertical="distributed"/>
    </xf>
    <xf numFmtId="0" fontId="30" fillId="0" borderId="206" xfId="0" applyFont="1" applyBorder="1"/>
    <xf numFmtId="0" fontId="110" fillId="59" borderId="144" xfId="905" applyFont="1" applyFill="1" applyBorder="1" applyAlignment="1">
      <alignment horizontal="left"/>
    </xf>
    <xf numFmtId="0" fontId="205" fillId="41" borderId="164" xfId="2697" applyFont="1" applyFill="1" applyBorder="1"/>
    <xf numFmtId="43" fontId="110" fillId="0" borderId="164" xfId="43185" applyFont="1" applyFill="1" applyBorder="1" applyAlignment="1" applyProtection="1">
      <alignment vertical="center"/>
    </xf>
    <xf numFmtId="0" fontId="229" fillId="41" borderId="164" xfId="2697" applyFont="1" applyFill="1" applyBorder="1" applyAlignment="1">
      <alignment vertical="center" wrapText="1"/>
    </xf>
    <xf numFmtId="169" fontId="205" fillId="0" borderId="164" xfId="43183" applyNumberFormat="1" applyFont="1" applyFill="1" applyBorder="1" applyAlignment="1">
      <alignment vertical="center" wrapText="1"/>
    </xf>
    <xf numFmtId="0" fontId="208" fillId="97" borderId="164" xfId="0" applyFont="1" applyFill="1" applyBorder="1" applyAlignment="1" applyProtection="1">
      <alignment horizontal="left"/>
      <protection hidden="1"/>
    </xf>
    <xf numFmtId="0" fontId="205" fillId="97" borderId="164" xfId="0" applyFont="1" applyFill="1" applyBorder="1" applyAlignment="1" applyProtection="1">
      <alignment horizontal="left"/>
      <protection hidden="1"/>
    </xf>
    <xf numFmtId="164" fontId="205" fillId="0" borderId="164" xfId="43184" applyFont="1" applyBorder="1"/>
    <xf numFmtId="44" fontId="205" fillId="0" borderId="164" xfId="863" applyNumberFormat="1" applyFont="1" applyBorder="1"/>
    <xf numFmtId="167" fontId="205" fillId="0" borderId="164" xfId="863" applyFont="1" applyBorder="1"/>
    <xf numFmtId="0" fontId="205" fillId="0" borderId="164" xfId="907" applyFont="1" applyBorder="1"/>
    <xf numFmtId="167" fontId="205" fillId="61" borderId="164" xfId="863" applyFont="1" applyFill="1" applyBorder="1"/>
    <xf numFmtId="167" fontId="205" fillId="0" borderId="164" xfId="863" applyFont="1" applyFill="1" applyBorder="1"/>
    <xf numFmtId="167" fontId="205" fillId="44" borderId="164" xfId="863" applyFont="1" applyFill="1" applyBorder="1"/>
    <xf numFmtId="0" fontId="217" fillId="43" borderId="164" xfId="0" applyFont="1" applyFill="1" applyBorder="1" applyAlignment="1">
      <alignment horizontal="center" vertical="center" wrapText="1"/>
    </xf>
    <xf numFmtId="0" fontId="297" fillId="43" borderId="164" xfId="907" applyFont="1" applyFill="1" applyBorder="1"/>
    <xf numFmtId="0" fontId="294" fillId="120" borderId="164" xfId="907" applyFont="1" applyFill="1" applyBorder="1" applyAlignment="1">
      <alignment horizontal="center" wrapText="1"/>
    </xf>
    <xf numFmtId="0" fontId="294" fillId="120" borderId="164" xfId="907" applyFont="1" applyFill="1" applyBorder="1" applyAlignment="1">
      <alignment horizontal="center"/>
    </xf>
    <xf numFmtId="0" fontId="296" fillId="0" borderId="164" xfId="0" applyFont="1" applyBorder="1"/>
    <xf numFmtId="167" fontId="205" fillId="54" borderId="164" xfId="903" applyFont="1" applyFill="1" applyBorder="1" applyAlignment="1">
      <alignment horizontal="left" vertical="top"/>
    </xf>
    <xf numFmtId="167" fontId="205" fillId="54" borderId="164" xfId="903" applyFont="1" applyFill="1" applyBorder="1" applyAlignment="1">
      <alignment horizontal="right"/>
    </xf>
    <xf numFmtId="0" fontId="205" fillId="0" borderId="164" xfId="0" applyFont="1" applyBorder="1" applyAlignment="1">
      <alignment horizontal="left"/>
    </xf>
    <xf numFmtId="166" fontId="205" fillId="111" borderId="164" xfId="815" applyFont="1" applyFill="1" applyBorder="1"/>
    <xf numFmtId="43" fontId="205" fillId="0" borderId="164" xfId="0" applyNumberFormat="1" applyFont="1" applyBorder="1"/>
    <xf numFmtId="166" fontId="205" fillId="0" borderId="164" xfId="0" applyNumberFormat="1" applyFont="1" applyBorder="1"/>
    <xf numFmtId="164" fontId="205" fillId="0" borderId="164" xfId="0" applyNumberFormat="1" applyFont="1" applyBorder="1"/>
    <xf numFmtId="0" fontId="286" fillId="43" borderId="164" xfId="832" applyFont="1" applyFill="1" applyBorder="1" applyAlignment="1">
      <alignment horizontal="center"/>
    </xf>
    <xf numFmtId="166" fontId="282" fillId="0" borderId="164" xfId="815" applyFont="1" applyBorder="1"/>
    <xf numFmtId="166" fontId="282" fillId="0" borderId="164" xfId="815" applyFont="1" applyFill="1" applyBorder="1"/>
    <xf numFmtId="0" fontId="0" fillId="44" borderId="187" xfId="0" applyFill="1" applyBorder="1"/>
    <xf numFmtId="0" fontId="36" fillId="97" borderId="187" xfId="0" applyFont="1" applyFill="1" applyBorder="1" applyAlignment="1">
      <alignment vertical="center"/>
    </xf>
    <xf numFmtId="0" fontId="36" fillId="97" borderId="187" xfId="0" applyFont="1" applyFill="1" applyBorder="1" applyAlignment="1">
      <alignment horizontal="center" vertical="center" wrapText="1"/>
    </xf>
    <xf numFmtId="0" fontId="36" fillId="97" borderId="187" xfId="0" applyFont="1" applyFill="1" applyBorder="1" applyAlignment="1">
      <alignment horizontal="center" vertical="center"/>
    </xf>
    <xf numFmtId="0" fontId="316" fillId="132" borderId="186" xfId="0" applyFont="1" applyFill="1" applyBorder="1"/>
    <xf numFmtId="0" fontId="316" fillId="101" borderId="186" xfId="0" applyFont="1" applyFill="1" applyBorder="1" applyAlignment="1">
      <alignment horizontal="center"/>
    </xf>
    <xf numFmtId="0" fontId="251" fillId="131" borderId="186" xfId="0" applyFont="1" applyFill="1" applyBorder="1"/>
    <xf numFmtId="166" fontId="250" fillId="59" borderId="186" xfId="815" applyFont="1" applyFill="1" applyBorder="1"/>
    <xf numFmtId="0" fontId="251" fillId="0" borderId="188" xfId="0" applyFont="1" applyBorder="1"/>
    <xf numFmtId="17" fontId="315" fillId="130" borderId="186" xfId="0" applyNumberFormat="1" applyFont="1" applyFill="1" applyBorder="1" applyAlignment="1">
      <alignment horizontal="center"/>
    </xf>
    <xf numFmtId="213" fontId="320" fillId="133" borderId="192" xfId="863" applyNumberFormat="1" applyFont="1" applyFill="1" applyBorder="1" applyAlignment="1">
      <alignment horizontal="center"/>
    </xf>
    <xf numFmtId="0" fontId="250" fillId="0" borderId="164" xfId="43437" quotePrefix="1" applyFont="1" applyBorder="1" applyAlignment="1">
      <alignment horizontal="left" vertical="center"/>
    </xf>
    <xf numFmtId="277" fontId="250" fillId="41" borderId="164" xfId="43439" applyNumberFormat="1" applyFont="1" applyFill="1" applyBorder="1" applyAlignment="1">
      <alignment vertical="center" wrapText="1"/>
    </xf>
    <xf numFmtId="169" fontId="250" fillId="41" borderId="164" xfId="863" applyNumberFormat="1" applyFont="1" applyFill="1" applyBorder="1" applyAlignment="1">
      <alignment vertical="center" wrapText="1"/>
    </xf>
    <xf numFmtId="169" fontId="250" fillId="41" borderId="164" xfId="863" applyNumberFormat="1" applyFont="1" applyFill="1" applyBorder="1" applyAlignment="1">
      <alignment vertical="center"/>
    </xf>
    <xf numFmtId="0" fontId="250" fillId="122" borderId="164" xfId="43437" applyFont="1" applyFill="1" applyBorder="1" applyAlignment="1">
      <alignment vertical="center" wrapText="1"/>
    </xf>
    <xf numFmtId="0" fontId="43" fillId="0" borderId="164" xfId="2697" applyFont="1" applyBorder="1" applyAlignment="1">
      <alignment vertical="center"/>
    </xf>
    <xf numFmtId="0" fontId="43" fillId="0" borderId="164" xfId="2697" applyFont="1" applyBorder="1"/>
    <xf numFmtId="170" fontId="117" fillId="55" borderId="164" xfId="2697" applyNumberFormat="1" applyFont="1" applyFill="1" applyBorder="1" applyAlignment="1">
      <alignment horizontal="center" vertical="center" wrapText="1"/>
    </xf>
    <xf numFmtId="0" fontId="260" fillId="39" borderId="188" xfId="831" applyFont="1" applyFill="1" applyBorder="1" applyAlignment="1">
      <alignment horizontal="left" vertical="center"/>
    </xf>
    <xf numFmtId="0" fontId="260" fillId="39" borderId="192" xfId="831" applyFont="1" applyFill="1" applyBorder="1" applyAlignment="1">
      <alignment horizontal="left" vertical="center"/>
    </xf>
    <xf numFmtId="14" fontId="250" fillId="0" borderId="187" xfId="831" applyNumberFormat="1" applyFont="1" applyBorder="1" applyAlignment="1">
      <alignment horizontal="center" vertical="center"/>
    </xf>
    <xf numFmtId="0" fontId="250" fillId="0" borderId="187" xfId="831" applyFont="1" applyBorder="1" applyAlignment="1">
      <alignment vertical="center"/>
    </xf>
    <xf numFmtId="167" fontId="250" fillId="0" borderId="187" xfId="863" applyFont="1" applyBorder="1" applyAlignment="1">
      <alignment vertical="center"/>
    </xf>
    <xf numFmtId="271" fontId="250" fillId="0" borderId="187" xfId="863" applyNumberFormat="1" applyFont="1" applyBorder="1" applyAlignment="1">
      <alignment vertical="center"/>
    </xf>
    <xf numFmtId="0" fontId="30" fillId="0" borderId="207" xfId="0" applyFont="1" applyBorder="1" applyAlignment="1">
      <alignment horizontal="right"/>
    </xf>
    <xf numFmtId="166" fontId="208" fillId="59" borderId="207" xfId="0" applyNumberFormat="1" applyFont="1" applyFill="1" applyBorder="1" applyProtection="1">
      <protection hidden="1"/>
    </xf>
    <xf numFmtId="10" fontId="208" fillId="59" borderId="207" xfId="847" applyNumberFormat="1" applyFont="1" applyFill="1" applyBorder="1" applyAlignment="1" applyProtection="1">
      <alignment horizontal="right"/>
      <protection hidden="1"/>
    </xf>
    <xf numFmtId="261" fontId="208" fillId="59" borderId="207" xfId="847" applyNumberFormat="1" applyFont="1" applyFill="1" applyBorder="1" applyAlignment="1" applyProtection="1">
      <alignment horizontal="center"/>
      <protection hidden="1"/>
    </xf>
    <xf numFmtId="14" fontId="208" fillId="56" borderId="207" xfId="834" applyNumberFormat="1" applyFont="1" applyFill="1" applyBorder="1" applyAlignment="1" applyProtection="1">
      <alignment horizontal="left" vertical="center"/>
    </xf>
    <xf numFmtId="0" fontId="208" fillId="56" borderId="207" xfId="834" applyFont="1" applyFill="1" applyBorder="1" applyAlignment="1" applyProtection="1">
      <alignment horizontal="left" vertical="center"/>
    </xf>
    <xf numFmtId="0" fontId="295" fillId="0" borderId="207" xfId="907" applyFont="1" applyBorder="1"/>
    <xf numFmtId="0" fontId="295" fillId="121" borderId="207" xfId="907" applyFont="1" applyFill="1" applyBorder="1"/>
    <xf numFmtId="175" fontId="43" fillId="41" borderId="206" xfId="863" applyNumberFormat="1" applyFont="1" applyFill="1" applyBorder="1" applyAlignment="1">
      <alignment vertical="center"/>
    </xf>
    <xf numFmtId="17" fontId="39" fillId="38" borderId="206" xfId="905" applyNumberFormat="1" applyFont="1" applyFill="1" applyBorder="1" applyAlignment="1">
      <alignment horizontal="center" vertical="center" wrapText="1"/>
    </xf>
    <xf numFmtId="170" fontId="30" fillId="0" borderId="206" xfId="907" applyNumberFormat="1" applyBorder="1" applyAlignment="1">
      <alignment horizontal="center"/>
    </xf>
    <xf numFmtId="167" fontId="0" fillId="9" borderId="206" xfId="863" applyFont="1" applyFill="1" applyBorder="1"/>
    <xf numFmtId="167" fontId="30" fillId="0" borderId="206" xfId="863" applyBorder="1"/>
    <xf numFmtId="14" fontId="251" fillId="56" borderId="207" xfId="834" applyNumberFormat="1" applyFont="1" applyFill="1" applyBorder="1" applyAlignment="1" applyProtection="1">
      <alignment horizontal="left" vertical="center"/>
    </xf>
    <xf numFmtId="169" fontId="309" fillId="42" borderId="206" xfId="863" applyNumberFormat="1" applyFont="1" applyFill="1" applyBorder="1" applyAlignment="1">
      <alignment vertical="center"/>
    </xf>
    <xf numFmtId="0" fontId="250" fillId="0" borderId="206" xfId="43437" quotePrefix="1" applyFont="1" applyBorder="1" applyAlignment="1">
      <alignment horizontal="left" vertical="center"/>
    </xf>
    <xf numFmtId="169" fontId="250" fillId="33" borderId="206" xfId="863" applyNumberFormat="1" applyFont="1" applyFill="1" applyBorder="1" applyAlignment="1">
      <alignment vertical="center"/>
    </xf>
    <xf numFmtId="0" fontId="250" fillId="0" borderId="208" xfId="43437" quotePrefix="1" applyFont="1" applyBorder="1" applyAlignment="1">
      <alignment horizontal="left" vertical="center"/>
    </xf>
    <xf numFmtId="169" fontId="250" fillId="0" borderId="206" xfId="863" applyNumberFormat="1" applyFont="1" applyBorder="1" applyAlignment="1">
      <alignment vertical="center"/>
    </xf>
    <xf numFmtId="169" fontId="250" fillId="0" borderId="207" xfId="863" applyNumberFormat="1" applyFont="1" applyBorder="1" applyAlignment="1">
      <alignment vertical="center"/>
    </xf>
    <xf numFmtId="271" fontId="250" fillId="0" borderId="206" xfId="863" applyNumberFormat="1" applyFont="1" applyBorder="1" applyAlignment="1">
      <alignment vertical="center"/>
    </xf>
    <xf numFmtId="169" fontId="251" fillId="0" borderId="206" xfId="863" applyNumberFormat="1" applyFont="1" applyFill="1" applyBorder="1" applyAlignment="1">
      <alignment vertical="center"/>
    </xf>
    <xf numFmtId="167" fontId="43" fillId="0" borderId="206" xfId="863" applyFont="1" applyBorder="1" applyAlignment="1">
      <alignment vertical="center"/>
    </xf>
    <xf numFmtId="268" fontId="43" fillId="0" borderId="206" xfId="2697" applyNumberFormat="1" applyFont="1" applyBorder="1" applyAlignment="1">
      <alignment vertical="center"/>
    </xf>
    <xf numFmtId="268" fontId="43" fillId="0" borderId="207" xfId="2697" applyNumberFormat="1" applyFont="1" applyBorder="1" applyAlignment="1">
      <alignment vertical="center"/>
    </xf>
    <xf numFmtId="269" fontId="43" fillId="118" borderId="207" xfId="2697" applyNumberFormat="1" applyFont="1" applyFill="1" applyBorder="1" applyAlignment="1">
      <alignment vertical="center"/>
    </xf>
    <xf numFmtId="0" fontId="205" fillId="0" borderId="207" xfId="0" applyFont="1" applyBorder="1"/>
    <xf numFmtId="0" fontId="34" fillId="33" borderId="209" xfId="831" applyFont="1" applyFill="1" applyBorder="1" applyAlignment="1">
      <alignment horizontal="left"/>
    </xf>
    <xf numFmtId="10" fontId="262" fillId="0" borderId="210" xfId="1095" applyNumberFormat="1" applyFont="1" applyFill="1" applyBorder="1" applyAlignment="1">
      <alignment vertical="center"/>
    </xf>
    <xf numFmtId="0" fontId="250" fillId="0" borderId="211" xfId="7308" applyFont="1" applyBorder="1"/>
    <xf numFmtId="166" fontId="250" fillId="41" borderId="210" xfId="902" applyFont="1" applyFill="1" applyBorder="1"/>
    <xf numFmtId="166" fontId="250" fillId="102" borderId="210" xfId="902" applyFont="1" applyFill="1" applyBorder="1"/>
    <xf numFmtId="166" fontId="30" fillId="61" borderId="171" xfId="815" applyFont="1" applyFill="1" applyBorder="1" applyAlignment="1">
      <alignment horizontal="center" vertical="center"/>
    </xf>
    <xf numFmtId="166" fontId="30" fillId="61" borderId="177" xfId="815" applyFont="1" applyFill="1" applyBorder="1" applyAlignment="1">
      <alignment horizontal="center" vertical="center"/>
    </xf>
    <xf numFmtId="0" fontId="43" fillId="61" borderId="0" xfId="0" applyFont="1" applyFill="1"/>
    <xf numFmtId="10" fontId="205" fillId="61" borderId="0" xfId="847" applyNumberFormat="1" applyFont="1" applyFill="1" applyBorder="1"/>
    <xf numFmtId="0" fontId="205" fillId="42" borderId="0" xfId="0" applyFont="1" applyFill="1"/>
    <xf numFmtId="0" fontId="205" fillId="134" borderId="0" xfId="0" applyFont="1" applyFill="1"/>
    <xf numFmtId="0" fontId="205" fillId="126" borderId="0" xfId="0" applyFont="1" applyFill="1"/>
    <xf numFmtId="0" fontId="205" fillId="45" borderId="0" xfId="0" applyFont="1" applyFill="1"/>
    <xf numFmtId="0" fontId="205" fillId="0" borderId="29" xfId="907" applyFont="1" applyBorder="1" applyAlignment="1">
      <alignment horizontal="left" indent="1"/>
    </xf>
    <xf numFmtId="0" fontId="208" fillId="121" borderId="0" xfId="0" applyFont="1" applyFill="1"/>
    <xf numFmtId="0" fontId="205" fillId="99" borderId="0" xfId="0" applyFont="1" applyFill="1"/>
    <xf numFmtId="280" fontId="315" fillId="0" borderId="0" xfId="863" applyNumberFormat="1" applyFont="1" applyFill="1" applyBorder="1" applyAlignment="1">
      <alignment vertical="center"/>
    </xf>
    <xf numFmtId="0" fontId="0" fillId="0" borderId="184" xfId="0" applyBorder="1"/>
    <xf numFmtId="213" fontId="251" fillId="135" borderId="176" xfId="0" applyNumberFormat="1" applyFont="1" applyFill="1" applyBorder="1" applyAlignment="1">
      <alignment horizontal="left" vertical="top"/>
    </xf>
    <xf numFmtId="0" fontId="0" fillId="136" borderId="0" xfId="0" applyFill="1"/>
    <xf numFmtId="0" fontId="321" fillId="136" borderId="0" xfId="0" applyFont="1" applyFill="1"/>
    <xf numFmtId="14" fontId="30" fillId="61" borderId="0" xfId="0" applyNumberFormat="1" applyFont="1" applyFill="1"/>
    <xf numFmtId="0" fontId="324" fillId="137" borderId="188" xfId="43440" applyFont="1" applyFill="1" applyBorder="1" applyAlignment="1">
      <alignment horizontal="center" vertical="center" wrapText="1"/>
    </xf>
    <xf numFmtId="0" fontId="324" fillId="137" borderId="212" xfId="43440" applyFont="1" applyFill="1" applyBorder="1" applyAlignment="1">
      <alignment horizontal="center" vertical="center" wrapText="1"/>
    </xf>
    <xf numFmtId="4" fontId="324" fillId="137" borderId="213" xfId="43440" applyNumberFormat="1" applyFont="1" applyFill="1" applyBorder="1" applyAlignment="1">
      <alignment horizontal="center" vertical="center" wrapText="1"/>
    </xf>
    <xf numFmtId="0" fontId="324" fillId="137" borderId="214" xfId="43440" applyFont="1" applyFill="1" applyBorder="1" applyAlignment="1">
      <alignment horizontal="center" vertical="center" wrapText="1"/>
    </xf>
    <xf numFmtId="4" fontId="324" fillId="137" borderId="215" xfId="43440" applyNumberFormat="1" applyFont="1" applyFill="1" applyBorder="1" applyAlignment="1">
      <alignment horizontal="center" vertical="center" wrapText="1"/>
    </xf>
    <xf numFmtId="0" fontId="317" fillId="0" borderId="0" xfId="43440" applyFont="1" applyAlignment="1">
      <alignment vertical="center"/>
    </xf>
    <xf numFmtId="167" fontId="317" fillId="138" borderId="210" xfId="863" applyFont="1" applyFill="1" applyBorder="1" applyAlignment="1">
      <alignment vertical="center"/>
    </xf>
    <xf numFmtId="167" fontId="317" fillId="138" borderId="188" xfId="863" applyFont="1" applyFill="1" applyBorder="1" applyAlignment="1">
      <alignment vertical="center"/>
    </xf>
    <xf numFmtId="167" fontId="317" fillId="138" borderId="192" xfId="863" applyFont="1" applyFill="1" applyBorder="1" applyAlignment="1">
      <alignment vertical="center"/>
    </xf>
    <xf numFmtId="167" fontId="249" fillId="0" borderId="210" xfId="863" applyFont="1" applyFill="1" applyBorder="1" applyAlignment="1">
      <alignment horizontal="right" vertical="center"/>
    </xf>
    <xf numFmtId="167" fontId="317" fillId="0" borderId="210" xfId="863" applyFont="1" applyFill="1" applyBorder="1" applyAlignment="1">
      <alignment vertical="center"/>
    </xf>
    <xf numFmtId="4" fontId="317" fillId="138" borderId="210" xfId="43440" applyNumberFormat="1" applyFont="1" applyFill="1" applyBorder="1" applyAlignment="1">
      <alignment vertical="center"/>
    </xf>
    <xf numFmtId="4" fontId="317" fillId="0" borderId="210" xfId="43440" applyNumberFormat="1" applyFont="1" applyBorder="1" applyAlignment="1">
      <alignment vertical="center"/>
    </xf>
    <xf numFmtId="167" fontId="325" fillId="133" borderId="210" xfId="863" applyFont="1" applyFill="1" applyBorder="1" applyAlignment="1">
      <alignment vertical="center"/>
    </xf>
    <xf numFmtId="0" fontId="317" fillId="0" borderId="188" xfId="43440" applyFont="1" applyBorder="1" applyAlignment="1">
      <alignment vertical="center"/>
    </xf>
    <xf numFmtId="0" fontId="317" fillId="0" borderId="192" xfId="43440" applyFont="1" applyBorder="1" applyAlignment="1">
      <alignment vertical="center"/>
    </xf>
    <xf numFmtId="43" fontId="249" fillId="139" borderId="187" xfId="43441" applyFont="1" applyFill="1" applyBorder="1" applyAlignment="1">
      <alignment horizontal="right" vertical="center"/>
    </xf>
    <xf numFmtId="167" fontId="317" fillId="0" borderId="0" xfId="863" applyFont="1" applyFill="1" applyBorder="1" applyAlignment="1">
      <alignment vertical="center"/>
    </xf>
    <xf numFmtId="281" fontId="317" fillId="0" borderId="216" xfId="43440" applyNumberFormat="1" applyFont="1" applyBorder="1" applyAlignment="1">
      <alignment horizontal="center" vertical="center"/>
    </xf>
    <xf numFmtId="43" fontId="249" fillId="138" borderId="193" xfId="43441" applyFont="1" applyFill="1" applyBorder="1" applyAlignment="1">
      <alignment vertical="center"/>
    </xf>
    <xf numFmtId="43" fontId="249" fillId="138" borderId="0" xfId="43441" applyFont="1" applyFill="1" applyBorder="1" applyAlignment="1">
      <alignment vertical="center"/>
    </xf>
    <xf numFmtId="0" fontId="317" fillId="138" borderId="193" xfId="43440" applyFont="1" applyFill="1" applyBorder="1" applyAlignment="1">
      <alignment vertical="center"/>
    </xf>
    <xf numFmtId="167" fontId="249" fillId="0" borderId="193" xfId="863" applyFont="1" applyFill="1" applyBorder="1" applyAlignment="1">
      <alignment vertical="center"/>
    </xf>
    <xf numFmtId="43" fontId="249" fillId="138" borderId="10" xfId="43441" applyFont="1" applyFill="1" applyBorder="1" applyAlignment="1">
      <alignment vertical="center"/>
    </xf>
    <xf numFmtId="0" fontId="317" fillId="138" borderId="10" xfId="43440" applyFont="1" applyFill="1" applyBorder="1" applyAlignment="1">
      <alignment vertical="center"/>
    </xf>
    <xf numFmtId="43" fontId="249" fillId="0" borderId="0" xfId="43441" applyFont="1" applyFill="1" applyBorder="1" applyAlignment="1">
      <alignment vertical="center"/>
    </xf>
    <xf numFmtId="0" fontId="317" fillId="138" borderId="0" xfId="43440" applyFont="1" applyFill="1" applyAlignment="1">
      <alignment vertical="center"/>
    </xf>
    <xf numFmtId="4" fontId="317" fillId="138" borderId="10" xfId="43440" applyNumberFormat="1" applyFont="1" applyFill="1" applyBorder="1" applyAlignment="1">
      <alignment vertical="center"/>
    </xf>
    <xf numFmtId="281" fontId="325" fillId="0" borderId="188" xfId="43440" applyNumberFormat="1" applyFont="1" applyBorder="1" applyAlignment="1">
      <alignment horizontal="center" vertical="center"/>
    </xf>
    <xf numFmtId="167" fontId="325" fillId="0" borderId="187" xfId="863" applyFont="1" applyFill="1" applyBorder="1" applyAlignment="1">
      <alignment vertical="center"/>
    </xf>
    <xf numFmtId="0" fontId="250" fillId="41" borderId="0" xfId="2697" applyFont="1" applyFill="1" applyAlignment="1">
      <alignment vertical="center"/>
    </xf>
    <xf numFmtId="43" fontId="250" fillId="41" borderId="0" xfId="43199" applyFont="1" applyFill="1" applyAlignment="1">
      <alignment vertical="center"/>
    </xf>
    <xf numFmtId="167" fontId="250" fillId="41" borderId="0" xfId="863" applyFont="1" applyFill="1" applyAlignment="1">
      <alignment vertical="center"/>
    </xf>
    <xf numFmtId="213" fontId="250" fillId="0" borderId="0" xfId="0" applyNumberFormat="1" applyFont="1" applyAlignment="1">
      <alignment horizontal="center" wrapText="1"/>
    </xf>
    <xf numFmtId="166" fontId="30" fillId="61" borderId="169" xfId="815" applyFont="1" applyFill="1" applyBorder="1" applyAlignment="1">
      <alignment horizontal="center" vertical="center"/>
    </xf>
    <xf numFmtId="166" fontId="30" fillId="61" borderId="181" xfId="815" applyFont="1" applyFill="1" applyBorder="1" applyAlignment="1">
      <alignment horizontal="center" vertical="center"/>
    </xf>
    <xf numFmtId="216" fontId="296" fillId="42" borderId="164" xfId="847" applyNumberFormat="1" applyFont="1" applyFill="1" applyBorder="1"/>
    <xf numFmtId="216" fontId="296" fillId="42" borderId="0" xfId="847" applyNumberFormat="1" applyFont="1" applyFill="1"/>
    <xf numFmtId="43" fontId="296" fillId="42" borderId="164" xfId="43408" applyFont="1" applyFill="1" applyBorder="1"/>
    <xf numFmtId="43" fontId="295" fillId="42" borderId="0" xfId="43408" applyFont="1" applyFill="1"/>
    <xf numFmtId="0" fontId="205" fillId="41" borderId="0" xfId="0" applyFont="1" applyFill="1" applyAlignment="1">
      <alignment horizontal="left" indent="1"/>
    </xf>
    <xf numFmtId="0" fontId="250" fillId="61" borderId="0" xfId="0" applyFont="1" applyFill="1"/>
    <xf numFmtId="37" fontId="205" fillId="41" borderId="0" xfId="0" applyNumberFormat="1" applyFont="1" applyFill="1" applyAlignment="1">
      <alignment horizontal="left"/>
    </xf>
    <xf numFmtId="0" fontId="326" fillId="0" borderId="0" xfId="0" applyFont="1"/>
    <xf numFmtId="282" fontId="327" fillId="0" borderId="187" xfId="0" applyNumberFormat="1" applyFont="1" applyBorder="1" applyAlignment="1">
      <alignment horizontal="center" vertical="center"/>
    </xf>
    <xf numFmtId="167" fontId="205" fillId="0" borderId="176" xfId="0" applyNumberFormat="1" applyFont="1" applyBorder="1"/>
    <xf numFmtId="0" fontId="251" fillId="0" borderId="0" xfId="907" applyFont="1" applyAlignment="1">
      <alignment vertical="center"/>
    </xf>
    <xf numFmtId="0" fontId="250" fillId="0" borderId="0" xfId="907" applyFont="1" applyAlignment="1">
      <alignment vertical="center"/>
    </xf>
    <xf numFmtId="0" fontId="314" fillId="43" borderId="187" xfId="907" applyFont="1" applyFill="1" applyBorder="1" applyAlignment="1">
      <alignment vertical="center"/>
    </xf>
    <xf numFmtId="10" fontId="250" fillId="0" borderId="187" xfId="847" applyNumberFormat="1" applyFont="1" applyBorder="1" applyAlignment="1">
      <alignment vertical="center"/>
    </xf>
    <xf numFmtId="167" fontId="208" fillId="61" borderId="0" xfId="863" applyFont="1" applyFill="1" applyBorder="1"/>
    <xf numFmtId="169" fontId="249" fillId="0" borderId="0" xfId="863" applyNumberFormat="1" applyFont="1" applyFill="1" applyBorder="1" applyAlignment="1">
      <alignment vertical="center"/>
    </xf>
    <xf numFmtId="40" fontId="247" fillId="140" borderId="0" xfId="0" applyNumberFormat="1" applyFont="1" applyFill="1" applyAlignment="1">
      <alignment vertical="center"/>
    </xf>
    <xf numFmtId="0" fontId="43" fillId="41" borderId="0" xfId="43437" applyFont="1" applyFill="1" applyAlignment="1">
      <alignment vertical="center"/>
    </xf>
    <xf numFmtId="10" fontId="30" fillId="110" borderId="0" xfId="0" applyNumberFormat="1" applyFont="1" applyFill="1" applyAlignment="1">
      <alignment horizontal="center" vertical="distributed"/>
    </xf>
    <xf numFmtId="10" fontId="247" fillId="141" borderId="0" xfId="847" applyNumberFormat="1" applyFont="1" applyFill="1" applyBorder="1"/>
    <xf numFmtId="10" fontId="210" fillId="0" borderId="0" xfId="847" applyNumberFormat="1" applyFont="1"/>
    <xf numFmtId="44" fontId="205" fillId="41" borderId="0" xfId="0" applyNumberFormat="1" applyFont="1" applyFill="1"/>
    <xf numFmtId="40" fontId="247" fillId="140" borderId="186" xfId="0" applyNumberFormat="1" applyFont="1" applyFill="1" applyBorder="1" applyAlignment="1">
      <alignment vertical="center"/>
    </xf>
    <xf numFmtId="204" fontId="116" fillId="0" borderId="0" xfId="0" applyNumberFormat="1" applyFont="1"/>
    <xf numFmtId="4" fontId="329" fillId="0" borderId="0" xfId="0" applyNumberFormat="1" applyFont="1"/>
    <xf numFmtId="204" fontId="329" fillId="0" borderId="0" xfId="0" applyNumberFormat="1" applyFont="1"/>
    <xf numFmtId="267" fontId="205" fillId="0" borderId="0" xfId="847" applyNumberFormat="1" applyFont="1"/>
    <xf numFmtId="0" fontId="205" fillId="0" borderId="0" xfId="0" pivotButton="1" applyFont="1"/>
    <xf numFmtId="204" fontId="205" fillId="0" borderId="0" xfId="0" applyNumberFormat="1" applyFont="1" applyAlignment="1">
      <alignment horizontal="left"/>
    </xf>
    <xf numFmtId="0" fontId="208" fillId="44" borderId="146" xfId="0" applyFont="1" applyFill="1" applyBorder="1" applyAlignment="1">
      <alignment horizontal="center" vertical="center" textRotation="90"/>
    </xf>
    <xf numFmtId="0" fontId="208" fillId="44" borderId="10" xfId="0" applyFont="1" applyFill="1" applyBorder="1" applyAlignment="1">
      <alignment horizontal="center" vertical="center" textRotation="90"/>
    </xf>
    <xf numFmtId="0" fontId="208" fillId="44" borderId="206" xfId="0" applyFont="1" applyFill="1" applyBorder="1" applyAlignment="1">
      <alignment horizontal="center" vertical="center" textRotation="90"/>
    </xf>
    <xf numFmtId="166" fontId="30" fillId="42" borderId="144" xfId="815" applyFont="1" applyFill="1" applyBorder="1" applyAlignment="1">
      <alignment horizontal="center"/>
    </xf>
    <xf numFmtId="0" fontId="272" fillId="43" borderId="166" xfId="0" applyFont="1" applyFill="1" applyBorder="1" applyAlignment="1">
      <alignment horizontal="center" vertical="center" wrapText="1"/>
    </xf>
    <xf numFmtId="0" fontId="272" fillId="43" borderId="158" xfId="0" applyFont="1" applyFill="1" applyBorder="1" applyAlignment="1">
      <alignment horizontal="center" vertical="center" wrapText="1"/>
    </xf>
    <xf numFmtId="166" fontId="30" fillId="59" borderId="168" xfId="815" applyFont="1" applyFill="1" applyBorder="1" applyAlignment="1">
      <alignment horizontal="center" vertical="center"/>
    </xf>
    <xf numFmtId="166" fontId="30" fillId="59" borderId="173" xfId="815" applyFont="1" applyFill="1" applyBorder="1" applyAlignment="1">
      <alignment horizontal="center" vertical="center"/>
    </xf>
    <xf numFmtId="0" fontId="272" fillId="0" borderId="144" xfId="0" applyFont="1" applyBorder="1" applyAlignment="1">
      <alignment horizontal="center" vertical="center" wrapText="1"/>
    </xf>
    <xf numFmtId="166" fontId="30" fillId="59" borderId="170" xfId="815" applyFont="1" applyFill="1" applyBorder="1" applyAlignment="1">
      <alignment horizontal="center" vertical="center"/>
    </xf>
    <xf numFmtId="166" fontId="30" fillId="59" borderId="175" xfId="815" applyFont="1" applyFill="1" applyBorder="1" applyAlignment="1">
      <alignment horizontal="center" vertical="center"/>
    </xf>
    <xf numFmtId="167" fontId="116" fillId="103" borderId="144" xfId="863" applyFont="1" applyFill="1" applyBorder="1" applyAlignment="1">
      <alignment horizontal="center" vertical="top" wrapText="1"/>
    </xf>
    <xf numFmtId="0" fontId="30" fillId="0" borderId="20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79" fillId="96" borderId="20" xfId="0" applyFont="1" applyFill="1" applyBorder="1" applyAlignment="1">
      <alignment horizontal="center" vertical="center"/>
    </xf>
    <xf numFmtId="0" fontId="279" fillId="96" borderId="0" xfId="0" applyFont="1" applyFill="1" applyAlignment="1">
      <alignment horizontal="center" vertical="center"/>
    </xf>
    <xf numFmtId="0" fontId="36" fillId="0" borderId="176" xfId="0" applyFont="1" applyBorder="1" applyAlignment="1">
      <alignment horizontal="left"/>
    </xf>
    <xf numFmtId="0" fontId="30" fillId="59" borderId="176" xfId="907" applyFill="1" applyBorder="1" applyAlignment="1">
      <alignment horizontal="left"/>
    </xf>
    <xf numFmtId="166" fontId="30" fillId="59" borderId="165" xfId="815" applyFont="1" applyFill="1" applyBorder="1" applyAlignment="1">
      <alignment horizontal="center" vertical="center"/>
    </xf>
    <xf numFmtId="166" fontId="30" fillId="59" borderId="174" xfId="815" applyFont="1" applyFill="1" applyBorder="1" applyAlignment="1">
      <alignment horizontal="center" vertical="center"/>
    </xf>
    <xf numFmtId="0" fontId="30" fillId="59" borderId="164" xfId="907" applyFill="1" applyBorder="1" applyAlignment="1">
      <alignment horizontal="left"/>
    </xf>
    <xf numFmtId="0" fontId="30" fillId="59" borderId="0" xfId="907" applyFill="1" applyAlignment="1">
      <alignment horizontal="left"/>
    </xf>
    <xf numFmtId="166" fontId="30" fillId="61" borderId="165" xfId="815" applyFont="1" applyFill="1" applyBorder="1" applyAlignment="1">
      <alignment horizontal="center" vertical="center"/>
    </xf>
    <xf numFmtId="166" fontId="30" fillId="61" borderId="174" xfId="815" applyFont="1" applyFill="1" applyBorder="1" applyAlignment="1">
      <alignment horizontal="center" vertical="center"/>
    </xf>
    <xf numFmtId="166" fontId="30" fillId="61" borderId="168" xfId="815" applyFont="1" applyFill="1" applyBorder="1" applyAlignment="1">
      <alignment horizontal="center" vertical="center"/>
    </xf>
    <xf numFmtId="166" fontId="30" fillId="61" borderId="173" xfId="815" applyFont="1" applyFill="1" applyBorder="1" applyAlignment="1">
      <alignment horizontal="center" vertical="center"/>
    </xf>
    <xf numFmtId="166" fontId="30" fillId="44" borderId="170" xfId="815" applyFont="1" applyFill="1" applyBorder="1" applyAlignment="1">
      <alignment horizontal="center" vertical="center"/>
    </xf>
    <xf numFmtId="166" fontId="30" fillId="44" borderId="175" xfId="815" applyFont="1" applyFill="1" applyBorder="1" applyAlignment="1">
      <alignment horizontal="center" vertical="center"/>
    </xf>
    <xf numFmtId="0" fontId="235" fillId="0" borderId="164" xfId="907" applyFont="1" applyBorder="1" applyAlignment="1">
      <alignment horizontal="left"/>
    </xf>
    <xf numFmtId="0" fontId="36" fillId="0" borderId="164" xfId="907" applyFont="1" applyBorder="1" applyAlignment="1">
      <alignment horizontal="left"/>
    </xf>
    <xf numFmtId="9" fontId="38" fillId="38" borderId="0" xfId="1823" applyFont="1" applyFill="1" applyBorder="1" applyAlignment="1">
      <alignment horizontal="center" vertical="center" wrapText="1"/>
    </xf>
    <xf numFmtId="166" fontId="110" fillId="41" borderId="0" xfId="907" applyNumberFormat="1" applyFont="1" applyFill="1" applyAlignment="1">
      <alignment horizontal="center"/>
    </xf>
    <xf numFmtId="0" fontId="143" fillId="41" borderId="0" xfId="907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7" fillId="55" borderId="144" xfId="954" applyFont="1" applyFill="1" applyBorder="1" applyAlignment="1">
      <alignment horizontal="center" vertical="center"/>
    </xf>
    <xf numFmtId="9" fontId="38" fillId="0" borderId="0" xfId="1823" applyFont="1" applyFill="1" applyBorder="1" applyAlignment="1">
      <alignment horizontal="center" vertical="center" wrapText="1"/>
    </xf>
    <xf numFmtId="0" fontId="110" fillId="41" borderId="0" xfId="2697" applyFont="1" applyFill="1" applyAlignment="1">
      <alignment horizontal="center" vertical="center"/>
    </xf>
    <xf numFmtId="0" fontId="43" fillId="41" borderId="0" xfId="907" applyFont="1" applyFill="1" applyAlignment="1">
      <alignment horizontal="left" indent="1"/>
    </xf>
    <xf numFmtId="0" fontId="117" fillId="41" borderId="0" xfId="907" applyFont="1" applyFill="1" applyAlignment="1">
      <alignment horizontal="left"/>
    </xf>
    <xf numFmtId="9" fontId="38" fillId="0" borderId="0" xfId="1823" applyFont="1" applyFill="1" applyBorder="1" applyAlignment="1">
      <alignment horizontal="left" vertical="center" wrapText="1"/>
    </xf>
    <xf numFmtId="9" fontId="43" fillId="0" borderId="0" xfId="1823" applyFont="1" applyFill="1" applyBorder="1" applyAlignment="1">
      <alignment horizontal="left" vertical="center" wrapText="1"/>
    </xf>
    <xf numFmtId="0" fontId="296" fillId="0" borderId="0" xfId="0" applyFont="1" applyAlignment="1">
      <alignment horizontal="center"/>
    </xf>
    <xf numFmtId="0" fontId="296" fillId="0" borderId="164" xfId="0" applyFont="1" applyBorder="1" applyAlignment="1">
      <alignment horizontal="center"/>
    </xf>
    <xf numFmtId="0" fontId="36" fillId="0" borderId="187" xfId="907" applyFont="1" applyBorder="1" applyAlignment="1">
      <alignment horizontal="center"/>
    </xf>
    <xf numFmtId="0" fontId="36" fillId="0" borderId="189" xfId="907" applyFont="1" applyBorder="1" applyAlignment="1">
      <alignment horizontal="center"/>
    </xf>
    <xf numFmtId="0" fontId="36" fillId="0" borderId="164" xfId="907" applyFont="1" applyBorder="1" applyAlignment="1">
      <alignment horizontal="center"/>
    </xf>
    <xf numFmtId="0" fontId="205" fillId="33" borderId="188" xfId="831" applyFont="1" applyFill="1" applyBorder="1" applyAlignment="1">
      <alignment horizontal="center" vertical="center"/>
    </xf>
    <xf numFmtId="0" fontId="205" fillId="33" borderId="192" xfId="831" applyFont="1" applyFill="1" applyBorder="1" applyAlignment="1">
      <alignment horizontal="center" vertical="center"/>
    </xf>
    <xf numFmtId="17" fontId="38" fillId="55" borderId="126" xfId="905" applyNumberFormat="1" applyFont="1" applyFill="1" applyBorder="1" applyAlignment="1">
      <alignment horizontal="center" vertical="center" wrapText="1"/>
    </xf>
    <xf numFmtId="253" fontId="38" fillId="55" borderId="195" xfId="863" applyNumberFormat="1" applyFont="1" applyFill="1" applyBorder="1" applyAlignment="1">
      <alignment horizontal="center" vertical="center" wrapText="1"/>
    </xf>
    <xf numFmtId="17" fontId="38" fillId="55" borderId="127" xfId="905" applyNumberFormat="1" applyFont="1" applyFill="1" applyBorder="1" applyAlignment="1">
      <alignment horizontal="center" vertical="center" wrapText="1"/>
    </xf>
    <xf numFmtId="169" fontId="38" fillId="55" borderId="128" xfId="863" applyNumberFormat="1" applyFont="1" applyFill="1" applyBorder="1" applyAlignment="1">
      <alignment horizontal="center" vertical="center"/>
    </xf>
    <xf numFmtId="169" fontId="38" fillId="55" borderId="129" xfId="863" applyNumberFormat="1" applyFont="1" applyFill="1" applyBorder="1" applyAlignment="1">
      <alignment horizontal="center" vertical="center"/>
    </xf>
    <xf numFmtId="0" fontId="38" fillId="55" borderId="130" xfId="905" applyFont="1" applyFill="1" applyBorder="1" applyAlignment="1">
      <alignment horizontal="center" vertical="center"/>
    </xf>
    <xf numFmtId="0" fontId="38" fillId="55" borderId="0" xfId="905" applyFont="1" applyFill="1" applyAlignment="1">
      <alignment horizontal="center" vertical="center"/>
    </xf>
    <xf numFmtId="0" fontId="117" fillId="55" borderId="131" xfId="2697" applyFont="1" applyFill="1" applyBorder="1" applyAlignment="1">
      <alignment horizontal="center" vertical="center"/>
    </xf>
    <xf numFmtId="0" fontId="117" fillId="55" borderId="0" xfId="2697" applyFont="1" applyFill="1" applyAlignment="1">
      <alignment horizontal="center" vertical="center"/>
    </xf>
    <xf numFmtId="0" fontId="117" fillId="55" borderId="136" xfId="2697" applyFont="1" applyFill="1" applyBorder="1" applyAlignment="1">
      <alignment horizontal="center" vertical="center"/>
    </xf>
    <xf numFmtId="0" fontId="117" fillId="55" borderId="125" xfId="2697" applyFont="1" applyFill="1" applyBorder="1" applyAlignment="1">
      <alignment horizontal="center" vertical="center"/>
    </xf>
    <xf numFmtId="169" fontId="117" fillId="55" borderId="132" xfId="863" applyNumberFormat="1" applyFont="1" applyFill="1" applyBorder="1" applyAlignment="1">
      <alignment horizontal="center" vertical="center" wrapText="1"/>
    </xf>
    <xf numFmtId="169" fontId="117" fillId="55" borderId="133" xfId="863" applyNumberFormat="1" applyFont="1" applyFill="1" applyBorder="1" applyAlignment="1">
      <alignment horizontal="center" vertical="center" wrapText="1"/>
    </xf>
    <xf numFmtId="169" fontId="117" fillId="55" borderId="134" xfId="863" applyNumberFormat="1" applyFont="1" applyFill="1" applyBorder="1" applyAlignment="1">
      <alignment horizontal="center" vertical="center" wrapText="1"/>
    </xf>
    <xf numFmtId="0" fontId="117" fillId="55" borderId="135" xfId="2697" applyFont="1" applyFill="1" applyBorder="1" applyAlignment="1">
      <alignment horizontal="center" vertical="center" wrapText="1"/>
    </xf>
    <xf numFmtId="0" fontId="117" fillId="55" borderId="133" xfId="2697" applyFont="1" applyFill="1" applyBorder="1" applyAlignment="1">
      <alignment horizontal="center" vertical="center" wrapText="1"/>
    </xf>
    <xf numFmtId="0" fontId="117" fillId="55" borderId="134" xfId="2697" applyFont="1" applyFill="1" applyBorder="1" applyAlignment="1">
      <alignment horizontal="center" vertical="center" wrapText="1"/>
    </xf>
    <xf numFmtId="0" fontId="212" fillId="43" borderId="186" xfId="0" applyFont="1" applyFill="1" applyBorder="1" applyAlignment="1">
      <alignment horizontal="center" vertical="center" wrapText="1"/>
    </xf>
    <xf numFmtId="0" fontId="208" fillId="97" borderId="186" xfId="0" applyFont="1" applyFill="1" applyBorder="1" applyAlignment="1">
      <alignment horizontal="center" vertical="center" wrapText="1"/>
    </xf>
    <xf numFmtId="0" fontId="0" fillId="136" borderId="0" xfId="0" applyFill="1" applyAlignment="1">
      <alignment horizontal="center" wrapText="1"/>
    </xf>
    <xf numFmtId="0" fontId="272" fillId="101" borderId="187" xfId="2697" applyFont="1" applyFill="1" applyBorder="1" applyAlignment="1">
      <alignment horizontal="center"/>
    </xf>
    <xf numFmtId="0" fontId="117" fillId="55" borderId="126" xfId="2697" applyFont="1" applyFill="1" applyBorder="1" applyAlignment="1">
      <alignment horizontal="left" vertical="center" wrapText="1"/>
    </xf>
    <xf numFmtId="0" fontId="117" fillId="55" borderId="163" xfId="2697" applyFont="1" applyFill="1" applyBorder="1" applyAlignment="1">
      <alignment horizontal="left" vertical="center" wrapText="1"/>
    </xf>
    <xf numFmtId="0" fontId="117" fillId="55" borderId="131" xfId="2697" applyFont="1" applyFill="1" applyBorder="1" applyAlignment="1">
      <alignment horizontal="left" vertical="center" wrapText="1"/>
    </xf>
    <xf numFmtId="0" fontId="208" fillId="41" borderId="189" xfId="832" applyFont="1" applyFill="1" applyBorder="1" applyAlignment="1">
      <alignment horizontal="center" vertical="center" wrapText="1"/>
    </xf>
    <xf numFmtId="0" fontId="208" fillId="41" borderId="190" xfId="0" applyFont="1" applyFill="1" applyBorder="1" applyAlignment="1">
      <alignment horizontal="center" vertical="center" wrapText="1"/>
    </xf>
    <xf numFmtId="0" fontId="208" fillId="0" borderId="189" xfId="0" applyFont="1" applyBorder="1" applyAlignment="1">
      <alignment horizontal="center" vertical="center"/>
    </xf>
    <xf numFmtId="0" fontId="208" fillId="0" borderId="190" xfId="0" applyFont="1" applyBorder="1" applyAlignment="1">
      <alignment horizontal="center" vertical="center"/>
    </xf>
    <xf numFmtId="0" fontId="208" fillId="0" borderId="188" xfId="0" applyFont="1" applyBorder="1" applyAlignment="1">
      <alignment horizontal="center" vertical="center"/>
    </xf>
    <xf numFmtId="0" fontId="208" fillId="0" borderId="192" xfId="0" applyFont="1" applyBorder="1" applyAlignment="1">
      <alignment horizontal="center" vertical="center"/>
    </xf>
    <xf numFmtId="0" fontId="208" fillId="41" borderId="189" xfId="0" applyFont="1" applyFill="1" applyBorder="1" applyAlignment="1">
      <alignment horizontal="center" vertical="center"/>
    </xf>
    <xf numFmtId="0" fontId="208" fillId="41" borderId="190" xfId="0" applyFont="1" applyFill="1" applyBorder="1" applyAlignment="1">
      <alignment horizontal="center" vertical="center"/>
    </xf>
    <xf numFmtId="0" fontId="208" fillId="0" borderId="0" xfId="0" applyFont="1" applyAlignment="1">
      <alignment horizontal="center"/>
    </xf>
    <xf numFmtId="0" fontId="215" fillId="0" borderId="0" xfId="836" applyFont="1" applyFill="1" applyBorder="1" applyAlignment="1">
      <alignment horizontal="left" vertical="center" wrapText="1"/>
    </xf>
    <xf numFmtId="0" fontId="205" fillId="0" borderId="0" xfId="0" applyFont="1" applyAlignment="1">
      <alignment horizontal="left" vertical="center" wrapText="1"/>
    </xf>
    <xf numFmtId="0" fontId="207" fillId="0" borderId="186" xfId="833" applyFont="1" applyBorder="1" applyAlignment="1">
      <alignment horizontal="left" vertical="center" wrapText="1"/>
    </xf>
    <xf numFmtId="0" fontId="205" fillId="0" borderId="186" xfId="0" applyFont="1" applyBorder="1" applyAlignment="1">
      <alignment horizontal="left" vertical="center" wrapText="1"/>
    </xf>
    <xf numFmtId="0" fontId="208" fillId="0" borderId="188" xfId="0" applyFont="1" applyBorder="1" applyAlignment="1">
      <alignment horizontal="left" vertical="center"/>
    </xf>
    <xf numFmtId="0" fontId="208" fillId="0" borderId="192" xfId="0" applyFont="1" applyBorder="1" applyAlignment="1">
      <alignment horizontal="left" vertical="center"/>
    </xf>
    <xf numFmtId="0" fontId="215" fillId="0" borderId="176" xfId="836" applyFont="1" applyFill="1" applyBorder="1" applyAlignment="1">
      <alignment horizontal="left" vertical="center" wrapText="1"/>
    </xf>
    <xf numFmtId="0" fontId="205" fillId="0" borderId="176" xfId="0" applyFont="1" applyBorder="1" applyAlignment="1">
      <alignment horizontal="left" vertical="center" wrapText="1"/>
    </xf>
    <xf numFmtId="0" fontId="215" fillId="0" borderId="186" xfId="836" applyFont="1" applyFill="1" applyBorder="1" applyAlignment="1">
      <alignment horizontal="left" vertical="center" wrapText="1"/>
    </xf>
    <xf numFmtId="0" fontId="215" fillId="0" borderId="191" xfId="836" applyFont="1" applyFill="1" applyBorder="1" applyAlignment="1">
      <alignment horizontal="left" vertical="center" wrapText="1"/>
    </xf>
    <xf numFmtId="0" fontId="205" fillId="0" borderId="191" xfId="0" applyFont="1" applyBorder="1" applyAlignment="1">
      <alignment horizontal="left" vertical="center" wrapText="1"/>
    </xf>
    <xf numFmtId="0" fontId="208" fillId="0" borderId="189" xfId="0" applyFont="1" applyBorder="1" applyAlignment="1">
      <alignment horizontal="center" vertical="center" wrapText="1"/>
    </xf>
    <xf numFmtId="0" fontId="208" fillId="0" borderId="190" xfId="0" applyFont="1" applyBorder="1" applyAlignment="1">
      <alignment horizontal="center" vertical="center" wrapText="1"/>
    </xf>
    <xf numFmtId="0" fontId="208" fillId="105" borderId="188" xfId="0" applyFont="1" applyFill="1" applyBorder="1" applyAlignment="1">
      <alignment horizontal="center" vertical="center"/>
    </xf>
    <xf numFmtId="0" fontId="208" fillId="105" borderId="192" xfId="0" applyFont="1" applyFill="1" applyBorder="1" applyAlignment="1">
      <alignment horizontal="center" vertical="center"/>
    </xf>
    <xf numFmtId="10" fontId="250" fillId="0" borderId="188" xfId="7308" applyNumberFormat="1" applyFont="1" applyBorder="1" applyAlignment="1">
      <alignment horizontal="center"/>
    </xf>
    <xf numFmtId="0" fontId="250" fillId="0" borderId="186" xfId="7308" applyFont="1" applyBorder="1" applyAlignment="1">
      <alignment horizontal="center"/>
    </xf>
    <xf numFmtId="0" fontId="250" fillId="0" borderId="192" xfId="7308" applyFont="1" applyBorder="1" applyAlignment="1">
      <alignment horizontal="center"/>
    </xf>
    <xf numFmtId="213" fontId="250" fillId="0" borderId="188" xfId="43165" applyNumberFormat="1" applyFont="1" applyBorder="1" applyAlignment="1">
      <alignment horizontal="center"/>
    </xf>
    <xf numFmtId="213" fontId="250" fillId="0" borderId="186" xfId="43165" applyNumberFormat="1" applyFont="1" applyBorder="1" applyAlignment="1">
      <alignment horizontal="center"/>
    </xf>
    <xf numFmtId="213" fontId="250" fillId="0" borderId="192" xfId="43165" applyNumberFormat="1" applyFont="1" applyBorder="1" applyAlignment="1">
      <alignment horizontal="center"/>
    </xf>
    <xf numFmtId="213" fontId="250" fillId="0" borderId="188" xfId="7308" applyNumberFormat="1" applyFont="1" applyBorder="1" applyAlignment="1">
      <alignment horizontal="center"/>
    </xf>
    <xf numFmtId="213" fontId="250" fillId="0" borderId="186" xfId="7308" applyNumberFormat="1" applyFont="1" applyBorder="1" applyAlignment="1">
      <alignment horizontal="center"/>
    </xf>
    <xf numFmtId="213" fontId="250" fillId="0" borderId="192" xfId="7308" applyNumberFormat="1" applyFont="1" applyBorder="1" applyAlignment="1">
      <alignment horizontal="center"/>
    </xf>
  </cellXfs>
  <cellStyles count="43442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E267E04B-0DFC-4285-B867-5B9B1677BA66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A6C834A5-1311-4504-B101-460A5A413B24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69" formatCode="_(* #,##0_);_(* \(#,##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6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6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4" formatCode="dd/mm/yy"/>
    </dxf>
    <dxf>
      <numFmt numFmtId="204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7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7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7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7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1"/>
    </tableStyle>
    <tableStyle name="Padrão" pivot="0" count="1" xr9:uid="{3101F1C1-6DA4-4166-994B-3EC22CFD8317}">
      <tableStyleElement type="headerRow" dxfId="580"/>
    </tableStyle>
    <tableStyle name="Padrão 2" pivot="0" count="2" xr9:uid="{85D0CDF3-BF56-48CA-93DE-51D2DBCCC9A6}">
      <tableStyleElement type="wholeTable" dxfId="579"/>
      <tableStyleElement type="headerRow" dxfId="57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5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8.xml"/><Relationship Id="rId47" Type="http://schemas.openxmlformats.org/officeDocument/2006/relationships/externalLink" Target="externalLinks/externalLink13.xml"/><Relationship Id="rId50" Type="http://schemas.openxmlformats.org/officeDocument/2006/relationships/pivotCacheDefinition" Target="pivotCache/pivotCacheDefinition1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externalLink" Target="externalLinks/externalLink6.xml"/><Relationship Id="rId45" Type="http://schemas.openxmlformats.org/officeDocument/2006/relationships/externalLink" Target="externalLinks/externalLink11.xml"/><Relationship Id="rId53" Type="http://schemas.openxmlformats.org/officeDocument/2006/relationships/connections" Target="connections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externalLink" Target="externalLinks/externalLink9.xml"/><Relationship Id="rId48" Type="http://schemas.openxmlformats.org/officeDocument/2006/relationships/externalLink" Target="externalLinks/externalLink14.xml"/><Relationship Id="rId56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4.xml"/><Relationship Id="rId46" Type="http://schemas.openxmlformats.org/officeDocument/2006/relationships/externalLink" Target="externalLinks/externalLink12.xml"/><Relationship Id="rId59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7.xml"/><Relationship Id="rId54" Type="http://schemas.openxmlformats.org/officeDocument/2006/relationships/styles" Target="styles.xml"/><Relationship Id="rId62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49" Type="http://schemas.openxmlformats.org/officeDocument/2006/relationships/externalLink" Target="externalLinks/externalLink15.xml"/><Relationship Id="rId57" Type="http://schemas.microsoft.com/office/2017/10/relationships/person" Target="persons/perso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0.xml"/><Relationship Id="rId52" Type="http://schemas.openxmlformats.org/officeDocument/2006/relationships/theme" Target="theme/theme1.xml"/><Relationship Id="rId6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4.7585494101121117E-2</c:v>
                </c:pt>
                <c:pt idx="1">
                  <c:v>-7.9032577877679571E-3</c:v>
                </c:pt>
                <c:pt idx="2">
                  <c:v>3.5380389647754695E-2</c:v>
                </c:pt>
                <c:pt idx="3">
                  <c:v>9.2967980587250074E-2</c:v>
                </c:pt>
                <c:pt idx="4">
                  <c:v>-0.22670000000000001</c:v>
                </c:pt>
                <c:pt idx="5">
                  <c:v>0.31259999999999999</c:v>
                </c:pt>
                <c:pt idx="6">
                  <c:v>0.25388708845325225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0.49573545681268411</c:v>
                </c:pt>
                <c:pt idx="1">
                  <c:v>0.21314434688551426</c:v>
                </c:pt>
                <c:pt idx="2">
                  <c:v>0.13550388506864616</c:v>
                </c:pt>
                <c:pt idx="3">
                  <c:v>0</c:v>
                </c:pt>
                <c:pt idx="4">
                  <c:v>0</c:v>
                </c:pt>
                <c:pt idx="5">
                  <c:v>1.5901165611466182E-2</c:v>
                </c:pt>
                <c:pt idx="6">
                  <c:v>9.649700756567689E-2</c:v>
                </c:pt>
                <c:pt idx="7">
                  <c:v>3.2328862190205226E-2</c:v>
                </c:pt>
                <c:pt idx="8">
                  <c:v>2.7391448187382064E-2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43121732.074945375</c:v>
                </c:pt>
                <c:pt idx="1">
                  <c:v>51369456.980000004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18947799.110848572</c:v>
                </c:pt>
                <c:pt idx="1">
                  <c:v>22086597.211066131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14742424.798749864</c:v>
                </c:pt>
                <c:pt idx="1">
                  <c:v>14041281.290248398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11903802.419116173</c:v>
                </c:pt>
                <c:pt idx="1">
                  <c:v>16125385.617310021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0.39769820580661108</c:v>
                </c:pt>
                <c:pt idx="1">
                  <c:v>0.17099265983353013</c:v>
                </c:pt>
                <c:pt idx="2">
                  <c:v>0.10870647082237708</c:v>
                </c:pt>
                <c:pt idx="3">
                  <c:v>0.12484143895935586</c:v>
                </c:pt>
                <c:pt idx="4">
                  <c:v>0.1823984696964667</c:v>
                </c:pt>
                <c:pt idx="5" formatCode="0.00%">
                  <c:v>1.5362754881659267E-2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Creluz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538.66999999999996</c:v>
                </c:pt>
                <c:pt idx="1">
                  <c:v>592.31999999999994</c:v>
                </c:pt>
                <c:pt idx="2">
                  <c:v>573.04999999999995</c:v>
                </c:pt>
                <c:pt idx="3">
                  <c:v>611.82000000000005</c:v>
                </c:pt>
                <c:pt idx="4">
                  <c:v>733.49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527.58999999999992</c:v>
                </c:pt>
                <c:pt idx="1">
                  <c:v>560.27</c:v>
                </c:pt>
                <c:pt idx="2">
                  <c:v>589.57000000000005</c:v>
                </c:pt>
                <c:pt idx="3">
                  <c:v>643.09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486.31735914172612</c:v>
                </c:pt>
                <c:pt idx="1">
                  <c:v>517.97733212189542</c:v>
                </c:pt>
                <c:pt idx="2">
                  <c:v>555.8621156711705</c:v>
                </c:pt>
                <c:pt idx="3">
                  <c:v>754.59028036239863</c:v>
                </c:pt>
                <c:pt idx="4">
                  <c:v>835.36340547192856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468.18375121100559</c:v>
                </c:pt>
                <c:pt idx="1">
                  <c:v>483.94406704127113</c:v>
                </c:pt>
                <c:pt idx="2">
                  <c:v>494.26377446231351</c:v>
                </c:pt>
                <c:pt idx="3">
                  <c:v>535.5203293935283</c:v>
                </c:pt>
                <c:pt idx="4">
                  <c:v>599.176932764968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Creluz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344.88</c:v>
                </c:pt>
                <c:pt idx="1">
                  <c:v>366.2</c:v>
                </c:pt>
                <c:pt idx="2">
                  <c:v>471.76</c:v>
                </c:pt>
                <c:pt idx="3" formatCode="_(* #,##0.00_);_(* \(#,##0.00\);_(* &quot;-&quot;??_);_(@_)">
                  <c:v>434.78</c:v>
                </c:pt>
                <c:pt idx="4" formatCode="_(* #,##0.00_);_(* \(#,##0.00\);_(* &quot;-&quot;??_);_(@_)">
                  <c:v>498.87</c:v>
                </c:pt>
                <c:pt idx="5" formatCode="_(* #,##0.00_);_(* \(#,##0.00\);_(* &quot;-&quot;??_);_(@_)">
                  <c:v>538.66999999999996</c:v>
                </c:pt>
                <c:pt idx="6" formatCode="_(* #,##0.00_);_(* \(#,##0.00\);_(* &quot;-&quot;??_);_(@_)">
                  <c:v>592.31999999999994</c:v>
                </c:pt>
                <c:pt idx="7" formatCode="_(* #,##0.00_);_(* \(#,##0.00\);_(* &quot;-&quot;??_);_(@_)">
                  <c:v>573.04999999999995</c:v>
                </c:pt>
                <c:pt idx="8" formatCode="_(* #,##0.00_);_(* \(#,##0.00\);_(* &quot;-&quot;??_);_(@_)">
                  <c:v>611.82000000000005</c:v>
                </c:pt>
                <c:pt idx="9" formatCode="_(* #,##0.00_);_(* \(#,##0.00\);_(* &quot;-&quot;??_);_(@_)">
                  <c:v>733.49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284.77999999999997</c:v>
                </c:pt>
                <c:pt idx="1">
                  <c:v>350.69</c:v>
                </c:pt>
                <c:pt idx="2">
                  <c:v>446.79999999999995</c:v>
                </c:pt>
                <c:pt idx="3">
                  <c:v>415.49</c:v>
                </c:pt>
                <c:pt idx="4">
                  <c:v>433.86</c:v>
                </c:pt>
                <c:pt idx="5">
                  <c:v>527.58999999999992</c:v>
                </c:pt>
                <c:pt idx="6">
                  <c:v>560.27</c:v>
                </c:pt>
                <c:pt idx="7">
                  <c:v>589.57000000000005</c:v>
                </c:pt>
                <c:pt idx="8">
                  <c:v>643.09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344.88</c:v>
                </c:pt>
                <c:pt idx="1">
                  <c:v>386.8964580383817</c:v>
                </c:pt>
                <c:pt idx="2">
                  <c:v>408.53458420755095</c:v>
                </c:pt>
                <c:pt idx="3">
                  <c:v>458.40531977331381</c:v>
                </c:pt>
                <c:pt idx="4">
                  <c:v>454.83696149462986</c:v>
                </c:pt>
                <c:pt idx="5">
                  <c:v>486.31735914172612</c:v>
                </c:pt>
                <c:pt idx="6">
                  <c:v>517.97733212189542</c:v>
                </c:pt>
                <c:pt idx="7">
                  <c:v>555.8621156711705</c:v>
                </c:pt>
                <c:pt idx="8">
                  <c:v>754.59028036239863</c:v>
                </c:pt>
                <c:pt idx="9">
                  <c:v>835.36340547192856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344.88</c:v>
                </c:pt>
                <c:pt idx="1">
                  <c:v>367.37750048440228</c:v>
                </c:pt>
                <c:pt idx="2">
                  <c:v>400.05363495446619</c:v>
                </c:pt>
                <c:pt idx="3">
                  <c:v>435.43336756442545</c:v>
                </c:pt>
                <c:pt idx="4">
                  <c:v>448.49008525479559</c:v>
                </c:pt>
                <c:pt idx="5">
                  <c:v>468.18375121100559</c:v>
                </c:pt>
                <c:pt idx="6">
                  <c:v>483.94406704127113</c:v>
                </c:pt>
                <c:pt idx="7">
                  <c:v>494.26377446231351</c:v>
                </c:pt>
                <c:pt idx="8">
                  <c:v>535.5203293935283</c:v>
                </c:pt>
                <c:pt idx="9">
                  <c:v>599.176932764968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[Persas_Creluz_RTP 2022.xlsx]Calc_Mercado!Tabela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Soma de TUSD_E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8460.1189999999988</c:v>
                </c:pt>
                <c:pt idx="1">
                  <c:v>8571.7550000000028</c:v>
                </c:pt>
                <c:pt idx="2">
                  <c:v>9105.3119999999999</c:v>
                </c:pt>
                <c:pt idx="3">
                  <c:v>8728.7250000000022</c:v>
                </c:pt>
                <c:pt idx="4">
                  <c:v>10167.166000000001</c:v>
                </c:pt>
                <c:pt idx="5">
                  <c:v>11942.51</c:v>
                </c:pt>
                <c:pt idx="6">
                  <c:v>12791.577000000001</c:v>
                </c:pt>
                <c:pt idx="7">
                  <c:v>15445.988000000001</c:v>
                </c:pt>
                <c:pt idx="8">
                  <c:v>6326.4649999999983</c:v>
                </c:pt>
                <c:pt idx="9">
                  <c:v>9480.6399999999958</c:v>
                </c:pt>
                <c:pt idx="10">
                  <c:v>8576.2420000000002</c:v>
                </c:pt>
                <c:pt idx="11">
                  <c:v>8769.3519999999971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ser>
          <c:idx val="1"/>
          <c:order val="1"/>
          <c:tx>
            <c:strRef>
              <c:f>Calc_Mercado!$D$33</c:f>
              <c:strCache>
                <c:ptCount val="1"/>
                <c:pt idx="0">
                  <c:v>Soma de TE_E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Calc_Mercado!$D$34:$D$46</c:f>
              <c:numCache>
                <c:formatCode>_(* #,##0.00_);_(* \(#,##0.00\);_(* "-"??_);_(@_)</c:formatCode>
                <c:ptCount val="12"/>
                <c:pt idx="0">
                  <c:v>8460.1189999999988</c:v>
                </c:pt>
                <c:pt idx="1">
                  <c:v>8571.7550000000028</c:v>
                </c:pt>
                <c:pt idx="2">
                  <c:v>9105.3119999999999</c:v>
                </c:pt>
                <c:pt idx="3">
                  <c:v>8728.7250000000022</c:v>
                </c:pt>
                <c:pt idx="4">
                  <c:v>10167.166000000001</c:v>
                </c:pt>
                <c:pt idx="5">
                  <c:v>11942.51</c:v>
                </c:pt>
                <c:pt idx="6">
                  <c:v>12791.577000000001</c:v>
                </c:pt>
                <c:pt idx="7">
                  <c:v>15445.988000000001</c:v>
                </c:pt>
                <c:pt idx="8">
                  <c:v>6326.4649999999983</c:v>
                </c:pt>
                <c:pt idx="9">
                  <c:v>9480.6399999999958</c:v>
                </c:pt>
                <c:pt idx="10">
                  <c:v>8576.2420000000002</c:v>
                </c:pt>
                <c:pt idx="11">
                  <c:v>8769.3519999999971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66-4146-A4AB-D7C7106A1D0C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486834</xdr:colOff>
      <xdr:row>30</xdr:row>
      <xdr:rowOff>95250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63.415394097225" createdVersion="4" refreshedVersion="8" minRefreshableVersion="3" recordCount="882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915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4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-130" maxValue="8496"/>
    </cacheField>
    <cacheField name="Daj" numFmtId="4">
      <sharedItems containsSemiMixedTypes="0" containsString="0" containsNumber="1" minValue="-130" maxValue="8156.16"/>
    </cacheField>
    <cacheField name="TUSD_E" numFmtId="4">
      <sharedItems containsSemiMixedTypes="0" containsString="0" containsNumber="1" minValue="-3609.9949999999999" maxValue="4889.1859999999997"/>
    </cacheField>
    <cacheField name="TUSD_Eaj" numFmtId="4">
      <sharedItems containsSemiMixedTypes="0" containsString="0" containsNumber="1" minValue="-3609.9949999999999" maxValue="4889.1859999999997"/>
    </cacheField>
    <cacheField name="TE_E" numFmtId="4">
      <sharedItems containsSemiMixedTypes="0" containsString="0" containsNumber="1" minValue="-3609.9949999999999" maxValue="4889.1859999999997"/>
    </cacheField>
    <cacheField name="TE_Eaj" numFmtId="4">
      <sharedItems containsSemiMixedTypes="0" containsString="0" containsNumber="1" minValue="-3609.9949999999999" maxValue="4889.1859999999997"/>
    </cacheField>
    <cacheField name="TUSD/KW" numFmtId="4">
      <sharedItems containsString="0" containsBlank="1" containsNumber="1" minValue="13.8" maxValue="112.91"/>
    </cacheField>
    <cacheField name="TUSD/MWh" numFmtId="4">
      <sharedItems containsString="0" containsBlank="1" containsNumber="1" minValue="95.29" maxValue="2810.7"/>
    </cacheField>
    <cacheField name="TE" numFmtId="4">
      <sharedItems containsString="0" containsBlank="1" containsNumber="1" minValue="87.68" maxValue="159.41"/>
    </cacheField>
    <cacheField name="ReceitaD" numFmtId="4">
      <sharedItems containsString="0" containsBlank="1" containsNumber="1" minValue="-5627.7" maxValue="367791.83999999997"/>
    </cacheField>
    <cacheField name="ReceitaE" numFmtId="4">
      <sharedItems containsString="0" containsBlank="1" containsNumber="1" minValue="-2916334.4607500001" maxValue="3949728.9101"/>
    </cacheField>
    <cacheField name="Total" numFmtId="4">
      <sharedItems containsString="0" containsBlank="1" containsNumber="1" minValue="-2916334.4607500001" maxValue="3949728.9101"/>
    </cacheField>
    <cacheField name="Total com Tar de aplicação" numFmtId="4">
      <sharedItems containsString="0" containsBlank="1" containsNumber="1" minValue="-2208667.1409" maxValue="2991301.7785200002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223712.29492307105" maxValue="302984.08179671993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421085.79540288571" maxValue="570296.29561333265"/>
    </cacheField>
    <cacheField name="DISTRIBUICAO" numFmtId="4">
      <sharedItems containsString="0" containsBlank="1" containsNumber="1" minValue="-1507338.939011394" maxValue="2041460.0125123058"/>
    </cacheField>
    <cacheField name="EnergiaRevenda" numFmtId="4">
      <sharedItems containsString="0" containsBlank="1" containsNumber="1" minValue="-556772.11618073983" maxValue="754062.66092369845"/>
    </cacheField>
    <cacheField name="ESSERR" numFmtId="4">
      <sharedItems containsString="0" containsBlank="1" containsNumber="1" minValue="-18706.081620843474" maxValue="25334.526052109552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34569.511935902337" maxValue="46819.115756073516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7491.0848866486767" maxValue="10145.52855408783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40698.263787483549" maxValue="55119.572612724267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3963.68" maxValue="14350.89"/>
    </cacheField>
    <cacheField name="Cofins" numFmtId="4">
      <sharedItems containsSemiMixedTypes="0" containsString="0" containsNumber="1" minValue="-17093.349999999999" maxValue="64548.41"/>
    </cacheField>
    <cacheField name="ICMS" numFmtId="4">
      <sharedItems containsSemiMixedTypes="0" containsString="0" containsNumber="1" minValue="-6680.15" maxValue="423049.76"/>
    </cacheField>
    <cacheField name="UC" numFmtId="4">
      <sharedItems containsSemiMixedTypes="0" containsString="0" containsNumber="1" containsInteger="1" minValue="0" maxValue="14039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String="0" containsBlank="1" containsNumber="1" minValue="876.15" maxValue="3245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-0.88102080000000016" maxValue="7887.7519152000013"/>
    </cacheField>
    <cacheField name="Subs_Rural" numFmtId="4">
      <sharedItems containsString="0" containsBlank="1" containsNumber="1" minValue="-265045.83290000004" maxValue="358964.03612000006"/>
    </cacheField>
    <cacheField name="Subs_Irrigante" numFmtId="4">
      <sharedItems containsString="0" containsBlank="1" containsNumber="1" minValue="-1091.05792" maxValue="174186.58028800003"/>
    </cacheField>
    <cacheField name="Subs_BaixaRenda" numFmtId="4">
      <sharedItems containsString="0" containsBlank="1" containsNumber="1" minValue="-27.96255" maxValue="18784.205439999998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597470.37996822339" maxValue="809182.23353642272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943624" maxValue="2632339.8959999997"/>
    </cacheField>
    <cacheField name="FinAj" numFmtId="4">
      <sharedItems containsSemiMixedTypes="0" containsString="0" containsNumber="1" minValue="-843431.35325999931" maxValue="622757.5154500003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092733.0710000002" maxValue="806833.88250000018"/>
    </cacheField>
    <cacheField name="FinPostTE" numFmtId="4">
      <sharedItems containsSemiMixedTypes="0" containsString="0" containsNumber="1" minValue="-99166.562649999993" maxValue="134305.93941999998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62286.918766436866" maxValue="84358.103325904813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19021.280311488837" maxValue="25761.414462071843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110392.87509439269" maxValue="149510.26231649995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8069.3666587855478" maxValue="10928.72275363293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21221.602799864369" maxValue="15669.250464084704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2856.4987182314289" maxValue="2109.1335224967588"/>
    </cacheField>
    <cacheField name="finCT_TFSEE" numFmtId="4">
      <sharedItems containsString="0" containsBlank="1" containsNumber="1" minValue="-646.44858610139272" maxValue="477.31384397793408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minValue="-77117.746102102683" maxValue="56940.905467670935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-2551.7943235683078" maxValue="166769.5736387411"/>
    </cacheField>
    <cacheField name="DIST_E" numFmtId="4">
      <sharedItems containsString="0" containsBlank="1" containsNumber="1" minValue="-1507338.939011394" maxValue="2041460.0125123058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092733.0710000002" maxValue="806833.8825000003"/>
    </cacheField>
    <cacheField name="Fin_TE" numFmtId="4">
      <sharedItems containsString="0" containsBlank="1" containsNumber="1" minValue="-99166.562650000094" maxValue="134305.93942000007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1042782.5159339894" maxValue="769952.23102764401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minValue="-105968.51422048653" maxValue="143518.14231532277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46" maxValue="246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2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1158.306"/>
    <n v="1158.306"/>
    <n v="1158.306"/>
    <n v="1158.306"/>
    <m/>
    <n v="648.44000000000005"/>
    <n v="159.41"/>
    <m/>
    <n v="935737.50210000016"/>
    <n v="935737.50210000016"/>
    <n v="708674.77692000009"/>
    <n v="0"/>
    <n v="71780.513126240548"/>
    <n v="0"/>
    <n v="0"/>
    <n v="0"/>
    <n v="135109.93874781957"/>
    <n v="483646.02640461607"/>
    <n v="178646.36455309443"/>
    <n v="6002.0489163870643"/>
    <n v="0"/>
    <n v="0"/>
    <n v="0"/>
    <n v="0"/>
    <n v="11092.002369096715"/>
    <m/>
    <n v="2403.59573093992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58.478788647886"/>
    <n v="0"/>
    <n v="3347.63"/>
    <n v="15612.45"/>
    <n v="322642.45"/>
    <n v="7212"/>
    <m/>
    <m/>
    <m/>
    <m/>
    <m/>
    <m/>
    <m/>
    <m/>
    <m/>
    <n v="191704.84334174232"/>
    <m/>
    <m/>
    <m/>
    <m/>
    <m/>
    <m/>
    <m/>
    <m/>
    <m/>
    <m/>
    <m/>
    <m/>
    <n v="708677.22419999994"/>
    <n v="-227060.30790000025"/>
    <m/>
    <m/>
    <m/>
    <m/>
    <n v="-258881.39100000006"/>
    <n v="31818.665819999998"/>
    <n v="31"/>
    <n v="19985.432591645163"/>
    <n v="0"/>
    <n v="0"/>
    <n v="0"/>
    <n v="0"/>
    <n v="0"/>
    <n v="0"/>
    <n v="0"/>
    <n v="6103.1838305813144"/>
    <n v="0"/>
    <n v="0"/>
    <n v="35420.749773638352"/>
    <n v="0"/>
    <n v="0"/>
    <n v="0"/>
    <n v="2589.1437016038126"/>
    <n v="0"/>
    <n v="-5027.648744126258"/>
    <m/>
    <n v="0"/>
    <n v="0"/>
    <n v="0"/>
    <n v="0"/>
    <n v="-676.73833728554564"/>
    <n v="-153.15131720755971"/>
    <n v="0"/>
    <n v="-18270.1063155589"/>
    <m/>
    <m/>
    <m/>
    <n v="483646.02640461607"/>
    <n v="0"/>
    <n v="0"/>
    <n v="-258881.39100000012"/>
    <n v="31818.665820000024"/>
    <n v="0"/>
    <n v="0"/>
    <n v="-247047.51361503446"/>
    <n v="0"/>
    <n v="0"/>
    <n v="0"/>
    <n v="0"/>
    <n v="0"/>
    <n v="0"/>
    <n v="0"/>
    <n v="0"/>
    <n v="0"/>
    <n v="0"/>
    <n v="0"/>
    <n v="0"/>
    <n v="34001.1456616075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44600000000000001"/>
    <n v="-0.44600000000000001"/>
    <n v="-0.44600000000000001"/>
    <n v="-0.44600000000000001"/>
    <m/>
    <n v="648.44000000000005"/>
    <n v="159.41"/>
    <m/>
    <n v="-360.30110000000002"/>
    <n v="-360.30110000000002"/>
    <n v="-272.87171999999998"/>
    <n v="0"/>
    <n v="-27.63873178098299"/>
    <n v="0"/>
    <n v="0"/>
    <n v="0"/>
    <n v="-52.023414090514535"/>
    <n v="-186.22551189103635"/>
    <n v="-68.786899654046607"/>
    <n v="-2.3110592681973769"/>
    <n v="0"/>
    <n v="0"/>
    <n v="0"/>
    <n v="0"/>
    <n v="-4.2709206864309905"/>
    <m/>
    <n v="-0.92549265565334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.0281027118369037"/>
    <n v="0"/>
    <n v="-2.35"/>
    <n v="-10.65"/>
    <n v="-159.16999999999999"/>
    <n v="0"/>
    <m/>
    <m/>
    <m/>
    <m/>
    <m/>
    <m/>
    <m/>
    <m/>
    <m/>
    <n v="-73.815002365883515"/>
    <m/>
    <m/>
    <m/>
    <m/>
    <m/>
    <m/>
    <m/>
    <m/>
    <m/>
    <m/>
    <m/>
    <m/>
    <n v="-275.31900000000002"/>
    <n v="84.95210000000003"/>
    <m/>
    <m/>
    <m/>
    <m/>
    <n v="99.681000000000026"/>
    <n v="-12.251619999999999"/>
    <n v="31"/>
    <n v="-7.6952920349835949"/>
    <n v="0"/>
    <n v="0"/>
    <n v="0"/>
    <n v="0"/>
    <n v="0"/>
    <n v="0"/>
    <n v="0"/>
    <n v="-2.3500007670160272"/>
    <n v="0"/>
    <n v="0"/>
    <n v="-13.638584621889819"/>
    <n v="0"/>
    <n v="0"/>
    <n v="0"/>
    <n v="-0.99693698462694691"/>
    <n v="0"/>
    <n v="1.9358712981546446"/>
    <m/>
    <n v="0"/>
    <n v="0"/>
    <n v="0"/>
    <n v="0"/>
    <n v="0.26057475177487976"/>
    <n v="5.8970157691120906E-2"/>
    <n v="0"/>
    <n v="7.0348141309285017"/>
    <m/>
    <m/>
    <m/>
    <n v="-186.22551189103635"/>
    <n v="0"/>
    <n v="0"/>
    <n v="99.681000000000012"/>
    <n v="-12.251619999999988"/>
    <n v="0"/>
    <n v="0"/>
    <n v="95.124424005664608"/>
    <n v="0"/>
    <n v="0"/>
    <n v="0"/>
    <n v="0"/>
    <n v="0"/>
    <n v="0"/>
    <n v="0"/>
    <n v="0"/>
    <n v="0"/>
    <n v="0"/>
    <n v="0"/>
    <n v="0"/>
    <n v="-13.09197307540231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22.919"/>
    <n v="22.919"/>
    <n v="22.919"/>
    <n v="22.919"/>
    <m/>
    <n v="648.44000000000005"/>
    <n v="159.41"/>
    <m/>
    <n v="18515.114150000001"/>
    <n v="18515.114150000001"/>
    <n v="14022.30258"/>
    <n v="0"/>
    <n v="1420.2961741891236"/>
    <n v="0"/>
    <n v="0"/>
    <n v="0"/>
    <n v="2673.373604350903"/>
    <n v="9569.7365628490188"/>
    <n v="3534.8137963477452"/>
    <n v="118.76046495025938"/>
    <n v="0"/>
    <n v="0"/>
    <n v="0"/>
    <n v="0"/>
    <n v="219.47361258365891"/>
    <m/>
    <n v="47.559116984123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8.38360101477582"/>
    <n v="0"/>
    <n v="66.349999999999994"/>
    <n v="310.44"/>
    <n v="13606.32"/>
    <n v="146"/>
    <m/>
    <m/>
    <m/>
    <m/>
    <m/>
    <m/>
    <m/>
    <m/>
    <m/>
    <n v="3793.1973973625209"/>
    <m/>
    <m/>
    <m/>
    <m/>
    <m/>
    <m/>
    <m/>
    <m/>
    <m/>
    <m/>
    <m/>
    <m/>
    <n v="14022.914400000001"/>
    <n v="-4492.2297499999986"/>
    <m/>
    <m/>
    <m/>
    <m/>
    <n v="-5122.3965000000017"/>
    <n v="629.58492999999999"/>
    <n v="31"/>
    <n v="395.44483890087577"/>
    <n v="0"/>
    <n v="0"/>
    <n v="0"/>
    <n v="0"/>
    <n v="0"/>
    <n v="0"/>
    <n v="0"/>
    <n v="120.76158650053867"/>
    <n v="0"/>
    <n v="0"/>
    <n v="700.85811871993837"/>
    <n v="0"/>
    <n v="0"/>
    <n v="0"/>
    <n v="51.230490472343035"/>
    <n v="0"/>
    <n v="-99.480345924677749"/>
    <m/>
    <n v="0"/>
    <n v="0"/>
    <n v="0"/>
    <n v="0"/>
    <n v="-13.39038730028804"/>
    <n v="-3.0303521168672631"/>
    <n v="0"/>
    <n v="-361.50427145011287"/>
    <m/>
    <m/>
    <m/>
    <n v="9569.7365628490188"/>
    <n v="0"/>
    <n v="0"/>
    <n v="-5122.3965000000007"/>
    <n v="629.58492999999999"/>
    <n v="0"/>
    <n v="0"/>
    <n v="-4888.2436631969231"/>
    <n v="0"/>
    <n v="0"/>
    <n v="0"/>
    <n v="0"/>
    <n v="0"/>
    <n v="0"/>
    <n v="0"/>
    <n v="0"/>
    <n v="0"/>
    <n v="0"/>
    <n v="0"/>
    <n v="0"/>
    <n v="672.7689033971877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9.5"/>
    <n v="19.5"/>
    <n v="19.5"/>
    <n v="19.5"/>
    <m/>
    <n v="547.54"/>
    <n v="159.41"/>
    <m/>
    <n v="13785.524999999998"/>
    <n v="13785.524999999998"/>
    <n v="10097.49"/>
    <n v="0"/>
    <n v="0"/>
    <n v="0"/>
    <n v="0"/>
    <n v="0"/>
    <n v="2274.566311132362"/>
    <n v="8142.1468203480017"/>
    <n v="3007.4989759056252"/>
    <n v="101.04407114315885"/>
    <n v="0"/>
    <n v="0"/>
    <n v="0"/>
    <n v="0"/>
    <n v="0"/>
    <m/>
    <n v="40.464364989328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9.83857148165836"/>
    <n v="0"/>
    <n v="12.34"/>
    <n v="67.16"/>
    <n v="1344.46"/>
    <n v="46"/>
    <m/>
    <m/>
    <m/>
    <m/>
    <m/>
    <m/>
    <m/>
    <n v="6563.31"/>
    <m/>
    <n v="3227.3375473872834"/>
    <m/>
    <m/>
    <m/>
    <m/>
    <m/>
    <m/>
    <m/>
    <m/>
    <m/>
    <m/>
    <m/>
    <m/>
    <n v="3534.18"/>
    <n v="-1290.7350000000001"/>
    <m/>
    <m/>
    <m/>
    <m/>
    <n v="-4223.6999999999989"/>
    <n v="535.66499999999996"/>
    <n v="31"/>
    <n v="470.90245133125791"/>
    <n v="0"/>
    <n v="0"/>
    <n v="0"/>
    <n v="0"/>
    <n v="0"/>
    <n v="0"/>
    <n v="0"/>
    <n v="102.74667030675437"/>
    <n v="0"/>
    <n v="0"/>
    <n v="596.30582988083279"/>
    <n v="0"/>
    <n v="0"/>
    <n v="0"/>
    <n v="43.58805201844271"/>
    <n v="0"/>
    <n v="0"/>
    <m/>
    <n v="0"/>
    <n v="0"/>
    <n v="0"/>
    <n v="0"/>
    <n v="0"/>
    <n v="-2.578291647930179"/>
    <n v="0"/>
    <n v="-269.15980922684253"/>
    <m/>
    <m/>
    <m/>
    <n v="8142.1468203480017"/>
    <n v="0"/>
    <n v="0"/>
    <n v="-4223.6999999999989"/>
    <n v="535.66499999999996"/>
    <n v="0"/>
    <n v="0"/>
    <n v="-4159.0275069741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"/>
    <s v="Sistema de Compensação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0.03"/>
    <n v="0.03"/>
    <n v="0.03"/>
    <n v="0.03"/>
    <m/>
    <n v="547.54"/>
    <n v="159.41"/>
    <m/>
    <n v="21.208499999999997"/>
    <n v="21.208499999999997"/>
    <n v="15.534600000000001"/>
    <n v="0"/>
    <n v="0"/>
    <n v="0"/>
    <n v="0"/>
    <n v="0"/>
    <n v="3.4993327863574799"/>
    <n v="12.52637972361231"/>
    <n v="4.6269215013932694"/>
    <n v="0.15545241714332131"/>
    <n v="0"/>
    <n v="0"/>
    <n v="0"/>
    <n v="0"/>
    <n v="0"/>
    <m/>
    <n v="6.225286921435078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3821318689485902"/>
    <n v="0"/>
    <n v="0"/>
    <n v="0.02"/>
    <n v="2.74"/>
    <n v="0"/>
    <m/>
    <m/>
    <m/>
    <m/>
    <m/>
    <m/>
    <m/>
    <n v="10.0974"/>
    <m/>
    <n v="4.9651346882881287"/>
    <m/>
    <m/>
    <m/>
    <m/>
    <m/>
    <m/>
    <m/>
    <m/>
    <m/>
    <m/>
    <m/>
    <m/>
    <n v="5.4371999999999998"/>
    <n v="-2.0156999999999989"/>
    <m/>
    <m/>
    <m/>
    <m/>
    <n v="-6.4979999999999984"/>
    <n v="0.82409999999999994"/>
    <n v="31"/>
    <n v="0.72446530974039369"/>
    <n v="0"/>
    <n v="0"/>
    <n v="0"/>
    <n v="0"/>
    <n v="0"/>
    <n v="0"/>
    <n v="0"/>
    <n v="0.1580718004719297"/>
    <n v="0"/>
    <n v="0"/>
    <n v="0.91739358443204999"/>
    <n v="0"/>
    <n v="0"/>
    <n v="0"/>
    <n v="6.7058541566834939E-2"/>
    <n v="0"/>
    <n v="0"/>
    <m/>
    <n v="0"/>
    <n v="0"/>
    <n v="0"/>
    <n v="0"/>
    <n v="0"/>
    <n v="-3.9666025352771903E-3"/>
    <n v="0"/>
    <n v="-0.41409201419514241"/>
    <m/>
    <m/>
    <m/>
    <n v="12.52637972361231"/>
    <n v="0"/>
    <n v="0"/>
    <n v="-6.4979999999999976"/>
    <n v="0.8241000000000005"/>
    <n v="0"/>
    <n v="0"/>
    <n v="-6.3985038568832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37.058"/>
    <n v="37.058"/>
    <n v="37.058"/>
    <n v="37.058"/>
    <m/>
    <n v="547.54"/>
    <n v="159.41"/>
    <m/>
    <n v="26198.1531"/>
    <n v="26198.1531"/>
    <n v="19189.37356"/>
    <n v="0"/>
    <n v="0"/>
    <n v="0"/>
    <n v="0"/>
    <n v="0"/>
    <n v="4322.6091465611835"/>
    <n v="15473.4193265875"/>
    <n v="5715.4818999543932"/>
    <n v="192.02518914990671"/>
    <n v="0"/>
    <n v="0"/>
    <n v="0"/>
    <n v="0"/>
    <n v="0"/>
    <m/>
    <n v="76.8988942448470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7.78347599832284"/>
    <n v="0"/>
    <n v="52.87"/>
    <n v="244.07"/>
    <n v="5065.46"/>
    <n v="175"/>
    <m/>
    <m/>
    <m/>
    <m/>
    <m/>
    <m/>
    <m/>
    <n v="7675.8235400000003"/>
    <m/>
    <n v="6133.2653759527157"/>
    <m/>
    <m/>
    <m/>
    <m/>
    <m/>
    <m/>
    <m/>
    <m/>
    <m/>
    <m/>
    <m/>
    <m/>
    <n v="11514.171399999999"/>
    <n v="-4204.7504600000011"/>
    <m/>
    <m/>
    <m/>
    <m/>
    <n v="-8026.7627999999986"/>
    <n v="1017.98326"/>
    <n v="31"/>
    <n v="894.90784827865173"/>
    <n v="0"/>
    <n v="0"/>
    <n v="0"/>
    <n v="0"/>
    <n v="0"/>
    <n v="0"/>
    <n v="0"/>
    <n v="195.26082606295859"/>
    <n v="0"/>
    <n v="0"/>
    <n v="1133.2257150627638"/>
    <n v="0"/>
    <n v="0"/>
    <n v="0"/>
    <n v="82.835181112792384"/>
    <n v="0"/>
    <n v="0"/>
    <m/>
    <n v="0"/>
    <n v="0"/>
    <n v="0"/>
    <n v="0"/>
    <n v="0"/>
    <n v="-4.8998118917434113"/>
    <n v="0"/>
    <n v="-511.51406206811953"/>
    <m/>
    <m/>
    <m/>
    <n v="15473.4193265875"/>
    <n v="0"/>
    <n v="0"/>
    <n v="-8026.7628000000004"/>
    <n v="1017.98326"/>
    <n v="0"/>
    <n v="0"/>
    <n v="-7903.8585309460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"/>
    <s v="Sistema de Compensação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7.0000000000000007E-2"/>
    <n v="7.0000000000000007E-2"/>
    <n v="7.0000000000000007E-2"/>
    <n v="7.0000000000000007E-2"/>
    <m/>
    <n v="547.54"/>
    <n v="159.41"/>
    <m/>
    <n v="49.486500000000007"/>
    <n v="49.486500000000007"/>
    <n v="36.247399999999999"/>
    <n v="0"/>
    <n v="0"/>
    <n v="0"/>
    <n v="0"/>
    <n v="0"/>
    <n v="8.1651098348341211"/>
    <n v="29.228219355095394"/>
    <n v="10.796150169917631"/>
    <n v="0.36272230666774974"/>
    <n v="0"/>
    <n v="0"/>
    <n v="0"/>
    <n v="0"/>
    <n v="0"/>
    <m/>
    <n v="0.14525669483348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8916410275467108"/>
    <n v="0"/>
    <n v="0.56999999999999995"/>
    <n v="0.63"/>
    <n v="11.02"/>
    <n v="0"/>
    <m/>
    <m/>
    <m/>
    <m/>
    <m/>
    <m/>
    <m/>
    <n v="14.499100000000002"/>
    <m/>
    <n v="11.585314272672303"/>
    <m/>
    <m/>
    <m/>
    <m/>
    <m/>
    <m/>
    <m/>
    <m/>
    <m/>
    <m/>
    <m/>
    <m/>
    <n v="21.748300000000004"/>
    <n v="-7.9736000000000047"/>
    <m/>
    <m/>
    <m/>
    <m/>
    <n v="-15.161999999999999"/>
    <n v="1.9229000000000001"/>
    <n v="31"/>
    <n v="1.6904190560609216"/>
    <n v="0"/>
    <n v="0"/>
    <n v="0"/>
    <n v="0"/>
    <n v="0"/>
    <n v="0"/>
    <n v="0"/>
    <n v="0.36883420110116916"/>
    <n v="0"/>
    <n v="0"/>
    <n v="2.14058503034145"/>
    <n v="0"/>
    <n v="0"/>
    <n v="0"/>
    <n v="0.15646993032261503"/>
    <n v="0"/>
    <n v="0"/>
    <m/>
    <n v="0"/>
    <n v="0"/>
    <n v="0"/>
    <n v="0"/>
    <n v="0"/>
    <n v="-9.255405915646775E-3"/>
    <n v="0"/>
    <n v="-0.9662146997886657"/>
    <m/>
    <m/>
    <m/>
    <n v="29.228219355095394"/>
    <n v="0"/>
    <n v="0"/>
    <n v="-15.162000000000003"/>
    <n v="1.9229000000000003"/>
    <n v="0"/>
    <n v="0"/>
    <n v="-14.929842332727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8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25.638999999999999"/>
    <n v="25.638999999999999"/>
    <n v="25.638999999999999"/>
    <n v="25.638999999999999"/>
    <m/>
    <n v="547.54"/>
    <n v="159.41"/>
    <m/>
    <n v="18125.491049999997"/>
    <n v="18125.491049999997"/>
    <n v="13276.386979999999"/>
    <n v="0"/>
    <n v="0"/>
    <n v="0"/>
    <n v="0"/>
    <n v="0"/>
    <n v="2990.6464436473143"/>
    <n v="10705.461657789867"/>
    <n v="3954.3213458074015"/>
    <n v="132.8548174379205"/>
    <n v="0"/>
    <n v="0"/>
    <n v="0"/>
    <n v="0"/>
    <n v="0"/>
    <m/>
    <n v="53.2033771262246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9.048263293243"/>
    <n v="0"/>
    <n v="64.87"/>
    <n v="302.63"/>
    <n v="6340.43"/>
    <n v="363"/>
    <m/>
    <m/>
    <m/>
    <m/>
    <m/>
    <m/>
    <m/>
    <n v="1327.8438100000005"/>
    <m/>
    <n v="4243.3696091006441"/>
    <m/>
    <m/>
    <m/>
    <m/>
    <m/>
    <m/>
    <m/>
    <m/>
    <m/>
    <m/>
    <m/>
    <m/>
    <n v="11949.0092"/>
    <n v="-4364.09094"/>
    <m/>
    <m/>
    <m/>
    <m/>
    <n v="-5553.4073999999991"/>
    <n v="704.30332999999996"/>
    <n v="31"/>
    <n v="619.15220254780161"/>
    <n v="0"/>
    <n v="0"/>
    <n v="0"/>
    <n v="0"/>
    <n v="0"/>
    <n v="0"/>
    <n v="0"/>
    <n v="135.09342974332685"/>
    <n v="0"/>
    <n v="0"/>
    <n v="784.03513704177749"/>
    <n v="0"/>
    <n v="0"/>
    <n v="0"/>
    <n v="57.310464907736048"/>
    <n v="0"/>
    <n v="0"/>
    <m/>
    <n v="0"/>
    <n v="0"/>
    <n v="0"/>
    <n v="0"/>
    <n v="0"/>
    <n v="-3.3899907467324013"/>
    <n v="0"/>
    <n v="-353.89683839830855"/>
    <m/>
    <m/>
    <m/>
    <n v="10705.461657789867"/>
    <n v="0"/>
    <n v="0"/>
    <n v="-5553.4074000000001"/>
    <n v="704.30332999999973"/>
    <n v="0"/>
    <n v="0"/>
    <n v="-5468.3746795543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9"/>
    <s v="Sistema de Compensação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0.12"/>
    <n v="0.12"/>
    <n v="0.12"/>
    <n v="0.12"/>
    <m/>
    <n v="547.54"/>
    <n v="159.41"/>
    <m/>
    <n v="84.833999999999989"/>
    <n v="84.833999999999989"/>
    <n v="62.138400000000004"/>
    <n v="0"/>
    <n v="0"/>
    <n v="0"/>
    <n v="0"/>
    <n v="0"/>
    <n v="13.99733114542992"/>
    <n v="50.10551889444924"/>
    <n v="18.507686005573078"/>
    <n v="0.62180966857328523"/>
    <n v="0"/>
    <n v="0"/>
    <n v="0"/>
    <n v="0"/>
    <n v="0"/>
    <m/>
    <n v="0.249011476857403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528527475794361"/>
    <n v="0"/>
    <n v="1.45"/>
    <n v="1.61"/>
    <n v="28.36"/>
    <n v="0"/>
    <m/>
    <m/>
    <m/>
    <m/>
    <m/>
    <m/>
    <m/>
    <n v="6.2148000000000021"/>
    <m/>
    <n v="19.860538753152515"/>
    <m/>
    <m/>
    <m/>
    <m/>
    <m/>
    <m/>
    <m/>
    <m/>
    <m/>
    <m/>
    <m/>
    <m/>
    <n v="55.923599999999993"/>
    <n v="-20.457599999999999"/>
    <m/>
    <m/>
    <m/>
    <m/>
    <n v="-25.991999999999994"/>
    <n v="3.2963999999999998"/>
    <n v="31"/>
    <n v="2.8978612389615748"/>
    <n v="0"/>
    <n v="0"/>
    <n v="0"/>
    <n v="0"/>
    <n v="0"/>
    <n v="0"/>
    <n v="0"/>
    <n v="0.63228720188771881"/>
    <n v="0"/>
    <n v="0"/>
    <n v="3.6695743377282"/>
    <n v="0"/>
    <n v="0"/>
    <n v="0"/>
    <n v="0.26823416626733976"/>
    <n v="0"/>
    <n v="0"/>
    <m/>
    <n v="0"/>
    <n v="0"/>
    <n v="0"/>
    <n v="0"/>
    <n v="0"/>
    <n v="-1.5866410141108761E-2"/>
    <n v="0"/>
    <n v="-1.6563680567805696"/>
    <m/>
    <m/>
    <m/>
    <n v="50.10551889444924"/>
    <n v="0"/>
    <n v="0"/>
    <n v="-25.99199999999999"/>
    <n v="3.296400000000002"/>
    <n v="0"/>
    <n v="0"/>
    <n v="-25.59401542753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0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3.5920000000000001"/>
    <n v="3.5920000000000001"/>
    <n v="3.5920000000000001"/>
    <n v="3.5920000000000001"/>
    <m/>
    <n v="547.54"/>
    <n v="159.41"/>
    <m/>
    <n v="2539.3643999999999"/>
    <n v="2539.3643999999999"/>
    <n v="1860.00944"/>
    <n v="0"/>
    <n v="0"/>
    <n v="0"/>
    <n v="0"/>
    <n v="0"/>
    <n v="418.9867789532023"/>
    <n v="1499.8251989071807"/>
    <n v="553.99673443348752"/>
    <n v="18.612836079293672"/>
    <n v="0"/>
    <n v="0"/>
    <n v="0"/>
    <n v="0"/>
    <n v="0"/>
    <m/>
    <n v="7.45374354059826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495392244211118"/>
    <n v="0"/>
    <n v="13.11"/>
    <n v="61.23"/>
    <n v="1285.55"/>
    <n v="66"/>
    <m/>
    <m/>
    <m/>
    <m/>
    <m/>
    <m/>
    <m/>
    <m/>
    <m/>
    <n v="594.49212667769859"/>
    <m/>
    <m/>
    <m/>
    <m/>
    <m/>
    <m/>
    <m/>
    <m/>
    <m/>
    <m/>
    <m/>
    <m/>
    <n v="1858.9737999999998"/>
    <n v="-680.42060000000038"/>
    <m/>
    <m/>
    <m/>
    <m/>
    <n v="-778.02719999999988"/>
    <n v="98.672240000000002"/>
    <n v="31"/>
    <n v="86.742646419583252"/>
    <n v="0"/>
    <n v="0"/>
    <n v="0"/>
    <n v="0"/>
    <n v="0"/>
    <n v="0"/>
    <n v="0"/>
    <n v="18.926463576505739"/>
    <n v="0"/>
    <n v="0"/>
    <n v="109.84259184266409"/>
    <n v="0"/>
    <n v="0"/>
    <n v="0"/>
    <n v="8.029142710269042"/>
    <n v="0"/>
    <n v="0"/>
    <m/>
    <n v="0"/>
    <n v="0"/>
    <n v="0"/>
    <n v="0"/>
    <n v="0"/>
    <n v="-0.47493454355718967"/>
    <n v="0"/>
    <n v="-49.580617166298381"/>
    <m/>
    <m/>
    <m/>
    <n v="1499.8251989071807"/>
    <n v="0"/>
    <n v="0"/>
    <n v="-778.02719999999999"/>
    <n v="98.672239999999988"/>
    <n v="0"/>
    <n v="0"/>
    <n v="-766.11419513082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1"/>
    <s v="Sistema de Compensação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19900000000000001"/>
    <n v="0.19900000000000001"/>
    <n v="0.19900000000000001"/>
    <n v="0.19900000000000001"/>
    <m/>
    <n v="547.54"/>
    <n v="159.41"/>
    <m/>
    <n v="140.68305000000001"/>
    <n v="140.68305000000001"/>
    <n v="103.04618000000001"/>
    <n v="0"/>
    <n v="0"/>
    <n v="0"/>
    <n v="0"/>
    <n v="0"/>
    <n v="23.212240816171285"/>
    <n v="83.091652166628336"/>
    <n v="30.691912625908692"/>
    <n v="1.0311677003840314"/>
    <n v="0"/>
    <n v="0"/>
    <n v="0"/>
    <n v="0"/>
    <n v="0"/>
    <m/>
    <n v="0.412944032455193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434808064025651"/>
    <n v="0"/>
    <n v="2.67"/>
    <n v="0.63"/>
    <n v="81.489999999999995"/>
    <n v="1"/>
    <m/>
    <m/>
    <m/>
    <m/>
    <m/>
    <m/>
    <m/>
    <m/>
    <m/>
    <n v="32.935393432311258"/>
    <m/>
    <m/>
    <m/>
    <m/>
    <m/>
    <m/>
    <m/>
    <m/>
    <m/>
    <m/>
    <m/>
    <m/>
    <n v="103.56399999999999"/>
    <n v="-37.149050000000017"/>
    <m/>
    <m/>
    <m/>
    <m/>
    <n v="-43.103399999999993"/>
    <n v="5.4665299999999997"/>
    <n v="31"/>
    <n v="4.8056198879446228"/>
    <n v="0"/>
    <n v="0"/>
    <n v="0"/>
    <n v="0"/>
    <n v="0"/>
    <n v="0"/>
    <n v="0"/>
    <n v="1.0485429431304709"/>
    <n v="0"/>
    <n v="0"/>
    <n v="6.0853774433992669"/>
    <n v="0"/>
    <n v="0"/>
    <n v="0"/>
    <n v="0.44482165906000537"/>
    <n v="0"/>
    <n v="0"/>
    <m/>
    <n v="0"/>
    <n v="0"/>
    <n v="0"/>
    <n v="0"/>
    <n v="0"/>
    <n v="-2.6311796817338751E-2"/>
    <n v="0"/>
    <n v="-2.7468103608277779"/>
    <m/>
    <m/>
    <m/>
    <n v="83.091652166628336"/>
    <n v="0"/>
    <n v="0"/>
    <n v="-43.103399999999993"/>
    <n v="5.4665300000000023"/>
    <n v="0"/>
    <n v="0"/>
    <n v="-42.443408917325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2"/>
    <s v="Regular"/>
    <s v="Convencional"/>
    <s v="B3"/>
    <s v="Industrial"/>
    <s v="Não se aplica"/>
    <s v="Não se aplica"/>
    <s v="Não se aplica"/>
    <s v="Não se aplica"/>
    <s v="CATIVO"/>
    <x v="0"/>
    <n v="0"/>
    <n v="0"/>
    <n v="97.879000000000005"/>
    <n v="97.879000000000005"/>
    <n v="97.879000000000005"/>
    <n v="97.879000000000005"/>
    <m/>
    <n v="648.44000000000005"/>
    <n v="159.41"/>
    <m/>
    <n v="79071.55015000001"/>
    <n v="79071.55015000001"/>
    <n v="59884.329780000007"/>
    <n v="0"/>
    <n v="6065.586161414426"/>
    <n v="0"/>
    <n v="0"/>
    <n v="0"/>
    <n v="11417.039793196127"/>
    <n v="40868.984032248314"/>
    <n v="15095.948321162396"/>
    <n v="507.18423791903825"/>
    <n v="0"/>
    <n v="0"/>
    <n v="0"/>
    <n v="0"/>
    <n v="937.294721675289"/>
    <m/>
    <n v="203.1082861943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3.4656173360636"/>
    <n v="0"/>
    <n v="244.15"/>
    <n v="1128.1199999999999"/>
    <n v="13805.42"/>
    <n v="88"/>
    <m/>
    <m/>
    <m/>
    <m/>
    <m/>
    <m/>
    <m/>
    <m/>
    <m/>
    <n v="16199.413938498459"/>
    <m/>
    <m/>
    <m/>
    <m/>
    <m/>
    <m/>
    <m/>
    <m/>
    <m/>
    <m/>
    <m/>
    <m/>
    <n v="59884.941599999991"/>
    <n v="-19186.638550000018"/>
    <m/>
    <m/>
    <m/>
    <m/>
    <n v="-21875.956500000008"/>
    <n v="2688.7361300000002"/>
    <n v="31"/>
    <n v="1688.8060293546223"/>
    <n v="0"/>
    <n v="0"/>
    <n v="0"/>
    <n v="0"/>
    <n v="0"/>
    <n v="0"/>
    <n v="0"/>
    <n v="515.73032527973373"/>
    <n v="0"/>
    <n v="0"/>
    <n v="2993.1188883541545"/>
    <n v="0"/>
    <n v="0"/>
    <n v="0"/>
    <n v="218.78743300067481"/>
    <n v="0"/>
    <n v="-424.8456206100409"/>
    <m/>
    <n v="0"/>
    <n v="0"/>
    <n v="0"/>
    <n v="0"/>
    <n v="-57.18564154478338"/>
    <n v="-12.941569651679885"/>
    <n v="0"/>
    <n v="-1543.8577854734324"/>
    <m/>
    <m/>
    <m/>
    <n v="40868.984032248314"/>
    <n v="0"/>
    <n v="0"/>
    <n v="-21875.9565"/>
    <n v="2688.7361300000011"/>
    <n v="0"/>
    <n v="0"/>
    <n v="-20875.971966929254"/>
    <n v="0"/>
    <n v="0"/>
    <n v="0"/>
    <n v="0"/>
    <n v="0"/>
    <n v="0"/>
    <n v="0"/>
    <n v="0"/>
    <n v="0"/>
    <n v="0"/>
    <n v="0"/>
    <n v="0"/>
    <n v="2873.159714455837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3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15.601000000000001"/>
    <n v="15.601000000000001"/>
    <n v="15.601000000000001"/>
    <n v="15.601000000000001"/>
    <m/>
    <n v="648.44000000000005"/>
    <n v="159.41"/>
    <m/>
    <n v="12603.267850000002"/>
    <n v="12603.267850000002"/>
    <n v="9545.0038199999999"/>
    <n v="0"/>
    <n v="966.79788007873458"/>
    <n v="0"/>
    <n v="0"/>
    <n v="0"/>
    <n v="1819.7696933321015"/>
    <n v="6514.1350022691886"/>
    <n v="2406.1534114412134"/>
    <n v="80.840438661765191"/>
    <n v="0"/>
    <n v="0"/>
    <n v="0"/>
    <n v="0"/>
    <n v="149.39603952692798"/>
    <m/>
    <n v="32.373567087102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5.8821309582232"/>
    <n v="0"/>
    <n v="38.83"/>
    <n v="179.37"/>
    <n v="3417.6"/>
    <n v="14"/>
    <m/>
    <m/>
    <m/>
    <m/>
    <m/>
    <m/>
    <m/>
    <m/>
    <m/>
    <n v="2582.0355423994365"/>
    <m/>
    <m/>
    <m/>
    <m/>
    <m/>
    <m/>
    <m/>
    <m/>
    <m/>
    <m/>
    <m/>
    <m/>
    <n v="9544.3919999999998"/>
    <n v="-3058.9058500000028"/>
    <m/>
    <m/>
    <m/>
    <m/>
    <n v="-3486.8235000000009"/>
    <n v="428.55947000000003"/>
    <n v="31"/>
    <n v="269.17993506228595"/>
    <n v="0"/>
    <n v="0"/>
    <n v="0"/>
    <n v="0"/>
    <n v="0"/>
    <n v="0"/>
    <n v="0"/>
    <n v="82.202605305419411"/>
    <n v="0"/>
    <n v="0"/>
    <n v="477.07524369081375"/>
    <n v="0"/>
    <n v="0"/>
    <n v="0"/>
    <n v="34.872676899473078"/>
    <n v="0"/>
    <n v="-67.716430767960901"/>
    <m/>
    <n v="0"/>
    <n v="0"/>
    <n v="0"/>
    <n v="0"/>
    <n v="-9.1148580772194805"/>
    <n v="-2.0627655384286498"/>
    <n v="0"/>
    <n v="-246.0765364498107"/>
    <m/>
    <m/>
    <m/>
    <n v="6514.1350022691886"/>
    <n v="0"/>
    <n v="0"/>
    <n v="-3486.8235000000013"/>
    <n v="428.55947000000015"/>
    <n v="0"/>
    <n v="0"/>
    <n v="-3327.4352890411965"/>
    <n v="0"/>
    <n v="0"/>
    <n v="0"/>
    <n v="0"/>
    <n v="0"/>
    <n v="0"/>
    <n v="0"/>
    <n v="0"/>
    <n v="0"/>
    <n v="0"/>
    <n v="0"/>
    <n v="0"/>
    <n v="457.954869841595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Ponta"/>
    <s v="CATIVO"/>
    <x v="0"/>
    <n v="0"/>
    <n v="0"/>
    <n v="14.005000000000001"/>
    <n v="14.005000000000001"/>
    <n v="14.005000000000001"/>
    <n v="14.005000000000001"/>
    <m/>
    <n v="2810.7"/>
    <n v="159.41"/>
    <m/>
    <n v="41596.390549999996"/>
    <n v="41596.390549999996"/>
    <n v="26493.118450000002"/>
    <n v="0"/>
    <n v="755.06722326372176"/>
    <n v="0"/>
    <n v="0"/>
    <n v="0"/>
    <n v="8550.2708853804961"/>
    <n v="29478.969101793475"/>
    <n v="2160.0011875670916"/>
    <n v="72.570370069740505"/>
    <n v="0"/>
    <n v="0"/>
    <n v="0"/>
    <n v="0"/>
    <n v="134.11265518714356"/>
    <m/>
    <n v="15.0376360402715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684190396952332"/>
    <n v="0"/>
    <n v="0"/>
    <n v="0"/>
    <n v="0"/>
    <n v="0"/>
    <m/>
    <m/>
    <m/>
    <m/>
    <m/>
    <m/>
    <m/>
    <m/>
    <m/>
    <n v="2232.6853779640442"/>
    <m/>
    <m/>
    <m/>
    <m/>
    <m/>
    <m/>
    <m/>
    <m/>
    <m/>
    <m/>
    <m/>
    <m/>
    <n v="26502.5769"/>
    <n v="-15093.843650000003"/>
    <m/>
    <m/>
    <m/>
    <m/>
    <n v="-15487.989449999999"/>
    <n v="384.71735000000001"/>
    <n v="31"/>
    <n v="-45.272520914149936"/>
    <n v="0"/>
    <n v="0"/>
    <n v="0"/>
    <n v="0"/>
    <n v="0"/>
    <n v="0"/>
    <n v="0"/>
    <n v="386.23268945554264"/>
    <n v="0"/>
    <n v="0"/>
    <n v="428.26990499902877"/>
    <n v="0"/>
    <n v="0"/>
    <n v="0"/>
    <n v="14.411312130478763"/>
    <n v="0"/>
    <n v="-52.886397873701185"/>
    <m/>
    <n v="0"/>
    <n v="0"/>
    <n v="0"/>
    <n v="0"/>
    <n v="-8.1823977547246329"/>
    <n v="-0.9581618645805694"/>
    <n v="0"/>
    <n v="-812.15947000619337"/>
    <m/>
    <m/>
    <m/>
    <n v="29478.969101793475"/>
    <n v="0"/>
    <n v="0"/>
    <n v="-15487.989449999997"/>
    <n v="384.71735000000035"/>
    <n v="0"/>
    <n v="0"/>
    <n v="-15057.925885738148"/>
    <n v="0"/>
    <n v="0"/>
    <n v="0"/>
    <n v="0"/>
    <n v="0"/>
    <n v="0"/>
    <n v="0"/>
    <n v="0"/>
    <n v="0"/>
    <n v="0"/>
    <n v="0"/>
    <n v="0"/>
    <n v="357.6618433660945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5"/>
    <s v="Regular"/>
    <s v="Verde"/>
    <s v="A4"/>
    <s v="Industrial"/>
    <s v="Não se aplica"/>
    <s v="Não se aplica"/>
    <s v="Não se aplica"/>
    <s v="Fora ponta"/>
    <s v="CATIVO"/>
    <x v="0"/>
    <n v="0"/>
    <n v="0"/>
    <n v="450.01299999999998"/>
    <n v="450.01299999999998"/>
    <n v="450.01299999999998"/>
    <n v="450.01299999999998"/>
    <m/>
    <n v="95.29"/>
    <n v="159.41"/>
    <m/>
    <n v="114618.31109999999"/>
    <n v="114618.31109999999"/>
    <n v="124613.09982999999"/>
    <n v="0"/>
    <n v="24262.054005182232"/>
    <n v="0"/>
    <n v="0"/>
    <n v="0"/>
    <n v="0"/>
    <n v="0"/>
    <n v="69405.827520216306"/>
    <n v="2331.8536198639149"/>
    <n v="0"/>
    <n v="0"/>
    <n v="0"/>
    <n v="0"/>
    <n v="4309.3493965535181"/>
    <m/>
    <n v="483.193981248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5.51092988959"/>
    <n v="0"/>
    <n v="0"/>
    <n v="0"/>
    <n v="0"/>
    <n v="0"/>
    <m/>
    <m/>
    <m/>
    <m/>
    <m/>
    <m/>
    <m/>
    <m/>
    <m/>
    <n v="71741.33845010589"/>
    <m/>
    <m/>
    <m/>
    <m/>
    <m/>
    <m/>
    <m/>
    <m/>
    <m/>
    <m/>
    <m/>
    <m/>
    <n v="124612.2691"/>
    <n v="9993.9279999999999"/>
    <m/>
    <m/>
    <m/>
    <m/>
    <n v="-2367.068380000002"/>
    <n v="12361.857109999999"/>
    <n v="31"/>
    <n v="9993.3663332222204"/>
    <n v="0"/>
    <n v="0"/>
    <n v="0"/>
    <n v="0"/>
    <n v="0"/>
    <n v="0"/>
    <n v="0"/>
    <n v="0"/>
    <n v="0"/>
    <n v="0"/>
    <n v="13761.301303700675"/>
    <n v="0"/>
    <n v="0"/>
    <n v="0"/>
    <n v="463.06874728833554"/>
    <n v="0"/>
    <n v="-1699.3621254079153"/>
    <m/>
    <n v="0"/>
    <n v="0"/>
    <n v="0"/>
    <n v="0"/>
    <n v="-262.91934029253071"/>
    <n v="-30.787953956836532"/>
    <n v="0"/>
    <n v="-2237.9342981095042"/>
    <m/>
    <m/>
    <m/>
    <n v="0"/>
    <n v="0"/>
    <n v="0"/>
    <n v="-2367.0683800000043"/>
    <n v="12361.857109999997"/>
    <n v="0"/>
    <n v="0"/>
    <n v="0"/>
    <n v="0"/>
    <n v="0"/>
    <n v="0"/>
    <n v="0"/>
    <n v="0"/>
    <n v="0"/>
    <n v="0"/>
    <n v="0"/>
    <n v="0"/>
    <n v="0"/>
    <n v="0"/>
    <n v="0"/>
    <n v="11492.50118662665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6"/>
    <s v="Regular"/>
    <s v="Verde"/>
    <s v="A4"/>
    <s v="Industrial"/>
    <s v="Não se aplica"/>
    <s v="Não se aplica"/>
    <s v="Não se aplica"/>
    <s v="Não se aplica"/>
    <s v="CATIVO"/>
    <x v="0"/>
    <n v="2134"/>
    <n v="2134"/>
    <n v="0"/>
    <n v="0"/>
    <n v="0"/>
    <n v="0"/>
    <n v="43.29"/>
    <m/>
    <m/>
    <n v="92380.86"/>
    <m/>
    <n v="92380.86"/>
    <n v="71467.66"/>
    <n v="0"/>
    <n v="0"/>
    <n v="0"/>
    <n v="0"/>
    <n v="0"/>
    <n v="50498.948596106697"/>
    <n v="41888.6852807289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81.81"/>
    <n v="4529.22"/>
    <n v="54254.04"/>
    <n v="13"/>
    <m/>
    <m/>
    <m/>
    <m/>
    <m/>
    <m/>
    <m/>
    <m/>
    <m/>
    <n v="0"/>
    <m/>
    <m/>
    <m/>
    <m/>
    <m/>
    <m/>
    <m/>
    <m/>
    <m/>
    <m/>
    <m/>
    <m/>
    <n v="71467.66"/>
    <n v="-20913.229999999981"/>
    <m/>
    <m/>
    <m/>
    <m/>
    <n v="-20913.199999999993"/>
    <n v="0"/>
    <n v="31"/>
    <n v="477.29074988808134"/>
    <n v="0"/>
    <n v="0"/>
    <n v="0"/>
    <n v="0"/>
    <m/>
    <m/>
    <m/>
    <n v="2281.1376379080612"/>
    <n v="0"/>
    <n v="0"/>
    <m/>
    <m/>
    <n v="0"/>
    <n v="0"/>
    <n v="0"/>
    <n v="0"/>
    <n v="0"/>
    <m/>
    <n v="0"/>
    <n v="0"/>
    <m/>
    <n v="0"/>
    <n v="0"/>
    <n v="0"/>
    <n v="0"/>
    <n v="-1803.8468880199764"/>
    <m/>
    <m/>
    <n v="41888.685280728991"/>
    <m/>
    <n v="0"/>
    <n v="0"/>
    <n v="-20913.199999999997"/>
    <m/>
    <n v="0"/>
    <m/>
    <n v="-21396.8377330351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7"/>
    <s v="Regular"/>
    <s v="Convencional"/>
    <s v="B3"/>
    <s v="Comercial"/>
    <s v="Não se aplica"/>
    <s v="Não se aplica"/>
    <s v="Não se aplica"/>
    <s v="Não se aplica"/>
    <s v="CATIVO"/>
    <x v="0"/>
    <n v="0"/>
    <n v="0"/>
    <n v="520.15899999999999"/>
    <n v="520.15899999999999"/>
    <n v="520.15899999999999"/>
    <n v="520.15899999999999"/>
    <m/>
    <n v="648.44000000000005"/>
    <n v="159.41"/>
    <m/>
    <n v="420210.44815000007"/>
    <n v="420210.44815000007"/>
    <n v="318243.67937999999"/>
    <n v="0"/>
    <n v="32234.383597453656"/>
    <n v="0"/>
    <n v="0"/>
    <n v="0"/>
    <n v="60673.64809396401"/>
    <n v="217190.30502181518"/>
    <n v="80224.495374774051"/>
    <n v="2695.332461628429"/>
    <n v="0"/>
    <n v="0"/>
    <n v="0"/>
    <n v="0"/>
    <n v="4981.0713751866761"/>
    <m/>
    <n v="1079.3796732555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64.1544360680991"/>
    <n v="0"/>
    <n v="1522.87"/>
    <n v="7063.78"/>
    <n v="148164.73000000001"/>
    <n v="1429"/>
    <m/>
    <m/>
    <m/>
    <m/>
    <m/>
    <m/>
    <m/>
    <m/>
    <m/>
    <n v="86088.649810842151"/>
    <m/>
    <m/>
    <m/>
    <m/>
    <m/>
    <m/>
    <m/>
    <m/>
    <m/>
    <m/>
    <m/>
    <m/>
    <n v="318244.29119999998"/>
    <n v="-101966.18695000012"/>
    <m/>
    <m/>
    <m/>
    <m/>
    <n v="-116255.53650000003"/>
    <n v="14288.76773"/>
    <n v="31"/>
    <n v="8974.8327570068359"/>
    <n v="0"/>
    <n v="0"/>
    <n v="0"/>
    <n v="0"/>
    <n v="0"/>
    <n v="0"/>
    <n v="0"/>
    <n v="2740.7489887226257"/>
    <n v="0"/>
    <n v="0"/>
    <n v="15906.350982819698"/>
    <n v="0"/>
    <n v="0"/>
    <n v="0"/>
    <n v="1162.7034640954435"/>
    <n v="0"/>
    <n v="-2257.7598174368177"/>
    <m/>
    <n v="0"/>
    <n v="0"/>
    <n v="0"/>
    <n v="0"/>
    <n v="-303.90202311315988"/>
    <n v="-68.775466938241721"/>
    <n v="0"/>
    <n v="-8204.5333711426865"/>
    <m/>
    <m/>
    <m/>
    <n v="217190.30502181518"/>
    <n v="0"/>
    <n v="0"/>
    <n v="-116255.53650000005"/>
    <n v="14288.767730000007"/>
    <n v="0"/>
    <n v="0"/>
    <n v="-110941.31225641815"/>
    <n v="0"/>
    <n v="0"/>
    <n v="0"/>
    <n v="0"/>
    <n v="0"/>
    <n v="0"/>
    <n v="0"/>
    <n v="0"/>
    <n v="0"/>
    <n v="0"/>
    <n v="0"/>
    <n v="0"/>
    <n v="15268.85117248474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8"/>
    <s v="Refaturamento - Regular"/>
    <s v="Convencional"/>
    <s v="B3"/>
    <s v="Comercial"/>
    <s v="Não se aplica"/>
    <s v="Não se aplica"/>
    <s v="Não se aplica"/>
    <s v="Não se aplica"/>
    <s v="CATIVO"/>
    <x v="0"/>
    <n v="0"/>
    <n v="0"/>
    <n v="-6.4000000000000001E-2"/>
    <n v="-6.4000000000000001E-2"/>
    <n v="-6.4000000000000001E-2"/>
    <n v="-6.4000000000000001E-2"/>
    <m/>
    <n v="648.44000000000005"/>
    <n v="159.41"/>
    <m/>
    <n v="-51.702399999999997"/>
    <n v="-51.702399999999997"/>
    <n v="-39.156480000000002"/>
    <n v="0"/>
    <n v="-3.9660960403204291"/>
    <n v="0"/>
    <n v="0"/>
    <n v="0"/>
    <n v="-7.4652432775626245"/>
    <n v="-26.722943410372931"/>
    <n v="-9.8707658696389764"/>
    <n v="-0.33163182323908547"/>
    <n v="0"/>
    <n v="0"/>
    <n v="0"/>
    <n v="0"/>
    <n v="-0.61286754244749642"/>
    <m/>
    <n v="-0.132806120990615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72152146537569928"/>
    <n v="0"/>
    <n v="-0.33"/>
    <n v="-1.5"/>
    <n v="-17.77"/>
    <n v="0"/>
    <m/>
    <m/>
    <m/>
    <m/>
    <m/>
    <m/>
    <m/>
    <m/>
    <m/>
    <n v="-10.592287335014676"/>
    <m/>
    <m/>
    <m/>
    <m/>
    <m/>
    <m/>
    <m/>
    <m/>
    <m/>
    <m/>
    <m/>
    <m/>
    <n v="-36.709199999999996"/>
    <n v="14.963200000000008"/>
    <m/>
    <m/>
    <m/>
    <m/>
    <n v="14.304000000000004"/>
    <n v="-1.7580799999999999"/>
    <n v="31"/>
    <n v="-1.104257153002127"/>
    <n v="0"/>
    <n v="0"/>
    <n v="0"/>
    <n v="0"/>
    <n v="0"/>
    <n v="0"/>
    <n v="0"/>
    <n v="-0.33721984100678348"/>
    <n v="0"/>
    <n v="0"/>
    <n v="-1.9571063134550393"/>
    <n v="0"/>
    <n v="0"/>
    <n v="0"/>
    <n v="-0.14305822200924789"/>
    <n v="0"/>
    <n v="0.2777931907665856"/>
    <m/>
    <n v="0"/>
    <n v="0"/>
    <n v="0"/>
    <n v="0"/>
    <n v="3.7391892631372881E-2"/>
    <n v="8.4620854085913494E-3"/>
    <n v="0"/>
    <n v="1.0094800546623861"/>
    <m/>
    <m/>
    <m/>
    <n v="-26.722943410372931"/>
    <n v="0"/>
    <n v="0"/>
    <n v="14.304000000000002"/>
    <n v="-1.7580799999999996"/>
    <n v="0"/>
    <n v="0"/>
    <n v="13.650141561350978"/>
    <n v="0"/>
    <n v="0"/>
    <n v="0"/>
    <n v="0"/>
    <n v="0"/>
    <n v="0"/>
    <n v="0"/>
    <n v="0"/>
    <n v="0"/>
    <n v="0"/>
    <n v="0"/>
    <n v="0"/>
    <n v="-1.878668782120512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9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60.548000000000002"/>
    <n v="60.548000000000002"/>
    <n v="60.548000000000002"/>
    <n v="60.548000000000002"/>
    <m/>
    <n v="648.44000000000005"/>
    <n v="159.41"/>
    <m/>
    <n v="48913.70180000001"/>
    <n v="48913.70180000001"/>
    <n v="37044.477360000004"/>
    <n v="0"/>
    <n v="3752.1747351456461"/>
    <n v="0"/>
    <n v="0"/>
    <n v="0"/>
    <n v="7062.5867182790898"/>
    <n v="25281.574650175939"/>
    <n v="9338.3614355453228"/>
    <n v="313.7444317731273"/>
    <n v="0"/>
    <n v="0"/>
    <n v="0"/>
    <n v="0"/>
    <n v="579.81099937673457"/>
    <m/>
    <n v="125.64289083968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2.60440133699751"/>
    <n v="0"/>
    <n v="177.92"/>
    <n v="823.88"/>
    <n v="29196.45"/>
    <n v="106"/>
    <m/>
    <m/>
    <m/>
    <m/>
    <m/>
    <m/>
    <m/>
    <m/>
    <m/>
    <n v="10020.96583688232"/>
    <m/>
    <m/>
    <m/>
    <m/>
    <m/>
    <m/>
    <m/>
    <m/>
    <m/>
    <m/>
    <m/>
    <m/>
    <n v="37045.701000000001"/>
    <n v="-11868.030800000015"/>
    <m/>
    <m/>
    <m/>
    <m/>
    <n v="-13532.478000000005"/>
    <n v="1663.2535599999999"/>
    <n v="31"/>
    <n v="1044.6962828120813"/>
    <n v="0"/>
    <n v="0"/>
    <n v="0"/>
    <n v="0"/>
    <n v="0"/>
    <n v="0"/>
    <n v="0"/>
    <n v="319.03104583248114"/>
    <n v="0"/>
    <n v="0"/>
    <n v="1851.5448916730602"/>
    <n v="0"/>
    <n v="0"/>
    <n v="0"/>
    <n v="135.3420191596241"/>
    <n v="0"/>
    <n v="-262.80972053961295"/>
    <m/>
    <n v="0"/>
    <n v="0"/>
    <n v="0"/>
    <n v="0"/>
    <n v="-35.375067422568122"/>
    <n v="-8.0056616768654436"/>
    <n v="0"/>
    <n v="-955.0312242140335"/>
    <m/>
    <m/>
    <m/>
    <n v="25281.574650175939"/>
    <n v="0"/>
    <n v="0"/>
    <n v="-13532.478000000006"/>
    <n v="1663.253560000001"/>
    <n v="0"/>
    <n v="0"/>
    <n v="-12913.887050885607"/>
    <n v="0"/>
    <n v="0"/>
    <n v="0"/>
    <n v="0"/>
    <n v="0"/>
    <n v="0"/>
    <n v="0"/>
    <n v="0"/>
    <n v="0"/>
    <n v="0"/>
    <n v="0"/>
    <n v="0"/>
    <n v="1777.33808468488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Ponta"/>
    <s v="CATIVO"/>
    <x v="0"/>
    <n v="0"/>
    <n v="0"/>
    <n v="8.0690000000000008"/>
    <n v="8.0690000000000008"/>
    <n v="8.0690000000000008"/>
    <n v="8.0690000000000008"/>
    <m/>
    <n v="2810.7"/>
    <n v="159.41"/>
    <m/>
    <n v="23965.817589999999"/>
    <n v="23965.817589999999"/>
    <n v="15264.046610000001"/>
    <n v="0"/>
    <n v="435.03301853016575"/>
    <n v="0"/>
    <n v="0"/>
    <n v="0"/>
    <n v="4926.2503230371458"/>
    <n v="16984.348567109715"/>
    <n v="1244.4876531580765"/>
    <n v="41.811518464315327"/>
    <n v="0"/>
    <n v="0"/>
    <n v="0"/>
    <n v="0"/>
    <n v="77.269190625138265"/>
    <m/>
    <n v="8.6639546739700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877096202285493"/>
    <n v="0"/>
    <n v="0"/>
    <n v="0"/>
    <n v="0"/>
    <n v="0"/>
    <m/>
    <m/>
    <m/>
    <m/>
    <m/>
    <m/>
    <m/>
    <m/>
    <m/>
    <n v="1286.3647493603619"/>
    <m/>
    <m/>
    <m/>
    <m/>
    <m/>
    <m/>
    <m/>
    <m/>
    <m/>
    <m/>
    <m/>
    <m/>
    <n v="15265.9383"/>
    <n v="-8699.9092899999941"/>
    <m/>
    <m/>
    <m/>
    <m/>
    <n v="-8923.42641"/>
    <n v="221.65543000000002"/>
    <n v="31"/>
    <n v="-26.083825152179088"/>
    <n v="0"/>
    <n v="0"/>
    <n v="0"/>
    <n v="0"/>
    <n v="0"/>
    <n v="0"/>
    <n v="0"/>
    <n v="222.52849491015877"/>
    <n v="0"/>
    <n v="0"/>
    <n v="246.74829442607393"/>
    <n v="0"/>
    <n v="0"/>
    <n v="0"/>
    <n v="8.3030972924550639"/>
    <n v="0"/>
    <n v="-30.470570827768256"/>
    <m/>
    <n v="0"/>
    <n v="0"/>
    <n v="0"/>
    <n v="0"/>
    <n v="-4.7142997131648059"/>
    <n v="-0.55204627528030237"/>
    <n v="0"/>
    <n v="-467.92679496465365"/>
    <m/>
    <m/>
    <m/>
    <n v="16984.348567109715"/>
    <n v="0"/>
    <n v="0"/>
    <n v="-8923.42641"/>
    <n v="221.65543000000002"/>
    <n v="0"/>
    <n v="0"/>
    <n v="-8675.6446963242506"/>
    <n v="0"/>
    <n v="0"/>
    <n v="0"/>
    <n v="0"/>
    <n v="0"/>
    <n v="0"/>
    <n v="0"/>
    <n v="0"/>
    <n v="0"/>
    <n v="0"/>
    <n v="0"/>
    <n v="0"/>
    <n v="206.067362664835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1"/>
    <s v="Sistema de Compensação"/>
    <s v="Verde"/>
    <s v="A4"/>
    <s v="Comercial"/>
    <s v="Não se aplica"/>
    <s v="Não se aplica"/>
    <s v="Não se aplica"/>
    <s v="Ponta"/>
    <s v="CATIVO"/>
    <x v="0"/>
    <n v="0"/>
    <n v="0"/>
    <n v="1.212"/>
    <n v="1.212"/>
    <n v="1.212"/>
    <n v="1.212"/>
    <m/>
    <n v="2810.7"/>
    <n v="159.41"/>
    <m/>
    <n v="3599.7733199999998"/>
    <n v="3599.7733199999998"/>
    <n v="2292.7282799999998"/>
    <n v="0"/>
    <n v="65.343911074304231"/>
    <n v="0"/>
    <n v="0"/>
    <n v="0"/>
    <n v="739.94489918465979"/>
    <n v="2551.1253517582068"/>
    <n v="186.92762865628808"/>
    <n v="6.2802776525901809"/>
    <n v="0"/>
    <n v="0"/>
    <n v="0"/>
    <n v="0"/>
    <n v="11.606179085099463"/>
    <m/>
    <n v="1.301364861178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2901277230350745"/>
    <n v="0"/>
    <n v="0"/>
    <n v="0"/>
    <n v="0"/>
    <n v="0"/>
    <m/>
    <m/>
    <m/>
    <m/>
    <m/>
    <m/>
    <m/>
    <m/>
    <m/>
    <n v="193.21775637932316"/>
    <m/>
    <m/>
    <m/>
    <m/>
    <m/>
    <m/>
    <m/>
    <m/>
    <m/>
    <m/>
    <m/>
    <m/>
    <n v="2288.9449"/>
    <n v="-1310.8584200000005"/>
    <m/>
    <m/>
    <m/>
    <m/>
    <n v="-1340.3386799999998"/>
    <n v="33.293639999999996"/>
    <n v="31"/>
    <n v="-3.9179075578686025"/>
    <n v="0"/>
    <n v="0"/>
    <n v="0"/>
    <n v="0"/>
    <n v="0"/>
    <n v="0"/>
    <n v="0"/>
    <n v="33.424778266341832"/>
    <n v="0"/>
    <n v="0"/>
    <n v="37.062700811054839"/>
    <n v="0"/>
    <n v="0"/>
    <n v="0"/>
    <n v="1.2471624635587473"/>
    <n v="0"/>
    <n v="-4.5768164386237657"/>
    <m/>
    <n v="0"/>
    <n v="0"/>
    <n v="0"/>
    <n v="0"/>
    <n v="-0.70810896670662338"/>
    <n v="-8.2919827195405249E-2"/>
    <n v="0"/>
    <n v="-70.284703866298202"/>
    <m/>
    <m/>
    <m/>
    <n v="2551.1253517582068"/>
    <n v="0"/>
    <n v="0"/>
    <n v="-1340.3386799999998"/>
    <n v="33.293640000000011"/>
    <n v="0"/>
    <n v="0"/>
    <n v="-1303.1207549814089"/>
    <n v="0"/>
    <n v="0"/>
    <n v="0"/>
    <n v="0"/>
    <n v="0"/>
    <n v="0"/>
    <n v="0"/>
    <n v="0"/>
    <n v="0"/>
    <n v="0"/>
    <n v="0"/>
    <n v="0"/>
    <n v="30.95224235342424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Fora ponta"/>
    <s v="CATIVO"/>
    <x v="0"/>
    <n v="0"/>
    <n v="0"/>
    <n v="99.015000000000001"/>
    <n v="99.015000000000001"/>
    <n v="99.015000000000001"/>
    <n v="99.015000000000001"/>
    <m/>
    <n v="95.29"/>
    <n v="159.41"/>
    <m/>
    <n v="25219.120500000001"/>
    <n v="25219.120500000001"/>
    <n v="27418.24365"/>
    <n v="0"/>
    <n v="5338.3063985331955"/>
    <n v="0"/>
    <n v="0"/>
    <n v="0"/>
    <n v="0"/>
    <n v="0"/>
    <n v="15271.154415348487"/>
    <n v="513.07070278153196"/>
    <n v="0"/>
    <n v="0"/>
    <n v="0"/>
    <n v="0"/>
    <n v="948.17312055373202"/>
    <m/>
    <n v="106.31571099803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3.87540965042729"/>
    <n v="0"/>
    <n v="0"/>
    <n v="0"/>
    <n v="0"/>
    <n v="0"/>
    <m/>
    <m/>
    <m/>
    <m/>
    <m/>
    <m/>
    <m/>
    <m/>
    <m/>
    <n v="15785.029824998914"/>
    <m/>
    <m/>
    <m/>
    <m/>
    <m/>
    <m/>
    <m/>
    <m/>
    <m/>
    <m/>
    <m/>
    <m/>
    <n v="27419.628199999999"/>
    <n v="2200.4776999999995"/>
    <m/>
    <m/>
    <m/>
    <m/>
    <n v="-520.81890000000055"/>
    <n v="2719.9420500000001"/>
    <n v="31"/>
    <n v="2198.8101843368895"/>
    <n v="0"/>
    <n v="0"/>
    <n v="0"/>
    <n v="0"/>
    <n v="0"/>
    <n v="0"/>
    <n v="0"/>
    <n v="0"/>
    <n v="0"/>
    <n v="0"/>
    <n v="3027.8575254179814"/>
    <n v="0"/>
    <n v="0"/>
    <n v="0"/>
    <n v="101.88761660830812"/>
    <n v="0"/>
    <n v="-373.90551127915114"/>
    <m/>
    <n v="0"/>
    <n v="0"/>
    <n v="0"/>
    <n v="0"/>
    <n v="-57.849347638990253"/>
    <n v="-6.7741804370899814"/>
    <n v="0"/>
    <n v="-492.40591833416499"/>
    <m/>
    <m/>
    <m/>
    <n v="0"/>
    <n v="0"/>
    <n v="0"/>
    <n v="-520.81890000000203"/>
    <n v="2719.9420500000015"/>
    <n v="0"/>
    <n v="0"/>
    <n v="0"/>
    <n v="0"/>
    <n v="0"/>
    <n v="0"/>
    <n v="0"/>
    <n v="0"/>
    <n v="0"/>
    <n v="0"/>
    <n v="0"/>
    <n v="0"/>
    <n v="0"/>
    <n v="0"/>
    <n v="0"/>
    <n v="2528.660294244473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3"/>
    <s v="Sistema de Compensação"/>
    <s v="Verde"/>
    <s v="A4"/>
    <s v="Comercial"/>
    <s v="Não se aplica"/>
    <s v="Não se aplica"/>
    <s v="Não se aplica"/>
    <s v="Fora ponta"/>
    <s v="CATIVO"/>
    <x v="0"/>
    <n v="0"/>
    <n v="0"/>
    <n v="15.497999999999999"/>
    <n v="15.497999999999999"/>
    <n v="15.497999999999999"/>
    <n v="15.497999999999999"/>
    <m/>
    <n v="95.29"/>
    <n v="159.41"/>
    <m/>
    <n v="3947.3406"/>
    <n v="3947.3406"/>
    <n v="4291.5511800000004"/>
    <n v="0"/>
    <n v="835.56100150954364"/>
    <n v="0"/>
    <n v="0"/>
    <n v="0"/>
    <n v="0"/>
    <n v="0"/>
    <n v="2390.267647619763"/>
    <n v="80.306718696239784"/>
    <n v="0"/>
    <n v="0"/>
    <n v="0"/>
    <n v="0"/>
    <n v="148.40970582580152"/>
    <m/>
    <n v="16.640719982301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432672814849482"/>
    <n v="0"/>
    <n v="0"/>
    <n v="0"/>
    <n v="0"/>
    <n v="0"/>
    <m/>
    <m/>
    <m/>
    <m/>
    <m/>
    <m/>
    <m/>
    <m/>
    <m/>
    <n v="2470.7003204346124"/>
    <m/>
    <m/>
    <m/>
    <m/>
    <m/>
    <m/>
    <m/>
    <m/>
    <m/>
    <m/>
    <m/>
    <m/>
    <n v="4292.1049999999996"/>
    <n v="344.73439999999937"/>
    <m/>
    <m/>
    <m/>
    <m/>
    <n v="-81.519480000000073"/>
    <n v="425.73005999999998"/>
    <n v="31"/>
    <n v="344.1615940701231"/>
    <n v="0"/>
    <n v="0"/>
    <n v="0"/>
    <n v="0"/>
    <n v="0"/>
    <n v="0"/>
    <n v="0"/>
    <n v="0"/>
    <n v="0"/>
    <n v="0"/>
    <n v="473.92552571759734"/>
    <n v="0"/>
    <n v="0"/>
    <n v="0"/>
    <n v="15.947626947387363"/>
    <n v="0"/>
    <n v="-58.524340895867226"/>
    <m/>
    <n v="0"/>
    <n v="0"/>
    <n v="0"/>
    <n v="0"/>
    <n v="-9.0546805000158486"/>
    <n v="-1.0603065031966903"/>
    <n v="0"/>
    <n v="-77.072230695782352"/>
    <m/>
    <m/>
    <m/>
    <n v="0"/>
    <n v="0"/>
    <n v="0"/>
    <n v="-81.51947999999993"/>
    <n v="425.73005999999987"/>
    <n v="0"/>
    <n v="0"/>
    <n v="0"/>
    <n v="0"/>
    <n v="0"/>
    <n v="0"/>
    <n v="0"/>
    <n v="0"/>
    <n v="0"/>
    <n v="0"/>
    <n v="0"/>
    <n v="0"/>
    <n v="0"/>
    <n v="0"/>
    <n v="0"/>
    <n v="395.790306925221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4"/>
    <s v="Regular"/>
    <s v="Verde"/>
    <s v="A4"/>
    <s v="Comercial"/>
    <s v="Não se aplica"/>
    <s v="Não se aplica"/>
    <s v="Não se aplica"/>
    <s v="Não se aplica"/>
    <s v="CATIVO"/>
    <x v="0"/>
    <n v="1245"/>
    <n v="1245"/>
    <n v="0"/>
    <n v="0"/>
    <n v="0"/>
    <n v="0"/>
    <n v="43.29"/>
    <m/>
    <m/>
    <n v="53896.049999999996"/>
    <m/>
    <n v="53896.049999999996"/>
    <n v="41695.050000000003"/>
    <n v="0"/>
    <n v="0"/>
    <n v="0"/>
    <n v="0"/>
    <n v="0"/>
    <n v="29461.664012255311"/>
    <n v="24438.3379449426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91.15"/>
    <n v="1804.65"/>
    <n v="35050.639999999999"/>
    <n v="13"/>
    <m/>
    <m/>
    <m/>
    <m/>
    <m/>
    <m/>
    <m/>
    <m/>
    <m/>
    <n v="0"/>
    <m/>
    <m/>
    <m/>
    <m/>
    <m/>
    <m/>
    <m/>
    <m/>
    <m/>
    <m/>
    <m/>
    <m/>
    <n v="41695.050000000003"/>
    <n v="-12201.029999999999"/>
    <m/>
    <m/>
    <m/>
    <m/>
    <n v="-12200.999999999996"/>
    <n v="0"/>
    <n v="31"/>
    <n v="278.45688079225511"/>
    <n v="0"/>
    <n v="0"/>
    <n v="0"/>
    <n v="0"/>
    <m/>
    <m/>
    <m/>
    <n v="1330.8417803165612"/>
    <n v="0"/>
    <n v="0"/>
    <m/>
    <m/>
    <n v="0"/>
    <n v="0"/>
    <n v="0"/>
    <n v="0"/>
    <n v="0"/>
    <m/>
    <n v="0"/>
    <n v="0"/>
    <m/>
    <n v="0"/>
    <n v="0"/>
    <n v="0"/>
    <n v="0"/>
    <n v="-1052.3848995243068"/>
    <m/>
    <m/>
    <n v="24438.337944942643"/>
    <m/>
    <n v="0"/>
    <n v="0"/>
    <n v="-12200.999999999993"/>
    <m/>
    <n v="0"/>
    <m/>
    <n v="-12483.15978333119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5"/>
    <s v="Sistema de Compensação"/>
    <s v="Verde"/>
    <s v="A4"/>
    <s v="Comercial"/>
    <s v="Não se aplica"/>
    <s v="Não se aplica"/>
    <s v="Não se aplica"/>
    <s v="Não se aplica"/>
    <s v="CATIVO"/>
    <x v="0"/>
    <n v="915"/>
    <n v="915"/>
    <n v="0"/>
    <n v="0"/>
    <n v="0"/>
    <n v="0"/>
    <n v="43.29"/>
    <m/>
    <m/>
    <n v="39610.35"/>
    <m/>
    <n v="39610.35"/>
    <n v="30643.350000000002"/>
    <n v="0"/>
    <n v="0"/>
    <n v="0"/>
    <n v="0"/>
    <n v="0"/>
    <n v="21652.548249970772"/>
    <n v="17960.7062005000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0.93"/>
    <n v="788.62"/>
    <n v="15765.11"/>
    <n v="6"/>
    <m/>
    <m/>
    <m/>
    <m/>
    <m/>
    <m/>
    <m/>
    <m/>
    <m/>
    <n v="0"/>
    <m/>
    <m/>
    <m/>
    <m/>
    <m/>
    <m/>
    <m/>
    <m/>
    <m/>
    <m/>
    <m/>
    <m/>
    <n v="30643.350000000002"/>
    <n v="-8967.0300000000025"/>
    <m/>
    <m/>
    <m/>
    <m/>
    <n v="-8966.9999999999982"/>
    <n v="0"/>
    <n v="31"/>
    <n v="204.64903287141351"/>
    <n v="0"/>
    <n v="0"/>
    <n v="0"/>
    <n v="0"/>
    <m/>
    <m/>
    <m/>
    <n v="978.08853734108561"/>
    <n v="0"/>
    <n v="0"/>
    <m/>
    <m/>
    <n v="0"/>
    <n v="0"/>
    <n v="0"/>
    <n v="0"/>
    <n v="0"/>
    <m/>
    <n v="0"/>
    <n v="0"/>
    <m/>
    <n v="0"/>
    <n v="0"/>
    <n v="0"/>
    <n v="0"/>
    <n v="-773.43950446967119"/>
    <m/>
    <m/>
    <n v="17960.706200500012"/>
    <m/>
    <n v="0"/>
    <n v="0"/>
    <n v="-8966.9999999999964"/>
    <m/>
    <n v="0"/>
    <m/>
    <n v="-9174.370443171115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6"/>
    <s v="Regular"/>
    <s v="Convencional"/>
    <s v="B2"/>
    <s v="Rural"/>
    <s v="Não se aplica"/>
    <s v="Não se aplica"/>
    <s v="Não se aplica"/>
    <s v="Não se aplica"/>
    <s v="CATIVO"/>
    <x v="0"/>
    <n v="0"/>
    <n v="0"/>
    <n v="3793.623"/>
    <n v="3793.623"/>
    <n v="3793.623"/>
    <n v="3793.623"/>
    <m/>
    <n v="648.44000000000005"/>
    <n v="159.41"/>
    <m/>
    <n v="3064678.3405499998"/>
    <n v="3064678.3405499998"/>
    <n v="2321014.42386"/>
    <n v="0"/>
    <n v="235091.76810575792"/>
    <n v="0"/>
    <n v="0"/>
    <n v="0"/>
    <n v="442504.97809932742"/>
    <n v="1584012.0742076435"/>
    <n v="585093.19422933471"/>
    <n v="19657.595502683267"/>
    <n v="0"/>
    <n v="0"/>
    <n v="0"/>
    <n v="0"/>
    <n v="36327.943827848416"/>
    <m/>
    <n v="7872.13054891843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768.444156921192"/>
    <n v="0"/>
    <n v="7119.01"/>
    <n v="33168.230000000003"/>
    <n v="204827.21"/>
    <n v="14035"/>
    <m/>
    <m/>
    <m/>
    <m/>
    <m/>
    <n v="278527.80066000007"/>
    <m/>
    <m/>
    <m/>
    <n v="627861.63838625595"/>
    <m/>
    <m/>
    <m/>
    <m/>
    <m/>
    <m/>
    <m/>
    <m/>
    <m/>
    <m/>
    <m/>
    <m/>
    <n v="2042485.0079999999"/>
    <n v="-654439.54892999958"/>
    <m/>
    <m/>
    <m/>
    <m/>
    <n v="-847874.74050000019"/>
    <n v="104210.82381"/>
    <n v="31"/>
    <n v="65455.239586615702"/>
    <n v="0"/>
    <n v="0"/>
    <n v="0"/>
    <n v="0"/>
    <n v="0"/>
    <n v="0"/>
    <n v="0"/>
    <n v="19988.827264057472"/>
    <n v="0"/>
    <n v="0"/>
    <n v="116008.18006512884"/>
    <n v="0"/>
    <n v="0"/>
    <n v="0"/>
    <n v="8479.8275211467044"/>
    <n v="0"/>
    <n v="-16466.291214617289"/>
    <m/>
    <n v="0"/>
    <n v="0"/>
    <n v="0"/>
    <n v="0"/>
    <n v="-2216.4178734360394"/>
    <n v="-501.59315365619568"/>
    <n v="0"/>
    <n v="-59837.293022007572"/>
    <m/>
    <m/>
    <m/>
    <n v="1584012.0742076435"/>
    <n v="0"/>
    <n v="0"/>
    <n v="-847874.74050000007"/>
    <n v="104210.82381000009"/>
    <n v="0"/>
    <n v="0"/>
    <n v="-809117.04656870279"/>
    <n v="0"/>
    <n v="0"/>
    <n v="0"/>
    <n v="0"/>
    <n v="0"/>
    <n v="0"/>
    <n v="0"/>
    <n v="0"/>
    <n v="0"/>
    <n v="0"/>
    <n v="0"/>
    <n v="0"/>
    <n v="111358.7672067869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7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1.3320000000000001"/>
    <n v="-1.3320000000000001"/>
    <n v="-1.3320000000000001"/>
    <n v="-1.3320000000000001"/>
    <m/>
    <n v="648.44000000000005"/>
    <n v="159.41"/>
    <m/>
    <n v="-1076.0562000000002"/>
    <n v="-1076.0562000000002"/>
    <n v="-814.94424000000004"/>
    <n v="0"/>
    <n v="-82.544373839168927"/>
    <n v="0"/>
    <n v="0"/>
    <n v="0"/>
    <n v="-155.37037571427211"/>
    <n v="-556.17125972838664"/>
    <n v="-205.43531466186118"/>
    <n v="-6.9020873211634663"/>
    <n v="0"/>
    <n v="0"/>
    <n v="0"/>
    <n v="0"/>
    <n v="-12.755305727188519"/>
    <m/>
    <n v="-2.76402739311717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5.01666549813174"/>
    <n v="0"/>
    <n v="-4.25"/>
    <n v="-19.399999999999999"/>
    <n v="-103.31"/>
    <n v="0"/>
    <m/>
    <m/>
    <m/>
    <m/>
    <m/>
    <n v="-97.795440000000013"/>
    <m/>
    <m/>
    <m/>
    <n v="-220.45198015999293"/>
    <m/>
    <m/>
    <m/>
    <m/>
    <m/>
    <m/>
    <m/>
    <m/>
    <m/>
    <m/>
    <m/>
    <m/>
    <n v="-716.072"/>
    <n v="230.83012000000008"/>
    <m/>
    <m/>
    <m/>
    <m/>
    <n v="297.70200000000011"/>
    <n v="-36.590040000000002"/>
    <n v="31"/>
    <n v="-22.982351996857005"/>
    <n v="0"/>
    <n v="0"/>
    <n v="0"/>
    <n v="0"/>
    <n v="0"/>
    <n v="0"/>
    <n v="0"/>
    <n v="-7.0183879409536871"/>
    <n v="0"/>
    <n v="0"/>
    <n v="-40.732275148783032"/>
    <n v="0"/>
    <n v="0"/>
    <n v="0"/>
    <n v="-2.9773992455674758"/>
    <n v="0"/>
    <n v="5.7815707828295615"/>
    <m/>
    <n v="0"/>
    <n v="0"/>
    <n v="0"/>
    <n v="0"/>
    <n v="0.77821876539044688"/>
    <n v="0.17611715256630722"/>
    <n v="0"/>
    <n v="21.009803637660909"/>
    <m/>
    <m/>
    <m/>
    <n v="-556.17125972838664"/>
    <n v="0"/>
    <n v="0"/>
    <n v="297.70200000000011"/>
    <n v="-36.590039999999988"/>
    <n v="0"/>
    <n v="0"/>
    <n v="284.09357124561723"/>
    <n v="0"/>
    <n v="0"/>
    <n v="0"/>
    <n v="0"/>
    <n v="0"/>
    <n v="0"/>
    <n v="0"/>
    <n v="0"/>
    <n v="0"/>
    <n v="0"/>
    <n v="0"/>
    <n v="0"/>
    <n v="-39.09979402788316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8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77.444000000000003"/>
    <n v="77.444000000000003"/>
    <n v="77.444000000000003"/>
    <n v="77.444000000000003"/>
    <m/>
    <n v="648.44000000000005"/>
    <n v="159.41"/>
    <m/>
    <n v="62563.135400000014"/>
    <n v="62563.135400000014"/>
    <n v="47381.788079999998"/>
    <n v="0"/>
    <n v="4799.2240897902393"/>
    <n v="0"/>
    <n v="0"/>
    <n v="0"/>
    <n v="9033.4109435556238"/>
    <n v="32336.431710514393"/>
    <n v="11944.243625130013"/>
    <n v="401.29523310824584"/>
    <n v="0"/>
    <n v="0"/>
    <n v="0"/>
    <n v="0"/>
    <n v="741.60803058287354"/>
    <m/>
    <n v="160.70370678120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3.08606819618205"/>
    <n v="0"/>
    <n v="141.16"/>
    <n v="655.47"/>
    <n v="2957.71"/>
    <n v="215"/>
    <m/>
    <m/>
    <m/>
    <m/>
    <m/>
    <n v="5685.9384800000016"/>
    <m/>
    <m/>
    <m/>
    <n v="12817.329693326195"/>
    <m/>
    <m/>
    <m/>
    <m/>
    <m/>
    <m/>
    <m/>
    <m/>
    <m/>
    <m/>
    <m/>
    <m/>
    <n v="41693.695999999996"/>
    <n v="-13362.048040000016"/>
    <m/>
    <m/>
    <m/>
    <m/>
    <n v="-17308.734000000004"/>
    <n v="2127.3866800000001"/>
    <n v="31"/>
    <n v="1336.2201712046517"/>
    <n v="0"/>
    <n v="0"/>
    <n v="0"/>
    <n v="0"/>
    <n v="0"/>
    <n v="0"/>
    <n v="0"/>
    <n v="408.05708385826983"/>
    <n v="0"/>
    <n v="0"/>
    <n v="2368.2209584251905"/>
    <n v="0"/>
    <n v="0"/>
    <n v="0"/>
    <n v="173.1093897700656"/>
    <n v="0"/>
    <n v="-336.14712290199168"/>
    <m/>
    <n v="0"/>
    <n v="0"/>
    <n v="0"/>
    <n v="0"/>
    <n v="-45.246527077250448"/>
    <n v="-10.239652224733561"/>
    <n v="0"/>
    <n v="-1221.5339586449036"/>
    <m/>
    <m/>
    <m/>
    <n v="32336.431710514393"/>
    <n v="0"/>
    <n v="0"/>
    <n v="-17308.734000000011"/>
    <n v="2127.3866799999996"/>
    <n v="0"/>
    <n v="0"/>
    <n v="-16517.524423082265"/>
    <n v="0"/>
    <n v="0"/>
    <n v="0"/>
    <n v="0"/>
    <n v="0"/>
    <n v="0"/>
    <n v="0"/>
    <n v="0"/>
    <n v="0"/>
    <n v="0"/>
    <n v="0"/>
    <n v="0"/>
    <n v="2273.306643164702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9"/>
    <s v="Regular"/>
    <s v="Verde"/>
    <s v="A4"/>
    <s v="Rural"/>
    <s v="Não se aplica"/>
    <s v="Não se aplica"/>
    <s v="Não se aplica"/>
    <s v="Ponta"/>
    <s v="CATIVO"/>
    <x v="0"/>
    <n v="0"/>
    <n v="0"/>
    <n v="31.495999999999999"/>
    <n v="30.236159999999998"/>
    <n v="31.495999999999999"/>
    <n v="30.236159999999998"/>
    <m/>
    <n v="2810.7"/>
    <n v="159.41"/>
    <m/>
    <n v="93546.584559999988"/>
    <n v="93546.584559999988"/>
    <n v="59580.668239999992"/>
    <n v="0"/>
    <n v="1698.0790620431401"/>
    <n v="0"/>
    <n v="0"/>
    <n v="0"/>
    <n v="19228.799129306968"/>
    <n v="66295.580923247922"/>
    <n v="4857.6506535960807"/>
    <n v="163.20431101153494"/>
    <n v="0"/>
    <n v="0"/>
    <n v="0"/>
    <n v="0"/>
    <n v="301.60743932697414"/>
    <m/>
    <n v="33.818306656507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46028280916889"/>
    <n v="0"/>
    <n v="0"/>
    <n v="0"/>
    <n v="0"/>
    <n v="0"/>
    <m/>
    <m/>
    <m/>
    <m/>
    <m/>
    <n v="2383.2267296000009"/>
    <m/>
    <m/>
    <m/>
    <n v="5021.11093640525"/>
    <m/>
    <m/>
    <m/>
    <m/>
    <m/>
    <m/>
    <m/>
    <m/>
    <m/>
    <m/>
    <m/>
    <m/>
    <n v="57204.705599999994"/>
    <n v="-32600.04557759998"/>
    <m/>
    <m/>
    <m/>
    <m/>
    <n v="-34831.111439999993"/>
    <n v="865.19511999999997"/>
    <n v="31"/>
    <n v="-101.81387495266608"/>
    <n v="0"/>
    <n v="0"/>
    <n v="0"/>
    <n v="0"/>
    <n v="0"/>
    <n v="0"/>
    <n v="0"/>
    <n v="868.60298372665056"/>
    <n v="0"/>
    <n v="0"/>
    <n v="963.14094450906123"/>
    <n v="0"/>
    <n v="0"/>
    <n v="0"/>
    <n v="32.409759861589379"/>
    <n v="0"/>
    <n v="-118.93680738522607"/>
    <m/>
    <n v="0"/>
    <n v="0"/>
    <n v="0"/>
    <n v="0"/>
    <n v="-18.401485161214339"/>
    <n v="-2.1548208558964426"/>
    <n v="0"/>
    <n v="-1826.4744496476303"/>
    <m/>
    <m/>
    <m/>
    <n v="66295.580923247922"/>
    <n v="0"/>
    <n v="0"/>
    <n v="-34831.111440000001"/>
    <n v="865.19511999999941"/>
    <n v="0"/>
    <n v="0"/>
    <n v="-33863.93671525945"/>
    <n v="0"/>
    <n v="0"/>
    <n v="0"/>
    <n v="0"/>
    <n v="0"/>
    <n v="0"/>
    <n v="0"/>
    <n v="0"/>
    <n v="0"/>
    <n v="0"/>
    <n v="0"/>
    <n v="0"/>
    <n v="804.349690728919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0"/>
    <s v="Sistema de Compensação"/>
    <s v="Verde"/>
    <s v="A4"/>
    <s v="Rural"/>
    <s v="Não se aplica"/>
    <s v="Não se aplica"/>
    <s v="Não se aplica"/>
    <s v="Ponta"/>
    <s v="CATIVO"/>
    <x v="0"/>
    <n v="0"/>
    <n v="0"/>
    <n v="8.6999999999999994E-2"/>
    <n v="8.3519999999999997E-2"/>
    <n v="8.6999999999999994E-2"/>
    <n v="8.3519999999999997E-2"/>
    <m/>
    <n v="2810.7"/>
    <n v="159.41"/>
    <m/>
    <n v="258.39956999999998"/>
    <n v="258.39956999999998"/>
    <n v="164.57702999999998"/>
    <n v="0"/>
    <n v="4.6905282701852045"/>
    <n v="0"/>
    <n v="0"/>
    <n v="0"/>
    <n v="53.114856624641419"/>
    <n v="183.12533465591088"/>
    <n v="13.418072354040481"/>
    <n v="0.45081200971563179"/>
    <n v="0"/>
    <n v="0"/>
    <n v="0"/>
    <n v="0"/>
    <n v="0.83311681551456529"/>
    <m/>
    <n v="9.341480439154742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5151906922776519"/>
    <n v="0"/>
    <n v="0"/>
    <n v="0"/>
    <n v="0"/>
    <n v="0"/>
    <m/>
    <m/>
    <m/>
    <m/>
    <m/>
    <n v="6.5830811999999943"/>
    <m/>
    <m/>
    <m/>
    <n v="13.869591423268247"/>
    <m/>
    <m/>
    <m/>
    <m/>
    <m/>
    <m/>
    <m/>
    <m/>
    <m/>
    <m/>
    <m/>
    <m/>
    <n v="151.33519999999999"/>
    <n v="-96.758387199999959"/>
    <m/>
    <m/>
    <m/>
    <m/>
    <n v="-96.212429999999983"/>
    <n v="2.3898899999999998"/>
    <n v="31"/>
    <n v="-0.28123593855988815"/>
    <n v="0"/>
    <n v="0"/>
    <n v="0"/>
    <n v="0"/>
    <n v="0"/>
    <n v="0"/>
    <n v="0"/>
    <n v="2.3993033904057199"/>
    <n v="0"/>
    <n v="0"/>
    <n v="2.6604413948529473"/>
    <n v="0"/>
    <n v="0"/>
    <n v="0"/>
    <n v="8.9524038225751723E-2"/>
    <n v="0"/>
    <n v="-0.32853385326754747"/>
    <m/>
    <n v="0"/>
    <n v="0"/>
    <n v="0"/>
    <n v="0"/>
    <n v="-5.0829604045772414E-2"/>
    <n v="-5.9521658135315708E-3"/>
    <n v="0"/>
    <n v="-5.0451891389174452"/>
    <m/>
    <m/>
    <m/>
    <n v="183.12533465591088"/>
    <n v="0"/>
    <n v="0"/>
    <n v="-96.212429999999983"/>
    <n v="2.3898900000000012"/>
    <n v="0"/>
    <n v="0"/>
    <n v="-93.540846273417955"/>
    <n v="0"/>
    <n v="0"/>
    <n v="0"/>
    <n v="0"/>
    <n v="0"/>
    <n v="0"/>
    <n v="0"/>
    <n v="0"/>
    <n v="0"/>
    <n v="0"/>
    <n v="0"/>
    <n v="0"/>
    <n v="2.221819376854710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1"/>
    <s v="Regular"/>
    <s v="Verde"/>
    <s v="A4"/>
    <s v="Rural"/>
    <s v="Não se aplica"/>
    <s v="Não se aplica"/>
    <s v="Não se aplica"/>
    <s v="Fora ponta"/>
    <s v="CATIVO"/>
    <x v="0"/>
    <n v="0"/>
    <n v="0"/>
    <n v="588.40899999999999"/>
    <n v="564.87263999999993"/>
    <n v="588.40899999999999"/>
    <n v="564.87263999999993"/>
    <m/>
    <n v="95.29"/>
    <n v="159.41"/>
    <m/>
    <n v="149867.77230000001"/>
    <n v="149867.77230000001"/>
    <n v="162936.33619"/>
    <n v="0"/>
    <n v="31723.552286567883"/>
    <n v="0"/>
    <n v="0"/>
    <n v="0"/>
    <n v="0"/>
    <n v="0"/>
    <n v="90750.741790443746"/>
    <n v="3048.9867106294851"/>
    <n v="0"/>
    <n v="0"/>
    <n v="0"/>
    <n v="0"/>
    <n v="5634.6371528748259"/>
    <m/>
    <n v="631.794386634781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53.7687816694265"/>
    <n v="0"/>
    <n v="0"/>
    <n v="0"/>
    <n v="0"/>
    <n v="0"/>
    <m/>
    <m/>
    <m/>
    <m/>
    <m/>
    <n v="6517.4534476000154"/>
    <m/>
    <m/>
    <m/>
    <n v="93804.510572113169"/>
    <m/>
    <m/>
    <m/>
    <m/>
    <m/>
    <m/>
    <m/>
    <m/>
    <m/>
    <m/>
    <m/>
    <m/>
    <n v="156418.15169999999"/>
    <n v="12545.06029199998"/>
    <m/>
    <m/>
    <m/>
    <m/>
    <n v="-3095.0313400000032"/>
    <n v="16163.595229999999"/>
    <n v="31"/>
    <n v="13066.70405247173"/>
    <n v="0"/>
    <n v="0"/>
    <n v="0"/>
    <n v="0"/>
    <n v="0"/>
    <n v="0"/>
    <n v="0"/>
    <n v="0"/>
    <n v="0"/>
    <n v="0"/>
    <n v="17993.421387402603"/>
    <n v="0"/>
    <n v="0"/>
    <n v="0"/>
    <n v="605.47988285490055"/>
    <n v="0"/>
    <n v="-2221.9801846816554"/>
    <m/>
    <n v="0"/>
    <n v="0"/>
    <n v="0"/>
    <n v="0"/>
    <n v="-343.77697111458474"/>
    <n v="-40.256413036486151"/>
    <n v="0"/>
    <n v="-2926.1836489530647"/>
    <m/>
    <m/>
    <m/>
    <n v="0"/>
    <n v="0"/>
    <n v="0"/>
    <n v="-3095.0313400000086"/>
    <n v="16163.595230000006"/>
    <n v="0"/>
    <n v="0"/>
    <n v="0"/>
    <n v="0"/>
    <n v="0"/>
    <n v="0"/>
    <n v="0"/>
    <n v="0"/>
    <n v="0"/>
    <n v="0"/>
    <n v="0"/>
    <n v="0"/>
    <n v="0"/>
    <n v="0"/>
    <n v="0"/>
    <n v="15026.87951397360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2"/>
    <s v="Sistema de Compensação"/>
    <s v="Verde"/>
    <s v="A4"/>
    <s v="Rural"/>
    <s v="Não se aplica"/>
    <s v="Não se aplica"/>
    <s v="Não se aplica"/>
    <s v="Fora ponta"/>
    <s v="CATIVO"/>
    <x v="0"/>
    <n v="0"/>
    <n v="0"/>
    <n v="17.452000000000002"/>
    <n v="16.753920000000001"/>
    <n v="17.452000000000002"/>
    <n v="16.753920000000001"/>
    <m/>
    <n v="95.29"/>
    <n v="159.41"/>
    <m/>
    <n v="4445.0244000000002"/>
    <n v="4445.0244000000002"/>
    <n v="4832.6333200000008"/>
    <n v="0"/>
    <n v="940.90918817554245"/>
    <n v="0"/>
    <n v="0"/>
    <n v="0"/>
    <n v="0"/>
    <n v="0"/>
    <n v="2691.6344680771786"/>
    <n v="90.431852799508121"/>
    <n v="0"/>
    <n v="0"/>
    <n v="0"/>
    <n v="0"/>
    <n v="167.12131798115169"/>
    <m/>
    <n v="18.7387950142676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.573687312217928"/>
    <n v="0"/>
    <n v="0"/>
    <n v="0"/>
    <n v="0"/>
    <n v="0"/>
    <m/>
    <m/>
    <m/>
    <m/>
    <m/>
    <n v="193.30533280000026"/>
    <m/>
    <m/>
    <m/>
    <n v="2782.2081553893963"/>
    <m/>
    <m/>
    <m/>
    <m/>
    <m/>
    <m/>
    <m/>
    <m/>
    <m/>
    <m/>
    <m/>
    <m/>
    <n v="4638.2425000000003"/>
    <n v="370.98907599999984"/>
    <m/>
    <m/>
    <m/>
    <m/>
    <n v="-91.797520000000105"/>
    <n v="479.40644000000003"/>
    <n v="31"/>
    <n v="387.55375788564834"/>
    <n v="0"/>
    <n v="0"/>
    <n v="0"/>
    <n v="0"/>
    <n v="0"/>
    <n v="0"/>
    <n v="0"/>
    <n v="0"/>
    <n v="0"/>
    <n v="0"/>
    <n v="533.67842785027142"/>
    <n v="0"/>
    <n v="0"/>
    <n v="0"/>
    <n v="17.958316265699068"/>
    <n v="0"/>
    <n v="-65.903135715232565"/>
    <m/>
    <n v="0"/>
    <n v="0"/>
    <n v="0"/>
    <n v="0"/>
    <n v="-10.196301721917479"/>
    <n v="-1.1939907790546336"/>
    <n v="0"/>
    <n v="-86.789558014117546"/>
    <m/>
    <m/>
    <m/>
    <n v="0"/>
    <n v="0"/>
    <n v="0"/>
    <n v="-91.797520000000077"/>
    <n v="479.4064400000002"/>
    <n v="0"/>
    <n v="0"/>
    <n v="0"/>
    <n v="0"/>
    <n v="0"/>
    <n v="0"/>
    <n v="0"/>
    <n v="0"/>
    <n v="0"/>
    <n v="0"/>
    <n v="0"/>
    <n v="0"/>
    <n v="0"/>
    <n v="0"/>
    <n v="0"/>
    <n v="445.6918593663036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3"/>
    <s v="Regular"/>
    <s v="Verde"/>
    <s v="A4"/>
    <s v="Rural"/>
    <s v="Não se aplica"/>
    <s v="Não se aplica"/>
    <s v="Não se aplica"/>
    <s v="Não se aplica"/>
    <s v="CATIVO"/>
    <x v="0"/>
    <n v="3537"/>
    <n v="3395.52"/>
    <n v="0"/>
    <n v="0"/>
    <n v="0"/>
    <n v="0"/>
    <n v="43.29"/>
    <m/>
    <m/>
    <n v="153116.73000000001"/>
    <m/>
    <n v="153116.73000000001"/>
    <n v="118454.13"/>
    <n v="0"/>
    <n v="0"/>
    <n v="0"/>
    <n v="0"/>
    <n v="0"/>
    <n v="83699.522579395212"/>
    <n v="69428.434788162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55.1400000000001"/>
    <n v="5328.9"/>
    <n v="132.9"/>
    <n v="22"/>
    <m/>
    <m/>
    <m/>
    <m/>
    <m/>
    <n v="4738.1652000000013"/>
    <m/>
    <m/>
    <m/>
    <n v="0"/>
    <m/>
    <m/>
    <m/>
    <m/>
    <m/>
    <m/>
    <m/>
    <m/>
    <m/>
    <m/>
    <m/>
    <m/>
    <n v="113715.9648"/>
    <n v="-33276.126000000033"/>
    <m/>
    <m/>
    <m/>
    <m/>
    <n v="-34662.599999999991"/>
    <n v="0"/>
    <n v="31"/>
    <n v="791.08593362425745"/>
    <n v="0"/>
    <n v="0"/>
    <n v="0"/>
    <n v="0"/>
    <m/>
    <m/>
    <m/>
    <n v="3780.8733951643953"/>
    <n v="0"/>
    <n v="0"/>
    <m/>
    <m/>
    <n v="0"/>
    <n v="0"/>
    <n v="0"/>
    <n v="0"/>
    <n v="0"/>
    <m/>
    <n v="0"/>
    <n v="0"/>
    <m/>
    <n v="0"/>
    <n v="0"/>
    <n v="0"/>
    <n v="0"/>
    <n v="-2989.7874615401388"/>
    <m/>
    <m/>
    <n v="69428.43478816234"/>
    <m/>
    <n v="0"/>
    <n v="0"/>
    <n v="-34662.600000000006"/>
    <m/>
    <n v="0"/>
    <m/>
    <n v="-35464.20574589752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4"/>
    <s v="Sistema de Compensação"/>
    <s v="Verde"/>
    <s v="A4"/>
    <s v="Rural"/>
    <s v="Não se aplica"/>
    <s v="Não se aplica"/>
    <s v="Não se aplica"/>
    <s v="Não se aplica"/>
    <s v="CATIVO"/>
    <x v="0"/>
    <n v="215"/>
    <n v="206.4"/>
    <n v="0"/>
    <n v="0"/>
    <n v="0"/>
    <n v="0"/>
    <n v="43.29"/>
    <m/>
    <m/>
    <n v="9307.35"/>
    <m/>
    <n v="9307.35"/>
    <n v="7200.35"/>
    <n v="0"/>
    <n v="0"/>
    <n v="0"/>
    <n v="0"/>
    <n v="0"/>
    <n v="5087.7572390641699"/>
    <n v="4220.27522743989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9.840000000000003"/>
    <n v="183.83"/>
    <n v="9.19"/>
    <n v="2"/>
    <m/>
    <m/>
    <m/>
    <m/>
    <m/>
    <n v="288.01399999999984"/>
    <m/>
    <m/>
    <m/>
    <n v="0"/>
    <m/>
    <m/>
    <m/>
    <m/>
    <m/>
    <m/>
    <m/>
    <m/>
    <m/>
    <m/>
    <m/>
    <m/>
    <n v="6912.3360000000002"/>
    <n v="-2022.7500000000009"/>
    <m/>
    <m/>
    <m/>
    <m/>
    <n v="-2106.9999999999995"/>
    <n v="0"/>
    <n v="31"/>
    <n v="48.086931221152554"/>
    <n v="0"/>
    <n v="0"/>
    <n v="0"/>
    <n v="0"/>
    <m/>
    <m/>
    <m/>
    <n v="229.82408254462734"/>
    <n v="0"/>
    <n v="0"/>
    <m/>
    <m/>
    <n v="0"/>
    <n v="0"/>
    <n v="0"/>
    <n v="0"/>
    <n v="0"/>
    <m/>
    <n v="0"/>
    <n v="0"/>
    <m/>
    <n v="0"/>
    <n v="0"/>
    <n v="0"/>
    <n v="0"/>
    <n v="-181.73715132347465"/>
    <m/>
    <m/>
    <n v="4220.2752274398936"/>
    <m/>
    <n v="0"/>
    <n v="0"/>
    <n v="-2107"/>
    <m/>
    <n v="0"/>
    <m/>
    <n v="-2155.72638828610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5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48.672"/>
    <n v="248.672"/>
    <n v="248.672"/>
    <n v="248.672"/>
    <m/>
    <n v="648.44000000000005"/>
    <n v="159.41"/>
    <m/>
    <n v="200889.6752"/>
    <n v="200889.6752"/>
    <n v="152142.50303999998"/>
    <n v="0"/>
    <n v="15410.266164665027"/>
    <n v="0"/>
    <n v="0"/>
    <n v="0"/>
    <n v="29006.202754969574"/>
    <n v="103831.99662100401"/>
    <n v="38352.860786482241"/>
    <n v="1288.5554491954665"/>
    <n v="0"/>
    <n v="0"/>
    <n v="0"/>
    <n v="0"/>
    <n v="2381.2968361797471"/>
    <m/>
    <n v="516.01818310903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03.4716537172794"/>
    <n v="0"/>
    <n v="713.44"/>
    <n v="3300.36"/>
    <n v="66039.78"/>
    <n v="358"/>
    <m/>
    <m/>
    <m/>
    <m/>
    <m/>
    <m/>
    <m/>
    <m/>
    <m/>
    <n v="41156.33244019952"/>
    <m/>
    <m/>
    <m/>
    <m/>
    <m/>
    <m/>
    <m/>
    <m/>
    <m/>
    <m/>
    <m/>
    <m/>
    <n v="152141.2794"/>
    <n v="-48748.425800000026"/>
    <m/>
    <m/>
    <m/>
    <m/>
    <n v="-55578.19200000001"/>
    <n v="6831.0198399999999"/>
    <n v="31"/>
    <n v="4290.5911679897981"/>
    <n v="0"/>
    <n v="0"/>
    <n v="0"/>
    <n v="0"/>
    <n v="0"/>
    <n v="0"/>
    <n v="0"/>
    <n v="1310.2676922318606"/>
    <n v="0"/>
    <n v="0"/>
    <n v="7604.3365809295574"/>
    <n v="0"/>
    <n v="0"/>
    <n v="0"/>
    <n v="555.85272161693274"/>
    <n v="0"/>
    <n v="-1079.3654427235688"/>
    <m/>
    <n v="0"/>
    <n v="0"/>
    <n v="0"/>
    <n v="0"/>
    <n v="-145.28619881919894"/>
    <n v="-32.879432855081689"/>
    <n v="0"/>
    <n v="-3922.3347523907005"/>
    <m/>
    <m/>
    <m/>
    <n v="103831.99662100401"/>
    <n v="0"/>
    <n v="0"/>
    <n v="-55578.19200000001"/>
    <n v="6831.0198399999936"/>
    <n v="0"/>
    <n v="0"/>
    <n v="-53037.625036629215"/>
    <n v="0"/>
    <n v="0"/>
    <n v="0"/>
    <n v="0"/>
    <n v="0"/>
    <n v="0"/>
    <n v="0"/>
    <n v="0"/>
    <n v="0"/>
    <n v="0"/>
    <n v="0"/>
    <n v="0"/>
    <n v="7299.567552929249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6"/>
    <s v="Regular"/>
    <s v="Azul"/>
    <s v="A4"/>
    <s v="Poder público"/>
    <s v="Não se aplica"/>
    <s v="Não se aplica"/>
    <s v="Não se aplica"/>
    <s v="Ponta"/>
    <s v="CATIVO"/>
    <x v="0"/>
    <n v="200"/>
    <n v="200"/>
    <n v="2.952"/>
    <n v="2.952"/>
    <n v="2.952"/>
    <n v="2.952"/>
    <n v="112.91"/>
    <n v="95.29"/>
    <n v="159.41"/>
    <n v="22582"/>
    <n v="751.87439999999992"/>
    <n v="23333.874400000001"/>
    <n v="14245.438320000001"/>
    <n v="0"/>
    <n v="159.15447647800832"/>
    <n v="0"/>
    <n v="0"/>
    <n v="0"/>
    <n v="5077.0827132346003"/>
    <n v="17504.269107723037"/>
    <n v="455.28907573709773"/>
    <n v="15.296517846902816"/>
    <n v="0"/>
    <n v="0"/>
    <n v="0"/>
    <n v="0"/>
    <n v="28.268515395390768"/>
    <m/>
    <n v="3.1696609490097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320509107590379"/>
    <n v="0"/>
    <n v="0"/>
    <n v="0"/>
    <n v="0"/>
    <n v="0"/>
    <m/>
    <m/>
    <m/>
    <m/>
    <m/>
    <m/>
    <m/>
    <m/>
    <m/>
    <n v="470.60958484468813"/>
    <m/>
    <m/>
    <m/>
    <m/>
    <m/>
    <m/>
    <m/>
    <m/>
    <m/>
    <m/>
    <m/>
    <m/>
    <n v="14244.8845"/>
    <n v="-9089.0198999999957"/>
    <m/>
    <m/>
    <m/>
    <m/>
    <n v="-9169.5275199999996"/>
    <n v="81.091439999999992"/>
    <n v="31"/>
    <n v="-145.99911694364255"/>
    <n v="0"/>
    <n v="0"/>
    <n v="0"/>
    <n v="0"/>
    <n v="0"/>
    <n v="0"/>
    <n v="0"/>
    <n v="229.34189304735992"/>
    <n v="0"/>
    <n v="0"/>
    <n v="90.271528708113692"/>
    <n v="0"/>
    <n v="0"/>
    <n v="0"/>
    <n v="3.0376432280737831"/>
    <n v="0"/>
    <n v="-11.147493503974715"/>
    <m/>
    <n v="0"/>
    <n v="0"/>
    <n v="0"/>
    <n v="0"/>
    <n v="-1.7247010476220694"/>
    <n v="-0.2019631434660365"/>
    <n v="0"/>
    <n v="-455.57602423212671"/>
    <m/>
    <m/>
    <n v="17504.269107723037"/>
    <n v="0"/>
    <n v="0"/>
    <n v="0"/>
    <n v="-9169.5275199999996"/>
    <n v="81.091440000000034"/>
    <n v="0"/>
    <n v="0"/>
    <n v="-8941.2213160491574"/>
    <n v="0"/>
    <n v="0"/>
    <n v="0"/>
    <n v="0"/>
    <n v="0"/>
    <n v="0"/>
    <n v="0"/>
    <n v="0"/>
    <n v="0"/>
    <n v="0"/>
    <n v="0"/>
    <n v="0"/>
    <n v="75.38862989051845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7"/>
    <s v="Regular"/>
    <s v="Azul"/>
    <s v="A4"/>
    <s v="Poder público"/>
    <s v="Não se aplica"/>
    <s v="Não se aplica"/>
    <s v="Não se aplica"/>
    <s v="Fora ponta"/>
    <s v="CATIVO"/>
    <x v="0"/>
    <n v="230"/>
    <n v="230"/>
    <n v="22.67"/>
    <n v="22.67"/>
    <n v="22.67"/>
    <n v="22.67"/>
    <n v="43.29"/>
    <n v="95.29"/>
    <n v="159.41"/>
    <n v="9956.6999999999989"/>
    <n v="5774.0490000000009"/>
    <n v="15730.749"/>
    <n v="13980.2497"/>
    <n v="0"/>
    <n v="1222.2330561505585"/>
    <n v="0"/>
    <n v="0"/>
    <n v="0"/>
    <n v="5442.71704644074"/>
    <n v="4514.7130340054682"/>
    <n v="3496.4103478861812"/>
    <n v="117.47020988796982"/>
    <n v="0"/>
    <n v="0"/>
    <n v="0"/>
    <n v="0"/>
    <n v="217.08917480132411"/>
    <m/>
    <n v="24.3415358109928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.65445171716597"/>
    <n v="0"/>
    <n v="0"/>
    <n v="0"/>
    <n v="0"/>
    <n v="0"/>
    <m/>
    <m/>
    <m/>
    <m/>
    <m/>
    <m/>
    <m/>
    <m/>
    <m/>
    <n v="3614.0647996033472"/>
    <m/>
    <m/>
    <m/>
    <m/>
    <m/>
    <m/>
    <m/>
    <m/>
    <m/>
    <m/>
    <m/>
    <m/>
    <n v="13980.2497"/>
    <n v="-1750.5293000000001"/>
    <m/>
    <m/>
    <m/>
    <m/>
    <n v="-2373.2441999999996"/>
    <n v="622.74490000000003"/>
    <n v="31"/>
    <n v="554.87087828062795"/>
    <n v="0"/>
    <n v="0"/>
    <n v="0"/>
    <n v="0"/>
    <n v="0"/>
    <n v="0"/>
    <n v="0"/>
    <n v="245.85832086169376"/>
    <n v="0"/>
    <n v="0"/>
    <n v="693.24375196915253"/>
    <n v="0"/>
    <n v="0"/>
    <n v="0"/>
    <n v="23.327700535376906"/>
    <n v="0"/>
    <n v="-85.607614408911331"/>
    <m/>
    <n v="0"/>
    <n v="0"/>
    <n v="0"/>
    <n v="0"/>
    <n v="-13.244909468019074"/>
    <n v="-1.5509838964685123"/>
    <n v="0"/>
    <n v="-307.15538731219823"/>
    <m/>
    <m/>
    <n v="4514.7130340054682"/>
    <n v="0"/>
    <n v="0"/>
    <n v="0"/>
    <n v="-2373.2441999999974"/>
    <n v="622.74489999999969"/>
    <n v="0"/>
    <n v="0"/>
    <n v="-2306.1259037479317"/>
    <n v="0"/>
    <n v="0"/>
    <n v="0"/>
    <n v="0"/>
    <n v="0"/>
    <n v="0"/>
    <n v="0"/>
    <n v="0"/>
    <n v="0"/>
    <n v="0"/>
    <n v="0"/>
    <n v="0"/>
    <n v="578.9499456700723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8"/>
    <s v="Regular"/>
    <s v="Azul"/>
    <s v="A4"/>
    <s v="Poder público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1.49"/>
    <n v="514.33000000000004"/>
    <n v="6560.8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9"/>
    <s v="Regular"/>
    <s v="Verde"/>
    <s v="A4"/>
    <s v="Poder público"/>
    <s v="Não se aplica"/>
    <s v="Não se aplica"/>
    <s v="Não se aplica"/>
    <s v="Ponta"/>
    <s v="CATIVO"/>
    <x v="0"/>
    <n v="0"/>
    <n v="0"/>
    <n v="0.54700000000000004"/>
    <n v="0.54700000000000004"/>
    <n v="0.54700000000000004"/>
    <n v="0.54700000000000004"/>
    <m/>
    <n v="2810.7"/>
    <n v="159.41"/>
    <m/>
    <n v="1624.6501699999999"/>
    <n v="1624.6501699999999"/>
    <n v="1034.75443"/>
    <n v="0"/>
    <n v="29.491022572313874"/>
    <n v="0"/>
    <n v="0"/>
    <n v="0"/>
    <n v="333.95202958251565"/>
    <n v="1151.3742305377386"/>
    <n v="84.36420204207063"/>
    <n v="2.834415739246559"/>
    <n v="0"/>
    <n v="0"/>
    <n v="0"/>
    <n v="0"/>
    <n v="5.2381022768559458"/>
    <m/>
    <n v="0.58733216094455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8388612743400876"/>
    <n v="0"/>
    <n v="0"/>
    <n v="0"/>
    <n v="0"/>
    <n v="0"/>
    <m/>
    <m/>
    <m/>
    <m/>
    <m/>
    <m/>
    <m/>
    <m/>
    <m/>
    <n v="87.20306331641072"/>
    <m/>
    <m/>
    <m/>
    <m/>
    <m/>
    <m/>
    <m/>
    <m/>
    <m/>
    <m/>
    <m/>
    <m/>
    <n v="1040.4295000000002"/>
    <n v="-584.25066999999967"/>
    <m/>
    <m/>
    <m/>
    <m/>
    <n v="-604.92183"/>
    <n v="15.02609"/>
    <n v="31"/>
    <n v="-1.7682305562327656"/>
    <n v="0"/>
    <n v="0"/>
    <n v="0"/>
    <n v="0"/>
    <n v="0"/>
    <n v="0"/>
    <n v="0"/>
    <n v="15.085275339677366"/>
    <n v="0"/>
    <n v="0"/>
    <n v="16.727143022811049"/>
    <n v="0"/>
    <n v="0"/>
    <n v="0"/>
    <n v="0.56286952769524357"/>
    <n v="0"/>
    <n v="-2.0656093992798645"/>
    <m/>
    <n v="0"/>
    <n v="0"/>
    <n v="0"/>
    <n v="0"/>
    <n v="-0.31958383233376431"/>
    <n v="-3.7423387356342208E-2"/>
    <n v="0"/>
    <n v="-31.720901827446468"/>
    <m/>
    <m/>
    <m/>
    <n v="1151.3742305377386"/>
    <n v="0"/>
    <n v="0"/>
    <n v="-604.92183"/>
    <n v="15.026089999999996"/>
    <n v="0"/>
    <n v="0"/>
    <n v="-588.12463116735205"/>
    <n v="0"/>
    <n v="0"/>
    <n v="0"/>
    <n v="0"/>
    <n v="0"/>
    <n v="0"/>
    <n v="0"/>
    <n v="0"/>
    <n v="0"/>
    <n v="0"/>
    <n v="0"/>
    <n v="0"/>
    <n v="13.96937010505203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0"/>
    <s v="Regular"/>
    <s v="Verde"/>
    <s v="A4"/>
    <s v="Poder público"/>
    <s v="Não se aplica"/>
    <s v="Não se aplica"/>
    <s v="Não se aplica"/>
    <s v="Fora ponta"/>
    <s v="CATIVO"/>
    <x v="0"/>
    <n v="0"/>
    <n v="0"/>
    <n v="5.22"/>
    <n v="5.22"/>
    <n v="5.22"/>
    <n v="5.22"/>
    <m/>
    <n v="95.29"/>
    <n v="159.41"/>
    <m/>
    <n v="1329.5339999999999"/>
    <n v="1329.5339999999999"/>
    <n v="1445.4701999999997"/>
    <n v="0"/>
    <n v="281.43169621111224"/>
    <n v="0"/>
    <n v="0"/>
    <n v="0"/>
    <n v="0"/>
    <n v="0"/>
    <n v="805.08434124242888"/>
    <n v="27.048720582937907"/>
    <n v="0"/>
    <n v="0"/>
    <n v="0"/>
    <n v="0"/>
    <n v="49.98700893087392"/>
    <m/>
    <n v="5.60488826349284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091144153665912"/>
    <n v="0"/>
    <n v="0"/>
    <n v="0"/>
    <n v="0"/>
    <n v="0"/>
    <m/>
    <m/>
    <m/>
    <m/>
    <m/>
    <m/>
    <m/>
    <m/>
    <m/>
    <n v="832.17548539609481"/>
    <m/>
    <m/>
    <m/>
    <m/>
    <m/>
    <m/>
    <m/>
    <m/>
    <m/>
    <m/>
    <m/>
    <m/>
    <n v="1445.4701999999997"/>
    <n v="115.9061999999999"/>
    <m/>
    <m/>
    <m/>
    <m/>
    <n v="-27.457200000000025"/>
    <n v="143.39339999999999"/>
    <n v="31"/>
    <n v="115.91970067402485"/>
    <n v="0"/>
    <n v="0"/>
    <n v="0"/>
    <n v="0"/>
    <n v="0"/>
    <n v="0"/>
    <n v="0"/>
    <n v="0"/>
    <n v="0"/>
    <n v="0"/>
    <n v="159.62648369117676"/>
    <n v="0"/>
    <n v="0"/>
    <n v="0"/>
    <n v="5.3714422935451047"/>
    <n v="0"/>
    <n v="-19.712031196052806"/>
    <m/>
    <n v="0"/>
    <n v="0"/>
    <n v="0"/>
    <n v="0"/>
    <n v="-3.0497762427463471"/>
    <n v="-0.35712994881189353"/>
    <n v="0"/>
    <n v="-25.95928792308581"/>
    <m/>
    <m/>
    <m/>
    <n v="0"/>
    <n v="0"/>
    <n v="0"/>
    <n v="-27.4572"/>
    <n v="143.39339999999993"/>
    <n v="0"/>
    <n v="0"/>
    <n v="0"/>
    <n v="0"/>
    <n v="0"/>
    <n v="0"/>
    <n v="0"/>
    <n v="0"/>
    <n v="0"/>
    <n v="0"/>
    <n v="0"/>
    <n v="0"/>
    <n v="0"/>
    <n v="0"/>
    <n v="0"/>
    <n v="133.3091626112826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1"/>
    <s v="Regular"/>
    <s v="Verde"/>
    <s v="A4"/>
    <s v="Poder público"/>
    <s v="Não se aplica"/>
    <s v="Não se aplica"/>
    <s v="Não se aplica"/>
    <s v="Não se aplica"/>
    <s v="CATIVO"/>
    <x v="0"/>
    <n v="45"/>
    <n v="45"/>
    <n v="0"/>
    <n v="0"/>
    <n v="0"/>
    <n v="0"/>
    <n v="43.29"/>
    <m/>
    <m/>
    <n v="1948.05"/>
    <m/>
    <n v="1948.05"/>
    <n v="1507.0500000000002"/>
    <n v="0"/>
    <n v="0"/>
    <n v="0"/>
    <n v="0"/>
    <n v="0"/>
    <n v="1064.8794221297101"/>
    <n v="883.313419696722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.51"/>
    <n v="62.33"/>
    <n v="0"/>
    <n v="1"/>
    <m/>
    <m/>
    <m/>
    <m/>
    <m/>
    <m/>
    <m/>
    <m/>
    <m/>
    <n v="0"/>
    <m/>
    <m/>
    <m/>
    <m/>
    <m/>
    <m/>
    <m/>
    <m/>
    <m/>
    <m/>
    <m/>
    <m/>
    <n v="1507.0500000000002"/>
    <n v="-441.02999999999975"/>
    <m/>
    <m/>
    <m/>
    <m/>
    <n v="-440.99999999999989"/>
    <n v="0"/>
    <n v="31"/>
    <n v="10.064706534659763"/>
    <n v="0"/>
    <n v="0"/>
    <n v="0"/>
    <n v="0"/>
    <m/>
    <m/>
    <m/>
    <n v="48.102714951201051"/>
    <n v="0"/>
    <n v="0"/>
    <m/>
    <m/>
    <n v="0"/>
    <n v="0"/>
    <n v="0"/>
    <n v="0"/>
    <n v="0"/>
    <m/>
    <n v="0"/>
    <n v="0"/>
    <m/>
    <n v="0"/>
    <n v="0"/>
    <n v="0"/>
    <n v="0"/>
    <n v="-38.03800841654121"/>
    <m/>
    <m/>
    <n v="883.31341969672201"/>
    <m/>
    <n v="0"/>
    <n v="0"/>
    <n v="-440.99999999999977"/>
    <m/>
    <n v="0"/>
    <m/>
    <n v="-451.1985463854648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2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606.09199999999998"/>
    <n v="606.09199999999998"/>
    <n v="606.09199999999998"/>
    <n v="606.09199999999998"/>
    <m/>
    <n v="356.64"/>
    <n v="87.68"/>
    <m/>
    <n v="269298.79743999999"/>
    <n v="269298.79743999999"/>
    <n v="203949.95800000001"/>
    <n v="0"/>
    <n v="20657.820229663121"/>
    <n v="0"/>
    <n v="0"/>
    <n v="0"/>
    <n v="38883.489464397862"/>
    <n v="139189.20655646638"/>
    <n v="51412.901954744826"/>
    <n v="1727.3385508725478"/>
    <n v="0"/>
    <n v="0"/>
    <n v="0"/>
    <n v="0"/>
    <n v="3192.1837968030986"/>
    <m/>
    <n v="691.73437681084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58.1189593104555"/>
    <n v="0"/>
    <n v="984.97"/>
    <n v="4544.95"/>
    <n v="63565.65"/>
    <n v="62"/>
    <m/>
    <m/>
    <m/>
    <m/>
    <m/>
    <m/>
    <m/>
    <m/>
    <m/>
    <n v="55171.020914055283"/>
    <m/>
    <m/>
    <m/>
    <m/>
    <m/>
    <m/>
    <m/>
    <m/>
    <m/>
    <m/>
    <m/>
    <m/>
    <n v="203949.285"/>
    <n v="-65349.542440000019"/>
    <m/>
    <m/>
    <m/>
    <m/>
    <n v="-74500.828639999992"/>
    <n v="9151.9891999999963"/>
    <n v="31"/>
    <n v="5751.637257930488"/>
    <n v="0"/>
    <n v="0"/>
    <n v="0"/>
    <n v="0"/>
    <n v="0"/>
    <n v="0"/>
    <n v="0"/>
    <n v="1756.4443176799687"/>
    <n v="0"/>
    <n v="0"/>
    <n v="10193.790060219115"/>
    <n v="0"/>
    <n v="0"/>
    <n v="0"/>
    <n v="745.13350221430937"/>
    <n v="0"/>
    <n v="-1446.9144815305917"/>
    <m/>
    <n v="0"/>
    <n v="0"/>
    <n v="0"/>
    <n v="0"/>
    <n v="-194.75952880943305"/>
    <n v="-44.075644503210697"/>
    <n v="0"/>
    <n v="-5257.9809673396685"/>
    <m/>
    <m/>
    <m/>
    <n v="139189.20655646638"/>
    <n v="0"/>
    <n v="0"/>
    <n v="-74500.828639999963"/>
    <n v="9151.9891999999963"/>
    <n v="0"/>
    <n v="0"/>
    <n v="-71098.169993144504"/>
    <n v="0"/>
    <n v="0"/>
    <n v="0"/>
    <n v="0"/>
    <n v="0"/>
    <n v="0"/>
    <n v="0"/>
    <n v="0"/>
    <n v="0"/>
    <n v="0"/>
    <n v="0"/>
    <n v="0"/>
    <n v="9785.240089392811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3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47.158999999999999"/>
    <n v="44.329459999999997"/>
    <n v="47.158999999999999"/>
    <n v="44.329459999999997"/>
    <m/>
    <n v="648.44000000000005"/>
    <n v="159.41"/>
    <m/>
    <n v="38097.398150000001"/>
    <n v="38097.398150000001"/>
    <n v="28852.819379999997"/>
    <n v="0"/>
    <n v="2922.455049460486"/>
    <n v="0"/>
    <n v="0"/>
    <n v="0"/>
    <n v="5500.8344957277468"/>
    <n v="19691.051379527766"/>
    <n v="7273.3663694735069"/>
    <n v="244.36601800206299"/>
    <n v="0"/>
    <n v="0"/>
    <n v="0"/>
    <n v="0"/>
    <n v="451.59719428564813"/>
    <m/>
    <n v="97.8594353093189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1.65985602582191"/>
    <n v="0"/>
    <n v="131.29"/>
    <n v="605.85"/>
    <n v="13452.82"/>
    <n v="13"/>
    <m/>
    <m/>
    <m/>
    <m/>
    <n v="1731.1691628000008"/>
    <m/>
    <m/>
    <m/>
    <m/>
    <n v="7805.0262254993286"/>
    <m/>
    <m/>
    <m/>
    <m/>
    <m/>
    <m/>
    <m/>
    <m/>
    <m/>
    <m/>
    <m/>
    <m/>
    <n v="27121.980599999999"/>
    <n v="-8689.6036610000046"/>
    <m/>
    <m/>
    <m/>
    <m/>
    <n v="-10540.036500000002"/>
    <n v="1295.4577299999999"/>
    <n v="31"/>
    <n v="813.68223560043043"/>
    <n v="0"/>
    <n v="0"/>
    <n v="0"/>
    <n v="0"/>
    <n v="0"/>
    <n v="0"/>
    <n v="0"/>
    <n v="248.48360128185777"/>
    <n v="0"/>
    <n v="0"/>
    <n v="1442.1121349410341"/>
    <n v="0"/>
    <n v="0"/>
    <n v="0"/>
    <n v="105.41379205834562"/>
    <n v="0"/>
    <n v="-204.69451692752182"/>
    <m/>
    <n v="0"/>
    <n v="0"/>
    <n v="0"/>
    <n v="0"/>
    <n v="-27.552566634420486"/>
    <n v="-6.2353669653712416"/>
    <n v="0"/>
    <n v="-743.84484215349153"/>
    <m/>
    <m/>
    <m/>
    <n v="19691.051379527766"/>
    <n v="0"/>
    <n v="0"/>
    <n v="-10540.036500000002"/>
    <n v="1295.4577299999992"/>
    <n v="0"/>
    <n v="0"/>
    <n v="-10058.234779558605"/>
    <n v="0"/>
    <n v="0"/>
    <n v="0"/>
    <n v="0"/>
    <n v="0"/>
    <n v="0"/>
    <n v="0"/>
    <n v="0"/>
    <n v="0"/>
    <n v="0"/>
    <n v="0"/>
    <n v="0"/>
    <n v="1384.314704625331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4"/>
    <s v="Regular"/>
    <s v="Azul"/>
    <s v="A4"/>
    <s v="Serviço público"/>
    <s v="Água, esgoto e saneamento"/>
    <s v="Não se aplica"/>
    <s v="Não se aplica"/>
    <s v="Ponta"/>
    <s v="CATIVO"/>
    <x v="0"/>
    <n v="708"/>
    <n v="665.52"/>
    <n v="38.078000000000003"/>
    <n v="35.793320000000001"/>
    <n v="38.078000000000003"/>
    <n v="35.793320000000001"/>
    <n v="112.91"/>
    <n v="95.29"/>
    <n v="159.41"/>
    <n v="79940.28"/>
    <n v="9698.4666000000016"/>
    <n v="89638.746599999999"/>
    <n v="58079.298980000007"/>
    <n v="0"/>
    <n v="2052.9417870357729"/>
    <n v="0"/>
    <n v="0"/>
    <n v="0"/>
    <n v="17972.872804850485"/>
    <n v="61965.112641339554"/>
    <n v="5872.7972310017649"/>
    <n v="197.31057133277963"/>
    <n v="0"/>
    <n v="0"/>
    <n v="0"/>
    <n v="0"/>
    <n v="364.63703564555885"/>
    <m/>
    <n v="40.8856197887510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.62003583971088"/>
    <n v="0"/>
    <n v="0"/>
    <n v="0"/>
    <n v="0"/>
    <n v="0"/>
    <m/>
    <m/>
    <m/>
    <m/>
    <n v="3484.7579388000017"/>
    <m/>
    <m/>
    <m/>
    <m/>
    <n v="6070.4172668414758"/>
    <m/>
    <m/>
    <m/>
    <m/>
    <m/>
    <m/>
    <m/>
    <m/>
    <m/>
    <m/>
    <m/>
    <m/>
    <n v="54593.621699999996"/>
    <n v="-29666.830103999971"/>
    <m/>
    <m/>
    <m/>
    <m/>
    <n v="-32605.450279999997"/>
    <n v="1046.0026600000001"/>
    <n v="31"/>
    <n v="96.691903154733154"/>
    <n v="0"/>
    <n v="0"/>
    <n v="0"/>
    <n v="0"/>
    <n v="0"/>
    <n v="0"/>
    <n v="0"/>
    <n v="811.87030138765112"/>
    <n v="0"/>
    <n v="0"/>
    <n v="1164.4170969334536"/>
    <n v="0"/>
    <n v="0"/>
    <n v="0"/>
    <n v="39.182716408737633"/>
    <n v="0"/>
    <n v="-143.79209269795024"/>
    <m/>
    <n v="0"/>
    <n v="0"/>
    <n v="0"/>
    <n v="0"/>
    <n v="-22.247007619022042"/>
    <n v="-2.6051329867546542"/>
    <n v="0"/>
    <n v="-1750.1339782713801"/>
    <m/>
    <m/>
    <n v="61965.112641339554"/>
    <n v="0"/>
    <n v="0"/>
    <n v="0"/>
    <n v="-32605.45027999999"/>
    <n v="1046.0026600000001"/>
    <n v="0"/>
    <n v="0"/>
    <n v="-31651.923458814021"/>
    <n v="0"/>
    <n v="0"/>
    <n v="0"/>
    <n v="0"/>
    <n v="0"/>
    <n v="0"/>
    <n v="0"/>
    <n v="0"/>
    <n v="0"/>
    <n v="0"/>
    <n v="0"/>
    <n v="0"/>
    <n v="972.4418187571687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5"/>
    <s v="Regular"/>
    <s v="Azul"/>
    <s v="A4"/>
    <s v="Serviço público"/>
    <s v="Água, esgoto e saneamento"/>
    <s v="Não se aplica"/>
    <s v="Não se aplica"/>
    <s v="Fora ponta"/>
    <s v="CATIVO"/>
    <x v="0"/>
    <n v="718"/>
    <n v="674.92"/>
    <n v="373.44400000000002"/>
    <n v="351.03735999999998"/>
    <n v="373.44400000000002"/>
    <n v="351.03735999999998"/>
    <n v="43.29"/>
    <n v="95.29"/>
    <n v="159.41"/>
    <n v="31082.22"/>
    <n v="95116.18680000001"/>
    <n v="126198.4068"/>
    <n v="127456.19804"/>
    <n v="0"/>
    <n v="20133.903900356821"/>
    <n v="0"/>
    <n v="0"/>
    <n v="0"/>
    <n v="16990.742779758486"/>
    <n v="14093.756340938808"/>
    <n v="57596.535772210278"/>
    <n v="1935.0924155890161"/>
    <n v="0"/>
    <n v="0"/>
    <n v="0"/>
    <n v="0"/>
    <n v="3576.1204144025446"/>
    <m/>
    <n v="400.979289783874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8.1274400999262"/>
    <n v="0"/>
    <n v="0"/>
    <n v="0"/>
    <n v="0"/>
    <n v="0"/>
    <m/>
    <m/>
    <m/>
    <m/>
    <n v="7647.3718824000116"/>
    <m/>
    <m/>
    <m/>
    <m/>
    <n v="59534.663212310203"/>
    <m/>
    <m/>
    <m/>
    <m/>
    <m/>
    <m/>
    <m/>
    <m/>
    <m/>
    <m/>
    <m/>
    <m/>
    <n v="119809.55720000001"/>
    <n v="1183.024808000031"/>
    <m/>
    <m/>
    <m/>
    <m/>
    <n v="-9000.7154399999999"/>
    <n v="10258.50668"/>
    <n v="31"/>
    <n v="8453.5988460477674"/>
    <n v="0"/>
    <n v="0"/>
    <n v="0"/>
    <n v="0"/>
    <n v="0"/>
    <n v="0"/>
    <n v="0"/>
    <n v="767.5055407769396"/>
    <n v="0"/>
    <n v="0"/>
    <n v="11419.837658154749"/>
    <n v="0"/>
    <n v="0"/>
    <n v="0"/>
    <n v="384.2783325422713"/>
    <n v="0"/>
    <n v="-1410.2183482717919"/>
    <m/>
    <n v="0"/>
    <n v="0"/>
    <n v="0"/>
    <n v="0"/>
    <n v="-218.1840304973498"/>
    <n v="-25.549432299637772"/>
    <n v="0"/>
    <n v="-2464.0708743574219"/>
    <m/>
    <m/>
    <n v="14093.756340938808"/>
    <n v="0"/>
    <n v="0"/>
    <n v="0"/>
    <n v="-9000.7154399999999"/>
    <n v="10258.506679999999"/>
    <n v="0"/>
    <n v="0"/>
    <n v="-7199.1234734391937"/>
    <n v="0"/>
    <n v="0"/>
    <n v="0"/>
    <n v="0"/>
    <n v="0"/>
    <n v="0"/>
    <n v="0"/>
    <n v="0"/>
    <n v="0"/>
    <n v="0"/>
    <n v="0"/>
    <n v="0"/>
    <n v="9537.070291610696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6"/>
    <s v="Regular"/>
    <s v="Azul"/>
    <s v="A4"/>
    <s v="Serviço público"/>
    <s v="Água, esgoto e saneamento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13.97"/>
    <n v="4216.1499999999996"/>
    <n v="90713.3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47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5.13"/>
    <n v="5.13"/>
    <n v="5.13"/>
    <n v="5.13"/>
    <m/>
    <n v="648.44000000000005"/>
    <n v="159.41"/>
    <m/>
    <n v="4144.2705000000005"/>
    <n v="4144.2705000000005"/>
    <n v="3138.6365999999998"/>
    <n v="0"/>
    <n v="317.90738573193437"/>
    <n v="0"/>
    <n v="0"/>
    <n v="0"/>
    <n v="598.38590646712908"/>
    <n v="2142.0109327377049"/>
    <n v="791.20357673824913"/>
    <n v="26.582363331507942"/>
    <n v="0"/>
    <n v="0"/>
    <n v="0"/>
    <n v="0"/>
    <n v="49.125163949307129"/>
    <m/>
    <n v="10.645240635653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834454959020889"/>
    <n v="0"/>
    <n v="15.17"/>
    <n v="70.05"/>
    <n v="1469.58"/>
    <n v="5"/>
    <m/>
    <m/>
    <m/>
    <m/>
    <m/>
    <m/>
    <m/>
    <m/>
    <m/>
    <n v="849.03803169727007"/>
    <m/>
    <m/>
    <m/>
    <m/>
    <m/>
    <m/>
    <m/>
    <m/>
    <m/>
    <m/>
    <m/>
    <m/>
    <n v="3138.6365999999998"/>
    <n v="-1005.6639000000014"/>
    <m/>
    <m/>
    <m/>
    <m/>
    <n v="-1146.5550000000003"/>
    <n v="140.9211"/>
    <n v="31"/>
    <n v="88.513112420327843"/>
    <n v="0"/>
    <n v="0"/>
    <n v="0"/>
    <n v="0"/>
    <n v="0"/>
    <n v="0"/>
    <n v="0"/>
    <n v="27.030277880700055"/>
    <n v="0"/>
    <n v="0"/>
    <n v="156.87430293788054"/>
    <n v="0"/>
    <n v="0"/>
    <n v="0"/>
    <n v="11.467010607928785"/>
    <n v="0"/>
    <n v="-22.266860447384147"/>
    <m/>
    <n v="0"/>
    <n v="0"/>
    <n v="0"/>
    <n v="0"/>
    <n v="-2.9971938937334741"/>
    <n v="-0.67828903353240122"/>
    <n v="0"/>
    <n v="-80.916135631531873"/>
    <m/>
    <m/>
    <m/>
    <n v="2142.0109327377049"/>
    <n v="0"/>
    <n v="0"/>
    <n v="-1146.5550000000003"/>
    <n v="140.92110000000002"/>
    <n v="0"/>
    <n v="0"/>
    <n v="-1094.1441595270389"/>
    <n v="0"/>
    <n v="0"/>
    <n v="0"/>
    <n v="0"/>
    <n v="0"/>
    <n v="0"/>
    <n v="0"/>
    <n v="0"/>
    <n v="0"/>
    <n v="0"/>
    <n v="0"/>
    <n v="0"/>
    <n v="150.5870445668472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8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.41"/>
    <n v="58.08"/>
    <n v="295.01"/>
    <n v="3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49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"/>
    <n v="0.92"/>
    <n v="9.050000000000000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0"/>
    <s v="Regular"/>
    <s v="Convencional"/>
    <s v="B2"/>
    <s v="Rural"/>
    <s v="Agropecuária rural"/>
    <s v="IRRIG./AQUIC."/>
    <s v="Não se aplica"/>
    <s v="Não se aplica"/>
    <s v="CATIVO"/>
    <x v="0"/>
    <n v="0"/>
    <n v="0"/>
    <n v="5.4729999999999999"/>
    <n v="5.4729999999999999"/>
    <n v="5.4729999999999999"/>
    <n v="5.4729999999999999"/>
    <m/>
    <n v="648.44000000000005"/>
    <n v="159.41"/>
    <m/>
    <n v="4421.3630499999999"/>
    <n v="4421.3630499999999"/>
    <n v="3348.4908599999999"/>
    <n v="0"/>
    <n v="339.16318169802668"/>
    <n v="0"/>
    <n v="0"/>
    <n v="0"/>
    <n v="638.39494465781627"/>
    <n v="2285.2292075776722"/>
    <n v="844.10471257084544"/>
    <n v="28.359702634179918"/>
    <n v="0"/>
    <n v="0"/>
    <n v="0"/>
    <n v="0"/>
    <n v="52.409750934611679"/>
    <m/>
    <n v="11.356998440338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.701359062518776"/>
    <n v="0"/>
    <n v="0"/>
    <n v="0"/>
    <n v="0"/>
    <n v="0"/>
    <m/>
    <m/>
    <m/>
    <m/>
    <m/>
    <n v="401.82766000000009"/>
    <m/>
    <m/>
    <m/>
    <n v="905.80607163336424"/>
    <m/>
    <m/>
    <m/>
    <m/>
    <m/>
    <m/>
    <m/>
    <m/>
    <m/>
    <m/>
    <m/>
    <m/>
    <n v="2945.0479999999998"/>
    <n v="-945.79243000000042"/>
    <m/>
    <m/>
    <m/>
    <m/>
    <n v="-1223.2155000000002"/>
    <n v="150.34331"/>
    <n v="31"/>
    <n v="94.431240599698413"/>
    <n v="0"/>
    <n v="0"/>
    <n v="0"/>
    <n v="0"/>
    <n v="0"/>
    <n v="0"/>
    <n v="0"/>
    <n v="28.837565466095725"/>
    <n v="0"/>
    <n v="0"/>
    <n v="167.36316958655368"/>
    <n v="0"/>
    <n v="0"/>
    <n v="0"/>
    <n v="12.233713266509596"/>
    <n v="0"/>
    <n v="-23.755658329148787"/>
    <m/>
    <n v="0"/>
    <n v="0"/>
    <n v="0"/>
    <n v="0"/>
    <n v="-3.1975910683047388"/>
    <n v="-0.72364052251907118"/>
    <n v="0"/>
    <n v="-86.326317799488095"/>
    <m/>
    <m/>
    <m/>
    <n v="2285.2292075776722"/>
    <n v="0"/>
    <n v="0"/>
    <n v="-1223.2155000000007"/>
    <n v="150.34330999999997"/>
    <n v="0"/>
    <n v="0"/>
    <n v="-1167.3003869574043"/>
    <n v="0"/>
    <n v="0"/>
    <n v="0"/>
    <n v="0"/>
    <n v="0"/>
    <n v="0"/>
    <n v="0"/>
    <n v="0"/>
    <n v="0"/>
    <n v="0"/>
    <n v="0"/>
    <n v="0"/>
    <n v="160.6555350710244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1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.1"/>
    <n v="0.1"/>
    <n v="0.1"/>
    <n v="0.1"/>
    <m/>
    <n v="648.44000000000005"/>
    <n v="159.41"/>
    <m/>
    <n v="80.785000000000011"/>
    <n v="80.785000000000011"/>
    <n v="61.182000000000002"/>
    <n v="0"/>
    <n v="6.1970250630006705"/>
    <n v="0"/>
    <n v="0"/>
    <n v="0"/>
    <n v="11.664442621191601"/>
    <n v="41.754599078707706"/>
    <n v="15.4230716713109"/>
    <n v="0.5181747238110711"/>
    <n v="0"/>
    <n v="0"/>
    <n v="0"/>
    <n v="0"/>
    <n v="0.95760553507421309"/>
    <m/>
    <n v="0.20750956404783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2737728964953"/>
    <n v="0"/>
    <n v="0"/>
    <n v="0"/>
    <n v="0"/>
    <n v="0"/>
    <m/>
    <m/>
    <m/>
    <m/>
    <m/>
    <n v="7.3420000000000023"/>
    <m/>
    <m/>
    <m/>
    <n v="16.550448960960431"/>
    <m/>
    <m/>
    <m/>
    <m/>
    <m/>
    <m/>
    <m/>
    <m/>
    <m/>
    <m/>
    <m/>
    <m/>
    <n v="53.84"/>
    <n v="-17.281000000000006"/>
    <m/>
    <m/>
    <m/>
    <m/>
    <n v="-22.350000000000009"/>
    <n v="2.7469999999999999"/>
    <n v="31"/>
    <n v="1.7254018015658303"/>
    <n v="0"/>
    <n v="0"/>
    <n v="0"/>
    <n v="0"/>
    <n v="0"/>
    <n v="0"/>
    <n v="0"/>
    <n v="0.5269060015730993"/>
    <n v="0"/>
    <n v="0"/>
    <n v="3.0579786147735"/>
    <n v="0"/>
    <n v="0"/>
    <n v="0"/>
    <n v="0.22352847188945013"/>
    <n v="0"/>
    <n v="-0.4340518605727901"/>
    <m/>
    <n v="0"/>
    <n v="0"/>
    <n v="0"/>
    <n v="0"/>
    <n v="-5.8424832236519952E-2"/>
    <n v="-1.3222008450923972E-2"/>
    <n v="0"/>
    <n v="-1.5773125854099781"/>
    <m/>
    <m/>
    <m/>
    <n v="41.754599078707706"/>
    <n v="0"/>
    <n v="0"/>
    <n v="-22.350000000000009"/>
    <n v="2.7469999999999981"/>
    <n v="0"/>
    <n v="0"/>
    <n v="-21.328346189610905"/>
    <n v="0"/>
    <n v="0"/>
    <n v="0"/>
    <n v="0"/>
    <n v="0"/>
    <n v="0"/>
    <n v="0"/>
    <n v="0"/>
    <n v="0"/>
    <n v="0"/>
    <n v="0"/>
    <n v="0"/>
    <n v="2.935419972063300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2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3.141"/>
    <n v="1.2564"/>
    <n v="3.141"/>
    <n v="1.2564"/>
    <m/>
    <n v="648.44000000000005"/>
    <n v="159.41"/>
    <m/>
    <n v="2537.45685"/>
    <n v="2537.45685"/>
    <n v="1921.7266200000001"/>
    <n v="0"/>
    <n v="194.64855722885105"/>
    <n v="0"/>
    <n v="0"/>
    <n v="0"/>
    <n v="366.38014273162815"/>
    <n v="1311.5119570622089"/>
    <n v="484.43868119587535"/>
    <n v="16.275868074905741"/>
    <n v="0"/>
    <n v="0"/>
    <n v="0"/>
    <n v="0"/>
    <n v="30.078389856681031"/>
    <m/>
    <n v="6.5178754067425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410920667891737"/>
    <n v="0"/>
    <n v="0"/>
    <n v="0"/>
    <n v="0"/>
    <n v="0"/>
    <m/>
    <m/>
    <m/>
    <m/>
    <m/>
    <m/>
    <n v="1245.2808600000001"/>
    <m/>
    <m/>
    <n v="519.84960186376713"/>
    <m/>
    <m/>
    <m/>
    <m/>
    <m/>
    <m/>
    <m/>
    <m/>
    <m/>
    <m/>
    <m/>
    <m/>
    <n v="678.38400000000001"/>
    <n v="-214.83332399999995"/>
    <m/>
    <m/>
    <m/>
    <m/>
    <n v="-702.01350000000014"/>
    <n v="86.283270000000002"/>
    <n v="31"/>
    <n v="54.194870587183004"/>
    <n v="0"/>
    <n v="0"/>
    <n v="0"/>
    <n v="0"/>
    <n v="0"/>
    <n v="0"/>
    <n v="0"/>
    <n v="16.550117509411052"/>
    <n v="0"/>
    <n v="0"/>
    <n v="96.0511082900357"/>
    <n v="0"/>
    <n v="0"/>
    <n v="0"/>
    <n v="7.0210293020476229"/>
    <n v="0"/>
    <n v="-13.633568940591317"/>
    <m/>
    <n v="0"/>
    <n v="0"/>
    <n v="0"/>
    <n v="0"/>
    <n v="-1.835123980549092"/>
    <n v="-0.4153032854435228"/>
    <n v="0"/>
    <n v="-49.543388307727412"/>
    <m/>
    <m/>
    <m/>
    <n v="1311.5119570622089"/>
    <n v="0"/>
    <n v="0"/>
    <n v="-702.01350000000002"/>
    <n v="86.283270000000016"/>
    <n v="0"/>
    <n v="0"/>
    <n v="-669.92335381567841"/>
    <n v="0"/>
    <n v="0"/>
    <n v="0"/>
    <n v="0"/>
    <n v="0"/>
    <n v="0"/>
    <n v="0"/>
    <n v="0"/>
    <n v="0"/>
    <n v="0"/>
    <n v="0"/>
    <n v="0"/>
    <n v="92.20154132250826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4"/>
    <s v="Regular"/>
    <s v="Verde"/>
    <s v="A4"/>
    <s v="Rural"/>
    <s v="Agropecuária rural"/>
    <s v="Não se aplica"/>
    <s v="Não se aplica"/>
    <s v="Ponta"/>
    <s v="CATIVO"/>
    <x v="0"/>
    <n v="0"/>
    <n v="0"/>
    <n v="2.1280000000000001"/>
    <n v="2.0428800000000003"/>
    <n v="2.1280000000000001"/>
    <n v="2.0428800000000003"/>
    <m/>
    <n v="2810.7"/>
    <n v="159.41"/>
    <m/>
    <n v="6320.39408"/>
    <n v="6320.39408"/>
    <n v="4025.5163200000002"/>
    <n v="0"/>
    <n v="114.72924320636915"/>
    <n v="0"/>
    <n v="0"/>
    <n v="0"/>
    <n v="1299.1771827268615"/>
    <n v="4479.2035879054993"/>
    <n v="328.20296516549593"/>
    <n v="11.026758122699592"/>
    <n v="0"/>
    <n v="0"/>
    <n v="0"/>
    <n v="0"/>
    <n v="20.377845786379254"/>
    <m/>
    <n v="2.2849046407495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44052635823959"/>
    <n v="0"/>
    <n v="0"/>
    <n v="0"/>
    <n v="0"/>
    <n v="0"/>
    <m/>
    <m/>
    <m/>
    <m/>
    <m/>
    <n v="161.02065279999974"/>
    <m/>
    <m/>
    <m/>
    <n v="339.24701780131988"/>
    <m/>
    <m/>
    <m/>
    <m/>
    <m/>
    <m/>
    <m/>
    <m/>
    <m/>
    <m/>
    <m/>
    <m/>
    <n v="3859.0475999999999"/>
    <n v="-2208.5607168000006"/>
    <m/>
    <m/>
    <m/>
    <m/>
    <n v="-2353.33392"/>
    <n v="58.456160000000004"/>
    <n v="31"/>
    <n v="-6.8789664052346779"/>
    <n v="0"/>
    <n v="0"/>
    <n v="0"/>
    <n v="0"/>
    <n v="0"/>
    <n v="0"/>
    <n v="0"/>
    <n v="58.686409365326199"/>
    <n v="0"/>
    <n v="0"/>
    <n v="65.073784922380128"/>
    <n v="0"/>
    <n v="0"/>
    <n v="0"/>
    <n v="2.1897373947632151"/>
    <n v="0"/>
    <n v="-8.0358625259004697"/>
    <m/>
    <n v="0"/>
    <n v="0"/>
    <n v="0"/>
    <n v="0"/>
    <n v="-1.2432804299931455"/>
    <n v="-0.14558860748500191"/>
    <n v="0"/>
    <n v="-123.40416652432556"/>
    <m/>
    <m/>
    <m/>
    <n v="4479.2035879054993"/>
    <n v="0"/>
    <n v="0"/>
    <n v="-2353.33392"/>
    <n v="58.456160000000011"/>
    <n v="0"/>
    <n v="0"/>
    <n v="-2287.9875962049828"/>
    <n v="0"/>
    <n v="0"/>
    <n v="0"/>
    <n v="0"/>
    <n v="0"/>
    <n v="0"/>
    <n v="0"/>
    <n v="0"/>
    <n v="0"/>
    <n v="0"/>
    <n v="0"/>
    <n v="0"/>
    <n v="54.34519119479109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6"/>
    <s v="Regular"/>
    <s v="Verde"/>
    <s v="A4"/>
    <s v="Rural"/>
    <s v="Agropecuária rural"/>
    <s v="Não se aplica"/>
    <s v="Não se aplica"/>
    <s v="Fora ponta"/>
    <s v="CATIVO"/>
    <x v="0"/>
    <n v="0"/>
    <n v="0"/>
    <n v="28.387"/>
    <n v="27.251519999999999"/>
    <n v="28.387"/>
    <n v="27.251519999999999"/>
    <m/>
    <n v="95.29"/>
    <n v="159.41"/>
    <m/>
    <n v="7230.1689000000006"/>
    <n v="7230.1689000000006"/>
    <n v="7860.6441699999996"/>
    <n v="0"/>
    <n v="1530.4600690315792"/>
    <n v="0"/>
    <n v="0"/>
    <n v="0"/>
    <n v="0"/>
    <n v="0"/>
    <n v="4378.1473553350252"/>
    <n v="147.09425884824873"/>
    <n v="0"/>
    <n v="0"/>
    <n v="0"/>
    <n v="0"/>
    <n v="271.83548324151684"/>
    <m/>
    <n v="30.480069566239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.32496342722496"/>
    <n v="0"/>
    <n v="0"/>
    <n v="0"/>
    <n v="0"/>
    <n v="0"/>
    <m/>
    <m/>
    <m/>
    <m/>
    <m/>
    <n v="314.42576680000036"/>
    <m/>
    <m/>
    <m/>
    <n v="4525.4723187622503"/>
    <m/>
    <m/>
    <m/>
    <m/>
    <m/>
    <m/>
    <m/>
    <m/>
    <m/>
    <m/>
    <m/>
    <m/>
    <n v="7545.7974999999997"/>
    <n v="604.80535599999985"/>
    <m/>
    <m/>
    <m/>
    <m/>
    <n v="-149.31562000000014"/>
    <n v="779.79088999999999"/>
    <n v="31"/>
    <n v="630.38554464244135"/>
    <n v="0"/>
    <n v="0"/>
    <n v="0"/>
    <n v="0"/>
    <n v="0"/>
    <n v="0"/>
    <n v="0"/>
    <n v="0"/>
    <n v="0"/>
    <n v="0"/>
    <n v="868.06838937575321"/>
    <n v="0"/>
    <n v="0"/>
    <n v="0"/>
    <n v="29.210561759935814"/>
    <n v="0"/>
    <n v="-107.19644244489496"/>
    <m/>
    <n v="0"/>
    <n v="0"/>
    <n v="0"/>
    <n v="0"/>
    <n v="-16.5850571269809"/>
    <n v="-1.9421164476864448"/>
    <n v="0"/>
    <n v="-141.16979047368523"/>
    <m/>
    <m/>
    <m/>
    <n v="0"/>
    <n v="0"/>
    <n v="0"/>
    <n v="-149.31562000000031"/>
    <n v="779.79089000000022"/>
    <n v="0"/>
    <n v="0"/>
    <n v="0"/>
    <n v="0"/>
    <n v="0"/>
    <n v="0"/>
    <n v="0"/>
    <n v="0"/>
    <n v="0"/>
    <n v="0"/>
    <n v="0"/>
    <n v="0"/>
    <n v="0"/>
    <n v="0"/>
    <n v="0"/>
    <n v="724.9515706985595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8"/>
    <s v="Regular"/>
    <s v="Verde"/>
    <s v="A4"/>
    <s v="Rural"/>
    <s v="Agropecuária rural"/>
    <s v="Não se aplica"/>
    <s v="Não se aplica"/>
    <s v="Não se aplica"/>
    <s v="CATIVO"/>
    <x v="0"/>
    <n v="1701"/>
    <n v="1632.96"/>
    <n v="0"/>
    <n v="0"/>
    <n v="0"/>
    <n v="0"/>
    <n v="43.29"/>
    <m/>
    <m/>
    <n v="73636.289999999994"/>
    <m/>
    <n v="73636.289999999994"/>
    <n v="56966.490000000005"/>
    <n v="0"/>
    <n v="0"/>
    <n v="0"/>
    <n v="0"/>
    <n v="0"/>
    <n v="40252.442156503042"/>
    <n v="33389.2472645360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2.37"/>
    <n v="934.36"/>
    <n v="209.66"/>
    <n v="40"/>
    <m/>
    <m/>
    <m/>
    <m/>
    <m/>
    <n v="2278.659599999999"/>
    <m/>
    <m/>
    <m/>
    <n v="0"/>
    <m/>
    <m/>
    <m/>
    <m/>
    <m/>
    <m/>
    <m/>
    <m/>
    <m/>
    <m/>
    <m/>
    <m/>
    <n v="54687.830400000006"/>
    <n v="-16003.037999999971"/>
    <m/>
    <m/>
    <m/>
    <m/>
    <n v="-16669.799999999996"/>
    <n v="0"/>
    <n v="31"/>
    <n v="380.44590701013658"/>
    <n v="0"/>
    <n v="0"/>
    <n v="0"/>
    <n v="0"/>
    <m/>
    <m/>
    <m/>
    <n v="1818.2826251553925"/>
    <n v="0"/>
    <n v="0"/>
    <m/>
    <m/>
    <n v="0"/>
    <n v="0"/>
    <n v="0"/>
    <n v="0"/>
    <n v="0"/>
    <m/>
    <n v="0"/>
    <n v="0"/>
    <m/>
    <n v="0"/>
    <n v="0"/>
    <n v="0"/>
    <n v="0"/>
    <n v="-1437.8367181452577"/>
    <m/>
    <m/>
    <n v="33389.24726453609"/>
    <m/>
    <n v="0"/>
    <n v="0"/>
    <n v="-16669.799999999988"/>
    <m/>
    <n v="0"/>
    <m/>
    <n v="-17055.30505337056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59"/>
    <s v="Sistema de Compensação"/>
    <s v="Verde"/>
    <s v="A4"/>
    <s v="Rural"/>
    <s v="Agropecuária rural"/>
    <s v="Não se aplica"/>
    <s v="Não se aplica"/>
    <s v="Não se aplica"/>
    <s v="CATIVO"/>
    <x v="0"/>
    <n v="79"/>
    <n v="75.84"/>
    <n v="0"/>
    <n v="0"/>
    <n v="0"/>
    <n v="0"/>
    <n v="43.29"/>
    <m/>
    <m/>
    <n v="3419.91"/>
    <m/>
    <n v="3419.91"/>
    <n v="2645.71"/>
    <n v="0"/>
    <n v="0"/>
    <n v="0"/>
    <n v="0"/>
    <n v="0"/>
    <n v="1869.4549855166022"/>
    <n v="1550.70578124535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.22"/>
    <n v="176.41"/>
    <n v="9.1"/>
    <n v="4"/>
    <m/>
    <m/>
    <m/>
    <m/>
    <m/>
    <n v="105.82839999999989"/>
    <m/>
    <m/>
    <m/>
    <n v="0"/>
    <m/>
    <m/>
    <m/>
    <m/>
    <m/>
    <m/>
    <m/>
    <m/>
    <m/>
    <m/>
    <m/>
    <m/>
    <n v="2539.8816000000002"/>
    <n v="-743.26200000000063"/>
    <m/>
    <m/>
    <m/>
    <m/>
    <n v="-774.19999999999982"/>
    <n v="0"/>
    <n v="31"/>
    <n v="17.66915147195823"/>
    <n v="0"/>
    <n v="0"/>
    <n v="0"/>
    <n v="0"/>
    <m/>
    <m/>
    <m/>
    <n v="84.446988469886037"/>
    <n v="0"/>
    <n v="0"/>
    <m/>
    <m/>
    <n v="0"/>
    <n v="0"/>
    <n v="0"/>
    <n v="0"/>
    <n v="0"/>
    <m/>
    <n v="0"/>
    <n v="0"/>
    <m/>
    <n v="0"/>
    <n v="0"/>
    <n v="0"/>
    <n v="0"/>
    <n v="-66.777836997927892"/>
    <m/>
    <m/>
    <n v="1550.7057812453563"/>
    <m/>
    <n v="0"/>
    <n v="0"/>
    <n v="-774.19999999999982"/>
    <m/>
    <n v="0"/>
    <m/>
    <n v="-792.1041147655937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0"/>
    <s v="Regular"/>
    <s v="Verde"/>
    <s v="A4"/>
    <s v="Rural"/>
    <s v="Agropecuária rural"/>
    <s v="IRRIG./AQUIC. PR"/>
    <s v="Não se aplica"/>
    <s v="Fora ponta"/>
    <s v="CATIVO"/>
    <x v="0"/>
    <n v="0"/>
    <n v="0"/>
    <n v="13.346"/>
    <n v="4.0038"/>
    <n v="13.346"/>
    <n v="4.0038"/>
    <m/>
    <n v="95.29"/>
    <n v="159.41"/>
    <m/>
    <n v="3399.2262000000001"/>
    <n v="3399.2262000000001"/>
    <n v="3695.64086"/>
    <n v="0"/>
    <n v="719.53781947001994"/>
    <n v="0"/>
    <n v="0"/>
    <n v="0"/>
    <n v="0"/>
    <n v="0"/>
    <n v="2058.3631452531527"/>
    <n v="69.155598639825541"/>
    <n v="0"/>
    <n v="0"/>
    <n v="0"/>
    <n v="0"/>
    <n v="127.80203471100448"/>
    <m/>
    <n v="14.330045740340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26406319441098"/>
    <n v="0"/>
    <n v="0"/>
    <n v="0"/>
    <n v="0"/>
    <n v="0"/>
    <m/>
    <m/>
    <m/>
    <m/>
    <m/>
    <m/>
    <n v="2586.9486019999999"/>
    <m/>
    <m/>
    <n v="2127.6272084475636"/>
    <m/>
    <m/>
    <m/>
    <m/>
    <m/>
    <m/>
    <m/>
    <m/>
    <m/>
    <m/>
    <m/>
    <m/>
    <n v="1107.6399999999999"/>
    <n v="87.842139999999858"/>
    <m/>
    <m/>
    <m/>
    <m/>
    <n v="-70.199960000000075"/>
    <n v="366.61462"/>
    <n v="31"/>
    <n v="296.37247609109863"/>
    <n v="0"/>
    <n v="0"/>
    <n v="0"/>
    <n v="0"/>
    <n v="0"/>
    <n v="0"/>
    <n v="0"/>
    <n v="0"/>
    <n v="0"/>
    <n v="0"/>
    <n v="408.11782592767122"/>
    <n v="0"/>
    <n v="0"/>
    <n v="0"/>
    <n v="13.733193266217029"/>
    <n v="0"/>
    <n v="-50.397848341479062"/>
    <m/>
    <n v="0"/>
    <n v="0"/>
    <n v="0"/>
    <n v="0"/>
    <n v="-7.7973781102859618"/>
    <n v="-0.91307591893554374"/>
    <n v="0"/>
    <n v="-66.370240732088732"/>
    <m/>
    <m/>
    <m/>
    <n v="0"/>
    <n v="0"/>
    <n v="0"/>
    <n v="-70.199960000000146"/>
    <n v="366.61462000000029"/>
    <n v="0"/>
    <n v="0"/>
    <n v="0"/>
    <n v="0"/>
    <n v="0"/>
    <n v="0"/>
    <n v="0"/>
    <n v="0"/>
    <n v="0"/>
    <n v="0"/>
    <n v="0"/>
    <n v="0"/>
    <n v="0"/>
    <n v="0"/>
    <n v="0"/>
    <n v="340.8322000402640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2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95"/>
    <n v="9.09"/>
    <n v="40.78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63"/>
    <s v="Regular"/>
    <s v="Convencional"/>
    <s v="B2"/>
    <s v="Rural"/>
    <s v="Aquicultura"/>
    <s v="IRRIG./AQUIC."/>
    <s v="Não se aplica"/>
    <s v="Não se aplica"/>
    <s v="CATIVO"/>
    <x v="0"/>
    <n v="0"/>
    <n v="0"/>
    <n v="0.79400000000000004"/>
    <n v="0.79400000000000004"/>
    <n v="0.79400000000000004"/>
    <n v="0.79400000000000004"/>
    <m/>
    <n v="648.44000000000005"/>
    <n v="159.41"/>
    <m/>
    <n v="641.43290000000013"/>
    <n v="641.43290000000013"/>
    <n v="485.78507999999999"/>
    <n v="0"/>
    <n v="49.204379000225323"/>
    <n v="0"/>
    <n v="0"/>
    <n v="0"/>
    <n v="92.615674412261313"/>
    <n v="331.53151668493916"/>
    <n v="122.45918907020854"/>
    <n v="4.1143073070599039"/>
    <n v="0"/>
    <n v="0"/>
    <n v="0"/>
    <n v="0"/>
    <n v="7.6033879484892521"/>
    <m/>
    <n v="1.64762593853981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9513756798172697"/>
    <n v="0"/>
    <n v="0"/>
    <n v="0"/>
    <n v="0"/>
    <n v="0"/>
    <m/>
    <m/>
    <m/>
    <m/>
    <m/>
    <n v="58.295480000000012"/>
    <m/>
    <m/>
    <m/>
    <n v="131.4105647500258"/>
    <m/>
    <m/>
    <m/>
    <m/>
    <m/>
    <m/>
    <m/>
    <m/>
    <m/>
    <m/>
    <m/>
    <m/>
    <n v="425.33600000000001"/>
    <n v="-139.15653999999995"/>
    <m/>
    <m/>
    <m/>
    <m/>
    <n v="-177.45900000000006"/>
    <n v="21.81118"/>
    <n v="31"/>
    <n v="13.699690304432806"/>
    <n v="0"/>
    <n v="0"/>
    <n v="0"/>
    <n v="0"/>
    <n v="0"/>
    <n v="0"/>
    <n v="0"/>
    <n v="4.1836336524904141"/>
    <n v="0"/>
    <n v="0"/>
    <n v="24.280350201301616"/>
    <n v="0"/>
    <n v="0"/>
    <n v="0"/>
    <n v="1.7748160668022326"/>
    <n v="0"/>
    <n v="-3.4463717729479555"/>
    <m/>
    <n v="0"/>
    <n v="0"/>
    <n v="0"/>
    <n v="0"/>
    <n v="-0.46389316795796898"/>
    <n v="-0.10498274710033639"/>
    <n v="0"/>
    <n v="-12.523861928155226"/>
    <m/>
    <m/>
    <m/>
    <n v="331.53151668493916"/>
    <n v="0"/>
    <n v="0"/>
    <n v="-177.45900000000012"/>
    <n v="21.811180000000007"/>
    <n v="0"/>
    <n v="0"/>
    <n v="-169.34706874551054"/>
    <n v="0"/>
    <n v="0"/>
    <n v="0"/>
    <n v="0"/>
    <n v="0"/>
    <n v="0"/>
    <n v="0"/>
    <n v="0"/>
    <n v="0"/>
    <n v="0"/>
    <n v="0"/>
    <n v="0"/>
    <n v="23.30723457818260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4"/>
    <s v="Regular"/>
    <s v="Convencional"/>
    <s v="B2"/>
    <s v="Rural"/>
    <s v="Aquicultura"/>
    <s v="IRRIG./AQUIC. PR"/>
    <s v="Não se aplica"/>
    <s v="Não se aplica"/>
    <s v="CATIVO"/>
    <x v="0"/>
    <n v="0"/>
    <n v="0"/>
    <n v="0.68500000000000005"/>
    <n v="0.27400000000000002"/>
    <n v="0.68500000000000005"/>
    <n v="0.27400000000000002"/>
    <m/>
    <n v="648.44000000000005"/>
    <n v="159.41"/>
    <m/>
    <n v="553.37725"/>
    <n v="553.37725"/>
    <n v="419.09670000000006"/>
    <n v="0"/>
    <n v="42.449621681554596"/>
    <n v="0"/>
    <n v="0"/>
    <n v="0"/>
    <n v="79.901431955162465"/>
    <n v="286.01900368914778"/>
    <n v="105.64804094847966"/>
    <n v="3.549496858105837"/>
    <n v="0"/>
    <n v="0"/>
    <n v="0"/>
    <n v="0"/>
    <n v="6.5595979152583599"/>
    <m/>
    <n v="1.42144051372767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7225344340992814"/>
    <n v="0"/>
    <n v="0"/>
    <n v="0"/>
    <n v="0"/>
    <n v="0"/>
    <m/>
    <m/>
    <m/>
    <m/>
    <m/>
    <m/>
    <n v="271.57510000000002"/>
    <m/>
    <m/>
    <n v="113.37057538257895"/>
    <m/>
    <m/>
    <m/>
    <m/>
    <m/>
    <m/>
    <m/>
    <m/>
    <m/>
    <m/>
    <m/>
    <m/>
    <n v="145.36799999999999"/>
    <n v="-49.451339999999988"/>
    <m/>
    <m/>
    <m/>
    <m/>
    <n v="-153.09750000000005"/>
    <n v="18.816950000000002"/>
    <n v="31"/>
    <n v="11.819002340726058"/>
    <n v="0"/>
    <n v="0"/>
    <n v="0"/>
    <n v="0"/>
    <n v="0"/>
    <n v="0"/>
    <n v="0"/>
    <n v="3.6093061107757336"/>
    <n v="0"/>
    <n v="0"/>
    <n v="20.947153511198493"/>
    <n v="0"/>
    <n v="0"/>
    <n v="0"/>
    <n v="1.5311700324427315"/>
    <n v="0"/>
    <n v="-2.9732552449236138"/>
    <m/>
    <n v="0"/>
    <n v="0"/>
    <n v="0"/>
    <n v="0"/>
    <n v="-0.40021010082016151"/>
    <n v="-9.057075788882929E-2"/>
    <n v="0"/>
    <n v="-10.80459121005835"/>
    <m/>
    <m/>
    <m/>
    <n v="286.01900368914778"/>
    <n v="0"/>
    <n v="0"/>
    <n v="-153.09750000000003"/>
    <n v="18.816949999999991"/>
    <n v="0"/>
    <n v="0"/>
    <n v="-146.09917139883467"/>
    <n v="0"/>
    <n v="0"/>
    <n v="0"/>
    <n v="0"/>
    <n v="0"/>
    <n v="0"/>
    <n v="0"/>
    <n v="0"/>
    <n v="0"/>
    <n v="0"/>
    <n v="0"/>
    <n v="0"/>
    <n v="20.10762680863360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5"/>
    <s v="Regular"/>
    <s v="Convencional"/>
    <s v="B1"/>
    <s v="Residencial"/>
    <s v="Residencial"/>
    <s v="Não se aplica"/>
    <s v="Não se aplica"/>
    <s v="Não se aplica"/>
    <s v="CATIVO"/>
    <x v="1"/>
    <n v="0"/>
    <n v="0"/>
    <n v="1154.126"/>
    <n v="1154.126"/>
    <n v="1154.126"/>
    <n v="1154.126"/>
    <m/>
    <n v="648.44000000000005"/>
    <n v="159.41"/>
    <m/>
    <n v="932360.68910000008"/>
    <n v="932360.68910000008"/>
    <n v="706117.36932000006"/>
    <n v="0"/>
    <n v="71521.477478607121"/>
    <n v="0"/>
    <n v="0"/>
    <n v="0"/>
    <n v="134622.36504625375"/>
    <n v="481900.68416312605"/>
    <n v="178001.68015723361"/>
    <n v="5980.3892129317619"/>
    <n v="0"/>
    <n v="0"/>
    <n v="0"/>
    <n v="0"/>
    <n v="11051.974457730612"/>
    <m/>
    <n v="2394.92183116272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11.354417940534"/>
    <n v="0"/>
    <n v="3082.04"/>
    <n v="20786.59"/>
    <n v="341442.33"/>
    <n v="7234"/>
    <m/>
    <m/>
    <m/>
    <m/>
    <m/>
    <m/>
    <m/>
    <m/>
    <m/>
    <n v="191013.03457517416"/>
    <m/>
    <m/>
    <m/>
    <m/>
    <m/>
    <m/>
    <m/>
    <m/>
    <m/>
    <m/>
    <m/>
    <m/>
    <n v="706119.81660000002"/>
    <n v="-226240.90250000008"/>
    <m/>
    <m/>
    <m/>
    <m/>
    <n v="-257947.16100000005"/>
    <n v="31703.841219999998"/>
    <n v="31"/>
    <n v="19913.31079633988"/>
    <n v="0"/>
    <n v="0"/>
    <n v="0"/>
    <n v="0"/>
    <n v="0"/>
    <n v="0"/>
    <n v="0"/>
    <n v="6081.1591597155784"/>
    <n v="0"/>
    <n v="0"/>
    <n v="35292.92626754081"/>
    <n v="0"/>
    <n v="0"/>
    <n v="0"/>
    <n v="2579.8002114788342"/>
    <n v="0"/>
    <n v="-5009.5053763543256"/>
    <m/>
    <n v="0"/>
    <n v="0"/>
    <n v="0"/>
    <n v="0"/>
    <n v="-674.29617929805863"/>
    <n v="-152.59863725431069"/>
    <n v="0"/>
    <n v="-18204.174649488763"/>
    <m/>
    <m/>
    <m/>
    <n v="481900.68416312605"/>
    <n v="0"/>
    <n v="0"/>
    <n v="-257947.16100000008"/>
    <n v="31703.841220000002"/>
    <n v="0"/>
    <n v="0"/>
    <n v="-246155.98874430871"/>
    <n v="0"/>
    <n v="0"/>
    <n v="0"/>
    <n v="0"/>
    <n v="0"/>
    <n v="0"/>
    <n v="0"/>
    <n v="0"/>
    <n v="0"/>
    <n v="0"/>
    <n v="0"/>
    <n v="0"/>
    <n v="33878.44510677528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6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0.36299999999999999"/>
    <n v="-0.36299999999999999"/>
    <n v="-0.36299999999999999"/>
    <n v="-0.36299999999999999"/>
    <m/>
    <n v="648.44000000000005"/>
    <n v="159.41"/>
    <m/>
    <n v="-293.24955"/>
    <n v="-293.24955"/>
    <n v="-222.09066000000001"/>
    <n v="0"/>
    <n v="-22.495200978692431"/>
    <n v="0"/>
    <n v="0"/>
    <n v="0"/>
    <n v="-42.341926714925506"/>
    <n v="-151.56919465570894"/>
    <n v="-55.985750166858558"/>
    <n v="-1.8809742474341877"/>
    <n v="0"/>
    <n v="0"/>
    <n v="0"/>
    <n v="0"/>
    <n v="-3.4761080923193934"/>
    <m/>
    <n v="-0.753259717493644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0923795614277942"/>
    <n v="0"/>
    <n v="-1.32"/>
    <n v="-6.16"/>
    <n v="-114.12"/>
    <n v="0"/>
    <m/>
    <m/>
    <m/>
    <m/>
    <m/>
    <m/>
    <m/>
    <m/>
    <m/>
    <n v="-60.078129728286356"/>
    <m/>
    <m/>
    <m/>
    <m/>
    <m/>
    <m/>
    <m/>
    <m/>
    <m/>
    <m/>
    <m/>
    <m/>
    <n v="-220.2552"/>
    <n v="72.964350000000024"/>
    <m/>
    <m/>
    <m/>
    <m/>
    <n v="81.130500000000012"/>
    <n v="-9.9716100000000001"/>
    <n v="31"/>
    <n v="-6.2632085396840012"/>
    <n v="0"/>
    <n v="0"/>
    <n v="0"/>
    <n v="0"/>
    <n v="0"/>
    <n v="0"/>
    <n v="0"/>
    <n v="-1.9126687857103519"/>
    <n v="0"/>
    <n v="0"/>
    <n v="-11.100462371627806"/>
    <n v="0"/>
    <n v="0"/>
    <n v="0"/>
    <n v="-0.81140835295870328"/>
    <n v="0"/>
    <n v="1.5756082538792278"/>
    <m/>
    <n v="0"/>
    <n v="0"/>
    <n v="0"/>
    <n v="0"/>
    <n v="0.21208214101856759"/>
    <n v="4.7995890676854058E-2"/>
    <n v="0"/>
    <n v="5.7256446850382199"/>
    <m/>
    <m/>
    <m/>
    <n v="-151.56919465570894"/>
    <n v="0"/>
    <n v="0"/>
    <n v="81.130500000000012"/>
    <n v="-9.9716100000000054"/>
    <n v="0"/>
    <n v="0"/>
    <n v="77.421896668287559"/>
    <n v="0"/>
    <n v="0"/>
    <n v="0"/>
    <n v="0"/>
    <n v="0"/>
    <n v="0"/>
    <n v="0"/>
    <n v="0"/>
    <n v="0"/>
    <n v="0"/>
    <n v="0"/>
    <n v="0"/>
    <n v="-10.65557449858977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7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17.292000000000002"/>
    <n v="17.292000000000002"/>
    <n v="17.292000000000002"/>
    <n v="17.292000000000002"/>
    <m/>
    <n v="648.44000000000005"/>
    <n v="159.41"/>
    <m/>
    <n v="13969.342200000001"/>
    <n v="13969.342200000001"/>
    <n v="10579.59144"/>
    <n v="0"/>
    <n v="1071.589573894076"/>
    <n v="0"/>
    <n v="0"/>
    <n v="0"/>
    <n v="2017.0154180564516"/>
    <n v="7220.2052726901366"/>
    <n v="2666.957553403081"/>
    <n v="89.602773241410418"/>
    <n v="0"/>
    <n v="0"/>
    <n v="0"/>
    <n v="0"/>
    <n v="165.58914912503295"/>
    <m/>
    <n v="35.882553815151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94608092619674"/>
    <n v="0"/>
    <n v="46.53"/>
    <n v="314.33"/>
    <n v="13475.51"/>
    <n v="157"/>
    <m/>
    <m/>
    <m/>
    <m/>
    <m/>
    <m/>
    <m/>
    <m/>
    <m/>
    <n v="2861.9036343292778"/>
    <m/>
    <m/>
    <m/>
    <m/>
    <m/>
    <m/>
    <m/>
    <m/>
    <m/>
    <m/>
    <m/>
    <m/>
    <n v="10578.3678"/>
    <n v="-3391.0044000000016"/>
    <m/>
    <m/>
    <m/>
    <m/>
    <n v="-3864.7620000000015"/>
    <n v="475.01124000000004"/>
    <n v="31"/>
    <n v="298.35647952676482"/>
    <n v="0"/>
    <n v="0"/>
    <n v="0"/>
    <n v="0"/>
    <n v="0"/>
    <n v="0"/>
    <n v="0"/>
    <n v="91.112585792020354"/>
    <n v="0"/>
    <n v="0"/>
    <n v="528.7856620666339"/>
    <n v="0"/>
    <n v="0"/>
    <n v="0"/>
    <n v="38.652543359123712"/>
    <n v="0"/>
    <n v="-75.056247730246923"/>
    <m/>
    <n v="0"/>
    <n v="0"/>
    <n v="0"/>
    <n v="0"/>
    <n v="-10.102821990339038"/>
    <n v="-2.2863497013337764"/>
    <n v="0"/>
    <n v="-272.7488922690934"/>
    <m/>
    <m/>
    <m/>
    <n v="7220.2052726901366"/>
    <n v="0"/>
    <n v="0"/>
    <n v="-3864.7620000000006"/>
    <n v="475.01123999999982"/>
    <n v="0"/>
    <n v="0"/>
    <n v="-3688.0976231075174"/>
    <n v="0"/>
    <n v="0"/>
    <n v="0"/>
    <n v="0"/>
    <n v="0"/>
    <n v="0"/>
    <n v="0"/>
    <n v="0"/>
    <n v="0"/>
    <n v="0"/>
    <n v="0"/>
    <n v="0"/>
    <n v="507.592821569185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8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19.5"/>
    <n v="19.5"/>
    <n v="19.5"/>
    <n v="19.5"/>
    <m/>
    <n v="547.54"/>
    <n v="159.41"/>
    <m/>
    <n v="13785.524999999998"/>
    <n v="13785.524999999998"/>
    <n v="10097.49"/>
    <n v="0"/>
    <n v="0"/>
    <n v="0"/>
    <n v="0"/>
    <n v="0"/>
    <n v="2274.566311132362"/>
    <n v="8142.1468203480017"/>
    <n v="3007.4989759056252"/>
    <n v="101.04407114315885"/>
    <n v="0"/>
    <n v="0"/>
    <n v="0"/>
    <n v="0"/>
    <n v="0"/>
    <m/>
    <n v="40.464364989328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9.83857148165836"/>
    <n v="0"/>
    <n v="12.21"/>
    <n v="85.73"/>
    <n v="1367.56"/>
    <n v="39"/>
    <m/>
    <m/>
    <m/>
    <m/>
    <m/>
    <m/>
    <m/>
    <n v="6563.31"/>
    <m/>
    <n v="3227.3375473872834"/>
    <m/>
    <m/>
    <m/>
    <m/>
    <m/>
    <m/>
    <m/>
    <m/>
    <m/>
    <m/>
    <m/>
    <m/>
    <n v="3534.18"/>
    <n v="-1290.7350000000001"/>
    <m/>
    <m/>
    <m/>
    <m/>
    <n v="-4223.6999999999989"/>
    <n v="535.66499999999996"/>
    <n v="31"/>
    <n v="470.90245133125791"/>
    <n v="0"/>
    <n v="0"/>
    <n v="0"/>
    <n v="0"/>
    <n v="0"/>
    <n v="0"/>
    <n v="0"/>
    <n v="102.74667030675437"/>
    <n v="0"/>
    <n v="0"/>
    <n v="596.30582988083279"/>
    <n v="0"/>
    <n v="0"/>
    <n v="0"/>
    <n v="43.58805201844271"/>
    <n v="0"/>
    <n v="0"/>
    <m/>
    <n v="0"/>
    <n v="0"/>
    <n v="0"/>
    <n v="0"/>
    <n v="0"/>
    <n v="-2.578291647930179"/>
    <n v="0"/>
    <n v="-269.15980922684253"/>
    <m/>
    <m/>
    <m/>
    <n v="8142.1468203480017"/>
    <n v="0"/>
    <n v="0"/>
    <n v="-4223.6999999999989"/>
    <n v="535.66499999999996"/>
    <n v="0"/>
    <n v="0"/>
    <n v="-4159.0275069741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9"/>
    <s v="Sistema de Compensação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0.03"/>
    <n v="0.03"/>
    <n v="0.03"/>
    <n v="0.03"/>
    <m/>
    <n v="547.54"/>
    <n v="159.41"/>
    <m/>
    <n v="21.208499999999997"/>
    <n v="21.208499999999997"/>
    <n v="15.534600000000001"/>
    <n v="0"/>
    <n v="0"/>
    <n v="0"/>
    <n v="0"/>
    <n v="0"/>
    <n v="3.4993327863574799"/>
    <n v="12.52637972361231"/>
    <n v="4.6269215013932694"/>
    <n v="0.15545241714332131"/>
    <n v="0"/>
    <n v="0"/>
    <n v="0"/>
    <n v="0"/>
    <n v="0"/>
    <m/>
    <n v="6.225286921435078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3821318689485902"/>
    <n v="0"/>
    <n v="0.02"/>
    <n v="0.14000000000000001"/>
    <n v="2.39"/>
    <n v="0"/>
    <m/>
    <m/>
    <m/>
    <m/>
    <m/>
    <m/>
    <m/>
    <n v="10.0974"/>
    <m/>
    <n v="4.9651346882881287"/>
    <m/>
    <m/>
    <m/>
    <m/>
    <m/>
    <m/>
    <m/>
    <m/>
    <m/>
    <m/>
    <m/>
    <m/>
    <n v="5.4371999999999998"/>
    <n v="-2.0156999999999989"/>
    <m/>
    <m/>
    <m/>
    <m/>
    <n v="-6.4979999999999984"/>
    <n v="0.82409999999999994"/>
    <n v="31"/>
    <n v="0.72446530974039369"/>
    <n v="0"/>
    <n v="0"/>
    <n v="0"/>
    <n v="0"/>
    <n v="0"/>
    <n v="0"/>
    <n v="0"/>
    <n v="0.1580718004719297"/>
    <n v="0"/>
    <n v="0"/>
    <n v="0.91739358443204999"/>
    <n v="0"/>
    <n v="0"/>
    <n v="0"/>
    <n v="6.7058541566834939E-2"/>
    <n v="0"/>
    <n v="0"/>
    <m/>
    <n v="0"/>
    <n v="0"/>
    <n v="0"/>
    <n v="0"/>
    <n v="0"/>
    <n v="-3.9666025352771903E-3"/>
    <n v="0"/>
    <n v="-0.41409201419514241"/>
    <m/>
    <m/>
    <m/>
    <n v="12.52637972361231"/>
    <n v="0"/>
    <n v="0"/>
    <n v="-6.4979999999999976"/>
    <n v="0.8241000000000005"/>
    <n v="0"/>
    <n v="0"/>
    <n v="-6.3985038568832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0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37.359000000000002"/>
    <n v="37.359000000000002"/>
    <n v="37.359000000000002"/>
    <n v="37.359000000000002"/>
    <m/>
    <n v="547.54"/>
    <n v="159.41"/>
    <m/>
    <n v="26410.945049999998"/>
    <n v="26410.945049999998"/>
    <n v="19345.237379999999"/>
    <n v="0"/>
    <n v="0"/>
    <n v="0"/>
    <n v="0"/>
    <n v="0"/>
    <n v="4357.7191188509696"/>
    <n v="15599.10066981441"/>
    <n v="5761.9053456850388"/>
    <n v="193.58489506857805"/>
    <n v="0"/>
    <n v="0"/>
    <n v="0"/>
    <n v="0"/>
    <n v="0"/>
    <m/>
    <n v="77.523498032631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17688164016795"/>
    <n v="0"/>
    <n v="45.76"/>
    <n v="317.13"/>
    <n v="5227.29"/>
    <n v="189"/>
    <m/>
    <m/>
    <m/>
    <m/>
    <m/>
    <m/>
    <m/>
    <n v="7738.1696700000002"/>
    <m/>
    <n v="6183.082227325207"/>
    <m/>
    <m/>
    <m/>
    <m/>
    <m/>
    <m/>
    <m/>
    <m/>
    <m/>
    <m/>
    <m/>
    <m/>
    <n v="11607.378400000001"/>
    <n v="-4239.2186299999976"/>
    <m/>
    <m/>
    <m/>
    <m/>
    <n v="-8091.9593999999988"/>
    <n v="1026.25173"/>
    <n v="31"/>
    <n v="902.17665021971698"/>
    <n v="0"/>
    <n v="0"/>
    <n v="0"/>
    <n v="0"/>
    <n v="0"/>
    <n v="0"/>
    <n v="0"/>
    <n v="196.84681312769499"/>
    <n v="0"/>
    <n v="0"/>
    <n v="1142.4302306932323"/>
    <n v="0"/>
    <n v="0"/>
    <n v="0"/>
    <n v="83.50800181317959"/>
    <n v="0"/>
    <n v="0"/>
    <m/>
    <n v="0"/>
    <n v="0"/>
    <n v="0"/>
    <n v="0"/>
    <n v="0"/>
    <n v="-4.9396101371806935"/>
    <n v="0"/>
    <n v="-515.66878527721087"/>
    <m/>
    <m/>
    <m/>
    <n v="15599.10066981441"/>
    <n v="0"/>
    <n v="0"/>
    <n v="-8091.9593999999979"/>
    <n v="1026.25173"/>
    <n v="0"/>
    <n v="0"/>
    <n v="-7968.056852976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1"/>
    <s v="Sistema de Compensação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8.9999999999999993E-3"/>
    <n v="8.9999999999999993E-3"/>
    <n v="8.9999999999999993E-3"/>
    <n v="8.9999999999999993E-3"/>
    <m/>
    <n v="547.54"/>
    <n v="159.41"/>
    <m/>
    <n v="6.3625499999999988"/>
    <n v="6.3625499999999988"/>
    <n v="4.66038"/>
    <n v="0"/>
    <n v="0"/>
    <n v="0"/>
    <n v="0"/>
    <n v="0"/>
    <n v="1.049799835907244"/>
    <n v="3.7579139170836928"/>
    <n v="1.3880764504179808"/>
    <n v="4.6635725142996388E-2"/>
    <n v="0"/>
    <n v="0"/>
    <n v="0"/>
    <n v="0"/>
    <n v="0"/>
    <m/>
    <n v="1.867586076430523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0146395606845769"/>
    <n v="0"/>
    <n v="0.01"/>
    <n v="7.0000000000000007E-2"/>
    <n v="6.34"/>
    <n v="0"/>
    <m/>
    <m/>
    <m/>
    <m/>
    <m/>
    <m/>
    <m/>
    <n v="1.8641699999999999"/>
    <m/>
    <n v="1.4895404064864384"/>
    <m/>
    <m/>
    <m/>
    <m/>
    <m/>
    <m/>
    <m/>
    <m/>
    <m/>
    <m/>
    <m/>
    <m/>
    <n v="3.1069"/>
    <n v="-0.74062999999999901"/>
    <m/>
    <m/>
    <m/>
    <m/>
    <n v="-1.9493999999999996"/>
    <n v="0.24722999999999998"/>
    <n v="31"/>
    <n v="0.21733959292211935"/>
    <n v="0"/>
    <n v="0"/>
    <n v="0"/>
    <n v="0"/>
    <n v="0"/>
    <n v="0"/>
    <n v="0"/>
    <n v="4.7421540141578955E-2"/>
    <n v="0"/>
    <n v="0"/>
    <n v="0.27521807532961517"/>
    <n v="0"/>
    <n v="0"/>
    <n v="0"/>
    <n v="2.0117562470050504E-2"/>
    <n v="0"/>
    <n v="0"/>
    <m/>
    <n v="0"/>
    <n v="0"/>
    <n v="0"/>
    <n v="0"/>
    <n v="0"/>
    <n v="-1.1899807605831592E-3"/>
    <n v="0"/>
    <n v="-0.12422760425854271"/>
    <m/>
    <m/>
    <m/>
    <n v="3.7579139170836928"/>
    <n v="0"/>
    <n v="0"/>
    <n v="-1.9493999999999994"/>
    <n v="0.24723000000000006"/>
    <n v="0"/>
    <n v="0"/>
    <n v="-1.9195511570649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2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27.093"/>
    <n v="27.093"/>
    <n v="27.093"/>
    <n v="27.093"/>
    <m/>
    <n v="547.54"/>
    <n v="159.41"/>
    <m/>
    <n v="19153.396349999999"/>
    <n v="19153.396349999999"/>
    <n v="14029.297259999999"/>
    <n v="0"/>
    <n v="0"/>
    <n v="0"/>
    <n v="0"/>
    <n v="0"/>
    <n v="3160.2474393594402"/>
    <n v="11312.573528394278"/>
    <n v="4178.5728079082619"/>
    <n v="140.38907792213348"/>
    <n v="0"/>
    <n v="0"/>
    <n v="0"/>
    <n v="0"/>
    <n v="0"/>
    <m/>
    <n v="56.220566187480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5.44032908474719"/>
    <n v="0"/>
    <n v="61.91"/>
    <n v="414.78"/>
    <n v="6910.88"/>
    <n v="338"/>
    <m/>
    <m/>
    <m/>
    <m/>
    <m/>
    <m/>
    <m/>
    <n v="1403.1464700000006"/>
    <m/>
    <n v="4484.0131369930095"/>
    <m/>
    <m/>
    <m/>
    <m/>
    <m/>
    <m/>
    <m/>
    <m/>
    <m/>
    <m/>
    <m/>
    <m/>
    <n v="12624.752699999999"/>
    <n v="-4613.4694800000016"/>
    <m/>
    <m/>
    <m/>
    <m/>
    <n v="-5868.3437999999987"/>
    <n v="744.24470999999994"/>
    <n v="31"/>
    <n v="654.26462122654812"/>
    <n v="0"/>
    <n v="0"/>
    <n v="0"/>
    <n v="0"/>
    <n v="0"/>
    <n v="0"/>
    <n v="0"/>
    <n v="142.75464300619979"/>
    <n v="0"/>
    <n v="0"/>
    <n v="828.49814610058456"/>
    <n v="0"/>
    <n v="0"/>
    <n v="0"/>
    <n v="60.560568889008664"/>
    <n v="0"/>
    <n v="0"/>
    <m/>
    <n v="0"/>
    <n v="0"/>
    <n v="0"/>
    <n v="0"/>
    <n v="0"/>
    <n v="-3.5822387496088339"/>
    <n v="0"/>
    <n v="-373.96649801963309"/>
    <m/>
    <m/>
    <m/>
    <n v="11312.573528394278"/>
    <n v="0"/>
    <n v="0"/>
    <n v="-5868.3437999999987"/>
    <n v="744.24470999999994"/>
    <n v="0"/>
    <n v="0"/>
    <n v="-5778.4888331512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3"/>
    <s v="Sistema de Compensação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.0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4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4.1230000000000002"/>
    <n v="4.1230000000000002"/>
    <n v="4.1230000000000002"/>
    <n v="4.1230000000000002"/>
    <m/>
    <n v="547.54"/>
    <n v="159.41"/>
    <m/>
    <n v="2914.7548499999998"/>
    <n v="2914.7548499999998"/>
    <n v="2134.9718600000001"/>
    <n v="0"/>
    <n v="0"/>
    <n v="0"/>
    <n v="0"/>
    <n v="0"/>
    <n v="480.92496927172971"/>
    <n v="1721.5421200151186"/>
    <n v="635.89324500814837"/>
    <n v="21.364343862730461"/>
    <n v="0"/>
    <n v="0"/>
    <n v="0"/>
    <n v="0"/>
    <n v="0"/>
    <m/>
    <n v="8.5556193256922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481765652250125"/>
    <n v="0"/>
    <n v="14.81"/>
    <n v="100.51"/>
    <n v="1671.55"/>
    <n v="84"/>
    <m/>
    <m/>
    <m/>
    <m/>
    <m/>
    <m/>
    <m/>
    <m/>
    <m/>
    <n v="682.37501066039852"/>
    <m/>
    <m/>
    <m/>
    <m/>
    <m/>
    <m/>
    <m/>
    <m/>
    <m/>
    <m/>
    <m/>
    <m/>
    <n v="2133.4184"/>
    <n v="-781.36645000000044"/>
    <m/>
    <m/>
    <m/>
    <m/>
    <n v="-893.04179999999985"/>
    <n v="113.25881"/>
    <n v="31"/>
    <n v="99.565682401988397"/>
    <n v="0"/>
    <n v="0"/>
    <n v="0"/>
    <n v="0"/>
    <n v="0"/>
    <n v="0"/>
    <n v="0"/>
    <n v="21.724334444858869"/>
    <n v="0"/>
    <n v="0"/>
    <n v="126.08045828711147"/>
    <n v="0"/>
    <n v="0"/>
    <n v="0"/>
    <n v="9.2160788960020241"/>
    <n v="0"/>
    <n v="0"/>
    <m/>
    <n v="0"/>
    <n v="0"/>
    <n v="0"/>
    <n v="0"/>
    <n v="0"/>
    <n v="-0.54514340843159559"/>
    <n v="0"/>
    <n v="-56.910045817552408"/>
    <m/>
    <m/>
    <m/>
    <n v="1721.5421200151186"/>
    <n v="0"/>
    <n v="0"/>
    <n v="-893.04179999999974"/>
    <n v="113.25881000000004"/>
    <n v="0"/>
    <n v="0"/>
    <n v="-879.36771339765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5"/>
    <s v="Sistema de Compensação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.4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6"/>
    <s v="Regular"/>
    <s v="Convencional"/>
    <s v="B3"/>
    <s v="Industrial"/>
    <s v="Não se aplica"/>
    <s v="Não se aplica"/>
    <s v="Não se aplica"/>
    <s v="Não se aplica"/>
    <s v="CATIVO"/>
    <x v="1"/>
    <n v="0"/>
    <n v="0"/>
    <n v="90.641999999999996"/>
    <n v="90.641999999999996"/>
    <n v="90.641999999999996"/>
    <n v="90.641999999999996"/>
    <m/>
    <n v="648.44000000000005"/>
    <n v="159.41"/>
    <m/>
    <n v="73225.1397"/>
    <n v="73225.1397"/>
    <n v="55456.588439999992"/>
    <n v="0"/>
    <n v="5617.1074576050669"/>
    <n v="0"/>
    <n v="0"/>
    <n v="0"/>
    <n v="10572.884080700489"/>
    <n v="37847.203696922232"/>
    <n v="13979.780624309624"/>
    <n v="469.68393315683096"/>
    <n v="0"/>
    <n v="0"/>
    <n v="0"/>
    <n v="0"/>
    <n v="867.99280910196819"/>
    <m/>
    <n v="188.09081904423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1.877322884127"/>
    <n v="0"/>
    <n v="208.97"/>
    <n v="1396.14"/>
    <n v="13572.98"/>
    <n v="86"/>
    <m/>
    <m/>
    <m/>
    <m/>
    <m/>
    <m/>
    <m/>
    <m/>
    <m/>
    <n v="15001.657947193751"/>
    <m/>
    <m/>
    <m/>
    <m/>
    <m/>
    <m/>
    <m/>
    <m/>
    <m/>
    <m/>
    <m/>
    <m/>
    <n v="55455.364799999996"/>
    <n v="-17769.804900000003"/>
    <m/>
    <m/>
    <m/>
    <m/>
    <n v="-20258.487000000005"/>
    <n v="2489.9357399999999"/>
    <n v="31"/>
    <n v="1563.9387009753191"/>
    <n v="0"/>
    <n v="0"/>
    <n v="0"/>
    <n v="0"/>
    <n v="0"/>
    <n v="0"/>
    <n v="0"/>
    <n v="477.5981379458899"/>
    <n v="0"/>
    <n v="0"/>
    <n v="2771.8129760029988"/>
    <n v="0"/>
    <n v="0"/>
    <n v="0"/>
    <n v="202.61067749003507"/>
    <n v="0"/>
    <n v="-393.43328746038787"/>
    <m/>
    <n v="0"/>
    <n v="0"/>
    <n v="0"/>
    <n v="0"/>
    <n v="-52.95743643582648"/>
    <n v="-11.984692900086515"/>
    <n v="0"/>
    <n v="-1429.7076736673123"/>
    <m/>
    <m/>
    <m/>
    <n v="37847.203696922232"/>
    <n v="0"/>
    <n v="0"/>
    <n v="-20258.487000000008"/>
    <n v="2489.9357399999972"/>
    <n v="0"/>
    <n v="0"/>
    <n v="-19332.439553187109"/>
    <n v="0"/>
    <n v="0"/>
    <n v="0"/>
    <n v="0"/>
    <n v="0"/>
    <n v="0"/>
    <n v="0"/>
    <n v="0"/>
    <n v="0"/>
    <n v="0"/>
    <n v="0"/>
    <n v="0"/>
    <n v="2660.723371077616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7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23.135000000000002"/>
    <n v="23.135000000000002"/>
    <n v="23.135000000000002"/>
    <n v="23.135000000000002"/>
    <m/>
    <n v="648.44000000000005"/>
    <n v="159.41"/>
    <m/>
    <n v="18689.609750000003"/>
    <n v="18689.609750000003"/>
    <n v="14154.4557"/>
    <n v="0"/>
    <n v="1433.6817483252053"/>
    <n v="0"/>
    <n v="0"/>
    <n v="0"/>
    <n v="2698.5688004126769"/>
    <n v="9659.9264968590269"/>
    <n v="3568.1276311577767"/>
    <n v="119.87972235369129"/>
    <n v="0"/>
    <n v="0"/>
    <n v="0"/>
    <n v="0"/>
    <n v="221.54204053941922"/>
    <m/>
    <n v="48.007337642466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.81873596041879"/>
    <n v="0"/>
    <n v="53.2"/>
    <n v="355.26"/>
    <n v="4945.41"/>
    <n v="16"/>
    <m/>
    <m/>
    <m/>
    <m/>
    <m/>
    <m/>
    <m/>
    <m/>
    <m/>
    <n v="3828.9463671181957"/>
    <m/>
    <m/>
    <m/>
    <m/>
    <m/>
    <m/>
    <m/>
    <m/>
    <m/>
    <m/>
    <m/>
    <m/>
    <n v="14157.514800000001"/>
    <n v="-4532.1249500000013"/>
    <m/>
    <m/>
    <m/>
    <m/>
    <n v="-5170.6725000000015"/>
    <n v="635.51845000000003"/>
    <n v="31"/>
    <n v="399.17170679225819"/>
    <n v="0"/>
    <n v="0"/>
    <n v="0"/>
    <n v="0"/>
    <n v="0"/>
    <n v="0"/>
    <n v="0"/>
    <n v="121.89970346393648"/>
    <n v="0"/>
    <n v="0"/>
    <n v="707.46335252784957"/>
    <n v="0"/>
    <n v="0"/>
    <n v="0"/>
    <n v="51.71331197162425"/>
    <n v="0"/>
    <n v="-100.41789794351507"/>
    <m/>
    <n v="0"/>
    <n v="0"/>
    <n v="0"/>
    <n v="0"/>
    <n v="-13.516584937918907"/>
    <n v="-3.0589116551212641"/>
    <n v="0"/>
    <n v="-364.91126663459841"/>
    <m/>
    <m/>
    <m/>
    <n v="9659.9264968590269"/>
    <n v="0"/>
    <n v="0"/>
    <n v="-5170.6725000000024"/>
    <n v="635.51845000000048"/>
    <n v="0"/>
    <n v="0"/>
    <n v="-4934.312890966482"/>
    <n v="0"/>
    <n v="0"/>
    <n v="0"/>
    <n v="0"/>
    <n v="0"/>
    <n v="0"/>
    <n v="0"/>
    <n v="0"/>
    <n v="0"/>
    <n v="0"/>
    <n v="0"/>
    <n v="0"/>
    <n v="679.1094105368445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8"/>
    <s v="Regular"/>
    <s v="Verde"/>
    <s v="A4"/>
    <s v="Industrial"/>
    <s v="Não se aplica"/>
    <s v="Não se aplica"/>
    <s v="Não se aplica"/>
    <s v="Ponta"/>
    <s v="CATIVO"/>
    <x v="1"/>
    <n v="0"/>
    <n v="0"/>
    <n v="15.702"/>
    <n v="15.702"/>
    <n v="15.702"/>
    <n v="15.702"/>
    <m/>
    <n v="2810.7"/>
    <n v="159.41"/>
    <m/>
    <n v="46636.667219999996"/>
    <n v="46636.667219999996"/>
    <n v="29703.316379999997"/>
    <n v="0"/>
    <n v="846.55948159135721"/>
    <n v="0"/>
    <n v="0"/>
    <n v="0"/>
    <n v="9586.3158473576968"/>
    <n v="33050.965572035777"/>
    <n v="2421.7307138292372"/>
    <n v="81.363795132814374"/>
    <n v="0"/>
    <n v="0"/>
    <n v="0"/>
    <n v="0"/>
    <n v="150.36322111735294"/>
    <m/>
    <n v="16.859761592598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491407184073211"/>
    <n v="0"/>
    <n v="0"/>
    <n v="0"/>
    <n v="0"/>
    <n v="0"/>
    <m/>
    <m/>
    <m/>
    <m/>
    <m/>
    <m/>
    <m/>
    <m/>
    <m/>
    <n v="2503.2221210133102"/>
    <m/>
    <m/>
    <m/>
    <m/>
    <m/>
    <m/>
    <m/>
    <m/>
    <m/>
    <m/>
    <m/>
    <m/>
    <n v="29699.532999999996"/>
    <n v="-16937.164220000006"/>
    <m/>
    <m/>
    <m/>
    <m/>
    <n v="-17364.68478"/>
    <n v="431.33393999999998"/>
    <n v="31"/>
    <n v="-50.758238014566814"/>
    <n v="0"/>
    <n v="0"/>
    <n v="0"/>
    <n v="0"/>
    <n v="0"/>
    <n v="0"/>
    <n v="0"/>
    <n v="433.03289466839851"/>
    <n v="0"/>
    <n v="0"/>
    <n v="480.16380209173531"/>
    <n v="0"/>
    <n v="0"/>
    <n v="0"/>
    <n v="16.15754538184774"/>
    <n v="0"/>
    <n v="-59.294696138011773"/>
    <m/>
    <n v="0"/>
    <n v="0"/>
    <n v="0"/>
    <n v="0"/>
    <n v="-9.1738671577783748"/>
    <n v="-1.0742633057939397"/>
    <n v="0"/>
    <n v="-910.56965355496231"/>
    <m/>
    <m/>
    <m/>
    <n v="33050.965572035777"/>
    <n v="0"/>
    <n v="0"/>
    <n v="-17364.684779999996"/>
    <n v="431.33393999999998"/>
    <n v="0"/>
    <n v="0"/>
    <n v="-16882.50997914033"/>
    <n v="0"/>
    <n v="0"/>
    <n v="0"/>
    <n v="0"/>
    <n v="0"/>
    <n v="0"/>
    <n v="0"/>
    <n v="0"/>
    <n v="0"/>
    <n v="0"/>
    <n v="0"/>
    <n v="0"/>
    <n v="401.0000902916398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9"/>
    <s v="Regular"/>
    <s v="Verde"/>
    <s v="A4"/>
    <s v="Industrial"/>
    <s v="Não se aplica"/>
    <s v="Não se aplica"/>
    <s v="Não se aplica"/>
    <s v="Fora ponta"/>
    <s v="CATIVO"/>
    <x v="1"/>
    <n v="0"/>
    <n v="0"/>
    <n v="502.18900000000002"/>
    <n v="502.18900000000002"/>
    <n v="502.18900000000002"/>
    <n v="502.18900000000002"/>
    <m/>
    <n v="95.29"/>
    <n v="159.41"/>
    <m/>
    <n v="127907.5383"/>
    <n v="127907.5383"/>
    <n v="139061.15599"/>
    <n v="0"/>
    <n v="27075.077028460204"/>
    <n v="0"/>
    <n v="0"/>
    <n v="0"/>
    <n v="0"/>
    <n v="0"/>
    <n v="77452.96939543949"/>
    <n v="2602.2164637595797"/>
    <n v="0"/>
    <n v="0"/>
    <n v="0"/>
    <n v="0"/>
    <n v="4808.9896605338399"/>
    <m/>
    <n v="539.217094282607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6.2978144416347"/>
    <n v="0"/>
    <n v="0"/>
    <n v="0"/>
    <n v="0"/>
    <n v="0"/>
    <m/>
    <m/>
    <m/>
    <m/>
    <m/>
    <m/>
    <m/>
    <m/>
    <m/>
    <n v="80059.267209881131"/>
    <m/>
    <m/>
    <m/>
    <m/>
    <m/>
    <m/>
    <m/>
    <m/>
    <m/>
    <m/>
    <m/>
    <m/>
    <n v="139061.43290000001"/>
    <n v="11153.864600000015"/>
    <m/>
    <m/>
    <m/>
    <m/>
    <n v="-2641.5141400000025"/>
    <n v="13795.13183"/>
    <n v="31"/>
    <n v="11152.030375821472"/>
    <n v="0"/>
    <n v="0"/>
    <n v="0"/>
    <n v="0"/>
    <n v="0"/>
    <n v="0"/>
    <n v="0"/>
    <n v="0"/>
    <n v="0"/>
    <n v="0"/>
    <n v="15356.832225744904"/>
    <n v="0"/>
    <n v="0"/>
    <n v="0"/>
    <n v="516.75847393737968"/>
    <n v="0"/>
    <n v="-1896.3918073399582"/>
    <m/>
    <n v="0"/>
    <n v="0"/>
    <n v="0"/>
    <n v="0"/>
    <n v="-293.40308076025758"/>
    <n v="-34.357611468179357"/>
    <n v="0"/>
    <n v="-2497.4078242924406"/>
    <m/>
    <m/>
    <m/>
    <n v="0"/>
    <n v="0"/>
    <n v="0"/>
    <n v="-2641.5141399999993"/>
    <n v="13795.131830000013"/>
    <n v="0"/>
    <n v="0"/>
    <n v="0"/>
    <n v="0"/>
    <n v="0"/>
    <n v="0"/>
    <n v="0"/>
    <n v="0"/>
    <n v="0"/>
    <n v="0"/>
    <n v="0"/>
    <n v="0"/>
    <n v="0"/>
    <n v="0"/>
    <n v="0"/>
    <n v="12824.97989704931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80"/>
    <s v="Regular"/>
    <s v="Verde"/>
    <s v="A4"/>
    <s v="Industrial"/>
    <s v="Não se aplica"/>
    <s v="Não se aplica"/>
    <s v="Não se aplica"/>
    <s v="Não se aplica"/>
    <s v="CATIVO"/>
    <x v="1"/>
    <n v="2246"/>
    <n v="2246"/>
    <n v="0"/>
    <n v="0"/>
    <n v="0"/>
    <n v="0"/>
    <n v="43.29"/>
    <m/>
    <m/>
    <n v="97229.34"/>
    <m/>
    <n v="97229.34"/>
    <n v="75218.540000000008"/>
    <n v="0"/>
    <n v="0"/>
    <n v="0"/>
    <n v="0"/>
    <n v="0"/>
    <n v="53149.31515785175"/>
    <n v="44087.154236418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83.73"/>
    <n v="6558.51"/>
    <n v="61938.12"/>
    <n v="13"/>
    <m/>
    <m/>
    <m/>
    <m/>
    <m/>
    <m/>
    <m/>
    <m/>
    <m/>
    <n v="0"/>
    <m/>
    <m/>
    <m/>
    <m/>
    <m/>
    <m/>
    <m/>
    <m/>
    <m/>
    <m/>
    <m/>
    <m/>
    <n v="75218.540000000008"/>
    <n v="-22010.829999999973"/>
    <m/>
    <m/>
    <m/>
    <m/>
    <n v="-22010.799999999992"/>
    <n v="0"/>
    <n v="31"/>
    <n v="502.34068615212891"/>
    <n v="0"/>
    <n v="0"/>
    <n v="0"/>
    <n v="0"/>
    <m/>
    <m/>
    <m/>
    <n v="2400.8599506754981"/>
    <n v="0"/>
    <n v="0"/>
    <m/>
    <m/>
    <n v="0"/>
    <n v="0"/>
    <n v="0"/>
    <n v="0"/>
    <n v="0"/>
    <m/>
    <n v="0"/>
    <n v="0"/>
    <m/>
    <n v="0"/>
    <n v="0"/>
    <n v="0"/>
    <n v="0"/>
    <n v="-1898.5192645233678"/>
    <m/>
    <m/>
    <n v="44087.15423641861"/>
    <m/>
    <n v="0"/>
    <n v="0"/>
    <n v="-22010.799999999988"/>
    <m/>
    <n v="0"/>
    <m/>
    <n v="-22519.82078181675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1"/>
    <s v="Regular"/>
    <s v="Convencional"/>
    <s v="B3"/>
    <s v="Comercial"/>
    <s v="Não se aplica"/>
    <s v="Não se aplica"/>
    <s v="Não se aplica"/>
    <s v="Não se aplica"/>
    <s v="CATIVO"/>
    <x v="1"/>
    <n v="0"/>
    <n v="0"/>
    <n v="535.03700000000003"/>
    <n v="535.03700000000003"/>
    <n v="535.03700000000003"/>
    <n v="535.03700000000003"/>
    <m/>
    <n v="648.44000000000005"/>
    <n v="159.41"/>
    <m/>
    <n v="432229.64045000006"/>
    <n v="432229.64045000006"/>
    <n v="327346.33734000003"/>
    <n v="0"/>
    <n v="33156.376986326897"/>
    <n v="0"/>
    <n v="0"/>
    <n v="0"/>
    <n v="62409.083867144902"/>
    <n v="223402.55427274533"/>
    <n v="82519.139978031701"/>
    <n v="2772.4264970370405"/>
    <n v="0"/>
    <n v="0"/>
    <n v="0"/>
    <n v="0"/>
    <n v="5123.5439266950179"/>
    <m/>
    <n v="1110.25294619462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31.8856292221562"/>
    <n v="0"/>
    <n v="1449.87"/>
    <n v="9705.59"/>
    <n v="161771.16"/>
    <n v="1427"/>
    <m/>
    <m/>
    <m/>
    <m/>
    <m/>
    <m/>
    <m/>
    <m/>
    <m/>
    <n v="88551.025607253861"/>
    <m/>
    <m/>
    <m/>
    <m/>
    <m/>
    <m/>
    <m/>
    <m/>
    <m/>
    <m/>
    <m/>
    <m/>
    <n v="327348.1728"/>
    <n v="-104881.49765000009"/>
    <m/>
    <m/>
    <m/>
    <m/>
    <n v="-119580.76950000004"/>
    <n v="14697.46639"/>
    <n v="31"/>
    <n v="9231.5380370438506"/>
    <n v="0"/>
    <n v="0"/>
    <n v="0"/>
    <n v="0"/>
    <n v="0"/>
    <n v="0"/>
    <n v="0"/>
    <n v="2819.1420636366674"/>
    <n v="0"/>
    <n v="0"/>
    <n v="16361.317041125702"/>
    <n v="0"/>
    <n v="0"/>
    <n v="0"/>
    <n v="1195.9600301431565"/>
    <n v="0"/>
    <n v="-2322.338053252839"/>
    <m/>
    <n v="0"/>
    <n v="0"/>
    <n v="0"/>
    <n v="0"/>
    <n v="-312.59446965330972"/>
    <n v="-70.742637355570196"/>
    <n v="0"/>
    <n v="-8439.2059375999852"/>
    <m/>
    <m/>
    <m/>
    <n v="223402.55427274533"/>
    <n v="0"/>
    <n v="0"/>
    <n v="-119580.76950000002"/>
    <n v="14697.466390000001"/>
    <n v="0"/>
    <n v="0"/>
    <n v="-114114.54360250846"/>
    <n v="0"/>
    <n v="0"/>
    <n v="0"/>
    <n v="0"/>
    <n v="0"/>
    <n v="0"/>
    <n v="0"/>
    <n v="0"/>
    <n v="0"/>
    <n v="0"/>
    <n v="0"/>
    <n v="0"/>
    <n v="15705.58295592832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82"/>
    <s v="Refaturamento - Regular"/>
    <s v="Convencional"/>
    <s v="B3"/>
    <s v="Comercial"/>
    <s v="Não se aplica"/>
    <s v="Não se aplica"/>
    <s v="Não se aplica"/>
    <s v="Não se aplica"/>
    <s v="CATIVO"/>
    <x v="1"/>
    <n v="0"/>
    <n v="0"/>
    <n v="-0.53"/>
    <n v="-0.53"/>
    <n v="-0.53"/>
    <n v="-0.53"/>
    <m/>
    <n v="648.44000000000005"/>
    <n v="159.41"/>
    <m/>
    <n v="-428.16050000000007"/>
    <n v="-428.16050000000007"/>
    <n v="-324.26459999999997"/>
    <n v="0"/>
    <n v="-32.844232833903554"/>
    <n v="0"/>
    <n v="0"/>
    <n v="0"/>
    <n v="-61.821545892315484"/>
    <n v="-221.29937511715082"/>
    <n v="-81.742279857947764"/>
    <n v="-2.7463260361986768"/>
    <n v="0"/>
    <n v="0"/>
    <n v="0"/>
    <n v="0"/>
    <n v="-5.0753093358933299"/>
    <m/>
    <n v="-1.09980068945353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.9750996351425094"/>
    <n v="0"/>
    <n v="-1.97"/>
    <n v="-9.0299999999999994"/>
    <n v="-148.63999999999999"/>
    <n v="0"/>
    <m/>
    <m/>
    <m/>
    <m/>
    <m/>
    <m/>
    <m/>
    <m/>
    <m/>
    <n v="-87.717379493090277"/>
    <m/>
    <m/>
    <m/>
    <m/>
    <m/>
    <m/>
    <m/>
    <m/>
    <m/>
    <m/>
    <m/>
    <m/>
    <n v="-324.26459999999997"/>
    <n v="103.86590000000012"/>
    <m/>
    <m/>
    <m/>
    <m/>
    <n v="118.45500000000004"/>
    <n v="-14.559100000000001"/>
    <n v="31"/>
    <n v="-9.1446295482988944"/>
    <n v="0"/>
    <n v="0"/>
    <n v="0"/>
    <n v="0"/>
    <n v="0"/>
    <n v="0"/>
    <n v="0"/>
    <n v="-2.7926018083374231"/>
    <n v="0"/>
    <n v="0"/>
    <n v="-16.207286658299566"/>
    <n v="0"/>
    <n v="0"/>
    <n v="0"/>
    <n v="-1.184700901014085"/>
    <n v="0"/>
    <n v="2.3004748610357879"/>
    <m/>
    <n v="0"/>
    <n v="0"/>
    <n v="0"/>
    <n v="0"/>
    <n v="0.30965161085355675"/>
    <n v="7.007664478989728E-2"/>
    <n v="0"/>
    <n v="8.3597567026728843"/>
    <m/>
    <m/>
    <m/>
    <n v="-221.29937511715082"/>
    <n v="0"/>
    <n v="0"/>
    <n v="118.45500000000007"/>
    <n v="-14.559100000000001"/>
    <n v="0"/>
    <n v="0"/>
    <n v="113.04023480493777"/>
    <n v="0"/>
    <n v="0"/>
    <n v="0"/>
    <n v="0"/>
    <n v="0"/>
    <n v="0"/>
    <n v="0"/>
    <n v="0"/>
    <n v="0"/>
    <n v="0"/>
    <n v="0"/>
    <n v="0"/>
    <n v="-15.55772585193549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83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44.478999999999999"/>
    <n v="44.478999999999999"/>
    <n v="44.478999999999999"/>
    <n v="44.478999999999999"/>
    <m/>
    <n v="648.44000000000005"/>
    <n v="159.41"/>
    <m/>
    <n v="35932.36015"/>
    <n v="35932.36015"/>
    <n v="27213.141779999998"/>
    <n v="0"/>
    <n v="2756.3747777720682"/>
    <n v="0"/>
    <n v="0"/>
    <n v="0"/>
    <n v="5188.2274334798112"/>
    <n v="18572.028124218399"/>
    <n v="6860.0280486823749"/>
    <n v="230.47893540392627"/>
    <n v="0"/>
    <n v="0"/>
    <n v="0"/>
    <n v="0"/>
    <n v="425.9333659456592"/>
    <m/>
    <n v="92.2981789928369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1.44614466321445"/>
    <n v="0"/>
    <n v="120.7"/>
    <n v="808.71"/>
    <n v="27818.31"/>
    <n v="109"/>
    <m/>
    <m/>
    <m/>
    <m/>
    <m/>
    <m/>
    <m/>
    <m/>
    <m/>
    <n v="7361.4741933455898"/>
    <m/>
    <m/>
    <m/>
    <m/>
    <m/>
    <m/>
    <m/>
    <m/>
    <m/>
    <m/>
    <m/>
    <m/>
    <n v="27213.753599999996"/>
    <n v="-8718.6365500000029"/>
    <m/>
    <m/>
    <m/>
    <m/>
    <n v="-9941.0565000000024"/>
    <n v="1221.8381299999999"/>
    <n v="31"/>
    <n v="767.44146731846922"/>
    <n v="0"/>
    <n v="0"/>
    <n v="0"/>
    <n v="0"/>
    <n v="0"/>
    <n v="0"/>
    <n v="0"/>
    <n v="234.36252043969944"/>
    <n v="0"/>
    <n v="0"/>
    <n v="1360.1583080651044"/>
    <n v="0"/>
    <n v="0"/>
    <n v="0"/>
    <n v="99.423229011708486"/>
    <n v="0"/>
    <n v="-193.06192706417141"/>
    <m/>
    <n v="0"/>
    <n v="0"/>
    <n v="0"/>
    <n v="0"/>
    <n v="-25.986781130481688"/>
    <n v="-5.8810171388864774"/>
    <n v="0"/>
    <n v="-701.57286486450414"/>
    <m/>
    <m/>
    <m/>
    <n v="18572.028124218399"/>
    <n v="0"/>
    <n v="0"/>
    <n v="-9941.0565000000024"/>
    <n v="1221.8381300000001"/>
    <n v="0"/>
    <n v="0"/>
    <n v="-9486.6351016770332"/>
    <n v="0"/>
    <n v="0"/>
    <n v="0"/>
    <n v="0"/>
    <n v="0"/>
    <n v="0"/>
    <n v="0"/>
    <n v="0"/>
    <n v="0"/>
    <n v="0"/>
    <n v="0"/>
    <n v="0"/>
    <n v="1305.645449374035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84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0.1"/>
    <n v="0.1"/>
    <n v="0.1"/>
    <n v="0.1"/>
    <m/>
    <n v="648.44000000000005"/>
    <n v="159.41"/>
    <m/>
    <n v="80.785000000000011"/>
    <n v="80.785000000000011"/>
    <n v="61.182000000000002"/>
    <n v="0"/>
    <n v="6.1970250630006705"/>
    <n v="0"/>
    <n v="0"/>
    <n v="0"/>
    <n v="11.664442621191601"/>
    <n v="41.754599078707706"/>
    <n v="15.4230716713109"/>
    <n v="0.5181747238110711"/>
    <n v="0"/>
    <n v="0"/>
    <n v="0"/>
    <n v="0"/>
    <n v="0.95760553507421309"/>
    <m/>
    <n v="0.20750956404783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2737728964953"/>
    <n v="0"/>
    <n v="0.28999999999999998"/>
    <n v="1.35"/>
    <n v="28.35"/>
    <n v="1"/>
    <m/>
    <m/>
    <m/>
    <m/>
    <m/>
    <m/>
    <m/>
    <m/>
    <m/>
    <n v="16.550448960960431"/>
    <m/>
    <m/>
    <m/>
    <m/>
    <m/>
    <m/>
    <m/>
    <m/>
    <m/>
    <m/>
    <m/>
    <m/>
    <n v="61.182000000000002"/>
    <n v="-19.633000000000024"/>
    <m/>
    <m/>
    <m/>
    <m/>
    <n v="-22.350000000000009"/>
    <n v="2.7469999999999999"/>
    <n v="31"/>
    <n v="1.7254018015658303"/>
    <n v="0"/>
    <n v="0"/>
    <n v="0"/>
    <n v="0"/>
    <n v="0"/>
    <n v="0"/>
    <n v="0"/>
    <n v="0.5269060015730993"/>
    <n v="0"/>
    <n v="0"/>
    <n v="3.0579786147735"/>
    <n v="0"/>
    <n v="0"/>
    <n v="0"/>
    <n v="0.22352847188945013"/>
    <n v="0"/>
    <n v="-0.4340518605727901"/>
    <m/>
    <n v="0"/>
    <n v="0"/>
    <n v="0"/>
    <n v="0"/>
    <n v="-5.8424832236519952E-2"/>
    <n v="-1.3222008450923972E-2"/>
    <n v="0"/>
    <n v="-1.5773125854099781"/>
    <m/>
    <m/>
    <m/>
    <n v="41.754599078707706"/>
    <n v="0"/>
    <n v="0"/>
    <n v="-22.350000000000009"/>
    <n v="2.7469999999999981"/>
    <n v="0"/>
    <n v="0"/>
    <n v="-21.328346189610905"/>
    <n v="0"/>
    <n v="0"/>
    <n v="0"/>
    <n v="0"/>
    <n v="0"/>
    <n v="0"/>
    <n v="0"/>
    <n v="0"/>
    <n v="0"/>
    <n v="0"/>
    <n v="0"/>
    <n v="0"/>
    <n v="2.935419972063300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85"/>
    <s v="Regular"/>
    <s v="Verde"/>
    <s v="A4"/>
    <s v="Comercial"/>
    <s v="Não se aplica"/>
    <s v="Não se aplica"/>
    <s v="Não se aplica"/>
    <s v="Ponta"/>
    <s v="CATIVO"/>
    <x v="1"/>
    <n v="0"/>
    <n v="0"/>
    <n v="10.337999999999999"/>
    <n v="10.337999999999999"/>
    <n v="10.337999999999999"/>
    <n v="10.337999999999999"/>
    <m/>
    <n v="2810.7"/>
    <n v="159.41"/>
    <m/>
    <n v="30704.997179999995"/>
    <n v="30704.997179999995"/>
    <n v="19556.291219999999"/>
    <n v="0"/>
    <n v="557.36415238131769"/>
    <n v="0"/>
    <n v="0"/>
    <n v="0"/>
    <n v="6311.5102044315281"/>
    <n v="21760.341490492032"/>
    <n v="1594.4371493801207"/>
    <n v="53.568902947588519"/>
    <n v="0"/>
    <n v="0"/>
    <n v="0"/>
    <n v="0"/>
    <n v="98.997260215972133"/>
    <m/>
    <n v="11.100255721836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65292112271996"/>
    <n v="0"/>
    <n v="0"/>
    <n v="0"/>
    <n v="0"/>
    <n v="0"/>
    <m/>
    <m/>
    <m/>
    <m/>
    <m/>
    <m/>
    <m/>
    <m/>
    <m/>
    <n v="1648.0900705028407"/>
    <m/>
    <m/>
    <m/>
    <m/>
    <m/>
    <m/>
    <m/>
    <m/>
    <m/>
    <m/>
    <m/>
    <m/>
    <n v="19560.074599999996"/>
    <n v="-11144.952579999994"/>
    <m/>
    <m/>
    <m/>
    <m/>
    <n v="-11432.690819999998"/>
    <n v="283.98485999999997"/>
    <n v="31"/>
    <n v="-33.418587733700406"/>
    <n v="0"/>
    <n v="0"/>
    <n v="0"/>
    <n v="0"/>
    <n v="0"/>
    <n v="0"/>
    <n v="0"/>
    <n v="285.10343045993523"/>
    <n v="0"/>
    <n v="0"/>
    <n v="316.13382919528431"/>
    <n v="0"/>
    <n v="0"/>
    <n v="0"/>
    <n v="10.637925369860014"/>
    <n v="0"/>
    <n v="-39.038884771033395"/>
    <m/>
    <n v="0"/>
    <n v="0"/>
    <n v="0"/>
    <n v="0"/>
    <n v="-6.039959156611431"/>
    <n v="-0.7072814963251659"/>
    <n v="0"/>
    <n v="-599.50764733481083"/>
    <m/>
    <m/>
    <m/>
    <n v="21760.341490492032"/>
    <n v="0"/>
    <n v="0"/>
    <n v="-11432.690819999996"/>
    <n v="283.9848599999998"/>
    <n v="0"/>
    <n v="0"/>
    <n v="-11115.232974420633"/>
    <n v="0"/>
    <n v="0"/>
    <n v="0"/>
    <n v="0"/>
    <n v="0"/>
    <n v="0"/>
    <n v="0"/>
    <n v="0"/>
    <n v="0"/>
    <n v="0"/>
    <n v="0"/>
    <n v="0"/>
    <n v="264.013433539356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86"/>
    <s v="Sistema de Compensação"/>
    <s v="Verde"/>
    <s v="A4"/>
    <s v="Comercial"/>
    <s v="Não se aplica"/>
    <s v="Não se aplica"/>
    <s v="Não se aplica"/>
    <s v="Ponta"/>
    <s v="CATIVO"/>
    <x v="1"/>
    <n v="0"/>
    <n v="0"/>
    <n v="0.53300000000000003"/>
    <n v="0.53300000000000003"/>
    <n v="0.53300000000000003"/>
    <n v="0.53300000000000003"/>
    <m/>
    <n v="2810.7"/>
    <n v="159.41"/>
    <m/>
    <n v="1583.06863"/>
    <n v="1583.06863"/>
    <n v="1008.27077"/>
    <n v="0"/>
    <n v="28.736224919640392"/>
    <n v="0"/>
    <n v="0"/>
    <n v="0"/>
    <n v="325.40481127510208"/>
    <n v="1121.9057858804656"/>
    <n v="82.204972008087097"/>
    <n v="2.7618712779130088"/>
    <n v="0"/>
    <n v="0"/>
    <n v="0"/>
    <n v="0"/>
    <n v="5.1040375019455562"/>
    <m/>
    <n v="0.57229989357120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662030333149299"/>
    <n v="0"/>
    <n v="0"/>
    <n v="0"/>
    <n v="0"/>
    <n v="0"/>
    <m/>
    <m/>
    <m/>
    <m/>
    <m/>
    <m/>
    <m/>
    <m/>
    <m/>
    <n v="84.97117504140202"/>
    <m/>
    <m/>
    <m/>
    <m/>
    <m/>
    <m/>
    <m/>
    <m/>
    <m/>
    <m/>
    <m/>
    <m/>
    <n v="1002.5957000000001"/>
    <n v="-580.50292999999988"/>
    <m/>
    <m/>
    <m/>
    <m/>
    <n v="-589.43936999999994"/>
    <n v="14.64151"/>
    <n v="31"/>
    <n v="-1.722974198303632"/>
    <n v="0"/>
    <n v="0"/>
    <n v="0"/>
    <n v="0"/>
    <n v="0"/>
    <n v="0"/>
    <n v="0"/>
    <n v="14.699180541221267"/>
    <n v="0"/>
    <n v="0"/>
    <n v="16.299026016742758"/>
    <n v="0"/>
    <n v="0"/>
    <n v="0"/>
    <n v="0.54846336062443291"/>
    <n v="0"/>
    <n v="-2.0127418826621017"/>
    <m/>
    <n v="0"/>
    <n v="0"/>
    <n v="0"/>
    <n v="0"/>
    <n v="-0.31140435582065162"/>
    <n v="-3.6465567570256541E-2"/>
    <n v="0"/>
    <n v="-30.909032310839063"/>
    <m/>
    <m/>
    <m/>
    <n v="1121.9057858804656"/>
    <n v="0"/>
    <n v="0"/>
    <n v="-589.43937000000005"/>
    <n v="14.641509999999997"/>
    <n v="0"/>
    <n v="0"/>
    <n v="-573.07208119231927"/>
    <n v="0"/>
    <n v="0"/>
    <n v="0"/>
    <n v="0"/>
    <n v="0"/>
    <n v="0"/>
    <n v="0"/>
    <n v="0"/>
    <n v="0"/>
    <n v="0"/>
    <n v="0"/>
    <n v="0"/>
    <n v="13.61183595245472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87"/>
    <s v="Regular"/>
    <s v="Verde"/>
    <s v="A4"/>
    <s v="Comercial"/>
    <s v="Não se aplica"/>
    <s v="Não se aplica"/>
    <s v="Não se aplica"/>
    <s v="Fora ponta"/>
    <s v="CATIVO"/>
    <x v="1"/>
    <n v="0"/>
    <n v="0"/>
    <n v="107.54300000000001"/>
    <n v="107.54300000000001"/>
    <n v="107.54300000000001"/>
    <n v="107.54300000000001"/>
    <m/>
    <n v="95.29"/>
    <n v="159.41"/>
    <m/>
    <n v="27391.202100000002"/>
    <n v="27391.202100000002"/>
    <n v="29779.73213"/>
    <n v="0"/>
    <n v="5798.0859972474418"/>
    <n v="0"/>
    <n v="0"/>
    <n v="0"/>
    <n v="0"/>
    <n v="0"/>
    <n v="16586.433967477882"/>
    <n v="557.26064322814011"/>
    <n v="0"/>
    <n v="0"/>
    <n v="0"/>
    <n v="0"/>
    <n v="1029.837720584861"/>
    <m/>
    <n v="115.472509295174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8.13465818346617"/>
    <n v="0"/>
    <n v="0"/>
    <n v="0"/>
    <n v="0"/>
    <n v="0"/>
    <m/>
    <m/>
    <m/>
    <m/>
    <m/>
    <m/>
    <m/>
    <m/>
    <m/>
    <n v="17144.568625661348"/>
    <m/>
    <m/>
    <m/>
    <m/>
    <m/>
    <m/>
    <m/>
    <m/>
    <m/>
    <m/>
    <m/>
    <m/>
    <n v="29778.901400000002"/>
    <n v="2387.6692999999977"/>
    <m/>
    <m/>
    <m/>
    <m/>
    <n v="-565.67618000000061"/>
    <n v="2954.2062099999998"/>
    <n v="31"/>
    <n v="2388.1901091162181"/>
    <n v="0"/>
    <n v="0"/>
    <n v="0"/>
    <n v="0"/>
    <n v="0"/>
    <n v="0"/>
    <n v="0"/>
    <n v="0"/>
    <n v="0"/>
    <n v="0"/>
    <n v="3288.6419416858662"/>
    <n v="0"/>
    <n v="0"/>
    <n v="0"/>
    <n v="110.66303037829903"/>
    <n v="0"/>
    <n v="-406.10938140174494"/>
    <m/>
    <n v="0"/>
    <n v="0"/>
    <n v="0"/>
    <n v="0"/>
    <n v="-62.83181733212075"/>
    <n v="-7.3576295182140825"/>
    <n v="0"/>
    <n v="-534.81603469586537"/>
    <m/>
    <m/>
    <m/>
    <n v="0"/>
    <n v="0"/>
    <n v="0"/>
    <n v="-565.67618000000039"/>
    <n v="2954.2062099999966"/>
    <n v="0"/>
    <n v="0"/>
    <n v="0"/>
    <n v="0"/>
    <n v="0"/>
    <n v="0"/>
    <n v="0"/>
    <n v="0"/>
    <n v="0"/>
    <n v="0"/>
    <n v="0"/>
    <n v="0"/>
    <n v="0"/>
    <n v="0"/>
    <n v="0"/>
    <n v="2746.449669483748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88"/>
    <s v="Sistema de Compensação"/>
    <s v="Verde"/>
    <s v="A4"/>
    <s v="Comercial"/>
    <s v="Não se aplica"/>
    <s v="Não se aplica"/>
    <s v="Não se aplica"/>
    <s v="Fora ponta"/>
    <s v="CATIVO"/>
    <x v="1"/>
    <n v="0"/>
    <n v="0"/>
    <n v="10.587999999999999"/>
    <n v="10.587999999999999"/>
    <n v="10.587999999999999"/>
    <n v="10.587999999999999"/>
    <m/>
    <n v="95.29"/>
    <n v="159.41"/>
    <m/>
    <n v="2696.7635999999998"/>
    <n v="2696.7635999999998"/>
    <n v="2931.9230799999996"/>
    <n v="0"/>
    <n v="570.84268189334421"/>
    <n v="0"/>
    <n v="0"/>
    <n v="0"/>
    <n v="0"/>
    <n v="0"/>
    <n v="1632.9948285583978"/>
    <n v="54.864339757116198"/>
    <n v="0"/>
    <n v="0"/>
    <n v="0"/>
    <n v="0"/>
    <n v="101.39127405365767"/>
    <m/>
    <n v="11.3686890677897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950389712454921"/>
    <n v="0"/>
    <n v="0"/>
    <n v="0"/>
    <n v="0"/>
    <n v="0"/>
    <m/>
    <m/>
    <m/>
    <m/>
    <m/>
    <m/>
    <m/>
    <m/>
    <m/>
    <n v="1687.9452182708528"/>
    <m/>
    <m/>
    <m/>
    <m/>
    <m/>
    <m/>
    <m/>
    <m/>
    <m/>
    <m/>
    <m/>
    <m/>
    <n v="2932.4768999999997"/>
    <n v="235.68329999999969"/>
    <m/>
    <m/>
    <m/>
    <m/>
    <n v="-55.692880000000052"/>
    <n v="290.85235999999998"/>
    <n v="31"/>
    <n v="235.12601355106835"/>
    <n v="0"/>
    <n v="0"/>
    <n v="0"/>
    <n v="0"/>
    <n v="0"/>
    <n v="0"/>
    <n v="0"/>
    <n v="0"/>
    <n v="0"/>
    <n v="0"/>
    <n v="323.77877573221826"/>
    <n v="0"/>
    <n v="0"/>
    <n v="0"/>
    <n v="10.89517835326734"/>
    <n v="0"/>
    <n v="-39.982947567779206"/>
    <m/>
    <n v="0"/>
    <n v="0"/>
    <n v="0"/>
    <n v="0"/>
    <n v="-6.1860212372027377"/>
    <n v="-0.72438542107669335"/>
    <n v="0"/>
    <n v="-52.654586308358716"/>
    <m/>
    <m/>
    <m/>
    <n v="0"/>
    <n v="0"/>
    <n v="0"/>
    <n v="-55.692880000000059"/>
    <n v="290.85235999999986"/>
    <n v="0"/>
    <n v="0"/>
    <n v="0"/>
    <n v="0"/>
    <n v="0"/>
    <n v="0"/>
    <n v="0"/>
    <n v="0"/>
    <n v="0"/>
    <n v="0"/>
    <n v="0"/>
    <n v="0"/>
    <n v="0"/>
    <n v="0"/>
    <n v="0"/>
    <n v="270.39797197859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89"/>
    <s v="Regular"/>
    <s v="Verde"/>
    <s v="A4"/>
    <s v="Comercial"/>
    <s v="Não se aplica"/>
    <s v="Não se aplica"/>
    <s v="Não se aplica"/>
    <s v="Não se aplica"/>
    <s v="CATIVO"/>
    <x v="1"/>
    <n v="1197"/>
    <n v="1197"/>
    <n v="0"/>
    <n v="0"/>
    <n v="0"/>
    <n v="0"/>
    <n v="43.29"/>
    <m/>
    <m/>
    <n v="51818.13"/>
    <m/>
    <n v="51818.13"/>
    <n v="40087.53"/>
    <n v="0"/>
    <n v="0"/>
    <n v="0"/>
    <n v="0"/>
    <n v="0"/>
    <n v="28325.792628650288"/>
    <n v="23496.13696393280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5.52"/>
    <n v="2570.61"/>
    <n v="39242.15"/>
    <n v="13"/>
    <m/>
    <m/>
    <m/>
    <m/>
    <m/>
    <m/>
    <m/>
    <m/>
    <m/>
    <n v="0"/>
    <m/>
    <m/>
    <m/>
    <m/>
    <m/>
    <m/>
    <m/>
    <m/>
    <m/>
    <m/>
    <m/>
    <m/>
    <n v="40087.53"/>
    <n v="-11730.630000000005"/>
    <m/>
    <m/>
    <m/>
    <m/>
    <n v="-11730.599999999997"/>
    <n v="0"/>
    <n v="31"/>
    <n v="267.72119382194796"/>
    <n v="0"/>
    <n v="0"/>
    <n v="0"/>
    <n v="0"/>
    <m/>
    <m/>
    <m/>
    <n v="1279.5322177019443"/>
    <n v="0"/>
    <n v="0"/>
    <m/>
    <m/>
    <n v="0"/>
    <n v="0"/>
    <n v="0"/>
    <n v="0"/>
    <n v="0"/>
    <m/>
    <n v="0"/>
    <n v="0"/>
    <m/>
    <n v="0"/>
    <n v="0"/>
    <n v="0"/>
    <n v="0"/>
    <n v="-1011.8110238799961"/>
    <m/>
    <m/>
    <n v="23496.136963932804"/>
    <m/>
    <n v="0"/>
    <n v="0"/>
    <n v="-11730.599999999999"/>
    <m/>
    <n v="0"/>
    <m/>
    <n v="-12001.88133385336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0"/>
    <s v="Sistema de Compensação"/>
    <s v="Verde"/>
    <s v="A4"/>
    <s v="Comercial"/>
    <s v="Não se aplica"/>
    <s v="Não se aplica"/>
    <s v="Não se aplica"/>
    <s v="Não se aplica"/>
    <s v="CATIVO"/>
    <x v="1"/>
    <n v="882"/>
    <n v="882"/>
    <n v="0"/>
    <n v="0"/>
    <n v="0"/>
    <n v="0"/>
    <n v="43.29"/>
    <m/>
    <m/>
    <n v="38181.78"/>
    <m/>
    <n v="38181.78"/>
    <n v="29538.18"/>
    <n v="0"/>
    <n v="0"/>
    <n v="0"/>
    <n v="0"/>
    <n v="0"/>
    <n v="20871.636673742316"/>
    <n v="17312.9430260557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2.53"/>
    <n v="883.76"/>
    <n v="13459.84"/>
    <n v="6"/>
    <m/>
    <m/>
    <m/>
    <m/>
    <m/>
    <m/>
    <m/>
    <m/>
    <m/>
    <n v="0"/>
    <m/>
    <m/>
    <m/>
    <m/>
    <m/>
    <m/>
    <m/>
    <m/>
    <m/>
    <m/>
    <m/>
    <m/>
    <n v="29538.18"/>
    <n v="-8643.6300000000047"/>
    <m/>
    <m/>
    <m/>
    <m/>
    <n v="-8643.5999999999967"/>
    <n v="0"/>
    <n v="31"/>
    <n v="197.26824807933372"/>
    <n v="0"/>
    <n v="0"/>
    <n v="0"/>
    <n v="0"/>
    <m/>
    <m/>
    <m/>
    <n v="942.8132130435406"/>
    <n v="0"/>
    <n v="0"/>
    <m/>
    <m/>
    <n v="0"/>
    <n v="0"/>
    <n v="0"/>
    <n v="0"/>
    <n v="0"/>
    <m/>
    <n v="0"/>
    <n v="0"/>
    <m/>
    <n v="0"/>
    <n v="0"/>
    <n v="0"/>
    <n v="0"/>
    <n v="-745.54496496420768"/>
    <m/>
    <m/>
    <n v="17312.943026055749"/>
    <m/>
    <n v="0"/>
    <n v="0"/>
    <n v="-8643.5999999999985"/>
    <m/>
    <n v="0"/>
    <m/>
    <n v="-8843.491509155108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1"/>
    <s v="Regular"/>
    <s v="Convencional"/>
    <s v="B2"/>
    <s v="Rural"/>
    <s v="Não se aplica"/>
    <s v="Não se aplica"/>
    <s v="Não se aplica"/>
    <s v="Não se aplica"/>
    <s v="CATIVO"/>
    <x v="1"/>
    <n v="0"/>
    <n v="0"/>
    <n v="3890.674"/>
    <n v="3890.674"/>
    <n v="3890.674"/>
    <n v="3890.674"/>
    <m/>
    <n v="648.44000000000005"/>
    <n v="159.41"/>
    <m/>
    <n v="3143080.9909000001"/>
    <n v="3143080.9909000001"/>
    <n v="2380392.1666799998"/>
    <n v="0"/>
    <n v="241106.0428996507"/>
    <n v="0"/>
    <n v="0"/>
    <n v="0"/>
    <n v="453825.43630762008"/>
    <n v="1624535.33015952"/>
    <n v="600061.43951705855"/>
    <n v="20160.489253889151"/>
    <n v="0"/>
    <n v="0"/>
    <n v="0"/>
    <n v="0"/>
    <n v="37257.309575693289"/>
    <m/>
    <n v="8073.5206559225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862.575090298953"/>
    <n v="0"/>
    <n v="6959.08"/>
    <n v="46868.97"/>
    <n v="224314.25"/>
    <n v="14022"/>
    <m/>
    <m/>
    <m/>
    <m/>
    <m/>
    <n v="285653.28508000006"/>
    <m/>
    <m/>
    <m/>
    <n v="643924.01460735756"/>
    <m/>
    <m/>
    <m/>
    <m/>
    <m/>
    <m/>
    <m/>
    <m/>
    <m/>
    <m/>
    <m/>
    <m/>
    <n v="2094736.7279999999"/>
    <n v="-671182.35533999954"/>
    <m/>
    <m/>
    <m/>
    <m/>
    <n v="-869565.6390000002"/>
    <n v="106876.81478"/>
    <n v="31"/>
    <n v="67129.759289053734"/>
    <n v="0"/>
    <n v="0"/>
    <n v="0"/>
    <n v="0"/>
    <n v="0"/>
    <n v="0"/>
    <n v="0"/>
    <n v="20500.194807644177"/>
    <n v="0"/>
    <n v="0"/>
    <n v="118975.97889055277"/>
    <n v="0"/>
    <n v="0"/>
    <n v="0"/>
    <n v="8696.7641384001399"/>
    <n v="0"/>
    <n v="-16887.542885821807"/>
    <m/>
    <n v="0"/>
    <n v="0"/>
    <n v="0"/>
    <n v="0"/>
    <n v="-2273.1197573699028"/>
    <n v="-514.42524507790222"/>
    <n v="0"/>
    <n v="-61368.090659273803"/>
    <m/>
    <m/>
    <m/>
    <n v="1624535.33015952"/>
    <n v="0"/>
    <n v="0"/>
    <n v="-869565.6390000002"/>
    <n v="106876.81478000002"/>
    <n v="0"/>
    <n v="0"/>
    <n v="-829816.41982918198"/>
    <n v="0"/>
    <n v="0"/>
    <n v="0"/>
    <n v="0"/>
    <n v="0"/>
    <n v="0"/>
    <n v="0"/>
    <n v="0"/>
    <n v="0"/>
    <n v="0"/>
    <n v="0"/>
    <n v="0"/>
    <n v="114207.6216438740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92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93700000000000006"/>
    <n v="-0.93700000000000006"/>
    <n v="-0.93700000000000006"/>
    <n v="-0.93700000000000006"/>
    <m/>
    <n v="648.44000000000005"/>
    <n v="159.41"/>
    <m/>
    <n v="-756.95545000000004"/>
    <n v="-756.95545000000004"/>
    <n v="-573.27534000000003"/>
    <n v="0"/>
    <n v="-58.066124840316284"/>
    <n v="0"/>
    <n v="0"/>
    <n v="0"/>
    <n v="-109.2958273605653"/>
    <n v="-391.24059336749121"/>
    <n v="-144.51418156018312"/>
    <n v="-4.8552971621097356"/>
    <n v="0"/>
    <n v="0"/>
    <n v="0"/>
    <n v="0"/>
    <n v="-8.9727638636453761"/>
    <m/>
    <n v="-1.94436461512822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.563525204016097"/>
    <n v="0"/>
    <n v="-1.95"/>
    <n v="-9.01"/>
    <n v="-112.99"/>
    <n v="0"/>
    <m/>
    <m/>
    <m/>
    <m/>
    <m/>
    <n v="-68.794540000000012"/>
    <m/>
    <m/>
    <m/>
    <n v="-155.07770676419921"/>
    <m/>
    <m/>
    <m/>
    <m/>
    <m/>
    <m/>
    <m/>
    <m/>
    <m/>
    <m/>
    <m/>
    <m/>
    <n v="-506.09599999999995"/>
    <n v="159.99667000000017"/>
    <m/>
    <m/>
    <m/>
    <m/>
    <n v="209.41950000000006"/>
    <n v="-25.73939"/>
    <n v="31"/>
    <n v="-16.167014880671957"/>
    <n v="0"/>
    <n v="0"/>
    <n v="0"/>
    <n v="0"/>
    <n v="0"/>
    <n v="0"/>
    <n v="0"/>
    <n v="-4.9371092347399497"/>
    <n v="0"/>
    <n v="0"/>
    <n v="-28.653259620427718"/>
    <n v="0"/>
    <n v="0"/>
    <n v="0"/>
    <n v="-2.0944617816041458"/>
    <n v="0"/>
    <n v="4.0670659335670436"/>
    <m/>
    <n v="0"/>
    <n v="0"/>
    <n v="0"/>
    <n v="0"/>
    <n v="0.54744067805619245"/>
    <n v="0.12389021918515764"/>
    <n v="0"/>
    <n v="14.779418925291495"/>
    <m/>
    <m/>
    <m/>
    <n v="-391.24059336749121"/>
    <n v="0"/>
    <n v="0"/>
    <n v="209.41950000000003"/>
    <n v="-25.739389999999986"/>
    <n v="0"/>
    <n v="0"/>
    <n v="199.84660379665416"/>
    <n v="0"/>
    <n v="0"/>
    <n v="0"/>
    <n v="0"/>
    <n v="0"/>
    <n v="0"/>
    <n v="0"/>
    <n v="0"/>
    <n v="0"/>
    <n v="0"/>
    <n v="0"/>
    <n v="0"/>
    <n v="-27.50488513823312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93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88.128"/>
    <n v="88.128"/>
    <n v="88.128"/>
    <n v="88.128"/>
    <m/>
    <n v="648.44000000000005"/>
    <n v="159.41"/>
    <m/>
    <n v="71194.204800000007"/>
    <n v="71194.204800000007"/>
    <n v="53918.472959999999"/>
    <n v="0"/>
    <n v="5461.3142475212308"/>
    <n v="0"/>
    <n v="0"/>
    <n v="0"/>
    <n v="10279.639993203733"/>
    <n v="36797.493076083527"/>
    <n v="13592.04460249287"/>
    <n v="456.65702060022068"/>
    <n v="0"/>
    <n v="0"/>
    <n v="0"/>
    <n v="0"/>
    <n v="843.9186059502025"/>
    <m/>
    <n v="182.87402860407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3.53505782233788"/>
    <n v="0"/>
    <n v="153.33000000000001"/>
    <n v="1030.27"/>
    <n v="3784.77"/>
    <n v="238"/>
    <m/>
    <m/>
    <m/>
    <m/>
    <m/>
    <n v="6470.3577600000008"/>
    <m/>
    <m/>
    <m/>
    <n v="14585.579660315208"/>
    <m/>
    <m/>
    <m/>
    <m/>
    <m/>
    <m/>
    <m/>
    <m/>
    <m/>
    <m/>
    <m/>
    <m/>
    <n v="47449.191999999995"/>
    <n v="-15201.914480000014"/>
    <m/>
    <m/>
    <m/>
    <m/>
    <n v="-19696.608000000004"/>
    <n v="2420.8761599999998"/>
    <n v="31"/>
    <n v="1520.5620996839352"/>
    <n v="0"/>
    <n v="0"/>
    <n v="0"/>
    <n v="0"/>
    <n v="0"/>
    <n v="0"/>
    <n v="0"/>
    <n v="464.35172106634127"/>
    <n v="0"/>
    <n v="0"/>
    <n v="2694.9353936275893"/>
    <n v="0"/>
    <n v="0"/>
    <n v="0"/>
    <n v="196.99117170673435"/>
    <n v="0"/>
    <n v="-382.52122368558867"/>
    <m/>
    <n v="0"/>
    <n v="0"/>
    <n v="0"/>
    <n v="0"/>
    <n v="-51.488636153400307"/>
    <n v="-11.652291607630303"/>
    <n v="0"/>
    <n v="-1390.0540352701055"/>
    <m/>
    <m/>
    <m/>
    <n v="36797.493076083527"/>
    <n v="0"/>
    <n v="0"/>
    <n v="-19696.608000000007"/>
    <n v="2420.8761599999998"/>
    <n v="0"/>
    <n v="0"/>
    <n v="-18796.244929980297"/>
    <n v="0"/>
    <n v="0"/>
    <n v="0"/>
    <n v="0"/>
    <n v="0"/>
    <n v="0"/>
    <n v="0"/>
    <n v="0"/>
    <n v="0"/>
    <n v="0"/>
    <n v="0"/>
    <n v="0"/>
    <n v="2586.92691297994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94"/>
    <s v="Regular"/>
    <s v="Verde"/>
    <s v="A4"/>
    <s v="Rural"/>
    <s v="Não se aplica"/>
    <s v="Não se aplica"/>
    <s v="Não se aplica"/>
    <s v="Ponta"/>
    <s v="CATIVO"/>
    <x v="1"/>
    <n v="0"/>
    <n v="0"/>
    <n v="28.484000000000002"/>
    <n v="27.344639999999998"/>
    <n v="28.484000000000002"/>
    <n v="27.344639999999998"/>
    <m/>
    <n v="2810.7"/>
    <n v="159.41"/>
    <m/>
    <n v="84600.613239999991"/>
    <n v="84600.613239999991"/>
    <n v="53882.897960000002"/>
    <n v="0"/>
    <n v="1535.6897384822457"/>
    <n v="0"/>
    <n v="0"/>
    <n v="0"/>
    <n v="17389.926162026281"/>
    <n v="59955.65554412605"/>
    <n v="4393.1077348561967"/>
    <n v="147.59688833034548"/>
    <n v="0"/>
    <n v="0"/>
    <n v="0"/>
    <n v="0"/>
    <n v="272.76436061053886"/>
    <m/>
    <n v="30.584221704469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.82838124004215"/>
    <n v="0"/>
    <n v="0"/>
    <n v="0"/>
    <n v="0"/>
    <n v="0"/>
    <m/>
    <m/>
    <m/>
    <m/>
    <m/>
    <n v="2155.3159184000065"/>
    <m/>
    <m/>
    <m/>
    <n v="4540.9361160962389"/>
    <m/>
    <m/>
    <m/>
    <m/>
    <m/>
    <m/>
    <m/>
    <m/>
    <m/>
    <m/>
    <m/>
    <m/>
    <n v="51718.804600000003"/>
    <n v="-29497.814110399966"/>
    <m/>
    <m/>
    <m/>
    <m/>
    <n v="-31500.170759999997"/>
    <n v="782.45547999999997"/>
    <n v="31"/>
    <n v="-92.077292803907767"/>
    <n v="0"/>
    <n v="0"/>
    <n v="0"/>
    <n v="0"/>
    <n v="0"/>
    <n v="0"/>
    <n v="0"/>
    <n v="785.53744565881061"/>
    <n v="0"/>
    <n v="0"/>
    <n v="871.0346286320837"/>
    <n v="0"/>
    <n v="0"/>
    <n v="0"/>
    <n v="29.310375917497822"/>
    <n v="0"/>
    <n v="-107.56273881003244"/>
    <m/>
    <n v="0"/>
    <n v="0"/>
    <n v="0"/>
    <n v="0"/>
    <n v="-16.641729214250347"/>
    <n v="-1.9487527704900351"/>
    <n v="0"/>
    <n v="-1651.806522217523"/>
    <m/>
    <m/>
    <m/>
    <n v="59955.65554412605"/>
    <n v="0"/>
    <n v="0"/>
    <n v="-31500.170759999994"/>
    <n v="782.45548000000053"/>
    <n v="0"/>
    <n v="0"/>
    <n v="-30625.488106345263"/>
    <n v="0"/>
    <n v="0"/>
    <n v="0"/>
    <n v="0"/>
    <n v="0"/>
    <n v="0"/>
    <n v="0"/>
    <n v="0"/>
    <n v="0"/>
    <n v="0"/>
    <n v="0"/>
    <n v="0"/>
    <n v="727.4287716129837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96"/>
    <s v="Regular"/>
    <s v="Verde"/>
    <s v="A4"/>
    <s v="Rural"/>
    <s v="Não se aplica"/>
    <s v="Não se aplica"/>
    <s v="Não se aplica"/>
    <s v="Fora ponta"/>
    <s v="CATIVO"/>
    <x v="1"/>
    <n v="0"/>
    <n v="0"/>
    <n v="598.20299999999997"/>
    <n v="574.27488000000005"/>
    <n v="598.20299999999997"/>
    <n v="574.27488000000005"/>
    <m/>
    <n v="95.29"/>
    <n v="159.41"/>
    <m/>
    <n v="152362.30410000001"/>
    <n v="152362.30410000001"/>
    <n v="165648.39272999999"/>
    <n v="0"/>
    <n v="32251.587158731032"/>
    <n v="0"/>
    <n v="0"/>
    <n v="0"/>
    <n v="0"/>
    <n v="0"/>
    <n v="92261.277429931928"/>
    <n v="3099.7367430795412"/>
    <n v="0"/>
    <n v="0"/>
    <n v="0"/>
    <n v="0"/>
    <n v="5728.4250389799945"/>
    <m/>
    <n v="642.31053139582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04.5984111408834"/>
    <n v="0"/>
    <n v="0"/>
    <n v="0"/>
    <n v="0"/>
    <n v="0"/>
    <m/>
    <m/>
    <m/>
    <m/>
    <m/>
    <n v="6625.9357091999791"/>
    <m/>
    <m/>
    <m/>
    <n v="95365.875841072819"/>
    <m/>
    <m/>
    <m/>
    <m/>
    <m/>
    <m/>
    <m/>
    <m/>
    <m/>
    <m/>
    <m/>
    <m/>
    <n v="159021.10569999999"/>
    <n v="12753.263763999945"/>
    <m/>
    <m/>
    <m/>
    <m/>
    <n v="-3146.5477800000031"/>
    <n v="16432.636409999999"/>
    <n v="31"/>
    <n v="13284.197835690371"/>
    <n v="0"/>
    <n v="0"/>
    <n v="0"/>
    <n v="0"/>
    <n v="0"/>
    <n v="0"/>
    <n v="0"/>
    <n v="0"/>
    <n v="0"/>
    <n v="0"/>
    <n v="18292.919812933527"/>
    <n v="0"/>
    <n v="0"/>
    <n v="0"/>
    <n v="615.5580257328661"/>
    <n v="0"/>
    <n v="-2258.964788806974"/>
    <m/>
    <n v="0"/>
    <n v="0"/>
    <n v="0"/>
    <n v="0"/>
    <n v="-349.49909918382946"/>
    <n v="-40.92647639255199"/>
    <n v="0"/>
    <n v="-2974.8896385926628"/>
    <m/>
    <m/>
    <m/>
    <n v="0"/>
    <n v="0"/>
    <n v="0"/>
    <n v="-3146.5477800000008"/>
    <n v="16432.636409999992"/>
    <n v="0"/>
    <n v="0"/>
    <n v="0"/>
    <n v="0"/>
    <n v="0"/>
    <n v="0"/>
    <n v="0"/>
    <n v="0"/>
    <n v="0"/>
    <n v="0"/>
    <n v="0"/>
    <n v="0"/>
    <n v="0"/>
    <n v="0"/>
    <n v="0"/>
    <n v="15277.00019186917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97"/>
    <s v="Sistema de Compensação"/>
    <s v="Verde"/>
    <s v="A4"/>
    <s v="Rural"/>
    <s v="Não se aplica"/>
    <s v="Não se aplica"/>
    <s v="Não se aplica"/>
    <s v="Fora ponta"/>
    <s v="CATIVO"/>
    <x v="1"/>
    <n v="0"/>
    <n v="0"/>
    <n v="14.769"/>
    <n v="14.178240000000001"/>
    <n v="14.769"/>
    <n v="14.178240000000001"/>
    <m/>
    <n v="95.29"/>
    <n v="159.41"/>
    <m/>
    <n v="3761.6643000000004"/>
    <n v="3761.6643000000004"/>
    <n v="4089.68379"/>
    <n v="0"/>
    <n v="796.25760945247453"/>
    <n v="0"/>
    <n v="0"/>
    <n v="0"/>
    <n v="0"/>
    <n v="0"/>
    <n v="2277.8334551359067"/>
    <n v="76.529224959657085"/>
    <n v="0"/>
    <n v="0"/>
    <n v="0"/>
    <n v="0"/>
    <n v="141.42876147511052"/>
    <m/>
    <n v="15.857968345503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.649254407182354"/>
    <n v="0"/>
    <n v="0"/>
    <n v="0"/>
    <n v="0"/>
    <n v="0"/>
    <m/>
    <m/>
    <m/>
    <m/>
    <m/>
    <n v="163.58735159999986"/>
    <m/>
    <m/>
    <m/>
    <n v="2354.4827095430892"/>
    <m/>
    <m/>
    <m/>
    <m/>
    <m/>
    <m/>
    <m/>
    <m/>
    <m/>
    <m/>
    <m/>
    <m/>
    <n v="3926.5837999999999"/>
    <n v="315.35607199999913"/>
    <m/>
    <m/>
    <m/>
    <m/>
    <n v="-77.684940000000083"/>
    <n v="405.70443"/>
    <n v="31"/>
    <n v="327.9728082863362"/>
    <n v="0"/>
    <n v="0"/>
    <n v="0"/>
    <n v="0"/>
    <n v="0"/>
    <n v="0"/>
    <n v="0"/>
    <n v="0"/>
    <n v="0"/>
    <n v="0"/>
    <n v="451.63286161589849"/>
    <n v="0"/>
    <n v="0"/>
    <n v="0"/>
    <n v="15.197477247771573"/>
    <n v="0"/>
    <n v="-55.771453780556385"/>
    <m/>
    <n v="0"/>
    <n v="0"/>
    <n v="0"/>
    <n v="0"/>
    <n v="-8.6287634730116167"/>
    <n v="-1.0104314586212375"/>
    <n v="0"/>
    <n v="-73.446881865144505"/>
    <m/>
    <m/>
    <m/>
    <n v="0"/>
    <n v="0"/>
    <n v="0"/>
    <n v="-77.684940000000097"/>
    <n v="405.70442999999977"/>
    <n v="0"/>
    <n v="0"/>
    <n v="0"/>
    <n v="0"/>
    <n v="0"/>
    <n v="0"/>
    <n v="0"/>
    <n v="0"/>
    <n v="0"/>
    <n v="0"/>
    <n v="0"/>
    <n v="0"/>
    <n v="0"/>
    <n v="0"/>
    <n v="0"/>
    <n v="377.1729928364048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98"/>
    <s v="Regular"/>
    <s v="Verde"/>
    <s v="A4"/>
    <s v="Rural"/>
    <s v="Não se aplica"/>
    <s v="Não se aplica"/>
    <s v="Não se aplica"/>
    <s v="Não se aplica"/>
    <s v="CATIVO"/>
    <x v="1"/>
    <n v="3721"/>
    <n v="3572.16"/>
    <n v="0"/>
    <n v="0"/>
    <n v="0"/>
    <n v="0"/>
    <n v="43.29"/>
    <m/>
    <m/>
    <n v="161082.09"/>
    <m/>
    <n v="161082.09"/>
    <n v="124616.29000000001"/>
    <n v="0"/>
    <n v="0"/>
    <n v="0"/>
    <n v="0"/>
    <n v="0"/>
    <n v="88053.696216547803"/>
    <n v="73040.2052153667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90.76"/>
    <n v="7272.46"/>
    <n v="140.24"/>
    <n v="22"/>
    <m/>
    <m/>
    <m/>
    <m/>
    <m/>
    <n v="4984.6516000000056"/>
    <m/>
    <m/>
    <m/>
    <n v="0"/>
    <m/>
    <m/>
    <m/>
    <m/>
    <m/>
    <m/>
    <m/>
    <m/>
    <m/>
    <m/>
    <m/>
    <m/>
    <n v="119631.6384"/>
    <n v="-35007.198000000033"/>
    <m/>
    <m/>
    <m/>
    <m/>
    <n v="-36465.799999999988"/>
    <n v="0"/>
    <n v="31"/>
    <n v="832.23940034375119"/>
    <n v="0"/>
    <n v="0"/>
    <n v="0"/>
    <n v="0"/>
    <m/>
    <m/>
    <m/>
    <n v="3977.560051853754"/>
    <n v="0"/>
    <n v="0"/>
    <m/>
    <m/>
    <n v="0"/>
    <n v="0"/>
    <n v="0"/>
    <n v="0"/>
    <n v="0"/>
    <m/>
    <n v="0"/>
    <n v="0"/>
    <m/>
    <n v="0"/>
    <n v="0"/>
    <n v="0"/>
    <n v="0"/>
    <n v="-3145.3206515099964"/>
    <m/>
    <m/>
    <n v="73040.205215366717"/>
    <m/>
    <n v="0"/>
    <n v="0"/>
    <n v="-36465.799999999988"/>
    <m/>
    <n v="0"/>
    <m/>
    <n v="-37309.10646889587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9"/>
    <s v="Sistema de Compensação"/>
    <s v="Verde"/>
    <s v="A4"/>
    <s v="Rural"/>
    <s v="Não se aplica"/>
    <s v="Não se aplica"/>
    <s v="Não se aplica"/>
    <s v="Não se aplica"/>
    <s v="CATIVO"/>
    <x v="1"/>
    <n v="169"/>
    <n v="162.24"/>
    <n v="0"/>
    <n v="0"/>
    <n v="0"/>
    <n v="0"/>
    <n v="43.29"/>
    <m/>
    <m/>
    <n v="7316.01"/>
    <m/>
    <n v="7316.01"/>
    <n v="5659.81"/>
    <n v="0"/>
    <n v="0"/>
    <n v="0"/>
    <n v="0"/>
    <n v="0"/>
    <n v="3999.2138297760221"/>
    <n v="3317.33262063880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.94"/>
    <n v="206.36"/>
    <n v="10.82"/>
    <n v="2"/>
    <m/>
    <m/>
    <m/>
    <m/>
    <m/>
    <n v="226.3923999999997"/>
    <m/>
    <m/>
    <m/>
    <n v="0"/>
    <m/>
    <m/>
    <m/>
    <m/>
    <m/>
    <m/>
    <m/>
    <m/>
    <m/>
    <m/>
    <m/>
    <m/>
    <n v="5433.4176000000007"/>
    <n v="-1589.982"/>
    <m/>
    <m/>
    <m/>
    <m/>
    <n v="-1656.1999999999996"/>
    <n v="0"/>
    <n v="31"/>
    <n v="37.798564541278211"/>
    <n v="0"/>
    <n v="0"/>
    <n v="0"/>
    <n v="0"/>
    <m/>
    <m/>
    <m/>
    <n v="180.65241837228859"/>
    <n v="0"/>
    <n v="0"/>
    <m/>
    <m/>
    <n v="0"/>
    <n v="0"/>
    <n v="0"/>
    <n v="0"/>
    <n v="0"/>
    <m/>
    <n v="0"/>
    <n v="0"/>
    <m/>
    <n v="0"/>
    <n v="0"/>
    <n v="0"/>
    <n v="0"/>
    <n v="-142.85385383101033"/>
    <m/>
    <m/>
    <n v="3317.3326206388001"/>
    <m/>
    <n v="0"/>
    <n v="0"/>
    <n v="-1656.1999999999998"/>
    <m/>
    <n v="0"/>
    <m/>
    <n v="-1694.50120753652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00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248.83699999999999"/>
    <n v="248.83699999999999"/>
    <n v="248.83699999999999"/>
    <n v="248.83699999999999"/>
    <m/>
    <n v="648.44000000000005"/>
    <n v="159.41"/>
    <m/>
    <n v="201022.97045000002"/>
    <n v="201022.97045000002"/>
    <n v="152243.45334000001"/>
    <n v="0"/>
    <n v="15420.491256018977"/>
    <n v="0"/>
    <n v="0"/>
    <n v="0"/>
    <n v="29025.449085294542"/>
    <n v="103900.89170948388"/>
    <n v="38378.308854739902"/>
    <n v="1289.4104374897547"/>
    <n v="0"/>
    <n v="0"/>
    <n v="0"/>
    <n v="0"/>
    <n v="2382.8768853126194"/>
    <m/>
    <n v="516.36057388971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05.3318262452008"/>
    <n v="0"/>
    <n v="662.25"/>
    <n v="4426.24"/>
    <n v="70995.19"/>
    <n v="358"/>
    <m/>
    <m/>
    <m/>
    <m/>
    <m/>
    <m/>
    <m/>
    <m/>
    <m/>
    <n v="41183.640680985103"/>
    <m/>
    <m/>
    <m/>
    <m/>
    <m/>
    <m/>
    <m/>
    <m/>
    <m/>
    <m/>
    <m/>
    <m/>
    <n v="152245.28880000001"/>
    <n v="-48777.711650000041"/>
    <m/>
    <m/>
    <m/>
    <m/>
    <n v="-55615.069500000012"/>
    <n v="6835.5523899999998"/>
    <n v="31"/>
    <n v="4293.438080962369"/>
    <n v="0"/>
    <n v="0"/>
    <n v="0"/>
    <n v="0"/>
    <n v="0"/>
    <n v="0"/>
    <n v="0"/>
    <n v="1311.1370871344516"/>
    <n v="0"/>
    <n v="0"/>
    <n v="7609.3822456439302"/>
    <n v="0"/>
    <n v="0"/>
    <n v="0"/>
    <n v="556.22154359555088"/>
    <n v="0"/>
    <n v="-1080.0816282935139"/>
    <m/>
    <n v="0"/>
    <n v="0"/>
    <n v="0"/>
    <n v="0"/>
    <n v="-145.3825997923891"/>
    <n v="-32.901249169025675"/>
    <n v="0"/>
    <n v="-3924.937318156627"/>
    <m/>
    <m/>
    <m/>
    <n v="103900.89170948388"/>
    <n v="0"/>
    <n v="0"/>
    <n v="-55615.069500000012"/>
    <n v="6835.5523899999971"/>
    <n v="0"/>
    <n v="0"/>
    <n v="-53072.816807842079"/>
    <n v="0"/>
    <n v="0"/>
    <n v="0"/>
    <n v="0"/>
    <n v="0"/>
    <n v="0"/>
    <n v="0"/>
    <n v="0"/>
    <n v="0"/>
    <n v="0"/>
    <n v="0"/>
    <n v="0"/>
    <n v="7304.410995883154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01"/>
    <s v="Regular"/>
    <s v="Azul"/>
    <s v="A4"/>
    <s v="Poder público"/>
    <s v="Não se aplica"/>
    <s v="Não se aplica"/>
    <s v="Não se aplica"/>
    <s v="Ponta"/>
    <s v="CATIVO"/>
    <x v="1"/>
    <n v="200"/>
    <n v="200"/>
    <n v="2.9009999999999998"/>
    <n v="2.9009999999999998"/>
    <n v="2.9009999999999998"/>
    <n v="2.9009999999999998"/>
    <n v="112.91"/>
    <n v="95.29"/>
    <n v="159.41"/>
    <n v="22582"/>
    <n v="738.88469999999995"/>
    <n v="23320.884700000002"/>
    <n v="14231.315910000001"/>
    <n v="0"/>
    <n v="156.4048564575549"/>
    <n v="0"/>
    <n v="0"/>
    <n v="0"/>
    <n v="5077.0827132346003"/>
    <n v="17504.269107723037"/>
    <n v="447.42330918472913"/>
    <n v="15.03224873775917"/>
    <n v="0"/>
    <n v="0"/>
    <n v="0"/>
    <n v="0"/>
    <n v="27.780136572502919"/>
    <m/>
    <n v="3.11490054643539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055825515284447"/>
    <n v="0"/>
    <n v="0"/>
    <n v="0"/>
    <n v="0"/>
    <n v="0"/>
    <m/>
    <m/>
    <m/>
    <m/>
    <m/>
    <m/>
    <m/>
    <m/>
    <m/>
    <n v="462.47913470001356"/>
    <m/>
    <m/>
    <m/>
    <m/>
    <m/>
    <m/>
    <m/>
    <m/>
    <m/>
    <m/>
    <m/>
    <m/>
    <n v="14231.038999999999"/>
    <n v="-9089.8756999999987"/>
    <m/>
    <m/>
    <m/>
    <m/>
    <n v="-9169.2592600000007"/>
    <n v="79.690469999999991"/>
    <n v="31"/>
    <n v="-147.13166574333081"/>
    <n v="0"/>
    <n v="0"/>
    <n v="0"/>
    <n v="0"/>
    <n v="0"/>
    <n v="0"/>
    <n v="0"/>
    <n v="229.34189304735992"/>
    <n v="0"/>
    <n v="0"/>
    <n v="88.711959614579257"/>
    <n v="0"/>
    <n v="0"/>
    <n v="0"/>
    <n v="2.9851636194586852"/>
    <n v="0"/>
    <n v="-10.95490469343855"/>
    <m/>
    <n v="0"/>
    <n v="0"/>
    <n v="0"/>
    <n v="0"/>
    <n v="-1.694904383181445"/>
    <n v="-0.19847394281672504"/>
    <n v="0"/>
    <n v="-455.32239900529197"/>
    <m/>
    <m/>
    <n v="17504.269107723037"/>
    <n v="0"/>
    <n v="0"/>
    <n v="0"/>
    <n v="-9169.2592600000007"/>
    <n v="79.690470000000005"/>
    <n v="0"/>
    <n v="0"/>
    <n v="-8941.2213160491574"/>
    <n v="0"/>
    <n v="0"/>
    <n v="0"/>
    <n v="0"/>
    <n v="0"/>
    <n v="0"/>
    <n v="0"/>
    <n v="0"/>
    <n v="0"/>
    <n v="0"/>
    <n v="0"/>
    <n v="0"/>
    <n v="74.08618404891397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02"/>
    <s v="Regular"/>
    <s v="Azul"/>
    <s v="A4"/>
    <s v="Poder público"/>
    <s v="Não se aplica"/>
    <s v="Não se aplica"/>
    <s v="Não se aplica"/>
    <s v="Fora ponta"/>
    <s v="CATIVO"/>
    <x v="1"/>
    <n v="230"/>
    <n v="230"/>
    <n v="22.454999999999998"/>
    <n v="22.454999999999998"/>
    <n v="22.454999999999998"/>
    <n v="22.454999999999998"/>
    <n v="43.29"/>
    <n v="95.29"/>
    <n v="159.41"/>
    <n v="9956.6999999999989"/>
    <n v="5719.2884999999997"/>
    <n v="15675.988499999999"/>
    <n v="13920.714049999999"/>
    <n v="0"/>
    <n v="1210.6415207702157"/>
    <n v="0"/>
    <n v="0"/>
    <n v="0"/>
    <n v="5442.71704644074"/>
    <n v="4514.7130340054682"/>
    <n v="3463.2507437928621"/>
    <n v="116.356134231776"/>
    <n v="0"/>
    <n v="0"/>
    <n v="0"/>
    <n v="0"/>
    <n v="215.03032290091454"/>
    <m/>
    <n v="24.1106831334735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.53862872999389"/>
    <n v="0"/>
    <n v="0"/>
    <n v="0"/>
    <n v="0"/>
    <n v="0"/>
    <m/>
    <m/>
    <m/>
    <m/>
    <m/>
    <m/>
    <m/>
    <m/>
    <m/>
    <n v="3579.789372522856"/>
    <m/>
    <m/>
    <m/>
    <m/>
    <m/>
    <m/>
    <m/>
    <m/>
    <m/>
    <m/>
    <m/>
    <m/>
    <n v="13922.098600000001"/>
    <n v="-1753.919899999999"/>
    <m/>
    <m/>
    <m/>
    <m/>
    <n v="-2372.1132999999995"/>
    <n v="616.83884999999998"/>
    <n v="31"/>
    <n v="550.09640785056399"/>
    <n v="0"/>
    <n v="0"/>
    <n v="0"/>
    <n v="0"/>
    <n v="0"/>
    <n v="0"/>
    <n v="0"/>
    <n v="245.85832086169376"/>
    <n v="0"/>
    <n v="0"/>
    <n v="686.66909794738922"/>
    <n v="0"/>
    <n v="0"/>
    <n v="0"/>
    <n v="23.1064629696466"/>
    <n v="0"/>
    <n v="-84.79572040371022"/>
    <m/>
    <n v="0"/>
    <n v="0"/>
    <n v="0"/>
    <n v="0"/>
    <n v="-13.11929607871059"/>
    <n v="-1.5362745211822002"/>
    <n v="0"/>
    <n v="-306.08618292456151"/>
    <m/>
    <m/>
    <n v="4514.7130340054682"/>
    <n v="0"/>
    <n v="0"/>
    <n v="0"/>
    <n v="-2372.1132999999991"/>
    <n v="616.83884999999964"/>
    <n v="0"/>
    <n v="0"/>
    <n v="-2306.1259037479317"/>
    <n v="0"/>
    <n v="0"/>
    <n v="0"/>
    <n v="0"/>
    <n v="0"/>
    <n v="0"/>
    <n v="0"/>
    <n v="0"/>
    <n v="0"/>
    <n v="0"/>
    <n v="0"/>
    <n v="0"/>
    <n v="573.459242612327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03"/>
    <s v="Regular"/>
    <s v="Azul"/>
    <s v="A4"/>
    <s v="Poder público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3.2"/>
    <n v="688.05"/>
    <n v="6874.7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04"/>
    <s v="Regular"/>
    <s v="Verde"/>
    <s v="A4"/>
    <s v="Poder público"/>
    <s v="Não se aplica"/>
    <s v="Não se aplica"/>
    <s v="Não se aplica"/>
    <s v="Ponta"/>
    <s v="CATIVO"/>
    <x v="1"/>
    <n v="0"/>
    <n v="0"/>
    <n v="0.46100000000000002"/>
    <n v="0.46100000000000002"/>
    <n v="0.46100000000000002"/>
    <n v="0.46100000000000002"/>
    <m/>
    <n v="2810.7"/>
    <n v="159.41"/>
    <m/>
    <n v="1369.2207100000001"/>
    <n v="1369.2207100000001"/>
    <n v="872.06908999999996"/>
    <n v="0"/>
    <n v="24.854408420176775"/>
    <n v="0"/>
    <n v="0"/>
    <n v="0"/>
    <n v="281.44768855126085"/>
    <n v="970.35378478591872"/>
    <n v="71.100360404743242"/>
    <n v="2.3887854767690375"/>
    <n v="0"/>
    <n v="0"/>
    <n v="0"/>
    <n v="0"/>
    <n v="4.4145615166921228"/>
    <m/>
    <n v="0.49499108993682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925320794712621"/>
    <n v="0"/>
    <n v="0"/>
    <n v="0"/>
    <n v="0"/>
    <n v="0"/>
    <m/>
    <m/>
    <m/>
    <m/>
    <m/>
    <m/>
    <m/>
    <m/>
    <m/>
    <n v="73.492892484214508"/>
    <m/>
    <m/>
    <m/>
    <m/>
    <m/>
    <m/>
    <m/>
    <m/>
    <m/>
    <m/>
    <m/>
    <m/>
    <n v="870.17739999999992"/>
    <n v="-499.07331000000011"/>
    <m/>
    <m/>
    <m/>
    <m/>
    <n v="-509.81528999999995"/>
    <n v="12.66367"/>
    <n v="31"/>
    <n v="-1.4902272146678683"/>
    <n v="0"/>
    <n v="0"/>
    <n v="0"/>
    <n v="0"/>
    <n v="0"/>
    <n v="0"/>
    <n v="0"/>
    <n v="12.713550149161392"/>
    <n v="0"/>
    <n v="0"/>
    <n v="14.097281414105851"/>
    <n v="0"/>
    <n v="0"/>
    <n v="0"/>
    <n v="0.47437450140312087"/>
    <n v="0"/>
    <n v="-1.7408517971993014"/>
    <m/>
    <n v="0"/>
    <n v="0"/>
    <n v="0"/>
    <n v="0"/>
    <n v="-0.2693384766103577"/>
    <n v="-3.1539637241816743E-2"/>
    <n v="0"/>
    <n v="-26.733703368286694"/>
    <m/>
    <m/>
    <m/>
    <n v="970.35378478591872"/>
    <n v="0"/>
    <n v="0"/>
    <n v="-509.81529"/>
    <n v="12.663669999999996"/>
    <n v="0"/>
    <n v="0"/>
    <n v="-495.65896703500795"/>
    <n v="0"/>
    <n v="0"/>
    <n v="0"/>
    <n v="0"/>
    <n v="0"/>
    <n v="0"/>
    <n v="0"/>
    <n v="0"/>
    <n v="0"/>
    <n v="0"/>
    <n v="0"/>
    <n v="0"/>
    <n v="11.77308888195427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05"/>
    <s v="Regular"/>
    <s v="Verde"/>
    <s v="A4"/>
    <s v="Poder público"/>
    <s v="Não se aplica"/>
    <s v="Não se aplica"/>
    <s v="Não se aplica"/>
    <s v="Fora ponta"/>
    <s v="CATIVO"/>
    <x v="1"/>
    <n v="0"/>
    <n v="0"/>
    <n v="4.5629999999999997"/>
    <n v="4.5629999999999997"/>
    <n v="4.5629999999999997"/>
    <n v="4.5629999999999997"/>
    <m/>
    <n v="95.29"/>
    <n v="159.41"/>
    <m/>
    <n v="1162.1960999999999"/>
    <n v="1162.1960999999999"/>
    <n v="1263.5403299999998"/>
    <n v="0"/>
    <n v="246.01012065350673"/>
    <n v="0"/>
    <n v="0"/>
    <n v="0"/>
    <n v="0"/>
    <n v="0"/>
    <n v="703.75476036191628"/>
    <n v="23.64431264749917"/>
    <n v="0"/>
    <n v="0"/>
    <n v="0"/>
    <n v="0"/>
    <n v="43.695540565436339"/>
    <m/>
    <n v="4.8994454303290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681396699842445"/>
    <n v="0"/>
    <n v="0"/>
    <n v="0"/>
    <n v="0"/>
    <n v="0"/>
    <m/>
    <m/>
    <m/>
    <m/>
    <m/>
    <m/>
    <m/>
    <m/>
    <m/>
    <n v="727.43615706175876"/>
    <m/>
    <m/>
    <m/>
    <m/>
    <m/>
    <m/>
    <m/>
    <m/>
    <m/>
    <m/>
    <m/>
    <m/>
    <n v="1262.7095999999999"/>
    <n v="100.48350000000005"/>
    <m/>
    <m/>
    <m/>
    <m/>
    <n v="-24.001380000000022"/>
    <n v="125.34560999999999"/>
    <n v="31"/>
    <n v="101.32980731332873"/>
    <n v="0"/>
    <n v="0"/>
    <n v="0"/>
    <n v="0"/>
    <n v="0"/>
    <n v="0"/>
    <n v="0"/>
    <n v="0"/>
    <n v="0"/>
    <n v="0"/>
    <n v="139.53556419211486"/>
    <n v="0"/>
    <n v="0"/>
    <n v="0"/>
    <n v="4.695381453150631"/>
    <n v="0"/>
    <n v="-17.231034166204807"/>
    <m/>
    <n v="0"/>
    <n v="0"/>
    <n v="0"/>
    <n v="0"/>
    <n v="-2.6659250949524065"/>
    <n v="-0.31218083456487999"/>
    <n v="0"/>
    <n v="-22.691998236214662"/>
    <m/>
    <m/>
    <m/>
    <n v="0"/>
    <n v="0"/>
    <n v="0"/>
    <n v="-24.00138000000004"/>
    <n v="125.34561000000008"/>
    <n v="0"/>
    <n v="0"/>
    <n v="0"/>
    <n v="0"/>
    <n v="0"/>
    <n v="0"/>
    <n v="0"/>
    <n v="0"/>
    <n v="0"/>
    <n v="0"/>
    <n v="0"/>
    <n v="0"/>
    <n v="0"/>
    <n v="0"/>
    <n v="0"/>
    <n v="116.5305955929660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06"/>
    <s v="Regular"/>
    <s v="Verde"/>
    <s v="A4"/>
    <s v="Poder público"/>
    <s v="Não se aplica"/>
    <s v="Não se aplica"/>
    <s v="Não se aplica"/>
    <s v="Não se aplica"/>
    <s v="CATIVO"/>
    <x v="1"/>
    <n v="45"/>
    <n v="45"/>
    <n v="0"/>
    <n v="0"/>
    <n v="0"/>
    <n v="0"/>
    <n v="43.29"/>
    <m/>
    <m/>
    <n v="1948.05"/>
    <m/>
    <n v="1948.05"/>
    <n v="1507.0500000000002"/>
    <n v="0"/>
    <n v="0"/>
    <n v="0"/>
    <n v="0"/>
    <n v="0"/>
    <n v="1064.8794221297101"/>
    <n v="883.313419696722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.35"/>
    <n v="75.72"/>
    <n v="0"/>
    <n v="1"/>
    <m/>
    <m/>
    <m/>
    <m/>
    <m/>
    <m/>
    <m/>
    <m/>
    <m/>
    <n v="0"/>
    <m/>
    <m/>
    <m/>
    <m/>
    <m/>
    <m/>
    <m/>
    <m/>
    <m/>
    <m/>
    <m/>
    <m/>
    <n v="1507.0500000000002"/>
    <n v="-441.02999999999975"/>
    <m/>
    <m/>
    <m/>
    <m/>
    <n v="-440.99999999999989"/>
    <n v="0"/>
    <n v="31"/>
    <n v="10.064706534659763"/>
    <n v="0"/>
    <n v="0"/>
    <n v="0"/>
    <n v="0"/>
    <m/>
    <m/>
    <m/>
    <n v="48.102714951201051"/>
    <n v="0"/>
    <n v="0"/>
    <m/>
    <m/>
    <n v="0"/>
    <n v="0"/>
    <n v="0"/>
    <n v="0"/>
    <n v="0"/>
    <m/>
    <n v="0"/>
    <n v="0"/>
    <m/>
    <n v="0"/>
    <n v="0"/>
    <n v="0"/>
    <n v="0"/>
    <n v="-38.03800841654121"/>
    <m/>
    <m/>
    <n v="883.31341969672201"/>
    <m/>
    <n v="0"/>
    <n v="0"/>
    <n v="-440.99999999999977"/>
    <m/>
    <n v="0"/>
    <m/>
    <n v="-451.1985463854648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07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503.57299999999998"/>
    <n v="503.57299999999998"/>
    <n v="503.57299999999998"/>
    <n v="503.57299999999998"/>
    <m/>
    <n v="356.64"/>
    <n v="87.68"/>
    <m/>
    <n v="223747.55536"/>
    <n v="223747.55536"/>
    <n v="169452.31449999998"/>
    <n v="0"/>
    <n v="17163.599761277408"/>
    <n v="0"/>
    <n v="0"/>
    <n v="0"/>
    <n v="32306.441002447194"/>
    <n v="115645.68797024121"/>
    <n v="42716.533589053666"/>
    <n v="1435.1634010654182"/>
    <n v="0"/>
    <n v="0"/>
    <n v="0"/>
    <n v="0"/>
    <n v="2652.2336066265957"/>
    <m/>
    <n v="574.72917532943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2.4422013437629"/>
    <n v="0"/>
    <n v="751.09"/>
    <n v="5009.29"/>
    <n v="55658.53"/>
    <n v="62"/>
    <m/>
    <m/>
    <m/>
    <m/>
    <m/>
    <m/>
    <m/>
    <m/>
    <m/>
    <n v="45838.975790397431"/>
    <m/>
    <m/>
    <m/>
    <m/>
    <m/>
    <m/>
    <m/>
    <m/>
    <m/>
    <m/>
    <m/>
    <m/>
    <n v="169451.30499999999"/>
    <n v="-54296.280360000033"/>
    <m/>
    <m/>
    <m/>
    <m/>
    <n v="-61899.193159999988"/>
    <n v="7603.9522999999972"/>
    <n v="31"/>
    <n v="4778.761687809485"/>
    <n v="0"/>
    <n v="0"/>
    <n v="0"/>
    <n v="0"/>
    <n v="0"/>
    <n v="0"/>
    <n v="0"/>
    <n v="1459.3459976159647"/>
    <n v="0"/>
    <n v="0"/>
    <n v="8469.535057375324"/>
    <n v="0"/>
    <n v="0"/>
    <n v="0"/>
    <n v="619.09596746132001"/>
    <n v="0"/>
    <n v="-1202.1723867132459"/>
    <m/>
    <n v="0"/>
    <n v="0"/>
    <n v="0"/>
    <n v="0"/>
    <n v="-161.81642424112579"/>
    <n v="-36.62035553911835"/>
    <n v="0"/>
    <n v="-4368.6061681496185"/>
    <m/>
    <m/>
    <m/>
    <n v="115645.68797024121"/>
    <n v="0"/>
    <n v="0"/>
    <n v="-61899.193159999995"/>
    <n v="7603.9522999999972"/>
    <n v="0"/>
    <n v="0"/>
    <n v="-59072.086016574627"/>
    <n v="0"/>
    <n v="0"/>
    <n v="0"/>
    <n v="0"/>
    <n v="0"/>
    <n v="0"/>
    <n v="0"/>
    <n v="0"/>
    <n v="0"/>
    <n v="0"/>
    <n v="0"/>
    <n v="0"/>
    <n v="8130.090328755050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08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47.508000000000003"/>
    <n v="44.657519999999998"/>
    <n v="47.508000000000003"/>
    <n v="44.657519999999998"/>
    <m/>
    <n v="648.44000000000005"/>
    <n v="159.41"/>
    <m/>
    <n v="38379.337800000008"/>
    <n v="38379.337800000008"/>
    <n v="29066.344560000001"/>
    <n v="0"/>
    <n v="2944.0826669303588"/>
    <n v="0"/>
    <n v="0"/>
    <n v="0"/>
    <n v="5541.5434004757053"/>
    <n v="19836.774930312455"/>
    <n v="7327.1928896063819"/>
    <n v="246.17444778816363"/>
    <n v="0"/>
    <n v="0"/>
    <n v="0"/>
    <n v="0"/>
    <n v="454.93923760305717"/>
    <m/>
    <n v="98.583643687845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5.59440276669875"/>
    <n v="0"/>
    <n v="123.26"/>
    <n v="822.14"/>
    <n v="14382.48"/>
    <n v="13"/>
    <m/>
    <m/>
    <m/>
    <m/>
    <n v="1743.9806736000028"/>
    <m/>
    <m/>
    <m/>
    <m/>
    <n v="7862.7872923730811"/>
    <m/>
    <m/>
    <m/>
    <m/>
    <m/>
    <m/>
    <m/>
    <m/>
    <m/>
    <m/>
    <m/>
    <m/>
    <n v="27323.881199999996"/>
    <n v="-8752.7263320000056"/>
    <m/>
    <m/>
    <m/>
    <m/>
    <n v="-10618.038000000004"/>
    <n v="1305.04476"/>
    <n v="31"/>
    <n v="819.70388788789933"/>
    <n v="0"/>
    <n v="0"/>
    <n v="0"/>
    <n v="0"/>
    <n v="0"/>
    <n v="0"/>
    <n v="0"/>
    <n v="250.32250322734853"/>
    <n v="0"/>
    <n v="0"/>
    <n v="1452.7844803065946"/>
    <n v="0"/>
    <n v="0"/>
    <n v="0"/>
    <n v="106.1939064252399"/>
    <n v="0"/>
    <n v="-206.20935792092132"/>
    <m/>
    <n v="0"/>
    <n v="0"/>
    <n v="0"/>
    <n v="0"/>
    <n v="-27.756469298925936"/>
    <n v="-6.2815117748649669"/>
    <n v="0"/>
    <n v="-749.34966307657248"/>
    <m/>
    <m/>
    <m/>
    <n v="19836.774930312455"/>
    <n v="0"/>
    <n v="0"/>
    <n v="-10618.038000000004"/>
    <n v="1305.0447600000007"/>
    <n v="0"/>
    <n v="0"/>
    <n v="-10132.670707760346"/>
    <n v="0"/>
    <n v="0"/>
    <n v="0"/>
    <n v="0"/>
    <n v="0"/>
    <n v="0"/>
    <n v="0"/>
    <n v="0"/>
    <n v="0"/>
    <n v="0"/>
    <n v="0"/>
    <n v="0"/>
    <n v="1394.559320327832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09"/>
    <s v="Regular"/>
    <s v="Azul"/>
    <s v="A4"/>
    <s v="Serviço público"/>
    <s v="Água, esgoto e saneamento"/>
    <s v="Não se aplica"/>
    <s v="Não se aplica"/>
    <s v="Ponta"/>
    <s v="CATIVO"/>
    <x v="1"/>
    <n v="708"/>
    <n v="665.52"/>
    <n v="37.003"/>
    <n v="34.782820000000001"/>
    <n v="37.003"/>
    <n v="34.782820000000001"/>
    <n v="112.91"/>
    <n v="95.29"/>
    <n v="159.41"/>
    <n v="79940.28"/>
    <n v="9424.6641"/>
    <n v="89364.944100000008"/>
    <n v="57781.620730000002"/>
    <n v="0"/>
    <n v="1994.9841101340589"/>
    <n v="0"/>
    <n v="0"/>
    <n v="0"/>
    <n v="17972.872804850485"/>
    <n v="61965.112641339554"/>
    <n v="5706.9992105351721"/>
    <n v="191.74019305181062"/>
    <n v="0"/>
    <n v="0"/>
    <n v="0"/>
    <n v="0"/>
    <n v="354.34277614351106"/>
    <m/>
    <n v="39.7313564011543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2.04092090385055"/>
    <n v="0"/>
    <n v="0"/>
    <n v="0"/>
    <n v="0"/>
    <n v="0"/>
    <m/>
    <m/>
    <m/>
    <m/>
    <n v="3466.897243800001"/>
    <m/>
    <m/>
    <m/>
    <m/>
    <n v="5899.0401314390228"/>
    <m/>
    <m/>
    <m/>
    <m/>
    <m/>
    <m/>
    <m/>
    <m/>
    <m/>
    <m/>
    <m/>
    <m/>
    <n v="54313.942599999995"/>
    <n v="-29689.134853999989"/>
    <m/>
    <m/>
    <m/>
    <m/>
    <n v="-32599.795779999997"/>
    <n v="1016.47241"/>
    <n v="31"/>
    <n v="72.81955100443156"/>
    <n v="0"/>
    <n v="0"/>
    <n v="0"/>
    <n v="0"/>
    <n v="0"/>
    <n v="0"/>
    <n v="0"/>
    <n v="811.87030138765112"/>
    <n v="0"/>
    <n v="0"/>
    <n v="1131.543826824638"/>
    <n v="0"/>
    <n v="0"/>
    <n v="0"/>
    <n v="38.076528580086091"/>
    <n v="0"/>
    <n v="-139.73262267194309"/>
    <m/>
    <n v="0"/>
    <n v="0"/>
    <n v="0"/>
    <n v="0"/>
    <n v="-21.618940672479482"/>
    <n v="-2.5315861103230901"/>
    <n v="0"/>
    <n v="-1744.7879563331967"/>
    <m/>
    <m/>
    <n v="61965.112641339554"/>
    <n v="0"/>
    <n v="0"/>
    <n v="0"/>
    <n v="-32599.79578"/>
    <n v="1016.4724100000003"/>
    <n v="0"/>
    <n v="0"/>
    <n v="-31651.923458814021"/>
    <n v="0"/>
    <n v="0"/>
    <n v="0"/>
    <n v="0"/>
    <n v="0"/>
    <n v="0"/>
    <n v="0"/>
    <n v="0"/>
    <n v="0"/>
    <n v="0"/>
    <n v="0"/>
    <n v="0"/>
    <n v="944.988303468446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10"/>
    <s v="Regular"/>
    <s v="Azul"/>
    <s v="A4"/>
    <s v="Serviço público"/>
    <s v="Água, esgoto e saneamento"/>
    <s v="Não se aplica"/>
    <s v="Não se aplica"/>
    <s v="Fora ponta"/>
    <s v="CATIVO"/>
    <x v="1"/>
    <n v="718"/>
    <n v="674.92"/>
    <n v="369.45699999999999"/>
    <n v="347.28958"/>
    <n v="369.45699999999999"/>
    <n v="347.28958"/>
    <n v="43.29"/>
    <n v="95.29"/>
    <n v="159.41"/>
    <n v="31082.22"/>
    <n v="94100.697899999999"/>
    <n v="125182.9179"/>
    <n v="126352.15787"/>
    <n v="0"/>
    <n v="19918.948311699023"/>
    <n v="0"/>
    <n v="0"/>
    <n v="0"/>
    <n v="16990.742779758486"/>
    <n v="14093.756340938808"/>
    <n v="56981.617904675106"/>
    <n v="1914.4327893506686"/>
    <n v="0"/>
    <n v="0"/>
    <n v="0"/>
    <n v="0"/>
    <n v="3537.9406817191352"/>
    <m/>
    <n v="396.69831478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7.4354110308329"/>
    <n v="0"/>
    <n v="0"/>
    <n v="0"/>
    <n v="0"/>
    <n v="0"/>
    <m/>
    <m/>
    <m/>
    <m/>
    <n v="7581.1294721999984"/>
    <m/>
    <m/>
    <m/>
    <m/>
    <n v="58899.05331570594"/>
    <m/>
    <m/>
    <m/>
    <m/>
    <m/>
    <m/>
    <m/>
    <m/>
    <m/>
    <m/>
    <m/>
    <m/>
    <n v="118771.1447"/>
    <n v="1099.1718740000069"/>
    <m/>
    <m/>
    <m/>
    <m/>
    <n v="-8979.7438199999997"/>
    <n v="10148.98379"/>
    <n v="31"/>
    <n v="8365.0601781191363"/>
    <n v="0"/>
    <n v="0"/>
    <n v="0"/>
    <n v="0"/>
    <n v="0"/>
    <n v="0"/>
    <n v="0"/>
    <n v="767.5055407769396"/>
    <n v="0"/>
    <n v="0"/>
    <n v="11297.916050783737"/>
    <n v="0"/>
    <n v="0"/>
    <n v="0"/>
    <n v="380.17566196289113"/>
    <n v="0"/>
    <n v="-1395.1624347892903"/>
    <m/>
    <n v="0"/>
    <n v="0"/>
    <n v="0"/>
    <n v="0"/>
    <n v="-215.85463243607956"/>
    <n v="-25.27665890770038"/>
    <n v="0"/>
    <n v="-2444.2433492713408"/>
    <m/>
    <m/>
    <n v="14093.756340938808"/>
    <n v="0"/>
    <n v="0"/>
    <n v="0"/>
    <n v="-8979.743819999996"/>
    <n v="10148.983789999991"/>
    <n v="0"/>
    <n v="0"/>
    <n v="-7199.1234734391937"/>
    <n v="0"/>
    <n v="0"/>
    <n v="0"/>
    <n v="0"/>
    <n v="0"/>
    <n v="0"/>
    <n v="0"/>
    <n v="0"/>
    <n v="0"/>
    <n v="0"/>
    <n v="0"/>
    <n v="0"/>
    <n v="9435.249672581734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11"/>
    <s v="Regular"/>
    <s v="Azul"/>
    <s v="A4"/>
    <s v="Serviço público"/>
    <s v="Água, esgoto e saneamento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35.06"/>
    <n v="5567.16"/>
    <n v="93469.11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12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5.09"/>
    <n v="5.09"/>
    <n v="5.09"/>
    <n v="5.09"/>
    <m/>
    <n v="648.44000000000005"/>
    <n v="159.41"/>
    <m/>
    <n v="4111.9565000000002"/>
    <n v="4111.9565000000002"/>
    <n v="3114.1637999999998"/>
    <n v="0"/>
    <n v="315.42857570673414"/>
    <n v="0"/>
    <n v="0"/>
    <n v="0"/>
    <n v="593.72012941865239"/>
    <n v="2125.309093106222"/>
    <n v="785.03434806972473"/>
    <n v="26.375093441983516"/>
    <n v="0"/>
    <n v="0"/>
    <n v="0"/>
    <n v="0"/>
    <n v="48.742121735277443"/>
    <m/>
    <n v="10.5622368100348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383504043161075"/>
    <n v="0"/>
    <n v="13.93"/>
    <n v="92.98"/>
    <n v="1549.55"/>
    <n v="5"/>
    <m/>
    <m/>
    <m/>
    <m/>
    <m/>
    <m/>
    <m/>
    <m/>
    <m/>
    <n v="842.41785211288584"/>
    <m/>
    <m/>
    <m/>
    <m/>
    <m/>
    <m/>
    <m/>
    <m/>
    <m/>
    <m/>
    <m/>
    <m/>
    <n v="3114.1637999999998"/>
    <n v="-997.82270000000108"/>
    <m/>
    <m/>
    <m/>
    <m/>
    <n v="-1137.6150000000002"/>
    <n v="139.82229999999998"/>
    <n v="31"/>
    <n v="87.822951699701434"/>
    <n v="0"/>
    <n v="0"/>
    <n v="0"/>
    <n v="0"/>
    <n v="0"/>
    <n v="0"/>
    <n v="0"/>
    <n v="26.819515480070777"/>
    <n v="0"/>
    <n v="0"/>
    <n v="155.65111149197116"/>
    <n v="0"/>
    <n v="0"/>
    <n v="0"/>
    <n v="11.377599219173"/>
    <n v="0"/>
    <n v="-22.093239703155064"/>
    <m/>
    <n v="0"/>
    <n v="0"/>
    <n v="0"/>
    <n v="0"/>
    <n v="-2.973823960838871"/>
    <n v="-0.67300023015203081"/>
    <n v="0"/>
    <n v="-80.285210597367879"/>
    <m/>
    <m/>
    <m/>
    <n v="2125.309093106222"/>
    <n v="0"/>
    <n v="0"/>
    <n v="-1137.6150000000002"/>
    <n v="139.82230000000004"/>
    <n v="0"/>
    <n v="0"/>
    <n v="-1085.6128210511949"/>
    <n v="0"/>
    <n v="0"/>
    <n v="0"/>
    <n v="0"/>
    <n v="0"/>
    <n v="0"/>
    <n v="0"/>
    <n v="0"/>
    <n v="0"/>
    <n v="0"/>
    <n v="0"/>
    <n v="0"/>
    <n v="149.4128765780219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13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7.51"/>
    <n v="184.62"/>
    <n v="335.06"/>
    <n v="3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14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1"/>
    <n v="2.75"/>
    <n v="19.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15"/>
    <s v="Regular"/>
    <s v="Convencional"/>
    <s v="B2"/>
    <s v="Rural"/>
    <s v="Agropecuária rural"/>
    <s v="IRRIG./AQUIC."/>
    <s v="Não se aplica"/>
    <s v="Não se aplica"/>
    <s v="CATIVO"/>
    <x v="1"/>
    <n v="0"/>
    <n v="0"/>
    <n v="13.727"/>
    <n v="13.727"/>
    <n v="13.727"/>
    <n v="13.727"/>
    <m/>
    <n v="648.44000000000005"/>
    <n v="159.41"/>
    <m/>
    <n v="11089.356950000001"/>
    <n v="11089.356950000001"/>
    <n v="8398.4531399999996"/>
    <n v="0"/>
    <n v="850.66563039810205"/>
    <n v="0"/>
    <n v="0"/>
    <n v="0"/>
    <n v="1601.178038610971"/>
    <n v="5731.6538155342059"/>
    <n v="2117.1250483208473"/>
    <n v="71.12984433754572"/>
    <n v="0"/>
    <n v="0"/>
    <n v="0"/>
    <n v="0"/>
    <n v="131.45051179963724"/>
    <m/>
    <n v="28.4848378568464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.755080550191"/>
    <n v="0"/>
    <n v="0"/>
    <n v="0"/>
    <n v="0"/>
    <n v="0"/>
    <m/>
    <m/>
    <m/>
    <m/>
    <m/>
    <n v="1007.8363400000003"/>
    <m/>
    <m/>
    <m/>
    <n v="2271.8801288710383"/>
    <m/>
    <m/>
    <m/>
    <m/>
    <m/>
    <m/>
    <m/>
    <m/>
    <m/>
    <m/>
    <m/>
    <m/>
    <n v="7392.232"/>
    <n v="-2366.4595700000009"/>
    <m/>
    <m/>
    <m/>
    <m/>
    <n v="-3067.9845000000009"/>
    <n v="377.08069"/>
    <n v="31"/>
    <n v="236.84590530094283"/>
    <n v="0"/>
    <n v="0"/>
    <n v="0"/>
    <n v="0"/>
    <n v="0"/>
    <n v="0"/>
    <n v="0"/>
    <n v="72.328386835939455"/>
    <n v="0"/>
    <n v="0"/>
    <n v="419.76872444995843"/>
    <n v="0"/>
    <n v="0"/>
    <n v="0"/>
    <n v="30.6837533362648"/>
    <n v="0"/>
    <n v="-59.582298900826913"/>
    <m/>
    <n v="0"/>
    <n v="0"/>
    <n v="0"/>
    <n v="0"/>
    <n v="-8.0199767211071133"/>
    <n v="-1.8149851000583368"/>
    <n v="0"/>
    <n v="-216.51769859922769"/>
    <m/>
    <m/>
    <m/>
    <n v="5731.6538155342059"/>
    <n v="0"/>
    <n v="0"/>
    <n v="-3067.9845000000014"/>
    <n v="377.08068999999978"/>
    <n v="0"/>
    <n v="0"/>
    <n v="-2927.7420814478878"/>
    <n v="0"/>
    <n v="0"/>
    <n v="0"/>
    <n v="0"/>
    <n v="0"/>
    <n v="0"/>
    <n v="0"/>
    <n v="0"/>
    <n v="0"/>
    <n v="0"/>
    <n v="0"/>
    <n v="0"/>
    <n v="402.9450995651292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16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.2"/>
    <n v="0.2"/>
    <n v="0.2"/>
    <n v="0.2"/>
    <m/>
    <n v="648.44000000000005"/>
    <n v="159.41"/>
    <m/>
    <n v="161.57000000000002"/>
    <n v="161.57000000000002"/>
    <n v="122.364"/>
    <n v="0"/>
    <n v="12.394050126001341"/>
    <n v="0"/>
    <n v="0"/>
    <n v="0"/>
    <n v="23.328885242383201"/>
    <n v="83.509198157415412"/>
    <n v="30.846143342621801"/>
    <n v="1.0363494476221422"/>
    <n v="0"/>
    <n v="0"/>
    <n v="0"/>
    <n v="0"/>
    <n v="1.9152110701484262"/>
    <m/>
    <n v="0.41501912809567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5475457929906"/>
    <n v="0"/>
    <n v="0"/>
    <n v="0"/>
    <n v="0"/>
    <n v="0"/>
    <m/>
    <m/>
    <m/>
    <m/>
    <m/>
    <n v="14.684000000000005"/>
    <m/>
    <m/>
    <m/>
    <n v="33.100897921920861"/>
    <m/>
    <m/>
    <m/>
    <m/>
    <m/>
    <m/>
    <m/>
    <m/>
    <m/>
    <m/>
    <m/>
    <m/>
    <n v="107.68"/>
    <n v="-34.532000000000011"/>
    <m/>
    <m/>
    <m/>
    <m/>
    <n v="-44.700000000000017"/>
    <n v="5.4939999999999998"/>
    <n v="31"/>
    <n v="3.4508036031316607"/>
    <n v="0"/>
    <n v="0"/>
    <n v="0"/>
    <n v="0"/>
    <n v="0"/>
    <n v="0"/>
    <n v="0"/>
    <n v="1.0538120031461986"/>
    <n v="0"/>
    <n v="0"/>
    <n v="6.1159572295469999"/>
    <n v="0"/>
    <n v="0"/>
    <n v="0"/>
    <n v="0.44705694377890026"/>
    <n v="0"/>
    <n v="-0.86810372114558021"/>
    <m/>
    <n v="0"/>
    <n v="0"/>
    <n v="0"/>
    <n v="0"/>
    <n v="-0.1168496644730399"/>
    <n v="-2.6444016901847944E-2"/>
    <n v="0"/>
    <n v="-3.1546251708199562"/>
    <m/>
    <m/>
    <m/>
    <n v="83.509198157415412"/>
    <n v="0"/>
    <n v="0"/>
    <n v="-44.700000000000017"/>
    <n v="5.4939999999999962"/>
    <n v="0"/>
    <n v="0"/>
    <n v="-42.656692379221809"/>
    <n v="0"/>
    <n v="0"/>
    <n v="0"/>
    <n v="0"/>
    <n v="0"/>
    <n v="0"/>
    <n v="0"/>
    <n v="0"/>
    <n v="0"/>
    <n v="0"/>
    <n v="0"/>
    <n v="0"/>
    <n v="5.87083994412660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17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5.5839999999999996"/>
    <n v="2.2336"/>
    <n v="5.5839999999999996"/>
    <n v="2.2336"/>
    <m/>
    <n v="648.44000000000005"/>
    <n v="159.41"/>
    <m/>
    <n v="4511.0344000000005"/>
    <n v="4511.0344000000005"/>
    <n v="3416.4028799999996"/>
    <n v="0"/>
    <n v="346.0418795179574"/>
    <n v="0"/>
    <n v="0"/>
    <n v="0"/>
    <n v="651.34247596733894"/>
    <n v="2331.576812555038"/>
    <n v="861.22432212600052"/>
    <n v="28.934876577610204"/>
    <n v="0"/>
    <n v="0"/>
    <n v="0"/>
    <n v="0"/>
    <n v="53.472693078544054"/>
    <m/>
    <n v="11.587334056431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952747854029752"/>
    <n v="0"/>
    <n v="0"/>
    <n v="0"/>
    <n v="0"/>
    <n v="0"/>
    <m/>
    <m/>
    <m/>
    <m/>
    <m/>
    <m/>
    <n v="2213.8326399999996"/>
    <m/>
    <m/>
    <n v="924.1770699800303"/>
    <m/>
    <m/>
    <m/>
    <m/>
    <m/>
    <m/>
    <m/>
    <m/>
    <m/>
    <m/>
    <m/>
    <m/>
    <n v="1200.6320000000001"/>
    <n v="-387.28657599999997"/>
    <m/>
    <m/>
    <m/>
    <m/>
    <n v="-1248.0240000000003"/>
    <n v="153.39247999999998"/>
    <n v="31"/>
    <n v="96.346436599436402"/>
    <n v="0"/>
    <n v="0"/>
    <n v="0"/>
    <n v="0"/>
    <n v="0"/>
    <n v="0"/>
    <n v="0"/>
    <n v="29.422431127841833"/>
    <n v="0"/>
    <n v="0"/>
    <n v="170.75752584895235"/>
    <n v="0"/>
    <n v="0"/>
    <n v="0"/>
    <n v="12.481829870306882"/>
    <n v="0"/>
    <n v="-24.237455894384595"/>
    <m/>
    <n v="0"/>
    <n v="0"/>
    <n v="0"/>
    <n v="0"/>
    <n v="-3.2624426320872786"/>
    <n v="-0.7383169518995949"/>
    <n v="0"/>
    <n v="-88.077134769293167"/>
    <m/>
    <m/>
    <m/>
    <n v="2331.576812555038"/>
    <n v="0"/>
    <n v="0"/>
    <n v="-1248.0240000000003"/>
    <n v="153.39248000000009"/>
    <n v="0"/>
    <n v="0"/>
    <n v="-1190.9748512278727"/>
    <n v="0"/>
    <n v="0"/>
    <n v="0"/>
    <n v="0"/>
    <n v="0"/>
    <n v="0"/>
    <n v="0"/>
    <n v="0"/>
    <n v="0"/>
    <n v="0"/>
    <n v="0"/>
    <n v="0"/>
    <n v="163.9138512400146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19"/>
    <s v="Regular"/>
    <s v="Verde"/>
    <s v="A4"/>
    <s v="Rural"/>
    <s v="Agropecuária rural"/>
    <s v="Não se aplica"/>
    <s v="Não se aplica"/>
    <s v="Ponta"/>
    <s v="CATIVO"/>
    <x v="1"/>
    <n v="0"/>
    <n v="0"/>
    <n v="2.2919999999999998"/>
    <n v="2.2003199999999996"/>
    <n v="2.2919999999999998"/>
    <n v="2.2003199999999996"/>
    <m/>
    <n v="2810.7"/>
    <n v="159.41"/>
    <m/>
    <n v="6807.492119999999"/>
    <n v="6807.492119999999"/>
    <n v="4335.7534799999994"/>
    <n v="0"/>
    <n v="123.57115856625848"/>
    <n v="0"/>
    <n v="0"/>
    <n v="0"/>
    <n v="1399.3017400422773"/>
    <n v="4824.4053681764108"/>
    <n v="353.49680270644575"/>
    <n v="11.876564669749747"/>
    <n v="0"/>
    <n v="0"/>
    <n v="0"/>
    <n v="0"/>
    <n v="21.948318863900962"/>
    <m/>
    <n v="2.4609969156945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9519203069009"/>
    <n v="0"/>
    <n v="0"/>
    <n v="0"/>
    <n v="0"/>
    <n v="0"/>
    <m/>
    <m/>
    <m/>
    <m/>
    <m/>
    <n v="173.43013920000038"/>
    <m/>
    <m/>
    <m/>
    <n v="365.39199473713586"/>
    <m/>
    <m/>
    <m/>
    <m/>
    <m/>
    <m/>
    <m/>
    <m/>
    <m/>
    <m/>
    <m/>
    <m/>
    <n v="4161.7180000000008"/>
    <n v="-2373.5044351999986"/>
    <m/>
    <m/>
    <m/>
    <m/>
    <n v="-2534.6998799999997"/>
    <n v="62.961239999999989"/>
    <n v="31"/>
    <n v="-7.409112312404659"/>
    <n v="0"/>
    <n v="0"/>
    <n v="0"/>
    <n v="0"/>
    <n v="0"/>
    <n v="0"/>
    <n v="0"/>
    <n v="63.209234147240522"/>
    <n v="0"/>
    <n v="0"/>
    <n v="70.08886985060866"/>
    <n v="0"/>
    <n v="0"/>
    <n v="0"/>
    <n v="2.3584953518784246"/>
    <n v="0"/>
    <n v="-8.6551677205657285"/>
    <m/>
    <n v="0"/>
    <n v="0"/>
    <n v="0"/>
    <n v="0"/>
    <n v="-1.3390971548610366"/>
    <n v="-0.15680878212200433"/>
    <n v="0"/>
    <n v="-132.91463800458371"/>
    <m/>
    <m/>
    <m/>
    <n v="4824.4053681764108"/>
    <n v="0"/>
    <n v="0"/>
    <n v="-2534.6998799999992"/>
    <n v="62.961239999999975"/>
    <n v="0"/>
    <n v="0"/>
    <n v="-2464.3174673410804"/>
    <n v="0"/>
    <n v="0"/>
    <n v="0"/>
    <n v="0"/>
    <n v="0"/>
    <n v="0"/>
    <n v="0"/>
    <n v="0"/>
    <n v="0"/>
    <n v="0"/>
    <n v="0"/>
    <n v="0"/>
    <n v="58.53344841093099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21"/>
    <s v="Regular"/>
    <s v="Verde"/>
    <s v="A4"/>
    <s v="Rural"/>
    <s v="Agropecuária rural"/>
    <s v="Não se aplica"/>
    <s v="Não se aplica"/>
    <s v="Fora ponta"/>
    <s v="CATIVO"/>
    <x v="1"/>
    <n v="0"/>
    <n v="0"/>
    <n v="56.17"/>
    <n v="53.923200000000001"/>
    <n v="56.17"/>
    <n v="53.923200000000001"/>
    <m/>
    <n v="95.29"/>
    <n v="159.41"/>
    <m/>
    <n v="14306.499"/>
    <n v="14306.499"/>
    <n v="15554.0347"/>
    <n v="0"/>
    <n v="3028.3560107621029"/>
    <n v="0"/>
    <n v="0"/>
    <n v="0"/>
    <n v="0"/>
    <n v="0"/>
    <n v="8663.1393577753315"/>
    <n v="291.05874236467861"/>
    <n v="0"/>
    <n v="0"/>
    <n v="0"/>
    <n v="0"/>
    <n v="537.88702905118555"/>
    <m/>
    <n v="60.311604168657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.5152427416503"/>
    <n v="0"/>
    <n v="0"/>
    <n v="0"/>
    <n v="0"/>
    <n v="0"/>
    <m/>
    <m/>
    <m/>
    <m/>
    <m/>
    <n v="622.1613880000001"/>
    <m/>
    <m/>
    <m/>
    <n v="8954.6546005169821"/>
    <m/>
    <m/>
    <m/>
    <m/>
    <m/>
    <m/>
    <m/>
    <m/>
    <m/>
    <m/>
    <m/>
    <m/>
    <n v="14930.9872"/>
    <n v="1196.7181599999985"/>
    <m/>
    <m/>
    <m/>
    <m/>
    <n v="-295.4542000000003"/>
    <n v="1542.9899"/>
    <n v="31"/>
    <n v="1247.3581584022959"/>
    <n v="0"/>
    <n v="0"/>
    <n v="0"/>
    <n v="0"/>
    <n v="0"/>
    <n v="0"/>
    <n v="0"/>
    <n v="0"/>
    <n v="0"/>
    <n v="0"/>
    <n v="1717.6665879182765"/>
    <n v="0"/>
    <n v="0"/>
    <n v="0"/>
    <n v="57.799600311959466"/>
    <n v="0"/>
    <n v="-212.11202917285209"/>
    <m/>
    <n v="0"/>
    <n v="0"/>
    <n v="0"/>
    <n v="0"/>
    <n v="-32.817228267253313"/>
    <n v="-3.8429098131732005"/>
    <n v="0"/>
    <n v="-279.33586257466089"/>
    <m/>
    <m/>
    <m/>
    <n v="0"/>
    <n v="0"/>
    <n v="0"/>
    <n v="-295.45420000000104"/>
    <n v="1542.9899000000005"/>
    <n v="0"/>
    <n v="0"/>
    <n v="0"/>
    <n v="0"/>
    <n v="0"/>
    <n v="0"/>
    <n v="0"/>
    <n v="0"/>
    <n v="0"/>
    <n v="0"/>
    <n v="0"/>
    <n v="0"/>
    <n v="0"/>
    <n v="0"/>
    <n v="0"/>
    <n v="1434.478096527920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23"/>
    <s v="Regular"/>
    <s v="Verde"/>
    <s v="A4"/>
    <s v="Rural"/>
    <s v="Agropecuária rural"/>
    <s v="Não se aplica"/>
    <s v="Não se aplica"/>
    <s v="Não se aplica"/>
    <s v="CATIVO"/>
    <x v="1"/>
    <n v="3108"/>
    <n v="2983.68"/>
    <n v="0"/>
    <n v="0"/>
    <n v="0"/>
    <n v="0"/>
    <n v="43.29"/>
    <m/>
    <m/>
    <n v="134545.32"/>
    <m/>
    <n v="134545.32"/>
    <n v="104086.92000000001"/>
    <n v="0"/>
    <n v="0"/>
    <n v="0"/>
    <n v="0"/>
    <n v="0"/>
    <n v="73547.672088425301"/>
    <n v="61007.5135203869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90.77"/>
    <n v="2607.0500000000002"/>
    <n v="238.89"/>
    <n v="43"/>
    <m/>
    <m/>
    <m/>
    <m/>
    <m/>
    <n v="4163.4768000000058"/>
    <m/>
    <m/>
    <m/>
    <n v="0"/>
    <m/>
    <m/>
    <m/>
    <m/>
    <m/>
    <m/>
    <m/>
    <m/>
    <m/>
    <m/>
    <m/>
    <m/>
    <n v="99923.443199999994"/>
    <n v="-29240.093999999983"/>
    <m/>
    <m/>
    <m/>
    <m/>
    <n v="-30458.399999999991"/>
    <n v="0"/>
    <n v="31"/>
    <n v="695.13573132717283"/>
    <n v="0"/>
    <n v="0"/>
    <n v="0"/>
    <n v="0"/>
    <m/>
    <m/>
    <m/>
    <n v="3322.2941792962811"/>
    <n v="0"/>
    <n v="0"/>
    <m/>
    <m/>
    <n v="0"/>
    <n v="0"/>
    <n v="0"/>
    <n v="0"/>
    <n v="0"/>
    <m/>
    <n v="0"/>
    <n v="0"/>
    <m/>
    <n v="0"/>
    <n v="0"/>
    <n v="0"/>
    <n v="0"/>
    <n v="-2627.1584479691128"/>
    <m/>
    <m/>
    <n v="61007.513520386929"/>
    <m/>
    <n v="0"/>
    <n v="0"/>
    <n v="-30458.399999999994"/>
    <m/>
    <n v="0"/>
    <m/>
    <n v="-31162.7796036894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24"/>
    <s v="Sistema de Compensação"/>
    <s v="Verde"/>
    <s v="A4"/>
    <s v="Rural"/>
    <s v="Agropecuária rural"/>
    <s v="Não se aplica"/>
    <s v="Não se aplica"/>
    <s v="Não se aplica"/>
    <s v="CATIVO"/>
    <x v="1"/>
    <n v="315"/>
    <n v="302.39999999999998"/>
    <n v="0"/>
    <n v="0"/>
    <n v="0"/>
    <n v="0"/>
    <n v="43.29"/>
    <m/>
    <m/>
    <n v="13636.35"/>
    <m/>
    <n v="13636.35"/>
    <n v="10549.35"/>
    <n v="0"/>
    <n v="0"/>
    <n v="0"/>
    <n v="0"/>
    <n v="0"/>
    <n v="7454.1559549079702"/>
    <n v="6183.193937877053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3.82"/>
    <n v="359"/>
    <n v="6.91"/>
    <n v="4"/>
    <m/>
    <m/>
    <m/>
    <m/>
    <m/>
    <n v="421.97400000000079"/>
    <m/>
    <m/>
    <m/>
    <n v="0"/>
    <m/>
    <m/>
    <m/>
    <m/>
    <m/>
    <m/>
    <m/>
    <m/>
    <m/>
    <m/>
    <m/>
    <m/>
    <n v="10127.376"/>
    <n v="-2963.5499999999993"/>
    <m/>
    <m/>
    <m/>
    <m/>
    <n v="-3086.9999999999991"/>
    <n v="0"/>
    <n v="31"/>
    <n v="70.452945742618795"/>
    <n v="0"/>
    <n v="0"/>
    <n v="0"/>
    <n v="0"/>
    <m/>
    <m/>
    <m/>
    <n v="336.71900465840736"/>
    <n v="0"/>
    <n v="0"/>
    <m/>
    <m/>
    <n v="0"/>
    <n v="0"/>
    <n v="0"/>
    <n v="0"/>
    <n v="0"/>
    <m/>
    <n v="0"/>
    <n v="0"/>
    <m/>
    <n v="0"/>
    <n v="0"/>
    <n v="0"/>
    <n v="0"/>
    <n v="-266.26605891578845"/>
    <m/>
    <m/>
    <n v="6183.1939378770539"/>
    <m/>
    <n v="0"/>
    <n v="0"/>
    <n v="-3087"/>
    <m/>
    <n v="0"/>
    <m/>
    <n v="-3158.38982469825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25"/>
    <s v="Regular"/>
    <s v="Verde"/>
    <s v="A4"/>
    <s v="Rural"/>
    <s v="Agropecuária rural"/>
    <s v="IRRIG./AQUIC. PR"/>
    <s v="Não se aplica"/>
    <s v="Fora ponta"/>
    <s v="CATIVO"/>
    <x v="1"/>
    <n v="0"/>
    <n v="0"/>
    <n v="31.413"/>
    <n v="9.4238999999999997"/>
    <n v="31.413"/>
    <n v="9.4238999999999997"/>
    <m/>
    <n v="95.29"/>
    <n v="159.41"/>
    <m/>
    <n v="8000.8911000000007"/>
    <n v="8000.8911000000007"/>
    <n v="8698.5738300000012"/>
    <n v="0"/>
    <n v="1693.6041902451475"/>
    <n v="0"/>
    <n v="0"/>
    <n v="0"/>
    <n v="0"/>
    <n v="0"/>
    <n v="4844.8495041088927"/>
    <n v="162.77422599077175"/>
    <n v="0"/>
    <n v="0"/>
    <n v="0"/>
    <n v="0"/>
    <n v="300.81262673286255"/>
    <m/>
    <n v="33.729186785651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02952323737691"/>
    <n v="0"/>
    <n v="0"/>
    <n v="0"/>
    <n v="0"/>
    <n v="0"/>
    <m/>
    <m/>
    <m/>
    <m/>
    <m/>
    <m/>
    <n v="6089.0016810000006"/>
    <m/>
    <m/>
    <n v="5007.8790273462691"/>
    <m/>
    <m/>
    <m/>
    <m/>
    <m/>
    <m/>
    <m/>
    <m/>
    <m/>
    <m/>
    <m/>
    <m/>
    <n v="2608.4921999999997"/>
    <n v="208.19486999999981"/>
    <m/>
    <m/>
    <m/>
    <m/>
    <n v="-165.23238000000015"/>
    <n v="862.91511000000003"/>
    <n v="31"/>
    <n v="697.58344009064149"/>
    <n v="0"/>
    <n v="0"/>
    <n v="0"/>
    <n v="0"/>
    <n v="0"/>
    <n v="0"/>
    <n v="0"/>
    <n v="0"/>
    <n v="0"/>
    <n v="0"/>
    <n v="960.60282225880019"/>
    <n v="0"/>
    <n v="0"/>
    <n v="0"/>
    <n v="32.324351871098116"/>
    <n v="0"/>
    <n v="-118.62337853670647"/>
    <m/>
    <n v="0"/>
    <n v="0"/>
    <n v="0"/>
    <n v="0"/>
    <n v="-18.352992550458055"/>
    <n v="-2.1491423528789291"/>
    <n v="0"/>
    <n v="-156.21822059921351"/>
    <m/>
    <m/>
    <m/>
    <n v="0"/>
    <n v="0"/>
    <n v="0"/>
    <n v="-165.23237999999992"/>
    <n v="862.91510999999991"/>
    <n v="0"/>
    <n v="0"/>
    <n v="0"/>
    <n v="0"/>
    <n v="0"/>
    <n v="0"/>
    <n v="0"/>
    <n v="0"/>
    <n v="0"/>
    <n v="0"/>
    <n v="0"/>
    <n v="0"/>
    <n v="0"/>
    <n v="0"/>
    <n v="0"/>
    <n v="802.2300239670922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27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82"/>
    <n v="19"/>
    <n v="43.22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28"/>
    <s v="Regular"/>
    <s v="Convencional"/>
    <s v="B2"/>
    <s v="Rural"/>
    <s v="Aquicultura"/>
    <s v="IRRIG./AQUIC."/>
    <s v="Não se aplica"/>
    <s v="Não se aplica"/>
    <s v="CATIVO"/>
    <x v="1"/>
    <n v="0"/>
    <n v="0"/>
    <n v="1.268"/>
    <n v="1.268"/>
    <n v="1.268"/>
    <n v="1.268"/>
    <m/>
    <n v="648.44000000000005"/>
    <n v="159.41"/>
    <m/>
    <n v="1024.3538000000001"/>
    <n v="1024.3538000000001"/>
    <n v="775.78776000000005"/>
    <n v="0"/>
    <n v="78.578277798848504"/>
    <n v="0"/>
    <n v="0"/>
    <n v="0"/>
    <n v="147.90513243670949"/>
    <n v="529.44831631801367"/>
    <n v="195.56454879222221"/>
    <n v="6.5704554979243808"/>
    <n v="0"/>
    <n v="0"/>
    <n v="0"/>
    <n v="0"/>
    <n v="12.142438184741021"/>
    <m/>
    <n v="2.6312212721265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29514403275604"/>
    <n v="0"/>
    <n v="0"/>
    <n v="0"/>
    <n v="0"/>
    <n v="0"/>
    <m/>
    <m/>
    <m/>
    <m/>
    <m/>
    <n v="93.096560000000025"/>
    <m/>
    <m/>
    <m/>
    <n v="209.85969282497825"/>
    <m/>
    <m/>
    <m/>
    <m/>
    <m/>
    <m/>
    <m/>
    <m/>
    <m/>
    <m/>
    <m/>
    <m/>
    <n v="683.76800000000003"/>
    <n v="-217.69587999999999"/>
    <m/>
    <m/>
    <m/>
    <m/>
    <n v="-283.39800000000008"/>
    <n v="34.831960000000002"/>
    <n v="31"/>
    <n v="21.87809484385491"/>
    <n v="0"/>
    <n v="0"/>
    <n v="0"/>
    <n v="0"/>
    <n v="0"/>
    <n v="0"/>
    <n v="0"/>
    <n v="6.6811680999469161"/>
    <n v="0"/>
    <n v="0"/>
    <n v="38.775168835327975"/>
    <n v="0"/>
    <n v="0"/>
    <n v="0"/>
    <n v="2.8343410235582258"/>
    <n v="0"/>
    <n v="-5.5037775920629883"/>
    <m/>
    <n v="0"/>
    <n v="0"/>
    <n v="0"/>
    <n v="0"/>
    <n v="-0.74082687275907233"/>
    <n v="-0.16765506715771616"/>
    <n v="0"/>
    <n v="-20.000323582998522"/>
    <m/>
    <m/>
    <m/>
    <n v="529.44831631801367"/>
    <n v="0"/>
    <n v="0"/>
    <n v="-283.39800000000002"/>
    <n v="34.831960000000009"/>
    <n v="0"/>
    <n v="0"/>
    <n v="-270.44342968426622"/>
    <n v="0"/>
    <n v="0"/>
    <n v="0"/>
    <n v="0"/>
    <n v="0"/>
    <n v="0"/>
    <n v="0"/>
    <n v="0"/>
    <n v="0"/>
    <n v="0"/>
    <n v="0"/>
    <n v="0"/>
    <n v="37.2211252457626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29"/>
    <s v="Regular"/>
    <s v="Convencional"/>
    <s v="B2"/>
    <s v="Rural"/>
    <s v="Aquicultura"/>
    <s v="IRRIG./AQUIC. PR"/>
    <s v="Não se aplica"/>
    <s v="Não se aplica"/>
    <s v="CATIVO"/>
    <x v="1"/>
    <n v="0"/>
    <n v="0"/>
    <n v="1.0069999999999999"/>
    <n v="0.40279999999999999"/>
    <n v="1.0069999999999999"/>
    <n v="0.40279999999999999"/>
    <m/>
    <n v="648.44000000000005"/>
    <n v="159.41"/>
    <m/>
    <n v="813.50494999999989"/>
    <n v="813.50494999999989"/>
    <n v="616.10273999999993"/>
    <n v="0"/>
    <n v="62.404042384416741"/>
    <n v="0"/>
    <n v="0"/>
    <n v="0"/>
    <n v="117.4609371953994"/>
    <n v="420.46881272258651"/>
    <n v="155.31033173010073"/>
    <n v="5.2180194687774843"/>
    <n v="0"/>
    <n v="0"/>
    <n v="0"/>
    <n v="0"/>
    <n v="9.643087738197325"/>
    <m/>
    <n v="2.0896213099617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352689306770767"/>
    <n v="0"/>
    <n v="0"/>
    <n v="0"/>
    <n v="0"/>
    <n v="0"/>
    <m/>
    <m/>
    <m/>
    <m/>
    <m/>
    <m/>
    <n v="399.23521999999991"/>
    <m/>
    <m/>
    <n v="166.6630210368715"/>
    <m/>
    <m/>
    <m/>
    <m/>
    <m/>
    <m/>
    <m/>
    <m/>
    <m/>
    <m/>
    <m/>
    <m/>
    <n v="215.36"/>
    <n v="-71.024547999999982"/>
    <m/>
    <m/>
    <m/>
    <m/>
    <n v="-225.06450000000004"/>
    <n v="27.662289999999995"/>
    <n v="31"/>
    <n v="17.374796141768002"/>
    <n v="0"/>
    <n v="0"/>
    <n v="0"/>
    <n v="0"/>
    <n v="0"/>
    <n v="0"/>
    <n v="0"/>
    <n v="5.3059434358411153"/>
    <n v="0"/>
    <n v="0"/>
    <n v="30.793844650769159"/>
    <n v="0"/>
    <n v="0"/>
    <n v="0"/>
    <n v="2.2509317119267607"/>
    <n v="0"/>
    <n v="-4.3709022359679963"/>
    <m/>
    <n v="0"/>
    <n v="0"/>
    <n v="0"/>
    <n v="0"/>
    <n v="-0.58833806062175675"/>
    <n v="-0.1331456251008043"/>
    <n v="0"/>
    <n v="-15.883537735078477"/>
    <m/>
    <m/>
    <m/>
    <n v="420.46881272258651"/>
    <n v="0"/>
    <n v="0"/>
    <n v="-225.06450000000001"/>
    <n v="27.662290000000013"/>
    <n v="0"/>
    <n v="0"/>
    <n v="-214.77644612938172"/>
    <n v="0"/>
    <n v="0"/>
    <n v="0"/>
    <n v="0"/>
    <n v="0"/>
    <n v="0"/>
    <n v="0"/>
    <n v="0"/>
    <n v="0"/>
    <n v="0"/>
    <n v="0"/>
    <n v="0"/>
    <n v="29.5596791186774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30"/>
    <s v="Regular"/>
    <s v="Convencional"/>
    <s v="B1"/>
    <s v="Residencial"/>
    <s v="Residencial"/>
    <s v="Não se aplica"/>
    <s v="Não se aplica"/>
    <s v="Não se aplica"/>
    <s v="CATIVO"/>
    <x v="2"/>
    <n v="0"/>
    <n v="0"/>
    <n v="1188.577"/>
    <n v="1188.577"/>
    <n v="1188.577"/>
    <n v="1188.577"/>
    <m/>
    <n v="648.44000000000005"/>
    <n v="159.41"/>
    <m/>
    <n v="960191.92944999994"/>
    <n v="960191.92944999994"/>
    <n v="727195.18014000007"/>
    <n v="0"/>
    <n v="73656.414583061473"/>
    <n v="0"/>
    <n v="0"/>
    <n v="0"/>
    <n v="138640.88217368047"/>
    <n v="496285.56109173165"/>
    <n v="183315.08257871695"/>
    <n v="6158.9055870319135"/>
    <n v="0"/>
    <n v="0"/>
    <n v="0"/>
    <n v="0"/>
    <n v="11381.87914061903"/>
    <m/>
    <n v="2466.4109510728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399.747167997695"/>
    <n v="0"/>
    <n v="4240.3100000000004"/>
    <n v="20632.849999999999"/>
    <n v="372867.1"/>
    <n v="7252"/>
    <m/>
    <m/>
    <m/>
    <m/>
    <m/>
    <m/>
    <m/>
    <m/>
    <m/>
    <n v="196714.82974671465"/>
    <m/>
    <m/>
    <m/>
    <m/>
    <m/>
    <m/>
    <m/>
    <m/>
    <m/>
    <m/>
    <m/>
    <m/>
    <n v="727197.01559999993"/>
    <n v="-232994.94385000004"/>
    <m/>
    <m/>
    <m/>
    <m/>
    <n v="-265646.95950000006"/>
    <n v="32650.210189999998"/>
    <n v="30"/>
    <n v="20507.72897099721"/>
    <n v="0"/>
    <n v="0"/>
    <n v="0"/>
    <n v="0"/>
    <n v="0"/>
    <n v="0"/>
    <n v="0"/>
    <n v="6262.6835463175084"/>
    <n v="0"/>
    <n v="0"/>
    <n v="36346.430480116425"/>
    <n v="0"/>
    <n v="0"/>
    <n v="0"/>
    <n v="2656.8080053294671"/>
    <n v="0"/>
    <n v="-5159.0405828402436"/>
    <m/>
    <n v="0"/>
    <n v="0"/>
    <n v="0"/>
    <n v="0"/>
    <n v="-694.42411825186355"/>
    <n v="-157.15375138573881"/>
    <n v="0"/>
    <n v="-18747.574608288356"/>
    <m/>
    <m/>
    <m/>
    <n v="496285.56109173165"/>
    <n v="0"/>
    <n v="0"/>
    <n v="-265646.9595"/>
    <n v="32650.210190000013"/>
    <n v="0"/>
    <n v="0"/>
    <n v="-253503.81729009157"/>
    <n v="0"/>
    <n v="0"/>
    <n v="0"/>
    <n v="0"/>
    <n v="0"/>
    <n v="0"/>
    <n v="0"/>
    <n v="0"/>
    <n v="0"/>
    <n v="0"/>
    <n v="0"/>
    <n v="0"/>
    <n v="34889.72664135081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31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.3080000000000001"/>
    <n v="-1.3080000000000001"/>
    <n v="-1.3080000000000001"/>
    <n v="-1.3080000000000001"/>
    <m/>
    <n v="648.44000000000005"/>
    <n v="159.41"/>
    <m/>
    <n v="-1056.6678000000002"/>
    <n v="-1056.6678000000002"/>
    <n v="-800.26055999999994"/>
    <n v="0"/>
    <n v="-81.057087824048764"/>
    <n v="0"/>
    <n v="0"/>
    <n v="0"/>
    <n v="-152.57090948518612"/>
    <n v="-546.15015594949671"/>
    <n v="-201.73377746074658"/>
    <n v="-6.7777253874488093"/>
    <n v="0"/>
    <n v="0"/>
    <n v="0"/>
    <n v="0"/>
    <n v="-12.525480398770707"/>
    <m/>
    <n v="-2.7142250977456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.746094948615854"/>
    <n v="0"/>
    <n v="-3.57"/>
    <n v="-23.39"/>
    <n v="-393.87"/>
    <n v="0"/>
    <m/>
    <m/>
    <m/>
    <m/>
    <m/>
    <m/>
    <m/>
    <m/>
    <m/>
    <n v="-216.47987240936243"/>
    <m/>
    <m/>
    <m/>
    <m/>
    <m/>
    <m/>
    <m/>
    <m/>
    <m/>
    <m/>
    <m/>
    <m/>
    <n v="-801.4842000000001"/>
    <n v="255.1536000000001"/>
    <m/>
    <m/>
    <m/>
    <m/>
    <n v="292.33800000000008"/>
    <n v="-35.930759999999999"/>
    <n v="30"/>
    <n v="-22.568255564481092"/>
    <n v="0"/>
    <n v="0"/>
    <n v="0"/>
    <n v="0"/>
    <n v="0"/>
    <n v="0"/>
    <n v="0"/>
    <n v="-6.8919305005761657"/>
    <n v="0"/>
    <n v="0"/>
    <n v="-39.998360281237382"/>
    <n v="0"/>
    <n v="0"/>
    <n v="0"/>
    <n v="-2.9237524123140037"/>
    <n v="0"/>
    <n v="5.6773983362920859"/>
    <m/>
    <n v="0"/>
    <n v="0"/>
    <n v="0"/>
    <n v="0"/>
    <n v="0.76419680565368076"/>
    <n v="0.17294387053808569"/>
    <n v="0"/>
    <n v="20.631248617162512"/>
    <m/>
    <m/>
    <m/>
    <n v="-546.15015594949671"/>
    <n v="0"/>
    <n v="0"/>
    <n v="292.33800000000019"/>
    <n v="-35.930759999999992"/>
    <n v="0"/>
    <n v="0"/>
    <n v="278.97476816011056"/>
    <n v="0"/>
    <n v="0"/>
    <n v="0"/>
    <n v="0"/>
    <n v="0"/>
    <n v="0"/>
    <n v="0"/>
    <n v="0"/>
    <n v="0"/>
    <n v="0"/>
    <n v="0"/>
    <n v="0"/>
    <n v="-38.39529323458796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32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18.806999999999999"/>
    <n v="18.806999999999999"/>
    <n v="18.806999999999999"/>
    <n v="18.806999999999999"/>
    <m/>
    <n v="648.44000000000005"/>
    <n v="159.41"/>
    <m/>
    <n v="15193.23495"/>
    <n v="15193.23495"/>
    <n v="11506.498739999999"/>
    <n v="0"/>
    <n v="1165.4745035985359"/>
    <n v="0"/>
    <n v="0"/>
    <n v="0"/>
    <n v="2193.7317237675038"/>
    <n v="7852.7874487325571"/>
    <n v="2900.6170892234404"/>
    <n v="97.453120307148126"/>
    <n v="0"/>
    <n v="0"/>
    <n v="0"/>
    <n v="0"/>
    <n v="180.09687298140724"/>
    <m/>
    <n v="39.026323710476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.02584686438709"/>
    <n v="0"/>
    <n v="67.010000000000005"/>
    <n v="328.36"/>
    <n v="15319.56"/>
    <n v="167"/>
    <m/>
    <m/>
    <m/>
    <m/>
    <m/>
    <m/>
    <m/>
    <m/>
    <m/>
    <n v="3112.6429360878274"/>
    <m/>
    <m/>
    <m/>
    <m/>
    <m/>
    <m/>
    <m/>
    <m/>
    <m/>
    <m/>
    <m/>
    <m/>
    <n v="11508.334199999999"/>
    <n v="-3684.9307500000014"/>
    <m/>
    <m/>
    <m/>
    <m/>
    <n v="-4203.3645000000006"/>
    <n v="516.62828999999999"/>
    <n v="30"/>
    <n v="324.49631682048584"/>
    <n v="0"/>
    <n v="0"/>
    <n v="0"/>
    <n v="0"/>
    <n v="0"/>
    <n v="0"/>
    <n v="0"/>
    <n v="99.095211715853111"/>
    <n v="0"/>
    <n v="0"/>
    <n v="575.11403808045225"/>
    <n v="0"/>
    <n v="0"/>
    <n v="0"/>
    <n v="42.038999708248866"/>
    <n v="0"/>
    <n v="-81.632133417924479"/>
    <m/>
    <n v="0"/>
    <n v="0"/>
    <n v="0"/>
    <n v="0"/>
    <n v="-10.98795819872231"/>
    <n v="-2.4866631293652759"/>
    <n v="0"/>
    <n v="-296.64517793805453"/>
    <m/>
    <m/>
    <m/>
    <n v="7852.7874487325571"/>
    <n v="0"/>
    <n v="0"/>
    <n v="-4203.3645000000015"/>
    <n v="516.62829000000011"/>
    <n v="0"/>
    <n v="0"/>
    <n v="-4011.2220678801218"/>
    <n v="0"/>
    <n v="0"/>
    <n v="0"/>
    <n v="0"/>
    <n v="0"/>
    <n v="0"/>
    <n v="0"/>
    <n v="0"/>
    <n v="0"/>
    <n v="0"/>
    <n v="0"/>
    <n v="0"/>
    <n v="552.064434145944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33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-0.05"/>
    <n v="-0.05"/>
    <n v="-0.05"/>
    <n v="-0.05"/>
    <m/>
    <n v="648.44000000000005"/>
    <n v="159.41"/>
    <m/>
    <n v="-40.392500000000005"/>
    <n v="-40.392500000000005"/>
    <n v="-30.591000000000001"/>
    <n v="0"/>
    <n v="-3.0985125315003352"/>
    <n v="0"/>
    <n v="0"/>
    <n v="0"/>
    <n v="-5.8322213105958003"/>
    <n v="-20.877299539353853"/>
    <n v="-7.7115358356554502"/>
    <n v="-0.25908736190553555"/>
    <n v="0"/>
    <n v="0"/>
    <n v="0"/>
    <n v="0"/>
    <n v="-0.47880276753710654"/>
    <m/>
    <n v="-0.103754782023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563688644824765"/>
    <n v="0"/>
    <n v="-0.43"/>
    <n v="-2.67"/>
    <n v="-61.56"/>
    <n v="4"/>
    <m/>
    <m/>
    <m/>
    <m/>
    <m/>
    <m/>
    <m/>
    <m/>
    <m/>
    <n v="-8.2752244804802153"/>
    <m/>
    <m/>
    <m/>
    <m/>
    <m/>
    <m/>
    <m/>
    <m/>
    <m/>
    <m/>
    <m/>
    <m/>
    <n v="-30.591000000000001"/>
    <n v="9.7715000000000103"/>
    <m/>
    <m/>
    <m/>
    <m/>
    <n v="11.175000000000004"/>
    <n v="-1.3734999999999999"/>
    <n v="30"/>
    <n v="-0.86270090078291517"/>
    <n v="0"/>
    <n v="0"/>
    <n v="0"/>
    <n v="0"/>
    <n v="0"/>
    <n v="0"/>
    <n v="0"/>
    <n v="-0.26345300078654965"/>
    <n v="0"/>
    <n v="0"/>
    <n v="-1.52898930738675"/>
    <n v="0"/>
    <n v="0"/>
    <n v="0"/>
    <n v="-0.11176423594472507"/>
    <n v="0"/>
    <n v="0.21702593028639505"/>
    <m/>
    <n v="0"/>
    <n v="0"/>
    <n v="0"/>
    <n v="0"/>
    <n v="2.9212416118259976E-2"/>
    <n v="6.6110042254619861E-3"/>
    <n v="0"/>
    <n v="0.78865629270498905"/>
    <m/>
    <m/>
    <m/>
    <n v="-20.877299539353853"/>
    <n v="0"/>
    <n v="0"/>
    <n v="11.175000000000004"/>
    <n v="-1.3734999999999991"/>
    <n v="0"/>
    <n v="0"/>
    <n v="10.664173094805452"/>
    <n v="0"/>
    <n v="0"/>
    <n v="0"/>
    <n v="0"/>
    <n v="0"/>
    <n v="0"/>
    <n v="0"/>
    <n v="0"/>
    <n v="0"/>
    <n v="0"/>
    <n v="0"/>
    <n v="0"/>
    <n v="-1.467709986031650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34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19.71"/>
    <n v="19.71"/>
    <n v="19.71"/>
    <n v="19.71"/>
    <m/>
    <n v="547.54"/>
    <n v="159.41"/>
    <m/>
    <n v="13933.9845"/>
    <n v="13933.9845"/>
    <n v="10206.2322"/>
    <n v="0"/>
    <n v="0"/>
    <n v="0"/>
    <n v="0"/>
    <n v="0"/>
    <n v="2299.0616406368645"/>
    <n v="8229.831478413289"/>
    <n v="3039.8874264153783"/>
    <n v="102.13223806316211"/>
    <n v="0"/>
    <n v="0"/>
    <n v="0"/>
    <n v="0"/>
    <n v="0"/>
    <m/>
    <n v="40.9001350738284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2.20606378992238"/>
    <n v="0"/>
    <n v="17.47"/>
    <n v="75.91"/>
    <n v="1426.54"/>
    <n v="31"/>
    <m/>
    <m/>
    <m/>
    <m/>
    <m/>
    <m/>
    <m/>
    <n v="6633.9918000000007"/>
    <m/>
    <n v="3262.0934902053004"/>
    <m/>
    <m/>
    <m/>
    <m/>
    <m/>
    <m/>
    <m/>
    <m/>
    <m/>
    <m/>
    <m/>
    <m/>
    <n v="3572.2404000000001"/>
    <n v="-1304.6349000000005"/>
    <m/>
    <m/>
    <m/>
    <m/>
    <n v="-4269.1859999999997"/>
    <n v="541.43370000000004"/>
    <n v="30"/>
    <n v="475.97370849944036"/>
    <n v="0"/>
    <n v="0"/>
    <n v="0"/>
    <n v="0"/>
    <n v="0"/>
    <n v="0"/>
    <n v="0"/>
    <n v="103.85317291005776"/>
    <n v="0"/>
    <n v="0"/>
    <n v="602.72758497185714"/>
    <n v="0"/>
    <n v="0"/>
    <n v="0"/>
    <n v="44.057461809410597"/>
    <n v="0"/>
    <n v="0"/>
    <m/>
    <n v="0"/>
    <n v="0"/>
    <n v="0"/>
    <n v="0"/>
    <n v="0"/>
    <n v="-2.6060578656771156"/>
    <n v="0"/>
    <n v="-272.05845332620856"/>
    <m/>
    <m/>
    <m/>
    <n v="8229.831478413289"/>
    <n v="0"/>
    <n v="0"/>
    <n v="-4269.1859999999997"/>
    <n v="541.43370000000004"/>
    <n v="0"/>
    <n v="0"/>
    <n v="-4203.8170339723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35"/>
    <s v="Sistema de Compensação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4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36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40.024999999999999"/>
    <n v="40.024999999999999"/>
    <n v="40.024999999999999"/>
    <n v="40.024999999999999"/>
    <m/>
    <n v="547.54"/>
    <n v="159.41"/>
    <m/>
    <n v="28295.673749999998"/>
    <n v="28295.673749999998"/>
    <n v="20725.745499999997"/>
    <n v="0"/>
    <n v="0"/>
    <n v="0"/>
    <n v="0"/>
    <n v="0"/>
    <n v="4668.693159131938"/>
    <n v="16712.278281252758"/>
    <n v="6173.0844364421873"/>
    <n v="207.39943320538117"/>
    <n v="0"/>
    <n v="0"/>
    <n v="0"/>
    <n v="0"/>
    <n v="0"/>
    <m/>
    <n v="83.0557030101463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1.23276018222435"/>
    <n v="0"/>
    <n v="63.62"/>
    <n v="310.39"/>
    <n v="5596.51"/>
    <n v="147"/>
    <m/>
    <m/>
    <m/>
    <m/>
    <m/>
    <m/>
    <m/>
    <n v="8290.3782499999998"/>
    <m/>
    <n v="6624.3171966244117"/>
    <m/>
    <m/>
    <m/>
    <m/>
    <m/>
    <m/>
    <m/>
    <m/>
    <m/>
    <m/>
    <m/>
    <m/>
    <n v="12436.920700000001"/>
    <n v="-4540.5135499999978"/>
    <m/>
    <m/>
    <m/>
    <m/>
    <n v="-8669.4149999999991"/>
    <n v="1099.48675"/>
    <n v="30"/>
    <n v="966.557467411978"/>
    <n v="0"/>
    <n v="0"/>
    <n v="0"/>
    <n v="0"/>
    <n v="0"/>
    <n v="0"/>
    <n v="0"/>
    <n v="210.89412712963258"/>
    <n v="0"/>
    <n v="0"/>
    <n v="1223.9559405630935"/>
    <n v="0"/>
    <n v="0"/>
    <n v="0"/>
    <n v="89.467270873752398"/>
    <n v="0"/>
    <n v="0"/>
    <m/>
    <n v="0"/>
    <n v="0"/>
    <n v="0"/>
    <n v="0"/>
    <n v="0"/>
    <n v="-5.2921088824823244"/>
    <n v="0"/>
    <n v="-552.46776227201917"/>
    <m/>
    <m/>
    <m/>
    <n v="16712.278281252758"/>
    <n v="0"/>
    <n v="0"/>
    <n v="-8669.4149999999991"/>
    <n v="1099.48675"/>
    <n v="0"/>
    <n v="0"/>
    <n v="-8536.6705623917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37"/>
    <s v="Sistema de Compensação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9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38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33.164000000000001"/>
    <n v="33.164000000000001"/>
    <n v="33.164000000000001"/>
    <n v="33.164000000000001"/>
    <m/>
    <n v="547.54"/>
    <n v="159.41"/>
    <m/>
    <n v="23445.289799999999"/>
    <n v="23445.289799999999"/>
    <n v="17172.982480000002"/>
    <n v="0"/>
    <n v="0"/>
    <n v="0"/>
    <n v="0"/>
    <n v="0"/>
    <n v="3868.3957508919825"/>
    <n v="13847.495238462623"/>
    <n v="5114.9074890735465"/>
    <n v="171.8474654047036"/>
    <n v="0"/>
    <n v="0"/>
    <n v="0"/>
    <n v="0"/>
    <n v="0"/>
    <m/>
    <n v="68.818471820824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3.88340433937014"/>
    <n v="0"/>
    <n v="92.72"/>
    <n v="463.52"/>
    <n v="8462.7099999999991"/>
    <n v="385"/>
    <m/>
    <m/>
    <m/>
    <m/>
    <m/>
    <m/>
    <m/>
    <n v="1717.563560000001"/>
    <m/>
    <n v="5488.7908934129164"/>
    <m/>
    <m/>
    <m/>
    <m/>
    <m/>
    <m/>
    <m/>
    <m/>
    <m/>
    <m/>
    <m/>
    <m/>
    <n v="15453.554799999998"/>
    <n v="-5647.4018400000023"/>
    <m/>
    <m/>
    <m/>
    <m/>
    <n v="-7183.3223999999991"/>
    <n v="911.01508000000001"/>
    <n v="30"/>
    <n v="800.87225107435188"/>
    <n v="0"/>
    <n v="0"/>
    <n v="0"/>
    <n v="0"/>
    <n v="0"/>
    <n v="0"/>
    <n v="0"/>
    <n v="174.74310636170276"/>
    <n v="0"/>
    <n v="0"/>
    <n v="1014.1480278034842"/>
    <n v="0"/>
    <n v="0"/>
    <n v="0"/>
    <n v="74.130982417417215"/>
    <n v="0"/>
    <n v="0"/>
    <m/>
    <n v="0"/>
    <n v="0"/>
    <n v="0"/>
    <n v="0"/>
    <n v="0"/>
    <n v="-4.3849468826644369"/>
    <n v="0"/>
    <n v="-457.7649186255901"/>
    <m/>
    <m/>
    <m/>
    <n v="13847.495238462623"/>
    <n v="0"/>
    <n v="0"/>
    <n v="-7183.3223999999973"/>
    <n v="911.01508000000013"/>
    <n v="0"/>
    <n v="0"/>
    <n v="-7073.3327303225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39"/>
    <s v="Sistema de Compensação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.3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40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5.2869999999999999"/>
    <n v="5.2869999999999999"/>
    <n v="5.2869999999999999"/>
    <n v="5.2869999999999999"/>
    <m/>
    <n v="547.54"/>
    <n v="159.41"/>
    <m/>
    <n v="3737.6446499999997"/>
    <n v="3737.6446499999997"/>
    <n v="2737.71434"/>
    <n v="0"/>
    <n v="0"/>
    <n v="0"/>
    <n v="0"/>
    <n v="0"/>
    <n v="616.69908138239987"/>
    <n v="2207.5656532912762"/>
    <n v="815.41779926220727"/>
    <n v="27.395897647891324"/>
    <n v="0"/>
    <n v="0"/>
    <n v="0"/>
    <n v="0"/>
    <n v="0"/>
    <m/>
    <n v="10.9710306512090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604437303770652"/>
    <n v="0"/>
    <n v="22.58"/>
    <n v="113.5"/>
    <n v="2057.17"/>
    <n v="94"/>
    <m/>
    <m/>
    <m/>
    <m/>
    <m/>
    <m/>
    <m/>
    <m/>
    <m/>
    <n v="875.02223656597789"/>
    <m/>
    <m/>
    <m/>
    <m/>
    <m/>
    <m/>
    <m/>
    <m/>
    <m/>
    <m/>
    <m/>
    <m/>
    <n v="2739.2678000000001"/>
    <n v="-998.4068500000003"/>
    <m/>
    <m/>
    <m/>
    <m/>
    <n v="-1145.1641999999997"/>
    <n v="145.23389"/>
    <n v="30"/>
    <n v="127.67493641991564"/>
    <n v="0"/>
    <n v="0"/>
    <n v="0"/>
    <n v="0"/>
    <n v="0"/>
    <n v="0"/>
    <n v="0"/>
    <n v="27.857520303169849"/>
    <n v="0"/>
    <n v="0"/>
    <n v="161.67532936307498"/>
    <n v="0"/>
    <n v="0"/>
    <n v="0"/>
    <n v="11.817950308795218"/>
    <n v="0"/>
    <n v="0"/>
    <m/>
    <n v="0"/>
    <n v="0"/>
    <n v="0"/>
    <n v="0"/>
    <n v="0"/>
    <n v="-0.69904758680035073"/>
    <n v="0"/>
    <n v="-72.976815968323933"/>
    <m/>
    <m/>
    <m/>
    <n v="2207.5656532912762"/>
    <n v="0"/>
    <n v="0"/>
    <n v="-1145.1641999999997"/>
    <n v="145.23388999999997"/>
    <n v="0"/>
    <n v="0"/>
    <n v="-1127.6296630447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41"/>
    <s v="Sistema de Compensação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.6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42"/>
    <s v="Regular"/>
    <s v="Convencional"/>
    <s v="B3"/>
    <s v="Industrial"/>
    <s v="Não se aplica"/>
    <s v="Não se aplica"/>
    <s v="Não se aplica"/>
    <s v="Não se aplica"/>
    <s v="CATIVO"/>
    <x v="2"/>
    <n v="0"/>
    <n v="0"/>
    <n v="97.361999999999995"/>
    <n v="97.361999999999995"/>
    <n v="97.361999999999995"/>
    <n v="97.361999999999995"/>
    <m/>
    <n v="648.44000000000005"/>
    <n v="159.41"/>
    <m/>
    <n v="78653.891700000007"/>
    <n v="78653.891700000007"/>
    <n v="59568.01883999999"/>
    <n v="0"/>
    <n v="6033.5475418387123"/>
    <n v="0"/>
    <n v="0"/>
    <n v="0"/>
    <n v="11356.734624844565"/>
    <n v="40653.112755011389"/>
    <n v="15016.211040621716"/>
    <n v="504.50527459693495"/>
    <n v="0"/>
    <n v="0"/>
    <n v="0"/>
    <n v="0"/>
    <n v="932.34390105895523"/>
    <m/>
    <n v="202.03546174825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7.6370767485753"/>
    <n v="0"/>
    <n v="299.02999999999997"/>
    <n v="1444.19"/>
    <n v="15411.16"/>
    <n v="86"/>
    <m/>
    <m/>
    <m/>
    <m/>
    <m/>
    <m/>
    <m/>
    <m/>
    <m/>
    <n v="16113.848117370291"/>
    <m/>
    <m/>
    <m/>
    <m/>
    <m/>
    <m/>
    <m/>
    <m/>
    <m/>
    <m/>
    <m/>
    <m/>
    <n v="59566.7952"/>
    <n v="-19087.126499999991"/>
    <m/>
    <m/>
    <m/>
    <m/>
    <n v="-21760.407000000003"/>
    <n v="2674.5341399999998"/>
    <n v="30"/>
    <n v="1679.8857020405339"/>
    <n v="0"/>
    <n v="0"/>
    <n v="0"/>
    <n v="0"/>
    <n v="0"/>
    <n v="0"/>
    <n v="0"/>
    <n v="513.00622125160226"/>
    <n v="0"/>
    <n v="0"/>
    <n v="2977.3091389157762"/>
    <n v="0"/>
    <n v="0"/>
    <n v="0"/>
    <n v="217.63179080100645"/>
    <n v="0"/>
    <n v="-422.60157249088024"/>
    <m/>
    <n v="0"/>
    <n v="0"/>
    <n v="0"/>
    <n v="0"/>
    <n v="-56.883585162120539"/>
    <n v="-12.873211867988601"/>
    <n v="0"/>
    <n v="-1535.7030794068628"/>
    <m/>
    <m/>
    <m/>
    <n v="40653.112755011389"/>
    <n v="0"/>
    <n v="0"/>
    <n v="-21760.407000000007"/>
    <n v="2674.5341399999998"/>
    <n v="0"/>
    <n v="0"/>
    <n v="-20765.704417128964"/>
    <n v="0"/>
    <n v="0"/>
    <n v="0"/>
    <n v="0"/>
    <n v="0"/>
    <n v="0"/>
    <n v="0"/>
    <n v="0"/>
    <n v="0"/>
    <n v="0"/>
    <n v="0"/>
    <n v="0"/>
    <n v="2857.983593200270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43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14.502000000000001"/>
    <n v="14.502000000000001"/>
    <n v="14.502000000000001"/>
    <n v="14.502000000000001"/>
    <m/>
    <n v="648.44000000000005"/>
    <n v="159.41"/>
    <m/>
    <n v="11715.440700000001"/>
    <n v="11715.440700000001"/>
    <n v="8872.6136399999996"/>
    <n v="0"/>
    <n v="898.69257463635722"/>
    <n v="0"/>
    <n v="0"/>
    <n v="0"/>
    <n v="1691.5774689252059"/>
    <n v="6055.2519583941912"/>
    <n v="2236.6538537735069"/>
    <n v="75.145698447081529"/>
    <n v="0"/>
    <n v="0"/>
    <n v="0"/>
    <n v="0"/>
    <n v="138.87195469646238"/>
    <m/>
    <n v="30.0930369782171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49225454497486"/>
    <n v="0"/>
    <n v="44.4"/>
    <n v="214.69"/>
    <n v="4449.05"/>
    <n v="17"/>
    <m/>
    <m/>
    <m/>
    <m/>
    <m/>
    <m/>
    <m/>
    <m/>
    <m/>
    <n v="2400.1461083184818"/>
    <m/>
    <m/>
    <m/>
    <m/>
    <m/>
    <m/>
    <m/>
    <m/>
    <m/>
    <m/>
    <m/>
    <m/>
    <n v="8871.39"/>
    <n v="-2844.0807000000023"/>
    <m/>
    <m/>
    <m/>
    <m/>
    <n v="-3241.197000000001"/>
    <n v="398.36993999999999"/>
    <n v="30"/>
    <n v="250.21776926307848"/>
    <n v="0"/>
    <n v="0"/>
    <n v="0"/>
    <n v="0"/>
    <n v="0"/>
    <n v="0"/>
    <n v="0"/>
    <n v="76.411908348130964"/>
    <n v="0"/>
    <n v="0"/>
    <n v="443.46805871445304"/>
    <n v="0"/>
    <n v="0"/>
    <n v="0"/>
    <n v="32.416098993408042"/>
    <n v="0"/>
    <n v="-62.946200820265972"/>
    <m/>
    <n v="0"/>
    <n v="0"/>
    <n v="0"/>
    <n v="0"/>
    <n v="-8.4727691709401256"/>
    <n v="-1.9174556655529962"/>
    <n v="0"/>
    <n v="-228.741871136155"/>
    <m/>
    <m/>
    <m/>
    <n v="6055.2519583941912"/>
    <n v="0"/>
    <n v="0"/>
    <n v="-3241.197000000001"/>
    <n v="398.36994000000004"/>
    <n v="0"/>
    <n v="0"/>
    <n v="-3093.036764417373"/>
    <n v="0"/>
    <n v="0"/>
    <n v="0"/>
    <n v="0"/>
    <n v="0"/>
    <n v="0"/>
    <n v="0"/>
    <n v="0"/>
    <n v="0"/>
    <n v="0"/>
    <n v="0"/>
    <n v="0"/>
    <n v="425.6946043486198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44"/>
    <s v="Regular"/>
    <s v="Verde"/>
    <s v="A4"/>
    <s v="Industrial"/>
    <s v="Não se aplica"/>
    <s v="Não se aplica"/>
    <s v="Não se aplica"/>
    <s v="Ponta"/>
    <s v="CATIVO"/>
    <x v="2"/>
    <n v="0"/>
    <n v="0"/>
    <n v="13.275"/>
    <n v="13.275"/>
    <n v="13.275"/>
    <n v="13.275"/>
    <m/>
    <n v="2810.7"/>
    <n v="159.41"/>
    <m/>
    <n v="39428.210249999996"/>
    <n v="39428.210249999996"/>
    <n v="25112.184749999997"/>
    <n v="0"/>
    <n v="715.70991708860447"/>
    <n v="0"/>
    <n v="0"/>
    <n v="0"/>
    <n v="8104.5945022082169"/>
    <n v="27942.400201807093"/>
    <n v="2047.412764366522"/>
    <n v="68.787694585919681"/>
    <n v="0"/>
    <n v="0"/>
    <n v="0"/>
    <n v="0"/>
    <n v="127.12213478110179"/>
    <m/>
    <n v="14.253810670089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895582114926256"/>
    <n v="0"/>
    <n v="0"/>
    <n v="0"/>
    <n v="0"/>
    <n v="0"/>
    <m/>
    <m/>
    <m/>
    <m/>
    <m/>
    <m/>
    <m/>
    <m/>
    <m/>
    <n v="2116.3083464814481"/>
    <m/>
    <m/>
    <m/>
    <m/>
    <m/>
    <m/>
    <m/>
    <m/>
    <m/>
    <m/>
    <m/>
    <m/>
    <n v="25121.643199999999"/>
    <n v="-14306.597050000004"/>
    <m/>
    <m/>
    <m/>
    <m/>
    <n v="-14680.68975"/>
    <n v="364.66424999999998"/>
    <n v="30"/>
    <n v="-42.912725107844381"/>
    <n v="0"/>
    <n v="0"/>
    <n v="0"/>
    <n v="0"/>
    <n v="0"/>
    <n v="0"/>
    <n v="0"/>
    <n v="366.10060353604695"/>
    <n v="0"/>
    <n v="0"/>
    <n v="405.94666111118204"/>
    <n v="0"/>
    <n v="0"/>
    <n v="0"/>
    <n v="13.660133418929348"/>
    <n v="0"/>
    <n v="-50.129734507203352"/>
    <m/>
    <n v="0"/>
    <n v="0"/>
    <n v="0"/>
    <n v="0"/>
    <n v="-7.7558964793980323"/>
    <n v="-0.90821840430611012"/>
    <n v="0"/>
    <n v="-769.82627378309292"/>
    <m/>
    <m/>
    <m/>
    <n v="27942.400201807093"/>
    <n v="0"/>
    <n v="0"/>
    <n v="-14680.689749999998"/>
    <n v="364.66424999999981"/>
    <n v="0"/>
    <n v="0"/>
    <n v="-14273.042922754294"/>
    <n v="0"/>
    <n v="0"/>
    <n v="0"/>
    <n v="0"/>
    <n v="0"/>
    <n v="0"/>
    <n v="0"/>
    <n v="0"/>
    <n v="0"/>
    <n v="0"/>
    <n v="0"/>
    <n v="0"/>
    <n v="339.0189911235205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45"/>
    <s v="Regular"/>
    <s v="Verde"/>
    <s v="A4"/>
    <s v="Industrial"/>
    <s v="Não se aplica"/>
    <s v="Não se aplica"/>
    <s v="Não se aplica"/>
    <s v="Fora ponta"/>
    <s v="CATIVO"/>
    <x v="2"/>
    <n v="0"/>
    <n v="0"/>
    <n v="468.666"/>
    <n v="468.666"/>
    <n v="468.666"/>
    <n v="468.666"/>
    <m/>
    <n v="95.29"/>
    <n v="159.41"/>
    <m/>
    <n v="119369.23019999999"/>
    <n v="119369.23019999999"/>
    <n v="129778.30205999999"/>
    <n v="0"/>
    <n v="25267.714049133552"/>
    <n v="0"/>
    <n v="0"/>
    <n v="0"/>
    <n v="0"/>
    <n v="0"/>
    <n v="72282.693079065939"/>
    <n v="2428.508751096394"/>
    <n v="0"/>
    <n v="0"/>
    <n v="0"/>
    <n v="0"/>
    <n v="4487.9715570109111"/>
    <m/>
    <n v="503.22233005711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2.3176563068946"/>
    <n v="0"/>
    <n v="0"/>
    <n v="0"/>
    <n v="0"/>
    <n v="0"/>
    <m/>
    <m/>
    <m/>
    <m/>
    <m/>
    <m/>
    <m/>
    <m/>
    <m/>
    <n v="74715.010735372838"/>
    <m/>
    <m/>
    <m/>
    <m/>
    <m/>
    <m/>
    <m/>
    <m/>
    <m/>
    <m/>
    <m/>
    <m/>
    <n v="129779.4097"/>
    <n v="10410.1495"/>
    <m/>
    <m/>
    <m/>
    <m/>
    <n v="-2465.1831600000023"/>
    <n v="12874.255019999999"/>
    <n v="30"/>
    <n v="10407.590504998559"/>
    <n v="0"/>
    <n v="0"/>
    <n v="0"/>
    <n v="0"/>
    <n v="0"/>
    <n v="0"/>
    <n v="0"/>
    <n v="0"/>
    <n v="0"/>
    <n v="0"/>
    <n v="14331.706054714377"/>
    <n v="0"/>
    <n v="0"/>
    <n v="0"/>
    <n v="482.26290688632344"/>
    <n v="0"/>
    <n v="-1769.8005387987178"/>
    <m/>
    <n v="0"/>
    <n v="0"/>
    <n v="0"/>
    <n v="0"/>
    <n v="-273.81732424960865"/>
    <n v="-32.064111990397521"/>
    <n v="0"/>
    <n v="-2330.6964815633974"/>
    <m/>
    <m/>
    <m/>
    <n v="0"/>
    <n v="0"/>
    <n v="0"/>
    <n v="-2465.1831600000005"/>
    <n v="12874.255019999997"/>
    <n v="0"/>
    <n v="0"/>
    <n v="0"/>
    <n v="0"/>
    <n v="0"/>
    <n v="0"/>
    <n v="0"/>
    <n v="0"/>
    <n v="0"/>
    <n v="0"/>
    <n v="0"/>
    <n v="0"/>
    <n v="0"/>
    <n v="0"/>
    <n v="0"/>
    <n v="11968.86436865505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46"/>
    <s v="Regular"/>
    <s v="Verde"/>
    <s v="A4"/>
    <s v="Industrial"/>
    <s v="Não se aplica"/>
    <s v="Não se aplica"/>
    <s v="Não se aplica"/>
    <s v="Não se aplica"/>
    <s v="CATIVO"/>
    <x v="2"/>
    <n v="2112"/>
    <n v="2112"/>
    <n v="0"/>
    <n v="0"/>
    <n v="0"/>
    <n v="0"/>
    <n v="43.29"/>
    <m/>
    <m/>
    <n v="91428.479999999996"/>
    <m/>
    <n v="91428.479999999996"/>
    <n v="70730.880000000005"/>
    <n v="0"/>
    <n v="0"/>
    <n v="0"/>
    <n v="0"/>
    <n v="0"/>
    <n v="49978.340878621057"/>
    <n v="41456.8431644328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42.04"/>
    <n v="5991.27"/>
    <n v="62759.35"/>
    <n v="13"/>
    <m/>
    <m/>
    <m/>
    <m/>
    <m/>
    <m/>
    <m/>
    <m/>
    <m/>
    <n v="0"/>
    <m/>
    <m/>
    <m/>
    <m/>
    <m/>
    <m/>
    <m/>
    <m/>
    <m/>
    <m/>
    <m/>
    <m/>
    <n v="70730.880000000005"/>
    <n v="-20697.629999999976"/>
    <m/>
    <m/>
    <m/>
    <m/>
    <n v="-20697.599999999995"/>
    <n v="0"/>
    <n v="30"/>
    <n v="472.37022669336875"/>
    <n v="0"/>
    <n v="0"/>
    <n v="0"/>
    <n v="0"/>
    <m/>
    <m/>
    <m/>
    <n v="2257.6207550430336"/>
    <n v="0"/>
    <n v="0"/>
    <m/>
    <m/>
    <n v="0"/>
    <n v="0"/>
    <n v="0"/>
    <n v="0"/>
    <n v="0"/>
    <m/>
    <n v="0"/>
    <n v="0"/>
    <m/>
    <n v="0"/>
    <n v="0"/>
    <n v="0"/>
    <n v="0"/>
    <n v="-1785.2505283496673"/>
    <m/>
    <m/>
    <n v="41456.843164432816"/>
    <m/>
    <n v="0"/>
    <n v="0"/>
    <n v="-20697.599999999991"/>
    <m/>
    <n v="0"/>
    <m/>
    <n v="-21176.251777024481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47"/>
    <s v="Refaturamento - Regular"/>
    <s v="Verde"/>
    <s v="A4"/>
    <s v="Industrial"/>
    <s v="Não se aplica"/>
    <s v="Não se aplica"/>
    <s v="Não se aplica"/>
    <s v="Não se aplica"/>
    <s v="CATIVO"/>
    <x v="2"/>
    <n v="-130"/>
    <n v="-130"/>
    <n v="0"/>
    <n v="0"/>
    <n v="0"/>
    <n v="0"/>
    <n v="43.29"/>
    <m/>
    <m/>
    <n v="-5627.7"/>
    <m/>
    <n v="-5627.7"/>
    <n v="-4353.7"/>
    <n v="0"/>
    <n v="0"/>
    <n v="0"/>
    <n v="0"/>
    <n v="0"/>
    <n v="-3076.3183305969401"/>
    <n v="-2551.79432356830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-12.01"/>
    <n v="-80.02"/>
    <n v="0"/>
    <n v="0"/>
    <m/>
    <m/>
    <m/>
    <m/>
    <m/>
    <m/>
    <m/>
    <m/>
    <m/>
    <n v="0"/>
    <m/>
    <m/>
    <m/>
    <m/>
    <m/>
    <m/>
    <m/>
    <m/>
    <m/>
    <m/>
    <m/>
    <m/>
    <n v="-4353.7"/>
    <n v="1273.9699999999993"/>
    <m/>
    <m/>
    <m/>
    <m/>
    <n v="1273.9999999999995"/>
    <n v="0"/>
    <n v="30"/>
    <n v="-29.075818877906386"/>
    <n v="0"/>
    <n v="0"/>
    <n v="0"/>
    <n v="0"/>
    <m/>
    <m/>
    <m/>
    <n v="-138.9633987479142"/>
    <n v="0"/>
    <n v="0"/>
    <m/>
    <m/>
    <n v="0"/>
    <n v="0"/>
    <n v="0"/>
    <n v="0"/>
    <n v="0"/>
    <m/>
    <n v="0"/>
    <n v="0"/>
    <m/>
    <n v="0"/>
    <n v="0"/>
    <n v="0"/>
    <n v="0"/>
    <n v="109.88757987000794"/>
    <m/>
    <m/>
    <n v="-2551.7943235683078"/>
    <m/>
    <n v="0"/>
    <n v="0"/>
    <n v="1274"/>
    <m/>
    <n v="0"/>
    <m/>
    <n v="1303.4624673357871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48"/>
    <s v="Regular"/>
    <s v="Convencional"/>
    <s v="B3"/>
    <s v="Comercial"/>
    <s v="Não se aplica"/>
    <s v="Não se aplica"/>
    <s v="Não se aplica"/>
    <s v="Não se aplica"/>
    <s v="CATIVO"/>
    <x v="2"/>
    <n v="0"/>
    <n v="0"/>
    <n v="614.51499999999999"/>
    <n v="614.51499999999999"/>
    <n v="614.51499999999999"/>
    <n v="614.51499999999999"/>
    <m/>
    <n v="648.44000000000005"/>
    <n v="159.41"/>
    <m/>
    <n v="496435.94274999999"/>
    <n v="496435.94274999999"/>
    <n v="375972.5673"/>
    <n v="0"/>
    <n v="38081.648565898569"/>
    <n v="0"/>
    <n v="0"/>
    <n v="0"/>
    <n v="71679.749573615554"/>
    <n v="256588.27452852062"/>
    <n v="94777.088880956173"/>
    <n v="3184.261404027603"/>
    <n v="0"/>
    <n v="0"/>
    <n v="0"/>
    <n v="0"/>
    <n v="5884.6296538613005"/>
    <m/>
    <n v="1275.1773975085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27.9025514898094"/>
    <n v="0"/>
    <n v="2219.87"/>
    <n v="10745.57"/>
    <n v="196544.84"/>
    <n v="1435"/>
    <m/>
    <m/>
    <m/>
    <m/>
    <m/>
    <m/>
    <m/>
    <m/>
    <m/>
    <n v="101704.99143244598"/>
    <m/>
    <m/>
    <m/>
    <m/>
    <m/>
    <m/>
    <m/>
    <m/>
    <m/>
    <m/>
    <m/>
    <m/>
    <n v="375975.62639999995"/>
    <n v="-120460.34635000007"/>
    <m/>
    <m/>
    <m/>
    <m/>
    <n v="-137344.10250000004"/>
    <n v="16880.727049999998"/>
    <n v="30"/>
    <n v="10602.852880892344"/>
    <n v="0"/>
    <n v="0"/>
    <n v="0"/>
    <n v="0"/>
    <n v="0"/>
    <n v="0"/>
    <n v="0"/>
    <n v="3237.9164155669423"/>
    <n v="0"/>
    <n v="0"/>
    <n v="18791.737284575371"/>
    <n v="0"/>
    <n v="0"/>
    <n v="0"/>
    <n v="1373.6159890314539"/>
    <n v="0"/>
    <n v="-2667.31379099888"/>
    <m/>
    <n v="0"/>
    <n v="0"/>
    <n v="0"/>
    <n v="0"/>
    <n v="-359.0293578182509"/>
    <n v="-81.251225232195566"/>
    <n v="0"/>
    <n v="-9692.8224342321264"/>
    <m/>
    <m/>
    <m/>
    <n v="256588.27452852062"/>
    <n v="0"/>
    <n v="0"/>
    <n v="-137344.10250000001"/>
    <n v="16880.727049999987"/>
    <n v="0"/>
    <n v="0"/>
    <n v="-131065.88658708741"/>
    <n v="0"/>
    <n v="0"/>
    <n v="0"/>
    <n v="0"/>
    <n v="0"/>
    <n v="0"/>
    <n v="0"/>
    <n v="0"/>
    <n v="0"/>
    <n v="0"/>
    <n v="0"/>
    <n v="0"/>
    <n v="18038.59604132478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49"/>
    <s v="Refaturamento - Regular"/>
    <s v="Convencional"/>
    <s v="B3"/>
    <s v="Comercial"/>
    <s v="Não se aplica"/>
    <s v="Não se aplica"/>
    <s v="Não se aplica"/>
    <s v="Não se aplica"/>
    <s v="CATIVO"/>
    <x v="2"/>
    <n v="0"/>
    <n v="0"/>
    <n v="-0.3"/>
    <n v="-0.3"/>
    <n v="-0.3"/>
    <n v="-0.3"/>
    <m/>
    <n v="648.44000000000005"/>
    <n v="159.41"/>
    <m/>
    <n v="-242.35500000000002"/>
    <n v="-242.35500000000002"/>
    <n v="-183.54599999999999"/>
    <n v="0"/>
    <n v="-18.591075189002009"/>
    <n v="0"/>
    <n v="0"/>
    <n v="0"/>
    <n v="-34.993327863574798"/>
    <n v="-125.2637972361231"/>
    <n v="-46.269215013932694"/>
    <n v="-1.554524171433213"/>
    <n v="0"/>
    <n v="0"/>
    <n v="0"/>
    <n v="0"/>
    <n v="-2.8728166052226389"/>
    <m/>
    <n v="-0.62252869214350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3821318689485902"/>
    <n v="0"/>
    <n v="-0.81"/>
    <n v="-5.39"/>
    <n v="-89.87"/>
    <n v="0"/>
    <m/>
    <m/>
    <m/>
    <m/>
    <m/>
    <m/>
    <m/>
    <m/>
    <m/>
    <n v="-49.651346882881285"/>
    <m/>
    <m/>
    <m/>
    <m/>
    <m/>
    <m/>
    <m/>
    <m/>
    <m/>
    <m/>
    <m/>
    <m/>
    <n v="-183.54599999999999"/>
    <n v="58.779000000000053"/>
    <m/>
    <m/>
    <m/>
    <m/>
    <n v="67.050000000000011"/>
    <n v="-8.2409999999999997"/>
    <n v="30"/>
    <n v="-5.1762054046974981"/>
    <n v="0"/>
    <n v="0"/>
    <n v="0"/>
    <n v="0"/>
    <n v="0"/>
    <n v="0"/>
    <n v="0"/>
    <n v="-1.5807180047193015"/>
    <n v="0"/>
    <n v="0"/>
    <n v="-9.1739358443205035"/>
    <n v="0"/>
    <n v="0"/>
    <n v="0"/>
    <n v="-0.67058541566834995"/>
    <n v="0"/>
    <n v="1.3021555817183703"/>
    <m/>
    <n v="0"/>
    <n v="0"/>
    <n v="0"/>
    <n v="0"/>
    <n v="0.17527449670955964"/>
    <n v="3.9666025352771972E-2"/>
    <n v="0"/>
    <n v="4.7319377562299341"/>
    <m/>
    <m/>
    <m/>
    <n v="-125.2637972361231"/>
    <n v="0"/>
    <n v="0"/>
    <n v="67.050000000000011"/>
    <n v="-8.2409999999999997"/>
    <n v="0"/>
    <n v="0"/>
    <n v="63.985038568832692"/>
    <n v="0"/>
    <n v="0"/>
    <n v="0"/>
    <n v="0"/>
    <n v="0"/>
    <n v="0"/>
    <n v="0"/>
    <n v="0"/>
    <n v="0"/>
    <n v="0"/>
    <n v="0"/>
    <n v="0"/>
    <n v="-8.806259916189899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50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55.978000000000002"/>
    <n v="55.978000000000002"/>
    <n v="55.978000000000002"/>
    <n v="55.978000000000002"/>
    <m/>
    <n v="648.44000000000005"/>
    <n v="159.41"/>
    <m/>
    <n v="45221.827300000004"/>
    <n v="45221.827300000004"/>
    <n v="34248.45996"/>
    <n v="0"/>
    <n v="3468.9706897665155"/>
    <n v="0"/>
    <n v="0"/>
    <n v="0"/>
    <n v="6529.5216904906338"/>
    <n v="23373.389472278999"/>
    <n v="8633.527060166416"/>
    <n v="290.06384689496133"/>
    <n v="0"/>
    <n v="0"/>
    <n v="0"/>
    <n v="0"/>
    <n v="536.04842642384301"/>
    <m/>
    <n v="116.15970376269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1.08325920001391"/>
    <n v="0"/>
    <n v="202.39"/>
    <n v="979.71"/>
    <n v="34247.269999999997"/>
    <n v="110"/>
    <m/>
    <m/>
    <m/>
    <m/>
    <m/>
    <m/>
    <m/>
    <m/>
    <m/>
    <n v="9264.6103193664294"/>
    <m/>
    <m/>
    <m/>
    <m/>
    <m/>
    <m/>
    <m/>
    <m/>
    <m/>
    <m/>
    <m/>
    <m/>
    <n v="34249.683599999997"/>
    <n v="-10972.173700000014"/>
    <m/>
    <m/>
    <m/>
    <m/>
    <n v="-12511.083000000004"/>
    <n v="1537.7156600000001"/>
    <n v="30"/>
    <n v="965.8454204805239"/>
    <n v="0"/>
    <n v="0"/>
    <n v="0"/>
    <n v="0"/>
    <n v="0"/>
    <n v="0"/>
    <n v="0"/>
    <n v="294.95144156058996"/>
    <n v="0"/>
    <n v="0"/>
    <n v="1711.7952689779104"/>
    <n v="0"/>
    <n v="0"/>
    <n v="0"/>
    <n v="125.12676799427629"/>
    <n v="0"/>
    <n v="-242.97355051143677"/>
    <m/>
    <n v="0"/>
    <n v="0"/>
    <n v="0"/>
    <n v="0"/>
    <n v="-32.705052589359184"/>
    <n v="-7.4014158906582281"/>
    <n v="0"/>
    <n v="-882.94803906079744"/>
    <m/>
    <m/>
    <m/>
    <n v="23373.389472278999"/>
    <n v="0"/>
    <n v="0"/>
    <n v="-12511.083000000002"/>
    <n v="1537.7156599999998"/>
    <n v="0"/>
    <n v="0"/>
    <n v="-11939.181630020392"/>
    <n v="0"/>
    <n v="0"/>
    <n v="0"/>
    <n v="0"/>
    <n v="0"/>
    <n v="0"/>
    <n v="0"/>
    <n v="0"/>
    <n v="0"/>
    <n v="0"/>
    <n v="0"/>
    <n v="0"/>
    <n v="1643.189391961594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51"/>
    <s v="Regular"/>
    <s v="Verde"/>
    <s v="A4"/>
    <s v="Comercial"/>
    <s v="Não se aplica"/>
    <s v="Não se aplica"/>
    <s v="Não se aplica"/>
    <s v="Ponta"/>
    <s v="CATIVO"/>
    <x v="2"/>
    <n v="0"/>
    <n v="0"/>
    <n v="9.2010000000000005"/>
    <n v="9.2010000000000005"/>
    <n v="9.2010000000000005"/>
    <n v="9.2010000000000005"/>
    <m/>
    <n v="2810.7"/>
    <n v="159.41"/>
    <m/>
    <n v="27327.982110000001"/>
    <n v="27327.982110000001"/>
    <n v="17405.439689999999"/>
    <n v="0"/>
    <n v="496.0638001606215"/>
    <n v="0"/>
    <n v="0"/>
    <n v="0"/>
    <n v="5617.3539747508703"/>
    <n v="19367.082806540646"/>
    <n v="1419.076824477316"/>
    <n v="47.677256337856647"/>
    <n v="0"/>
    <n v="0"/>
    <n v="0"/>
    <n v="0"/>
    <n v="88.109285282178348"/>
    <m/>
    <n v="9.8794208644439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752033976605382"/>
    <n v="0"/>
    <n v="0"/>
    <n v="0"/>
    <n v="0"/>
    <n v="0"/>
    <m/>
    <m/>
    <m/>
    <m/>
    <m/>
    <m/>
    <m/>
    <m/>
    <m/>
    <n v="1466.8288584539214"/>
    <m/>
    <m/>
    <m/>
    <m/>
    <m/>
    <m/>
    <m/>
    <m/>
    <m/>
    <m/>
    <m/>
    <m/>
    <n v="17403.547999999999"/>
    <n v="-9924.4641099999972"/>
    <m/>
    <m/>
    <m/>
    <m/>
    <n v="-10175.293889999999"/>
    <n v="252.75147000000001"/>
    <n v="30"/>
    <n v="-29.743124950451602"/>
    <n v="0"/>
    <n v="0"/>
    <n v="0"/>
    <n v="0"/>
    <n v="0"/>
    <n v="0"/>
    <n v="0"/>
    <n v="253.74701718532287"/>
    <n v="0"/>
    <n v="0"/>
    <n v="281.36461234530975"/>
    <n v="0"/>
    <n v="0"/>
    <n v="0"/>
    <n v="9.4679388013234629"/>
    <n v="0"/>
    <n v="-34.745287171433404"/>
    <m/>
    <n v="0"/>
    <n v="0"/>
    <n v="0"/>
    <n v="0"/>
    <n v="-5.3756688140822035"/>
    <n v="-0.62949284655521787"/>
    <n v="0"/>
    <n v="-533.57224445033808"/>
    <m/>
    <m/>
    <m/>
    <n v="19367.082806540646"/>
    <n v="0"/>
    <n v="0"/>
    <n v="-10175.293890000001"/>
    <n v="252.75146999999993"/>
    <n v="0"/>
    <n v="0"/>
    <n v="-9892.7508800197556"/>
    <n v="0"/>
    <n v="0"/>
    <n v="0"/>
    <n v="0"/>
    <n v="0"/>
    <n v="0"/>
    <n v="0"/>
    <n v="0"/>
    <n v="0"/>
    <n v="0"/>
    <n v="0"/>
    <n v="0"/>
    <n v="234.9765527177033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52"/>
    <s v="Sistema de Compensação"/>
    <s v="Verde"/>
    <s v="A4"/>
    <s v="Comercial"/>
    <s v="Não se aplica"/>
    <s v="Não se aplica"/>
    <s v="Não se aplica"/>
    <s v="Ponta"/>
    <s v="CATIVO"/>
    <x v="2"/>
    <n v="0"/>
    <n v="0"/>
    <n v="8.9999999999999993E-3"/>
    <n v="8.9999999999999993E-3"/>
    <n v="8.9999999999999993E-3"/>
    <n v="8.9999999999999993E-3"/>
    <m/>
    <n v="2810.7"/>
    <n v="159.41"/>
    <m/>
    <n v="26.730989999999995"/>
    <n v="26.730989999999995"/>
    <n v="17.025209999999998"/>
    <n v="0"/>
    <n v="0.48522706243295216"/>
    <n v="0"/>
    <n v="0"/>
    <n v="0"/>
    <n v="5.4946403404801467"/>
    <n v="18.944000136818367"/>
    <n v="1.3880764504179808"/>
    <n v="4.6635725142996388E-2"/>
    <n v="0"/>
    <n v="0"/>
    <n v="0"/>
    <n v="0"/>
    <n v="8.6184498156679168E-2"/>
    <m/>
    <n v="9.6636004542980086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6708869230458472E-2"/>
    <n v="0"/>
    <n v="0"/>
    <n v="0"/>
    <n v="0"/>
    <n v="0"/>
    <m/>
    <m/>
    <m/>
    <m/>
    <m/>
    <m/>
    <m/>
    <m/>
    <m/>
    <n v="1.4347853196484393"/>
    <m/>
    <m/>
    <m/>
    <m/>
    <m/>
    <m/>
    <m/>
    <m/>
    <m/>
    <m/>
    <m/>
    <m/>
    <n v="18.916899999999998"/>
    <n v="-7.8440900000000013"/>
    <m/>
    <m/>
    <m/>
    <m/>
    <n v="-9.9530099999999972"/>
    <n v="0.24722999999999998"/>
    <n v="30"/>
    <n v="-2.9093372954470453E-2"/>
    <n v="0"/>
    <n v="0"/>
    <n v="0"/>
    <n v="0"/>
    <n v="0"/>
    <n v="0"/>
    <n v="0"/>
    <n v="0.24820379900748879"/>
    <n v="0"/>
    <n v="0"/>
    <n v="0.27521807532961517"/>
    <n v="0"/>
    <n v="0"/>
    <n v="0"/>
    <n v="9.2611074026639692E-3"/>
    <n v="0"/>
    <n v="-3.3986260682849712E-2"/>
    <m/>
    <n v="0"/>
    <n v="0"/>
    <n v="0"/>
    <n v="0"/>
    <n v="-5.2582349012867957E-3"/>
    <n v="-6.1574129105498865E-4"/>
    <n v="0"/>
    <n v="-0.52191611781904601"/>
    <m/>
    <m/>
    <m/>
    <n v="18.944000136818367"/>
    <n v="0"/>
    <n v="0"/>
    <n v="-9.9530099999999972"/>
    <n v="0.24723000000000006"/>
    <n v="0"/>
    <n v="0"/>
    <n v="-9.6766392696639283"/>
    <n v="0"/>
    <n v="0"/>
    <n v="0"/>
    <n v="0"/>
    <n v="0"/>
    <n v="0"/>
    <n v="0"/>
    <n v="0"/>
    <n v="0"/>
    <n v="0"/>
    <n v="0"/>
    <n v="0"/>
    <n v="0.2298433838125562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53"/>
    <s v="Regular"/>
    <s v="Verde"/>
    <s v="A4"/>
    <s v="Comercial"/>
    <s v="Não se aplica"/>
    <s v="Não se aplica"/>
    <s v="Não se aplica"/>
    <s v="Fora ponta"/>
    <s v="CATIVO"/>
    <x v="2"/>
    <n v="0"/>
    <n v="0"/>
    <n v="105.718"/>
    <n v="105.718"/>
    <n v="105.718"/>
    <n v="105.718"/>
    <m/>
    <n v="95.29"/>
    <n v="159.41"/>
    <m/>
    <n v="26926.374599999999"/>
    <n v="26926.374599999999"/>
    <n v="29274.371379999997"/>
    <n v="0"/>
    <n v="5699.6927318096486"/>
    <n v="0"/>
    <n v="0"/>
    <n v="0"/>
    <n v="0"/>
    <n v="0"/>
    <n v="16304.962909476457"/>
    <n v="547.80395451858806"/>
    <n v="0"/>
    <n v="0"/>
    <n v="0"/>
    <n v="0"/>
    <n v="1012.3614195697565"/>
    <m/>
    <n v="113.51294586971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8.66313747840104"/>
    <n v="0"/>
    <n v="0"/>
    <n v="0"/>
    <n v="0"/>
    <n v="0"/>
    <m/>
    <m/>
    <m/>
    <m/>
    <m/>
    <m/>
    <m/>
    <m/>
    <m/>
    <n v="16853.626046954858"/>
    <m/>
    <m/>
    <m/>
    <m/>
    <m/>
    <m/>
    <m/>
    <m/>
    <m/>
    <m/>
    <m/>
    <m/>
    <n v="29274.925200000001"/>
    <n v="2348.5206000000035"/>
    <m/>
    <m/>
    <m/>
    <m/>
    <n v="-556.07668000000058"/>
    <n v="2904.0734600000001"/>
    <n v="30"/>
    <n v="2347.6626275587296"/>
    <n v="0"/>
    <n v="0"/>
    <n v="0"/>
    <n v="0"/>
    <n v="0"/>
    <n v="0"/>
    <n v="0"/>
    <n v="0"/>
    <n v="0"/>
    <n v="0"/>
    <n v="3232.8338319662507"/>
    <n v="0"/>
    <n v="0"/>
    <n v="0"/>
    <n v="108.78508359942543"/>
    <n v="0"/>
    <n v="-399.21772298550059"/>
    <m/>
    <n v="0"/>
    <n v="0"/>
    <n v="0"/>
    <n v="0"/>
    <n v="-61.765564143804113"/>
    <n v="-7.2327708675279325"/>
    <n v="0"/>
    <n v="-525.7402300101121"/>
    <m/>
    <m/>
    <m/>
    <n v="0"/>
    <n v="0"/>
    <n v="0"/>
    <n v="-556.07668000000012"/>
    <n v="2904.0734599999996"/>
    <n v="0"/>
    <n v="0"/>
    <n v="0"/>
    <n v="0"/>
    <n v="0"/>
    <n v="0"/>
    <n v="0"/>
    <n v="0"/>
    <n v="0"/>
    <n v="0"/>
    <n v="0"/>
    <n v="0"/>
    <n v="0"/>
    <n v="0"/>
    <n v="0"/>
    <n v="2699.842538877313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54"/>
    <s v="Sistema de Compensação"/>
    <s v="Verde"/>
    <s v="A4"/>
    <s v="Comercial"/>
    <s v="Não se aplica"/>
    <s v="Não se aplica"/>
    <s v="Não se aplica"/>
    <s v="Fora ponta"/>
    <s v="CATIVO"/>
    <x v="2"/>
    <n v="0"/>
    <n v="0"/>
    <n v="18.216000000000001"/>
    <n v="18.216000000000001"/>
    <n v="18.216000000000001"/>
    <n v="18.216000000000001"/>
    <m/>
    <n v="95.29"/>
    <n v="159.41"/>
    <m/>
    <n v="4639.6152000000002"/>
    <n v="4639.6152000000002"/>
    <n v="5044.1925599999995"/>
    <n v="0"/>
    <n v="982.09957436429534"/>
    <n v="0"/>
    <n v="0"/>
    <n v="0"/>
    <n v="0"/>
    <n v="0"/>
    <n v="2809.4667356459936"/>
    <n v="94.390707689424701"/>
    <n v="0"/>
    <n v="0"/>
    <n v="0"/>
    <n v="0"/>
    <n v="174.43742426911865"/>
    <m/>
    <n v="19.5591273194991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538751322447951"/>
    <n v="0"/>
    <n v="0"/>
    <n v="0"/>
    <n v="0"/>
    <n v="0"/>
    <m/>
    <m/>
    <m/>
    <m/>
    <m/>
    <m/>
    <m/>
    <m/>
    <m/>
    <n v="2904.0054869684413"/>
    <m/>
    <m/>
    <m/>
    <m/>
    <m/>
    <m/>
    <m/>
    <m/>
    <m/>
    <m/>
    <m/>
    <m/>
    <n v="5045.3001999999997"/>
    <n v="405.65499999999884"/>
    <m/>
    <m/>
    <m/>
    <m/>
    <n v="-95.816160000000096"/>
    <n v="500.39352000000002"/>
    <n v="30"/>
    <n v="404.5197830417701"/>
    <n v="0"/>
    <n v="0"/>
    <n v="0"/>
    <n v="0"/>
    <n v="0"/>
    <n v="0"/>
    <n v="0"/>
    <n v="0"/>
    <n v="0"/>
    <n v="0"/>
    <n v="557.04138446714069"/>
    <n v="0"/>
    <n v="0"/>
    <n v="0"/>
    <n v="18.744481382991879"/>
    <n v="0"/>
    <n v="-68.788191622087879"/>
    <m/>
    <n v="0"/>
    <n v="0"/>
    <n v="0"/>
    <n v="0"/>
    <n v="-10.642667440204463"/>
    <n v="-1.2462603730952999"/>
    <n v="0"/>
    <n v="-90.588963372975314"/>
    <m/>
    <m/>
    <m/>
    <n v="0"/>
    <n v="0"/>
    <n v="0"/>
    <n v="-95.816160000000082"/>
    <n v="500.39351999999963"/>
    <n v="0"/>
    <n v="0"/>
    <n v="0"/>
    <n v="0"/>
    <n v="0"/>
    <n v="0"/>
    <n v="0"/>
    <n v="0"/>
    <n v="0"/>
    <n v="0"/>
    <n v="0"/>
    <n v="0"/>
    <n v="0"/>
    <n v="0"/>
    <n v="0"/>
    <n v="465.2030088366139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55"/>
    <s v="Regular"/>
    <s v="Verde"/>
    <s v="A4"/>
    <s v="Comercial"/>
    <s v="Não se aplica"/>
    <s v="Não se aplica"/>
    <s v="Não se aplica"/>
    <s v="Não se aplica"/>
    <s v="CATIVO"/>
    <x v="2"/>
    <n v="1271"/>
    <n v="1271"/>
    <n v="0"/>
    <n v="0"/>
    <n v="0"/>
    <n v="0"/>
    <n v="43.29"/>
    <m/>
    <m/>
    <n v="55021.59"/>
    <m/>
    <n v="55021.59"/>
    <n v="42565.79"/>
    <n v="0"/>
    <n v="0"/>
    <n v="0"/>
    <n v="0"/>
    <n v="0"/>
    <n v="30076.927678374701"/>
    <n v="24948.6968096563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18.57000000000005"/>
    <n v="2501.69"/>
    <n v="43220.3"/>
    <n v="12"/>
    <m/>
    <m/>
    <m/>
    <m/>
    <m/>
    <m/>
    <m/>
    <m/>
    <m/>
    <n v="0"/>
    <m/>
    <m/>
    <m/>
    <m/>
    <m/>
    <m/>
    <m/>
    <m/>
    <m/>
    <m/>
    <m/>
    <m/>
    <n v="42565.79"/>
    <n v="-12455.830000000002"/>
    <m/>
    <m/>
    <m/>
    <m/>
    <n v="-12455.799999999996"/>
    <n v="0"/>
    <n v="30"/>
    <n v="284.27204456783511"/>
    <n v="0"/>
    <n v="0"/>
    <n v="0"/>
    <n v="0"/>
    <m/>
    <m/>
    <m/>
    <n v="1358.6344600661432"/>
    <n v="0"/>
    <n v="0"/>
    <m/>
    <m/>
    <n v="0"/>
    <n v="0"/>
    <n v="0"/>
    <n v="0"/>
    <n v="0"/>
    <m/>
    <n v="0"/>
    <n v="0"/>
    <m/>
    <n v="0"/>
    <n v="0"/>
    <n v="0"/>
    <n v="0"/>
    <n v="-1074.3624154983083"/>
    <m/>
    <m/>
    <n v="24948.696809656303"/>
    <m/>
    <n v="0"/>
    <n v="0"/>
    <n v="-12455.799999999996"/>
    <m/>
    <n v="0"/>
    <m/>
    <n v="-12743.8522767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56"/>
    <s v="Sistema de Compensação"/>
    <s v="Verde"/>
    <s v="A4"/>
    <s v="Comercial"/>
    <s v="Não se aplica"/>
    <s v="Não se aplica"/>
    <s v="Não se aplica"/>
    <s v="Não se aplica"/>
    <s v="CATIVO"/>
    <x v="2"/>
    <n v="887"/>
    <n v="887"/>
    <n v="0"/>
    <n v="0"/>
    <n v="0"/>
    <n v="0"/>
    <n v="43.29"/>
    <m/>
    <m/>
    <n v="38398.229999999996"/>
    <m/>
    <n v="38398.229999999996"/>
    <n v="29705.63"/>
    <n v="0"/>
    <n v="0"/>
    <n v="0"/>
    <n v="0"/>
    <n v="0"/>
    <n v="20989.956609534507"/>
    <n v="17411.0889615776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0.99"/>
    <n v="873.17"/>
    <n v="15493.46"/>
    <n v="6"/>
    <m/>
    <m/>
    <m/>
    <m/>
    <m/>
    <m/>
    <m/>
    <m/>
    <m/>
    <n v="0"/>
    <m/>
    <m/>
    <m/>
    <m/>
    <m/>
    <m/>
    <m/>
    <m/>
    <m/>
    <m/>
    <m/>
    <m/>
    <n v="29705.63"/>
    <n v="-8692.630000000001"/>
    <m/>
    <m/>
    <m/>
    <m/>
    <n v="-8692.5999999999967"/>
    <n v="0"/>
    <n v="30"/>
    <n v="198.38654880540344"/>
    <n v="0"/>
    <n v="0"/>
    <n v="0"/>
    <n v="0"/>
    <m/>
    <m/>
    <m/>
    <n v="948.15795914922637"/>
    <n v="0"/>
    <n v="0"/>
    <m/>
    <m/>
    <n v="0"/>
    <n v="0"/>
    <n v="0"/>
    <n v="0"/>
    <n v="0"/>
    <m/>
    <n v="0"/>
    <n v="0"/>
    <m/>
    <n v="0"/>
    <n v="0"/>
    <n v="0"/>
    <n v="0"/>
    <n v="-749.77141034382339"/>
    <m/>
    <m/>
    <n v="17411.088961577607"/>
    <m/>
    <n v="0"/>
    <n v="0"/>
    <n v="-8692.5999999999949"/>
    <m/>
    <n v="0"/>
    <m/>
    <n v="-8893.624680975715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57"/>
    <s v="Regular"/>
    <s v="Convencional"/>
    <s v="B2"/>
    <s v="Rural"/>
    <s v="Não se aplica"/>
    <s v="Não se aplica"/>
    <s v="Não se aplica"/>
    <s v="Não se aplica"/>
    <s v="CATIVO"/>
    <x v="2"/>
    <n v="0"/>
    <n v="0"/>
    <n v="4278.8289999999997"/>
    <n v="4278.8289999999997"/>
    <n v="4278.8289999999997"/>
    <n v="4278.8289999999997"/>
    <m/>
    <n v="648.44000000000005"/>
    <n v="159.41"/>
    <m/>
    <n v="3456652.00765"/>
    <n v="3456652.00765"/>
    <n v="2617873.1587799997"/>
    <n v="0"/>
    <n v="265160.10553294094"/>
    <n v="0"/>
    <n v="0"/>
    <n v="0"/>
    <n v="499101.55356390629"/>
    <n v="1786607.8942134778"/>
    <n v="659926.86336283537"/>
    <n v="22171.810353098012"/>
    <n v="0"/>
    <n v="0"/>
    <n v="0"/>
    <n v="0"/>
    <n v="40974.303340360595"/>
    <m/>
    <n v="8878.979404252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238.546408938084"/>
    <n v="0"/>
    <n v="10450.61"/>
    <n v="50761.72"/>
    <n v="238734.34"/>
    <n v="14039"/>
    <m/>
    <m/>
    <m/>
    <m/>
    <m/>
    <n v="314151.62518000003"/>
    <m/>
    <m/>
    <m/>
    <n v="708165.4097717735"/>
    <m/>
    <m/>
    <m/>
    <m/>
    <m/>
    <m/>
    <m/>
    <m/>
    <m/>
    <m/>
    <m/>
    <m/>
    <n v="2303722.0719999997"/>
    <n v="-738140.28238999937"/>
    <m/>
    <m/>
    <m/>
    <m/>
    <n v="-956318.28150000016"/>
    <n v="117539.43262999998"/>
    <n v="30"/>
    <n v="73826.992651921231"/>
    <n v="0"/>
    <n v="0"/>
    <n v="0"/>
    <n v="0"/>
    <n v="0"/>
    <n v="0"/>
    <n v="0"/>
    <n v="22545.406798050273"/>
    <n v="0"/>
    <n v="0"/>
    <n v="130845.67578272684"/>
    <n v="0"/>
    <n v="0"/>
    <n v="0"/>
    <n v="9564.4010784626371"/>
    <n v="0"/>
    <n v="-18572.336885228113"/>
    <m/>
    <n v="0"/>
    <n v="0"/>
    <n v="0"/>
    <n v="0"/>
    <n v="-2499.8986649375656"/>
    <n v="-565.74713198058635"/>
    <n v="0"/>
    <n v="-67490.508325171904"/>
    <m/>
    <m/>
    <m/>
    <n v="1786607.8942134778"/>
    <n v="0"/>
    <n v="0"/>
    <n v="-956318.28150000004"/>
    <n v="117539.43263000005"/>
    <n v="0"/>
    <n v="0"/>
    <n v="-912603.46198146616"/>
    <n v="0"/>
    <n v="0"/>
    <n v="0"/>
    <n v="0"/>
    <n v="0"/>
    <n v="0"/>
    <n v="0"/>
    <n v="0"/>
    <n v="0"/>
    <n v="0"/>
    <n v="0"/>
    <n v="0"/>
    <n v="125601.6010364363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58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1.1160000000000001"/>
    <n v="-1.1160000000000001"/>
    <n v="-1.1160000000000001"/>
    <n v="-1.1160000000000001"/>
    <m/>
    <n v="648.44000000000005"/>
    <n v="159.41"/>
    <m/>
    <n v="-901.56060000000014"/>
    <n v="-901.56060000000014"/>
    <n v="-682.79112000000009"/>
    <n v="0"/>
    <n v="-69.158799703087482"/>
    <n v="0"/>
    <n v="0"/>
    <n v="0"/>
    <n v="-130.17517965249826"/>
    <n v="-465.981325718378"/>
    <n v="-172.12147985182966"/>
    <n v="-5.7828299177315534"/>
    <n v="0"/>
    <n v="0"/>
    <n v="0"/>
    <n v="0"/>
    <n v="-10.686877771428218"/>
    <m/>
    <n v="-2.31580673477384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.581530552488756"/>
    <n v="0"/>
    <n v="-2.02"/>
    <n v="-13.2"/>
    <n v="-51.63"/>
    <n v="0"/>
    <m/>
    <m/>
    <m/>
    <m/>
    <m/>
    <n v="-81.936720000000022"/>
    <m/>
    <m/>
    <m/>
    <n v="-184.70301040431841"/>
    <m/>
    <m/>
    <m/>
    <m/>
    <m/>
    <m/>
    <m/>
    <m/>
    <m/>
    <m/>
    <m/>
    <m/>
    <n v="-603.00800000000004"/>
    <n v="190.33755999999994"/>
    <m/>
    <m/>
    <m/>
    <m/>
    <n v="249.42600000000007"/>
    <n v="-30.65652"/>
    <n v="30"/>
    <n v="-19.25548410547475"/>
    <n v="0"/>
    <n v="0"/>
    <n v="0"/>
    <n v="0"/>
    <n v="0"/>
    <n v="0"/>
    <n v="0"/>
    <n v="-5.8802709775557958"/>
    <n v="0"/>
    <n v="0"/>
    <n v="-34.127041340872267"/>
    <n v="0"/>
    <n v="0"/>
    <n v="0"/>
    <n v="-2.4945777462862626"/>
    <n v="0"/>
    <n v="4.844018763992338"/>
    <m/>
    <n v="0"/>
    <n v="0"/>
    <n v="0"/>
    <n v="0"/>
    <n v="0.65202112775956245"/>
    <n v="0.14755761431231162"/>
    <n v="0"/>
    <n v="17.602808453175356"/>
    <m/>
    <m/>
    <m/>
    <n v="-465.981325718378"/>
    <n v="0"/>
    <n v="0"/>
    <n v="249.4260000000001"/>
    <n v="-30.65652"/>
    <n v="0"/>
    <n v="0"/>
    <n v="238.02434347605768"/>
    <n v="0"/>
    <n v="0"/>
    <n v="0"/>
    <n v="0"/>
    <n v="0"/>
    <n v="0"/>
    <n v="0"/>
    <n v="0"/>
    <n v="0"/>
    <n v="0"/>
    <n v="0"/>
    <n v="0"/>
    <n v="-32.75928688822643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59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81.405000000000001"/>
    <n v="81.405000000000001"/>
    <n v="81.405000000000001"/>
    <n v="81.405000000000001"/>
    <m/>
    <n v="648.44000000000005"/>
    <n v="159.41"/>
    <m/>
    <n v="65763.029250000007"/>
    <n v="65763.029250000007"/>
    <n v="49805.2071"/>
    <n v="0"/>
    <n v="5044.6882525356959"/>
    <n v="0"/>
    <n v="0"/>
    <n v="0"/>
    <n v="9495.4395157810213"/>
    <n v="33990.331380022006"/>
    <n v="12555.151494030637"/>
    <n v="421.82013391840241"/>
    <n v="0"/>
    <n v="0"/>
    <n v="0"/>
    <n v="0"/>
    <n v="779.53878582716311"/>
    <m/>
    <n v="168.923160613140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7.74148263919994"/>
    <n v="0"/>
    <n v="194.12"/>
    <n v="942.85"/>
    <n v="4058.1"/>
    <n v="260"/>
    <m/>
    <m/>
    <m/>
    <m/>
    <m/>
    <n v="5976.7551000000012"/>
    <m/>
    <m/>
    <m/>
    <n v="13472.892976669837"/>
    <m/>
    <m/>
    <m/>
    <m/>
    <m/>
    <m/>
    <m/>
    <m/>
    <m/>
    <m/>
    <m/>
    <m/>
    <n v="43831.144"/>
    <n v="-14040.514550000007"/>
    <m/>
    <m/>
    <m/>
    <m/>
    <n v="-18194.017500000005"/>
    <n v="2236.19535"/>
    <n v="30"/>
    <n v="1404.5633365646718"/>
    <n v="0"/>
    <n v="0"/>
    <n v="0"/>
    <n v="0"/>
    <n v="0"/>
    <n v="0"/>
    <n v="0"/>
    <n v="428.92783058058194"/>
    <n v="0"/>
    <n v="0"/>
    <n v="2489.3474913563696"/>
    <n v="0"/>
    <n v="0"/>
    <n v="0"/>
    <n v="181.9633525416067"/>
    <n v="0"/>
    <n v="-353.33991709927977"/>
    <m/>
    <n v="0"/>
    <n v="0"/>
    <n v="0"/>
    <n v="0"/>
    <n v="-47.560734682139014"/>
    <n v="-10.76337597947466"/>
    <n v="0"/>
    <n v="-1284.0113101529926"/>
    <m/>
    <m/>
    <m/>
    <n v="33990.331380022006"/>
    <n v="0"/>
    <n v="0"/>
    <n v="-18194.017500000002"/>
    <n v="2236.19535"/>
    <n v="0"/>
    <n v="0"/>
    <n v="-17362.340215652755"/>
    <n v="0"/>
    <n v="0"/>
    <n v="0"/>
    <n v="0"/>
    <n v="0"/>
    <n v="0"/>
    <n v="0"/>
    <n v="0"/>
    <n v="0"/>
    <n v="0"/>
    <n v="0"/>
    <n v="0"/>
    <n v="2389.578628258129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60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1"/>
    <n v="-0.65"/>
    <n v="-4.900000000000000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61"/>
    <s v="Regular"/>
    <s v="Verde"/>
    <s v="A4"/>
    <s v="Rural"/>
    <s v="Não se aplica"/>
    <s v="Não se aplica"/>
    <s v="Não se aplica"/>
    <s v="Ponta"/>
    <s v="CATIVO"/>
    <x v="2"/>
    <n v="0"/>
    <n v="0"/>
    <n v="28.22"/>
    <n v="27.091200000000001"/>
    <n v="28.22"/>
    <n v="27.091200000000001"/>
    <m/>
    <n v="2810.7"/>
    <n v="159.41"/>
    <m/>
    <n v="83816.504199999996"/>
    <n v="83816.504199999996"/>
    <n v="53383.491800000003"/>
    <n v="0"/>
    <n v="1521.4564113175456"/>
    <n v="0"/>
    <n v="0"/>
    <n v="0"/>
    <n v="17228.750045372195"/>
    <n v="59399.964873446035"/>
    <n v="4352.3908256439354"/>
    <n v="146.22890705948424"/>
    <n v="0"/>
    <n v="0"/>
    <n v="0"/>
    <n v="0"/>
    <n v="270.23628199794291"/>
    <m/>
    <n v="30.3007560911433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.45825440928201"/>
    <n v="0"/>
    <n v="0"/>
    <n v="0"/>
    <n v="0"/>
    <n v="0"/>
    <m/>
    <m/>
    <m/>
    <m/>
    <m/>
    <n v="2135.3396719999964"/>
    <m/>
    <m/>
    <m/>
    <n v="4498.8490800532172"/>
    <m/>
    <m/>
    <m/>
    <m/>
    <m/>
    <m/>
    <m/>
    <m/>
    <m/>
    <m/>
    <m/>
    <m/>
    <n v="51245.882099999995"/>
    <n v="-29217.991931999983"/>
    <m/>
    <m/>
    <m/>
    <m/>
    <n v="-31208.215799999994"/>
    <n v="775.20339999999999"/>
    <n v="30"/>
    <n v="-91.223887197240401"/>
    <n v="0"/>
    <n v="0"/>
    <n v="0"/>
    <n v="0"/>
    <n v="0"/>
    <n v="0"/>
    <n v="0"/>
    <n v="778.25680088792433"/>
    <n v="0"/>
    <n v="0"/>
    <n v="862.96156508908189"/>
    <n v="0"/>
    <n v="0"/>
    <n v="0"/>
    <n v="29.038716767019679"/>
    <n v="0"/>
    <n v="-106.56580849666875"/>
    <m/>
    <n v="0"/>
    <n v="0"/>
    <n v="0"/>
    <n v="0"/>
    <n v="-16.487487657145948"/>
    <n v="-1.9306910259524237"/>
    <n v="0"/>
    <n v="-1636.4969827614977"/>
    <m/>
    <m/>
    <m/>
    <n v="59399.964873446035"/>
    <n v="0"/>
    <n v="0"/>
    <n v="-31208.215799999998"/>
    <n v="775.20340000000033"/>
    <n v="0"/>
    <n v="0"/>
    <n v="-30341.640021101779"/>
    <n v="0"/>
    <n v="0"/>
    <n v="0"/>
    <n v="0"/>
    <n v="0"/>
    <n v="0"/>
    <n v="0"/>
    <n v="0"/>
    <n v="0"/>
    <n v="0"/>
    <n v="0"/>
    <n v="0"/>
    <n v="720.6866990211486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62"/>
    <s v="Sistema de Compensação"/>
    <s v="Verde"/>
    <s v="A4"/>
    <s v="Rural"/>
    <s v="Não se aplica"/>
    <s v="Não se aplica"/>
    <s v="Não se aplica"/>
    <s v="Ponta"/>
    <s v="CATIVO"/>
    <x v="2"/>
    <n v="0"/>
    <n v="0"/>
    <n v="0.182"/>
    <n v="0.17471999999999999"/>
    <n v="0.182"/>
    <n v="0.17471999999999999"/>
    <m/>
    <n v="2810.7"/>
    <n v="159.41"/>
    <m/>
    <n v="540.56001999999989"/>
    <n v="540.56001999999989"/>
    <n v="344.28757999999999"/>
    <n v="0"/>
    <n v="9.8123694847552549"/>
    <n v="0"/>
    <n v="0"/>
    <n v="0"/>
    <n v="111.1138379963763"/>
    <n v="383.08978054454923"/>
    <n v="28.069990441785837"/>
    <n v="0.94307799733614928"/>
    <n v="0"/>
    <n v="0"/>
    <n v="0"/>
    <n v="0"/>
    <n v="1.7428420738350678"/>
    <m/>
    <n v="0.19541947585358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455713332704916"/>
    <n v="0"/>
    <n v="0"/>
    <n v="0"/>
    <n v="0"/>
    <n v="0"/>
    <m/>
    <m/>
    <m/>
    <m/>
    <m/>
    <n v="13.771503200000016"/>
    <m/>
    <m/>
    <m/>
    <n v="29.014547575112886"/>
    <m/>
    <m/>
    <m/>
    <m/>
    <m/>
    <m/>
    <m/>
    <m/>
    <m/>
    <m/>
    <m/>
    <m/>
    <n v="321.58730000000003"/>
    <n v="-197.38031919999992"/>
    <m/>
    <m/>
    <m/>
    <m/>
    <n v="-201.27197999999999"/>
    <n v="4.9995399999999997"/>
    <n v="30"/>
    <n v="-0.58833265307927718"/>
    <n v="0"/>
    <n v="0"/>
    <n v="0"/>
    <n v="0"/>
    <n v="0"/>
    <n v="0"/>
    <n v="0"/>
    <n v="5.0192323799292211"/>
    <n v="0"/>
    <n v="0"/>
    <n v="5.565521078887766"/>
    <n v="0"/>
    <n v="0"/>
    <n v="0"/>
    <n v="0.18728017192053803"/>
    <n v="0"/>
    <n v="-0.68727771603096066"/>
    <m/>
    <n v="0"/>
    <n v="0"/>
    <n v="0"/>
    <n v="0"/>
    <n v="-0.10633319467046642"/>
    <n v="-1.2451657219112011E-2"/>
    <n v="0"/>
    <n v="-10.554303715896264"/>
    <m/>
    <m/>
    <m/>
    <n v="383.08978054454923"/>
    <n v="0"/>
    <n v="0"/>
    <n v="-201.27197999999993"/>
    <n v="4.9995400000000032"/>
    <n v="0"/>
    <n v="0"/>
    <n v="-195.68314967542611"/>
    <n v="0"/>
    <n v="0"/>
    <n v="0"/>
    <n v="0"/>
    <n v="0"/>
    <n v="0"/>
    <n v="0"/>
    <n v="0"/>
    <n v="0"/>
    <n v="0"/>
    <n v="0"/>
    <n v="0"/>
    <n v="4.647943983765027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63"/>
    <s v="Regular"/>
    <s v="Verde"/>
    <s v="A4"/>
    <s v="Rural"/>
    <s v="Não se aplica"/>
    <s v="Não se aplica"/>
    <s v="Não se aplica"/>
    <s v="Fora ponta"/>
    <s v="CATIVO"/>
    <x v="2"/>
    <n v="0"/>
    <n v="0"/>
    <n v="718.97900000000004"/>
    <n v="690.21983999999998"/>
    <n v="718.97900000000004"/>
    <n v="690.21983999999998"/>
    <m/>
    <n v="95.29"/>
    <n v="159.41"/>
    <m/>
    <n v="183123.95130000002"/>
    <n v="183123.95130000002"/>
    <n v="199092.47489000001"/>
    <n v="0"/>
    <n v="38763.118680109059"/>
    <n v="0"/>
    <n v="0"/>
    <n v="0"/>
    <n v="0"/>
    <n v="0"/>
    <n v="110888.64647167439"/>
    <n v="3725.5674475096007"/>
    <n v="0"/>
    <n v="0"/>
    <n v="0"/>
    <n v="0"/>
    <n v="6884.9827000212272"/>
    <m/>
    <n v="771.991754558969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31.4106767162007"/>
    <n v="0"/>
    <n v="0"/>
    <n v="0"/>
    <n v="0"/>
    <n v="0"/>
    <m/>
    <m/>
    <m/>
    <m/>
    <m/>
    <n v="7963.698995600018"/>
    <m/>
    <m/>
    <m/>
    <n v="114620.0571483906"/>
    <m/>
    <m/>
    <m/>
    <m/>
    <m/>
    <m/>
    <m/>
    <m/>
    <m/>
    <m/>
    <m/>
    <m/>
    <n v="191128.82020000002"/>
    <n v="15329.796952000004"/>
    <m/>
    <m/>
    <m/>
    <m/>
    <n v="-3781.8295400000038"/>
    <n v="19750.35313"/>
    <n v="30"/>
    <n v="15966.251048067032"/>
    <n v="0"/>
    <n v="0"/>
    <n v="0"/>
    <n v="0"/>
    <n v="0"/>
    <n v="0"/>
    <n v="0"/>
    <n v="0"/>
    <n v="0"/>
    <n v="0"/>
    <n v="21986.224064712369"/>
    <n v="0"/>
    <n v="0"/>
    <n v="0"/>
    <n v="739.83797102888229"/>
    <n v="0"/>
    <n v="-2715.0453021660651"/>
    <m/>
    <n v="0"/>
    <n v="0"/>
    <n v="0"/>
    <n v="0"/>
    <n v="-420.06227456580928"/>
    <n v="-49.189450855713972"/>
    <n v="0"/>
    <n v="-3575.5139600866501"/>
    <m/>
    <m/>
    <m/>
    <n v="0"/>
    <n v="0"/>
    <n v="0"/>
    <n v="-3781.8295399999988"/>
    <n v="19750.353130000003"/>
    <n v="0"/>
    <n v="0"/>
    <n v="0"/>
    <n v="0"/>
    <n v="0"/>
    <n v="0"/>
    <n v="0"/>
    <n v="0"/>
    <n v="0"/>
    <n v="0"/>
    <n v="0"/>
    <n v="0"/>
    <n v="0"/>
    <n v="0"/>
    <n v="0"/>
    <n v="18361.39625001865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64"/>
    <s v="Sistema de Compensação"/>
    <s v="Verde"/>
    <s v="A4"/>
    <s v="Rural"/>
    <s v="Não se aplica"/>
    <s v="Não se aplica"/>
    <s v="Não se aplica"/>
    <s v="Fora ponta"/>
    <s v="CATIVO"/>
    <x v="2"/>
    <n v="0"/>
    <n v="0"/>
    <n v="14.856999999999999"/>
    <n v="14.26272"/>
    <n v="14.856999999999999"/>
    <n v="14.26272"/>
    <m/>
    <n v="95.29"/>
    <n v="159.41"/>
    <m/>
    <n v="3784.0779000000002"/>
    <n v="3784.0779000000002"/>
    <n v="4114.0518699999993"/>
    <n v="0"/>
    <n v="801.00205184070785"/>
    <n v="0"/>
    <n v="0"/>
    <n v="0"/>
    <n v="0"/>
    <n v="0"/>
    <n v="2291.4057582066603"/>
    <n v="76.985218716610817"/>
    <n v="0"/>
    <n v="0"/>
    <n v="0"/>
    <n v="0"/>
    <n v="142.27145434597583"/>
    <m/>
    <n v="15.952456883278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.105963350769059"/>
    <n v="0"/>
    <n v="0"/>
    <n v="0"/>
    <n v="0"/>
    <n v="0"/>
    <m/>
    <m/>
    <m/>
    <m/>
    <m/>
    <n v="164.56207479999986"/>
    <m/>
    <m/>
    <m/>
    <n v="2368.5117215574292"/>
    <m/>
    <m/>
    <m/>
    <m/>
    <m/>
    <m/>
    <m/>
    <m/>
    <m/>
    <m/>
    <m/>
    <m/>
    <n v="3948.7365999999997"/>
    <n v="315.99181599999929"/>
    <m/>
    <m/>
    <m/>
    <m/>
    <n v="-78.147820000000067"/>
    <n v="408.12178999999998"/>
    <n v="30"/>
    <n v="329.9270101367797"/>
    <n v="0"/>
    <n v="0"/>
    <n v="0"/>
    <n v="0"/>
    <n v="0"/>
    <n v="0"/>
    <n v="0"/>
    <n v="0"/>
    <n v="0"/>
    <n v="0"/>
    <n v="454.32388279689894"/>
    <n v="0"/>
    <n v="0"/>
    <n v="0"/>
    <n v="15.288030297930959"/>
    <n v="0"/>
    <n v="-56.103763885010949"/>
    <m/>
    <n v="0"/>
    <n v="0"/>
    <n v="0"/>
    <n v="0"/>
    <n v="-8.6801773253797592"/>
    <n v="-1.0164520401337764"/>
    <n v="0"/>
    <n v="-73.884509707526021"/>
    <m/>
    <m/>
    <m/>
    <n v="0"/>
    <n v="0"/>
    <n v="0"/>
    <n v="-78.147820000000138"/>
    <n v="408.12178999999969"/>
    <n v="0"/>
    <n v="0"/>
    <n v="0"/>
    <n v="0"/>
    <n v="0"/>
    <n v="0"/>
    <n v="0"/>
    <n v="0"/>
    <n v="0"/>
    <n v="0"/>
    <n v="0"/>
    <n v="0"/>
    <n v="0"/>
    <n v="0"/>
    <n v="0"/>
    <n v="379.4203503670165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65"/>
    <s v="Regular"/>
    <s v="Verde"/>
    <s v="A4"/>
    <s v="Rural"/>
    <s v="Não se aplica"/>
    <s v="Não se aplica"/>
    <s v="Não se aplica"/>
    <s v="Não se aplica"/>
    <s v="CATIVO"/>
    <x v="2"/>
    <n v="3368"/>
    <n v="3233.28"/>
    <n v="0"/>
    <n v="0"/>
    <n v="0"/>
    <n v="0"/>
    <n v="43.29"/>
    <m/>
    <m/>
    <n v="145800.72"/>
    <m/>
    <n v="145800.72"/>
    <n v="112794.32"/>
    <n v="0"/>
    <n v="0"/>
    <n v="0"/>
    <n v="0"/>
    <n v="0"/>
    <n v="79700.308749619187"/>
    <n v="66111.10216752355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04.39"/>
    <n v="7739.39"/>
    <n v="153.18"/>
    <n v="22"/>
    <m/>
    <m/>
    <m/>
    <m/>
    <m/>
    <n v="4511.7727999999934"/>
    <m/>
    <m/>
    <m/>
    <n v="0"/>
    <m/>
    <m/>
    <m/>
    <m/>
    <m/>
    <m/>
    <m/>
    <m/>
    <m/>
    <m/>
    <m/>
    <m/>
    <n v="108282.54720000002"/>
    <n v="-31686.174000000014"/>
    <m/>
    <m/>
    <m/>
    <m/>
    <n v="-33006.399999999987"/>
    <n v="0"/>
    <n v="30"/>
    <n v="753.28736908298742"/>
    <n v="0"/>
    <n v="0"/>
    <n v="0"/>
    <n v="0"/>
    <m/>
    <m/>
    <m/>
    <n v="3600.2209767921158"/>
    <n v="0"/>
    <n v="0"/>
    <m/>
    <m/>
    <n v="0"/>
    <n v="0"/>
    <n v="0"/>
    <n v="0"/>
    <n v="0"/>
    <m/>
    <n v="0"/>
    <n v="0"/>
    <m/>
    <n v="0"/>
    <n v="0"/>
    <n v="0"/>
    <n v="0"/>
    <n v="-2846.9336077091284"/>
    <m/>
    <m/>
    <n v="66111.102167523553"/>
    <m/>
    <n v="0"/>
    <n v="0"/>
    <n v="-33006.399999999994"/>
    <m/>
    <n v="0"/>
    <m/>
    <n v="-33769.70453836101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66"/>
    <s v="Sistema de Compensação"/>
    <s v="Verde"/>
    <s v="A4"/>
    <s v="Rural"/>
    <s v="Não se aplica"/>
    <s v="Não se aplica"/>
    <s v="Não se aplica"/>
    <s v="Não se aplica"/>
    <s v="CATIVO"/>
    <x v="2"/>
    <n v="184"/>
    <n v="176.64"/>
    <n v="0"/>
    <n v="0"/>
    <n v="0"/>
    <n v="0"/>
    <n v="43.29"/>
    <m/>
    <m/>
    <n v="7965.36"/>
    <m/>
    <n v="7965.36"/>
    <n v="6162.1600000000008"/>
    <n v="0"/>
    <n v="0"/>
    <n v="0"/>
    <n v="0"/>
    <n v="0"/>
    <n v="4354.1736371525922"/>
    <n v="3611.77042720437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4.77"/>
    <n v="216.05"/>
    <n v="11.92"/>
    <n v="2"/>
    <m/>
    <m/>
    <m/>
    <m/>
    <m/>
    <n v="246.48640000000046"/>
    <m/>
    <m/>
    <m/>
    <n v="0"/>
    <m/>
    <m/>
    <m/>
    <m/>
    <m/>
    <m/>
    <m/>
    <m/>
    <m/>
    <m/>
    <m/>
    <m/>
    <n v="5915.6736000000001"/>
    <n v="-1731.1019999999999"/>
    <m/>
    <m/>
    <m/>
    <m/>
    <n v="-1803.1999999999994"/>
    <n v="0"/>
    <n v="30"/>
    <n v="41.153466719497374"/>
    <n v="0"/>
    <n v="0"/>
    <n v="0"/>
    <n v="0"/>
    <m/>
    <m/>
    <m/>
    <n v="196.686656689355"/>
    <n v="0"/>
    <n v="0"/>
    <m/>
    <m/>
    <n v="0"/>
    <n v="0"/>
    <n v="0"/>
    <n v="0"/>
    <n v="0"/>
    <m/>
    <n v="0"/>
    <n v="0"/>
    <m/>
    <n v="0"/>
    <n v="0"/>
    <n v="0"/>
    <n v="0"/>
    <n v="-155.53318996985737"/>
    <m/>
    <m/>
    <n v="3611.7704272043743"/>
    <m/>
    <n v="0"/>
    <n v="0"/>
    <n v="-1803.1999999999989"/>
    <m/>
    <n v="0"/>
    <m/>
    <n v="-1844.900722998344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67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247.559"/>
    <n v="247.559"/>
    <n v="247.559"/>
    <n v="247.559"/>
    <m/>
    <n v="648.44000000000005"/>
    <n v="159.41"/>
    <m/>
    <n v="199990.53815000001"/>
    <n v="199990.53815000001"/>
    <n v="151461.54738"/>
    <n v="0"/>
    <n v="15341.29327571383"/>
    <n v="0"/>
    <n v="0"/>
    <n v="0"/>
    <n v="28876.377508595713"/>
    <n v="103367.267933258"/>
    <n v="38181.201998780547"/>
    <n v="1282.7881645194493"/>
    <n v="0"/>
    <n v="0"/>
    <n v="0"/>
    <n v="0"/>
    <n v="2370.6386865743711"/>
    <m/>
    <n v="513.708601661182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0.9239444834802"/>
    <n v="0"/>
    <n v="872.23"/>
    <n v="4216.28"/>
    <n v="73363.039999999994"/>
    <n v="357"/>
    <m/>
    <m/>
    <m/>
    <m/>
    <m/>
    <m/>
    <m/>
    <m/>
    <m/>
    <n v="40972.125943264029"/>
    <m/>
    <m/>
    <m/>
    <m/>
    <m/>
    <m/>
    <m/>
    <m/>
    <m/>
    <m/>
    <m/>
    <m/>
    <n v="151462.15919999999"/>
    <n v="-48528.408950000041"/>
    <m/>
    <m/>
    <m/>
    <m/>
    <n v="-55329.436500000011"/>
    <n v="6800.4457299999995"/>
    <n v="30"/>
    <n v="4271.3874459383806"/>
    <n v="0"/>
    <n v="0"/>
    <n v="0"/>
    <n v="0"/>
    <n v="0"/>
    <n v="0"/>
    <n v="0"/>
    <n v="1304.4032284343484"/>
    <n v="0"/>
    <n v="0"/>
    <n v="7570.3012789471322"/>
    <n v="0"/>
    <n v="0"/>
    <n v="0"/>
    <n v="553.36484972480321"/>
    <n v="0"/>
    <n v="-1074.5344455153936"/>
    <m/>
    <n v="0"/>
    <n v="0"/>
    <n v="0"/>
    <n v="0"/>
    <n v="-144.6359304364064"/>
    <n v="-32.732271901022841"/>
    <n v="0"/>
    <n v="-3904.7792633150875"/>
    <m/>
    <m/>
    <m/>
    <n v="103367.267933258"/>
    <n v="0"/>
    <n v="0"/>
    <n v="-55329.436500000011"/>
    <n v="6800.4457299999995"/>
    <n v="0"/>
    <n v="0"/>
    <n v="-52800.24054353885"/>
    <n v="0"/>
    <n v="0"/>
    <n v="0"/>
    <n v="0"/>
    <n v="0"/>
    <n v="0"/>
    <n v="0"/>
    <n v="0"/>
    <n v="0"/>
    <n v="0"/>
    <n v="0"/>
    <n v="0"/>
    <n v="7266.896328640184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68"/>
    <s v="Regular"/>
    <s v="Azul"/>
    <s v="A4"/>
    <s v="Poder público"/>
    <s v="Não se aplica"/>
    <s v="Não se aplica"/>
    <s v="Não se aplica"/>
    <s v="Ponta"/>
    <s v="CATIVO"/>
    <x v="2"/>
    <n v="200"/>
    <n v="200"/>
    <n v="2.66"/>
    <n v="2.66"/>
    <n v="2.66"/>
    <n v="2.66"/>
    <n v="112.91"/>
    <n v="95.29"/>
    <n v="159.41"/>
    <n v="22582"/>
    <n v="677.50199999999995"/>
    <n v="23259.501999999997"/>
    <n v="14164.580599999999"/>
    <n v="0"/>
    <n v="143.41155400796143"/>
    <n v="0"/>
    <n v="0"/>
    <n v="0"/>
    <n v="5077.0827132346003"/>
    <n v="17504.269107723037"/>
    <n v="410.25370645686991"/>
    <n v="13.783447653374491"/>
    <n v="0"/>
    <n v="0"/>
    <n v="0"/>
    <n v="0"/>
    <n v="25.472307232974067"/>
    <m/>
    <n v="2.85613080093696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805065794779949"/>
    <n v="0"/>
    <n v="0"/>
    <n v="0"/>
    <n v="0"/>
    <n v="0"/>
    <m/>
    <m/>
    <m/>
    <m/>
    <m/>
    <m/>
    <m/>
    <m/>
    <m/>
    <n v="424.05877225164988"/>
    <m/>
    <m/>
    <m/>
    <m/>
    <m/>
    <m/>
    <m/>
    <m/>
    <m/>
    <m/>
    <m/>
    <m/>
    <n v="14164.580599999999"/>
    <n v="-9094.9513999999926"/>
    <m/>
    <m/>
    <m/>
    <m/>
    <n v="-9167.9915999999994"/>
    <n v="73.0702"/>
    <n v="30"/>
    <n v="-152.48351399284002"/>
    <n v="0"/>
    <n v="0"/>
    <n v="0"/>
    <n v="0"/>
    <n v="0"/>
    <n v="0"/>
    <n v="0"/>
    <n v="229.34189304735992"/>
    <n v="0"/>
    <n v="0"/>
    <n v="81.34223115297516"/>
    <n v="0"/>
    <n v="0"/>
    <n v="0"/>
    <n v="2.7371717434540166"/>
    <n v="0"/>
    <n v="-10.044828157375576"/>
    <m/>
    <n v="0"/>
    <n v="0"/>
    <n v="0"/>
    <n v="0"/>
    <n v="-1.5541005374914292"/>
    <n v="-0.18198575935625261"/>
    <n v="0"/>
    <n v="-454.12389548240623"/>
    <m/>
    <m/>
    <n v="17504.269107723037"/>
    <n v="0"/>
    <n v="0"/>
    <n v="0"/>
    <n v="-9167.9915999999994"/>
    <n v="73.0702"/>
    <n v="0"/>
    <n v="0"/>
    <n v="-8941.2213160491574"/>
    <n v="0"/>
    <n v="0"/>
    <n v="0"/>
    <n v="0"/>
    <n v="0"/>
    <n v="0"/>
    <n v="0"/>
    <n v="0"/>
    <n v="0"/>
    <n v="0"/>
    <n v="0"/>
    <n v="0"/>
    <n v="67.9314889934888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69"/>
    <s v="Regular"/>
    <s v="Azul"/>
    <s v="A4"/>
    <s v="Poder público"/>
    <s v="Não se aplica"/>
    <s v="Não se aplica"/>
    <s v="Não se aplica"/>
    <s v="Fora ponta"/>
    <s v="CATIVO"/>
    <x v="2"/>
    <n v="230"/>
    <n v="230"/>
    <n v="21.893999999999998"/>
    <n v="21.893999999999998"/>
    <n v="21.893999999999998"/>
    <n v="21.893999999999998"/>
    <n v="43.29"/>
    <n v="95.29"/>
    <n v="159.41"/>
    <n v="9956.6999999999989"/>
    <n v="5576.4017999999996"/>
    <n v="15533.101799999999"/>
    <n v="13765.367539999999"/>
    <n v="0"/>
    <n v="1180.3957005452282"/>
    <n v="0"/>
    <n v="0"/>
    <n v="0"/>
    <n v="5442.71704644074"/>
    <n v="4514.7130340054682"/>
    <n v="3376.7273117168079"/>
    <n v="113.44917403119588"/>
    <n v="0"/>
    <n v="0"/>
    <n v="0"/>
    <n v="0"/>
    <n v="209.65815584914819"/>
    <m/>
    <n v="23.5083187051556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62710921462863"/>
    <n v="0"/>
    <n v="0"/>
    <n v="0"/>
    <n v="0"/>
    <n v="0"/>
    <m/>
    <m/>
    <m/>
    <m/>
    <m/>
    <m/>
    <m/>
    <m/>
    <m/>
    <n v="3490.3544209314364"/>
    <m/>
    <m/>
    <m/>
    <m/>
    <m/>
    <m/>
    <m/>
    <m/>
    <m/>
    <m/>
    <m/>
    <m/>
    <n v="13764.259900000001"/>
    <n v="-1768.8718999999983"/>
    <m/>
    <m/>
    <m/>
    <m/>
    <n v="-2369.1624399999996"/>
    <n v="601.42817999999988"/>
    <n v="30"/>
    <n v="537.6383710539867"/>
    <n v="0"/>
    <n v="0"/>
    <n v="0"/>
    <n v="0"/>
    <n v="0"/>
    <n v="0"/>
    <n v="0"/>
    <n v="245.85832086169376"/>
    <n v="0"/>
    <n v="0"/>
    <n v="669.51383791851049"/>
    <n v="0"/>
    <n v="0"/>
    <n v="0"/>
    <n v="22.529187274880542"/>
    <n v="0"/>
    <n v="-82.677243487812348"/>
    <m/>
    <n v="0"/>
    <n v="0"/>
    <n v="0"/>
    <n v="0"/>
    <n v="-12.791532769863693"/>
    <n v="-1.4978933140397714"/>
    <n v="0"/>
    <n v="-303.29630542937934"/>
    <m/>
    <m/>
    <n v="4514.7130340054682"/>
    <n v="0"/>
    <n v="0"/>
    <n v="0"/>
    <n v="-2369.1624399999982"/>
    <n v="601.42817999999988"/>
    <n v="0"/>
    <n v="0"/>
    <n v="-2306.1259037479317"/>
    <n v="0"/>
    <n v="0"/>
    <n v="0"/>
    <n v="0"/>
    <n v="0"/>
    <n v="0"/>
    <n v="0"/>
    <n v="0"/>
    <n v="0"/>
    <n v="0"/>
    <n v="0"/>
    <n v="0"/>
    <n v="559.1323383546786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70"/>
    <s v="Regular"/>
    <s v="Azul"/>
    <s v="A4"/>
    <s v="Poder público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3.68"/>
    <n v="644.86"/>
    <n v="7125.4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71"/>
    <s v="Regular"/>
    <s v="Verde"/>
    <s v="A4"/>
    <s v="Poder público"/>
    <s v="Não se aplica"/>
    <s v="Não se aplica"/>
    <s v="Não se aplica"/>
    <s v="Ponta"/>
    <s v="CATIVO"/>
    <x v="2"/>
    <n v="0"/>
    <n v="0"/>
    <n v="0.46200000000000002"/>
    <n v="0.46200000000000002"/>
    <n v="0.46200000000000002"/>
    <n v="0.46200000000000002"/>
    <m/>
    <n v="2810.7"/>
    <n v="159.41"/>
    <m/>
    <n v="1372.19082"/>
    <n v="1372.19082"/>
    <n v="873.96078"/>
    <n v="0"/>
    <n v="24.90832253822488"/>
    <n v="0"/>
    <n v="0"/>
    <n v="0"/>
    <n v="282.05820414464756"/>
    <n v="972.45867369000962"/>
    <n v="71.254591121456357"/>
    <n v="2.3939672240071483"/>
    <n v="0"/>
    <n v="0"/>
    <n v="0"/>
    <n v="0"/>
    <n v="4.4241375720428646"/>
    <m/>
    <n v="0.49606482332063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977219538302017"/>
    <n v="0"/>
    <n v="0"/>
    <n v="0"/>
    <n v="0"/>
    <n v="0"/>
    <m/>
    <m/>
    <m/>
    <m/>
    <m/>
    <m/>
    <m/>
    <m/>
    <m/>
    <n v="73.652313075286557"/>
    <m/>
    <m/>
    <m/>
    <m/>
    <m/>
    <m/>
    <m/>
    <m/>
    <m/>
    <m/>
    <m/>
    <m/>
    <n v="870.17739999999992"/>
    <n v="-502.04342000000008"/>
    <m/>
    <m/>
    <m/>
    <m/>
    <n v="-510.92117999999999"/>
    <n v="12.691140000000001"/>
    <n v="30"/>
    <n v="-1.4934598116627171"/>
    <n v="0"/>
    <n v="0"/>
    <n v="0"/>
    <n v="0"/>
    <n v="0"/>
    <n v="0"/>
    <n v="0"/>
    <n v="12.74112834905111"/>
    <n v="0"/>
    <n v="0"/>
    <n v="14.127861200253577"/>
    <n v="0"/>
    <n v="0"/>
    <n v="0"/>
    <n v="0.47540351333675046"/>
    <n v="0"/>
    <n v="-1.7446280483862857"/>
    <m/>
    <n v="0"/>
    <n v="0"/>
    <n v="0"/>
    <n v="0"/>
    <n v="-0.26992272493272207"/>
    <n v="-3.1608052940822862E-2"/>
    <n v="0"/>
    <n v="-26.791694048044363"/>
    <m/>
    <m/>
    <m/>
    <n v="972.45867369000962"/>
    <n v="0"/>
    <n v="0"/>
    <n v="-510.92118000000005"/>
    <n v="12.691140000000004"/>
    <n v="0"/>
    <n v="0"/>
    <n v="-496.73414917608164"/>
    <n v="0"/>
    <n v="0"/>
    <n v="0"/>
    <n v="0"/>
    <n v="0"/>
    <n v="0"/>
    <n v="0"/>
    <n v="0"/>
    <n v="0"/>
    <n v="0"/>
    <n v="0"/>
    <n v="0"/>
    <n v="11.79862703571122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72"/>
    <s v="Regular"/>
    <s v="Verde"/>
    <s v="A4"/>
    <s v="Poder público"/>
    <s v="Não se aplica"/>
    <s v="Não se aplica"/>
    <s v="Não se aplica"/>
    <s v="Fora ponta"/>
    <s v="CATIVO"/>
    <x v="2"/>
    <n v="0"/>
    <n v="0"/>
    <n v="4.3419999999999996"/>
    <n v="4.3419999999999996"/>
    <n v="4.3419999999999996"/>
    <n v="4.3419999999999996"/>
    <m/>
    <n v="95.29"/>
    <n v="159.41"/>
    <m/>
    <n v="1105.9073999999998"/>
    <n v="1105.9073999999998"/>
    <n v="1202.3432199999997"/>
    <n v="0"/>
    <n v="234.09510056487537"/>
    <n v="0"/>
    <n v="0"/>
    <n v="0"/>
    <n v="0"/>
    <n v="0"/>
    <n v="669.6697719683192"/>
    <n v="22.499146507876702"/>
    <n v="0"/>
    <n v="0"/>
    <n v="0"/>
    <n v="0"/>
    <n v="41.579232332922331"/>
    <m/>
    <n v="4.6621503525068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534434466516743"/>
    <n v="0"/>
    <n v="0"/>
    <n v="0"/>
    <n v="0"/>
    <n v="0"/>
    <m/>
    <m/>
    <m/>
    <m/>
    <m/>
    <m/>
    <m/>
    <m/>
    <m/>
    <n v="692.2042064348359"/>
    <m/>
    <m/>
    <m/>
    <m/>
    <m/>
    <m/>
    <m/>
    <m/>
    <m/>
    <m/>
    <m/>
    <m/>
    <n v="1201.7893999999999"/>
    <n v="95.852000000000089"/>
    <m/>
    <m/>
    <m/>
    <m/>
    <n v="-22.838920000000019"/>
    <n v="119.27473999999998"/>
    <n v="30"/>
    <n v="96.422095848011168"/>
    <n v="0"/>
    <n v="0"/>
    <n v="0"/>
    <n v="0"/>
    <n v="0"/>
    <n v="0"/>
    <n v="0"/>
    <n v="0"/>
    <n v="0"/>
    <n v="0"/>
    <n v="132.7774314534654"/>
    <n v="0"/>
    <n v="0"/>
    <n v="0"/>
    <n v="4.4679698158185488"/>
    <n v="0"/>
    <n v="-16.396482653881492"/>
    <m/>
    <n v="0"/>
    <n v="0"/>
    <n v="0"/>
    <n v="0"/>
    <n v="-2.5368062157097029"/>
    <n v="-0.29706096508452884"/>
    <n v="0"/>
    <n v="-21.592955586597427"/>
    <m/>
    <m/>
    <m/>
    <n v="0"/>
    <n v="0"/>
    <n v="0"/>
    <n v="-22.838919999999973"/>
    <n v="119.27473999999995"/>
    <n v="0"/>
    <n v="0"/>
    <n v="0"/>
    <n v="0"/>
    <n v="0"/>
    <n v="0"/>
    <n v="0"/>
    <n v="0"/>
    <n v="0"/>
    <n v="0"/>
    <n v="0"/>
    <n v="0"/>
    <n v="0"/>
    <n v="0"/>
    <n v="0"/>
    <n v="110.8866636126799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73"/>
    <s v="Regular"/>
    <s v="Verde"/>
    <s v="A4"/>
    <s v="Poder público"/>
    <s v="Não se aplica"/>
    <s v="Não se aplica"/>
    <s v="Não se aplica"/>
    <s v="Não se aplica"/>
    <s v="CATIVO"/>
    <x v="2"/>
    <n v="45"/>
    <n v="45"/>
    <n v="0"/>
    <n v="0"/>
    <n v="0"/>
    <n v="0"/>
    <n v="43.29"/>
    <m/>
    <m/>
    <n v="1948.05"/>
    <m/>
    <n v="1948.05"/>
    <n v="1507.0500000000002"/>
    <n v="0"/>
    <n v="0"/>
    <n v="0"/>
    <n v="0"/>
    <n v="0"/>
    <n v="1064.8794221297101"/>
    <n v="883.313419696722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.8"/>
    <n v="71.36"/>
    <n v="0"/>
    <n v="1"/>
    <m/>
    <m/>
    <m/>
    <m/>
    <m/>
    <m/>
    <m/>
    <m/>
    <m/>
    <n v="0"/>
    <m/>
    <m/>
    <m/>
    <m/>
    <m/>
    <m/>
    <m/>
    <m/>
    <m/>
    <m/>
    <m/>
    <m/>
    <n v="1507.0500000000002"/>
    <n v="-441.02999999999975"/>
    <m/>
    <m/>
    <m/>
    <m/>
    <n v="-440.99999999999989"/>
    <n v="0"/>
    <n v="30"/>
    <n v="10.064706534659763"/>
    <n v="0"/>
    <n v="0"/>
    <n v="0"/>
    <n v="0"/>
    <m/>
    <m/>
    <m/>
    <n v="48.102714951201051"/>
    <n v="0"/>
    <n v="0"/>
    <m/>
    <m/>
    <n v="0"/>
    <n v="0"/>
    <n v="0"/>
    <n v="0"/>
    <n v="0"/>
    <m/>
    <n v="0"/>
    <n v="0"/>
    <m/>
    <n v="0"/>
    <n v="0"/>
    <n v="0"/>
    <n v="0"/>
    <n v="-38.03800841654121"/>
    <m/>
    <m/>
    <n v="883.31341969672201"/>
    <m/>
    <n v="0"/>
    <n v="0"/>
    <n v="-440.99999999999977"/>
    <m/>
    <n v="0"/>
    <m/>
    <n v="-451.1985463854648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74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486.93200000000002"/>
    <n v="486.93200000000002"/>
    <n v="486.93200000000002"/>
    <n v="486.93200000000002"/>
    <m/>
    <n v="356.64"/>
    <n v="87.68"/>
    <m/>
    <n v="216353.62624000001"/>
    <n v="216353.62624000001"/>
    <n v="163852.61800000002"/>
    <n v="0"/>
    <n v="16596.41394387374"/>
    <n v="0"/>
    <n v="0"/>
    <n v="0"/>
    <n v="31238.847059321328"/>
    <n v="111824.07741226297"/>
    <n v="41304.92924280111"/>
    <n v="1387.7372003812482"/>
    <n v="0"/>
    <n v="0"/>
    <n v="0"/>
    <n v="0"/>
    <n v="2564.5882812261611"/>
    <m/>
    <n v="555.73675872517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9.2584312199447"/>
    <n v="0"/>
    <n v="1010.94"/>
    <n v="4878.05"/>
    <n v="59487.19"/>
    <n v="62"/>
    <m/>
    <m/>
    <m/>
    <m/>
    <m/>
    <m/>
    <m/>
    <m/>
    <m/>
    <n v="44324.187674021057"/>
    <m/>
    <m/>
    <m/>
    <m/>
    <m/>
    <m/>
    <m/>
    <m/>
    <m/>
    <m/>
    <m/>
    <m/>
    <n v="163851.94500000001"/>
    <n v="-52501.711240000033"/>
    <m/>
    <m/>
    <m/>
    <m/>
    <n v="-59853.681439999993"/>
    <n v="7352.6731999999975"/>
    <n v="30"/>
    <n v="4620.8434252202715"/>
    <n v="0"/>
    <n v="0"/>
    <n v="0"/>
    <n v="0"/>
    <n v="0"/>
    <n v="0"/>
    <n v="0"/>
    <n v="1411.1206623689868"/>
    <n v="0"/>
    <n v="0"/>
    <n v="8189.6520356688634"/>
    <n v="0"/>
    <n v="0"/>
    <n v="0"/>
    <n v="598.63741230740243"/>
    <n v="0"/>
    <n v="-1162.4455731483904"/>
    <m/>
    <n v="0"/>
    <n v="0"/>
    <n v="0"/>
    <n v="0"/>
    <n v="-156.46906225826251"/>
    <n v="-35.410204604643127"/>
    <n v="0"/>
    <n v="-4224.2418451136782"/>
    <m/>
    <m/>
    <m/>
    <n v="111824.07741226297"/>
    <n v="0"/>
    <n v="0"/>
    <n v="-59853.68144"/>
    <n v="7352.6731999999975"/>
    <n v="0"/>
    <n v="0"/>
    <n v="-57119.998467397418"/>
    <n v="0"/>
    <n v="0"/>
    <n v="0"/>
    <n v="0"/>
    <n v="0"/>
    <n v="0"/>
    <n v="0"/>
    <n v="0"/>
    <n v="0"/>
    <n v="0"/>
    <n v="0"/>
    <n v="0"/>
    <n v="7861.424548101973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75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50.356999999999999"/>
    <n v="47.33558"/>
    <n v="50.356999999999999"/>
    <n v="47.33558"/>
    <m/>
    <n v="648.44000000000005"/>
    <n v="159.41"/>
    <m/>
    <n v="40680.902450000001"/>
    <n v="40680.902450000001"/>
    <n v="30809.419740000001"/>
    <n v="0"/>
    <n v="3120.6359109752475"/>
    <n v="0"/>
    <n v="0"/>
    <n v="0"/>
    <n v="5873.8633707534536"/>
    <n v="21026.363458064836"/>
    <n v="7766.5962015220293"/>
    <n v="260.93724566954103"/>
    <n v="0"/>
    <n v="0"/>
    <n v="0"/>
    <n v="0"/>
    <n v="482.22141929732146"/>
    <m/>
    <n v="104.49559116756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7.71338174881384"/>
    <n v="0"/>
    <n v="176.1"/>
    <n v="849.85"/>
    <n v="16111.45"/>
    <n v="13"/>
    <m/>
    <m/>
    <m/>
    <m/>
    <n v="1848.5651843999995"/>
    <m/>
    <m/>
    <m/>
    <m/>
    <n v="8334.3095832708423"/>
    <m/>
    <m/>
    <m/>
    <m/>
    <m/>
    <m/>
    <m/>
    <m/>
    <m/>
    <m/>
    <m/>
    <m/>
    <n v="28963.558800000003"/>
    <n v="-9276.5195029999995"/>
    <m/>
    <m/>
    <m/>
    <m/>
    <n v="-11254.789500000003"/>
    <n v="1383.3067899999999"/>
    <n v="30"/>
    <n v="868.86058521451196"/>
    <n v="0"/>
    <n v="0"/>
    <n v="0"/>
    <n v="0"/>
    <n v="0"/>
    <n v="0"/>
    <n v="0"/>
    <n v="265.33405521216628"/>
    <n v="0"/>
    <n v="0"/>
    <n v="1539.9062910414914"/>
    <n v="0"/>
    <n v="0"/>
    <n v="0"/>
    <n v="112.5622325893703"/>
    <n v="0"/>
    <n v="-218.5754954286399"/>
    <m/>
    <n v="0"/>
    <n v="0"/>
    <n v="0"/>
    <n v="0"/>
    <n v="-29.420992769344366"/>
    <n v="-6.6582067956317843"/>
    <n v="0"/>
    <n v="-794.28729863490253"/>
    <m/>
    <m/>
    <m/>
    <n v="21026.363458064836"/>
    <n v="0"/>
    <n v="0"/>
    <n v="-11254.789500000003"/>
    <n v="1383.3067900000005"/>
    <n v="0"/>
    <n v="0"/>
    <n v="-10740.31529070236"/>
    <n v="0"/>
    <n v="0"/>
    <n v="0"/>
    <n v="0"/>
    <n v="0"/>
    <n v="0"/>
    <n v="0"/>
    <n v="0"/>
    <n v="0"/>
    <n v="0"/>
    <n v="0"/>
    <n v="0"/>
    <n v="1478.18943533191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76"/>
    <s v="Regular"/>
    <s v="Azul"/>
    <s v="A4"/>
    <s v="Serviço público"/>
    <s v="Água, esgoto e saneamento"/>
    <s v="Não se aplica"/>
    <s v="Não se aplica"/>
    <s v="Ponta"/>
    <s v="CATIVO"/>
    <x v="2"/>
    <n v="708"/>
    <n v="665.52"/>
    <n v="34.33"/>
    <n v="32.270200000000003"/>
    <n v="34.33"/>
    <n v="32.270200000000003"/>
    <n v="112.91"/>
    <n v="95.29"/>
    <n v="159.41"/>
    <n v="79940.28"/>
    <n v="8743.8509999999987"/>
    <n v="88684.130999999994"/>
    <n v="57041.440300000002"/>
    <n v="0"/>
    <n v="1850.8716725914719"/>
    <n v="0"/>
    <n v="0"/>
    <n v="0"/>
    <n v="17972.872804850485"/>
    <n v="61965.112641339554"/>
    <n v="5294.7405047610309"/>
    <n v="177.88938268434069"/>
    <n v="0"/>
    <n v="0"/>
    <n v="0"/>
    <n v="0"/>
    <n v="328.74598019097732"/>
    <m/>
    <n v="36.861267066227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16838674240438"/>
    <n v="0"/>
    <n v="0"/>
    <n v="0"/>
    <n v="0"/>
    <n v="0"/>
    <m/>
    <m/>
    <m/>
    <m/>
    <n v="3422.4864180000004"/>
    <m/>
    <m/>
    <m/>
    <m/>
    <n v="5472.9088915034354"/>
    <m/>
    <m/>
    <m/>
    <m/>
    <m/>
    <m/>
    <m/>
    <m/>
    <m/>
    <m/>
    <m/>
    <m/>
    <n v="53618.898499999996"/>
    <n v="-29744.214639999991"/>
    <m/>
    <m/>
    <m/>
    <m/>
    <n v="-32585.735799999995"/>
    <n v="943.04509999999993"/>
    <n v="30"/>
    <n v="13.460669797219452"/>
    <n v="0"/>
    <n v="0"/>
    <n v="0"/>
    <n v="0"/>
    <n v="0"/>
    <n v="0"/>
    <n v="0"/>
    <n v="811.87030138765112"/>
    <n v="0"/>
    <n v="0"/>
    <n v="1049.804058451743"/>
    <n v="0"/>
    <n v="0"/>
    <n v="0"/>
    <n v="35.325979681494886"/>
    <n v="0"/>
    <n v="-129.6387032491366"/>
    <m/>
    <n v="0"/>
    <n v="0"/>
    <n v="0"/>
    <n v="0"/>
    <n v="-20.05724490679728"/>
    <n v="-2.3487109468797556"/>
    <n v="0"/>
    <n v="-1731.495010620858"/>
    <m/>
    <m/>
    <n v="61965.112641339554"/>
    <n v="0"/>
    <n v="0"/>
    <n v="0"/>
    <n v="-32585.735799999995"/>
    <n v="943.04509999999937"/>
    <n v="0"/>
    <n v="0"/>
    <n v="-31651.923458814021"/>
    <n v="0"/>
    <n v="0"/>
    <n v="0"/>
    <n v="0"/>
    <n v="0"/>
    <n v="0"/>
    <n v="0"/>
    <n v="0"/>
    <n v="0"/>
    <n v="0"/>
    <n v="0"/>
    <n v="0"/>
    <n v="876.7248184761174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77"/>
    <s v="Regular"/>
    <s v="Azul"/>
    <s v="A4"/>
    <s v="Serviço público"/>
    <s v="Água, esgoto e saneamento"/>
    <s v="Não se aplica"/>
    <s v="Não se aplica"/>
    <s v="Fora ponta"/>
    <s v="CATIVO"/>
    <x v="2"/>
    <n v="718"/>
    <n v="674.92"/>
    <n v="349.91199999999998"/>
    <n v="328.91728000000001"/>
    <n v="349.91199999999998"/>
    <n v="328.91728000000001"/>
    <n v="43.29"/>
    <n v="95.29"/>
    <n v="159.41"/>
    <n v="31082.22"/>
    <n v="89122.5864"/>
    <n v="120204.8064"/>
    <n v="120939.95191999999"/>
    <n v="0"/>
    <n v="18865.196874448797"/>
    <n v="0"/>
    <n v="0"/>
    <n v="0"/>
    <n v="16990.742779758486"/>
    <n v="14093.756340938808"/>
    <n v="53967.178546517389"/>
    <n v="1813.1555395817948"/>
    <n v="0"/>
    <n v="0"/>
    <n v="0"/>
    <n v="0"/>
    <n v="3350.7766798888802"/>
    <m/>
    <n v="375.71219579603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5.9993166853537"/>
    <n v="0"/>
    <n v="0"/>
    <n v="0"/>
    <n v="0"/>
    <n v="0"/>
    <m/>
    <m/>
    <m/>
    <m/>
    <n v="7256.3971151999931"/>
    <m/>
    <m/>
    <m/>
    <m/>
    <n v="55783.177863202742"/>
    <m/>
    <m/>
    <m/>
    <m/>
    <m/>
    <m/>
    <m/>
    <m/>
    <m/>
    <m/>
    <m/>
    <m/>
    <n v="113684.308"/>
    <n v="691.7599840000039"/>
    <m/>
    <m/>
    <m/>
    <m/>
    <n v="-8876.9371199999987"/>
    <n v="9612.0826399999987"/>
    <n v="30"/>
    <n v="7931.0275057678518"/>
    <n v="0"/>
    <n v="0"/>
    <n v="0"/>
    <n v="0"/>
    <n v="0"/>
    <n v="0"/>
    <n v="0"/>
    <n v="767.5055407769396"/>
    <n v="0"/>
    <n v="0"/>
    <n v="10700.234130526253"/>
    <n v="0"/>
    <n v="0"/>
    <n v="0"/>
    <n v="360.06362372010608"/>
    <n v="0"/>
    <n v="-1321.3556053397042"/>
    <m/>
    <n v="0"/>
    <n v="0"/>
    <n v="0"/>
    <n v="0"/>
    <n v="-204.43549897545199"/>
    <n v="-23.93947407062592"/>
    <n v="0"/>
    <n v="-2347.0452108696713"/>
    <m/>
    <m/>
    <n v="14093.756340938808"/>
    <n v="0"/>
    <n v="0"/>
    <n v="0"/>
    <n v="-8876.937119999995"/>
    <n v="9612.0826400000005"/>
    <n v="0"/>
    <n v="0"/>
    <n v="-7199.1234734391937"/>
    <n v="0"/>
    <n v="0"/>
    <n v="0"/>
    <n v="0"/>
    <n v="0"/>
    <n v="0"/>
    <n v="0"/>
    <n v="0"/>
    <n v="0"/>
    <n v="0"/>
    <n v="0"/>
    <n v="0"/>
    <n v="8936.106457402132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78"/>
    <s v="Regular"/>
    <s v="Azul"/>
    <s v="A4"/>
    <s v="Serviço público"/>
    <s v="Água, esgoto e saneamento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09.8800000000001"/>
    <n v="5353.62"/>
    <n v="98109.66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79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4.49"/>
    <n v="4.49"/>
    <n v="4.49"/>
    <n v="4.49"/>
    <m/>
    <n v="648.44000000000005"/>
    <n v="159.41"/>
    <m/>
    <n v="3627.2465000000002"/>
    <n v="3627.2465000000002"/>
    <n v="2747.0718000000002"/>
    <n v="0"/>
    <n v="278.24642532873008"/>
    <n v="0"/>
    <n v="0"/>
    <n v="0"/>
    <n v="523.73347369150281"/>
    <n v="1874.7814986339758"/>
    <n v="692.49591804185934"/>
    <n v="23.26604509911709"/>
    <n v="0"/>
    <n v="0"/>
    <n v="0"/>
    <n v="0"/>
    <n v="42.996488524832166"/>
    <m/>
    <n v="9.31717942574783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619240305263901"/>
    <n v="0"/>
    <n v="16.36"/>
    <n v="78.98"/>
    <n v="1444.89"/>
    <n v="5"/>
    <m/>
    <m/>
    <m/>
    <m/>
    <m/>
    <m/>
    <m/>
    <m/>
    <m/>
    <n v="743.11515834712327"/>
    <m/>
    <m/>
    <m/>
    <m/>
    <m/>
    <m/>
    <m/>
    <m/>
    <m/>
    <m/>
    <m/>
    <m/>
    <n v="2747.0718000000002"/>
    <n v="-880.20470000000068"/>
    <m/>
    <m/>
    <m/>
    <m/>
    <n v="-1003.5150000000003"/>
    <n v="123.3403"/>
    <n v="30"/>
    <n v="77.470540890306211"/>
    <n v="0"/>
    <n v="0"/>
    <n v="0"/>
    <n v="0"/>
    <n v="0"/>
    <n v="0"/>
    <n v="0"/>
    <n v="23.658079470632288"/>
    <n v="0"/>
    <n v="0"/>
    <n v="137.30323980333026"/>
    <n v="0"/>
    <n v="0"/>
    <n v="0"/>
    <n v="10.036428387836303"/>
    <n v="0"/>
    <n v="-19.488928539718245"/>
    <m/>
    <n v="0"/>
    <n v="0"/>
    <n v="0"/>
    <n v="0"/>
    <n v="-2.6232749674197464"/>
    <n v="-0.59366817944648709"/>
    <n v="0"/>
    <n v="-70.821335084908014"/>
    <m/>
    <m/>
    <m/>
    <n v="1874.7814986339758"/>
    <n v="0"/>
    <n v="0"/>
    <n v="-1003.5150000000001"/>
    <n v="123.34030000000007"/>
    <n v="0"/>
    <n v="0"/>
    <n v="-957.64274391352944"/>
    <n v="0"/>
    <n v="0"/>
    <n v="0"/>
    <n v="0"/>
    <n v="0"/>
    <n v="0"/>
    <n v="0"/>
    <n v="0"/>
    <n v="0"/>
    <n v="0"/>
    <n v="0"/>
    <n v="0"/>
    <n v="131.8003567456421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80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8.78"/>
    <n v="187.96"/>
    <n v="372.6"/>
    <n v="3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81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4"/>
    <n v="2.62"/>
    <n v="20.2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82"/>
    <s v="Regular"/>
    <s v="Convencional"/>
    <s v="B2"/>
    <s v="Rural"/>
    <s v="Agropecuária rural"/>
    <s v="IRRIG./AQUIC."/>
    <s v="Não se aplica"/>
    <s v="Não se aplica"/>
    <s v="CATIVO"/>
    <x v="2"/>
    <n v="0"/>
    <n v="0"/>
    <n v="12.303000000000001"/>
    <n v="12.303000000000001"/>
    <n v="12.303000000000001"/>
    <n v="12.303000000000001"/>
    <m/>
    <n v="648.44000000000005"/>
    <n v="159.41"/>
    <m/>
    <n v="9938.9785500000016"/>
    <n v="9938.9785500000016"/>
    <n v="7527.2214600000007"/>
    <n v="0"/>
    <n v="762.41999350097251"/>
    <n v="0"/>
    <n v="0"/>
    <n v="0"/>
    <n v="1435.0763756852027"/>
    <n v="5137.068324653409"/>
    <n v="1897.50050772138"/>
    <n v="63.751036270476071"/>
    <n v="0"/>
    <n v="0"/>
    <n v="0"/>
    <n v="0"/>
    <n v="117.81420898018044"/>
    <m/>
    <n v="25.529901664805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70122794558168"/>
    <n v="0"/>
    <n v="0"/>
    <n v="0"/>
    <n v="0"/>
    <n v="0"/>
    <m/>
    <m/>
    <m/>
    <m/>
    <m/>
    <n v="903.2862600000002"/>
    <m/>
    <m/>
    <m/>
    <n v="2036.2017356669617"/>
    <m/>
    <m/>
    <m/>
    <m/>
    <m/>
    <m/>
    <m/>
    <m/>
    <m/>
    <m/>
    <m/>
    <m/>
    <n v="6622.32"/>
    <n v="-2124.0357300000014"/>
    <m/>
    <m/>
    <m/>
    <m/>
    <n v="-2749.7205000000008"/>
    <n v="337.96341000000001"/>
    <n v="30"/>
    <n v="212.27618364664613"/>
    <n v="0"/>
    <n v="0"/>
    <n v="0"/>
    <n v="0"/>
    <n v="0"/>
    <n v="0"/>
    <n v="0"/>
    <n v="64.825245373538337"/>
    <n v="0"/>
    <n v="0"/>
    <n v="376.22310897558373"/>
    <n v="0"/>
    <n v="0"/>
    <n v="0"/>
    <n v="27.500707896559049"/>
    <n v="0"/>
    <n v="-53.401400406270341"/>
    <m/>
    <n v="0"/>
    <n v="0"/>
    <n v="0"/>
    <n v="0"/>
    <n v="-7.188007110059047"/>
    <n v="-1.6267036997171758"/>
    <n v="0"/>
    <n v="-194.05676738298962"/>
    <m/>
    <m/>
    <m/>
    <n v="5137.068324653409"/>
    <n v="0"/>
    <n v="0"/>
    <n v="-2749.7205000000013"/>
    <n v="337.96340999999984"/>
    <n v="0"/>
    <n v="0"/>
    <n v="-2624.0264317078295"/>
    <n v="0"/>
    <n v="0"/>
    <n v="0"/>
    <n v="0"/>
    <n v="0"/>
    <n v="0"/>
    <n v="0"/>
    <n v="0"/>
    <n v="0"/>
    <n v="0"/>
    <n v="0"/>
    <n v="0"/>
    <n v="361.1447191629478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83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.2"/>
    <n v="0.2"/>
    <n v="0.2"/>
    <n v="0.2"/>
    <m/>
    <n v="648.44000000000005"/>
    <n v="159.41"/>
    <m/>
    <n v="161.57000000000002"/>
    <n v="161.57000000000002"/>
    <n v="122.364"/>
    <n v="0"/>
    <n v="12.394050126001341"/>
    <n v="0"/>
    <n v="0"/>
    <n v="0"/>
    <n v="23.328885242383201"/>
    <n v="83.509198157415412"/>
    <n v="30.846143342621801"/>
    <n v="1.0363494476221422"/>
    <n v="0"/>
    <n v="0"/>
    <n v="0"/>
    <n v="0"/>
    <n v="1.9152110701484262"/>
    <m/>
    <n v="0.41501912809567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5475457929906"/>
    <n v="0"/>
    <n v="0"/>
    <n v="0"/>
    <n v="0"/>
    <n v="0"/>
    <m/>
    <m/>
    <m/>
    <m/>
    <m/>
    <n v="14.684000000000005"/>
    <m/>
    <m/>
    <m/>
    <n v="33.100897921920861"/>
    <m/>
    <m/>
    <m/>
    <m/>
    <m/>
    <m/>
    <m/>
    <m/>
    <m/>
    <m/>
    <m/>
    <m/>
    <n v="107.68"/>
    <n v="-34.532000000000011"/>
    <m/>
    <m/>
    <m/>
    <m/>
    <n v="-44.700000000000017"/>
    <n v="5.4939999999999998"/>
    <n v="30"/>
    <n v="3.4508036031316607"/>
    <n v="0"/>
    <n v="0"/>
    <n v="0"/>
    <n v="0"/>
    <n v="0"/>
    <n v="0"/>
    <n v="0"/>
    <n v="1.0538120031461986"/>
    <n v="0"/>
    <n v="0"/>
    <n v="6.1159572295469999"/>
    <n v="0"/>
    <n v="0"/>
    <n v="0"/>
    <n v="0.44705694377890026"/>
    <n v="0"/>
    <n v="-0.86810372114558021"/>
    <m/>
    <n v="0"/>
    <n v="0"/>
    <n v="0"/>
    <n v="0"/>
    <n v="-0.1168496644730399"/>
    <n v="-2.6444016901847944E-2"/>
    <n v="0"/>
    <n v="-3.1546251708199562"/>
    <m/>
    <m/>
    <m/>
    <n v="83.509198157415412"/>
    <n v="0"/>
    <n v="0"/>
    <n v="-44.700000000000017"/>
    <n v="5.4939999999999962"/>
    <n v="0"/>
    <n v="0"/>
    <n v="-42.656692379221809"/>
    <n v="0"/>
    <n v="0"/>
    <n v="0"/>
    <n v="0"/>
    <n v="0"/>
    <n v="0"/>
    <n v="0"/>
    <n v="0"/>
    <n v="0"/>
    <n v="0"/>
    <n v="0"/>
    <n v="0"/>
    <n v="5.87083994412660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84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10.436999999999999"/>
    <n v="4.1748000000000003"/>
    <n v="10.436999999999999"/>
    <n v="4.1748000000000003"/>
    <m/>
    <n v="648.44000000000005"/>
    <n v="159.41"/>
    <m/>
    <n v="8431.5304500000002"/>
    <n v="8431.5304500000002"/>
    <n v="6385.5653399999992"/>
    <n v="0"/>
    <n v="646.78350582537996"/>
    <n v="0"/>
    <n v="0"/>
    <n v="0"/>
    <n v="1217.4178763737673"/>
    <n v="4357.9275058447229"/>
    <n v="1609.7059903347185"/>
    <n v="54.081895924161479"/>
    <n v="0"/>
    <n v="0"/>
    <n v="0"/>
    <n v="0"/>
    <n v="99.945289695695607"/>
    <m/>
    <n v="21.65777319967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.66436772072144"/>
    <n v="0"/>
    <n v="0"/>
    <n v="0"/>
    <n v="0"/>
    <n v="0"/>
    <m/>
    <m/>
    <m/>
    <m/>
    <m/>
    <m/>
    <n v="4137.8530199999996"/>
    <m/>
    <m/>
    <n v="1727.37035805544"/>
    <m/>
    <m/>
    <m/>
    <m/>
    <m/>
    <m/>
    <m/>
    <m/>
    <m/>
    <m/>
    <m/>
    <m/>
    <n v="2245.1279999999997"/>
    <n v="-722.80906800000139"/>
    <m/>
    <m/>
    <m/>
    <m/>
    <n v="-2332.6695000000004"/>
    <n v="286.70438999999999"/>
    <n v="30"/>
    <n v="180.08018602942684"/>
    <n v="0"/>
    <n v="0"/>
    <n v="0"/>
    <n v="0"/>
    <n v="0"/>
    <n v="0"/>
    <n v="0"/>
    <n v="54.993179384184259"/>
    <n v="0"/>
    <n v="0"/>
    <n v="319.1612280239101"/>
    <n v="0"/>
    <n v="0"/>
    <n v="0"/>
    <n v="23.329666611101899"/>
    <n v="0"/>
    <n v="-45.301992687982192"/>
    <m/>
    <n v="0"/>
    <n v="0"/>
    <n v="0"/>
    <n v="0"/>
    <n v="-6.0977997405255877"/>
    <n v="-1.3799810220229354"/>
    <n v="0"/>
    <n v="-164.62411453923937"/>
    <m/>
    <m/>
    <m/>
    <n v="4357.9275058447229"/>
    <n v="0"/>
    <n v="0"/>
    <n v="-2332.6695000000009"/>
    <n v="286.70438999999988"/>
    <n v="0"/>
    <n v="0"/>
    <n v="-2226.0394918096899"/>
    <n v="0"/>
    <n v="0"/>
    <n v="0"/>
    <n v="0"/>
    <n v="0"/>
    <n v="0"/>
    <n v="0"/>
    <n v="0"/>
    <n v="0"/>
    <n v="0"/>
    <n v="0"/>
    <n v="0"/>
    <n v="306.3697824842466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86"/>
    <s v="Regular"/>
    <s v="Verde"/>
    <s v="A4"/>
    <s v="Rural"/>
    <s v="Agropecuária rural"/>
    <s v="Não se aplica"/>
    <s v="Não se aplica"/>
    <s v="Ponta"/>
    <s v="CATIVO"/>
    <x v="2"/>
    <n v="0"/>
    <n v="0"/>
    <n v="2.5299999999999998"/>
    <n v="2.4287999999999998"/>
    <n v="2.5299999999999998"/>
    <n v="2.4287999999999998"/>
    <m/>
    <n v="2810.7"/>
    <n v="159.41"/>
    <m/>
    <n v="7514.3782999999985"/>
    <n v="7514.3782999999985"/>
    <n v="4785.9756999999991"/>
    <n v="0"/>
    <n v="136.40271866170767"/>
    <n v="0"/>
    <n v="0"/>
    <n v="0"/>
    <n v="1544.6044512683079"/>
    <n v="5325.3689273500522"/>
    <n v="390.2037132841657"/>
    <n v="13.109820512420097"/>
    <n v="0"/>
    <n v="0"/>
    <n v="0"/>
    <n v="0"/>
    <n v="24.227420037377588"/>
    <m/>
    <n v="2.7165454610415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13038212811777"/>
    <n v="0"/>
    <n v="0"/>
    <n v="0"/>
    <n v="0"/>
    <n v="0"/>
    <m/>
    <m/>
    <m/>
    <m/>
    <m/>
    <n v="191.43902799999989"/>
    <m/>
    <m/>
    <m/>
    <n v="403.33409541228349"/>
    <m/>
    <m/>
    <m/>
    <m/>
    <m/>
    <m/>
    <m/>
    <m/>
    <m/>
    <m/>
    <m/>
    <m/>
    <n v="4596.8067000000001"/>
    <n v="-2617.026468"/>
    <m/>
    <m/>
    <m/>
    <m/>
    <n v="-2797.9016999999994"/>
    <n v="69.499099999999999"/>
    <n v="30"/>
    <n v="-8.1784703972016359"/>
    <n v="0"/>
    <n v="0"/>
    <n v="0"/>
    <n v="0"/>
    <n v="0"/>
    <n v="0"/>
    <n v="0"/>
    <n v="69.772845720993928"/>
    <n v="0"/>
    <n v="0"/>
    <n v="77.366858953769565"/>
    <n v="0"/>
    <n v="0"/>
    <n v="0"/>
    <n v="2.603400192082205"/>
    <n v="0"/>
    <n v="-9.5539155030677563"/>
    <m/>
    <n v="0"/>
    <n v="0"/>
    <n v="0"/>
    <n v="0"/>
    <n v="-1.4781482555839531"/>
    <n v="-0.17309171848545857"/>
    <n v="0"/>
    <n v="-146.71641978690963"/>
    <m/>
    <m/>
    <m/>
    <n v="5325.3689273500522"/>
    <n v="0"/>
    <n v="0"/>
    <n v="-2797.9016999999994"/>
    <n v="69.499099999999999"/>
    <n v="0"/>
    <n v="0"/>
    <n v="-2720.2108169166377"/>
    <n v="0"/>
    <n v="0"/>
    <n v="0"/>
    <n v="0"/>
    <n v="0"/>
    <n v="0"/>
    <n v="0"/>
    <n v="0"/>
    <n v="0"/>
    <n v="0"/>
    <n v="0"/>
    <n v="0"/>
    <n v="64.61152900508525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88"/>
    <s v="Regular"/>
    <s v="Verde"/>
    <s v="A4"/>
    <s v="Rural"/>
    <s v="Agropecuária rural"/>
    <s v="Não se aplica"/>
    <s v="Não se aplica"/>
    <s v="Fora ponta"/>
    <s v="CATIVO"/>
    <x v="2"/>
    <n v="0"/>
    <n v="0"/>
    <n v="23.318999999999999"/>
    <n v="22.386240000000001"/>
    <n v="23.318999999999999"/>
    <n v="22.386240000000001"/>
    <m/>
    <n v="95.29"/>
    <n v="159.41"/>
    <m/>
    <n v="5939.3492999999999"/>
    <n v="5939.3492999999999"/>
    <n v="6457.2642899999992"/>
    <n v="0"/>
    <n v="1257.2233187637792"/>
    <n v="0"/>
    <n v="0"/>
    <n v="0"/>
    <n v="0"/>
    <n v="0"/>
    <n v="3596.5060830329885"/>
    <n v="120.83316384550365"/>
    <n v="0"/>
    <n v="0"/>
    <n v="0"/>
    <n v="0"/>
    <n v="223.30403472395574"/>
    <m/>
    <n v="25.0383887770861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0226801761179"/>
    <n v="0"/>
    <n v="0"/>
    <n v="0"/>
    <n v="0"/>
    <n v="0"/>
    <m/>
    <m/>
    <m/>
    <m/>
    <m/>
    <n v="258.29057159999951"/>
    <m/>
    <m/>
    <m/>
    <n v="3717.5287632091063"/>
    <m/>
    <m/>
    <m/>
    <m/>
    <m/>
    <m/>
    <m/>
    <m/>
    <m/>
    <m/>
    <m/>
    <m/>
    <n v="6200.0149000000001"/>
    <n v="498.20957199999975"/>
    <m/>
    <m/>
    <m/>
    <m/>
    <n v="-122.65794000000011"/>
    <n v="640.57292999999993"/>
    <n v="30"/>
    <n v="517.84128352827338"/>
    <n v="0"/>
    <n v="0"/>
    <n v="0"/>
    <n v="0"/>
    <n v="0"/>
    <n v="0"/>
    <n v="0"/>
    <n v="0"/>
    <n v="0"/>
    <n v="0"/>
    <n v="713.09003317903262"/>
    <n v="0"/>
    <n v="0"/>
    <n v="0"/>
    <n v="23.995529280302335"/>
    <n v="0"/>
    <n v="-88.058401429263768"/>
    <m/>
    <n v="0"/>
    <n v="0"/>
    <n v="0"/>
    <n v="0"/>
    <n v="-13.624086629234085"/>
    <n v="-1.5953856851234818"/>
    <n v="0"/>
    <n v="-115.96640518744022"/>
    <m/>
    <m/>
    <m/>
    <n v="0"/>
    <n v="0"/>
    <n v="0"/>
    <n v="-122.65794000000005"/>
    <n v="640.57292999999981"/>
    <n v="0"/>
    <n v="0"/>
    <n v="0"/>
    <n v="0"/>
    <n v="0"/>
    <n v="0"/>
    <n v="0"/>
    <n v="0"/>
    <n v="0"/>
    <n v="0"/>
    <n v="0"/>
    <n v="0"/>
    <n v="0"/>
    <n v="0"/>
    <n v="0"/>
    <n v="595.5242074583333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90"/>
    <s v="Regular"/>
    <s v="Verde"/>
    <s v="A4"/>
    <s v="Rural"/>
    <s v="Agropecuária rural"/>
    <s v="Não se aplica"/>
    <s v="Não se aplica"/>
    <s v="Não se aplica"/>
    <s v="CATIVO"/>
    <x v="2"/>
    <n v="2344"/>
    <n v="2250.2399999999998"/>
    <n v="0"/>
    <n v="0"/>
    <n v="0"/>
    <n v="0"/>
    <n v="43.29"/>
    <m/>
    <m/>
    <n v="101471.76"/>
    <m/>
    <n v="101471.76"/>
    <n v="78500.56"/>
    <n v="0"/>
    <n v="0"/>
    <n v="0"/>
    <n v="0"/>
    <n v="0"/>
    <n v="55468.385899378678"/>
    <n v="46010.8145726470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26.10000000000002"/>
    <n v="1574.11"/>
    <n v="290.61"/>
    <n v="42"/>
    <m/>
    <m/>
    <m/>
    <m/>
    <m/>
    <n v="3140.0224000000076"/>
    <m/>
    <m/>
    <m/>
    <n v="0"/>
    <m/>
    <m/>
    <m/>
    <m/>
    <m/>
    <m/>
    <m/>
    <m/>
    <m/>
    <m/>
    <m/>
    <m/>
    <n v="75360.537599999996"/>
    <n v="-22052.381999999983"/>
    <m/>
    <m/>
    <m/>
    <m/>
    <n v="-22971.199999999993"/>
    <n v="0"/>
    <n v="30"/>
    <n v="524.25938038316963"/>
    <n v="0"/>
    <n v="0"/>
    <n v="0"/>
    <n v="0"/>
    <m/>
    <m/>
    <m/>
    <n v="2505.6169743470018"/>
    <n v="0"/>
    <n v="0"/>
    <m/>
    <m/>
    <n v="0"/>
    <n v="0"/>
    <n v="0"/>
    <n v="0"/>
    <n v="0"/>
    <m/>
    <n v="0"/>
    <n v="0"/>
    <m/>
    <n v="0"/>
    <n v="0"/>
    <n v="0"/>
    <n v="0"/>
    <n v="-1981.3575939638354"/>
    <m/>
    <m/>
    <n v="46010.814572647032"/>
    <m/>
    <n v="0"/>
    <n v="0"/>
    <n v="-22971.199999999997"/>
    <m/>
    <n v="0"/>
    <m/>
    <n v="-23502.43094950066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91"/>
    <s v="Sistema de Compensação"/>
    <s v="Verde"/>
    <s v="A4"/>
    <s v="Rural"/>
    <s v="Agropecuária rural"/>
    <s v="Não se aplica"/>
    <s v="Não se aplica"/>
    <s v="Não se aplica"/>
    <s v="CATIVO"/>
    <x v="2"/>
    <n v="168"/>
    <n v="161.28"/>
    <n v="0"/>
    <n v="0"/>
    <n v="0"/>
    <n v="0"/>
    <n v="43.29"/>
    <m/>
    <m/>
    <n v="7272.72"/>
    <m/>
    <n v="7272.72"/>
    <n v="5626.3200000000006"/>
    <n v="0"/>
    <n v="0"/>
    <n v="0"/>
    <n v="0"/>
    <n v="0"/>
    <n v="3975.5498426175841"/>
    <n v="3297.703433534428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6.77"/>
    <n v="225.66"/>
    <n v="12.4"/>
    <n v="3"/>
    <m/>
    <m/>
    <m/>
    <m/>
    <m/>
    <n v="225.05279999999996"/>
    <m/>
    <m/>
    <m/>
    <n v="0"/>
    <m/>
    <m/>
    <m/>
    <m/>
    <m/>
    <m/>
    <m/>
    <m/>
    <m/>
    <m/>
    <m/>
    <m/>
    <n v="5401.2672000000002"/>
    <n v="-1580.5740000000005"/>
    <m/>
    <m/>
    <m/>
    <m/>
    <n v="-1646.3999999999996"/>
    <n v="0"/>
    <n v="30"/>
    <n v="37.574904396063175"/>
    <n v="0"/>
    <n v="0"/>
    <n v="0"/>
    <n v="0"/>
    <m/>
    <m/>
    <m/>
    <n v="179.58346915115044"/>
    <n v="0"/>
    <n v="0"/>
    <m/>
    <m/>
    <n v="0"/>
    <n v="0"/>
    <n v="0"/>
    <n v="0"/>
    <n v="0"/>
    <m/>
    <n v="0"/>
    <n v="0"/>
    <m/>
    <n v="0"/>
    <n v="0"/>
    <n v="0"/>
    <n v="0"/>
    <n v="-142.00856475508718"/>
    <m/>
    <m/>
    <n v="3297.7034335344288"/>
    <m/>
    <n v="0"/>
    <n v="0"/>
    <n v="-1646.3999999999996"/>
    <m/>
    <n v="0"/>
    <m/>
    <n v="-1684.47457317240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192"/>
    <s v="Regular"/>
    <s v="Verde"/>
    <s v="A4"/>
    <s v="Rural"/>
    <s v="Agropecuária rural"/>
    <s v="IRRIG./AQUIC. PR"/>
    <s v="Não se aplica"/>
    <s v="Fora ponta"/>
    <s v="CATIVO"/>
    <x v="2"/>
    <n v="0"/>
    <n v="0"/>
    <n v="24.536000000000001"/>
    <n v="7.3608000000000002"/>
    <n v="24.536000000000001"/>
    <n v="7.3608000000000002"/>
    <m/>
    <n v="95.29"/>
    <n v="159.41"/>
    <m/>
    <n v="6249.3191999999999"/>
    <n v="6249.3191999999999"/>
    <n v="6794.2637600000007"/>
    <n v="0"/>
    <n v="1322.8368004283238"/>
    <n v="0"/>
    <n v="0"/>
    <n v="0"/>
    <n v="0"/>
    <n v="0"/>
    <n v="3784.2048652728422"/>
    <n v="127.13935023428439"/>
    <n v="0"/>
    <n v="0"/>
    <n v="0"/>
    <n v="0"/>
    <n v="234.95809408580894"/>
    <m/>
    <n v="26.345122305183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.33875727094768"/>
    <n v="0"/>
    <n v="0"/>
    <n v="0"/>
    <n v="0"/>
    <n v="0"/>
    <m/>
    <m/>
    <m/>
    <m/>
    <m/>
    <m/>
    <n v="4755.9846319999997"/>
    <m/>
    <m/>
    <n v="3911.5436225437898"/>
    <m/>
    <m/>
    <m/>
    <m/>
    <m/>
    <m/>
    <m/>
    <m/>
    <m/>
    <m/>
    <m/>
    <m/>
    <n v="2038.0576000000001"/>
    <n v="163.23183999999992"/>
    <m/>
    <m/>
    <m/>
    <m/>
    <n v="-129.05936000000014"/>
    <n v="674.00391999999999"/>
    <n v="30"/>
    <n v="544.86700684633615"/>
    <n v="0"/>
    <n v="0"/>
    <n v="0"/>
    <n v="0"/>
    <n v="0"/>
    <n v="0"/>
    <n v="0"/>
    <n v="0"/>
    <n v="0"/>
    <n v="0"/>
    <n v="750.30563292082616"/>
    <n v="0"/>
    <n v="0"/>
    <n v="0"/>
    <n v="25.247836803529239"/>
    <n v="0"/>
    <n v="-92.654099123822107"/>
    <m/>
    <n v="0"/>
    <n v="0"/>
    <n v="0"/>
    <n v="0"/>
    <n v="-14.335116837552562"/>
    <n v="-1.6786475908139167"/>
    <n v="0"/>
    <n v="-122.01859932583017"/>
    <m/>
    <m/>
    <m/>
    <n v="0"/>
    <n v="0"/>
    <n v="0"/>
    <n v="-129.05935999999974"/>
    <n v="674.00392000000011"/>
    <n v="0"/>
    <n v="0"/>
    <n v="0"/>
    <n v="0"/>
    <n v="0"/>
    <n v="0"/>
    <n v="0"/>
    <n v="0"/>
    <n v="0"/>
    <n v="0"/>
    <n v="0"/>
    <n v="0"/>
    <n v="0"/>
    <n v="0"/>
    <n v="0"/>
    <n v="626.6041405805424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94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.8000000000000007"/>
    <n v="42.57"/>
    <n v="49.33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195"/>
    <s v="Regular"/>
    <s v="Convencional"/>
    <s v="B2"/>
    <s v="Rural"/>
    <s v="Aquicultura"/>
    <s v="IRRIG./AQUIC."/>
    <s v="Não se aplica"/>
    <s v="Não se aplica"/>
    <s v="CATIVO"/>
    <x v="2"/>
    <n v="0"/>
    <n v="0"/>
    <n v="2.177"/>
    <n v="2.177"/>
    <n v="2.177"/>
    <n v="2.177"/>
    <m/>
    <n v="648.44000000000005"/>
    <n v="159.41"/>
    <m/>
    <n v="1758.6894500000001"/>
    <n v="1758.6894500000001"/>
    <n v="1331.9321399999999"/>
    <n v="0"/>
    <n v="134.9092356215246"/>
    <n v="0"/>
    <n v="0"/>
    <n v="0"/>
    <n v="253.93491586334113"/>
    <n v="908.9976219434667"/>
    <n v="335.76027028443826"/>
    <n v="11.280663737367016"/>
    <n v="0"/>
    <n v="0"/>
    <n v="0"/>
    <n v="0"/>
    <n v="20.84707249856562"/>
    <m/>
    <n v="4.517483209321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543003595670271"/>
    <n v="0"/>
    <n v="0"/>
    <n v="0"/>
    <n v="0"/>
    <n v="0"/>
    <m/>
    <m/>
    <m/>
    <m/>
    <m/>
    <n v="159.83534000000003"/>
    <m/>
    <m/>
    <m/>
    <n v="360.30327388010852"/>
    <m/>
    <m/>
    <m/>
    <m/>
    <m/>
    <m/>
    <m/>
    <m/>
    <m/>
    <m/>
    <m/>
    <m/>
    <n v="1173.712"/>
    <n v="-373.9690700000001"/>
    <m/>
    <m/>
    <m/>
    <m/>
    <n v="-486.55950000000013"/>
    <n v="59.802189999999996"/>
    <n v="30"/>
    <n v="37.561997220088529"/>
    <n v="0"/>
    <n v="0"/>
    <n v="0"/>
    <n v="0"/>
    <n v="0"/>
    <n v="0"/>
    <n v="0"/>
    <n v="11.470743654246405"/>
    <n v="0"/>
    <n v="0"/>
    <n v="66.572194443619139"/>
    <n v="0"/>
    <n v="0"/>
    <n v="0"/>
    <n v="4.8662148330333252"/>
    <n v="0"/>
    <n v="-9.4493090046696437"/>
    <m/>
    <n v="0"/>
    <n v="0"/>
    <n v="0"/>
    <n v="0"/>
    <n v="-1.271908597789043"/>
    <n v="-0.28784312397661438"/>
    <n v="0"/>
    <n v="-34.338094984375225"/>
    <m/>
    <m/>
    <m/>
    <n v="908.9976219434667"/>
    <n v="0"/>
    <n v="0"/>
    <n v="-486.55950000000007"/>
    <n v="59.802189999999996"/>
    <n v="0"/>
    <n v="0"/>
    <n v="-464.31809654782933"/>
    <n v="0"/>
    <n v="0"/>
    <n v="0"/>
    <n v="0"/>
    <n v="0"/>
    <n v="0"/>
    <n v="0"/>
    <n v="0"/>
    <n v="0"/>
    <n v="0"/>
    <n v="0"/>
    <n v="0"/>
    <n v="63.90409279181804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96"/>
    <s v="Regular"/>
    <s v="Convencional"/>
    <s v="B2"/>
    <s v="Rural"/>
    <s v="Aquicultura"/>
    <s v="IRRIG./AQUIC. PR"/>
    <s v="Não se aplica"/>
    <s v="Não se aplica"/>
    <s v="CATIVO"/>
    <x v="2"/>
    <n v="0"/>
    <n v="0"/>
    <n v="4.1619999999999999"/>
    <n v="1.6648000000000001"/>
    <n v="4.1619999999999999"/>
    <n v="1.6648000000000001"/>
    <m/>
    <n v="648.44000000000005"/>
    <n v="159.41"/>
    <m/>
    <n v="3362.2717000000002"/>
    <n v="3362.2717000000002"/>
    <n v="2546.3948399999999"/>
    <n v="0"/>
    <n v="257.92018312208791"/>
    <n v="0"/>
    <n v="0"/>
    <n v="0"/>
    <n v="485.47410189399437"/>
    <n v="1737.8264136558146"/>
    <n v="641.90824295995958"/>
    <n v="21.566432005016775"/>
    <n v="0"/>
    <n v="0"/>
    <n v="0"/>
    <n v="0"/>
    <n v="39.855542369788751"/>
    <m/>
    <n v="8.6365480556709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921442795213437"/>
    <n v="0"/>
    <n v="0"/>
    <n v="0"/>
    <n v="0"/>
    <n v="0"/>
    <m/>
    <m/>
    <m/>
    <m/>
    <m/>
    <m/>
    <n v="1650.0665199999999"/>
    <m/>
    <m/>
    <n v="688.82968575517305"/>
    <m/>
    <m/>
    <m/>
    <m/>
    <m/>
    <m/>
    <m/>
    <m/>
    <m/>
    <m/>
    <m/>
    <m/>
    <n v="893.74399999999991"/>
    <n v="-289.80896800000005"/>
    <m/>
    <m/>
    <m/>
    <m/>
    <n v="-930.20700000000022"/>
    <n v="114.33014"/>
    <n v="30"/>
    <n v="71.811222981169976"/>
    <n v="0"/>
    <n v="0"/>
    <n v="0"/>
    <n v="0"/>
    <n v="0"/>
    <n v="0"/>
    <n v="0"/>
    <n v="21.929827785472412"/>
    <n v="0"/>
    <n v="0"/>
    <n v="127.27306994687308"/>
    <n v="0"/>
    <n v="0"/>
    <n v="0"/>
    <n v="9.3032550000389094"/>
    <n v="0"/>
    <n v="-18.06523843703954"/>
    <m/>
    <n v="0"/>
    <n v="0"/>
    <n v="0"/>
    <n v="0"/>
    <n v="-2.4316415176839641"/>
    <n v="-0.55029999172745647"/>
    <n v="0"/>
    <n v="-65.647749804763279"/>
    <m/>
    <m/>
    <m/>
    <n v="1737.8264136558146"/>
    <n v="0"/>
    <n v="0"/>
    <n v="-930.20700000000011"/>
    <n v="114.33013999999991"/>
    <n v="0"/>
    <n v="0"/>
    <n v="-887.68576841160575"/>
    <n v="0"/>
    <n v="0"/>
    <n v="0"/>
    <n v="0"/>
    <n v="0"/>
    <n v="0"/>
    <n v="0"/>
    <n v="0"/>
    <n v="0"/>
    <n v="0"/>
    <n v="0"/>
    <n v="0"/>
    <n v="122.1721792372745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97"/>
    <s v="Regular"/>
    <s v="Convencional"/>
    <s v="B1"/>
    <s v="Residencial"/>
    <s v="Residencial"/>
    <s v="Não se aplica"/>
    <s v="Não se aplica"/>
    <s v="Não se aplica"/>
    <s v="CATIVO"/>
    <x v="3"/>
    <n v="0"/>
    <n v="0"/>
    <n v="1127.7139999999999"/>
    <n v="1127.7139999999999"/>
    <n v="1127.7139999999999"/>
    <n v="1127.7139999999999"/>
    <m/>
    <n v="648.44000000000005"/>
    <n v="159.41"/>
    <m/>
    <n v="911023.75489999994"/>
    <n v="911023.75489999994"/>
    <n v="689957.97947999998"/>
    <n v="0"/>
    <n v="69884.719218967381"/>
    <n v="0"/>
    <n v="0"/>
    <n v="0"/>
    <n v="131541.55246114463"/>
    <n v="470872.45945445774"/>
    <n v="173928.13846740697"/>
    <n v="5843.5289048787818"/>
    <n v="0"/>
    <n v="0"/>
    <n v="0"/>
    <n v="0"/>
    <n v="10799.051683806811"/>
    <m/>
    <n v="2340.114405106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13.5915281983"/>
    <n v="0"/>
    <n v="5721.06"/>
    <n v="25148.51"/>
    <n v="370300.76"/>
    <n v="7240"/>
    <m/>
    <m/>
    <m/>
    <m/>
    <m/>
    <m/>
    <m/>
    <m/>
    <m/>
    <n v="186641.72999560527"/>
    <m/>
    <m/>
    <m/>
    <m/>
    <m/>
    <m/>
    <m/>
    <m/>
    <m/>
    <m/>
    <m/>
    <m/>
    <n v="689955.53220000002"/>
    <n v="-221068.25269999995"/>
    <m/>
    <m/>
    <m/>
    <m/>
    <n v="-252044.07900000006"/>
    <n v="30978.303579999996"/>
    <n v="31"/>
    <n v="19457.597672510077"/>
    <n v="0"/>
    <n v="0"/>
    <n v="0"/>
    <n v="0"/>
    <n v="0"/>
    <n v="0"/>
    <n v="0"/>
    <n v="5941.992746580072"/>
    <n v="0"/>
    <n v="0"/>
    <n v="34485.252955806849"/>
    <n v="0"/>
    <n v="0"/>
    <n v="0"/>
    <n v="2520.7618714833916"/>
    <n v="0"/>
    <n v="-4894.863598939839"/>
    <m/>
    <n v="0"/>
    <n v="0"/>
    <n v="0"/>
    <n v="0"/>
    <n v="-658.86501260775003"/>
    <n v="-149.10644038225291"/>
    <n v="0"/>
    <n v="-17787.574849430279"/>
    <m/>
    <m/>
    <m/>
    <n v="470872.45945445774"/>
    <n v="0"/>
    <n v="0"/>
    <n v="-252044.07900000003"/>
    <n v="30978.303579999978"/>
    <n v="0"/>
    <n v="0"/>
    <n v="-240522.74594870865"/>
    <n v="0"/>
    <n v="0"/>
    <n v="0"/>
    <n v="0"/>
    <n v="0"/>
    <n v="0"/>
    <n v="0"/>
    <n v="0"/>
    <n v="0"/>
    <n v="0"/>
    <n v="0"/>
    <n v="0"/>
    <n v="33103.14198375392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98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0.61"/>
    <n v="-0.61"/>
    <n v="-0.61"/>
    <n v="-0.61"/>
    <m/>
    <n v="648.44000000000005"/>
    <n v="159.41"/>
    <m/>
    <n v="-492.7885"/>
    <n v="-492.7885"/>
    <n v="-373.21019999999999"/>
    <n v="0"/>
    <n v="-37.80185288430409"/>
    <n v="0"/>
    <n v="0"/>
    <n v="0"/>
    <n v="-71.153099989268753"/>
    <n v="-254.70305438011698"/>
    <n v="-94.080737194996487"/>
    <n v="-3.1608658152475333"/>
    <n v="0"/>
    <n v="0"/>
    <n v="0"/>
    <n v="0"/>
    <n v="-5.8413937639526994"/>
    <m/>
    <n v="-1.2658083406917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8770014668621329"/>
    <n v="0"/>
    <n v="-2.2400000000000002"/>
    <n v="-11.39"/>
    <n v="-231.73"/>
    <n v="0"/>
    <m/>
    <m/>
    <m/>
    <m/>
    <m/>
    <m/>
    <m/>
    <m/>
    <m/>
    <n v="-100.95773866185863"/>
    <m/>
    <m/>
    <m/>
    <m/>
    <m/>
    <m/>
    <m/>
    <m/>
    <m/>
    <m/>
    <m/>
    <m/>
    <n v="-373.21019999999999"/>
    <n v="119.54830000000004"/>
    <m/>
    <m/>
    <m/>
    <m/>
    <n v="136.33500000000004"/>
    <n v="-16.756699999999999"/>
    <n v="31"/>
    <n v="-10.524950989551627"/>
    <n v="0"/>
    <n v="0"/>
    <n v="0"/>
    <n v="0"/>
    <n v="0"/>
    <n v="0"/>
    <n v="0"/>
    <n v="-3.2141266095959082"/>
    <n v="0"/>
    <n v="0"/>
    <n v="-18.653669550118352"/>
    <n v="0"/>
    <n v="0"/>
    <n v="0"/>
    <n v="-1.3635236785256453"/>
    <n v="0"/>
    <n v="2.6477163494940186"/>
    <m/>
    <n v="0"/>
    <n v="0"/>
    <n v="0"/>
    <n v="0"/>
    <n v="0.35639147664277182"/>
    <n v="8.0654251550636324E-2"/>
    <n v="0"/>
    <n v="9.6216067710008666"/>
    <m/>
    <m/>
    <m/>
    <n v="-254.70305438011698"/>
    <n v="0"/>
    <n v="0"/>
    <n v="136.33500000000004"/>
    <n v="-16.756699999999995"/>
    <n v="0"/>
    <n v="0"/>
    <n v="130.1029117566265"/>
    <n v="0"/>
    <n v="0"/>
    <n v="0"/>
    <n v="0"/>
    <n v="0"/>
    <n v="0"/>
    <n v="0"/>
    <n v="0"/>
    <n v="0"/>
    <n v="0"/>
    <n v="0"/>
    <n v="0"/>
    <n v="-17.90606182958612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199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21.1"/>
    <n v="21.1"/>
    <n v="21.1"/>
    <n v="21.1"/>
    <m/>
    <n v="648.44000000000005"/>
    <n v="159.41"/>
    <m/>
    <n v="17045.635000000002"/>
    <n v="17045.635000000002"/>
    <n v="12909.402"/>
    <n v="0"/>
    <n v="1307.5722882931416"/>
    <n v="0"/>
    <n v="0"/>
    <n v="0"/>
    <n v="2461.1973930714275"/>
    <n v="8810.220405607326"/>
    <n v="3254.2681226465997"/>
    <n v="109.33486672413599"/>
    <n v="0"/>
    <n v="0"/>
    <n v="0"/>
    <n v="0"/>
    <n v="202.05476790065896"/>
    <m/>
    <n v="43.784518014093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7.87660811605085"/>
    <n v="0"/>
    <n v="107.39"/>
    <n v="472.28"/>
    <n v="16384.599999999999"/>
    <n v="181"/>
    <m/>
    <m/>
    <m/>
    <m/>
    <m/>
    <m/>
    <m/>
    <m/>
    <m/>
    <n v="3492.1447307626504"/>
    <m/>
    <m/>
    <m/>
    <m/>
    <m/>
    <m/>
    <m/>
    <m/>
    <m/>
    <m/>
    <m/>
    <m/>
    <n v="12909.402"/>
    <n v="-4136.2630000000008"/>
    <m/>
    <m/>
    <m/>
    <m/>
    <n v="-4715.8500000000013"/>
    <n v="579.61699999999996"/>
    <n v="31"/>
    <n v="364.05978013039021"/>
    <n v="0"/>
    <n v="0"/>
    <n v="0"/>
    <n v="0"/>
    <n v="0"/>
    <n v="0"/>
    <n v="0"/>
    <n v="111.17716633192413"/>
    <n v="0"/>
    <n v="0"/>
    <n v="645.23348771720885"/>
    <n v="0"/>
    <n v="0"/>
    <n v="0"/>
    <n v="47.16450756867394"/>
    <n v="0"/>
    <n v="-91.584942580858751"/>
    <m/>
    <n v="0"/>
    <n v="0"/>
    <n v="0"/>
    <n v="0"/>
    <n v="-12.327639601905702"/>
    <n v="-2.7898437831449598"/>
    <n v="0"/>
    <n v="-332.81295552150539"/>
    <m/>
    <m/>
    <m/>
    <n v="8810.220405607326"/>
    <n v="0"/>
    <n v="0"/>
    <n v="-4715.8500000000022"/>
    <n v="579.61700000000019"/>
    <n v="0"/>
    <n v="0"/>
    <n v="-4500.2810460079008"/>
    <n v="0"/>
    <n v="0"/>
    <n v="0"/>
    <n v="0"/>
    <n v="0"/>
    <n v="0"/>
    <n v="0"/>
    <n v="0"/>
    <n v="0"/>
    <n v="0"/>
    <n v="0"/>
    <n v="0"/>
    <n v="619.3736141053564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00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19.829999999999998"/>
    <n v="19.829999999999998"/>
    <n v="19.829999999999998"/>
    <n v="19.829999999999998"/>
    <m/>
    <n v="547.54"/>
    <n v="159.41"/>
    <m/>
    <n v="14018.818499999998"/>
    <n v="14018.818499999998"/>
    <n v="10268.370599999998"/>
    <n v="0"/>
    <n v="0"/>
    <n v="0"/>
    <n v="0"/>
    <n v="0"/>
    <n v="2313.0589717822941"/>
    <n v="8279.9369973077373"/>
    <n v="3058.3951124209511"/>
    <n v="102.75404773173538"/>
    <n v="0"/>
    <n v="0"/>
    <n v="0"/>
    <n v="0"/>
    <n v="0"/>
    <m/>
    <n v="41.149146550685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3.55891653750177"/>
    <n v="0"/>
    <n v="22.01"/>
    <n v="96.91"/>
    <n v="1444.26"/>
    <n v="29"/>
    <m/>
    <m/>
    <m/>
    <m/>
    <m/>
    <m/>
    <m/>
    <n v="6674.3814000000002"/>
    <m/>
    <n v="3281.9540289584529"/>
    <m/>
    <m/>
    <m/>
    <m/>
    <m/>
    <m/>
    <m/>
    <m/>
    <m/>
    <m/>
    <m/>
    <m/>
    <n v="3593.9892"/>
    <n v="-1312.5776999999998"/>
    <m/>
    <m/>
    <m/>
    <m/>
    <n v="-4295.177999999999"/>
    <n v="544.73009999999988"/>
    <n v="31"/>
    <n v="478.87156973840138"/>
    <n v="0"/>
    <n v="0"/>
    <n v="0"/>
    <n v="0"/>
    <n v="0"/>
    <n v="0"/>
    <n v="0"/>
    <n v="104.48546011194594"/>
    <n v="0"/>
    <n v="0"/>
    <n v="606.39715930958482"/>
    <n v="0"/>
    <n v="0"/>
    <n v="0"/>
    <n v="44.325695975677945"/>
    <n v="0"/>
    <n v="0"/>
    <m/>
    <n v="0"/>
    <n v="0"/>
    <n v="0"/>
    <n v="0"/>
    <n v="0"/>
    <n v="-2.6219242758182233"/>
    <n v="0"/>
    <n v="-273.7148213829891"/>
    <m/>
    <m/>
    <m/>
    <n v="8279.9369973077373"/>
    <n v="0"/>
    <n v="0"/>
    <n v="-4295.1779999999981"/>
    <n v="544.73009999999977"/>
    <n v="0"/>
    <n v="0"/>
    <n v="-4229.4110493998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01"/>
    <s v="Refaturamento - 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.03"/>
    <n v="0.1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02"/>
    <s v="Sistema de Compensação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4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03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39.808"/>
    <n v="39.808"/>
    <n v="39.808"/>
    <n v="39.808"/>
    <m/>
    <n v="547.54"/>
    <n v="159.41"/>
    <m/>
    <n v="28142.265599999999"/>
    <n v="28142.265599999999"/>
    <n v="20613.378560000001"/>
    <n v="0"/>
    <n v="0"/>
    <n v="0"/>
    <n v="0"/>
    <n v="0"/>
    <n v="4643.381318643952"/>
    <n v="16621.670801251963"/>
    <n v="6139.6163709154425"/>
    <n v="206.27499405471116"/>
    <n v="0"/>
    <n v="0"/>
    <n v="0"/>
    <n v="0"/>
    <n v="0"/>
    <m/>
    <n v="82.60540725616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8.78635146368492"/>
    <n v="0"/>
    <n v="87.05"/>
    <n v="380.66"/>
    <n v="5620.88"/>
    <n v="169"/>
    <m/>
    <m/>
    <m/>
    <m/>
    <m/>
    <m/>
    <m/>
    <n v="8245.4310399999995"/>
    <m/>
    <n v="6588.4027223791272"/>
    <m/>
    <m/>
    <m/>
    <m/>
    <m/>
    <m/>
    <m/>
    <m/>
    <m/>
    <m/>
    <m/>
    <m/>
    <n v="12368.568900000002"/>
    <n v="-4516.8204599999954"/>
    <m/>
    <m/>
    <m/>
    <m/>
    <n v="-8622.4127999999982"/>
    <n v="1093.52576"/>
    <n v="31"/>
    <n v="961.31716833819155"/>
    <n v="0"/>
    <n v="0"/>
    <n v="0"/>
    <n v="0"/>
    <n v="0"/>
    <n v="0"/>
    <n v="0"/>
    <n v="209.75074110621972"/>
    <n v="0"/>
    <n v="0"/>
    <n v="1217.3201269690353"/>
    <n v="0"/>
    <n v="0"/>
    <n v="0"/>
    <n v="88.982214089752233"/>
    <n v="0"/>
    <n v="0"/>
    <m/>
    <n v="0"/>
    <n v="0"/>
    <n v="0"/>
    <n v="0"/>
    <n v="0"/>
    <n v="-5.2634171241438281"/>
    <n v="0"/>
    <n v="-549.47249670267422"/>
    <m/>
    <m/>
    <m/>
    <n v="16621.670801251963"/>
    <n v="0"/>
    <n v="0"/>
    <n v="-8622.4127999999964"/>
    <n v="1093.5257599999995"/>
    <n v="0"/>
    <n v="0"/>
    <n v="-8490.388051160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04"/>
    <s v="Refaturamento - 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-1E-3"/>
    <n v="-1E-3"/>
    <n v="-1E-3"/>
    <n v="-1E-3"/>
    <m/>
    <n v="547.54"/>
    <n v="159.41"/>
    <m/>
    <n v="-0.70694999999999997"/>
    <n v="-0.70694999999999997"/>
    <n v="-0.51781999999999995"/>
    <n v="0"/>
    <n v="0"/>
    <n v="0"/>
    <n v="0"/>
    <n v="0"/>
    <n v="-0.11664442621191601"/>
    <n v="-0.41754599078707705"/>
    <n v="-0.15423071671310901"/>
    <n v="-5.1817472381107104E-3"/>
    <n v="0"/>
    <n v="0"/>
    <n v="0"/>
    <n v="0"/>
    <n v="0"/>
    <m/>
    <n v="-2.07509564047835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1273772896495301E-2"/>
    <n v="0"/>
    <n v="0"/>
    <n v="-0.04"/>
    <n v="-0.18"/>
    <n v="0"/>
    <m/>
    <m/>
    <m/>
    <m/>
    <m/>
    <m/>
    <m/>
    <n v="-0.20712999999999998"/>
    <m/>
    <n v="-0.16550448960960432"/>
    <m/>
    <m/>
    <m/>
    <m/>
    <m/>
    <m/>
    <m/>
    <m/>
    <m/>
    <m/>
    <m/>
    <m/>
    <n v="0"/>
    <n v="0.39416999999999996"/>
    <m/>
    <m/>
    <m/>
    <m/>
    <n v="0.21659999999999996"/>
    <n v="-2.7469999999999998E-2"/>
    <n v="31"/>
    <n v="-2.4148843658013064E-2"/>
    <n v="0"/>
    <n v="0"/>
    <n v="0"/>
    <n v="0"/>
    <n v="0"/>
    <n v="0"/>
    <n v="0"/>
    <n v="-5.2690600157309919E-3"/>
    <n v="0"/>
    <n v="0"/>
    <n v="-3.0579786147734989E-2"/>
    <n v="0"/>
    <n v="0"/>
    <n v="0"/>
    <n v="-2.2352847188944983E-3"/>
    <n v="0"/>
    <n v="0"/>
    <m/>
    <n v="0"/>
    <n v="0"/>
    <n v="0"/>
    <n v="0"/>
    <n v="0"/>
    <n v="1.3222008450923983E-4"/>
    <n v="0"/>
    <n v="1.3803067139838081E-2"/>
    <m/>
    <m/>
    <m/>
    <n v="-0.41754599078707705"/>
    <n v="0"/>
    <n v="0"/>
    <n v="0.21660000000000001"/>
    <n v="-2.7469999999999994E-2"/>
    <n v="0"/>
    <n v="0"/>
    <n v="0.2132834618961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05"/>
    <s v="Sistema de Compensação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9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06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29.771000000000001"/>
    <n v="29.771000000000001"/>
    <n v="29.771000000000001"/>
    <n v="29.771000000000001"/>
    <m/>
    <n v="547.54"/>
    <n v="159.41"/>
    <m/>
    <n v="21046.60845"/>
    <n v="21046.60845"/>
    <n v="15416.01922"/>
    <n v="0"/>
    <n v="0"/>
    <n v="0"/>
    <n v="0"/>
    <n v="0"/>
    <n v="3472.6212127549511"/>
    <n v="12430.761691722069"/>
    <n v="4591.6026672659682"/>
    <n v="154.26579702579397"/>
    <n v="0"/>
    <n v="0"/>
    <n v="0"/>
    <n v="0"/>
    <n v="0"/>
    <m/>
    <n v="61.7776723126812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5.63149290156161"/>
    <n v="0"/>
    <n v="116.93"/>
    <n v="520.6"/>
    <n v="7756.02"/>
    <n v="382"/>
    <m/>
    <m/>
    <m/>
    <m/>
    <m/>
    <m/>
    <m/>
    <n v="1541.8400900000006"/>
    <m/>
    <n v="4927.2341601675298"/>
    <m/>
    <m/>
    <m/>
    <m/>
    <m/>
    <m/>
    <m/>
    <m/>
    <m/>
    <m/>
    <m/>
    <m/>
    <n v="13873.713100000001"/>
    <n v="-5068.4133599999986"/>
    <m/>
    <m/>
    <m/>
    <m/>
    <n v="-6448.3985999999995"/>
    <n v="817.80936999999994"/>
    <n v="31"/>
    <n v="718.93522454271078"/>
    <n v="0"/>
    <n v="0"/>
    <n v="0"/>
    <n v="0"/>
    <n v="0"/>
    <n v="0"/>
    <n v="0"/>
    <n v="156.86518572832802"/>
    <n v="0"/>
    <n v="0"/>
    <n v="910.39081340421853"/>
    <n v="0"/>
    <n v="0"/>
    <n v="0"/>
    <n v="66.546661366208127"/>
    <n v="0"/>
    <n v="0"/>
    <m/>
    <n v="0"/>
    <n v="0"/>
    <n v="0"/>
    <n v="0"/>
    <n v="0"/>
    <n v="-3.9363241359245791"/>
    <n v="0"/>
    <n v="-410.93111182011944"/>
    <m/>
    <m/>
    <m/>
    <n v="12430.761691722069"/>
    <n v="0"/>
    <n v="0"/>
    <n v="-6448.3985999999986"/>
    <n v="817.80936999999994"/>
    <n v="0"/>
    <n v="0"/>
    <n v="-6349.6619441090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07"/>
    <s v="Sistema de Compensação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.6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08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3.9990000000000001"/>
    <n v="3.9990000000000001"/>
    <n v="3.9990000000000001"/>
    <n v="3.9990000000000001"/>
    <m/>
    <n v="547.54"/>
    <n v="159.41"/>
    <m/>
    <n v="2827.0930499999999"/>
    <n v="2827.0930499999999"/>
    <n v="2070.7621799999997"/>
    <n v="0"/>
    <n v="0"/>
    <n v="0"/>
    <n v="0"/>
    <n v="0"/>
    <n v="466.46106042145209"/>
    <n v="1669.7664171575211"/>
    <n v="616.76863613572289"/>
    <n v="20.72180720520473"/>
    <n v="0"/>
    <n v="0"/>
    <n v="0"/>
    <n v="0"/>
    <n v="0"/>
    <m/>
    <n v="8.2983074662729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083817813084707"/>
    <n v="0"/>
    <n v="24.41"/>
    <n v="110.48"/>
    <n v="1634.65"/>
    <n v="81"/>
    <m/>
    <m/>
    <m/>
    <m/>
    <m/>
    <m/>
    <m/>
    <m/>
    <m/>
    <n v="661.85245394880758"/>
    <m/>
    <m/>
    <m/>
    <m/>
    <m/>
    <m/>
    <m/>
    <m/>
    <m/>
    <m/>
    <m/>
    <m/>
    <n v="2071.2799999999997"/>
    <n v="-755.84305000000086"/>
    <m/>
    <m/>
    <m/>
    <m/>
    <n v="-866.18339999999989"/>
    <n v="109.85253"/>
    <n v="31"/>
    <n v="96.571225788394486"/>
    <n v="0"/>
    <n v="0"/>
    <n v="0"/>
    <n v="0"/>
    <n v="0"/>
    <n v="0"/>
    <n v="0"/>
    <n v="21.070971002908266"/>
    <n v="0"/>
    <n v="0"/>
    <n v="122.28856480479226"/>
    <n v="0"/>
    <n v="0"/>
    <n v="0"/>
    <n v="8.9389035908591055"/>
    <n v="0"/>
    <n v="0"/>
    <m/>
    <n v="0"/>
    <n v="0"/>
    <n v="0"/>
    <n v="0"/>
    <n v="0"/>
    <n v="-0.5287481179524498"/>
    <n v="0"/>
    <n v="-55.198465492212478"/>
    <m/>
    <m/>
    <m/>
    <n v="1669.7664171575211"/>
    <n v="0"/>
    <n v="0"/>
    <n v="-866.18339999999989"/>
    <n v="109.85253"/>
    <n v="0"/>
    <n v="0"/>
    <n v="-852.92056412253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09"/>
    <s v="Regular"/>
    <s v="Convencional"/>
    <s v="B3"/>
    <s v="Industrial"/>
    <s v="Não se aplica"/>
    <s v="Não se aplica"/>
    <s v="Não se aplica"/>
    <s v="Não se aplica"/>
    <s v="CATIVO"/>
    <x v="3"/>
    <n v="0"/>
    <n v="0"/>
    <n v="86.637"/>
    <n v="86.637"/>
    <n v="86.637"/>
    <n v="86.637"/>
    <m/>
    <n v="648.44000000000005"/>
    <n v="159.41"/>
    <m/>
    <n v="69989.700450000004"/>
    <n v="69989.700450000004"/>
    <n v="53006.249340000002"/>
    <n v="0"/>
    <n v="5368.9166038318908"/>
    <n v="0"/>
    <n v="0"/>
    <n v="0"/>
    <n v="10105.723153721767"/>
    <n v="36174.932003819995"/>
    <n v="13362.086603873624"/>
    <n v="448.93103546819759"/>
    <n v="0"/>
    <n v="0"/>
    <n v="0"/>
    <n v="0"/>
    <n v="829.64070742224601"/>
    <m/>
    <n v="179.780061004123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6.72586243366334"/>
    <n v="0"/>
    <n v="374.95"/>
    <n v="1640.18"/>
    <n v="14280.21"/>
    <n v="88"/>
    <m/>
    <m/>
    <m/>
    <m/>
    <m/>
    <m/>
    <m/>
    <m/>
    <m/>
    <n v="14338.812466307287"/>
    <m/>
    <m/>
    <m/>
    <m/>
    <m/>
    <m/>
    <m/>
    <m/>
    <m/>
    <m/>
    <m/>
    <m/>
    <n v="53008.084799999997"/>
    <n v="-16981.645650000006"/>
    <m/>
    <m/>
    <m/>
    <m/>
    <n v="-19363.369500000004"/>
    <n v="2379.9183899999998"/>
    <n v="31"/>
    <n v="1494.8363588225911"/>
    <n v="0"/>
    <n v="0"/>
    <n v="0"/>
    <n v="0"/>
    <n v="0"/>
    <n v="0"/>
    <n v="0"/>
    <n v="456.49555258288638"/>
    <n v="0"/>
    <n v="0"/>
    <n v="2649.3409324813183"/>
    <n v="0"/>
    <n v="0"/>
    <n v="0"/>
    <n v="193.6583621908627"/>
    <n v="0"/>
    <n v="-376.04951044444806"/>
    <m/>
    <n v="0"/>
    <n v="0"/>
    <n v="0"/>
    <n v="0"/>
    <n v="-50.617521904753858"/>
    <n v="-11.455151461627025"/>
    <n v="0"/>
    <n v="-1366.5363046216426"/>
    <m/>
    <m/>
    <m/>
    <n v="36174.932003819995"/>
    <n v="0"/>
    <n v="0"/>
    <n v="-19363.369500000008"/>
    <n v="2379.9183900000007"/>
    <n v="0"/>
    <n v="0"/>
    <n v="-18478.2392882932"/>
    <n v="0"/>
    <n v="0"/>
    <n v="0"/>
    <n v="0"/>
    <n v="0"/>
    <n v="0"/>
    <n v="0"/>
    <n v="0"/>
    <n v="0"/>
    <n v="0"/>
    <n v="0"/>
    <n v="0"/>
    <n v="2543.159801196481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10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11.592000000000001"/>
    <n v="11.592000000000001"/>
    <n v="11.592000000000001"/>
    <n v="11.592000000000001"/>
    <m/>
    <n v="648.44000000000005"/>
    <n v="159.41"/>
    <m/>
    <n v="9364.5972000000002"/>
    <n v="9364.5972000000002"/>
    <n v="7092.2174400000004"/>
    <n v="0"/>
    <n v="718.35914530303774"/>
    <n v="0"/>
    <n v="0"/>
    <n v="0"/>
    <n v="1352.1421886485302"/>
    <n v="4840.1931252037966"/>
    <n v="1787.8424681383594"/>
    <n v="60.066813984179355"/>
    <n v="0"/>
    <n v="0"/>
    <n v="0"/>
    <n v="0"/>
    <n v="111.00563362580279"/>
    <m/>
    <n v="24.054508664425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68557541617352"/>
    <n v="0"/>
    <n v="50.13"/>
    <n v="219.43"/>
    <n v="4021.12"/>
    <n v="18"/>
    <m/>
    <m/>
    <m/>
    <m/>
    <m/>
    <m/>
    <m/>
    <m/>
    <m/>
    <n v="1918.528043554533"/>
    <m/>
    <m/>
    <m/>
    <m/>
    <m/>
    <m/>
    <m/>
    <m/>
    <m/>
    <m/>
    <m/>
    <m/>
    <n v="7090.9937999999993"/>
    <n v="-2273.6334000000015"/>
    <m/>
    <m/>
    <m/>
    <m/>
    <n v="-2590.8120000000008"/>
    <n v="318.43223999999998"/>
    <n v="31"/>
    <n v="200.00857683751201"/>
    <n v="0"/>
    <n v="0"/>
    <n v="0"/>
    <n v="0"/>
    <n v="0"/>
    <n v="0"/>
    <n v="0"/>
    <n v="61.078943702353854"/>
    <n v="0"/>
    <n v="0"/>
    <n v="354.48088102454449"/>
    <n v="0"/>
    <n v="0"/>
    <n v="0"/>
    <n v="25.911420461425053"/>
    <n v="0"/>
    <n v="-50.315291677597884"/>
    <m/>
    <n v="0"/>
    <n v="0"/>
    <n v="0"/>
    <n v="0"/>
    <n v="-6.7726065528573969"/>
    <n v="-1.5326952196311083"/>
    <n v="0"/>
    <n v="-182.84207490072467"/>
    <m/>
    <m/>
    <m/>
    <n v="4840.1931252037966"/>
    <n v="0"/>
    <n v="0"/>
    <n v="-2590.8120000000008"/>
    <n v="318.43224000000009"/>
    <n v="0"/>
    <n v="0"/>
    <n v="-2472.3818902996954"/>
    <n v="0"/>
    <n v="0"/>
    <n v="0"/>
    <n v="0"/>
    <n v="0"/>
    <n v="0"/>
    <n v="0"/>
    <n v="0"/>
    <n v="0"/>
    <n v="0"/>
    <n v="0"/>
    <n v="0"/>
    <n v="340.2738831615777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11"/>
    <s v="Regular"/>
    <s v="Verde"/>
    <s v="A4"/>
    <s v="Industrial"/>
    <s v="Não se aplica"/>
    <s v="Não se aplica"/>
    <s v="Não se aplica"/>
    <s v="Ponta"/>
    <s v="CATIVO"/>
    <x v="3"/>
    <n v="0"/>
    <n v="0"/>
    <n v="12.951000000000001"/>
    <n v="12.951000000000001"/>
    <n v="12.951000000000001"/>
    <n v="12.951000000000001"/>
    <m/>
    <n v="2810.7"/>
    <n v="159.41"/>
    <m/>
    <n v="38465.894609999996"/>
    <n v="38465.894609999996"/>
    <n v="24499.277190000001"/>
    <n v="0"/>
    <n v="698.24174284101821"/>
    <n v="0"/>
    <n v="0"/>
    <n v="0"/>
    <n v="7906.7874499509317"/>
    <n v="27260.416196881633"/>
    <n v="1997.4420121514745"/>
    <n v="67.108808480771813"/>
    <n v="0"/>
    <n v="0"/>
    <n v="0"/>
    <n v="0"/>
    <n v="124.01949284746134"/>
    <m/>
    <n v="13.905921053734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214062822629742"/>
    <n v="0"/>
    <n v="0"/>
    <n v="0"/>
    <n v="0"/>
    <n v="0"/>
    <m/>
    <m/>
    <m/>
    <m/>
    <m/>
    <m/>
    <m/>
    <m/>
    <m/>
    <n v="2064.6560749741043"/>
    <m/>
    <m/>
    <m/>
    <m/>
    <m/>
    <m/>
    <m/>
    <m/>
    <m/>
    <m/>
    <m/>
    <m/>
    <n v="24497.3855"/>
    <n v="-13968.539110000002"/>
    <m/>
    <m/>
    <m/>
    <m/>
    <n v="-14322.381389999999"/>
    <n v="355.76396999999997"/>
    <n v="31"/>
    <n v="-41.865363681479721"/>
    <n v="0"/>
    <n v="0"/>
    <n v="0"/>
    <n v="0"/>
    <n v="0"/>
    <n v="0"/>
    <n v="0"/>
    <n v="357.16526677177626"/>
    <n v="0"/>
    <n v="0"/>
    <n v="396.03881039931639"/>
    <n v="0"/>
    <n v="0"/>
    <n v="0"/>
    <n v="13.326733552433453"/>
    <n v="0"/>
    <n v="-48.906229122620744"/>
    <m/>
    <n v="0"/>
    <n v="0"/>
    <n v="0"/>
    <n v="0"/>
    <n v="-7.5666000229517039"/>
    <n v="-0.88605171782812953"/>
    <n v="0"/>
    <n v="-751.03729354160726"/>
    <m/>
    <m/>
    <m/>
    <n v="27260.416196881633"/>
    <n v="0"/>
    <n v="0"/>
    <n v="-14322.381389999995"/>
    <n v="355.76396999999997"/>
    <n v="0"/>
    <n v="0"/>
    <n v="-13924.683909046393"/>
    <n v="0"/>
    <n v="0"/>
    <n v="0"/>
    <n v="0"/>
    <n v="0"/>
    <n v="0"/>
    <n v="0"/>
    <n v="0"/>
    <n v="0"/>
    <n v="0"/>
    <n v="0"/>
    <n v="0"/>
    <n v="330.7446293062685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12"/>
    <s v="Regular"/>
    <s v="Verde"/>
    <s v="A4"/>
    <s v="Industrial"/>
    <s v="Não se aplica"/>
    <s v="Não se aplica"/>
    <s v="Não se aplica"/>
    <s v="Fora ponta"/>
    <s v="CATIVO"/>
    <x v="3"/>
    <n v="0"/>
    <n v="0"/>
    <n v="476.85599999999999"/>
    <n v="476.85599999999999"/>
    <n v="476.85599999999999"/>
    <n v="476.85599999999999"/>
    <m/>
    <n v="95.29"/>
    <n v="159.41"/>
    <m/>
    <n v="121455.22319999999"/>
    <n v="121455.22319999999"/>
    <n v="132046.19495999999"/>
    <n v="0"/>
    <n v="25709.270675947537"/>
    <n v="0"/>
    <n v="0"/>
    <n v="0"/>
    <n v="0"/>
    <n v="0"/>
    <n v="73545.842648946302"/>
    <n v="2470.9472609765207"/>
    <n v="0"/>
    <n v="0"/>
    <n v="0"/>
    <n v="0"/>
    <n v="4566.3994503334898"/>
    <m/>
    <n v="512.01620647052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74.8227273066118"/>
    <n v="0"/>
    <n v="0"/>
    <n v="0"/>
    <n v="0"/>
    <n v="0"/>
    <m/>
    <m/>
    <m/>
    <m/>
    <m/>
    <m/>
    <m/>
    <m/>
    <m/>
    <n v="76020.665376252917"/>
    <m/>
    <m/>
    <m/>
    <m/>
    <m/>
    <m/>
    <m/>
    <m/>
    <m/>
    <m/>
    <m/>
    <m/>
    <n v="132047.3026"/>
    <n v="10592.049400000004"/>
    <m/>
    <m/>
    <m/>
    <m/>
    <n v="-2508.2625600000024"/>
    <n v="13099.23432"/>
    <n v="31"/>
    <n v="10589.464518125096"/>
    <n v="0"/>
    <n v="0"/>
    <n v="0"/>
    <n v="0"/>
    <n v="0"/>
    <n v="0"/>
    <n v="0"/>
    <n v="0"/>
    <n v="0"/>
    <n v="0"/>
    <n v="14582.154503264319"/>
    <n v="0"/>
    <n v="0"/>
    <n v="0"/>
    <n v="490.69051462274774"/>
    <n v="0"/>
    <n v="-1800.7280360201075"/>
    <m/>
    <n v="0"/>
    <n v="0"/>
    <n v="0"/>
    <n v="0"/>
    <n v="-278.60231800977999"/>
    <n v="-32.624436565257554"/>
    <n v="0"/>
    <n v="-2371.4257091668596"/>
    <m/>
    <m/>
    <m/>
    <n v="0"/>
    <n v="0"/>
    <n v="0"/>
    <n v="-2508.2625600000028"/>
    <n v="13099.234320000003"/>
    <n v="0"/>
    <n v="0"/>
    <n v="0"/>
    <n v="0"/>
    <n v="0"/>
    <n v="0"/>
    <n v="0"/>
    <n v="0"/>
    <n v="0"/>
    <n v="0"/>
    <n v="0"/>
    <n v="0"/>
    <n v="0"/>
    <n v="0"/>
    <n v="0"/>
    <n v="12178.02184792448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13"/>
    <s v="Regular"/>
    <s v="Verde"/>
    <s v="A4"/>
    <s v="Industrial"/>
    <s v="Não se aplica"/>
    <s v="Não se aplica"/>
    <s v="Não se aplica"/>
    <s v="Não se aplica"/>
    <s v="CATIVO"/>
    <x v="3"/>
    <n v="2114"/>
    <n v="2114"/>
    <n v="0"/>
    <n v="0"/>
    <n v="0"/>
    <n v="0"/>
    <n v="43.29"/>
    <m/>
    <m/>
    <n v="91515.06"/>
    <m/>
    <n v="91515.06"/>
    <n v="70797.86"/>
    <n v="0"/>
    <n v="0"/>
    <n v="0"/>
    <n v="0"/>
    <n v="0"/>
    <n v="50025.668852937932"/>
    <n v="41496.101538641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07.51"/>
    <n v="7461.44"/>
    <n v="64079.3"/>
    <n v="13"/>
    <m/>
    <m/>
    <m/>
    <m/>
    <m/>
    <m/>
    <m/>
    <m/>
    <m/>
    <n v="0"/>
    <m/>
    <m/>
    <m/>
    <m/>
    <m/>
    <m/>
    <m/>
    <m/>
    <m/>
    <m/>
    <m/>
    <m/>
    <n v="70797.86"/>
    <n v="-20717.229999999981"/>
    <m/>
    <m/>
    <m/>
    <m/>
    <n v="-20717.199999999993"/>
    <n v="0"/>
    <n v="31"/>
    <n v="472.81754698379518"/>
    <n v="0"/>
    <n v="0"/>
    <n v="0"/>
    <n v="0"/>
    <m/>
    <m/>
    <m/>
    <n v="2259.7586534853108"/>
    <n v="0"/>
    <n v="0"/>
    <m/>
    <m/>
    <n v="0"/>
    <n v="0"/>
    <n v="0"/>
    <n v="0"/>
    <n v="0"/>
    <m/>
    <n v="0"/>
    <n v="0"/>
    <m/>
    <n v="0"/>
    <n v="0"/>
    <n v="0"/>
    <n v="0"/>
    <n v="-1786.9411065015136"/>
    <m/>
    <m/>
    <n v="41496.10153864156"/>
    <m/>
    <n v="0"/>
    <n v="0"/>
    <n v="-20717.199999999997"/>
    <m/>
    <n v="0"/>
    <m/>
    <n v="-21196.30504575272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14"/>
    <s v="Regular"/>
    <s v="Convencional"/>
    <s v="B3"/>
    <s v="Comercial"/>
    <s v="Não se aplica"/>
    <s v="Não se aplica"/>
    <s v="Não se aplica"/>
    <s v="Não se aplica"/>
    <s v="CATIVO"/>
    <x v="3"/>
    <n v="0"/>
    <n v="0"/>
    <n v="580.88599999999997"/>
    <n v="580.88599999999997"/>
    <n v="580.88599999999997"/>
    <n v="580.88599999999997"/>
    <m/>
    <n v="648.44000000000005"/>
    <n v="159.41"/>
    <m/>
    <n v="469268.75510000001"/>
    <n v="469268.75510000001"/>
    <n v="355397.67251999996"/>
    <n v="0"/>
    <n v="35997.651007462075"/>
    <n v="0"/>
    <n v="0"/>
    <n v="0"/>
    <n v="67757.114164535029"/>
    <n v="242546.62040434201"/>
    <n v="89590.46410861102"/>
    <n v="3010.0044261571779"/>
    <n v="0"/>
    <n v="0"/>
    <n v="0"/>
    <n v="0"/>
    <n v="5562.596488471193"/>
    <m/>
    <n v="1205.39400621491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48.7768427535684"/>
    <n v="0"/>
    <n v="2975.83"/>
    <n v="13031.49"/>
    <n v="194513.69"/>
    <n v="1435"/>
    <m/>
    <m/>
    <m/>
    <m/>
    <m/>
    <m/>
    <m/>
    <m/>
    <m/>
    <n v="96139.240951364583"/>
    <m/>
    <m/>
    <m/>
    <m/>
    <m/>
    <m/>
    <m/>
    <m/>
    <m/>
    <m/>
    <m/>
    <m/>
    <n v="355400.11979999999"/>
    <n v="-113868.66530000005"/>
    <m/>
    <m/>
    <m/>
    <m/>
    <n v="-129828.02100000002"/>
    <n v="15956.938419999999"/>
    <n v="31"/>
    <n v="10022.617509043688"/>
    <n v="0"/>
    <n v="0"/>
    <n v="0"/>
    <n v="0"/>
    <n v="0"/>
    <n v="0"/>
    <n v="0"/>
    <n v="3060.7231962979276"/>
    <n v="0"/>
    <n v="0"/>
    <n v="17763.369656213195"/>
    <n v="0"/>
    <n v="0"/>
    <n v="0"/>
    <n v="1298.4455992197509"/>
    <n v="0"/>
    <n v="-2521.3464908068636"/>
    <m/>
    <n v="0"/>
    <n v="0"/>
    <n v="0"/>
    <n v="0"/>
    <n v="-339.38167098543181"/>
    <n v="-76.804796010234213"/>
    <n v="0"/>
    <n v="-9162.3879848846045"/>
    <m/>
    <m/>
    <m/>
    <n v="242546.62040434201"/>
    <n v="0"/>
    <n v="0"/>
    <n v="-129828.02100000001"/>
    <n v="15956.938419999991"/>
    <n v="0"/>
    <n v="0"/>
    <n v="-123893.37704698318"/>
    <n v="0"/>
    <n v="0"/>
    <n v="0"/>
    <n v="0"/>
    <n v="0"/>
    <n v="0"/>
    <n v="0"/>
    <n v="0"/>
    <n v="0"/>
    <n v="0"/>
    <n v="0"/>
    <n v="0"/>
    <n v="17051.44365891961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15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59.186"/>
    <n v="59.186"/>
    <n v="59.186"/>
    <n v="59.186"/>
    <m/>
    <n v="648.44000000000005"/>
    <n v="159.41"/>
    <m/>
    <n v="47813.410100000001"/>
    <n v="47813.410100000001"/>
    <n v="36211.178520000001"/>
    <n v="0"/>
    <n v="3667.7712537875768"/>
    <n v="0"/>
    <n v="0"/>
    <n v="0"/>
    <n v="6903.7170097784601"/>
    <n v="24712.87701072394"/>
    <n v="9128.2991993820688"/>
    <n v="306.68689203482052"/>
    <n v="0"/>
    <n v="0"/>
    <n v="0"/>
    <n v="0"/>
    <n v="566.76841198902378"/>
    <m/>
    <n v="122.816610577352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7.24952265197089"/>
    <n v="0"/>
    <n v="304.74"/>
    <n v="1333.44"/>
    <n v="36846.949999999997"/>
    <n v="114"/>
    <m/>
    <m/>
    <m/>
    <m/>
    <m/>
    <m/>
    <m/>
    <m/>
    <m/>
    <n v="9795.5487220340401"/>
    <m/>
    <m/>
    <m/>
    <m/>
    <m/>
    <m/>
    <m/>
    <m/>
    <m/>
    <m/>
    <m/>
    <m/>
    <n v="36213.625800000002"/>
    <n v="-11599.814300000005"/>
    <m/>
    <m/>
    <m/>
    <m/>
    <n v="-13228.071000000004"/>
    <n v="1625.83942"/>
    <n v="31"/>
    <n v="1021.1963102747541"/>
    <n v="0"/>
    <n v="0"/>
    <n v="0"/>
    <n v="0"/>
    <n v="0"/>
    <n v="0"/>
    <n v="0"/>
    <n v="311.85458609105535"/>
    <n v="0"/>
    <n v="0"/>
    <n v="1809.8952229398437"/>
    <n v="0"/>
    <n v="0"/>
    <n v="0"/>
    <n v="132.29756137248978"/>
    <n v="0"/>
    <n v="-256.89793419861144"/>
    <m/>
    <n v="0"/>
    <n v="0"/>
    <n v="0"/>
    <n v="0"/>
    <n v="-34.579321207506723"/>
    <n v="-7.8255779217638661"/>
    <n v="0"/>
    <n v="-933.54822680074949"/>
    <m/>
    <m/>
    <m/>
    <n v="24712.87701072394"/>
    <n v="0"/>
    <n v="0"/>
    <n v="-13228.071000000004"/>
    <n v="1625.8394200000002"/>
    <n v="0"/>
    <n v="0"/>
    <n v="-12623.394975783107"/>
    <n v="0"/>
    <n v="0"/>
    <n v="0"/>
    <n v="0"/>
    <n v="0"/>
    <n v="0"/>
    <n v="0"/>
    <n v="0"/>
    <n v="0"/>
    <n v="0"/>
    <n v="0"/>
    <n v="0"/>
    <n v="1737.357664665384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16"/>
    <s v="Regular"/>
    <s v="Verde"/>
    <s v="A4"/>
    <s v="Comercial"/>
    <s v="Não se aplica"/>
    <s v="Não se aplica"/>
    <s v="Não se aplica"/>
    <s v="Ponta"/>
    <s v="CATIVO"/>
    <x v="3"/>
    <n v="0"/>
    <n v="0"/>
    <n v="9.3119999999999994"/>
    <n v="9.3119999999999994"/>
    <n v="9.3119999999999994"/>
    <n v="9.3119999999999994"/>
    <m/>
    <n v="2810.7"/>
    <n v="159.41"/>
    <m/>
    <n v="27657.66432"/>
    <n v="27657.66432"/>
    <n v="17615.417279999998"/>
    <n v="0"/>
    <n v="502.04826726396118"/>
    <n v="0"/>
    <n v="0"/>
    <n v="0"/>
    <n v="5685.1212056167915"/>
    <n v="19600.725474894738"/>
    <n v="1436.1964340324707"/>
    <n v="48.252430281286934"/>
    <n v="0"/>
    <n v="0"/>
    <n v="0"/>
    <n v="0"/>
    <n v="89.172227426110709"/>
    <m/>
    <n v="9.9986052700470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28110030447696"/>
    <n v="0"/>
    <n v="0"/>
    <n v="0"/>
    <n v="0"/>
    <n v="0"/>
    <m/>
    <m/>
    <m/>
    <m/>
    <m/>
    <m/>
    <m/>
    <m/>
    <m/>
    <n v="1484.5245440629185"/>
    <m/>
    <m/>
    <m/>
    <m/>
    <m/>
    <m/>
    <m/>
    <m/>
    <m/>
    <m/>
    <m/>
    <m/>
    <n v="17611.633900000001"/>
    <n v="-10046.060419999994"/>
    <m/>
    <m/>
    <m/>
    <m/>
    <n v="-10298.047679999998"/>
    <n v="255.80063999999996"/>
    <n v="31"/>
    <n v="-30.101943216890504"/>
    <n v="0"/>
    <n v="0"/>
    <n v="0"/>
    <n v="0"/>
    <n v="0"/>
    <n v="0"/>
    <n v="0"/>
    <n v="256.80819737308229"/>
    <n v="0"/>
    <n v="0"/>
    <n v="284.75896860770854"/>
    <n v="0"/>
    <n v="0"/>
    <n v="0"/>
    <n v="9.5821591259563235"/>
    <n v="0"/>
    <n v="-35.164451053188543"/>
    <m/>
    <n v="0"/>
    <n v="0"/>
    <n v="0"/>
    <n v="0"/>
    <n v="-5.4405203778647291"/>
    <n v="-0.63708698914489581"/>
    <n v="0"/>
    <n v="-540.00920990343957"/>
    <m/>
    <m/>
    <m/>
    <n v="19600.725474894738"/>
    <n v="0"/>
    <n v="0"/>
    <n v="-10298.04768"/>
    <n v="255.80063999999993"/>
    <n v="0"/>
    <n v="0"/>
    <n v="-10012.096097678945"/>
    <n v="0"/>
    <n v="0"/>
    <n v="0"/>
    <n v="0"/>
    <n v="0"/>
    <n v="0"/>
    <n v="0"/>
    <n v="0"/>
    <n v="0"/>
    <n v="0"/>
    <n v="0"/>
    <n v="0"/>
    <n v="237.811287784724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17"/>
    <s v="Sistema de Compensação"/>
    <s v="Verde"/>
    <s v="A4"/>
    <s v="Comercial"/>
    <s v="Não se aplica"/>
    <s v="Não se aplica"/>
    <s v="Não se aplica"/>
    <s v="Ponta"/>
    <s v="CATIVO"/>
    <x v="3"/>
    <n v="0"/>
    <n v="0"/>
    <n v="5.3860000000000001"/>
    <n v="5.3860000000000001"/>
    <n v="5.3860000000000001"/>
    <n v="5.3860000000000001"/>
    <m/>
    <n v="2810.7"/>
    <n v="159.41"/>
    <m/>
    <n v="15997.012459999998"/>
    <n v="15997.012459999998"/>
    <n v="10188.642339999999"/>
    <n v="0"/>
    <n v="290.38143980709782"/>
    <n v="0"/>
    <n v="0"/>
    <n v="0"/>
    <n v="3288.2369859806749"/>
    <n v="11336.931637433749"/>
    <n v="830.68664021680502"/>
    <n v="27.908890624464288"/>
    <n v="0"/>
    <n v="0"/>
    <n v="0"/>
    <n v="0"/>
    <n v="51.576634119097115"/>
    <m/>
    <n v="5.78312800520545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952663297249927"/>
    <n v="0"/>
    <n v="0"/>
    <n v="0"/>
    <n v="0"/>
    <n v="0"/>
    <m/>
    <m/>
    <m/>
    <m/>
    <m/>
    <m/>
    <m/>
    <m/>
    <m/>
    <n v="858.63930351405497"/>
    <m/>
    <m/>
    <m/>
    <m/>
    <m/>
    <m/>
    <m/>
    <m/>
    <m/>
    <m/>
    <m/>
    <m/>
    <n v="10196.209099999998"/>
    <n v="-5800.8333600000005"/>
    <m/>
    <m/>
    <m/>
    <m/>
    <n v="-5956.3235399999994"/>
    <n v="147.95341999999999"/>
    <n v="31"/>
    <n v="-17.410767414753536"/>
    <n v="0"/>
    <n v="0"/>
    <n v="0"/>
    <n v="0"/>
    <n v="0"/>
    <n v="0"/>
    <n v="0"/>
    <n v="148.53618460603684"/>
    <n v="0"/>
    <n v="0"/>
    <n v="164.70272819170077"/>
    <n v="0"/>
    <n v="0"/>
    <n v="0"/>
    <n v="5.542258274527569"/>
    <n v="0"/>
    <n v="-20.338888893092019"/>
    <m/>
    <n v="0"/>
    <n v="0"/>
    <n v="0"/>
    <n v="0"/>
    <n v="-3.1467614642589652"/>
    <n v="-0.36848695484690808"/>
    <n v="0"/>
    <n v="-312.33780117482024"/>
    <m/>
    <m/>
    <m/>
    <n v="11336.931637433749"/>
    <n v="0"/>
    <n v="0"/>
    <n v="-5956.3235399999994"/>
    <n v="147.95341999999994"/>
    <n v="0"/>
    <n v="0"/>
    <n v="-5790.9310118233243"/>
    <n v="0"/>
    <n v="0"/>
    <n v="0"/>
    <n v="0"/>
    <n v="0"/>
    <n v="0"/>
    <n v="0"/>
    <n v="0"/>
    <n v="0"/>
    <n v="0"/>
    <n v="0"/>
    <n v="0"/>
    <n v="137.5484961349364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18"/>
    <s v="Regular"/>
    <s v="Verde"/>
    <s v="A4"/>
    <s v="Comercial"/>
    <s v="Não se aplica"/>
    <s v="Não se aplica"/>
    <s v="Não se aplica"/>
    <s v="Fora ponta"/>
    <s v="CATIVO"/>
    <x v="3"/>
    <n v="0"/>
    <n v="0"/>
    <n v="119.55200000000001"/>
    <n v="119.55200000000001"/>
    <n v="119.55200000000001"/>
    <n v="119.55200000000001"/>
    <m/>
    <n v="95.29"/>
    <n v="159.41"/>
    <m/>
    <n v="30449.894400000001"/>
    <n v="30449.894400000001"/>
    <n v="33105.144319999999"/>
    <n v="0"/>
    <n v="6445.5406408871449"/>
    <n v="0"/>
    <n v="0"/>
    <n v="0"/>
    <n v="0"/>
    <n v="0"/>
    <n v="18438.590644485608"/>
    <n v="619.48824581061172"/>
    <n v="0"/>
    <n v="0"/>
    <n v="0"/>
    <n v="0"/>
    <n v="1144.8365692919233"/>
    <m/>
    <n v="128.366973501359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0.45985935997464"/>
    <n v="0"/>
    <n v="0"/>
    <n v="0"/>
    <n v="0"/>
    <n v="0"/>
    <m/>
    <m/>
    <m/>
    <m/>
    <m/>
    <m/>
    <m/>
    <m/>
    <m/>
    <n v="19059.050503845581"/>
    <m/>
    <m/>
    <m/>
    <m/>
    <m/>
    <m/>
    <m/>
    <m/>
    <m/>
    <m/>
    <m/>
    <m/>
    <n v="33104.590499999998"/>
    <n v="2654.6660999999986"/>
    <m/>
    <m/>
    <m/>
    <m/>
    <n v="-628.84352000000069"/>
    <n v="3284.0934400000001"/>
    <n v="31"/>
    <n v="2654.8720411841023"/>
    <n v="0"/>
    <n v="0"/>
    <n v="0"/>
    <n v="0"/>
    <n v="0"/>
    <n v="0"/>
    <n v="0"/>
    <n v="0"/>
    <n v="0"/>
    <n v="0"/>
    <n v="3655.8745935340157"/>
    <n v="0"/>
    <n v="0"/>
    <n v="0"/>
    <n v="123.02043468925365"/>
    <n v="0"/>
    <n v="-451.45838190622817"/>
    <m/>
    <n v="0"/>
    <n v="0"/>
    <n v="0"/>
    <n v="0"/>
    <n v="-69.848055435404376"/>
    <n v="-8.1792336475784566"/>
    <n v="0"/>
    <n v="-594.53731604995301"/>
    <m/>
    <m/>
    <m/>
    <n v="0"/>
    <n v="0"/>
    <n v="0"/>
    <n v="-628.84352000000217"/>
    <n v="3284.0934400000006"/>
    <n v="0"/>
    <n v="0"/>
    <n v="0"/>
    <n v="0"/>
    <n v="0"/>
    <n v="0"/>
    <n v="0"/>
    <n v="0"/>
    <n v="0"/>
    <n v="0"/>
    <n v="0"/>
    <n v="0"/>
    <n v="0"/>
    <n v="0"/>
    <n v="0"/>
    <n v="3053.1373579509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19"/>
    <s v="Sistema de Compensação"/>
    <s v="Verde"/>
    <s v="A4"/>
    <s v="Comercial"/>
    <s v="Não se aplica"/>
    <s v="Não se aplica"/>
    <s v="Não se aplica"/>
    <s v="Fora ponta"/>
    <s v="CATIVO"/>
    <x v="3"/>
    <n v="0"/>
    <n v="0"/>
    <n v="38.345999999999997"/>
    <n v="38.345999999999997"/>
    <n v="38.345999999999997"/>
    <n v="38.345999999999997"/>
    <m/>
    <n v="95.29"/>
    <n v="159.41"/>
    <m/>
    <n v="9766.7261999999992"/>
    <n v="9766.7261999999992"/>
    <n v="10618.39086"/>
    <n v="0"/>
    <n v="2067.390770672665"/>
    <n v="0"/>
    <n v="0"/>
    <n v="0"/>
    <n v="0"/>
    <n v="0"/>
    <n v="5914.1310630808766"/>
    <n v="198.69927959259329"/>
    <n v="0"/>
    <n v="0"/>
    <n v="0"/>
    <n v="0"/>
    <n v="367.20341847955768"/>
    <m/>
    <n v="41.173380335612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.01092216790673"/>
    <n v="0"/>
    <n v="0"/>
    <n v="0"/>
    <n v="0"/>
    <n v="0"/>
    <m/>
    <m/>
    <m/>
    <m/>
    <m/>
    <m/>
    <m/>
    <m/>
    <m/>
    <n v="6113.1419852487834"/>
    <m/>
    <m/>
    <m/>
    <m/>
    <m/>
    <m/>
    <m/>
    <m/>
    <m/>
    <m/>
    <m/>
    <m/>
    <n v="10619.4985"/>
    <n v="852.74229999999989"/>
    <m/>
    <m/>
    <m/>
    <m/>
    <n v="-201.69996000000017"/>
    <n v="1053.3646199999998"/>
    <n v="31"/>
    <n v="851.5434563306826"/>
    <n v="0"/>
    <n v="0"/>
    <n v="0"/>
    <n v="0"/>
    <n v="0"/>
    <n v="0"/>
    <n v="0"/>
    <n v="0"/>
    <n v="0"/>
    <n v="0"/>
    <n v="1172.612479621047"/>
    <n v="0"/>
    <n v="0"/>
    <n v="0"/>
    <n v="39.458491606950275"/>
    <n v="0"/>
    <n v="-144.8041280160619"/>
    <m/>
    <n v="0"/>
    <n v="0"/>
    <n v="0"/>
    <n v="0"/>
    <n v="-22.403586169415917"/>
    <n v="-2.6234683940882917"/>
    <n v="0"/>
    <n v="-190.69633231774873"/>
    <m/>
    <m/>
    <m/>
    <n v="0"/>
    <n v="0"/>
    <n v="0"/>
    <n v="-201.69995999999992"/>
    <n v="1053.3646200000003"/>
    <n v="0"/>
    <n v="0"/>
    <n v="0"/>
    <n v="0"/>
    <n v="0"/>
    <n v="0"/>
    <n v="0"/>
    <n v="0"/>
    <n v="0"/>
    <n v="0"/>
    <n v="0"/>
    <n v="0"/>
    <n v="0"/>
    <n v="0"/>
    <n v="0"/>
    <n v="979.2860439640313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20"/>
    <s v="Regular"/>
    <s v="Verde"/>
    <s v="A4"/>
    <s v="Comercial"/>
    <s v="Não se aplica"/>
    <s v="Não se aplica"/>
    <s v="Não se aplica"/>
    <s v="Não se aplica"/>
    <s v="CATIVO"/>
    <x v="3"/>
    <n v="1402"/>
    <n v="1402"/>
    <n v="0"/>
    <n v="0"/>
    <n v="0"/>
    <n v="0"/>
    <n v="43.29"/>
    <m/>
    <m/>
    <n v="60692.58"/>
    <m/>
    <n v="60692.58"/>
    <n v="46952.98"/>
    <n v="0"/>
    <n v="0"/>
    <n v="0"/>
    <n v="0"/>
    <n v="0"/>
    <n v="33176.909996130074"/>
    <n v="27520.12032032898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99.47"/>
    <n v="3493.59"/>
    <n v="49258.66"/>
    <n v="12"/>
    <m/>
    <m/>
    <m/>
    <m/>
    <m/>
    <m/>
    <m/>
    <m/>
    <m/>
    <n v="0"/>
    <m/>
    <m/>
    <m/>
    <m/>
    <m/>
    <m/>
    <m/>
    <m/>
    <m/>
    <m/>
    <m/>
    <m/>
    <n v="46952.98"/>
    <n v="-13739.630000000005"/>
    <m/>
    <m/>
    <m/>
    <m/>
    <n v="-13739.599999999997"/>
    <n v="0"/>
    <n v="31"/>
    <n v="313.57152359095926"/>
    <n v="0"/>
    <n v="0"/>
    <n v="0"/>
    <n v="0"/>
    <m/>
    <m/>
    <m/>
    <n v="1498.6668080351956"/>
    <n v="0"/>
    <n v="0"/>
    <m/>
    <m/>
    <n v="0"/>
    <n v="0"/>
    <n v="0"/>
    <n v="0"/>
    <n v="0"/>
    <m/>
    <n v="0"/>
    <n v="0"/>
    <m/>
    <n v="0"/>
    <n v="0"/>
    <n v="0"/>
    <n v="0"/>
    <n v="-1185.0952844442395"/>
    <m/>
    <m/>
    <n v="27520.120320328981"/>
    <m/>
    <n v="0"/>
    <n v="0"/>
    <n v="-13739.599999999999"/>
    <m/>
    <n v="0"/>
    <m/>
    <n v="-14057.3413784982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21"/>
    <s v="Sistema de Compensação"/>
    <s v="Verde"/>
    <s v="A4"/>
    <s v="Comercial"/>
    <s v="Não se aplica"/>
    <s v="Não se aplica"/>
    <s v="Não se aplica"/>
    <s v="Não se aplica"/>
    <s v="CATIVO"/>
    <x v="3"/>
    <n v="928"/>
    <n v="928"/>
    <n v="0"/>
    <n v="0"/>
    <n v="0"/>
    <n v="0"/>
    <n v="43.29"/>
    <m/>
    <m/>
    <n v="40173.120000000003"/>
    <m/>
    <n v="40173.120000000003"/>
    <n v="31078.720000000001"/>
    <n v="0"/>
    <n v="0"/>
    <n v="0"/>
    <n v="0"/>
    <n v="0"/>
    <n v="21960.180083030464"/>
    <n v="18215.88563285684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13.69000000000005"/>
    <n v="2244.7600000000002"/>
    <n v="35931.24"/>
    <n v="6"/>
    <m/>
    <m/>
    <m/>
    <m/>
    <m/>
    <m/>
    <m/>
    <m/>
    <m/>
    <n v="0"/>
    <m/>
    <m/>
    <m/>
    <m/>
    <m/>
    <m/>
    <m/>
    <m/>
    <m/>
    <m/>
    <m/>
    <m/>
    <n v="31078.720000000001"/>
    <n v="-9094.4300000000076"/>
    <m/>
    <m/>
    <m/>
    <m/>
    <n v="-9094.3999999999978"/>
    <n v="0"/>
    <n v="31"/>
    <n v="207.55661475920715"/>
    <n v="0"/>
    <n v="0"/>
    <n v="0"/>
    <n v="0"/>
    <m/>
    <m/>
    <m/>
    <n v="991.98487721588026"/>
    <n v="0"/>
    <n v="0"/>
    <m/>
    <m/>
    <n v="0"/>
    <n v="0"/>
    <n v="0"/>
    <n v="0"/>
    <n v="0"/>
    <m/>
    <n v="0"/>
    <n v="0"/>
    <m/>
    <n v="0"/>
    <n v="0"/>
    <n v="0"/>
    <n v="0"/>
    <n v="-784.42826245667197"/>
    <m/>
    <m/>
    <n v="18215.885632856844"/>
    <m/>
    <n v="0"/>
    <n v="0"/>
    <n v="-9094.4000000000015"/>
    <m/>
    <n v="0"/>
    <m/>
    <n v="-9304.716689904695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22"/>
    <s v="Regular"/>
    <s v="Convencional"/>
    <s v="B2"/>
    <s v="Rural"/>
    <s v="Não se aplica"/>
    <s v="Não se aplica"/>
    <s v="Não se aplica"/>
    <s v="Não se aplica"/>
    <s v="CATIVO"/>
    <x v="3"/>
    <n v="0"/>
    <n v="0"/>
    <n v="3903.623"/>
    <n v="3903.623"/>
    <n v="3903.623"/>
    <n v="3903.623"/>
    <m/>
    <n v="648.44000000000005"/>
    <n v="159.41"/>
    <m/>
    <n v="3153541.8405500003"/>
    <n v="3153541.8405500003"/>
    <n v="2388314.6238600002"/>
    <n v="0"/>
    <n v="241908.49567505866"/>
    <n v="0"/>
    <n v="0"/>
    <n v="0"/>
    <n v="455335.86498263816"/>
    <n v="1629942.1331942219"/>
    <n v="602058.57306777663"/>
    <n v="20227.587698875446"/>
    <n v="0"/>
    <n v="0"/>
    <n v="0"/>
    <n v="0"/>
    <n v="37381.309916430051"/>
    <m/>
    <n v="8100.39106937105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008.559175535673"/>
    <n v="0"/>
    <n v="13611.92"/>
    <n v="59763.05"/>
    <n v="244087.41"/>
    <n v="14037"/>
    <m/>
    <m/>
    <m/>
    <m/>
    <m/>
    <n v="286604.00066000008"/>
    <m/>
    <m/>
    <m/>
    <n v="646067.13224331231"/>
    <m/>
    <m/>
    <m/>
    <m/>
    <m/>
    <m/>
    <m/>
    <m/>
    <m/>
    <m/>
    <m/>
    <m/>
    <n v="2101709.0079999999"/>
    <n v="-673415.64892999968"/>
    <m/>
    <m/>
    <m/>
    <m/>
    <n v="-872459.74050000019"/>
    <n v="107232.52381"/>
    <n v="31"/>
    <n v="67353.181568338769"/>
    <n v="0"/>
    <n v="0"/>
    <n v="0"/>
    <n v="0"/>
    <n v="0"/>
    <n v="0"/>
    <n v="0"/>
    <n v="20568.423865787918"/>
    <n v="0"/>
    <n v="0"/>
    <n v="119371.9565413798"/>
    <n v="0"/>
    <n v="0"/>
    <n v="0"/>
    <n v="8725.7088402251029"/>
    <n v="0"/>
    <n v="-16943.748261247354"/>
    <m/>
    <n v="0"/>
    <n v="0"/>
    <n v="0"/>
    <n v="0"/>
    <n v="-2280.6851888962119"/>
    <n v="-516.13736295221224"/>
    <n v="0"/>
    <n v="-61572.336865958547"/>
    <m/>
    <m/>
    <m/>
    <n v="1629942.1331942219"/>
    <n v="0"/>
    <n v="0"/>
    <n v="-872459.74050000031"/>
    <n v="107232.52380999993"/>
    <n v="0"/>
    <n v="0"/>
    <n v="-832578.22737727466"/>
    <n v="0"/>
    <n v="0"/>
    <n v="0"/>
    <n v="0"/>
    <n v="0"/>
    <n v="0"/>
    <n v="0"/>
    <n v="0"/>
    <n v="0"/>
    <n v="0"/>
    <n v="0"/>
    <n v="0"/>
    <n v="114587.7291760565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23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1.647"/>
    <n v="-1.647"/>
    <n v="-1.647"/>
    <n v="-1.647"/>
    <m/>
    <n v="648.44000000000005"/>
    <n v="159.41"/>
    <m/>
    <n v="-1330.5289500000001"/>
    <n v="-1330.5289500000001"/>
    <n v="-1007.6675399999999"/>
    <n v="0"/>
    <n v="-102.06500278762104"/>
    <n v="0"/>
    <n v="0"/>
    <n v="0"/>
    <n v="-192.11336997102566"/>
    <n v="-687.69824682631588"/>
    <n v="-254.01799042649051"/>
    <n v="-8.5343377011683401"/>
    <n v="0"/>
    <n v="0"/>
    <n v="0"/>
    <n v="0"/>
    <n v="-15.77176316267229"/>
    <m/>
    <n v="-3.4176825198678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.567903960527762"/>
    <n v="0"/>
    <n v="-4.18"/>
    <n v="-20.16"/>
    <n v="-135.41"/>
    <n v="0"/>
    <m/>
    <m/>
    <m/>
    <m/>
    <m/>
    <n v="-120.92274000000003"/>
    <m/>
    <m/>
    <m/>
    <n v="-272.5858943870183"/>
    <m/>
    <m/>
    <m/>
    <m/>
    <m/>
    <m/>
    <m/>
    <m/>
    <m/>
    <m/>
    <m/>
    <m/>
    <n v="-888.3599999999999"/>
    <n v="282.47877000000017"/>
    <m/>
    <m/>
    <m/>
    <m/>
    <n v="368.10450000000009"/>
    <n v="-45.243089999999995"/>
    <n v="31"/>
    <n v="-28.417367671789293"/>
    <n v="0"/>
    <n v="0"/>
    <n v="0"/>
    <n v="0"/>
    <n v="0"/>
    <n v="0"/>
    <n v="0"/>
    <n v="-8.6781418459089537"/>
    <n v="0"/>
    <n v="0"/>
    <n v="-50.364907785319559"/>
    <n v="0"/>
    <n v="0"/>
    <n v="0"/>
    <n v="-3.6815139320192394"/>
    <n v="0"/>
    <n v="7.1488341436338487"/>
    <m/>
    <n v="0"/>
    <n v="0"/>
    <n v="0"/>
    <n v="0"/>
    <n v="0.96225698693548445"/>
    <n v="0.21776647918671799"/>
    <n v="0"/>
    <n v="25.978338281702339"/>
    <m/>
    <m/>
    <m/>
    <n v="-687.69824682631588"/>
    <n v="0"/>
    <n v="0"/>
    <n v="368.10450000000014"/>
    <n v="-45.243089999999995"/>
    <n v="0"/>
    <n v="0"/>
    <n v="351.27786174289156"/>
    <n v="0"/>
    <n v="0"/>
    <n v="0"/>
    <n v="0"/>
    <n v="0"/>
    <n v="0"/>
    <n v="0"/>
    <n v="0"/>
    <n v="0"/>
    <n v="0"/>
    <n v="0"/>
    <n v="0"/>
    <n v="-48.34636693988255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24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104.88500000000001"/>
    <n v="104.88500000000001"/>
    <n v="104.88500000000001"/>
    <n v="104.88500000000001"/>
    <m/>
    <n v="648.44000000000005"/>
    <n v="159.41"/>
    <m/>
    <n v="84731.347250000006"/>
    <n v="84731.347250000006"/>
    <n v="64170.740700000009"/>
    <n v="0"/>
    <n v="6499.7497373282531"/>
    <n v="0"/>
    <n v="0"/>
    <n v="0"/>
    <n v="12234.25064323681"/>
    <n v="43794.311243702577"/>
    <n v="16176.488722454436"/>
    <n v="543.48755906924191"/>
    <n v="0"/>
    <n v="0"/>
    <n v="0"/>
    <n v="0"/>
    <n v="1004.3845654625884"/>
    <m/>
    <n v="217.646406251572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2.4496702489096"/>
    <n v="0"/>
    <n v="351.27"/>
    <n v="1539.44"/>
    <n v="4178.87"/>
    <n v="277"/>
    <m/>
    <m/>
    <m/>
    <m/>
    <m/>
    <n v="7700.6567000000014"/>
    <m/>
    <m/>
    <m/>
    <n v="17358.938392703345"/>
    <m/>
    <m/>
    <m/>
    <m/>
    <m/>
    <m/>
    <m/>
    <m/>
    <m/>
    <m/>
    <m/>
    <m/>
    <n v="56472.775999999998"/>
    <n v="-18091.049350000001"/>
    <m/>
    <m/>
    <m/>
    <m/>
    <n v="-23441.797500000008"/>
    <n v="2881.1909500000002"/>
    <n v="31"/>
    <n v="1809.6876795723074"/>
    <n v="0"/>
    <n v="0"/>
    <n v="0"/>
    <n v="0"/>
    <n v="0"/>
    <n v="0"/>
    <n v="0"/>
    <n v="552.64535974994578"/>
    <n v="0"/>
    <n v="0"/>
    <n v="3207.360870105189"/>
    <n v="0"/>
    <n v="0"/>
    <n v="0"/>
    <n v="234.44783774124971"/>
    <n v="0"/>
    <n v="-455.2552939617708"/>
    <m/>
    <n v="0"/>
    <n v="0"/>
    <n v="0"/>
    <n v="0"/>
    <n v="-61.278885291273923"/>
    <n v="-13.867903563751639"/>
    <n v="0"/>
    <n v="-1654.3643052072557"/>
    <m/>
    <m/>
    <m/>
    <n v="43794.311243702577"/>
    <n v="0"/>
    <n v="0"/>
    <n v="-23441.797500000001"/>
    <n v="2881.1909500000002"/>
    <n v="0"/>
    <n v="0"/>
    <n v="-22370.235900973395"/>
    <n v="0"/>
    <n v="0"/>
    <n v="0"/>
    <n v="0"/>
    <n v="0"/>
    <n v="0"/>
    <n v="0"/>
    <n v="0"/>
    <n v="0"/>
    <n v="0"/>
    <n v="0"/>
    <n v="0"/>
    <n v="3078.815237698592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25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-0.88300000000000001"/>
    <n v="-0.88300000000000001"/>
    <n v="-0.88300000000000001"/>
    <n v="-0.88300000000000001"/>
    <m/>
    <n v="648.44000000000005"/>
    <n v="159.41"/>
    <m/>
    <n v="-713.33155000000011"/>
    <n v="-713.33155000000011"/>
    <n v="-540.23705999999993"/>
    <n v="0"/>
    <n v="-54.71973130629592"/>
    <n v="0"/>
    <n v="0"/>
    <n v="0"/>
    <n v="-102.99702834512183"/>
    <n v="-368.69310986498903"/>
    <n v="-136.18572285767524"/>
    <n v="-4.5754828112517574"/>
    <n v="0"/>
    <n v="0"/>
    <n v="0"/>
    <n v="0"/>
    <n v="-8.4556568747053014"/>
    <m/>
    <n v="-1.8323094505423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.9547414676053503"/>
    <n v="0"/>
    <n v="-2"/>
    <n v="-9.69"/>
    <n v="-0.52"/>
    <n v="2"/>
    <m/>
    <m/>
    <m/>
    <m/>
    <m/>
    <n v="-64.829860000000011"/>
    <m/>
    <m/>
    <m/>
    <n v="-146.14046432528059"/>
    <m/>
    <m/>
    <m/>
    <m/>
    <m/>
    <m/>
    <m/>
    <m/>
    <m/>
    <m/>
    <m/>
    <m/>
    <n v="-473.79199999999992"/>
    <n v="153.91153000000008"/>
    <m/>
    <m/>
    <m/>
    <m/>
    <n v="197.35050000000004"/>
    <n v="-24.25601"/>
    <n v="31"/>
    <n v="-15.235297907826293"/>
    <n v="0"/>
    <n v="0"/>
    <n v="0"/>
    <n v="0"/>
    <n v="0"/>
    <n v="0"/>
    <n v="0"/>
    <n v="-4.6525799938904697"/>
    <n v="0"/>
    <n v="0"/>
    <n v="-27.001951168450006"/>
    <n v="0"/>
    <n v="0"/>
    <n v="0"/>
    <n v="-1.9737564067838438"/>
    <n v="0"/>
    <n v="3.8326779288577342"/>
    <m/>
    <n v="0"/>
    <n v="0"/>
    <n v="0"/>
    <n v="0"/>
    <n v="0.51589126864847135"/>
    <n v="0.11675033462165874"/>
    <n v="0"/>
    <n v="13.927670129170107"/>
    <m/>
    <m/>
    <m/>
    <n v="-368.69310986498903"/>
    <n v="0"/>
    <n v="0"/>
    <n v="197.35050000000007"/>
    <n v="-24.256010000000003"/>
    <n v="0"/>
    <n v="0"/>
    <n v="188.32929685426427"/>
    <n v="0"/>
    <n v="0"/>
    <n v="0"/>
    <n v="0"/>
    <n v="0"/>
    <n v="0"/>
    <n v="0"/>
    <n v="0"/>
    <n v="0"/>
    <n v="0"/>
    <n v="0"/>
    <n v="0"/>
    <n v="-25.9197583533189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26"/>
    <s v="Regular"/>
    <s v="Verde"/>
    <s v="A4"/>
    <s v="Rural"/>
    <s v="Não se aplica"/>
    <s v="Não se aplica"/>
    <s v="Não se aplica"/>
    <s v="Ponta"/>
    <s v="CATIVO"/>
    <x v="3"/>
    <n v="0"/>
    <n v="0"/>
    <n v="34.173000000000002"/>
    <n v="32.806080000000001"/>
    <n v="34.173000000000002"/>
    <n v="32.806080000000001"/>
    <m/>
    <n v="2810.7"/>
    <n v="159.41"/>
    <m/>
    <n v="101497.56903"/>
    <n v="101497.56903"/>
    <n v="64644.722370000003"/>
    <n v="0"/>
    <n v="1842.4071560579196"/>
    <n v="0"/>
    <n v="0"/>
    <n v="0"/>
    <n v="20863.14937280312"/>
    <n v="71930.368519499345"/>
    <n v="5270.5262822370742"/>
    <n v="177.07584836795732"/>
    <n v="0"/>
    <n v="0"/>
    <n v="0"/>
    <n v="0"/>
    <n v="327.24253950091082"/>
    <m/>
    <n v="36.6926909249695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.35357646805085"/>
    <n v="0"/>
    <n v="0"/>
    <n v="0"/>
    <n v="0"/>
    <n v="0"/>
    <m/>
    <m/>
    <m/>
    <m/>
    <m/>
    <n v="2585.7888948000009"/>
    <m/>
    <m/>
    <m/>
    <n v="5447.8798587051251"/>
    <m/>
    <m/>
    <m/>
    <m/>
    <m/>
    <m/>
    <m/>
    <m/>
    <m/>
    <m/>
    <m/>
    <m/>
    <n v="62066.348900000005"/>
    <n v="-35371.347368799987"/>
    <m/>
    <m/>
    <m/>
    <m/>
    <n v="-37791.578969999995"/>
    <n v="938.73230999999998"/>
    <n v="31"/>
    <n v="-110.46753710812482"/>
    <n v="0"/>
    <n v="0"/>
    <n v="0"/>
    <n v="0"/>
    <n v="0"/>
    <n v="0"/>
    <n v="0"/>
    <n v="942.42982483143351"/>
    <n v="0"/>
    <n v="0"/>
    <n v="1045.0030320265478"/>
    <n v="0"/>
    <n v="0"/>
    <n v="0"/>
    <n v="35.164424807915083"/>
    <n v="0"/>
    <n v="-129.04583181278031"/>
    <m/>
    <n v="0"/>
    <n v="0"/>
    <n v="0"/>
    <n v="0"/>
    <n v="-19.96551792018596"/>
    <n v="-2.3379696821357996"/>
    <n v="0"/>
    <n v="-1981.7154993589179"/>
    <m/>
    <m/>
    <m/>
    <n v="71930.368519499345"/>
    <n v="0"/>
    <n v="0"/>
    <n v="-37791.578969999995"/>
    <n v="938.73231000000033"/>
    <n v="0"/>
    <n v="0"/>
    <n v="-36742.199306913935"/>
    <n v="0"/>
    <n v="0"/>
    <n v="0"/>
    <n v="0"/>
    <n v="0"/>
    <n v="0"/>
    <n v="0"/>
    <n v="0"/>
    <n v="0"/>
    <n v="0"/>
    <n v="0"/>
    <n v="0"/>
    <n v="872.7153283362762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27"/>
    <s v="Sistema de Compensação"/>
    <s v="Verde"/>
    <s v="A4"/>
    <s v="Rural"/>
    <s v="Não se aplica"/>
    <s v="Não se aplica"/>
    <s v="Não se aplica"/>
    <s v="Ponta"/>
    <s v="CATIVO"/>
    <x v="3"/>
    <n v="0"/>
    <n v="0"/>
    <n v="1.845"/>
    <n v="1.7712000000000001"/>
    <n v="1.845"/>
    <n v="1.7712000000000001"/>
    <m/>
    <n v="2810.7"/>
    <n v="159.41"/>
    <m/>
    <n v="5479.8529499999995"/>
    <n v="5479.8529499999995"/>
    <n v="3490.1680499999998"/>
    <n v="0"/>
    <n v="99.471547798755196"/>
    <n v="0"/>
    <n v="0"/>
    <n v="0"/>
    <n v="1126.4012697984301"/>
    <n v="3883.5200280477657"/>
    <n v="284.5556723356861"/>
    <n v="9.56032365431426"/>
    <n v="0"/>
    <n v="0"/>
    <n v="0"/>
    <n v="0"/>
    <n v="17.66782212211923"/>
    <m/>
    <n v="1.981038093131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5753181922439872"/>
    <n v="0"/>
    <n v="0"/>
    <n v="0"/>
    <n v="0"/>
    <n v="0"/>
    <m/>
    <m/>
    <m/>
    <m/>
    <m/>
    <n v="139.60672199999973"/>
    <m/>
    <m/>
    <m/>
    <n v="294.13099052793007"/>
    <m/>
    <m/>
    <m/>
    <m/>
    <m/>
    <m/>
    <m/>
    <m/>
    <m/>
    <m/>
    <m/>
    <m/>
    <n v="3348.2912999999999"/>
    <n v="-1912.3975320000009"/>
    <m/>
    <m/>
    <m/>
    <m/>
    <n v="-2040.3670499999998"/>
    <n v="50.68215"/>
    <n v="31"/>
    <n v="-5.9641414556663221"/>
    <n v="0"/>
    <n v="0"/>
    <n v="0"/>
    <n v="0"/>
    <n v="0"/>
    <n v="0"/>
    <n v="0"/>
    <n v="50.881778796535173"/>
    <n v="0"/>
    <n v="0"/>
    <n v="56.419705442571058"/>
    <n v="0"/>
    <n v="0"/>
    <n v="0"/>
    <n v="1.8985270175461135"/>
    <n v="0"/>
    <n v="-6.967183439984197"/>
    <m/>
    <n v="0"/>
    <n v="0"/>
    <n v="0"/>
    <n v="0"/>
    <n v="-1.0779381547637925"/>
    <n v="-0.12622696466627303"/>
    <n v="0"/>
    <n v="-106.99280415290444"/>
    <m/>
    <m/>
    <m/>
    <n v="3883.5200280477657"/>
    <n v="0"/>
    <n v="0"/>
    <n v="-2040.3670499999994"/>
    <n v="50.682149999999979"/>
    <n v="0"/>
    <n v="0"/>
    <n v="-1983.7110502811054"/>
    <n v="0"/>
    <n v="0"/>
    <n v="0"/>
    <n v="0"/>
    <n v="0"/>
    <n v="0"/>
    <n v="0"/>
    <n v="0"/>
    <n v="0"/>
    <n v="0"/>
    <n v="0"/>
    <n v="0"/>
    <n v="47.11789368157403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28"/>
    <s v="Regular"/>
    <s v="Verde"/>
    <s v="A4"/>
    <s v="Rural"/>
    <s v="Não se aplica"/>
    <s v="Não se aplica"/>
    <s v="Não se aplica"/>
    <s v="Fora ponta"/>
    <s v="CATIVO"/>
    <x v="3"/>
    <n v="0"/>
    <n v="0"/>
    <n v="703.90099999999995"/>
    <n v="675.74495999999999"/>
    <n v="703.90099999999995"/>
    <n v="675.74495999999999"/>
    <m/>
    <n v="95.29"/>
    <n v="159.41"/>
    <m/>
    <n v="179283.58470000001"/>
    <n v="179283.58470000001"/>
    <n v="194917.22590999998"/>
    <n v="0"/>
    <n v="37950.201608179719"/>
    <n v="0"/>
    <n v="0"/>
    <n v="0"/>
    <n v="0"/>
    <n v="0"/>
    <n v="108563.15572507412"/>
    <n v="3647.4370626533669"/>
    <n v="0"/>
    <n v="0"/>
    <n v="0"/>
    <n v="0"/>
    <n v="6740.5949374427364"/>
    <m/>
    <n v="755.80200259786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53.1577511321052"/>
    <n v="0"/>
    <n v="0"/>
    <n v="0"/>
    <n v="0"/>
    <n v="0"/>
    <m/>
    <m/>
    <m/>
    <m/>
    <m/>
    <n v="7796.6890363999892"/>
    <m/>
    <m/>
    <m/>
    <n v="112216.31347620623"/>
    <m/>
    <m/>
    <m/>
    <m/>
    <m/>
    <m/>
    <m/>
    <m/>
    <m/>
    <m/>
    <m/>
    <m/>
    <n v="187119.16339999999"/>
    <n v="15006.892087999993"/>
    <m/>
    <m/>
    <m/>
    <m/>
    <n v="-3702.5192600000032"/>
    <n v="19336.160469999999"/>
    <n v="31"/>
    <n v="15631.416326464911"/>
    <n v="0"/>
    <n v="0"/>
    <n v="0"/>
    <n v="0"/>
    <n v="0"/>
    <n v="0"/>
    <n v="0"/>
    <n v="0"/>
    <n v="0"/>
    <n v="0"/>
    <n v="21525.142049176822"/>
    <n v="0"/>
    <n v="0"/>
    <n v="0"/>
    <n v="724.32252909361932"/>
    <n v="0"/>
    <n v="-2658.1069867687329"/>
    <m/>
    <n v="0"/>
    <n v="0"/>
    <n v="0"/>
    <n v="0"/>
    <n v="-411.25297836118716"/>
    <n v="-48.1578789460998"/>
    <n v="0"/>
    <n v="-3500.5304077295059"/>
    <m/>
    <m/>
    <m/>
    <n v="0"/>
    <n v="0"/>
    <n v="0"/>
    <n v="-3702.5192600000082"/>
    <n v="19336.160470000003"/>
    <n v="0"/>
    <n v="0"/>
    <n v="0"/>
    <n v="0"/>
    <n v="0"/>
    <n v="0"/>
    <n v="0"/>
    <n v="0"/>
    <n v="0"/>
    <n v="0"/>
    <n v="0"/>
    <n v="0"/>
    <n v="0"/>
    <n v="0"/>
    <n v="0"/>
    <n v="17976.33196767135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29"/>
    <s v="Sistema de Compensação"/>
    <s v="Verde"/>
    <s v="A4"/>
    <s v="Rural"/>
    <s v="Não se aplica"/>
    <s v="Não se aplica"/>
    <s v="Não se aplica"/>
    <s v="Fora ponta"/>
    <s v="CATIVO"/>
    <x v="3"/>
    <n v="0"/>
    <n v="0"/>
    <n v="28.138999999999999"/>
    <n v="27.013439999999999"/>
    <n v="28.138999999999999"/>
    <n v="27.013439999999999"/>
    <m/>
    <n v="95.29"/>
    <n v="159.41"/>
    <m/>
    <n v="7167.0033000000003"/>
    <n v="7167.0033000000003"/>
    <n v="7791.9704899999997"/>
    <n v="0"/>
    <n v="1517.0893677556489"/>
    <n v="0"/>
    <n v="0"/>
    <n v="0"/>
    <n v="0"/>
    <n v="0"/>
    <n v="4339.898137590174"/>
    <n v="145.80918553319728"/>
    <n v="0"/>
    <n v="0"/>
    <n v="0"/>
    <n v="0"/>
    <n v="269.46062151453282"/>
    <m/>
    <n v="30.213783687054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.03787458620789"/>
    <n v="0"/>
    <n v="0"/>
    <n v="0"/>
    <n v="0"/>
    <n v="0"/>
    <m/>
    <m/>
    <m/>
    <m/>
    <m/>
    <n v="311.6788196"/>
    <m/>
    <m/>
    <m/>
    <n v="4485.9360121763821"/>
    <m/>
    <m/>
    <m/>
    <m/>
    <m/>
    <m/>
    <m/>
    <m/>
    <m/>
    <m/>
    <m/>
    <m/>
    <n v="7479.3391000000011"/>
    <n v="598.9859320000005"/>
    <m/>
    <m/>
    <m/>
    <m/>
    <n v="-148.01114000000015"/>
    <n v="772.97832999999991"/>
    <n v="31"/>
    <n v="624.87824851846472"/>
    <n v="0"/>
    <n v="0"/>
    <n v="0"/>
    <n v="0"/>
    <n v="0"/>
    <n v="0"/>
    <n v="0"/>
    <n v="0"/>
    <n v="0"/>
    <n v="0"/>
    <n v="860.48460241111479"/>
    <n v="0"/>
    <n v="0"/>
    <n v="0"/>
    <n v="28.955366800395694"/>
    <n v="0"/>
    <n v="-106.25993215052313"/>
    <m/>
    <n v="0"/>
    <n v="0"/>
    <n v="0"/>
    <n v="0"/>
    <n v="-16.440163543034373"/>
    <n v="-1.9251493543329303"/>
    <n v="0"/>
    <n v="-139.93647564515547"/>
    <m/>
    <m/>
    <m/>
    <n v="0"/>
    <n v="0"/>
    <n v="0"/>
    <n v="-148.01114000000007"/>
    <n v="772.97832999999991"/>
    <n v="0"/>
    <n v="0"/>
    <n v="0"/>
    <n v="0"/>
    <n v="0"/>
    <n v="0"/>
    <n v="0"/>
    <n v="0"/>
    <n v="0"/>
    <n v="0"/>
    <n v="0"/>
    <n v="0"/>
    <n v="0"/>
    <n v="0"/>
    <n v="0"/>
    <n v="718.6181085668356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30"/>
    <s v="Regular"/>
    <s v="Verde"/>
    <s v="A4"/>
    <s v="Rural"/>
    <s v="Não se aplica"/>
    <s v="Não se aplica"/>
    <s v="Não se aplica"/>
    <s v="Não se aplica"/>
    <s v="CATIVO"/>
    <x v="3"/>
    <n v="3248"/>
    <n v="3118.08"/>
    <n v="0"/>
    <n v="0"/>
    <n v="0"/>
    <n v="0"/>
    <n v="43.29"/>
    <m/>
    <m/>
    <n v="140605.91999999998"/>
    <m/>
    <n v="140605.91999999998"/>
    <n v="108775.52"/>
    <n v="0"/>
    <n v="0"/>
    <n v="0"/>
    <n v="0"/>
    <n v="0"/>
    <n v="76860.630290606627"/>
    <n v="63755.5997149989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69.67"/>
    <n v="9481.02"/>
    <n v="155.41"/>
    <n v="22"/>
    <m/>
    <m/>
    <m/>
    <m/>
    <m/>
    <n v="4351.020800000003"/>
    <m/>
    <m/>
    <m/>
    <n v="0"/>
    <m/>
    <m/>
    <m/>
    <m/>
    <m/>
    <m/>
    <m/>
    <m/>
    <m/>
    <m/>
    <m/>
    <m/>
    <n v="104424.49920000001"/>
    <n v="-30557.214000000022"/>
    <m/>
    <m/>
    <m/>
    <m/>
    <n v="-31830.399999999991"/>
    <n v="0"/>
    <n v="31"/>
    <n v="726.44815165721229"/>
    <n v="0"/>
    <n v="0"/>
    <n v="0"/>
    <n v="0"/>
    <m/>
    <m/>
    <m/>
    <n v="3471.94707025557"/>
    <n v="0"/>
    <n v="0"/>
    <m/>
    <m/>
    <n v="0"/>
    <n v="0"/>
    <n v="0"/>
    <n v="0"/>
    <n v="0"/>
    <m/>
    <n v="0"/>
    <n v="0"/>
    <m/>
    <n v="0"/>
    <n v="0"/>
    <n v="0"/>
    <n v="0"/>
    <n v="-2745.4989185983522"/>
    <m/>
    <m/>
    <n v="63755.599714998956"/>
    <m/>
    <n v="0"/>
    <n v="0"/>
    <n v="-31830.39999999998"/>
    <m/>
    <n v="0"/>
    <m/>
    <n v="-32566.50841466643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31"/>
    <s v="Sistema de Compensação"/>
    <s v="Verde"/>
    <s v="A4"/>
    <s v="Rural"/>
    <s v="Não se aplica"/>
    <s v="Não se aplica"/>
    <s v="Não se aplica"/>
    <s v="Não se aplica"/>
    <s v="CATIVO"/>
    <x v="3"/>
    <n v="273"/>
    <n v="262.08"/>
    <n v="0"/>
    <n v="0"/>
    <n v="0"/>
    <n v="0"/>
    <n v="43.29"/>
    <m/>
    <m/>
    <n v="11818.17"/>
    <m/>
    <n v="11818.17"/>
    <n v="9142.77"/>
    <n v="0"/>
    <n v="0"/>
    <n v="0"/>
    <n v="0"/>
    <n v="0"/>
    <n v="6460.2684942535743"/>
    <n v="5358.768079493446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46"/>
    <n v="574.5"/>
    <n v="22.03"/>
    <n v="3"/>
    <m/>
    <m/>
    <m/>
    <m/>
    <m/>
    <n v="365.71080000000057"/>
    <m/>
    <m/>
    <m/>
    <n v="0"/>
    <m/>
    <m/>
    <m/>
    <m/>
    <m/>
    <m/>
    <m/>
    <m/>
    <m/>
    <m/>
    <m/>
    <m/>
    <n v="8777.0591999999997"/>
    <n v="-2568.4140000000007"/>
    <m/>
    <m/>
    <m/>
    <m/>
    <n v="-2675.3999999999992"/>
    <n v="0"/>
    <n v="31"/>
    <n v="61.059219643602773"/>
    <n v="0"/>
    <n v="0"/>
    <n v="0"/>
    <n v="0"/>
    <m/>
    <m/>
    <m/>
    <n v="291.82313737061941"/>
    <n v="0"/>
    <n v="0"/>
    <m/>
    <m/>
    <n v="0"/>
    <n v="0"/>
    <n v="0"/>
    <n v="0"/>
    <n v="0"/>
    <m/>
    <n v="0"/>
    <n v="0"/>
    <m/>
    <n v="0"/>
    <n v="0"/>
    <n v="0"/>
    <n v="0"/>
    <n v="-230.76391772701666"/>
    <m/>
    <m/>
    <n v="5358.7680794934467"/>
    <m/>
    <n v="0"/>
    <n v="0"/>
    <n v="-2675.3999999999996"/>
    <m/>
    <n v="0"/>
    <m/>
    <n v="-2737.2711814051531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32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229.61099999999999"/>
    <n v="229.61099999999999"/>
    <n v="229.61099999999999"/>
    <n v="229.61099999999999"/>
    <m/>
    <n v="648.44000000000005"/>
    <n v="159.41"/>
    <m/>
    <n v="185491.24635"/>
    <n v="185491.24635"/>
    <n v="140480.60201999999"/>
    <n v="0"/>
    <n v="14229.051217406468"/>
    <n v="0"/>
    <n v="0"/>
    <n v="0"/>
    <n v="26782.843346944243"/>
    <n v="95873.152490611537"/>
    <n v="35413.069095213665"/>
    <n v="1189.7861650898383"/>
    <n v="0"/>
    <n v="0"/>
    <n v="0"/>
    <n v="0"/>
    <n v="2198.7676451392513"/>
    <m/>
    <n v="476.46478510587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88.5822685371822"/>
    <n v="0"/>
    <n v="1153.53"/>
    <n v="5047.9799999999996"/>
    <n v="71867.41"/>
    <n v="357"/>
    <m/>
    <m/>
    <m/>
    <m/>
    <m/>
    <m/>
    <m/>
    <m/>
    <m/>
    <n v="38001.651363750847"/>
    <m/>
    <m/>
    <m/>
    <m/>
    <m/>
    <m/>
    <m/>
    <m/>
    <m/>
    <m/>
    <m/>
    <m/>
    <n v="140479.9902"/>
    <n v="-45011.286150000029"/>
    <m/>
    <m/>
    <m/>
    <m/>
    <n v="-51318.058500000014"/>
    <n v="6307.4141699999991"/>
    <n v="31"/>
    <n v="3961.7123305933492"/>
    <n v="0"/>
    <n v="0"/>
    <n v="0"/>
    <n v="0"/>
    <n v="0"/>
    <n v="0"/>
    <n v="0"/>
    <n v="1209.8341392720104"/>
    <n v="0"/>
    <n v="0"/>
    <n v="7021.4552771675808"/>
    <n v="0"/>
    <n v="0"/>
    <n v="0"/>
    <n v="513.24595959008502"/>
    <n v="0"/>
    <n v="-996.63081757978762"/>
    <m/>
    <n v="0"/>
    <n v="0"/>
    <n v="0"/>
    <n v="0"/>
    <n v="-134.14984154659578"/>
    <n v="-30.359185824251085"/>
    <n v="0"/>
    <n v="-3621.6832004857042"/>
    <m/>
    <m/>
    <m/>
    <n v="95873.152490611537"/>
    <n v="0"/>
    <n v="0"/>
    <n v="-51318.058499999999"/>
    <n v="6307.4141700000037"/>
    <n v="0"/>
    <n v="0"/>
    <n v="-48972.22896942748"/>
    <n v="0"/>
    <n v="0"/>
    <n v="0"/>
    <n v="0"/>
    <n v="0"/>
    <n v="0"/>
    <n v="0"/>
    <n v="0"/>
    <n v="0"/>
    <n v="0"/>
    <n v="0"/>
    <n v="0"/>
    <n v="6740.047152054264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33"/>
    <s v="Refaturamento - Regular"/>
    <s v="Convencional"/>
    <s v="B3"/>
    <s v="Poder público"/>
    <s v="Não se aplica"/>
    <s v="Não se aplica"/>
    <s v="Não se aplica"/>
    <s v="Não se aplica"/>
    <s v="CATIVO"/>
    <x v="3"/>
    <n v="0"/>
    <n v="0"/>
    <n v="-3.2629999999999999"/>
    <n v="-3.2629999999999999"/>
    <n v="-3.2629999999999999"/>
    <n v="-3.2629999999999999"/>
    <m/>
    <n v="648.44000000000005"/>
    <n v="159.41"/>
    <m/>
    <n v="-2636.0145499999999"/>
    <n v="-2636.0145499999999"/>
    <n v="-1996.3686599999999"/>
    <n v="0"/>
    <n v="-202.20892780571185"/>
    <n v="0"/>
    <n v="0"/>
    <n v="0"/>
    <n v="-380.61076272948191"/>
    <n v="-1362.4525679382323"/>
    <n v="-503.25482863487463"/>
    <n v="-16.908041237955249"/>
    <n v="0"/>
    <n v="0"/>
    <n v="0"/>
    <n v="0"/>
    <n v="-31.24666860947157"/>
    <m/>
    <n v="-6.77103707488088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6.786320961264167"/>
    <n v="0"/>
    <n v="-11.6"/>
    <n v="-55.96"/>
    <n v="-1023.66"/>
    <n v="0"/>
    <m/>
    <m/>
    <m/>
    <m/>
    <m/>
    <m/>
    <m/>
    <m/>
    <m/>
    <n v="-540.04114959613878"/>
    <m/>
    <m/>
    <m/>
    <m/>
    <m/>
    <m/>
    <m/>
    <m/>
    <m/>
    <m/>
    <m/>
    <m/>
    <n v="-1994.5331999999999"/>
    <n v="641.45134999999937"/>
    <m/>
    <m/>
    <m/>
    <m/>
    <n v="729.28050000000019"/>
    <n v="-89.634609999999995"/>
    <n v="31"/>
    <n v="-56.299860785093188"/>
    <n v="0"/>
    <n v="0"/>
    <n v="0"/>
    <n v="0"/>
    <n v="0"/>
    <n v="0"/>
    <n v="0"/>
    <n v="-17.192942831330242"/>
    <n v="0"/>
    <n v="0"/>
    <n v="-99.781842200059316"/>
    <n v="0"/>
    <n v="0"/>
    <n v="0"/>
    <n v="-7.2937340377527491"/>
    <n v="0"/>
    <n v="14.163112210490141"/>
    <m/>
    <n v="0"/>
    <n v="0"/>
    <n v="0"/>
    <n v="0"/>
    <n v="1.906402275877646"/>
    <n v="0.43143413575364953"/>
    <n v="0"/>
    <n v="51.467709661927579"/>
    <m/>
    <m/>
    <m/>
    <n v="-1362.4525679382323"/>
    <n v="0"/>
    <n v="0"/>
    <n v="729.28050000000007"/>
    <n v="-89.634610000000066"/>
    <n v="0"/>
    <n v="0"/>
    <n v="695.9439361670037"/>
    <n v="0"/>
    <n v="0"/>
    <n v="0"/>
    <n v="0"/>
    <n v="0"/>
    <n v="0"/>
    <n v="0"/>
    <n v="0"/>
    <n v="0"/>
    <n v="0"/>
    <n v="0"/>
    <n v="0"/>
    <n v="-95.78275368842548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34"/>
    <s v="Regular"/>
    <s v="Azul"/>
    <s v="A4"/>
    <s v="Poder público"/>
    <s v="Não se aplica"/>
    <s v="Não se aplica"/>
    <s v="Não se aplica"/>
    <s v="Ponta"/>
    <s v="CATIVO"/>
    <x v="3"/>
    <n v="200"/>
    <n v="200"/>
    <n v="2.2869999999999999"/>
    <n v="2.2869999999999999"/>
    <n v="2.2869999999999999"/>
    <n v="2.2869999999999999"/>
    <n v="112.91"/>
    <n v="95.29"/>
    <n v="159.41"/>
    <n v="22582"/>
    <n v="582.49890000000005"/>
    <n v="23164.498900000002"/>
    <n v="14061.293170000001"/>
    <n v="0"/>
    <n v="123.30158797601796"/>
    <n v="0"/>
    <n v="0"/>
    <n v="0"/>
    <n v="5077.0827132346003"/>
    <n v="17504.269107723037"/>
    <n v="352.72564912288027"/>
    <n v="11.850655933559194"/>
    <n v="0"/>
    <n v="0"/>
    <n v="0"/>
    <n v="0"/>
    <n v="21.900438587147253"/>
    <m/>
    <n v="2.45562824877550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69242658895391"/>
    <n v="0"/>
    <n v="0"/>
    <n v="0"/>
    <n v="0"/>
    <n v="0"/>
    <m/>
    <m/>
    <m/>
    <m/>
    <m/>
    <m/>
    <m/>
    <m/>
    <m/>
    <n v="364.59489178177569"/>
    <m/>
    <m/>
    <m/>
    <m/>
    <m/>
    <m/>
    <m/>
    <m/>
    <m/>
    <m/>
    <m/>
    <m/>
    <n v="14062.123900000001"/>
    <n v="-9102.404999999997"/>
    <m/>
    <m/>
    <m/>
    <m/>
    <n v="-9166.0296199999993"/>
    <n v="62.823889999999999"/>
    <n v="31"/>
    <n v="-160.76666501801628"/>
    <n v="0"/>
    <n v="0"/>
    <n v="0"/>
    <n v="0"/>
    <n v="0"/>
    <n v="0"/>
    <n v="0"/>
    <n v="229.34189304735992"/>
    <n v="0"/>
    <n v="0"/>
    <n v="69.935970919869931"/>
    <n v="0"/>
    <n v="0"/>
    <n v="0"/>
    <n v="2.353350292210278"/>
    <n v="0"/>
    <n v="-8.636286464630814"/>
    <m/>
    <n v="0"/>
    <n v="0"/>
    <n v="0"/>
    <n v="0"/>
    <n v="-1.3361759132492139"/>
    <n v="-0.15646670362697357"/>
    <n v="0"/>
    <n v="-452.26895019594815"/>
    <m/>
    <m/>
    <n v="17504.269107723037"/>
    <n v="0"/>
    <n v="0"/>
    <n v="0"/>
    <n v="-9166.0296200000012"/>
    <n v="62.823889999999949"/>
    <n v="0"/>
    <n v="0"/>
    <n v="-8941.2213160491574"/>
    <n v="0"/>
    <n v="0"/>
    <n v="0"/>
    <n v="0"/>
    <n v="0"/>
    <n v="0"/>
    <n v="0"/>
    <n v="0"/>
    <n v="0"/>
    <n v="0"/>
    <n v="0"/>
    <n v="0"/>
    <n v="58.40575764214624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35"/>
    <s v="Regular"/>
    <s v="Azul"/>
    <s v="A4"/>
    <s v="Poder público"/>
    <s v="Não se aplica"/>
    <s v="Não se aplica"/>
    <s v="Não se aplica"/>
    <s v="Fora ponta"/>
    <s v="CATIVO"/>
    <x v="3"/>
    <n v="230"/>
    <n v="230"/>
    <n v="22.193000000000001"/>
    <n v="22.193000000000001"/>
    <n v="22.193000000000001"/>
    <n v="22.193000000000001"/>
    <n v="43.29"/>
    <n v="95.29"/>
    <n v="159.41"/>
    <n v="9956.6999999999989"/>
    <n v="5652.5571"/>
    <n v="15609.257099999999"/>
    <n v="13848.163630000001"/>
    <n v="0"/>
    <n v="1196.516021841612"/>
    <n v="0"/>
    <n v="0"/>
    <n v="0"/>
    <n v="5442.71704644074"/>
    <n v="4514.7130340054682"/>
    <n v="3422.8422960140279"/>
    <n v="114.998516455391"/>
    <n v="0"/>
    <n v="0"/>
    <n v="0"/>
    <n v="0"/>
    <n v="212.52139639902012"/>
    <m/>
    <n v="23.829364986915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.17888164795167"/>
    <n v="0"/>
    <n v="0"/>
    <n v="0"/>
    <n v="0"/>
    <n v="0"/>
    <m/>
    <m/>
    <m/>
    <m/>
    <m/>
    <m/>
    <m/>
    <m/>
    <m/>
    <n v="3538.0211776619794"/>
    <m/>
    <m/>
    <m/>
    <m/>
    <m/>
    <m/>
    <m/>
    <m/>
    <m/>
    <m/>
    <m/>
    <m/>
    <n v="13847.332900000001"/>
    <n v="-1761.9542000000001"/>
    <m/>
    <m/>
    <m/>
    <m/>
    <n v="-2370.7351799999997"/>
    <n v="609.64170999999999"/>
    <n v="31"/>
    <n v="544.27821597765615"/>
    <n v="0"/>
    <n v="0"/>
    <n v="0"/>
    <n v="0"/>
    <n v="0"/>
    <n v="0"/>
    <n v="0"/>
    <n v="245.85832086169376"/>
    <n v="0"/>
    <n v="0"/>
    <n v="678.65719397668363"/>
    <n v="0"/>
    <n v="0"/>
    <n v="0"/>
    <n v="22.836861843035706"/>
    <n v="0"/>
    <n v="-83.806342592720284"/>
    <m/>
    <n v="0"/>
    <n v="0"/>
    <n v="0"/>
    <n v="0"/>
    <n v="-12.966223018250872"/>
    <n v="-1.5183496080426018"/>
    <n v="0"/>
    <n v="-304.78324548474382"/>
    <m/>
    <m/>
    <n v="4514.7130340054682"/>
    <n v="0"/>
    <n v="0"/>
    <n v="0"/>
    <n v="-2370.7351799999979"/>
    <n v="609.64171000000033"/>
    <n v="0"/>
    <n v="0"/>
    <n v="-2306.1259037479317"/>
    <n v="0"/>
    <n v="0"/>
    <n v="0"/>
    <n v="0"/>
    <n v="0"/>
    <n v="0"/>
    <n v="0"/>
    <n v="0"/>
    <n v="0"/>
    <n v="0"/>
    <n v="0"/>
    <n v="0"/>
    <n v="566.7682463280068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36"/>
    <s v="Regular"/>
    <s v="Azul"/>
    <s v="A4"/>
    <s v="Poder público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81.39"/>
    <n v="792.62"/>
    <n v="7074.1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37"/>
    <s v="Regular"/>
    <s v="Verde"/>
    <s v="A4"/>
    <s v="Poder público"/>
    <s v="Não se aplica"/>
    <s v="Não se aplica"/>
    <s v="Não se aplica"/>
    <s v="Ponta"/>
    <s v="CATIVO"/>
    <x v="3"/>
    <n v="0"/>
    <n v="0"/>
    <n v="0.46200000000000002"/>
    <n v="0.46200000000000002"/>
    <n v="0.46200000000000002"/>
    <n v="0.46200000000000002"/>
    <m/>
    <n v="2810.7"/>
    <n v="159.41"/>
    <m/>
    <n v="1372.19082"/>
    <n v="1372.19082"/>
    <n v="873.96078"/>
    <n v="0"/>
    <n v="24.90832253822488"/>
    <n v="0"/>
    <n v="0"/>
    <n v="0"/>
    <n v="282.05820414464756"/>
    <n v="972.45867369000962"/>
    <n v="71.254591121456357"/>
    <n v="2.3939672240071483"/>
    <n v="0"/>
    <n v="0"/>
    <n v="0"/>
    <n v="0"/>
    <n v="4.4241375720428646"/>
    <m/>
    <n v="0.49606482332063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977219538302017"/>
    <n v="0"/>
    <n v="0"/>
    <n v="0"/>
    <n v="0"/>
    <n v="0"/>
    <m/>
    <m/>
    <m/>
    <m/>
    <m/>
    <m/>
    <m/>
    <m/>
    <m/>
    <n v="73.652313075286557"/>
    <m/>
    <m/>
    <m/>
    <m/>
    <m/>
    <m/>
    <m/>
    <m/>
    <m/>
    <m/>
    <m/>
    <m/>
    <n v="870.17739999999992"/>
    <n v="-502.04342000000008"/>
    <m/>
    <m/>
    <m/>
    <m/>
    <n v="-510.92117999999999"/>
    <n v="12.691140000000001"/>
    <n v="31"/>
    <n v="-1.4934598116627171"/>
    <n v="0"/>
    <n v="0"/>
    <n v="0"/>
    <n v="0"/>
    <n v="0"/>
    <n v="0"/>
    <n v="0"/>
    <n v="12.74112834905111"/>
    <n v="0"/>
    <n v="0"/>
    <n v="14.127861200253577"/>
    <n v="0"/>
    <n v="0"/>
    <n v="0"/>
    <n v="0.47540351333675046"/>
    <n v="0"/>
    <n v="-1.7446280483862857"/>
    <m/>
    <n v="0"/>
    <n v="0"/>
    <n v="0"/>
    <n v="0"/>
    <n v="-0.26992272493272207"/>
    <n v="-3.1608052940822862E-2"/>
    <n v="0"/>
    <n v="-26.791694048044363"/>
    <m/>
    <m/>
    <m/>
    <n v="972.45867369000962"/>
    <n v="0"/>
    <n v="0"/>
    <n v="-510.92118000000005"/>
    <n v="12.691140000000004"/>
    <n v="0"/>
    <n v="0"/>
    <n v="-496.73414917608164"/>
    <n v="0"/>
    <n v="0"/>
    <n v="0"/>
    <n v="0"/>
    <n v="0"/>
    <n v="0"/>
    <n v="0"/>
    <n v="0"/>
    <n v="0"/>
    <n v="0"/>
    <n v="0"/>
    <n v="0"/>
    <n v="11.79862703571122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38"/>
    <s v="Regular"/>
    <s v="Verde"/>
    <s v="A4"/>
    <s v="Poder público"/>
    <s v="Não se aplica"/>
    <s v="Não se aplica"/>
    <s v="Não se aplica"/>
    <s v="Fora ponta"/>
    <s v="CATIVO"/>
    <x v="3"/>
    <n v="0"/>
    <n v="0"/>
    <n v="4.67"/>
    <n v="4.67"/>
    <n v="4.67"/>
    <n v="4.67"/>
    <m/>
    <n v="95.29"/>
    <n v="159.41"/>
    <m/>
    <n v="1189.4490000000001"/>
    <n v="1189.4490000000001"/>
    <n v="1293.1696999999999"/>
    <n v="0"/>
    <n v="251.77893128465408"/>
    <n v="0"/>
    <n v="0"/>
    <n v="0"/>
    <n v="0"/>
    <n v="0"/>
    <n v="720.25744705021896"/>
    <n v="24.198759601977017"/>
    <n v="0"/>
    <n v="0"/>
    <n v="0"/>
    <n v="0"/>
    <n v="44.720178487965747"/>
    <m/>
    <n v="5.0143349023968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236713256249008"/>
    <n v="0"/>
    <n v="0"/>
    <n v="0"/>
    <n v="0"/>
    <n v="0"/>
    <m/>
    <m/>
    <m/>
    <m/>
    <m/>
    <m/>
    <m/>
    <m/>
    <m/>
    <n v="744.49416030646796"/>
    <m/>
    <m/>
    <m/>
    <m/>
    <m/>
    <m/>
    <m/>
    <m/>
    <m/>
    <m/>
    <m/>
    <m/>
    <n v="1293.1696999999999"/>
    <n v="103.69069999999988"/>
    <m/>
    <m/>
    <m/>
    <m/>
    <n v="-24.564200000000024"/>
    <n v="128.28489999999999"/>
    <n v="31"/>
    <n v="103.70593910875414"/>
    <n v="0"/>
    <n v="0"/>
    <n v="0"/>
    <n v="0"/>
    <n v="0"/>
    <n v="0"/>
    <n v="0"/>
    <n v="0"/>
    <n v="0"/>
    <n v="0"/>
    <n v="142.80760130992246"/>
    <n v="0"/>
    <n v="0"/>
    <n v="0"/>
    <n v="4.8054857300489715"/>
    <n v="0"/>
    <n v="-17.635093043212009"/>
    <m/>
    <n v="0"/>
    <n v="0"/>
    <n v="0"/>
    <n v="0"/>
    <n v="-2.7284396654454781"/>
    <n v="-0.31950131435853368"/>
    <n v="0"/>
    <n v="-23.224113908201289"/>
    <m/>
    <m/>
    <m/>
    <n v="0"/>
    <n v="0"/>
    <n v="0"/>
    <n v="-24.564200000000028"/>
    <n v="128.28489999999999"/>
    <n v="0"/>
    <n v="0"/>
    <n v="0"/>
    <n v="0"/>
    <n v="0"/>
    <n v="0"/>
    <n v="0"/>
    <n v="0"/>
    <n v="0"/>
    <n v="0"/>
    <n v="0"/>
    <n v="0"/>
    <n v="0"/>
    <n v="0"/>
    <n v="0"/>
    <n v="119.2631780449597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39"/>
    <s v="Regular"/>
    <s v="Verde"/>
    <s v="A4"/>
    <s v="Poder público"/>
    <s v="Não se aplica"/>
    <s v="Não se aplica"/>
    <s v="Não se aplica"/>
    <s v="Não se aplica"/>
    <s v="CATIVO"/>
    <x v="3"/>
    <n v="45"/>
    <n v="45"/>
    <n v="0"/>
    <n v="0"/>
    <n v="0"/>
    <n v="0"/>
    <n v="43.29"/>
    <m/>
    <m/>
    <n v="1948.05"/>
    <m/>
    <n v="1948.05"/>
    <n v="1507.0500000000002"/>
    <n v="0"/>
    <n v="0"/>
    <n v="0"/>
    <n v="0"/>
    <n v="0"/>
    <n v="1064.8794221297101"/>
    <n v="883.313419696722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76"/>
    <n v="90.74"/>
    <n v="0"/>
    <n v="1"/>
    <m/>
    <m/>
    <m/>
    <m/>
    <m/>
    <m/>
    <m/>
    <m/>
    <m/>
    <n v="0"/>
    <m/>
    <m/>
    <m/>
    <m/>
    <m/>
    <m/>
    <m/>
    <m/>
    <m/>
    <m/>
    <m/>
    <m/>
    <n v="1507.0500000000002"/>
    <n v="-441.02999999999975"/>
    <m/>
    <m/>
    <m/>
    <m/>
    <n v="-440.99999999999989"/>
    <n v="0"/>
    <n v="31"/>
    <n v="10.064706534659763"/>
    <n v="0"/>
    <n v="0"/>
    <n v="0"/>
    <n v="0"/>
    <m/>
    <m/>
    <m/>
    <n v="48.102714951201051"/>
    <n v="0"/>
    <n v="0"/>
    <m/>
    <m/>
    <n v="0"/>
    <n v="0"/>
    <n v="0"/>
    <n v="0"/>
    <n v="0"/>
    <m/>
    <n v="0"/>
    <n v="0"/>
    <m/>
    <n v="0"/>
    <n v="0"/>
    <n v="0"/>
    <n v="0"/>
    <n v="-38.03800841654121"/>
    <m/>
    <m/>
    <n v="883.31341969672201"/>
    <m/>
    <n v="0"/>
    <n v="0"/>
    <n v="-440.99999999999977"/>
    <m/>
    <n v="0"/>
    <m/>
    <n v="-451.1985463854648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40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499.63900000000001"/>
    <n v="499.63900000000001"/>
    <n v="499.63900000000001"/>
    <n v="499.63900000000001"/>
    <m/>
    <n v="356.64"/>
    <n v="87.68"/>
    <m/>
    <n v="221999.60047999999"/>
    <n v="221999.60047999999"/>
    <n v="168128.52350000001"/>
    <n v="0"/>
    <n v="17029.514729989263"/>
    <n v="0"/>
    <n v="0"/>
    <n v="0"/>
    <n v="32054.057457452473"/>
    <n v="114742.24370997523"/>
    <n v="42382.824587301518"/>
    <n v="1423.9516545663182"/>
    <n v="0"/>
    <n v="0"/>
    <n v="0"/>
    <n v="0"/>
    <n v="2631.5138956641954"/>
    <m/>
    <n v="570.239290892133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98.0491389276162"/>
    <n v="0"/>
    <n v="1418.21"/>
    <n v="6198.11"/>
    <n v="61672.99"/>
    <n v="62"/>
    <m/>
    <m/>
    <m/>
    <m/>
    <m/>
    <m/>
    <m/>
    <m/>
    <m/>
    <n v="45480.873726229132"/>
    <m/>
    <m/>
    <m/>
    <m/>
    <m/>
    <m/>
    <m/>
    <m/>
    <m/>
    <m/>
    <m/>
    <m/>
    <n v="168128.86"/>
    <n v="-53870.770480000036"/>
    <m/>
    <m/>
    <m/>
    <m/>
    <n v="-61415.625879999992"/>
    <n v="7544.548899999997"/>
    <n v="31"/>
    <n v="4741.4291690290411"/>
    <n v="0"/>
    <n v="0"/>
    <n v="0"/>
    <n v="0"/>
    <n v="0"/>
    <n v="0"/>
    <n v="0"/>
    <n v="1447.9453324599308"/>
    <n v="0"/>
    <n v="0"/>
    <n v="8403.3695740874609"/>
    <n v="0"/>
    <n v="0"/>
    <n v="0"/>
    <n v="614.25948191504813"/>
    <n v="0"/>
    <n v="-1192.7808066060334"/>
    <m/>
    <n v="0"/>
    <n v="0"/>
    <n v="0"/>
    <n v="0"/>
    <n v="-160.55228614602447"/>
    <n v="-36.334270942265789"/>
    <n v="0"/>
    <n v="-4334.4778557391037"/>
    <m/>
    <m/>
    <m/>
    <n v="114742.24370997523"/>
    <n v="0"/>
    <n v="0"/>
    <n v="-61415.625879999978"/>
    <n v="7544.5489000000016"/>
    <n v="0"/>
    <n v="0"/>
    <n v="-58610.604590070026"/>
    <n v="0"/>
    <n v="0"/>
    <n v="0"/>
    <n v="0"/>
    <n v="0"/>
    <n v="0"/>
    <n v="0"/>
    <n v="0"/>
    <n v="0"/>
    <n v="0"/>
    <n v="0"/>
    <n v="0"/>
    <n v="8066.576646819517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41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46.662999999999997"/>
    <n v="43.863219999999998"/>
    <n v="46.662999999999997"/>
    <n v="43.863219999999998"/>
    <m/>
    <n v="648.44000000000005"/>
    <n v="159.41"/>
    <m/>
    <n v="37696.704549999995"/>
    <n v="37696.704549999995"/>
    <n v="28549.356659999998"/>
    <n v="0"/>
    <n v="2891.7178051480028"/>
    <n v="0"/>
    <n v="0"/>
    <n v="0"/>
    <n v="5442.9788603266361"/>
    <n v="19483.948568097374"/>
    <n v="7196.8679339838045"/>
    <n v="241.79587137196006"/>
    <n v="0"/>
    <n v="0"/>
    <n v="0"/>
    <n v="0"/>
    <n v="446.84747083168003"/>
    <m/>
    <n v="96.8301878716416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.06806466916021"/>
    <n v="0"/>
    <n v="231.46"/>
    <n v="1011.67"/>
    <n v="15626.47"/>
    <n v="13"/>
    <m/>
    <m/>
    <m/>
    <m/>
    <n v="1712.9613995999989"/>
    <m/>
    <m/>
    <m/>
    <m/>
    <n v="7722.9359986529644"/>
    <m/>
    <m/>
    <m/>
    <m/>
    <m/>
    <m/>
    <m/>
    <m/>
    <m/>
    <m/>
    <m/>
    <m/>
    <n v="26834.425199999998"/>
    <n v="-8600.507077000002"/>
    <m/>
    <m/>
    <m/>
    <m/>
    <n v="-10429.180500000002"/>
    <n v="1281.8326099999999"/>
    <n v="31"/>
    <n v="805.12424266466769"/>
    <n v="0"/>
    <n v="0"/>
    <n v="0"/>
    <n v="0"/>
    <n v="0"/>
    <n v="0"/>
    <n v="0"/>
    <n v="245.87014751405513"/>
    <n v="0"/>
    <n v="0"/>
    <n v="1426.9445610117591"/>
    <n v="0"/>
    <n v="0"/>
    <n v="0"/>
    <n v="104.30509083777395"/>
    <n v="0"/>
    <n v="-202.54161969908137"/>
    <m/>
    <n v="0"/>
    <n v="0"/>
    <n v="0"/>
    <n v="0"/>
    <n v="-27.26277946652732"/>
    <n v="-6.1697858034546584"/>
    <n v="0"/>
    <n v="-736.02137172985795"/>
    <m/>
    <m/>
    <m/>
    <n v="19483.948568097374"/>
    <n v="0"/>
    <n v="0"/>
    <n v="-10429.180499999999"/>
    <n v="1281.8326099999995"/>
    <n v="0"/>
    <n v="0"/>
    <n v="-9952.446182458134"/>
    <n v="0"/>
    <n v="0"/>
    <n v="0"/>
    <n v="0"/>
    <n v="0"/>
    <n v="0"/>
    <n v="0"/>
    <n v="0"/>
    <n v="0"/>
    <n v="0"/>
    <n v="0"/>
    <n v="0"/>
    <n v="1369.755021563897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42"/>
    <s v="Regular"/>
    <s v="Azul"/>
    <s v="A4"/>
    <s v="Serviço público"/>
    <s v="Água, esgoto e saneamento"/>
    <s v="Não se aplica"/>
    <s v="Não se aplica"/>
    <s v="Ponta"/>
    <s v="CATIVO"/>
    <x v="3"/>
    <n v="708"/>
    <n v="665.52"/>
    <n v="32.670999999999999"/>
    <n v="30.710740000000001"/>
    <n v="32.670999999999999"/>
    <n v="30.710740000000001"/>
    <n v="112.91"/>
    <n v="95.29"/>
    <n v="159.41"/>
    <n v="79940.28"/>
    <n v="8321.3037000000004"/>
    <n v="88261.583699999988"/>
    <n v="56582.046610000005"/>
    <n v="0"/>
    <n v="1761.4281507496646"/>
    <n v="0"/>
    <n v="0"/>
    <n v="0"/>
    <n v="17972.872804850485"/>
    <n v="61965.112641339554"/>
    <n v="5038.8717457339835"/>
    <n v="169.29286401631501"/>
    <n v="0"/>
    <n v="0"/>
    <n v="0"/>
    <n v="0"/>
    <n v="312.85930436409615"/>
    <m/>
    <n v="35.0799433824855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.55838518092318"/>
    <n v="0"/>
    <n v="0"/>
    <n v="0"/>
    <n v="0"/>
    <n v="0"/>
    <m/>
    <m/>
    <m/>
    <m/>
    <n v="3394.9227966000008"/>
    <m/>
    <m/>
    <m/>
    <m/>
    <n v="5208.4301309149068"/>
    <m/>
    <m/>
    <m/>
    <m/>
    <m/>
    <m/>
    <m/>
    <m/>
    <m/>
    <m/>
    <m/>
    <m/>
    <n v="53186.918899999997"/>
    <n v="-29778.99977799999"/>
    <m/>
    <m/>
    <m/>
    <m/>
    <n v="-32577.009459999997"/>
    <n v="897.47236999999996"/>
    <n v="31"/>
    <n v="-23.380476451489812"/>
    <n v="0"/>
    <n v="0"/>
    <n v="0"/>
    <n v="0"/>
    <n v="0"/>
    <n v="0"/>
    <n v="0"/>
    <n v="811.87030138765112"/>
    <n v="0"/>
    <n v="0"/>
    <n v="999.07219323265053"/>
    <n v="0"/>
    <n v="0"/>
    <n v="0"/>
    <n v="33.618848883603846"/>
    <n v="0"/>
    <n v="-123.37390252993146"/>
    <m/>
    <n v="0"/>
    <n v="0"/>
    <n v="0"/>
    <n v="0"/>
    <n v="-19.087976939993439"/>
    <n v="-2.2352093022286184"/>
    <n v="0"/>
    <n v="-1723.2447311832334"/>
    <m/>
    <m/>
    <n v="61965.112641339554"/>
    <n v="0"/>
    <n v="0"/>
    <n v="0"/>
    <n v="-32577.009459999987"/>
    <n v="897.4723699999995"/>
    <n v="0"/>
    <n v="0"/>
    <n v="-31651.923458814021"/>
    <n v="0"/>
    <n v="0"/>
    <n v="0"/>
    <n v="0"/>
    <n v="0"/>
    <n v="0"/>
    <n v="0"/>
    <n v="0"/>
    <n v="0"/>
    <n v="0"/>
    <n v="0"/>
    <n v="0"/>
    <n v="834.3570213933362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43"/>
    <s v="Regular"/>
    <s v="Azul"/>
    <s v="A4"/>
    <s v="Serviço público"/>
    <s v="Água, esgoto e saneamento"/>
    <s v="Não se aplica"/>
    <s v="Não se aplica"/>
    <s v="Fora ponta"/>
    <s v="CATIVO"/>
    <x v="3"/>
    <n v="718"/>
    <n v="674.92"/>
    <n v="364.58100000000002"/>
    <n v="342.70614"/>
    <n v="364.58100000000002"/>
    <n v="342.70614"/>
    <n v="43.29"/>
    <n v="95.29"/>
    <n v="159.41"/>
    <n v="31082.22"/>
    <n v="92858.780700000003"/>
    <n v="123941.0007"/>
    <n v="125001.94471000001"/>
    <n v="0"/>
    <n v="19656.063072096462"/>
    <n v="0"/>
    <n v="0"/>
    <n v="0"/>
    <n v="16990.742779758486"/>
    <n v="14093.756340938808"/>
    <n v="56229.58892998199"/>
    <n v="1889.1665898176409"/>
    <n v="0"/>
    <n v="0"/>
    <n v="0"/>
    <n v="0"/>
    <n v="3491.2478358289168"/>
    <m/>
    <n v="391.46279080315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2.1295836566424"/>
    <n v="0"/>
    <n v="0"/>
    <n v="0"/>
    <n v="0"/>
    <n v="0"/>
    <m/>
    <m/>
    <m/>
    <m/>
    <n v="7500.1166826000044"/>
    <m/>
    <m/>
    <m/>
    <m/>
    <n v="58121.718513638632"/>
    <m/>
    <m/>
    <m/>
    <m/>
    <m/>
    <m/>
    <m/>
    <m/>
    <m/>
    <m/>
    <m/>
    <m/>
    <n v="117502.89689999999"/>
    <n v="998.32624199999555"/>
    <m/>
    <m/>
    <m/>
    <m/>
    <n v="-8954.0960599999999"/>
    <n v="10015.040070000001"/>
    <n v="31"/>
    <n v="8256.7796301331982"/>
    <n v="0"/>
    <n v="0"/>
    <n v="0"/>
    <n v="0"/>
    <n v="0"/>
    <n v="0"/>
    <n v="0"/>
    <n v="767.5055407769396"/>
    <n v="0"/>
    <n v="0"/>
    <n v="11148.809013527374"/>
    <n v="0"/>
    <n v="0"/>
    <n v="0"/>
    <n v="375.15819977451474"/>
    <n v="0"/>
    <n v="-1376.7494340015583"/>
    <m/>
    <n v="0"/>
    <n v="0"/>
    <n v="0"/>
    <n v="0"/>
    <n v="-213.00583761622693"/>
    <n v="-24.943063959346603"/>
    <n v="0"/>
    <n v="-2419.9947883684736"/>
    <m/>
    <m/>
    <n v="14093.756340938808"/>
    <n v="0"/>
    <n v="0"/>
    <n v="0"/>
    <n v="-8954.0960600000035"/>
    <n v="10015.040070000003"/>
    <n v="0"/>
    <n v="0"/>
    <n v="-7199.1234734391937"/>
    <n v="0"/>
    <n v="0"/>
    <n v="0"/>
    <n v="0"/>
    <n v="0"/>
    <n v="0"/>
    <n v="0"/>
    <n v="0"/>
    <n v="0"/>
    <n v="0"/>
    <n v="0"/>
    <n v="0"/>
    <n v="9310.725634862843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44"/>
    <s v="Regular"/>
    <s v="Azul"/>
    <s v="A4"/>
    <s v="Serviço público"/>
    <s v="Água, esgoto e saneamento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551.08"/>
    <n v="6777.58"/>
    <n v="101764.21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45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4.29"/>
    <n v="4.29"/>
    <n v="4.29"/>
    <n v="4.29"/>
    <m/>
    <n v="648.44000000000005"/>
    <n v="159.41"/>
    <m/>
    <n v="3465.6765"/>
    <n v="3465.6765"/>
    <n v="2624.7078000000001"/>
    <n v="0"/>
    <n v="265.85237520272875"/>
    <n v="0"/>
    <n v="0"/>
    <n v="0"/>
    <n v="500.40458844911961"/>
    <n v="1791.2723004765603"/>
    <n v="661.64977469923758"/>
    <n v="22.229695651494946"/>
    <n v="0"/>
    <n v="0"/>
    <n v="0"/>
    <n v="0"/>
    <n v="41.081277454683743"/>
    <m/>
    <n v="8.90216029765216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6448572596484"/>
    <n v="0"/>
    <n v="22.02"/>
    <n v="96.24"/>
    <n v="1436.62"/>
    <n v="5"/>
    <m/>
    <m/>
    <m/>
    <m/>
    <m/>
    <m/>
    <m/>
    <m/>
    <m/>
    <n v="710.01426042520245"/>
    <m/>
    <m/>
    <m/>
    <m/>
    <m/>
    <m/>
    <m/>
    <m/>
    <m/>
    <m/>
    <m/>
    <m/>
    <n v="2624.7078000000001"/>
    <n v="-840.99870000000055"/>
    <m/>
    <m/>
    <m/>
    <m/>
    <n v="-958.81500000000028"/>
    <n v="117.8463"/>
    <n v="31"/>
    <n v="74.019737287174621"/>
    <n v="0"/>
    <n v="0"/>
    <n v="0"/>
    <n v="0"/>
    <n v="0"/>
    <n v="0"/>
    <n v="0"/>
    <n v="22.604267467486011"/>
    <n v="0"/>
    <n v="0"/>
    <n v="131.18728257378314"/>
    <n v="0"/>
    <n v="0"/>
    <n v="0"/>
    <n v="9.5893714440573987"/>
    <n v="0"/>
    <n v="-18.620824818572686"/>
    <m/>
    <n v="0"/>
    <n v="0"/>
    <n v="0"/>
    <n v="0"/>
    <n v="-2.5064253029467096"/>
    <n v="-0.56722416254464036"/>
    <n v="0"/>
    <n v="-67.666709914088059"/>
    <m/>
    <m/>
    <m/>
    <n v="1791.2723004765603"/>
    <n v="0"/>
    <n v="0"/>
    <n v="-958.81500000000005"/>
    <n v="117.84630000000004"/>
    <n v="0"/>
    <n v="0"/>
    <n v="-914.98605153430753"/>
    <n v="0"/>
    <n v="0"/>
    <n v="0"/>
    <n v="0"/>
    <n v="0"/>
    <n v="0"/>
    <n v="0"/>
    <n v="0"/>
    <n v="0"/>
    <n v="0"/>
    <n v="0"/>
    <n v="0"/>
    <n v="125.9295168015155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46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3.45"/>
    <n v="103.24"/>
    <n v="412.21"/>
    <n v="4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47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74"/>
    <n v="3.24"/>
    <n v="21.1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48"/>
    <s v="Regular"/>
    <s v="Convencional"/>
    <s v="B2"/>
    <s v="Rural"/>
    <s v="Agropecuária rural"/>
    <s v="IRRIG./AQUIC."/>
    <s v="Não se aplica"/>
    <s v="Não se aplica"/>
    <s v="CATIVO"/>
    <x v="3"/>
    <n v="0"/>
    <n v="0"/>
    <n v="5.798"/>
    <n v="5.798"/>
    <n v="5.798"/>
    <n v="5.798"/>
    <m/>
    <n v="648.44000000000005"/>
    <n v="159.41"/>
    <m/>
    <n v="4683.9143000000004"/>
    <n v="4683.9143000000004"/>
    <n v="3547.3323599999999"/>
    <n v="0"/>
    <n v="359.30351315277886"/>
    <n v="0"/>
    <n v="0"/>
    <n v="0"/>
    <n v="676.30438317668893"/>
    <n v="2420.9316545834727"/>
    <n v="894.22969550260598"/>
    <n v="30.043770486565897"/>
    <n v="0"/>
    <n v="0"/>
    <n v="0"/>
    <n v="0"/>
    <n v="55.521968923602877"/>
    <m/>
    <n v="12.031404523493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365335253879749"/>
    <n v="0"/>
    <n v="0"/>
    <n v="0"/>
    <n v="0"/>
    <n v="0"/>
    <m/>
    <m/>
    <m/>
    <m/>
    <m/>
    <n v="425.68916000000013"/>
    <m/>
    <m/>
    <m/>
    <n v="959.5950307564857"/>
    <m/>
    <m/>
    <m/>
    <m/>
    <m/>
    <m/>
    <m/>
    <m/>
    <m/>
    <m/>
    <m/>
    <m/>
    <n v="3122.72"/>
    <n v="-999.16618000000062"/>
    <m/>
    <m/>
    <m/>
    <m/>
    <n v="-1295.8530000000003"/>
    <n v="159.27106000000001"/>
    <n v="31"/>
    <n v="100.03879645478719"/>
    <n v="0"/>
    <n v="0"/>
    <n v="0"/>
    <n v="0"/>
    <n v="0"/>
    <n v="0"/>
    <n v="0"/>
    <n v="30.550009971208397"/>
    <n v="0"/>
    <n v="0"/>
    <n v="177.30160008456744"/>
    <n v="0"/>
    <n v="0"/>
    <n v="0"/>
    <n v="12.960180800150312"/>
    <n v="0"/>
    <n v="-25.166326876010373"/>
    <m/>
    <n v="0"/>
    <n v="0"/>
    <n v="0"/>
    <n v="0"/>
    <n v="-3.3874717730734361"/>
    <n v="-0.76661204998457144"/>
    <n v="0"/>
    <n v="-91.452583702070527"/>
    <m/>
    <m/>
    <m/>
    <n v="2420.9316545834727"/>
    <n v="0"/>
    <n v="0"/>
    <n v="-1295.8530000000005"/>
    <n v="159.27106000000003"/>
    <n v="0"/>
    <n v="0"/>
    <n v="-1236.61751207364"/>
    <n v="0"/>
    <n v="0"/>
    <n v="0"/>
    <n v="0"/>
    <n v="0"/>
    <n v="0"/>
    <n v="0"/>
    <n v="0"/>
    <n v="0"/>
    <n v="0"/>
    <n v="0"/>
    <n v="0"/>
    <n v="170.1956499802301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49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.2"/>
    <n v="0.2"/>
    <n v="0.2"/>
    <n v="0.2"/>
    <m/>
    <n v="648.44000000000005"/>
    <n v="159.41"/>
    <m/>
    <n v="161.57000000000002"/>
    <n v="161.57000000000002"/>
    <n v="122.364"/>
    <n v="0"/>
    <n v="12.394050126001341"/>
    <n v="0"/>
    <n v="0"/>
    <n v="0"/>
    <n v="23.328885242383201"/>
    <n v="83.509198157415412"/>
    <n v="30.846143342621801"/>
    <n v="1.0363494476221422"/>
    <n v="0"/>
    <n v="0"/>
    <n v="0"/>
    <n v="0"/>
    <n v="1.9152110701484262"/>
    <m/>
    <n v="0.41501912809567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5475457929906"/>
    <n v="0"/>
    <n v="0"/>
    <n v="0"/>
    <n v="0"/>
    <n v="0"/>
    <m/>
    <m/>
    <m/>
    <m/>
    <m/>
    <n v="14.684000000000005"/>
    <m/>
    <m/>
    <m/>
    <n v="33.100897921920861"/>
    <m/>
    <m/>
    <m/>
    <m/>
    <m/>
    <m/>
    <m/>
    <m/>
    <m/>
    <m/>
    <m/>
    <m/>
    <n v="107.68"/>
    <n v="-34.532000000000011"/>
    <m/>
    <m/>
    <m/>
    <m/>
    <n v="-44.700000000000017"/>
    <n v="5.4939999999999998"/>
    <n v="31"/>
    <n v="3.4508036031316607"/>
    <n v="0"/>
    <n v="0"/>
    <n v="0"/>
    <n v="0"/>
    <n v="0"/>
    <n v="0"/>
    <n v="0"/>
    <n v="1.0538120031461986"/>
    <n v="0"/>
    <n v="0"/>
    <n v="6.1159572295469999"/>
    <n v="0"/>
    <n v="0"/>
    <n v="0"/>
    <n v="0.44705694377890026"/>
    <n v="0"/>
    <n v="-0.86810372114558021"/>
    <m/>
    <n v="0"/>
    <n v="0"/>
    <n v="0"/>
    <n v="0"/>
    <n v="-0.1168496644730399"/>
    <n v="-2.6444016901847944E-2"/>
    <n v="0"/>
    <n v="-3.1546251708199562"/>
    <m/>
    <m/>
    <m/>
    <n v="83.509198157415412"/>
    <n v="0"/>
    <n v="0"/>
    <n v="-44.700000000000017"/>
    <n v="5.4939999999999962"/>
    <n v="0"/>
    <n v="0"/>
    <n v="-42.656692379221809"/>
    <n v="0"/>
    <n v="0"/>
    <n v="0"/>
    <n v="0"/>
    <n v="0"/>
    <n v="0"/>
    <n v="0"/>
    <n v="0"/>
    <n v="0"/>
    <n v="0"/>
    <n v="0"/>
    <n v="0"/>
    <n v="5.87083994412660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50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2.403"/>
    <n v="0.96120000000000005"/>
    <n v="2.403"/>
    <n v="0.96120000000000005"/>
    <m/>
    <n v="648.44000000000005"/>
    <n v="159.41"/>
    <m/>
    <n v="1941.2635500000001"/>
    <n v="1941.2635500000001"/>
    <n v="1470.20346"/>
    <n v="0"/>
    <n v="148.91451226390612"/>
    <n v="0"/>
    <n v="0"/>
    <n v="0"/>
    <n v="280.29655618723416"/>
    <n v="1003.3630158613461"/>
    <n v="370.61641226160089"/>
    <n v="12.451738613180037"/>
    <n v="0"/>
    <n v="0"/>
    <n v="0"/>
    <n v="0"/>
    <n v="23.01126100783334"/>
    <m/>
    <n v="4.986454824069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090876270278208"/>
    <n v="0"/>
    <n v="0"/>
    <n v="0"/>
    <n v="0"/>
    <n v="0"/>
    <m/>
    <m/>
    <m/>
    <m/>
    <m/>
    <m/>
    <n v="952.69338000000016"/>
    <m/>
    <m/>
    <n v="397.7072885318791"/>
    <m/>
    <m/>
    <m/>
    <m/>
    <m/>
    <m/>
    <m/>
    <m/>
    <m/>
    <m/>
    <m/>
    <m/>
    <n v="516.86399999999992"/>
    <n v="-166.49269200000003"/>
    <m/>
    <m/>
    <m/>
    <m/>
    <n v="-537.07050000000015"/>
    <n v="66.010409999999993"/>
    <n v="31"/>
    <n v="41.461405291627216"/>
    <n v="0"/>
    <n v="0"/>
    <n v="0"/>
    <n v="0"/>
    <n v="0"/>
    <n v="0"/>
    <n v="0"/>
    <n v="12.661551217801559"/>
    <n v="0"/>
    <n v="0"/>
    <n v="73.48322611300722"/>
    <n v="0"/>
    <n v="0"/>
    <n v="0"/>
    <n v="5.3713891795034812"/>
    <n v="0"/>
    <n v="-10.430266209564167"/>
    <m/>
    <n v="0"/>
    <n v="0"/>
    <n v="0"/>
    <n v="0"/>
    <n v="-1.4039487186435764"/>
    <n v="-0.31772486307570347"/>
    <n v="0"/>
    <n v="-37.902821427401776"/>
    <m/>
    <m/>
    <m/>
    <n v="1003.3630158613461"/>
    <n v="0"/>
    <n v="0"/>
    <n v="-537.07050000000015"/>
    <n v="66.010409999999979"/>
    <n v="0"/>
    <n v="0"/>
    <n v="-512.52015893634984"/>
    <n v="0"/>
    <n v="0"/>
    <n v="0"/>
    <n v="0"/>
    <n v="0"/>
    <n v="0"/>
    <n v="0"/>
    <n v="0"/>
    <n v="0"/>
    <n v="0"/>
    <n v="0"/>
    <n v="0"/>
    <n v="70.538141928681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52"/>
    <s v="Regular"/>
    <s v="Verde"/>
    <s v="A4"/>
    <s v="Rural"/>
    <s v="Agropecuária rural"/>
    <s v="Não se aplica"/>
    <s v="Não se aplica"/>
    <s v="Ponta"/>
    <s v="CATIVO"/>
    <x v="3"/>
    <n v="0"/>
    <n v="0"/>
    <n v="3.6760000000000002"/>
    <n v="3.5289600000000001"/>
    <n v="3.6760000000000002"/>
    <n v="3.5289600000000001"/>
    <m/>
    <n v="2810.7"/>
    <n v="159.41"/>
    <m/>
    <n v="10918.12436"/>
    <n v="10918.12436"/>
    <n v="6953.8524399999997"/>
    <n v="0"/>
    <n v="198.18829794483693"/>
    <n v="0"/>
    <n v="0"/>
    <n v="0"/>
    <n v="2244.2553212894468"/>
    <n v="7737.5716114382585"/>
    <n v="566.95211463738872"/>
    <n v="19.048102847294974"/>
    <n v="0"/>
    <n v="0"/>
    <n v="0"/>
    <n v="0"/>
    <n v="35.201579469328074"/>
    <m/>
    <n v="3.947043918888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077978143462818"/>
    <n v="0"/>
    <n v="0"/>
    <n v="0"/>
    <n v="0"/>
    <n v="0"/>
    <m/>
    <m/>
    <m/>
    <m/>
    <m/>
    <n v="278.15409760000011"/>
    <m/>
    <m/>
    <m/>
    <n v="586.03009278085153"/>
    <m/>
    <m/>
    <m/>
    <m/>
    <m/>
    <m/>
    <m/>
    <m/>
    <m/>
    <m/>
    <m/>
    <m/>
    <n v="6677.6656999999987"/>
    <n v="-3803.7636856000017"/>
    <m/>
    <m/>
    <m/>
    <m/>
    <n v="-4065.2516399999995"/>
    <n v="100.97972"/>
    <n v="31"/>
    <n v="-11.883026553403852"/>
    <n v="0"/>
    <n v="0"/>
    <n v="0"/>
    <n v="0"/>
    <n v="0"/>
    <n v="0"/>
    <n v="0"/>
    <n v="101.37746279461453"/>
    <n v="0"/>
    <n v="0"/>
    <n v="112.41129387907381"/>
    <n v="0"/>
    <n v="0"/>
    <n v="0"/>
    <n v="3.7826478680214173"/>
    <n v="0"/>
    <n v="-13.881499363350628"/>
    <m/>
    <n v="0"/>
    <n v="0"/>
    <n v="0"/>
    <n v="0"/>
    <n v="-2.1476968330144786"/>
    <n v="-0.25149610954646073"/>
    <n v="0"/>
    <n v="-213.17373878920148"/>
    <m/>
    <m/>
    <m/>
    <n v="7737.5716114382585"/>
    <n v="0"/>
    <n v="0"/>
    <n v="-4065.2516400000004"/>
    <n v="100.97971999999993"/>
    <n v="0"/>
    <n v="0"/>
    <n v="-3952.3695505871783"/>
    <n v="0"/>
    <n v="0"/>
    <n v="0"/>
    <n v="0"/>
    <n v="0"/>
    <n v="0"/>
    <n v="0"/>
    <n v="0"/>
    <n v="0"/>
    <n v="0"/>
    <n v="0"/>
    <n v="0"/>
    <n v="93.87825321055076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54"/>
    <s v="Regular"/>
    <s v="Verde"/>
    <s v="A4"/>
    <s v="Rural"/>
    <s v="Agropecuária rural"/>
    <s v="Não se aplica"/>
    <s v="Não se aplica"/>
    <s v="Fora ponta"/>
    <s v="CATIVO"/>
    <x v="3"/>
    <n v="0"/>
    <n v="0"/>
    <n v="49.408999999999999"/>
    <n v="47.432639999999999"/>
    <n v="49.408999999999999"/>
    <n v="47.432639999999999"/>
    <m/>
    <n v="95.29"/>
    <n v="159.41"/>
    <m/>
    <n v="12584.472299999999"/>
    <n v="12584.472299999999"/>
    <n v="13681.84619"/>
    <n v="0"/>
    <n v="2663.8426586388596"/>
    <n v="0"/>
    <n v="0"/>
    <n v="0"/>
    <n v="0"/>
    <n v="0"/>
    <n v="7620.3854820780016"/>
    <n v="256.02494928781209"/>
    <n v="0"/>
    <n v="0"/>
    <n v="0"/>
    <n v="0"/>
    <n v="473.14331882481792"/>
    <m/>
    <n v="53.052092760712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6.42650220085807"/>
    <n v="0"/>
    <n v="0"/>
    <n v="0"/>
    <n v="0"/>
    <n v="0"/>
    <m/>
    <m/>
    <m/>
    <m/>
    <m/>
    <n v="547.27384759999995"/>
    <m/>
    <m/>
    <m/>
    <n v="7876.8119842788601"/>
    <m/>
    <m/>
    <m/>
    <m/>
    <m/>
    <m/>
    <m/>
    <m/>
    <m/>
    <m/>
    <m/>
    <m/>
    <n v="13133.8413"/>
    <n v="1052.7178919999988"/>
    <m/>
    <m/>
    <m/>
    <m/>
    <n v="-259.89134000000024"/>
    <n v="1357.26523"/>
    <n v="31"/>
    <n v="1097.2177185063028"/>
    <n v="0"/>
    <n v="0"/>
    <n v="0"/>
    <n v="0"/>
    <n v="0"/>
    <n v="0"/>
    <n v="0"/>
    <n v="0"/>
    <n v="0"/>
    <n v="0"/>
    <n v="1510.91665377344"/>
    <n v="0"/>
    <n v="0"/>
    <n v="0"/>
    <n v="50.842450628691552"/>
    <n v="0"/>
    <n v="-186.58079489765805"/>
    <m/>
    <n v="0"/>
    <n v="0"/>
    <n v="0"/>
    <n v="0"/>
    <n v="-28.867125359742147"/>
    <n v="-3.3803512721928897"/>
    <n v="0"/>
    <n v="-245.713114366235"/>
    <m/>
    <m/>
    <m/>
    <n v="0"/>
    <n v="0"/>
    <n v="0"/>
    <n v="-259.89134000000013"/>
    <n v="1357.2652300000009"/>
    <n v="0"/>
    <n v="0"/>
    <n v="0"/>
    <n v="0"/>
    <n v="0"/>
    <n v="0"/>
    <n v="0"/>
    <n v="0"/>
    <n v="0"/>
    <n v="0"/>
    <n v="0"/>
    <n v="0"/>
    <n v="0"/>
    <n v="0"/>
    <n v="0"/>
    <n v="1261.814638977177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56"/>
    <s v="Regular"/>
    <s v="Verde"/>
    <s v="A4"/>
    <s v="Rural"/>
    <s v="Agropecuária rural"/>
    <s v="Não se aplica"/>
    <s v="Não se aplica"/>
    <s v="Não se aplica"/>
    <s v="CATIVO"/>
    <x v="3"/>
    <n v="3291"/>
    <n v="3159.36"/>
    <n v="0"/>
    <n v="0"/>
    <n v="0"/>
    <n v="0"/>
    <n v="43.29"/>
    <m/>
    <m/>
    <n v="142467.38999999998"/>
    <m/>
    <n v="142467.38999999998"/>
    <n v="110215.59000000001"/>
    <n v="0"/>
    <n v="0"/>
    <n v="0"/>
    <n v="0"/>
    <n v="0"/>
    <n v="77878.181738419458"/>
    <n v="64599.6547604869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66.68"/>
    <n v="2914"/>
    <n v="276.08999999999997"/>
    <n v="41"/>
    <m/>
    <m/>
    <m/>
    <m/>
    <m/>
    <n v="4408.6235999999963"/>
    <m/>
    <m/>
    <m/>
    <n v="0"/>
    <m/>
    <m/>
    <m/>
    <m/>
    <m/>
    <m/>
    <m/>
    <m/>
    <m/>
    <m/>
    <m/>
    <m/>
    <n v="105806.9664"/>
    <n v="-30961.758000000031"/>
    <m/>
    <m/>
    <m/>
    <m/>
    <n v="-32251.799999999992"/>
    <n v="0"/>
    <n v="31"/>
    <n v="736.06553790144972"/>
    <n v="0"/>
    <n v="0"/>
    <n v="0"/>
    <n v="0"/>
    <m/>
    <m/>
    <m/>
    <n v="3517.9118867645011"/>
    <n v="0"/>
    <n v="0"/>
    <m/>
    <m/>
    <n v="0"/>
    <n v="0"/>
    <n v="0"/>
    <n v="0"/>
    <n v="0"/>
    <m/>
    <n v="0"/>
    <n v="0"/>
    <m/>
    <n v="0"/>
    <n v="0"/>
    <n v="0"/>
    <n v="0"/>
    <n v="-2781.8463488630468"/>
    <m/>
    <m/>
    <n v="64599.654760486934"/>
    <m/>
    <n v="0"/>
    <n v="0"/>
    <n v="-32251.799999999974"/>
    <m/>
    <n v="0"/>
    <m/>
    <n v="-32997.653692323656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57"/>
    <s v="Sistema de Compensação"/>
    <s v="Verde"/>
    <s v="A4"/>
    <s v="Rural"/>
    <s v="Agropecuária rural"/>
    <s v="Não se aplica"/>
    <s v="Não se aplica"/>
    <s v="Não se aplica"/>
    <s v="CATIVO"/>
    <x v="3"/>
    <n v="244"/>
    <n v="234.24"/>
    <n v="0"/>
    <n v="0"/>
    <n v="0"/>
    <n v="0"/>
    <n v="43.29"/>
    <m/>
    <m/>
    <n v="10562.76"/>
    <m/>
    <n v="10562.76"/>
    <n v="8171.56"/>
    <n v="0"/>
    <n v="0"/>
    <n v="0"/>
    <n v="0"/>
    <n v="0"/>
    <n v="5774.0128666588726"/>
    <n v="4789.521653466670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1.260000000000005"/>
    <n v="355.14"/>
    <n v="15.63"/>
    <n v="4"/>
    <m/>
    <m/>
    <m/>
    <m/>
    <m/>
    <n v="326.8623999999997"/>
    <m/>
    <m/>
    <m/>
    <n v="0"/>
    <m/>
    <m/>
    <m/>
    <m/>
    <m/>
    <m/>
    <m/>
    <m/>
    <m/>
    <m/>
    <m/>
    <m/>
    <n v="7844.6976000000004"/>
    <n v="-2295.5820000000012"/>
    <m/>
    <m/>
    <m/>
    <m/>
    <n v="-2391.1999999999994"/>
    <n v="0"/>
    <n v="31"/>
    <n v="54.573075432376754"/>
    <n v="0"/>
    <n v="0"/>
    <n v="0"/>
    <n v="0"/>
    <m/>
    <m/>
    <m/>
    <n v="260.82360995762247"/>
    <n v="0"/>
    <n v="0"/>
    <m/>
    <m/>
    <n v="0"/>
    <n v="0"/>
    <n v="0"/>
    <n v="0"/>
    <n v="0"/>
    <m/>
    <n v="0"/>
    <n v="0"/>
    <m/>
    <n v="0"/>
    <n v="0"/>
    <n v="0"/>
    <n v="0"/>
    <n v="-206.25053452524566"/>
    <m/>
    <m/>
    <n v="4789.5216534666706"/>
    <m/>
    <n v="0"/>
    <n v="0"/>
    <n v="-2391.1999999999998"/>
    <m/>
    <n v="0"/>
    <m/>
    <n v="-2446.498784845631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58"/>
    <s v="Regular"/>
    <s v="Verde"/>
    <s v="A4"/>
    <s v="Rural"/>
    <s v="Agropecuária rural"/>
    <s v="IRRIG./AQUIC. PR"/>
    <s v="Não se aplica"/>
    <s v="Fora ponta"/>
    <s v="CATIVO"/>
    <x v="3"/>
    <n v="0"/>
    <n v="0"/>
    <n v="38.808999999999997"/>
    <n v="11.6427"/>
    <n v="38.808999999999997"/>
    <n v="11.6427"/>
    <m/>
    <n v="95.29"/>
    <n v="159.41"/>
    <m/>
    <n v="9884.6522999999997"/>
    <n v="9884.6522999999997"/>
    <n v="10746.600189999999"/>
    <n v="0"/>
    <n v="2092.353007328938"/>
    <n v="0"/>
    <n v="0"/>
    <n v="0"/>
    <n v="0"/>
    <n v="0"/>
    <n v="5985.539884919046"/>
    <n v="201.09842856383855"/>
    <n v="0"/>
    <n v="0"/>
    <n v="0"/>
    <n v="0"/>
    <n v="371.6371321069513"/>
    <m/>
    <n v="41.670518892316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.41383399609586"/>
    <n v="0"/>
    <n v="0"/>
    <n v="0"/>
    <n v="0"/>
    <n v="0"/>
    <m/>
    <m/>
    <m/>
    <m/>
    <m/>
    <m/>
    <n v="7522.6201329999994"/>
    <m/>
    <m/>
    <n v="6186.9537189151415"/>
    <m/>
    <m/>
    <m/>
    <m/>
    <m/>
    <m/>
    <m/>
    <m/>
    <m/>
    <m/>
    <m/>
    <m/>
    <n v="3223.2323999999999"/>
    <n v="257.80670999999984"/>
    <m/>
    <m/>
    <m/>
    <m/>
    <n v="-204.13534000000018"/>
    <n v="1066.08323"/>
    <n v="31"/>
    <n v="861.82522288471955"/>
    <n v="0"/>
    <n v="0"/>
    <n v="0"/>
    <n v="0"/>
    <n v="0"/>
    <n v="0"/>
    <n v="0"/>
    <n v="0"/>
    <n v="0"/>
    <n v="0"/>
    <n v="1186.7709206074478"/>
    <n v="0"/>
    <n v="0"/>
    <n v="0"/>
    <n v="39.934924132220658"/>
    <n v="0"/>
    <n v="-146.55253231563506"/>
    <m/>
    <n v="0"/>
    <n v="0"/>
    <n v="0"/>
    <n v="0"/>
    <n v="-22.67409314267104"/>
    <n v="-2.6551448627281218"/>
    <n v="0"/>
    <n v="-192.99885153391514"/>
    <m/>
    <m/>
    <m/>
    <n v="0"/>
    <n v="0"/>
    <n v="0"/>
    <n v="-204.13534000000027"/>
    <n v="1066.0832300000002"/>
    <n v="0"/>
    <n v="0"/>
    <n v="0"/>
    <n v="0"/>
    <n v="0"/>
    <n v="0"/>
    <n v="0"/>
    <n v="0"/>
    <n v="0"/>
    <n v="0"/>
    <n v="0"/>
    <n v="0"/>
    <n v="0"/>
    <n v="0"/>
    <n v="0"/>
    <n v="991.1102091534995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60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7.03"/>
    <n v="74.510000000000005"/>
    <n v="52.85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61"/>
    <s v="Regular"/>
    <s v="Convencional"/>
    <s v="B2"/>
    <s v="Rural"/>
    <s v="Aquicultura"/>
    <s v="IRRIG./AQUIC."/>
    <s v="Não se aplica"/>
    <s v="Não se aplica"/>
    <s v="CATIVO"/>
    <x v="3"/>
    <n v="0"/>
    <n v="0"/>
    <n v="3.2109999999999999"/>
    <n v="3.2109999999999999"/>
    <n v="3.2109999999999999"/>
    <n v="3.2109999999999999"/>
    <m/>
    <n v="648.44000000000005"/>
    <n v="159.41"/>
    <m/>
    <n v="2594.0063500000001"/>
    <n v="2594.0063500000001"/>
    <n v="1964.55402"/>
    <n v="0"/>
    <n v="198.98647477295151"/>
    <n v="0"/>
    <n v="0"/>
    <n v="0"/>
    <n v="374.54525256646224"/>
    <n v="1340.7401764173042"/>
    <n v="495.23483136579296"/>
    <n v="16.63859038157349"/>
    <n v="0"/>
    <n v="0"/>
    <n v="0"/>
    <n v="0"/>
    <n v="30.748713731232979"/>
    <m/>
    <n v="6.66313210157601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200084770646406"/>
    <n v="0"/>
    <n v="0"/>
    <n v="0"/>
    <n v="0"/>
    <n v="0"/>
    <m/>
    <m/>
    <m/>
    <m/>
    <m/>
    <n v="235.75162000000006"/>
    <m/>
    <m/>
    <m/>
    <n v="531.43491613643937"/>
    <m/>
    <m/>
    <m/>
    <m/>
    <m/>
    <m/>
    <m/>
    <m/>
    <m/>
    <m/>
    <m/>
    <m/>
    <n v="1728.2640000000001"/>
    <n v="-554.49800999999979"/>
    <m/>
    <m/>
    <m/>
    <m/>
    <n v="-717.65850000000012"/>
    <n v="88.206169999999986"/>
    <n v="31"/>
    <n v="55.40265184827922"/>
    <n v="0"/>
    <n v="0"/>
    <n v="0"/>
    <n v="0"/>
    <n v="0"/>
    <n v="0"/>
    <n v="0"/>
    <n v="16.91895171051226"/>
    <n v="0"/>
    <n v="0"/>
    <n v="98.191693320377112"/>
    <n v="0"/>
    <n v="0"/>
    <n v="0"/>
    <n v="7.1774992323702378"/>
    <n v="0"/>
    <n v="-13.937405242992298"/>
    <m/>
    <n v="0"/>
    <n v="0"/>
    <n v="0"/>
    <n v="0"/>
    <n v="-1.8760213631146563"/>
    <n v="-0.42455869135916924"/>
    <n v="0"/>
    <n v="-50.647507117514394"/>
    <m/>
    <m/>
    <m/>
    <n v="1340.7401764173042"/>
    <n v="0"/>
    <n v="0"/>
    <n v="-717.6585"/>
    <n v="88.206170000000043"/>
    <n v="0"/>
    <n v="0"/>
    <n v="-684.85319614840591"/>
    <n v="0"/>
    <n v="0"/>
    <n v="0"/>
    <n v="0"/>
    <n v="0"/>
    <n v="0"/>
    <n v="0"/>
    <n v="0"/>
    <n v="0"/>
    <n v="0"/>
    <n v="0"/>
    <n v="0"/>
    <n v="94.25633530295256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62"/>
    <s v="Regular"/>
    <s v="Convencional"/>
    <s v="B2"/>
    <s v="Rural"/>
    <s v="Aquicultura"/>
    <s v="IRRIG./AQUIC. PR"/>
    <s v="Não se aplica"/>
    <s v="Não se aplica"/>
    <s v="CATIVO"/>
    <x v="3"/>
    <n v="0"/>
    <n v="0"/>
    <n v="5.0640000000000001"/>
    <n v="2.0255999999999998"/>
    <n v="5.0640000000000001"/>
    <n v="2.0255999999999998"/>
    <m/>
    <n v="648.44000000000005"/>
    <n v="159.41"/>
    <m/>
    <n v="4090.9524000000001"/>
    <n v="4090.9524000000001"/>
    <n v="3098.25648"/>
    <n v="0"/>
    <n v="313.81734919035392"/>
    <n v="0"/>
    <n v="0"/>
    <n v="0"/>
    <n v="590.68737433714261"/>
    <n v="2114.4528973457582"/>
    <n v="781.02434943518392"/>
    <n v="26.240368013792637"/>
    <n v="0"/>
    <n v="0"/>
    <n v="0"/>
    <n v="0"/>
    <n v="48.49314429615815"/>
    <m/>
    <n v="10.50828432338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090385947852205"/>
    <n v="0"/>
    <n v="0"/>
    <n v="0"/>
    <n v="0"/>
    <n v="0"/>
    <m/>
    <m/>
    <m/>
    <m/>
    <m/>
    <m/>
    <n v="2007.67344"/>
    <m/>
    <m/>
    <n v="838.11473538303608"/>
    <m/>
    <m/>
    <m/>
    <m/>
    <m/>
    <m/>
    <m/>
    <m/>
    <m/>
    <m/>
    <m/>
    <m/>
    <n v="1092.9519999999998"/>
    <n v="-347.09729600000014"/>
    <m/>
    <m/>
    <m/>
    <m/>
    <n v="-1131.8040000000003"/>
    <n v="139.10808"/>
    <n v="31"/>
    <n v="87.374347231294223"/>
    <n v="0"/>
    <n v="0"/>
    <n v="0"/>
    <n v="0"/>
    <n v="0"/>
    <n v="0"/>
    <n v="0"/>
    <n v="26.682519919661786"/>
    <n v="0"/>
    <n v="0"/>
    <n v="154.85603705213009"/>
    <n v="0"/>
    <n v="0"/>
    <n v="0"/>
    <n v="11.319481816481748"/>
    <n v="0"/>
    <n v="-21.980386219406057"/>
    <m/>
    <n v="0"/>
    <n v="0"/>
    <n v="0"/>
    <n v="0"/>
    <n v="-2.9586335044573744"/>
    <n v="-0.66956250795479022"/>
    <n v="0"/>
    <n v="-79.87510932516129"/>
    <m/>
    <m/>
    <m/>
    <n v="2114.4528973457582"/>
    <n v="0"/>
    <n v="0"/>
    <n v="-1131.8040000000001"/>
    <n v="139.10807999999997"/>
    <n v="0"/>
    <n v="0"/>
    <n v="-1080.0674510418962"/>
    <n v="0"/>
    <n v="0"/>
    <n v="0"/>
    <n v="0"/>
    <n v="0"/>
    <n v="0"/>
    <n v="0"/>
    <n v="0"/>
    <n v="0"/>
    <n v="0"/>
    <n v="0"/>
    <n v="0"/>
    <n v="148.6496673852855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63"/>
    <s v="Regular"/>
    <s v="Convencional"/>
    <s v="B1"/>
    <s v="Residencial"/>
    <s v="Residencial"/>
    <s v="Não se aplica"/>
    <s v="Não se aplica"/>
    <s v="Não se aplica"/>
    <s v="CATIVO"/>
    <x v="4"/>
    <n v="0"/>
    <n v="0"/>
    <n v="1185.482"/>
    <n v="1185.482"/>
    <n v="1185.482"/>
    <n v="1185.482"/>
    <m/>
    <n v="648.44000000000005"/>
    <n v="159.41"/>
    <m/>
    <n v="957691.63370000001"/>
    <n v="957691.63370000001"/>
    <n v="725301.59724000003"/>
    <n v="0"/>
    <n v="73464.616657361606"/>
    <n v="0"/>
    <n v="0"/>
    <n v="0"/>
    <n v="138279.86767455461"/>
    <n v="494993.25625024561"/>
    <n v="182837.73851048987"/>
    <n v="6142.8680793299609"/>
    <n v="0"/>
    <n v="0"/>
    <n v="0"/>
    <n v="0"/>
    <n v="11352.241249308483"/>
    <m/>
    <n v="2459.98853006556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364.854840883041"/>
    <n v="0"/>
    <n v="6025.14"/>
    <n v="27135.47"/>
    <n v="390628.64"/>
    <n v="7244"/>
    <m/>
    <m/>
    <m/>
    <m/>
    <m/>
    <m/>
    <m/>
    <m/>
    <m/>
    <n v="196202.59335137293"/>
    <m/>
    <m/>
    <m/>
    <m/>
    <m/>
    <m/>
    <m/>
    <m/>
    <m/>
    <m/>
    <m/>
    <m/>
    <n v="725300.37360000005"/>
    <n v="-232391.29009999998"/>
    <m/>
    <m/>
    <m/>
    <m/>
    <n v="-264955.22700000007"/>
    <n v="32565.19054"/>
    <n v="30"/>
    <n v="20454.32778523874"/>
    <n v="0"/>
    <n v="0"/>
    <n v="0"/>
    <n v="0"/>
    <n v="0"/>
    <n v="0"/>
    <n v="0"/>
    <n v="6246.375805568794"/>
    <n v="0"/>
    <n v="0"/>
    <n v="36251.786041989195"/>
    <n v="0"/>
    <n v="0"/>
    <n v="0"/>
    <n v="2649.8897991244885"/>
    <n v="0"/>
    <n v="-5145.6066777555243"/>
    <m/>
    <n v="0"/>
    <n v="0"/>
    <n v="0"/>
    <n v="0"/>
    <n v="-692.61586969414202"/>
    <n v="-156.74453022418265"/>
    <n v="0"/>
    <n v="-18698.756783769917"/>
    <m/>
    <m/>
    <m/>
    <n v="494993.25625024561"/>
    <n v="0"/>
    <n v="0"/>
    <n v="-264955.22700000001"/>
    <n v="32565.190539999981"/>
    <n v="0"/>
    <n v="0"/>
    <n v="-252843.70497552308"/>
    <n v="0"/>
    <n v="0"/>
    <n v="0"/>
    <n v="0"/>
    <n v="0"/>
    <n v="0"/>
    <n v="0"/>
    <n v="0"/>
    <n v="0"/>
    <n v="0"/>
    <n v="0"/>
    <n v="0"/>
    <n v="34798.8753932154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64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1.2E-2"/>
    <n v="-1.2E-2"/>
    <n v="-1.2E-2"/>
    <n v="-1.2E-2"/>
    <m/>
    <n v="648.44000000000005"/>
    <n v="159.41"/>
    <m/>
    <n v="-9.6942000000000004"/>
    <n v="-9.6942000000000004"/>
    <n v="-7.3418400000000004"/>
    <n v="0"/>
    <n v="-0.7436430075600805"/>
    <n v="0"/>
    <n v="0"/>
    <n v="0"/>
    <n v="-1.3997331145429921"/>
    <n v="-5.0105518894449244"/>
    <n v="-1.8507686005573079"/>
    <n v="-6.2180966857328525E-2"/>
    <n v="0"/>
    <n v="0"/>
    <n v="0"/>
    <n v="0"/>
    <n v="-0.11491266420890557"/>
    <m/>
    <n v="-2.490114768574031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13528527475794361"/>
    <n v="0"/>
    <n v="-0.11"/>
    <n v="-0.51"/>
    <n v="-15.48"/>
    <n v="0"/>
    <m/>
    <m/>
    <m/>
    <m/>
    <m/>
    <m/>
    <m/>
    <m/>
    <m/>
    <n v="-1.9860538753152515"/>
    <m/>
    <m/>
    <m/>
    <m/>
    <m/>
    <m/>
    <m/>
    <m/>
    <m/>
    <m/>
    <m/>
    <m/>
    <n v="-6.1181999999999999"/>
    <n v="3.5460000000000012"/>
    <m/>
    <m/>
    <m/>
    <m/>
    <n v="2.6820000000000008"/>
    <n v="-0.32963999999999999"/>
    <n v="30"/>
    <n v="-0.20704821618789992"/>
    <n v="0"/>
    <n v="0"/>
    <n v="0"/>
    <n v="0"/>
    <n v="0"/>
    <n v="0"/>
    <n v="0"/>
    <n v="-6.3228720188772014E-2"/>
    <n v="0"/>
    <n v="0"/>
    <n v="-0.36695743377282009"/>
    <n v="0"/>
    <n v="0"/>
    <n v="0"/>
    <n v="-2.6823416626733987E-2"/>
    <n v="0"/>
    <n v="5.208622326873491E-2"/>
    <m/>
    <n v="0"/>
    <n v="0"/>
    <n v="0"/>
    <n v="0"/>
    <n v="7.0109798683823943E-3"/>
    <n v="1.5866410141108754E-3"/>
    <n v="0"/>
    <n v="0.18927751024919737"/>
    <m/>
    <m/>
    <m/>
    <n v="-5.0105518894449244"/>
    <n v="0"/>
    <n v="0"/>
    <n v="2.6820000000000004"/>
    <n v="-0.32964000000000016"/>
    <n v="0"/>
    <n v="0"/>
    <n v="2.5594015427533083"/>
    <n v="0"/>
    <n v="0"/>
    <n v="0"/>
    <n v="0"/>
    <n v="0"/>
    <n v="0"/>
    <n v="0"/>
    <n v="0"/>
    <n v="0"/>
    <n v="0"/>
    <n v="0"/>
    <n v="0"/>
    <n v="-0.3522503966475960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65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15.622999999999999"/>
    <n v="15.622999999999999"/>
    <n v="15.622999999999999"/>
    <n v="15.622999999999999"/>
    <m/>
    <n v="648.44000000000005"/>
    <n v="159.41"/>
    <m/>
    <n v="12621.04055"/>
    <n v="12621.04055"/>
    <n v="9558.4638599999998"/>
    <n v="0"/>
    <n v="968.16122559259463"/>
    <n v="0"/>
    <n v="0"/>
    <n v="0"/>
    <n v="1822.3358707087637"/>
    <n v="6523.3210140665042"/>
    <n v="2409.5464872089015"/>
    <n v="80.95443710100362"/>
    <n v="0"/>
    <n v="0"/>
    <n v="0"/>
    <n v="0"/>
    <n v="149.60671274464431"/>
    <m/>
    <n v="32.419219191193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.13015396194606"/>
    <n v="0"/>
    <n v="79.27"/>
    <n v="358.81"/>
    <n v="16783.259999999998"/>
    <n v="200"/>
    <m/>
    <m/>
    <m/>
    <m/>
    <m/>
    <m/>
    <m/>
    <m/>
    <m/>
    <n v="2585.6766411708477"/>
    <m/>
    <m/>
    <m/>
    <m/>
    <m/>
    <m/>
    <m/>
    <m/>
    <m/>
    <m/>
    <m/>
    <m/>
    <n v="9556.6283999999996"/>
    <n v="-3064.4421500000008"/>
    <m/>
    <m/>
    <m/>
    <m/>
    <n v="-3491.7405000000008"/>
    <n v="429.16380999999996"/>
    <n v="30"/>
    <n v="269.55952345862988"/>
    <n v="0"/>
    <n v="0"/>
    <n v="0"/>
    <n v="0"/>
    <n v="0"/>
    <n v="0"/>
    <n v="0"/>
    <n v="82.318524625765349"/>
    <n v="0"/>
    <n v="0"/>
    <n v="477.74799898606398"/>
    <n v="0"/>
    <n v="0"/>
    <n v="0"/>
    <n v="34.921853163288773"/>
    <n v="0"/>
    <n v="-67.811922177286988"/>
    <m/>
    <n v="0"/>
    <n v="0"/>
    <n v="0"/>
    <n v="0"/>
    <n v="-9.1277115403115374"/>
    <n v="-2.0656743802878523"/>
    <n v="0"/>
    <n v="-246.42354521860085"/>
    <m/>
    <m/>
    <m/>
    <n v="6523.3210140665042"/>
    <n v="0"/>
    <n v="0"/>
    <n v="-3491.7405000000008"/>
    <n v="429.16380999999956"/>
    <n v="0"/>
    <n v="0"/>
    <n v="-3332.1275252029109"/>
    <n v="0"/>
    <n v="0"/>
    <n v="0"/>
    <n v="0"/>
    <n v="0"/>
    <n v="0"/>
    <n v="0"/>
    <n v="0"/>
    <n v="0"/>
    <n v="0"/>
    <n v="0"/>
    <n v="0"/>
    <n v="458.6006622354493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66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20.190000000000001"/>
    <n v="20.190000000000001"/>
    <n v="20.190000000000001"/>
    <n v="20.190000000000001"/>
    <m/>
    <n v="547.54"/>
    <n v="159.41"/>
    <m/>
    <n v="14273.3205"/>
    <n v="14273.3205"/>
    <n v="10454.7858"/>
    <n v="0"/>
    <n v="0"/>
    <n v="0"/>
    <n v="0"/>
    <n v="0"/>
    <n v="2355.0509652185842"/>
    <n v="8430.2535539910859"/>
    <n v="3113.9181704376706"/>
    <n v="104.61947673745524"/>
    <n v="0"/>
    <n v="0"/>
    <n v="0"/>
    <n v="0"/>
    <n v="0"/>
    <m/>
    <n v="41.896180981258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7.61747478024012"/>
    <n v="0"/>
    <n v="24.72"/>
    <n v="101.55"/>
    <n v="1465.96"/>
    <n v="23"/>
    <m/>
    <m/>
    <m/>
    <m/>
    <m/>
    <m/>
    <m/>
    <n v="6795.5502000000006"/>
    <m/>
    <n v="3341.5356452179108"/>
    <m/>
    <m/>
    <m/>
    <m/>
    <m/>
    <m/>
    <m/>
    <m/>
    <m/>
    <m/>
    <m/>
    <m/>
    <n v="3659.2356"/>
    <n v="-1336.4061000000011"/>
    <m/>
    <m/>
    <m/>
    <m/>
    <n v="-4373.1539999999995"/>
    <n v="554.61930000000007"/>
    <n v="30"/>
    <n v="487.56515345528624"/>
    <n v="0"/>
    <n v="0"/>
    <n v="0"/>
    <n v="0"/>
    <n v="0"/>
    <n v="0"/>
    <n v="0"/>
    <n v="106.38232171760865"/>
    <n v="0"/>
    <n v="0"/>
    <n v="617.40588232277014"/>
    <n v="0"/>
    <n v="0"/>
    <n v="0"/>
    <n v="45.130398474479989"/>
    <n v="0"/>
    <n v="0"/>
    <m/>
    <n v="0"/>
    <n v="0"/>
    <n v="0"/>
    <n v="0"/>
    <n v="0"/>
    <n v="-2.6695235062415463"/>
    <n v="0"/>
    <n v="-278.68392555333082"/>
    <m/>
    <m/>
    <m/>
    <n v="8430.2535539910859"/>
    <n v="0"/>
    <n v="0"/>
    <n v="-4373.1539999999995"/>
    <n v="554.61929999999984"/>
    <n v="0"/>
    <n v="0"/>
    <n v="-4306.1930956824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67"/>
    <s v="Sistema de Compensação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4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68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40.936999999999998"/>
    <n v="40.936999999999998"/>
    <n v="40.936999999999998"/>
    <n v="40.936999999999998"/>
    <m/>
    <n v="547.54"/>
    <n v="159.41"/>
    <m/>
    <n v="28940.412149999996"/>
    <n v="28940.412149999996"/>
    <n v="21197.997339999998"/>
    <n v="0"/>
    <n v="0"/>
    <n v="0"/>
    <n v="0"/>
    <n v="0"/>
    <n v="4775.0728758372052"/>
    <n v="17093.080224850572"/>
    <n v="6313.7428500845426"/>
    <n v="212.12518668653814"/>
    <n v="0"/>
    <n v="0"/>
    <n v="0"/>
    <n v="0"/>
    <n v="0"/>
    <m/>
    <n v="84.948190234262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1.51444106382809"/>
    <n v="0"/>
    <n v="86.75"/>
    <n v="391.92"/>
    <n v="5688.49"/>
    <n v="167"/>
    <m/>
    <m/>
    <m/>
    <m/>
    <m/>
    <m/>
    <m/>
    <n v="8479.2808099999984"/>
    <m/>
    <n v="6775.2572911483703"/>
    <m/>
    <m/>
    <m/>
    <m/>
    <m/>
    <m/>
    <m/>
    <m/>
    <m/>
    <m/>
    <m/>
    <m/>
    <n v="12719.648599999999"/>
    <n v="-4644.6286899999996"/>
    <m/>
    <m/>
    <m/>
    <m/>
    <n v="-8866.9541999999983"/>
    <n v="1124.5393899999999"/>
    <n v="30"/>
    <n v="988.58121282808497"/>
    <n v="0"/>
    <n v="0"/>
    <n v="0"/>
    <n v="0"/>
    <n v="0"/>
    <n v="0"/>
    <n v="0"/>
    <n v="215.69950986397998"/>
    <n v="0"/>
    <n v="0"/>
    <n v="1251.8447055298275"/>
    <n v="0"/>
    <n v="0"/>
    <n v="0"/>
    <n v="91.505850537384106"/>
    <n v="0"/>
    <n v="0"/>
    <m/>
    <n v="0"/>
    <n v="0"/>
    <n v="0"/>
    <n v="0"/>
    <n v="0"/>
    <n v="-5.4126935995547569"/>
    <n v="0"/>
    <n v="-565.0561595035515"/>
    <m/>
    <m/>
    <m/>
    <n v="17093.080224850572"/>
    <n v="0"/>
    <n v="0"/>
    <n v="-8866.9541999999983"/>
    <n v="1124.5393899999999"/>
    <n v="0"/>
    <n v="0"/>
    <n v="-8731.1850796410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69"/>
    <s v="Sistema de Compensação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9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70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31.596"/>
    <n v="31.596"/>
    <n v="31.596"/>
    <n v="31.596"/>
    <m/>
    <n v="547.54"/>
    <n v="159.41"/>
    <m/>
    <n v="22336.792199999996"/>
    <n v="22336.792199999996"/>
    <n v="16361.040720000001"/>
    <n v="0"/>
    <n v="0"/>
    <n v="0"/>
    <n v="0"/>
    <n v="0"/>
    <n v="3685.4972905916979"/>
    <n v="13192.783124908485"/>
    <n v="4873.0737252673916"/>
    <n v="163.722485735346"/>
    <n v="0"/>
    <n v="0"/>
    <n v="0"/>
    <n v="0"/>
    <n v="0"/>
    <m/>
    <n v="65.5647218565542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6.20612843766548"/>
    <n v="0"/>
    <n v="114.2"/>
    <n v="528.41"/>
    <n v="7651.41"/>
    <n v="392"/>
    <m/>
    <m/>
    <m/>
    <m/>
    <m/>
    <m/>
    <m/>
    <n v="1636.3568400000008"/>
    <m/>
    <n v="5229.2798537050567"/>
    <m/>
    <m/>
    <m/>
    <m/>
    <m/>
    <m/>
    <m/>
    <m/>
    <m/>
    <m/>
    <m/>
    <m/>
    <n v="14726.547999999999"/>
    <n v="-5376.7529600000016"/>
    <m/>
    <m/>
    <m/>
    <m/>
    <n v="-6843.6935999999987"/>
    <n v="867.94211999999993"/>
    <n v="30"/>
    <n v="763.00686421858518"/>
    <n v="0"/>
    <n v="0"/>
    <n v="0"/>
    <n v="0"/>
    <n v="0"/>
    <n v="0"/>
    <n v="0"/>
    <n v="166.48122025703651"/>
    <n v="0"/>
    <n v="0"/>
    <n v="966.1989231238349"/>
    <n v="0"/>
    <n v="0"/>
    <n v="0"/>
    <n v="70.626055978190607"/>
    <n v="0"/>
    <n v="0"/>
    <m/>
    <n v="0"/>
    <n v="0"/>
    <n v="0"/>
    <n v="0"/>
    <n v="0"/>
    <n v="-4.1776257901539395"/>
    <n v="0"/>
    <n v="-436.12170935032395"/>
    <m/>
    <m/>
    <m/>
    <n v="13192.783124908485"/>
    <n v="0"/>
    <n v="0"/>
    <n v="-6843.6935999999969"/>
    <n v="867.9421199999997"/>
    <n v="0"/>
    <n v="0"/>
    <n v="-6738.904262069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71"/>
    <s v="Sistema de Compensação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.3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72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4.5330000000000004"/>
    <n v="4.5330000000000004"/>
    <n v="4.5330000000000004"/>
    <n v="4.5330000000000004"/>
    <m/>
    <n v="547.54"/>
    <n v="159.41"/>
    <m/>
    <n v="3204.6043500000005"/>
    <n v="3204.6043500000005"/>
    <n v="2347.2780600000001"/>
    <n v="0"/>
    <n v="0"/>
    <n v="0"/>
    <n v="0"/>
    <n v="0"/>
    <n v="528.74918401861521"/>
    <n v="1892.7359762378203"/>
    <n v="699.12783886052307"/>
    <n v="23.488860230355851"/>
    <n v="0"/>
    <n v="0"/>
    <n v="0"/>
    <n v="0"/>
    <n v="0"/>
    <m/>
    <n v="9.4064085382884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104012539813198"/>
    <n v="0"/>
    <n v="23.34"/>
    <n v="108.55"/>
    <n v="1572.93"/>
    <n v="91"/>
    <m/>
    <m/>
    <m/>
    <m/>
    <m/>
    <m/>
    <m/>
    <m/>
    <m/>
    <n v="750.23185140033627"/>
    <m/>
    <m/>
    <m/>
    <m/>
    <m/>
    <m/>
    <m/>
    <m/>
    <m/>
    <m/>
    <m/>
    <m/>
    <n v="2345.7246"/>
    <n v="-858.90975000000117"/>
    <m/>
    <m/>
    <m/>
    <m/>
    <n v="-981.84779999999989"/>
    <n v="124.52151000000001"/>
    <n v="30"/>
    <n v="109.46670830177391"/>
    <n v="0"/>
    <n v="0"/>
    <n v="0"/>
    <n v="0"/>
    <n v="0"/>
    <n v="0"/>
    <n v="0"/>
    <n v="23.884649051308656"/>
    <n v="0"/>
    <n v="0"/>
    <n v="138.61817060768283"/>
    <n v="0"/>
    <n v="0"/>
    <n v="0"/>
    <n v="10.132545630748773"/>
    <n v="0"/>
    <n v="0"/>
    <m/>
    <n v="0"/>
    <n v="0"/>
    <n v="0"/>
    <n v="0"/>
    <n v="0"/>
    <n v="-0.5993536430803843"/>
    <n v="0"/>
    <n v="-62.569303344886023"/>
    <m/>
    <m/>
    <m/>
    <n v="1892.7359762378203"/>
    <n v="0"/>
    <n v="0"/>
    <n v="-981.84780000000023"/>
    <n v="124.52151000000003"/>
    <n v="0"/>
    <n v="0"/>
    <n v="-966.8139327750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73"/>
    <s v="Sistema de Compensação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74"/>
    <s v="Regular"/>
    <s v="Convencional"/>
    <s v="B3"/>
    <s v="Industrial"/>
    <s v="Não se aplica"/>
    <s v="Não se aplica"/>
    <s v="Não se aplica"/>
    <s v="Não se aplica"/>
    <s v="CATIVO"/>
    <x v="4"/>
    <n v="0"/>
    <n v="0"/>
    <n v="91.197999999999993"/>
    <n v="91.197999999999993"/>
    <n v="91.197999999999993"/>
    <n v="91.197999999999993"/>
    <m/>
    <n v="648.44000000000005"/>
    <n v="159.41"/>
    <m/>
    <n v="73674.304300000003"/>
    <n v="73674.304300000003"/>
    <n v="55796.76036"/>
    <n v="0"/>
    <n v="5651.5629169553513"/>
    <n v="0"/>
    <n v="0"/>
    <n v="0"/>
    <n v="10637.738381674315"/>
    <n v="38079.359267799846"/>
    <n v="14065.532902802113"/>
    <n v="472.5649846212205"/>
    <n v="0"/>
    <n v="0"/>
    <n v="0"/>
    <n v="0"/>
    <n v="873.31709587698072"/>
    <m/>
    <n v="189.244572220345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8.1455406145783"/>
    <n v="0"/>
    <n v="394.96"/>
    <n v="1770.64"/>
    <n v="15041.36"/>
    <n v="88"/>
    <m/>
    <m/>
    <m/>
    <m/>
    <m/>
    <m/>
    <m/>
    <m/>
    <m/>
    <n v="15093.678443416691"/>
    <m/>
    <m/>
    <m/>
    <m/>
    <m/>
    <m/>
    <m/>
    <m/>
    <m/>
    <m/>
    <m/>
    <m/>
    <n v="55797.983999999997"/>
    <n v="-17876.350300000006"/>
    <m/>
    <m/>
    <m/>
    <m/>
    <n v="-20382.753000000004"/>
    <n v="2505.2090599999997"/>
    <n v="30"/>
    <n v="1573.5319349920101"/>
    <n v="0"/>
    <n v="0"/>
    <n v="0"/>
    <n v="0"/>
    <n v="0"/>
    <n v="0"/>
    <n v="0"/>
    <n v="480.52773531463572"/>
    <n v="0"/>
    <n v="0"/>
    <n v="2788.8153371011376"/>
    <n v="0"/>
    <n v="0"/>
    <n v="0"/>
    <n v="203.85349579374065"/>
    <n v="0"/>
    <n v="-395.84661580517331"/>
    <m/>
    <n v="0"/>
    <n v="0"/>
    <n v="0"/>
    <n v="0"/>
    <n v="-53.282278503061434"/>
    <n v="-12.058207267073669"/>
    <n v="0"/>
    <n v="-1438.4775316421915"/>
    <m/>
    <m/>
    <m/>
    <n v="38079.359267799846"/>
    <n v="0"/>
    <n v="0"/>
    <n v="-20382.753000000004"/>
    <n v="2505.209060000001"/>
    <n v="0"/>
    <n v="0"/>
    <n v="-19451.025158001346"/>
    <n v="0"/>
    <n v="0"/>
    <n v="0"/>
    <n v="0"/>
    <n v="0"/>
    <n v="0"/>
    <n v="0"/>
    <n v="0"/>
    <n v="0"/>
    <n v="0"/>
    <n v="0"/>
    <n v="0"/>
    <n v="2677.044306122288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75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4.4119999999999999"/>
    <n v="4.4119999999999999"/>
    <n v="4.4119999999999999"/>
    <n v="4.4119999999999999"/>
    <m/>
    <n v="648.44000000000005"/>
    <n v="159.41"/>
    <m/>
    <n v="3564.2341999999999"/>
    <n v="3564.2341999999999"/>
    <n v="2699.3498399999999"/>
    <n v="0"/>
    <n v="273.41274577958956"/>
    <n v="0"/>
    <n v="0"/>
    <n v="0"/>
    <n v="514.63520844697337"/>
    <n v="1842.2129113525837"/>
    <n v="680.46592213823681"/>
    <n v="22.861868814544454"/>
    <n v="0"/>
    <n v="0"/>
    <n v="0"/>
    <n v="0"/>
    <n v="42.249556207474278"/>
    <m/>
    <n v="9.1553219657905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739886019337263"/>
    <n v="0"/>
    <n v="19.05"/>
    <n v="85.65"/>
    <n v="3154.96"/>
    <n v="18"/>
    <m/>
    <m/>
    <m/>
    <m/>
    <m/>
    <m/>
    <m/>
    <m/>
    <m/>
    <n v="730.2058081575741"/>
    <m/>
    <m/>
    <m/>
    <m/>
    <m/>
    <m/>
    <m/>
    <m/>
    <m/>
    <m/>
    <m/>
    <m/>
    <n v="2698.1262000000002"/>
    <n v="-866.13800000000037"/>
    <m/>
    <m/>
    <m/>
    <m/>
    <n v="-986.08200000000022"/>
    <n v="121.19763999999999"/>
    <n v="30"/>
    <n v="76.124727485085032"/>
    <n v="0"/>
    <n v="0"/>
    <n v="0"/>
    <n v="0"/>
    <n v="0"/>
    <n v="0"/>
    <n v="0"/>
    <n v="23.247092789405201"/>
    <n v="0"/>
    <n v="0"/>
    <n v="134.91801648380692"/>
    <n v="0"/>
    <n v="0"/>
    <n v="0"/>
    <n v="9.862076179762532"/>
    <n v="0"/>
    <n v="-19.150368088471481"/>
    <m/>
    <n v="0"/>
    <n v="0"/>
    <n v="0"/>
    <n v="0"/>
    <n v="-2.5777035982752636"/>
    <n v="-0.5833550128547671"/>
    <n v="0"/>
    <n v="-69.591031268288233"/>
    <m/>
    <m/>
    <m/>
    <n v="1842.2129113525837"/>
    <n v="0"/>
    <n v="0"/>
    <n v="-986.08200000000011"/>
    <n v="121.19763999999998"/>
    <n v="0"/>
    <n v="0"/>
    <n v="-941.00663388563282"/>
    <n v="0"/>
    <n v="0"/>
    <n v="0"/>
    <n v="0"/>
    <n v="0"/>
    <n v="0"/>
    <n v="0"/>
    <n v="0"/>
    <n v="0"/>
    <n v="0"/>
    <n v="0"/>
    <n v="0"/>
    <n v="129.510729167432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76"/>
    <s v="Regular"/>
    <s v="Verde"/>
    <s v="A4"/>
    <s v="Industrial"/>
    <s v="Não se aplica"/>
    <s v="Não se aplica"/>
    <s v="Não se aplica"/>
    <s v="Ponta"/>
    <s v="CATIVO"/>
    <x v="4"/>
    <n v="0"/>
    <n v="0"/>
    <n v="15.426"/>
    <n v="15.426"/>
    <n v="15.426"/>
    <n v="15.426"/>
    <m/>
    <n v="2810.7"/>
    <n v="159.41"/>
    <m/>
    <n v="45816.916859999998"/>
    <n v="45816.916859999998"/>
    <n v="29181.209940000001"/>
    <n v="0"/>
    <n v="831.67918501008"/>
    <n v="0"/>
    <n v="0"/>
    <n v="0"/>
    <n v="9417.8135435829718"/>
    <n v="32470.016234506686"/>
    <n v="2379.1630360164195"/>
    <n v="79.933632895095812"/>
    <n v="0"/>
    <n v="0"/>
    <n v="0"/>
    <n v="0"/>
    <n v="147.72022984054811"/>
    <m/>
    <n v="16.563411178666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059001861005825"/>
    <n v="0"/>
    <n v="0"/>
    <n v="0"/>
    <n v="0"/>
    <n v="0"/>
    <m/>
    <m/>
    <m/>
    <m/>
    <m/>
    <m/>
    <m/>
    <m/>
    <m/>
    <n v="2459.2220378774255"/>
    <m/>
    <m/>
    <m/>
    <m/>
    <m/>
    <m/>
    <m/>
    <m/>
    <m/>
    <m/>
    <m/>
    <m/>
    <n v="29188.776700000002"/>
    <n v="-16628.170160000001"/>
    <m/>
    <m/>
    <m/>
    <m/>
    <n v="-17059.459139999999"/>
    <n v="423.75221999999997"/>
    <n v="30"/>
    <n v="-49.866041243962172"/>
    <n v="0"/>
    <n v="0"/>
    <n v="0"/>
    <n v="0"/>
    <n v="0"/>
    <n v="0"/>
    <n v="0"/>
    <n v="425.42131149883608"/>
    <n v="0"/>
    <n v="0"/>
    <n v="471.72378111495982"/>
    <n v="0"/>
    <n v="0"/>
    <n v="0"/>
    <n v="15.873538088166043"/>
    <n v="0"/>
    <n v="-58.252450810404412"/>
    <m/>
    <n v="0"/>
    <n v="0"/>
    <n v="0"/>
    <n v="0"/>
    <n v="-9.0126146208055786"/>
    <n v="-1.0553805728682537"/>
    <n v="0"/>
    <n v="-894.56422594184494"/>
    <m/>
    <m/>
    <m/>
    <n v="32470.016234506686"/>
    <n v="0"/>
    <n v="0"/>
    <n v="-17059.459139999995"/>
    <n v="423.75221999999985"/>
    <n v="0"/>
    <n v="0"/>
    <n v="-16585.759708203976"/>
    <n v="0"/>
    <n v="0"/>
    <n v="0"/>
    <n v="0"/>
    <n v="0"/>
    <n v="0"/>
    <n v="0"/>
    <n v="0"/>
    <n v="0"/>
    <n v="0"/>
    <n v="0"/>
    <n v="0"/>
    <n v="393.9515598547214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77"/>
    <s v="Regular"/>
    <s v="Verde"/>
    <s v="A4"/>
    <s v="Industrial"/>
    <s v="Não se aplica"/>
    <s v="Não se aplica"/>
    <s v="Não se aplica"/>
    <s v="Fora ponta"/>
    <s v="CATIVO"/>
    <x v="4"/>
    <n v="0"/>
    <n v="0"/>
    <n v="510.29599999999999"/>
    <n v="510.29599999999999"/>
    <n v="510.29599999999999"/>
    <n v="510.29599999999999"/>
    <m/>
    <n v="95.29"/>
    <n v="159.41"/>
    <m/>
    <n v="129972.3912"/>
    <n v="129972.3912"/>
    <n v="141306.06536000001"/>
    <n v="0"/>
    <n v="27512.158783476196"/>
    <n v="0"/>
    <n v="0"/>
    <n v="0"/>
    <n v="0"/>
    <n v="0"/>
    <n v="78703.317815832663"/>
    <n v="2644.2248886189432"/>
    <n v="0"/>
    <n v="0"/>
    <n v="0"/>
    <n v="0"/>
    <n v="4886.6227412623066"/>
    <m/>
    <n v="547.92185082516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8.3721258695596"/>
    <n v="0"/>
    <n v="0"/>
    <n v="0"/>
    <n v="0"/>
    <n v="0"/>
    <m/>
    <m/>
    <m/>
    <m/>
    <m/>
    <m/>
    <m/>
    <m/>
    <m/>
    <n v="81351.689941702221"/>
    <m/>
    <m/>
    <m/>
    <m/>
    <m/>
    <m/>
    <m/>
    <m/>
    <m/>
    <m/>
    <m/>
    <m/>
    <n v="141307.17300000001"/>
    <n v="11334.751800000013"/>
    <m/>
    <m/>
    <m/>
    <m/>
    <n v="-2684.1569600000025"/>
    <n v="14017.831119999999"/>
    <n v="30"/>
    <n v="11332.061221293523"/>
    <n v="0"/>
    <n v="0"/>
    <n v="0"/>
    <n v="0"/>
    <n v="0"/>
    <n v="0"/>
    <n v="0"/>
    <n v="0"/>
    <n v="0"/>
    <n v="0"/>
    <n v="15604.742552044583"/>
    <n v="0"/>
    <n v="0"/>
    <n v="0"/>
    <n v="525.10067368331283"/>
    <n v="0"/>
    <n v="-1927.0058757128318"/>
    <m/>
    <n v="0"/>
    <n v="0"/>
    <n v="0"/>
    <n v="0"/>
    <n v="-298.13958190967242"/>
    <n v="-34.912257540021869"/>
    <n v="0"/>
    <n v="-2537.7242892718382"/>
    <m/>
    <m/>
    <m/>
    <n v="0"/>
    <n v="0"/>
    <n v="0"/>
    <n v="-2684.1569600000075"/>
    <n v="14017.831120000003"/>
    <n v="0"/>
    <n v="0"/>
    <n v="0"/>
    <n v="0"/>
    <n v="0"/>
    <n v="0"/>
    <n v="0"/>
    <n v="0"/>
    <n v="0"/>
    <n v="0"/>
    <n v="0"/>
    <n v="0"/>
    <n v="0"/>
    <n v="0"/>
    <n v="0"/>
    <n v="13032.01770955691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78"/>
    <s v="Regular"/>
    <s v="Verde"/>
    <s v="A4"/>
    <s v="Industrial"/>
    <s v="Não se aplica"/>
    <s v="Não se aplica"/>
    <s v="Não se aplica"/>
    <s v="Não se aplica"/>
    <s v="CATIVO"/>
    <x v="4"/>
    <n v="2124"/>
    <n v="2124"/>
    <n v="0"/>
    <n v="0"/>
    <n v="0"/>
    <n v="0"/>
    <n v="43.29"/>
    <m/>
    <m/>
    <n v="91947.959999999992"/>
    <m/>
    <n v="91947.959999999992"/>
    <n v="71132.760000000009"/>
    <n v="0"/>
    <n v="0"/>
    <n v="0"/>
    <n v="0"/>
    <n v="0"/>
    <n v="50262.308724522314"/>
    <n v="41692.3934096852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27.95"/>
    <n v="8186.25"/>
    <n v="68828.039999999994"/>
    <n v="13"/>
    <m/>
    <m/>
    <m/>
    <m/>
    <m/>
    <m/>
    <m/>
    <m/>
    <m/>
    <n v="0"/>
    <m/>
    <m/>
    <m/>
    <m/>
    <m/>
    <m/>
    <m/>
    <m/>
    <m/>
    <m/>
    <m/>
    <m/>
    <n v="71132.760000000009"/>
    <n v="-20815.229999999967"/>
    <m/>
    <m/>
    <m/>
    <m/>
    <n v="-20815.199999999993"/>
    <n v="0"/>
    <n v="30"/>
    <n v="475.0541484359419"/>
    <n v="0"/>
    <n v="0"/>
    <n v="0"/>
    <n v="0"/>
    <m/>
    <m/>
    <m/>
    <n v="2270.4481456966896"/>
    <n v="0"/>
    <n v="0"/>
    <m/>
    <m/>
    <n v="0"/>
    <n v="0"/>
    <n v="0"/>
    <n v="0"/>
    <n v="0"/>
    <m/>
    <n v="0"/>
    <n v="0"/>
    <m/>
    <n v="0"/>
    <n v="0"/>
    <n v="0"/>
    <n v="0"/>
    <n v="-1795.393997260745"/>
    <m/>
    <m/>
    <n v="41692.393409685275"/>
    <m/>
    <n v="0"/>
    <n v="0"/>
    <n v="-20815.199999999983"/>
    <m/>
    <n v="0"/>
    <m/>
    <n v="-21296.57138939393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79"/>
    <s v="Regular"/>
    <s v="Convencional"/>
    <s v="B3"/>
    <s v="Comercial"/>
    <s v="Não se aplica"/>
    <s v="Não se aplica"/>
    <s v="Não se aplica"/>
    <s v="Não se aplica"/>
    <s v="CATIVO"/>
    <x v="4"/>
    <n v="0"/>
    <n v="0"/>
    <n v="632.22400000000005"/>
    <n v="632.22400000000005"/>
    <n v="632.22400000000005"/>
    <n v="632.22400000000005"/>
    <m/>
    <n v="648.44000000000005"/>
    <n v="159.41"/>
    <m/>
    <n v="510742.15840000007"/>
    <n v="510742.15840000007"/>
    <n v="386807.28768000001"/>
    <n v="0"/>
    <n v="39179.079734305364"/>
    <n v="0"/>
    <n v="0"/>
    <n v="0"/>
    <n v="73745.405717402391"/>
    <n v="263982.59647936898"/>
    <n v="97508.360643228618"/>
    <n v="3276.024965867306"/>
    <n v="0"/>
    <n v="0"/>
    <n v="0"/>
    <n v="0"/>
    <n v="6054.2120180675929"/>
    <m/>
    <n v="1311.9252662057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27.549795713845"/>
    <n v="0"/>
    <n v="3241.82"/>
    <n v="14548.12"/>
    <n v="211859.15"/>
    <n v="1435"/>
    <m/>
    <m/>
    <m/>
    <m/>
    <m/>
    <m/>
    <m/>
    <m/>
    <m/>
    <n v="104635.91043894246"/>
    <m/>
    <m/>
    <m/>
    <m/>
    <m/>
    <m/>
    <m/>
    <m/>
    <m/>
    <m/>
    <m/>
    <m/>
    <n v="386804.84040000004"/>
    <n v="-123937.34800000006"/>
    <m/>
    <m/>
    <m/>
    <m/>
    <n v="-141302.06400000004"/>
    <n v="17367.19328"/>
    <n v="30"/>
    <n v="10908.404285931581"/>
    <n v="0"/>
    <n v="0"/>
    <n v="0"/>
    <n v="0"/>
    <n v="0"/>
    <n v="0"/>
    <n v="0"/>
    <n v="3331.2261993855063"/>
    <n v="0"/>
    <n v="0"/>
    <n v="19333.274717465625"/>
    <n v="0"/>
    <n v="0"/>
    <n v="0"/>
    <n v="1413.2006461183573"/>
    <n v="0"/>
    <n v="-2744.180034987723"/>
    <m/>
    <n v="0"/>
    <n v="0"/>
    <n v="0"/>
    <n v="0"/>
    <n v="-369.37581135901564"/>
    <n v="-83.592710708769573"/>
    <n v="0"/>
    <n v="-9972.1487199823787"/>
    <m/>
    <m/>
    <m/>
    <n v="263982.59647936898"/>
    <n v="0"/>
    <n v="0"/>
    <n v="-141302.06400000007"/>
    <n v="17367.193280000007"/>
    <n v="0"/>
    <n v="0"/>
    <n v="-134842.92341380561"/>
    <n v="0"/>
    <n v="0"/>
    <n v="0"/>
    <n v="0"/>
    <n v="0"/>
    <n v="0"/>
    <n v="0"/>
    <n v="0"/>
    <n v="0"/>
    <n v="0"/>
    <n v="0"/>
    <n v="0"/>
    <n v="18558.42956417748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80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49.58"/>
    <n v="49.58"/>
    <n v="49.58"/>
    <n v="49.58"/>
    <m/>
    <n v="648.44000000000005"/>
    <n v="159.41"/>
    <m/>
    <n v="40053.203000000001"/>
    <n v="40053.203000000001"/>
    <n v="30334.035599999999"/>
    <n v="0"/>
    <n v="3072.4850262357322"/>
    <n v="0"/>
    <n v="0"/>
    <n v="0"/>
    <n v="5783.2306515867949"/>
    <n v="20701.930223223277"/>
    <n v="7646.7589346359437"/>
    <n v="256.91102806552902"/>
    <n v="0"/>
    <n v="0"/>
    <n v="0"/>
    <n v="0"/>
    <n v="474.78082428979479"/>
    <m/>
    <n v="102.883241854917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8.95366020823701"/>
    <n v="0"/>
    <n v="254.24"/>
    <n v="1140.8499999999999"/>
    <n v="36584.32"/>
    <n v="121"/>
    <m/>
    <m/>
    <m/>
    <m/>
    <m/>
    <m/>
    <m/>
    <m/>
    <m/>
    <n v="8205.7125948441808"/>
    <m/>
    <m/>
    <m/>
    <m/>
    <m/>
    <m/>
    <m/>
    <m/>
    <m/>
    <m/>
    <m/>
    <m/>
    <n v="30334.035599999999"/>
    <n v="-9719.1974000000009"/>
    <m/>
    <m/>
    <m/>
    <m/>
    <n v="-11081.130000000003"/>
    <n v="1361.9625999999998"/>
    <n v="30"/>
    <n v="855.45421321634058"/>
    <n v="0"/>
    <n v="0"/>
    <n v="0"/>
    <n v="0"/>
    <n v="0"/>
    <n v="0"/>
    <n v="0"/>
    <n v="261.23999557994284"/>
    <n v="0"/>
    <n v="0"/>
    <n v="1516.145797204701"/>
    <n v="0"/>
    <n v="0"/>
    <n v="0"/>
    <n v="110.82541636278927"/>
    <n v="0"/>
    <n v="-215.20291247198929"/>
    <m/>
    <n v="0"/>
    <n v="0"/>
    <n v="0"/>
    <n v="0"/>
    <n v="-28.967031822866602"/>
    <n v="-6.5554717899681094"/>
    <n v="0"/>
    <n v="-782.03157984626705"/>
    <m/>
    <m/>
    <m/>
    <n v="20701.930223223277"/>
    <n v="0"/>
    <n v="0"/>
    <n v="-11081.130000000001"/>
    <n v="1361.9625999999998"/>
    <n v="0"/>
    <n v="0"/>
    <n v="-10574.594040809083"/>
    <n v="0"/>
    <n v="0"/>
    <n v="0"/>
    <n v="0"/>
    <n v="0"/>
    <n v="0"/>
    <n v="0"/>
    <n v="0"/>
    <n v="0"/>
    <n v="0"/>
    <n v="0"/>
    <n v="0"/>
    <n v="1455.381222148984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81"/>
    <s v="Regular"/>
    <s v="Verde"/>
    <s v="A4"/>
    <s v="Comercial"/>
    <s v="Não se aplica"/>
    <s v="Não se aplica"/>
    <s v="Não se aplica"/>
    <s v="Ponta"/>
    <s v="CATIVO"/>
    <x v="4"/>
    <n v="0"/>
    <n v="0"/>
    <n v="11.448"/>
    <n v="11.448"/>
    <n v="11.448"/>
    <n v="11.448"/>
    <m/>
    <n v="2810.7"/>
    <n v="159.41"/>
    <m/>
    <n v="34001.819279999996"/>
    <n v="34001.819279999996"/>
    <n v="21656.06712"/>
    <n v="0"/>
    <n v="617.2088234147152"/>
    <n v="0"/>
    <n v="0"/>
    <n v="0"/>
    <n v="6989.1825130907473"/>
    <n v="24096.768174032964"/>
    <n v="1765.6332449316717"/>
    <n v="59.320642381891417"/>
    <n v="0"/>
    <n v="0"/>
    <n v="0"/>
    <n v="0"/>
    <n v="109.62668165529591"/>
    <m/>
    <n v="12.2920997778670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41368166114318"/>
    <n v="0"/>
    <n v="0"/>
    <n v="0"/>
    <n v="0"/>
    <n v="0"/>
    <m/>
    <m/>
    <m/>
    <m/>
    <m/>
    <m/>
    <m/>
    <m/>
    <m/>
    <n v="1825.0469265928148"/>
    <m/>
    <m/>
    <m/>
    <m/>
    <m/>
    <m/>
    <m/>
    <m/>
    <m/>
    <m/>
    <m/>
    <m/>
    <n v="21659.8505"/>
    <n v="-12341.998779999994"/>
    <m/>
    <m/>
    <m/>
    <m/>
    <n v="-12660.228719999999"/>
    <n v="314.47656000000001"/>
    <n v="30"/>
    <n v="-37.006770398085791"/>
    <n v="0"/>
    <n v="0"/>
    <n v="0"/>
    <n v="0"/>
    <n v="0"/>
    <n v="0"/>
    <n v="0"/>
    <n v="315.71523233752578"/>
    <n v="0"/>
    <n v="0"/>
    <n v="350.07739181927059"/>
    <n v="0"/>
    <n v="0"/>
    <n v="0"/>
    <n v="11.78012861618857"/>
    <n v="0"/>
    <n v="-43.230523588584788"/>
    <m/>
    <n v="0"/>
    <n v="0"/>
    <n v="0"/>
    <n v="0"/>
    <n v="-6.6884747944368002"/>
    <n v="-0.78322292222194712"/>
    <n v="0"/>
    <n v="-663.87730186582667"/>
    <m/>
    <m/>
    <m/>
    <n v="24096.768174032964"/>
    <n v="0"/>
    <n v="0"/>
    <n v="-12660.228719999999"/>
    <n v="314.47655999999984"/>
    <n v="0"/>
    <n v="0"/>
    <n v="-12308.685151012516"/>
    <n v="0"/>
    <n v="0"/>
    <n v="0"/>
    <n v="0"/>
    <n v="0"/>
    <n v="0"/>
    <n v="0"/>
    <n v="0"/>
    <n v="0"/>
    <n v="0"/>
    <n v="0"/>
    <n v="0"/>
    <n v="292.3607842095715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82"/>
    <s v="Sistema de Compensação"/>
    <s v="Verde"/>
    <s v="A4"/>
    <s v="Comercial"/>
    <s v="Não se aplica"/>
    <s v="Não se aplica"/>
    <s v="Não se aplica"/>
    <s v="Ponta"/>
    <s v="CATIVO"/>
    <x v="4"/>
    <n v="0"/>
    <n v="0"/>
    <n v="4.1070000000000002"/>
    <n v="4.1070000000000002"/>
    <n v="4.1070000000000002"/>
    <n v="4.1070000000000002"/>
    <m/>
    <n v="2810.7"/>
    <n v="159.41"/>
    <m/>
    <n v="12198.241769999999"/>
    <n v="12198.241769999999"/>
    <n v="7769.17083"/>
    <n v="0"/>
    <n v="221.42528282357051"/>
    <n v="0"/>
    <n v="0"/>
    <n v="0"/>
    <n v="2507.3875420391073"/>
    <n v="8644.7787291014483"/>
    <n v="633.42555354073863"/>
    <n v="21.281435906920688"/>
    <n v="0"/>
    <n v="0"/>
    <n v="0"/>
    <n v="0"/>
    <n v="39.32885932549793"/>
    <m/>
    <n v="4.4098230073113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314813992165885"/>
    <n v="0"/>
    <n v="0"/>
    <n v="0"/>
    <n v="0"/>
    <n v="0"/>
    <m/>
    <m/>
    <m/>
    <m/>
    <m/>
    <m/>
    <m/>
    <m/>
    <m/>
    <n v="654.74036753290454"/>
    <m/>
    <m/>
    <m/>
    <m/>
    <m/>
    <m/>
    <m/>
    <m/>
    <m/>
    <m/>
    <m/>
    <m/>
    <n v="7774.8459000000003"/>
    <n v="-4423.4258699999991"/>
    <m/>
    <m/>
    <m/>
    <m/>
    <n v="-4541.89023"/>
    <n v="112.81929"/>
    <n v="30"/>
    <n v="-13.276275858223016"/>
    <n v="0"/>
    <n v="0"/>
    <n v="0"/>
    <n v="0"/>
    <n v="0"/>
    <n v="0"/>
    <n v="0"/>
    <n v="113.26366694708395"/>
    <n v="0"/>
    <n v="0"/>
    <n v="125.59118170874774"/>
    <n v="0"/>
    <n v="0"/>
    <n v="0"/>
    <n v="4.2261520114156568"/>
    <n v="0"/>
    <n v="-15.50906362494041"/>
    <m/>
    <n v="0"/>
    <n v="0"/>
    <n v="0"/>
    <n v="0"/>
    <n v="-2.3995078599538715"/>
    <n v="-0.28098327581809368"/>
    <n v="0"/>
    <n v="-238.16772176475803"/>
    <m/>
    <m/>
    <m/>
    <n v="8644.7787291014483"/>
    <n v="0"/>
    <n v="0"/>
    <n v="-4541.8902299999991"/>
    <n v="112.81929000000002"/>
    <n v="0"/>
    <n v="0"/>
    <n v="-4415.7730533899721"/>
    <n v="0"/>
    <n v="0"/>
    <n v="0"/>
    <n v="0"/>
    <n v="0"/>
    <n v="0"/>
    <n v="0"/>
    <n v="0"/>
    <n v="0"/>
    <n v="0"/>
    <n v="0"/>
    <n v="0"/>
    <n v="104.8851974797965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83"/>
    <s v="Regular"/>
    <s v="Verde"/>
    <s v="A4"/>
    <s v="Comercial"/>
    <s v="Não se aplica"/>
    <s v="Não se aplica"/>
    <s v="Não se aplica"/>
    <s v="Fora ponta"/>
    <s v="CATIVO"/>
    <x v="4"/>
    <n v="0"/>
    <n v="0"/>
    <n v="183.267"/>
    <n v="183.267"/>
    <n v="183.267"/>
    <n v="183.267"/>
    <m/>
    <n v="95.29"/>
    <n v="159.41"/>
    <m/>
    <n v="46678.104900000006"/>
    <n v="46678.104900000006"/>
    <n v="50748.464970000001"/>
    <n v="0"/>
    <n v="9880.6786723222049"/>
    <n v="0"/>
    <n v="0"/>
    <n v="0"/>
    <n v="0"/>
    <n v="0"/>
    <n v="28265.400759861346"/>
    <n v="949.64327108683551"/>
    <n v="0"/>
    <n v="0"/>
    <n v="0"/>
    <n v="0"/>
    <n v="1754.9749359644579"/>
    <m/>
    <n v="196.77989605087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1.13270413982593"/>
    <n v="0"/>
    <n v="0"/>
    <n v="0"/>
    <n v="0"/>
    <n v="0"/>
    <m/>
    <m/>
    <m/>
    <m/>
    <m/>
    <m/>
    <m/>
    <m/>
    <m/>
    <n v="29216.533464001172"/>
    <m/>
    <m/>
    <m/>
    <m/>
    <m/>
    <m/>
    <m/>
    <m/>
    <m/>
    <m/>
    <m/>
    <m/>
    <n v="50749.295700000002"/>
    <n v="4071.1608000000051"/>
    <m/>
    <m/>
    <m/>
    <m/>
    <n v="-963.98442000000091"/>
    <n v="5034.3444899999995"/>
    <n v="30"/>
    <n v="4069.7808014227121"/>
    <n v="0"/>
    <n v="0"/>
    <n v="0"/>
    <n v="0"/>
    <n v="0"/>
    <n v="0"/>
    <n v="0"/>
    <n v="0"/>
    <n v="0"/>
    <n v="0"/>
    <n v="5604.2656679369466"/>
    <n v="0"/>
    <n v="0"/>
    <n v="0"/>
    <n v="188.58393004044626"/>
    <n v="0"/>
    <n v="-692.0622262848683"/>
    <m/>
    <n v="0"/>
    <n v="0"/>
    <n v="0"/>
    <n v="0"/>
    <n v="-107.07343729490299"/>
    <n v="-12.53833990975275"/>
    <n v="0"/>
    <n v="-911.39479306516603"/>
    <m/>
    <m/>
    <m/>
    <n v="0"/>
    <n v="0"/>
    <n v="0"/>
    <n v="-963.98442000000432"/>
    <n v="5034.3444899999995"/>
    <n v="0"/>
    <n v="0"/>
    <n v="0"/>
    <n v="0"/>
    <n v="0"/>
    <n v="0"/>
    <n v="0"/>
    <n v="0"/>
    <n v="0"/>
    <n v="0"/>
    <n v="0"/>
    <n v="0"/>
    <n v="0"/>
    <n v="0"/>
    <n v="0"/>
    <n v="4680.300824575083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84"/>
    <s v="Sistema de Compensação"/>
    <s v="Verde"/>
    <s v="A4"/>
    <s v="Comercial"/>
    <s v="Não se aplica"/>
    <s v="Não se aplica"/>
    <s v="Não se aplica"/>
    <s v="Fora ponta"/>
    <s v="CATIVO"/>
    <x v="4"/>
    <n v="0"/>
    <n v="0"/>
    <n v="35.341000000000001"/>
    <n v="35.341000000000001"/>
    <n v="35.341000000000001"/>
    <n v="35.341000000000001"/>
    <m/>
    <n v="95.29"/>
    <n v="159.41"/>
    <m/>
    <n v="9001.3526999999995"/>
    <n v="9001.3526999999995"/>
    <n v="9786.2763099999993"/>
    <n v="0"/>
    <n v="1905.3788459381071"/>
    <n v="0"/>
    <n v="0"/>
    <n v="0"/>
    <n v="0"/>
    <n v="0"/>
    <n v="5450.6677593579852"/>
    <n v="183.12812914207063"/>
    <n v="0"/>
    <n v="0"/>
    <n v="0"/>
    <n v="0"/>
    <n v="338.42737215057764"/>
    <m/>
    <n v="37.9468115172606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41534971929255"/>
    <n v="0"/>
    <n v="0"/>
    <n v="0"/>
    <n v="0"/>
    <n v="0"/>
    <m/>
    <m/>
    <m/>
    <m/>
    <m/>
    <m/>
    <m/>
    <m/>
    <m/>
    <n v="5634.0831090772781"/>
    <m/>
    <m/>
    <m/>
    <m/>
    <m/>
    <m/>
    <m/>
    <m/>
    <m/>
    <m/>
    <m/>
    <m/>
    <n v="9785.9994000000006"/>
    <n v="784.61670000000049"/>
    <m/>
    <m/>
    <m/>
    <m/>
    <n v="-185.89366000000018"/>
    <n v="970.81727000000001"/>
    <n v="30"/>
    <n v="784.81190450588474"/>
    <n v="0"/>
    <n v="0"/>
    <n v="0"/>
    <n v="0"/>
    <n v="0"/>
    <n v="0"/>
    <n v="0"/>
    <n v="0"/>
    <n v="0"/>
    <n v="0"/>
    <n v="1080.7202222471024"/>
    <n v="0"/>
    <n v="0"/>
    <n v="0"/>
    <n v="36.366310746394163"/>
    <n v="0"/>
    <n v="-133.45649319917698"/>
    <m/>
    <n v="0"/>
    <n v="0"/>
    <n v="0"/>
    <n v="0"/>
    <n v="-20.647919960708521"/>
    <n v="-2.4178792185749316"/>
    <n v="0"/>
    <n v="-175.7523361091524"/>
    <m/>
    <m/>
    <m/>
    <n v="0"/>
    <n v="0"/>
    <n v="0"/>
    <n v="-185.89366000000018"/>
    <n v="970.81726999999955"/>
    <n v="0"/>
    <n v="0"/>
    <n v="0"/>
    <n v="0"/>
    <n v="0"/>
    <n v="0"/>
    <n v="0"/>
    <n v="0"/>
    <n v="0"/>
    <n v="0"/>
    <n v="0"/>
    <n v="0"/>
    <n v="0"/>
    <n v="0"/>
    <n v="0"/>
    <n v="902.5438919243946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85"/>
    <s v="Regular"/>
    <s v="Verde"/>
    <s v="A4"/>
    <s v="Comercial"/>
    <s v="Não se aplica"/>
    <s v="Não se aplica"/>
    <s v="Não se aplica"/>
    <s v="Não se aplica"/>
    <s v="CATIVO"/>
    <x v="4"/>
    <n v="1526"/>
    <n v="1526"/>
    <n v="0"/>
    <n v="0"/>
    <n v="0"/>
    <n v="0"/>
    <n v="43.29"/>
    <m/>
    <m/>
    <n v="66060.539999999994"/>
    <m/>
    <n v="66060.539999999994"/>
    <n v="51105.740000000005"/>
    <n v="0"/>
    <n v="0"/>
    <n v="0"/>
    <n v="0"/>
    <n v="0"/>
    <n v="36111.244403776393"/>
    <n v="29954.1395212710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87.3699999999999"/>
    <n v="4869.78"/>
    <n v="68899.11"/>
    <n v="12"/>
    <m/>
    <m/>
    <m/>
    <m/>
    <m/>
    <m/>
    <m/>
    <m/>
    <m/>
    <n v="0"/>
    <m/>
    <m/>
    <m/>
    <m/>
    <m/>
    <m/>
    <m/>
    <m/>
    <m/>
    <m/>
    <m/>
    <m/>
    <n v="51105.740000000005"/>
    <n v="-14954.829999999973"/>
    <m/>
    <m/>
    <m/>
    <m/>
    <n v="-14954.799999999996"/>
    <n v="0"/>
    <n v="30"/>
    <n v="341.3053815975727"/>
    <n v="0"/>
    <n v="0"/>
    <n v="0"/>
    <n v="0"/>
    <m/>
    <m/>
    <m/>
    <n v="1631.2165114562813"/>
    <n v="0"/>
    <n v="0"/>
    <m/>
    <m/>
    <n v="0"/>
    <n v="0"/>
    <n v="0"/>
    <n v="0"/>
    <n v="0"/>
    <m/>
    <n v="0"/>
    <n v="0"/>
    <m/>
    <n v="0"/>
    <n v="0"/>
    <n v="0"/>
    <n v="0"/>
    <n v="-1289.9111298587086"/>
    <m/>
    <m/>
    <n v="29954.139521271059"/>
    <m/>
    <n v="0"/>
    <n v="0"/>
    <n v="-14954.799999999988"/>
    <m/>
    <n v="0"/>
    <m/>
    <n v="-15300.644039649316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86"/>
    <s v="Sistema de Compensação"/>
    <s v="Verde"/>
    <s v="A4"/>
    <s v="Comercial"/>
    <s v="Não se aplica"/>
    <s v="Não se aplica"/>
    <s v="Não se aplica"/>
    <s v="Não se aplica"/>
    <s v="CATIVO"/>
    <x v="4"/>
    <n v="961"/>
    <n v="961"/>
    <n v="0"/>
    <n v="0"/>
    <n v="0"/>
    <n v="0"/>
    <n v="43.29"/>
    <m/>
    <m/>
    <n v="41601.69"/>
    <m/>
    <n v="41601.69"/>
    <n v="32183.890000000003"/>
    <n v="0"/>
    <n v="0"/>
    <n v="0"/>
    <n v="0"/>
    <n v="0"/>
    <n v="22741.09165925892"/>
    <n v="18863.64880730110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6.99"/>
    <n v="1733.11"/>
    <n v="26483.32"/>
    <n v="6"/>
    <m/>
    <m/>
    <m/>
    <m/>
    <m/>
    <m/>
    <m/>
    <m/>
    <m/>
    <n v="0"/>
    <m/>
    <m/>
    <m/>
    <m/>
    <m/>
    <m/>
    <m/>
    <m/>
    <m/>
    <m/>
    <m/>
    <m/>
    <n v="32183.890000000003"/>
    <n v="-9417.8300000000054"/>
    <m/>
    <m/>
    <m/>
    <m/>
    <n v="-9417.7999999999975"/>
    <n v="0"/>
    <n v="30"/>
    <n v="214.93739955129058"/>
    <n v="0"/>
    <n v="0"/>
    <n v="0"/>
    <n v="0"/>
    <m/>
    <m/>
    <m/>
    <n v="1027.2602015134253"/>
    <n v="0"/>
    <n v="0"/>
    <m/>
    <m/>
    <n v="0"/>
    <n v="0"/>
    <n v="0"/>
    <n v="0"/>
    <n v="0"/>
    <m/>
    <n v="0"/>
    <n v="0"/>
    <m/>
    <n v="0"/>
    <n v="0"/>
    <n v="0"/>
    <n v="0"/>
    <n v="-812.3228019621356"/>
    <m/>
    <m/>
    <n v="18863.648807301106"/>
    <m/>
    <n v="0"/>
    <n v="0"/>
    <n v="-9417.7999999999993"/>
    <m/>
    <n v="0"/>
    <m/>
    <n v="-9635.5956239207026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87"/>
    <s v="Sistema de Compensação"/>
    <s v="Verde"/>
    <s v="A4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02.43"/>
    <n v="-447.57"/>
    <n v="-6680.1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288"/>
    <s v="Regular"/>
    <s v="Convencional"/>
    <s v="B2"/>
    <s v="Rural"/>
    <s v="Não se aplica"/>
    <s v="Não se aplica"/>
    <s v="Não se aplica"/>
    <s v="Não se aplica"/>
    <s v="CATIVO"/>
    <x v="4"/>
    <n v="0"/>
    <n v="0"/>
    <n v="4131.5640000000003"/>
    <n v="4131.5640000000003"/>
    <n v="4131.5640000000003"/>
    <n v="4131.5640000000003"/>
    <m/>
    <n v="648.44000000000005"/>
    <n v="159.41"/>
    <m/>
    <n v="3337683.9774000007"/>
    <n v="3337683.9774000007"/>
    <n v="2527773.4864800004"/>
    <n v="0"/>
    <n v="256034.05657391303"/>
    <n v="0"/>
    <n v="0"/>
    <n v="0"/>
    <n v="481923.91213780857"/>
    <n v="1725117.9838802193"/>
    <n v="637214.07686607947"/>
    <n v="21408.72034607764"/>
    <n v="0"/>
    <n v="0"/>
    <n v="0"/>
    <n v="0"/>
    <n v="39564.085549133561"/>
    <m/>
    <n v="8573.390444757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78.314243335713"/>
    <n v="0"/>
    <n v="14350.89"/>
    <n v="64548.41"/>
    <n v="244234"/>
    <n v="13977"/>
    <m/>
    <m/>
    <m/>
    <m/>
    <m/>
    <n v="303339.42888000014"/>
    <m/>
    <m/>
    <m/>
    <n v="683792.39110941521"/>
    <m/>
    <m/>
    <m/>
    <m/>
    <m/>
    <m/>
    <m/>
    <m/>
    <m/>
    <m/>
    <m/>
    <m/>
    <n v="2224431.9040000001"/>
    <n v="-712738.28923999984"/>
    <m/>
    <m/>
    <m/>
    <m/>
    <n v="-923404.55400000035"/>
    <n v="113494.06308000001"/>
    <n v="30"/>
    <n v="71286.079688845435"/>
    <n v="0"/>
    <n v="0"/>
    <n v="0"/>
    <n v="0"/>
    <n v="0"/>
    <n v="0"/>
    <n v="0"/>
    <n v="21769.458674833586"/>
    <n v="0"/>
    <n v="0"/>
    <n v="126342.34357568063"/>
    <n v="0"/>
    <n v="0"/>
    <n v="0"/>
    <n v="9235.2218743346311"/>
    <n v="0"/>
    <n v="-17933.130412755592"/>
    <m/>
    <n v="0"/>
    <n v="0"/>
    <n v="0"/>
    <n v="0"/>
    <n v="-2413.8593357444552"/>
    <n v="-546.27574123533304"/>
    <n v="0"/>
    <n v="-65167.678946267908"/>
    <m/>
    <m/>
    <m/>
    <n v="1725117.9838802193"/>
    <n v="0"/>
    <n v="0"/>
    <n v="-923404.55400000047"/>
    <n v="113494.06307999999"/>
    <n v="0"/>
    <n v="0"/>
    <n v="-881194.27296533587"/>
    <n v="0"/>
    <n v="0"/>
    <n v="0"/>
    <n v="0"/>
    <n v="0"/>
    <n v="0"/>
    <n v="0"/>
    <n v="0"/>
    <n v="0"/>
    <n v="0"/>
    <n v="0"/>
    <n v="0"/>
    <n v="121278.7548145773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89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2.036"/>
    <n v="-2.036"/>
    <n v="-2.036"/>
    <n v="-2.036"/>
    <m/>
    <n v="648.44000000000005"/>
    <n v="159.41"/>
    <m/>
    <n v="-1644.7826"/>
    <n v="-1644.7826"/>
    <n v="-1245.66552"/>
    <n v="0"/>
    <n v="-126.17143028269365"/>
    <n v="0"/>
    <n v="0"/>
    <n v="0"/>
    <n v="-237.48805176746097"/>
    <n v="-850.12363724248883"/>
    <n v="-314.01373922788991"/>
    <n v="-10.550037376793407"/>
    <n v="0"/>
    <n v="0"/>
    <n v="0"/>
    <n v="0"/>
    <n v="-19.496848694110977"/>
    <m/>
    <n v="-4.22489472401394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2.953401617264433"/>
    <n v="0"/>
    <n v="-5.96"/>
    <n v="-26.46"/>
    <n v="-47.43"/>
    <n v="0"/>
    <m/>
    <m/>
    <m/>
    <m/>
    <m/>
    <n v="-149.48312000000004"/>
    <m/>
    <m/>
    <m/>
    <n v="-336.96714084515435"/>
    <m/>
    <m/>
    <m/>
    <m/>
    <m/>
    <m/>
    <m/>
    <m/>
    <m/>
    <m/>
    <m/>
    <m/>
    <n v="-1098.336"/>
    <n v="349.04675999999995"/>
    <m/>
    <m/>
    <m/>
    <m/>
    <n v="455.04600000000011"/>
    <n v="-55.928919999999998"/>
    <n v="30"/>
    <n v="-35.129180679880619"/>
    <n v="0"/>
    <n v="0"/>
    <n v="0"/>
    <n v="0"/>
    <n v="0"/>
    <n v="0"/>
    <n v="0"/>
    <n v="-10.727806192028311"/>
    <n v="0"/>
    <n v="0"/>
    <n v="-62.260444596788489"/>
    <n v="0"/>
    <n v="0"/>
    <n v="0"/>
    <n v="-4.5510396876691992"/>
    <n v="0"/>
    <n v="8.8372958812620084"/>
    <m/>
    <n v="0"/>
    <n v="0"/>
    <n v="0"/>
    <n v="0"/>
    <n v="1.1895295843355456"/>
    <n v="0.26920009206081197"/>
    <n v="0"/>
    <n v="32.11408423894715"/>
    <m/>
    <m/>
    <m/>
    <n v="-850.12363724248883"/>
    <n v="0"/>
    <n v="0"/>
    <n v="455.04600000000005"/>
    <n v="-55.928920000000005"/>
    <n v="0"/>
    <n v="0"/>
    <n v="434.24512842047795"/>
    <n v="0"/>
    <n v="0"/>
    <n v="0"/>
    <n v="0"/>
    <n v="0"/>
    <n v="0"/>
    <n v="0"/>
    <n v="0"/>
    <n v="0"/>
    <n v="0"/>
    <n v="0"/>
    <n v="0"/>
    <n v="-59.7651506312087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90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48.057000000000002"/>
    <n v="48.057000000000002"/>
    <n v="48.057000000000002"/>
    <n v="48.057000000000002"/>
    <m/>
    <n v="648.44000000000005"/>
    <n v="159.41"/>
    <m/>
    <n v="38822.847450000001"/>
    <n v="38822.847450000001"/>
    <n v="29402.23374"/>
    <n v="0"/>
    <n v="2978.1043345262324"/>
    <n v="0"/>
    <n v="0"/>
    <n v="0"/>
    <n v="5605.5811904660477"/>
    <n v="20066.007679254562"/>
    <n v="7411.8655530818787"/>
    <n v="249.01922702188642"/>
    <n v="0"/>
    <n v="0"/>
    <n v="0"/>
    <n v="0"/>
    <n v="460.19649199061462"/>
    <m/>
    <n v="99.722871194468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1.78370408687465"/>
    <n v="0"/>
    <n v="170.79"/>
    <n v="771.44"/>
    <n v="4273"/>
    <n v="309"/>
    <m/>
    <m/>
    <m/>
    <m/>
    <m/>
    <n v="3528.3449400000009"/>
    <m/>
    <m/>
    <m/>
    <n v="7953.6492571687531"/>
    <m/>
    <m/>
    <m/>
    <m/>
    <m/>
    <m/>
    <m/>
    <m/>
    <m/>
    <m/>
    <m/>
    <m/>
    <n v="25875.504000000001"/>
    <n v="-8288.7278700000024"/>
    <m/>
    <m/>
    <m/>
    <m/>
    <n v="-10740.739500000003"/>
    <n v="1320.1257900000001"/>
    <n v="30"/>
    <n v="829.17634377849754"/>
    <n v="0"/>
    <n v="0"/>
    <n v="0"/>
    <n v="0"/>
    <n v="0"/>
    <n v="0"/>
    <n v="0"/>
    <n v="253.21521717598444"/>
    <n v="0"/>
    <n v="0"/>
    <n v="1469.5727829017023"/>
    <n v="0"/>
    <n v="0"/>
    <n v="0"/>
    <n v="107.42107773591295"/>
    <n v="0"/>
    <n v="-208.59230263546578"/>
    <m/>
    <n v="0"/>
    <n v="0"/>
    <n v="0"/>
    <n v="0"/>
    <n v="-28.077221627904464"/>
    <n v="-6.3541006012605408"/>
    <n v="0"/>
    <n v="-758.00910917047315"/>
    <m/>
    <m/>
    <m/>
    <n v="20066.007679254562"/>
    <n v="0"/>
    <n v="0"/>
    <n v="-10740.739500000003"/>
    <n v="1320.1257899999991"/>
    <n v="0"/>
    <n v="0"/>
    <n v="-10249.763328341312"/>
    <n v="0"/>
    <n v="0"/>
    <n v="0"/>
    <n v="0"/>
    <n v="0"/>
    <n v="0"/>
    <n v="0"/>
    <n v="0"/>
    <n v="0"/>
    <n v="0"/>
    <n v="0"/>
    <n v="0"/>
    <n v="1410.674775974460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91"/>
    <s v="Regular"/>
    <s v="Verde"/>
    <s v="A4"/>
    <s v="Rural"/>
    <s v="Não se aplica"/>
    <s v="Não se aplica"/>
    <s v="Não se aplica"/>
    <s v="Ponta"/>
    <s v="CATIVO"/>
    <x v="4"/>
    <n v="0"/>
    <n v="0"/>
    <n v="32.825000000000003"/>
    <n v="31.512"/>
    <n v="32.825000000000003"/>
    <n v="31.512"/>
    <m/>
    <n v="2810.7"/>
    <n v="159.41"/>
    <m/>
    <n v="97493.860750000007"/>
    <n v="97493.860750000007"/>
    <n v="62094.724250000007"/>
    <n v="0"/>
    <n v="1769.7309249290729"/>
    <n v="0"/>
    <n v="0"/>
    <n v="0"/>
    <n v="20040.174352917871"/>
    <n v="69092.978276784779"/>
    <n v="5062.6232761078027"/>
    <n v="170.09085309098407"/>
    <n v="0"/>
    <n v="0"/>
    <n v="0"/>
    <n v="0"/>
    <n v="314.33401688811045"/>
    <m/>
    <n v="35.2452983235924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.35762583219994"/>
    <n v="0"/>
    <n v="0"/>
    <n v="0"/>
    <n v="0"/>
    <n v="0"/>
    <m/>
    <m/>
    <m/>
    <m/>
    <m/>
    <n v="2483.7889700000042"/>
    <m/>
    <m/>
    <m/>
    <n v="5232.9809019400027"/>
    <m/>
    <m/>
    <m/>
    <m/>
    <m/>
    <m/>
    <m/>
    <m/>
    <m/>
    <m/>
    <m/>
    <m/>
    <n v="59607.151899999997"/>
    <n v="-33986.984419999979"/>
    <m/>
    <m/>
    <m/>
    <m/>
    <n v="-36300.839249999997"/>
    <n v="901.70275000000004"/>
    <n v="30"/>
    <n v="-106.10999635894404"/>
    <n v="0"/>
    <n v="0"/>
    <n v="0"/>
    <n v="0"/>
    <n v="0"/>
    <n v="0"/>
    <n v="0"/>
    <n v="905.25441138009046"/>
    <n v="0"/>
    <n v="0"/>
    <n v="1003.7814802994017"/>
    <n v="0"/>
    <n v="0"/>
    <n v="0"/>
    <n v="33.777316721382761"/>
    <n v="0"/>
    <n v="-123.95544521272677"/>
    <m/>
    <n v="0"/>
    <n v="0"/>
    <n v="0"/>
    <n v="0"/>
    <n v="-19.177951181637695"/>
    <n v="-2.2457453198755601"/>
    <n v="0"/>
    <n v="-1903.5440630455766"/>
    <m/>
    <m/>
    <m/>
    <n v="69092.978276784779"/>
    <n v="0"/>
    <n v="0"/>
    <n v="-36300.839250000005"/>
    <n v="901.70274999999947"/>
    <n v="0"/>
    <n v="0"/>
    <n v="-35292.853780746496"/>
    <n v="0"/>
    <n v="0"/>
    <n v="0"/>
    <n v="0"/>
    <n v="0"/>
    <n v="0"/>
    <n v="0"/>
    <n v="0"/>
    <n v="0"/>
    <n v="0"/>
    <n v="0"/>
    <n v="0"/>
    <n v="838.2898970719068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92"/>
    <s v="Sistema de Compensação"/>
    <s v="Verde"/>
    <s v="A4"/>
    <s v="Rural"/>
    <s v="Não se aplica"/>
    <s v="Não se aplica"/>
    <s v="Não se aplica"/>
    <s v="Ponta"/>
    <s v="CATIVO"/>
    <x v="4"/>
    <n v="0"/>
    <n v="0"/>
    <n v="2.1840000000000002"/>
    <n v="2.0966399999999998"/>
    <n v="2.1840000000000002"/>
    <n v="2.0966399999999998"/>
    <m/>
    <n v="2810.7"/>
    <n v="159.41"/>
    <m/>
    <n v="6486.7202399999996"/>
    <n v="6486.7202399999996"/>
    <n v="4131.4509600000001"/>
    <n v="0"/>
    <n v="117.74843381706307"/>
    <n v="0"/>
    <n v="0"/>
    <n v="0"/>
    <n v="1333.3660559565158"/>
    <n v="4597.0773665345914"/>
    <n v="336.83988530143006"/>
    <n v="11.316935968033793"/>
    <n v="0"/>
    <n v="0"/>
    <n v="0"/>
    <n v="0"/>
    <n v="20.914104886020816"/>
    <m/>
    <n v="2.3450337102429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33468559992459"/>
    <n v="0"/>
    <n v="0"/>
    <n v="0"/>
    <n v="0"/>
    <n v="0"/>
    <m/>
    <m/>
    <m/>
    <m/>
    <m/>
    <n v="165.2580384000006"/>
    <m/>
    <m/>
    <m/>
    <n v="348.17457090135463"/>
    <m/>
    <m/>
    <m/>
    <m/>
    <m/>
    <m/>
    <m/>
    <m/>
    <m/>
    <m/>
    <m/>
    <m/>
    <n v="3972.549"/>
    <n v="-2254.7324303999994"/>
    <m/>
    <m/>
    <m/>
    <m/>
    <n v="-2415.2637599999998"/>
    <n v="59.994480000000003"/>
    <n v="30"/>
    <n v="-7.0599918369512125"/>
    <n v="0"/>
    <n v="0"/>
    <n v="0"/>
    <n v="0"/>
    <n v="0"/>
    <n v="0"/>
    <n v="0"/>
    <n v="60.230788559150596"/>
    <n v="0"/>
    <n v="0"/>
    <n v="66.786252946653235"/>
    <n v="0"/>
    <n v="0"/>
    <n v="0"/>
    <n v="2.2473620630464577"/>
    <n v="0"/>
    <n v="-8.247332592371535"/>
    <m/>
    <n v="0"/>
    <n v="0"/>
    <n v="0"/>
    <n v="0"/>
    <n v="-1.2759983360455962"/>
    <n v="-0.14941988662934413"/>
    <n v="0"/>
    <n v="-126.65164459075518"/>
    <m/>
    <m/>
    <m/>
    <n v="4597.0773665345914"/>
    <n v="0"/>
    <n v="0"/>
    <n v="-2415.2637599999998"/>
    <n v="59.99448000000001"/>
    <n v="0"/>
    <n v="0"/>
    <n v="-2348.1977961051139"/>
    <n v="0"/>
    <n v="0"/>
    <n v="0"/>
    <n v="0"/>
    <n v="0"/>
    <n v="0"/>
    <n v="0"/>
    <n v="0"/>
    <n v="0"/>
    <n v="0"/>
    <n v="0"/>
    <n v="0"/>
    <n v="55.77532780518033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93"/>
    <s v="Regular"/>
    <s v="Verde"/>
    <s v="A4"/>
    <s v="Rural"/>
    <s v="Não se aplica"/>
    <s v="Não se aplica"/>
    <s v="Não se aplica"/>
    <s v="Fora ponta"/>
    <s v="CATIVO"/>
    <x v="4"/>
    <n v="0"/>
    <n v="0"/>
    <n v="725.73"/>
    <n v="696.70079999999996"/>
    <n v="725.73"/>
    <n v="696.70079999999996"/>
    <m/>
    <n v="95.29"/>
    <n v="159.41"/>
    <m/>
    <n v="184843.43100000001"/>
    <n v="184843.43100000001"/>
    <n v="200961.89430000001"/>
    <n v="0"/>
    <n v="39127.09289105182"/>
    <n v="0"/>
    <n v="0"/>
    <n v="0"/>
    <n v="0"/>
    <n v="0"/>
    <n v="111929.85804020459"/>
    <n v="3760.549423114086"/>
    <n v="0"/>
    <n v="0"/>
    <n v="0"/>
    <n v="0"/>
    <n v="6949.630649694087"/>
    <m/>
    <n v="779.240528633077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6.4475185134033"/>
    <n v="0"/>
    <n v="0"/>
    <n v="0"/>
    <n v="0"/>
    <n v="0"/>
    <m/>
    <m/>
    <m/>
    <m/>
    <m/>
    <n v="8038.4757720000161"/>
    <m/>
    <m/>
    <m/>
    <n v="115696.305558718"/>
    <m/>
    <m/>
    <m/>
    <m/>
    <m/>
    <m/>
    <m/>
    <m/>
    <m/>
    <m/>
    <m/>
    <m/>
    <n v="192923.19700000001"/>
    <n v="15473.473240000021"/>
    <m/>
    <m/>
    <m/>
    <m/>
    <n v="-3817.3398000000038"/>
    <n v="19935.803100000001"/>
    <n v="30"/>
    <n v="16116.169419570913"/>
    <n v="0"/>
    <n v="0"/>
    <n v="0"/>
    <n v="0"/>
    <n v="0"/>
    <n v="0"/>
    <n v="0"/>
    <n v="0"/>
    <n v="0"/>
    <n v="0"/>
    <n v="22192.668200995715"/>
    <n v="0"/>
    <n v="0"/>
    <n v="0"/>
    <n v="746.78483059281371"/>
    <n v="0"/>
    <n v="-2740.5387739293874"/>
    <m/>
    <n v="0"/>
    <n v="0"/>
    <n v="0"/>
    <n v="0"/>
    <n v="-424.00653499009695"/>
    <n v="-49.651325239704192"/>
    <n v="0"/>
    <n v="-3609.086977858442"/>
    <m/>
    <m/>
    <m/>
    <n v="0"/>
    <n v="0"/>
    <n v="0"/>
    <n v="-3817.3398000000016"/>
    <n v="19935.803100000005"/>
    <n v="0"/>
    <n v="0"/>
    <n v="0"/>
    <n v="0"/>
    <n v="0"/>
    <n v="0"/>
    <n v="0"/>
    <n v="0"/>
    <n v="0"/>
    <n v="0"/>
    <n v="0"/>
    <n v="0"/>
    <n v="0"/>
    <n v="0"/>
    <n v="0"/>
    <n v="18533.8043260318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94"/>
    <s v="Sistema de Compensação"/>
    <s v="Verde"/>
    <s v="A4"/>
    <s v="Rural"/>
    <s v="Não se aplica"/>
    <s v="Não se aplica"/>
    <s v="Não se aplica"/>
    <s v="Fora ponta"/>
    <s v="CATIVO"/>
    <x v="4"/>
    <n v="0"/>
    <n v="0"/>
    <n v="32.582999999999998"/>
    <n v="31.279679999999999"/>
    <n v="32.582999999999998"/>
    <n v="31.279679999999999"/>
    <m/>
    <n v="95.29"/>
    <n v="159.41"/>
    <m/>
    <n v="8298.8901000000005"/>
    <n v="8298.8901000000005"/>
    <n v="9022.5585300000002"/>
    <n v="0"/>
    <n v="1756.6837083614312"/>
    <n v="0"/>
    <n v="0"/>
    <n v="0"/>
    <n v="0"/>
    <n v="0"/>
    <n v="5025.2994426632304"/>
    <n v="168.83687025936126"/>
    <n v="0"/>
    <n v="0"/>
    <n v="0"/>
    <n v="0"/>
    <n v="312.01661149323081"/>
    <m/>
    <n v="34.985454844710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.10167623733648"/>
    <n v="0"/>
    <n v="0"/>
    <n v="0"/>
    <n v="0"/>
    <n v="0"/>
    <m/>
    <m/>
    <m/>
    <m/>
    <m/>
    <n v="360.9023411999998"/>
    <m/>
    <m/>
    <m/>
    <n v="5194.4011189005669"/>
    <m/>
    <m/>
    <m/>
    <m/>
    <m/>
    <m/>
    <m/>
    <m/>
    <m/>
    <m/>
    <m/>
    <m/>
    <n v="8661.7448000000004"/>
    <n v="694.78030399999989"/>
    <m/>
    <m/>
    <m/>
    <m/>
    <n v="-171.38658000000015"/>
    <n v="895.05500999999992"/>
    <n v="30"/>
    <n v="723.5654419658531"/>
    <n v="0"/>
    <n v="0"/>
    <n v="0"/>
    <n v="0"/>
    <n v="0"/>
    <n v="0"/>
    <n v="0"/>
    <n v="0"/>
    <n v="0"/>
    <n v="0"/>
    <n v="996.38117205164963"/>
    <n v="0"/>
    <n v="0"/>
    <n v="0"/>
    <n v="33.528295833444474"/>
    <n v="0"/>
    <n v="-123.04159242547689"/>
    <m/>
    <n v="0"/>
    <n v="0"/>
    <n v="0"/>
    <n v="0"/>
    <n v="-19.036563087625268"/>
    <n v="-2.2291887207160812"/>
    <n v="0"/>
    <n v="-162.03668168542237"/>
    <m/>
    <m/>
    <m/>
    <n v="0"/>
    <n v="0"/>
    <n v="0"/>
    <n v="-171.38657999999987"/>
    <n v="895.05501000000004"/>
    <n v="0"/>
    <n v="0"/>
    <n v="0"/>
    <n v="0"/>
    <n v="0"/>
    <n v="0"/>
    <n v="0"/>
    <n v="0"/>
    <n v="0"/>
    <n v="0"/>
    <n v="0"/>
    <n v="0"/>
    <n v="0"/>
    <n v="0"/>
    <n v="0"/>
    <n v="832.1096638627245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95"/>
    <s v="Regular"/>
    <s v="Verde"/>
    <s v="A4"/>
    <s v="Rural"/>
    <s v="Não se aplica"/>
    <s v="Não se aplica"/>
    <s v="Não se aplica"/>
    <s v="Não se aplica"/>
    <s v="CATIVO"/>
    <x v="4"/>
    <n v="3349"/>
    <n v="3215.04"/>
    <n v="0"/>
    <n v="0"/>
    <n v="0"/>
    <n v="0"/>
    <n v="43.29"/>
    <m/>
    <m/>
    <n v="144978.21"/>
    <m/>
    <n v="144978.21"/>
    <n v="112158.01000000001"/>
    <n v="0"/>
    <n v="0"/>
    <n v="0"/>
    <n v="0"/>
    <n v="0"/>
    <n v="79250.692993608871"/>
    <n v="65738.14761254048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40.88"/>
    <n v="10035.69"/>
    <n v="159.77000000000001"/>
    <n v="23"/>
    <m/>
    <m/>
    <m/>
    <m/>
    <m/>
    <n v="4486.3204000000014"/>
    <m/>
    <m/>
    <m/>
    <n v="0"/>
    <m/>
    <m/>
    <m/>
    <m/>
    <m/>
    <m/>
    <m/>
    <m/>
    <m/>
    <m/>
    <m/>
    <m/>
    <n v="107671.68960000001"/>
    <n v="-31507.42200000002"/>
    <m/>
    <m/>
    <m/>
    <m/>
    <n v="-32820.19999999999"/>
    <n v="0"/>
    <n v="30"/>
    <n v="749.0378263238963"/>
    <n v="0"/>
    <n v="0"/>
    <n v="0"/>
    <n v="0"/>
    <m/>
    <m/>
    <m/>
    <n v="3579.9109415904823"/>
    <n v="0"/>
    <n v="0"/>
    <m/>
    <m/>
    <n v="0"/>
    <n v="0"/>
    <n v="0"/>
    <n v="0"/>
    <n v="0"/>
    <m/>
    <n v="0"/>
    <n v="0"/>
    <m/>
    <n v="0"/>
    <n v="0"/>
    <n v="0"/>
    <n v="0"/>
    <n v="-2830.8731152665891"/>
    <m/>
    <m/>
    <n v="65738.147612540488"/>
    <m/>
    <n v="0"/>
    <n v="0"/>
    <n v="-32820.199999999983"/>
    <m/>
    <n v="0"/>
    <m/>
    <n v="-33579.198485442706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96"/>
    <s v="Sistema de Compensação"/>
    <s v="Verde"/>
    <s v="A4"/>
    <s v="Rural"/>
    <s v="Não se aplica"/>
    <s v="Não se aplica"/>
    <s v="Não se aplica"/>
    <s v="Não se aplica"/>
    <s v="CATIVO"/>
    <x v="4"/>
    <n v="364"/>
    <n v="349.44"/>
    <n v="0"/>
    <n v="0"/>
    <n v="0"/>
    <n v="0"/>
    <n v="43.29"/>
    <m/>
    <m/>
    <n v="15757.56"/>
    <m/>
    <n v="15757.56"/>
    <n v="12190.36"/>
    <n v="0"/>
    <n v="0"/>
    <n v="0"/>
    <n v="0"/>
    <n v="0"/>
    <n v="8613.6913256714324"/>
    <n v="7145.02410599126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7.94999999999999"/>
    <n v="662.61"/>
    <n v="19.86"/>
    <n v="3"/>
    <m/>
    <m/>
    <m/>
    <m/>
    <m/>
    <n v="487.6144000000001"/>
    <m/>
    <m/>
    <m/>
    <n v="0"/>
    <m/>
    <m/>
    <m/>
    <m/>
    <m/>
    <m/>
    <m/>
    <m/>
    <m/>
    <m/>
    <m/>
    <m/>
    <n v="11702.7456"/>
    <n v="-3424.5419999999995"/>
    <m/>
    <m/>
    <m/>
    <m/>
    <n v="-3567.1999999999989"/>
    <n v="0"/>
    <n v="30"/>
    <n v="81.412292858136425"/>
    <n v="0"/>
    <n v="0"/>
    <n v="0"/>
    <n v="0"/>
    <m/>
    <m/>
    <m/>
    <n v="389.09751649415921"/>
    <n v="0"/>
    <n v="0"/>
    <m/>
    <m/>
    <n v="0"/>
    <n v="0"/>
    <n v="0"/>
    <n v="0"/>
    <n v="0"/>
    <m/>
    <n v="0"/>
    <n v="0"/>
    <m/>
    <n v="0"/>
    <n v="0"/>
    <n v="0"/>
    <n v="0"/>
    <n v="-307.68522363602222"/>
    <m/>
    <m/>
    <n v="7145.0241059912623"/>
    <m/>
    <n v="0"/>
    <n v="0"/>
    <n v="-3567.1999999999989"/>
    <m/>
    <n v="0"/>
    <m/>
    <n v="-3649.694908540204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297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262.00700000000001"/>
    <n v="262.00700000000001"/>
    <n v="262.00700000000001"/>
    <n v="262.00700000000001"/>
    <m/>
    <n v="648.44000000000005"/>
    <n v="159.41"/>
    <m/>
    <n v="211662.35495000001"/>
    <n v="211662.35495000001"/>
    <n v="160301.12274000002"/>
    <n v="0"/>
    <n v="16236.639456816167"/>
    <n v="0"/>
    <n v="0"/>
    <n v="0"/>
    <n v="30561.656178505476"/>
    <n v="109399.9724081497"/>
    <n v="40409.527393851546"/>
    <n v="1357.654048615673"/>
    <n v="0"/>
    <n v="0"/>
    <n v="0"/>
    <n v="0"/>
    <n v="2508.9935342818935"/>
    <m/>
    <n v="543.689583474813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3.8074152920444"/>
    <n v="0"/>
    <n v="1315.1"/>
    <n v="5897.2"/>
    <n v="81559.62"/>
    <n v="358"/>
    <m/>
    <m/>
    <m/>
    <m/>
    <m/>
    <m/>
    <m/>
    <m/>
    <m/>
    <n v="43363.334809143591"/>
    <m/>
    <m/>
    <m/>
    <m/>
    <m/>
    <m/>
    <m/>
    <m/>
    <m/>
    <m/>
    <m/>
    <m/>
    <n v="160302.95819999999"/>
    <n v="-51359.426750000042"/>
    <m/>
    <m/>
    <m/>
    <m/>
    <n v="-58558.564500000015"/>
    <n v="7197.3322900000003"/>
    <n v="30"/>
    <n v="4520.6734982286289"/>
    <n v="0"/>
    <n v="0"/>
    <n v="0"/>
    <n v="0"/>
    <n v="0"/>
    <n v="0"/>
    <n v="0"/>
    <n v="1380.5306075416302"/>
    <n v="0"/>
    <n v="0"/>
    <n v="8012.1180292096105"/>
    <n v="0"/>
    <n v="0"/>
    <n v="0"/>
    <n v="585.6602433433909"/>
    <n v="0"/>
    <n v="-1137.2462583309498"/>
    <m/>
    <n v="0"/>
    <n v="0"/>
    <n v="0"/>
    <n v="0"/>
    <n v="-153.07715019793886"/>
    <n v="-34.64258768201239"/>
    <n v="0"/>
    <n v="-4132.669385655121"/>
    <m/>
    <m/>
    <m/>
    <n v="109399.9724081497"/>
    <n v="0"/>
    <n v="0"/>
    <n v="-58558.564500000008"/>
    <n v="7197.3322899999985"/>
    <n v="0"/>
    <n v="0"/>
    <n v="-55881.760001013841"/>
    <n v="0"/>
    <n v="0"/>
    <n v="0"/>
    <n v="0"/>
    <n v="0"/>
    <n v="0"/>
    <n v="0"/>
    <n v="0"/>
    <n v="0"/>
    <n v="0"/>
    <n v="0"/>
    <n v="0"/>
    <n v="7691.005806203890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98"/>
    <s v="Regular"/>
    <s v="Azul"/>
    <s v="A4"/>
    <s v="Poder público"/>
    <s v="Não se aplica"/>
    <s v="Não se aplica"/>
    <s v="Não se aplica"/>
    <s v="Ponta"/>
    <s v="CATIVO"/>
    <x v="4"/>
    <n v="200"/>
    <n v="200"/>
    <n v="2.1749999999999998"/>
    <n v="2.1749999999999998"/>
    <n v="2.1749999999999998"/>
    <n v="2.1749999999999998"/>
    <n v="112.91"/>
    <n v="95.29"/>
    <n v="159.41"/>
    <n v="22582"/>
    <n v="553.97249999999997"/>
    <n v="23135.9725"/>
    <n v="14030.27925"/>
    <n v="0"/>
    <n v="117.2632067546301"/>
    <n v="0"/>
    <n v="0"/>
    <n v="0"/>
    <n v="5077.0827132346003"/>
    <n v="17504.269107723037"/>
    <n v="335.451808851012"/>
    <n v="11.270300242890794"/>
    <n v="0"/>
    <n v="0"/>
    <n v="0"/>
    <n v="0"/>
    <n v="20.827920387864133"/>
    <m/>
    <n v="2.33537010978868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28797673069413"/>
    <n v="0"/>
    <n v="0"/>
    <n v="0"/>
    <n v="0"/>
    <n v="0"/>
    <m/>
    <m/>
    <m/>
    <m/>
    <m/>
    <m/>
    <m/>
    <m/>
    <m/>
    <n v="346.73978558170614"/>
    <m/>
    <m/>
    <m/>
    <m/>
    <m/>
    <m/>
    <m/>
    <m/>
    <m/>
    <m/>
    <m/>
    <m/>
    <n v="14031.6638"/>
    <n v="-9104.3386999999948"/>
    <m/>
    <m/>
    <m/>
    <m/>
    <n v="-9165.4405000000006"/>
    <n v="59.747249999999994"/>
    <n v="30"/>
    <n v="-163.25383100948875"/>
    <n v="0"/>
    <n v="0"/>
    <n v="0"/>
    <n v="0"/>
    <n v="0"/>
    <n v="0"/>
    <n v="0"/>
    <n v="229.34189304735992"/>
    <n v="0"/>
    <n v="0"/>
    <n v="66.511034871323659"/>
    <n v="0"/>
    <n v="0"/>
    <n v="0"/>
    <n v="2.2381009556437927"/>
    <n v="0"/>
    <n v="-8.2133463316886832"/>
    <m/>
    <n v="0"/>
    <n v="0"/>
    <n v="0"/>
    <n v="0"/>
    <n v="-1.2707401011443089"/>
    <n v="-0.14880414533828912"/>
    <n v="0"/>
    <n v="-451.7119693056444"/>
    <m/>
    <m/>
    <n v="17504.269107723037"/>
    <n v="0"/>
    <n v="0"/>
    <n v="0"/>
    <n v="-9165.4405000000006"/>
    <n v="59.747249999999951"/>
    <n v="0"/>
    <n v="0"/>
    <n v="-8941.2213160491574"/>
    <n v="0"/>
    <n v="0"/>
    <n v="0"/>
    <n v="0"/>
    <n v="0"/>
    <n v="0"/>
    <n v="0"/>
    <n v="0"/>
    <n v="0"/>
    <n v="0"/>
    <n v="0"/>
    <n v="0"/>
    <n v="55.54548442136776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299"/>
    <s v="Regular"/>
    <s v="Azul"/>
    <s v="A4"/>
    <s v="Poder público"/>
    <s v="Não se aplica"/>
    <s v="Não se aplica"/>
    <s v="Não se aplica"/>
    <s v="Fora ponta"/>
    <s v="CATIVO"/>
    <x v="4"/>
    <n v="230"/>
    <n v="230"/>
    <n v="21.748999999999999"/>
    <n v="21.748999999999999"/>
    <n v="21.748999999999999"/>
    <n v="21.748999999999999"/>
    <n v="43.29"/>
    <n v="95.29"/>
    <n v="159.41"/>
    <n v="9956.6999999999989"/>
    <n v="5539.4703"/>
    <n v="15496.170299999998"/>
    <n v="13725.215590000002"/>
    <n v="0"/>
    <n v="1172.578153428253"/>
    <n v="0"/>
    <n v="0"/>
    <n v="0"/>
    <n v="5442.71704644074"/>
    <n v="4514.7130340054682"/>
    <n v="3354.3638577934071"/>
    <n v="112.69782068166984"/>
    <n v="0"/>
    <n v="0"/>
    <n v="0"/>
    <n v="0"/>
    <n v="208.26962782329059"/>
    <m/>
    <n v="23.3526273645030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87457743258237"/>
    <n v="0"/>
    <n v="0"/>
    <n v="0"/>
    <n v="0"/>
    <n v="0"/>
    <m/>
    <m/>
    <m/>
    <m/>
    <m/>
    <m/>
    <m/>
    <m/>
    <m/>
    <n v="3467.2384352259896"/>
    <m/>
    <m/>
    <m/>
    <m/>
    <m/>
    <m/>
    <m/>
    <m/>
    <m/>
    <m/>
    <m/>
    <m/>
    <n v="13725.4925"/>
    <n v="-1770.7077999999983"/>
    <m/>
    <m/>
    <m/>
    <m/>
    <n v="-2368.3997399999998"/>
    <n v="597.44502999999997"/>
    <n v="30"/>
    <n v="534.41837936859702"/>
    <n v="0"/>
    <n v="0"/>
    <n v="0"/>
    <n v="0"/>
    <n v="0"/>
    <n v="0"/>
    <n v="0"/>
    <n v="245.85832086169376"/>
    <n v="0"/>
    <n v="0"/>
    <n v="665.07976892708894"/>
    <n v="0"/>
    <n v="0"/>
    <n v="0"/>
    <n v="22.379980544504278"/>
    <n v="0"/>
    <n v="-82.129687065699954"/>
    <m/>
    <n v="0"/>
    <n v="0"/>
    <n v="0"/>
    <n v="0"/>
    <n v="-12.706816763120742"/>
    <n v="-1.4879730376838864"/>
    <n v="0"/>
    <n v="-302.57521409818253"/>
    <m/>
    <m/>
    <n v="4514.7130340054682"/>
    <n v="0"/>
    <n v="0"/>
    <n v="0"/>
    <n v="-2368.3997399999971"/>
    <n v="597.44502999999986"/>
    <n v="0"/>
    <n v="0"/>
    <n v="-2306.1259037479317"/>
    <n v="0"/>
    <n v="0"/>
    <n v="0"/>
    <n v="0"/>
    <n v="0"/>
    <n v="0"/>
    <n v="0"/>
    <n v="0"/>
    <n v="0"/>
    <n v="0"/>
    <n v="0"/>
    <n v="0"/>
    <n v="555.4293060599206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00"/>
    <s v="Regular"/>
    <s v="Azul"/>
    <s v="A4"/>
    <s v="Poder público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82.24"/>
    <n v="816.13"/>
    <n v="7466.7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01"/>
    <s v="Regular"/>
    <s v="Verde"/>
    <s v="A4"/>
    <s v="Poder público"/>
    <s v="Não se aplica"/>
    <s v="Não se aplica"/>
    <s v="Não se aplica"/>
    <s v="Ponta"/>
    <s v="CATIVO"/>
    <x v="4"/>
    <n v="0"/>
    <n v="0"/>
    <n v="0.55900000000000005"/>
    <n v="0.55900000000000005"/>
    <n v="0.55900000000000005"/>
    <n v="0.55900000000000005"/>
    <m/>
    <n v="2810.7"/>
    <n v="159.41"/>
    <m/>
    <n v="1660.2914900000001"/>
    <n v="1660.2914900000001"/>
    <n v="1057.4547100000002"/>
    <n v="0"/>
    <n v="30.137991988891145"/>
    <n v="0"/>
    <n v="0"/>
    <n v="0"/>
    <n v="341.27821670315581"/>
    <n v="1176.6328973868299"/>
    <n v="86.214970642627932"/>
    <n v="2.8965967061038875"/>
    <n v="0"/>
    <n v="0"/>
    <n v="0"/>
    <n v="0"/>
    <n v="5.3530149410648518"/>
    <m/>
    <n v="0.60021696155028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011397666473653"/>
    <n v="0"/>
    <n v="0"/>
    <n v="0"/>
    <n v="0"/>
    <n v="0"/>
    <m/>
    <m/>
    <m/>
    <m/>
    <m/>
    <m/>
    <m/>
    <m/>
    <m/>
    <n v="89.116110409275294"/>
    <m/>
    <m/>
    <m/>
    <m/>
    <m/>
    <m/>
    <m/>
    <m/>
    <m/>
    <m/>
    <m/>
    <m/>
    <n v="1059.3464000000001"/>
    <n v="-600.97508999999991"/>
    <m/>
    <m/>
    <m/>
    <m/>
    <n v="-618.19250999999997"/>
    <n v="15.355730000000001"/>
    <n v="30"/>
    <n v="-1.8070217201721448"/>
    <n v="0"/>
    <n v="0"/>
    <n v="0"/>
    <n v="0"/>
    <n v="0"/>
    <n v="0"/>
    <n v="0"/>
    <n v="15.416213738354031"/>
    <n v="0"/>
    <n v="0"/>
    <n v="17.094100456583874"/>
    <n v="0"/>
    <n v="0"/>
    <n v="0"/>
    <n v="0.5752176708987955"/>
    <n v="0"/>
    <n v="-2.1109244135236658"/>
    <m/>
    <n v="0"/>
    <n v="0"/>
    <n v="0"/>
    <n v="0"/>
    <n v="-0.32659481220214737"/>
    <n v="-3.8244375744415526E-2"/>
    <n v="0"/>
    <n v="-32.416789984538532"/>
    <m/>
    <m/>
    <m/>
    <n v="1176.6328973868299"/>
    <n v="0"/>
    <n v="0"/>
    <n v="-618.19250999999986"/>
    <n v="15.355730000000008"/>
    <n v="0"/>
    <n v="0"/>
    <n v="-601.02681686023732"/>
    <n v="0"/>
    <n v="0"/>
    <n v="0"/>
    <n v="0"/>
    <n v="0"/>
    <n v="0"/>
    <n v="0"/>
    <n v="0"/>
    <n v="0"/>
    <n v="0"/>
    <n v="0"/>
    <n v="0"/>
    <n v="14.27582795013544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02"/>
    <s v="Regular"/>
    <s v="Verde"/>
    <s v="A4"/>
    <s v="Poder público"/>
    <s v="Não se aplica"/>
    <s v="Não se aplica"/>
    <s v="Não se aplica"/>
    <s v="Fora ponta"/>
    <s v="CATIVO"/>
    <x v="4"/>
    <n v="0"/>
    <n v="0"/>
    <n v="6.359"/>
    <n v="6.359"/>
    <n v="6.359"/>
    <n v="6.359"/>
    <m/>
    <n v="95.29"/>
    <n v="159.41"/>
    <m/>
    <n v="1619.6372999999999"/>
    <n v="1619.6372999999999"/>
    <n v="1760.8706899999997"/>
    <n v="0"/>
    <n v="342.83987666790478"/>
    <n v="0"/>
    <n v="0"/>
    <n v="0"/>
    <n v="0"/>
    <n v="0"/>
    <n v="980.75312757866004"/>
    <n v="32.950730687146006"/>
    <n v="0"/>
    <n v="0"/>
    <n v="0"/>
    <n v="0"/>
    <n v="60.89413597536921"/>
    <m/>
    <n v="6.82787058765344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002411048498381"/>
    <n v="0"/>
    <n v="0"/>
    <n v="0"/>
    <n v="0"/>
    <n v="0"/>
    <m/>
    <m/>
    <m/>
    <m/>
    <m/>
    <m/>
    <m/>
    <m/>
    <m/>
    <n v="1013.7555386271584"/>
    <m/>
    <m/>
    <m/>
    <m/>
    <m/>
    <m/>
    <m/>
    <m/>
    <m/>
    <m/>
    <m/>
    <m/>
    <n v="1761.1476000000002"/>
    <n v="141.4803000000004"/>
    <m/>
    <m/>
    <m/>
    <m/>
    <n v="-33.44834000000003"/>
    <n v="174.68172999999999"/>
    <n v="30"/>
    <n v="141.21329053374052"/>
    <n v="0"/>
    <n v="0"/>
    <n v="0"/>
    <n v="0"/>
    <n v="0"/>
    <n v="0"/>
    <n v="0"/>
    <n v="0"/>
    <n v="0"/>
    <n v="0"/>
    <n v="194.45686011344696"/>
    <n v="0"/>
    <n v="0"/>
    <n v="0"/>
    <n v="6.5434868859489086"/>
    <n v="0"/>
    <n v="-24.013181298026836"/>
    <m/>
    <n v="0"/>
    <n v="0"/>
    <n v="0"/>
    <n v="0"/>
    <n v="-3.715235081920305"/>
    <n v="-0.43505542997985369"/>
    <n v="0"/>
    <n v="-31.623584655728479"/>
    <m/>
    <m/>
    <m/>
    <n v="0"/>
    <n v="0"/>
    <n v="0"/>
    <n v="-33.44834000000003"/>
    <n v="174.6817299999999"/>
    <n v="0"/>
    <n v="0"/>
    <n v="0"/>
    <n v="0"/>
    <n v="0"/>
    <n v="0"/>
    <n v="0"/>
    <n v="0"/>
    <n v="0"/>
    <n v="0"/>
    <n v="0"/>
    <n v="0"/>
    <n v="0"/>
    <n v="0"/>
    <n v="0"/>
    <n v="162.3971197404494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03"/>
    <s v="Regular"/>
    <s v="Verde"/>
    <s v="A4"/>
    <s v="Poder público"/>
    <s v="Não se aplica"/>
    <s v="Não se aplica"/>
    <s v="Não se aplica"/>
    <s v="Não se aplica"/>
    <s v="CATIVO"/>
    <x v="4"/>
    <n v="60"/>
    <n v="60"/>
    <n v="0"/>
    <n v="0"/>
    <n v="0"/>
    <n v="0"/>
    <n v="43.29"/>
    <m/>
    <m/>
    <n v="2597.4"/>
    <m/>
    <n v="2597.4"/>
    <n v="2009.4"/>
    <n v="0"/>
    <n v="0"/>
    <n v="0"/>
    <n v="0"/>
    <n v="0"/>
    <n v="1419.8392295062802"/>
    <n v="1177.75122626229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2.159999999999997"/>
    <n v="144.01"/>
    <n v="0"/>
    <n v="1"/>
    <m/>
    <m/>
    <m/>
    <m/>
    <m/>
    <m/>
    <m/>
    <m/>
    <m/>
    <n v="0"/>
    <m/>
    <m/>
    <m/>
    <m/>
    <m/>
    <m/>
    <m/>
    <m/>
    <m/>
    <m/>
    <m/>
    <m/>
    <n v="2009.4"/>
    <n v="-588.03000000000065"/>
    <m/>
    <m/>
    <m/>
    <m/>
    <n v="-587.99999999999977"/>
    <n v="0"/>
    <n v="30"/>
    <n v="13.419608712879608"/>
    <n v="0"/>
    <n v="0"/>
    <n v="0"/>
    <n v="0"/>
    <m/>
    <m/>
    <m/>
    <n v="64.136953268267916"/>
    <n v="0"/>
    <n v="0"/>
    <m/>
    <m/>
    <n v="0"/>
    <n v="0"/>
    <n v="0"/>
    <n v="0"/>
    <n v="0"/>
    <m/>
    <n v="0"/>
    <n v="0"/>
    <m/>
    <n v="0"/>
    <n v="0"/>
    <n v="0"/>
    <n v="0"/>
    <n v="-50.71734455538828"/>
    <m/>
    <m/>
    <n v="1177.7512262622959"/>
    <m/>
    <n v="0"/>
    <n v="0"/>
    <n v="-588"/>
    <m/>
    <n v="0"/>
    <m/>
    <n v="-601.598061847286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04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518.08600000000001"/>
    <n v="518.08600000000001"/>
    <n v="518.08600000000001"/>
    <n v="518.08600000000001"/>
    <m/>
    <n v="356.64"/>
    <n v="87.68"/>
    <m/>
    <n v="230195.97152000002"/>
    <n v="230195.97152000002"/>
    <n v="174335.93900000001"/>
    <n v="0"/>
    <n v="17658.255597343716"/>
    <n v="0"/>
    <n v="0"/>
    <n v="0"/>
    <n v="33237.51430913464"/>
    <n v="118978.60270060229"/>
    <n v="43947.626304465208"/>
    <n v="1476.5248847821038"/>
    <n v="0"/>
    <n v="0"/>
    <n v="0"/>
    <n v="0"/>
    <n v="2728.6711168445222"/>
    <m/>
    <n v="591.292899996080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12.4311476695234"/>
    <n v="0"/>
    <n v="1471.49"/>
    <n v="6591.12"/>
    <n v="63991.26"/>
    <n v="62"/>
    <m/>
    <m/>
    <m/>
    <m/>
    <m/>
    <m/>
    <m/>
    <m/>
    <m/>
    <n v="47160.05745213473"/>
    <m/>
    <m/>
    <m/>
    <m/>
    <m/>
    <m/>
    <m/>
    <m/>
    <m/>
    <m/>
    <m/>
    <m/>
    <n v="174337.285"/>
    <n v="-55858.716520000045"/>
    <m/>
    <m/>
    <m/>
    <m/>
    <n v="-63683.131119999998"/>
    <n v="7823.0985999999975"/>
    <n v="30"/>
    <n v="4916.4858477132075"/>
    <n v="0"/>
    <n v="0"/>
    <n v="0"/>
    <n v="0"/>
    <n v="0"/>
    <n v="0"/>
    <n v="0"/>
    <n v="1501.4044250205334"/>
    <n v="0"/>
    <n v="0"/>
    <n v="8713.6274973744657"/>
    <n v="0"/>
    <n v="0"/>
    <n v="0"/>
    <n v="636.93834538024385"/>
    <n v="0"/>
    <n v="-1236.8190573019565"/>
    <m/>
    <n v="0"/>
    <n v="0"/>
    <n v="0"/>
    <n v="0"/>
    <n v="-166.47998198749337"/>
    <n v="-37.675756086683919"/>
    <n v="0"/>
    <n v="-4494.5096246859221"/>
    <m/>
    <m/>
    <m/>
    <n v="118978.60270060229"/>
    <n v="0"/>
    <n v="0"/>
    <n v="-63683.131120000005"/>
    <n v="7823.0985999999975"/>
    <n v="0"/>
    <n v="0"/>
    <n v="-60774.546601948656"/>
    <n v="0"/>
    <n v="0"/>
    <n v="0"/>
    <n v="0"/>
    <n v="0"/>
    <n v="0"/>
    <n v="0"/>
    <n v="0"/>
    <n v="0"/>
    <n v="0"/>
    <n v="0"/>
    <n v="0"/>
    <n v="8364.399954055101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05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47.77"/>
    <n v="44.903799999999997"/>
    <n v="47.77"/>
    <n v="44.903799999999997"/>
    <m/>
    <n v="648.44000000000005"/>
    <n v="159.41"/>
    <m/>
    <n v="38590.994500000001"/>
    <n v="38590.994500000001"/>
    <n v="29226.6414"/>
    <n v="0"/>
    <n v="2960.3188725954205"/>
    <n v="0"/>
    <n v="0"/>
    <n v="0"/>
    <n v="5572.1042401432278"/>
    <n v="19946.171979898671"/>
    <n v="7367.6013373852165"/>
    <n v="247.53206556454865"/>
    <n v="0"/>
    <n v="0"/>
    <n v="0"/>
    <n v="0"/>
    <n v="457.44816410495162"/>
    <m/>
    <n v="99.127318745651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8.54813126558054"/>
    <n v="0"/>
    <n v="237.14"/>
    <n v="1062.23"/>
    <n v="16008.99"/>
    <n v="13"/>
    <m/>
    <m/>
    <m/>
    <m/>
    <n v="1753.5984840000037"/>
    <m/>
    <m/>
    <m/>
    <m/>
    <n v="7906.1494686507967"/>
    <m/>
    <m/>
    <m/>
    <m/>
    <m/>
    <m/>
    <m/>
    <m/>
    <m/>
    <m/>
    <m/>
    <m/>
    <n v="27470.718000000001"/>
    <n v="-8804.846829999995"/>
    <m/>
    <m/>
    <m/>
    <m/>
    <n v="-10676.595000000003"/>
    <n v="1312.2419"/>
    <n v="30"/>
    <n v="824.22444060799899"/>
    <n v="0"/>
    <n v="0"/>
    <n v="0"/>
    <n v="0"/>
    <n v="0"/>
    <n v="0"/>
    <n v="0"/>
    <n v="251.70299695146969"/>
    <n v="0"/>
    <n v="0"/>
    <n v="1460.7963842773024"/>
    <n v="0"/>
    <n v="0"/>
    <n v="0"/>
    <n v="106.77955102159024"/>
    <n v="0"/>
    <n v="-207.34657379562213"/>
    <m/>
    <n v="0"/>
    <n v="0"/>
    <n v="0"/>
    <n v="0"/>
    <n v="-27.909542359385625"/>
    <n v="-6.3161534370063777"/>
    <n v="0"/>
    <n v="-753.48222205034654"/>
    <m/>
    <m/>
    <m/>
    <n v="19946.171979898671"/>
    <n v="0"/>
    <n v="0"/>
    <n v="-10676.595000000005"/>
    <n v="1312.2419000000009"/>
    <n v="0"/>
    <n v="0"/>
    <n v="-10188.550974777128"/>
    <n v="0"/>
    <n v="0"/>
    <n v="0"/>
    <n v="0"/>
    <n v="0"/>
    <n v="0"/>
    <n v="0"/>
    <n v="0"/>
    <n v="0"/>
    <n v="0"/>
    <n v="0"/>
    <n v="0"/>
    <n v="1402.250120654638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06"/>
    <s v="Regular"/>
    <s v="Azul"/>
    <s v="A4"/>
    <s v="Serviço público"/>
    <s v="Água, esgoto e saneamento"/>
    <s v="Não se aplica"/>
    <s v="Não se aplica"/>
    <s v="Ponta"/>
    <s v="CATIVO"/>
    <x v="4"/>
    <n v="708"/>
    <n v="665.52"/>
    <n v="32.155000000000001"/>
    <n v="30.2257"/>
    <n v="32.155000000000001"/>
    <n v="30.2257"/>
    <n v="112.91"/>
    <n v="95.29"/>
    <n v="159.41"/>
    <n v="79940.28"/>
    <n v="8189.8785000000007"/>
    <n v="88130.158500000005"/>
    <n v="56439.161050000002"/>
    <n v="0"/>
    <n v="1733.608465836842"/>
    <n v="0"/>
    <n v="0"/>
    <n v="0"/>
    <n v="17972.872804850485"/>
    <n v="61965.112641339554"/>
    <n v="4959.2886959100197"/>
    <n v="166.6190824414499"/>
    <n v="0"/>
    <n v="0"/>
    <n v="0"/>
    <n v="0"/>
    <n v="307.91805980311324"/>
    <m/>
    <n v="34.5258969564391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.88041001171024"/>
    <n v="0"/>
    <n v="0"/>
    <n v="0"/>
    <n v="0"/>
    <n v="0"/>
    <m/>
    <m/>
    <m/>
    <m/>
    <n v="3386.3496630000018"/>
    <m/>
    <m/>
    <m/>
    <m/>
    <n v="5126.1691059217301"/>
    <m/>
    <m/>
    <m/>
    <m/>
    <m/>
    <m/>
    <m/>
    <m/>
    <m/>
    <m/>
    <m/>
    <m/>
    <n v="53054.002099999998"/>
    <n v="-29788.376889999985"/>
    <m/>
    <m/>
    <m/>
    <m/>
    <n v="-32574.295299999998"/>
    <n v="883.29785000000004"/>
    <n v="30"/>
    <n v="-34.839205483625847"/>
    <n v="0"/>
    <n v="0"/>
    <n v="0"/>
    <n v="0"/>
    <n v="0"/>
    <n v="0"/>
    <n v="0"/>
    <n v="811.87030138765112"/>
    <n v="0"/>
    <n v="0"/>
    <n v="983.29302358041969"/>
    <n v="0"/>
    <n v="0"/>
    <n v="0"/>
    <n v="33.087878725851112"/>
    <n v="0"/>
    <n v="-121.42535691744797"/>
    <m/>
    <n v="0"/>
    <n v="0"/>
    <n v="0"/>
    <n v="0"/>
    <n v="-18.78650480565301"/>
    <n v="-2.1999068015414665"/>
    <n v="0"/>
    <n v="-1720.6786406529054"/>
    <m/>
    <m/>
    <n v="61965.112641339554"/>
    <n v="0"/>
    <n v="0"/>
    <n v="0"/>
    <n v="-32574.295299999998"/>
    <n v="883.29784999999993"/>
    <n v="0"/>
    <n v="0"/>
    <n v="-31651.923458814021"/>
    <n v="0"/>
    <n v="0"/>
    <n v="0"/>
    <n v="0"/>
    <n v="0"/>
    <n v="0"/>
    <n v="0"/>
    <n v="0"/>
    <n v="0"/>
    <n v="0"/>
    <n v="0"/>
    <n v="0"/>
    <n v="821.179334054749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07"/>
    <s v="Regular"/>
    <s v="Azul"/>
    <s v="A4"/>
    <s v="Serviço público"/>
    <s v="Água, esgoto e saneamento"/>
    <s v="Não se aplica"/>
    <s v="Não se aplica"/>
    <s v="Fora ponta"/>
    <s v="CATIVO"/>
    <x v="4"/>
    <n v="718"/>
    <n v="674.92"/>
    <n v="359.661"/>
    <n v="338.08134000000001"/>
    <n v="359.661"/>
    <n v="338.08134000000001"/>
    <n v="43.29"/>
    <n v="95.29"/>
    <n v="159.41"/>
    <n v="31082.22"/>
    <n v="91605.656700000007"/>
    <n v="122687.87670000001"/>
    <n v="123639.54751"/>
    <n v="0"/>
    <n v="19390.80561129978"/>
    <n v="0"/>
    <n v="0"/>
    <n v="0"/>
    <n v="16990.742779758486"/>
    <n v="14093.756340938808"/>
    <n v="55470.773803753495"/>
    <n v="1863.6723934061363"/>
    <n v="0"/>
    <n v="0"/>
    <n v="0"/>
    <n v="0"/>
    <n v="3444.1336435032654"/>
    <m/>
    <n v="386.18002255480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6.5954018106584"/>
    <n v="0"/>
    <n v="0"/>
    <n v="0"/>
    <n v="0"/>
    <n v="0"/>
    <m/>
    <m/>
    <m/>
    <m/>
    <n v="7418.3728505999989"/>
    <m/>
    <m/>
    <m/>
    <m/>
    <n v="57337.369205564151"/>
    <m/>
    <m/>
    <m/>
    <m/>
    <m/>
    <m/>
    <m/>
    <m/>
    <m/>
    <m/>
    <m/>
    <m/>
    <n v="116220.80359999998"/>
    <n v="894.16950199998973"/>
    <m/>
    <m/>
    <m/>
    <m/>
    <n v="-8928.2168600000005"/>
    <n v="9879.8876700000001"/>
    <n v="30"/>
    <n v="8147.5219812220603"/>
    <n v="0"/>
    <n v="0"/>
    <n v="0"/>
    <n v="0"/>
    <n v="0"/>
    <n v="0"/>
    <n v="0"/>
    <n v="767.5055407769396"/>
    <n v="0"/>
    <n v="0"/>
    <n v="10998.356465680517"/>
    <n v="0"/>
    <n v="0"/>
    <n v="0"/>
    <n v="370.09546106105859"/>
    <n v="0"/>
    <n v="-1358.1702781616004"/>
    <m/>
    <n v="0"/>
    <n v="0"/>
    <n v="0"/>
    <n v="0"/>
    <n v="-210.13133587019001"/>
    <n v="-24.606458720236503"/>
    <n v="0"/>
    <n v="-2395.5274135444156"/>
    <m/>
    <m/>
    <n v="14093.756340938808"/>
    <n v="0"/>
    <n v="0"/>
    <n v="0"/>
    <n v="-8928.2168600000077"/>
    <n v="9879.8876699999964"/>
    <n v="0"/>
    <n v="0"/>
    <n v="-7199.1234734391937"/>
    <n v="0"/>
    <n v="0"/>
    <n v="0"/>
    <n v="0"/>
    <n v="0"/>
    <n v="0"/>
    <n v="0"/>
    <n v="0"/>
    <n v="0"/>
    <n v="0"/>
    <n v="0"/>
    <n v="0"/>
    <n v="9185.077918378645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08"/>
    <s v="Regular"/>
    <s v="Azul"/>
    <s v="A4"/>
    <s v="Serviço público"/>
    <s v="Água, esgoto e saneamento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541.29"/>
    <n v="6902.31"/>
    <n v="101707.16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09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4.2930000000000001"/>
    <n v="4.2930000000000001"/>
    <n v="4.2930000000000001"/>
    <n v="4.2930000000000001"/>
    <m/>
    <n v="648.44000000000005"/>
    <n v="159.41"/>
    <m/>
    <n v="3468.1000500000005"/>
    <n v="3468.1000500000005"/>
    <n v="2626.5432600000004"/>
    <n v="0"/>
    <n v="266.0382859546188"/>
    <n v="0"/>
    <n v="0"/>
    <n v="0"/>
    <n v="500.75452172775539"/>
    <n v="1792.5249384489216"/>
    <n v="662.11246684937691"/>
    <n v="22.245240893209282"/>
    <n v="0"/>
    <n v="0"/>
    <n v="0"/>
    <n v="0"/>
    <n v="41.110005620735969"/>
    <m/>
    <n v="8.9083855845735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98307044654324"/>
    <n v="0"/>
    <n v="22.05"/>
    <n v="98.79"/>
    <n v="1438.68"/>
    <n v="5"/>
    <m/>
    <m/>
    <m/>
    <m/>
    <m/>
    <m/>
    <m/>
    <m/>
    <m/>
    <n v="710.51077389403122"/>
    <m/>
    <m/>
    <m/>
    <m/>
    <m/>
    <m/>
    <m/>
    <m/>
    <m/>
    <m/>
    <m/>
    <m/>
    <n v="2624.7078000000001"/>
    <n v="-843.42225000000099"/>
    <m/>
    <m/>
    <m/>
    <m/>
    <n v="-959.48550000000023"/>
    <n v="117.92871"/>
    <n v="30"/>
    <n v="74.071499341221624"/>
    <n v="0"/>
    <n v="0"/>
    <n v="0"/>
    <n v="0"/>
    <n v="0"/>
    <n v="0"/>
    <n v="0"/>
    <n v="22.620074647533158"/>
    <n v="0"/>
    <n v="0"/>
    <n v="131.27902193222644"/>
    <n v="0"/>
    <n v="0"/>
    <n v="0"/>
    <n v="9.5960772982140909"/>
    <n v="0"/>
    <n v="-18.63384637438989"/>
    <m/>
    <n v="0"/>
    <n v="0"/>
    <n v="0"/>
    <n v="0"/>
    <n v="-2.5081780479138018"/>
    <n v="-0.56762082279816717"/>
    <n v="0"/>
    <n v="-67.714029291650363"/>
    <m/>
    <m/>
    <m/>
    <n v="1792.5249384489216"/>
    <n v="0"/>
    <n v="0"/>
    <n v="-959.48550000000023"/>
    <n v="117.92871000000002"/>
    <n v="0"/>
    <n v="0"/>
    <n v="-915.62590191999584"/>
    <n v="0"/>
    <n v="0"/>
    <n v="0"/>
    <n v="0"/>
    <n v="0"/>
    <n v="0"/>
    <n v="0"/>
    <n v="0"/>
    <n v="0"/>
    <n v="0"/>
    <n v="0"/>
    <n v="0"/>
    <n v="126.0175794006774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10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36.47"/>
    <n v="1059.6500000000001"/>
    <n v="391.25"/>
    <n v="3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11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6.24"/>
    <n v="162.35"/>
    <n v="39.39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12"/>
    <s v="Regular"/>
    <s v="Convencional"/>
    <s v="B2"/>
    <s v="Rural"/>
    <s v="Agropecuária rural"/>
    <s v="IRRIG./AQUIC."/>
    <s v="Não se aplica"/>
    <s v="Não se aplica"/>
    <s v="CATIVO"/>
    <x v="4"/>
    <n v="0"/>
    <n v="0"/>
    <n v="54.189"/>
    <n v="54.189"/>
    <n v="54.189"/>
    <n v="54.189"/>
    <m/>
    <n v="648.44000000000005"/>
    <n v="159.41"/>
    <m/>
    <n v="43776.583650000008"/>
    <n v="43776.583650000008"/>
    <n v="33153.913979999998"/>
    <n v="0"/>
    <n v="3358.105911389433"/>
    <n v="0"/>
    <n v="0"/>
    <n v="0"/>
    <n v="6320.8448119975164"/>
    <n v="22626.399694760916"/>
    <n v="8357.6083079666623"/>
    <n v="280.7937010859813"/>
    <n v="0"/>
    <n v="0"/>
    <n v="0"/>
    <n v="0"/>
    <n v="518.91686340136528"/>
    <m/>
    <n v="112.44735766188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0.91447948818382"/>
    <n v="0"/>
    <n v="0"/>
    <n v="0"/>
    <n v="0"/>
    <n v="0"/>
    <m/>
    <m/>
    <m/>
    <m/>
    <m/>
    <n v="3978.5563800000009"/>
    <m/>
    <m/>
    <m/>
    <n v="8968.5227874548455"/>
    <m/>
    <m/>
    <m/>
    <m/>
    <m/>
    <m/>
    <m/>
    <m/>
    <m/>
    <m/>
    <m/>
    <m/>
    <n v="29175.895999999993"/>
    <n v="-9347.6359900000025"/>
    <m/>
    <m/>
    <m/>
    <m/>
    <n v="-12111.241500000004"/>
    <n v="1488.5718299999999"/>
    <n v="30"/>
    <n v="934.9779822505152"/>
    <n v="0"/>
    <n v="0"/>
    <n v="0"/>
    <n v="0"/>
    <n v="0"/>
    <n v="0"/>
    <n v="0"/>
    <n v="285.52509319244655"/>
    <n v="0"/>
    <n v="0"/>
    <n v="1657.0880315596132"/>
    <n v="0"/>
    <n v="0"/>
    <n v="0"/>
    <n v="121.12784363217406"/>
    <n v="0"/>
    <n v="-235.2083627257889"/>
    <m/>
    <n v="0"/>
    <n v="0"/>
    <n v="0"/>
    <n v="0"/>
    <n v="-31.659832340647768"/>
    <n v="-7.1648741594711964"/>
    <n v="0"/>
    <n v="-854.72991690781294"/>
    <m/>
    <m/>
    <m/>
    <n v="22626.399694760916"/>
    <n v="0"/>
    <n v="0"/>
    <n v="-12111.241500000007"/>
    <n v="1488.571829999999"/>
    <n v="0"/>
    <n v="0"/>
    <n v="-11557.617516688249"/>
    <n v="0"/>
    <n v="0"/>
    <n v="0"/>
    <n v="0"/>
    <n v="0"/>
    <n v="0"/>
    <n v="0"/>
    <n v="0"/>
    <n v="0"/>
    <n v="0"/>
    <n v="0"/>
    <n v="0"/>
    <n v="1590.674728661381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13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7.2460000000000004"/>
    <n v="7.2460000000000004"/>
    <n v="7.2460000000000004"/>
    <n v="7.2460000000000004"/>
    <m/>
    <n v="648.44000000000005"/>
    <n v="159.41"/>
    <m/>
    <n v="5853.6811000000007"/>
    <n v="5853.6811000000007"/>
    <n v="4433.2477200000003"/>
    <n v="0"/>
    <n v="449.03643606502862"/>
    <n v="0"/>
    <n v="0"/>
    <n v="0"/>
    <n v="845.20551233154333"/>
    <n v="3025.5382492431604"/>
    <n v="1117.5557733031878"/>
    <n v="37.546940487350213"/>
    <n v="0"/>
    <n v="0"/>
    <n v="0"/>
    <n v="0"/>
    <n v="69.388097071477489"/>
    <m/>
    <n v="15.036143010906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689758408004948"/>
    <n v="0"/>
    <n v="0"/>
    <n v="0"/>
    <n v="0"/>
    <n v="0"/>
    <m/>
    <m/>
    <m/>
    <m/>
    <m/>
    <n v="532.00132000000008"/>
    <m/>
    <m/>
    <m/>
    <n v="1199.2455317111928"/>
    <m/>
    <m/>
    <m/>
    <m/>
    <m/>
    <m/>
    <m/>
    <m/>
    <m/>
    <m/>
    <m/>
    <m/>
    <n v="3903.3999999999996"/>
    <n v="-1247.8838600000017"/>
    <m/>
    <m/>
    <m/>
    <m/>
    <n v="-1619.4810000000004"/>
    <n v="199.04761999999999"/>
    <n v="30"/>
    <n v="125.02261454146037"/>
    <n v="0"/>
    <n v="0"/>
    <n v="0"/>
    <n v="0"/>
    <n v="0"/>
    <n v="0"/>
    <n v="0"/>
    <n v="38.179608873986922"/>
    <n v="0"/>
    <n v="0"/>
    <n v="221.58113042648779"/>
    <n v="0"/>
    <n v="0"/>
    <n v="0"/>
    <n v="16.196873073109543"/>
    <n v="0"/>
    <n v="-31.451397817104407"/>
    <m/>
    <n v="0"/>
    <n v="0"/>
    <n v="0"/>
    <n v="0"/>
    <n v="-4.2334633438582472"/>
    <n v="-0.95806673235395223"/>
    <n v="0"/>
    <n v="-114.292069938807"/>
    <m/>
    <m/>
    <m/>
    <n v="3025.5382492431604"/>
    <n v="0"/>
    <n v="0"/>
    <n v="-1619.4810000000007"/>
    <n v="199.04762000000005"/>
    <n v="0"/>
    <n v="0"/>
    <n v="-1545.4519648992061"/>
    <n v="0"/>
    <n v="0"/>
    <n v="0"/>
    <n v="0"/>
    <n v="0"/>
    <n v="0"/>
    <n v="0"/>
    <n v="0"/>
    <n v="0"/>
    <n v="0"/>
    <n v="0"/>
    <n v="0"/>
    <n v="212.7005311757067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14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47.34"/>
    <n v="18.936"/>
    <n v="47.34"/>
    <n v="18.936"/>
    <m/>
    <n v="648.44000000000005"/>
    <n v="159.41"/>
    <m/>
    <n v="38243.619000000006"/>
    <n v="38243.619000000006"/>
    <n v="28963.558800000003"/>
    <n v="0"/>
    <n v="2933.6716648245174"/>
    <n v="0"/>
    <n v="0"/>
    <n v="0"/>
    <n v="5521.9471368721033"/>
    <n v="19766.627203860229"/>
    <n v="7301.2821291985802"/>
    <n v="245.30391425216104"/>
    <n v="0"/>
    <n v="0"/>
    <n v="0"/>
    <n v="0"/>
    <n v="453.33046030413249"/>
    <m/>
    <n v="98.235027620245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3.70040892008751"/>
    <n v="0"/>
    <n v="0"/>
    <n v="0"/>
    <n v="0"/>
    <n v="0"/>
    <m/>
    <m/>
    <m/>
    <m/>
    <m/>
    <m/>
    <n v="18768.416400000002"/>
    <m/>
    <m/>
    <n v="7834.9825381186674"/>
    <m/>
    <m/>
    <m/>
    <m/>
    <m/>
    <m/>
    <m/>
    <m/>
    <m/>
    <m/>
    <m/>
    <m/>
    <n v="10197.296"/>
    <n v="-3264.5257600000004"/>
    <m/>
    <m/>
    <m/>
    <m/>
    <n v="-10580.490000000003"/>
    <n v="1300.4298000000001"/>
    <n v="30"/>
    <n v="816.80521286126896"/>
    <n v="0"/>
    <n v="0"/>
    <n v="0"/>
    <n v="0"/>
    <n v="0"/>
    <n v="0"/>
    <n v="0"/>
    <n v="249.437301144706"/>
    <n v="0"/>
    <n v="0"/>
    <n v="1447.6470762337758"/>
    <n v="0"/>
    <n v="0"/>
    <n v="0"/>
    <n v="105.81837859246571"/>
    <n v="0"/>
    <n v="-205.48015079515881"/>
    <m/>
    <n v="0"/>
    <n v="0"/>
    <n v="0"/>
    <n v="0"/>
    <n v="-27.658315580768544"/>
    <n v="-6.2592988006674091"/>
    <n v="0"/>
    <n v="-746.69977793308362"/>
    <m/>
    <m/>
    <m/>
    <n v="19766.627203860229"/>
    <n v="0"/>
    <n v="0"/>
    <n v="-10580.490000000002"/>
    <n v="1300.4297999999999"/>
    <n v="0"/>
    <n v="0"/>
    <n v="-10096.839086161803"/>
    <n v="0"/>
    <n v="0"/>
    <n v="0"/>
    <n v="0"/>
    <n v="0"/>
    <n v="0"/>
    <n v="0"/>
    <n v="0"/>
    <n v="0"/>
    <n v="0"/>
    <n v="0"/>
    <n v="0"/>
    <n v="1389.627814774766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15"/>
    <s v="Sistema de Compensação"/>
    <s v="Convencional"/>
    <s v="B2"/>
    <s v="Rural"/>
    <s v="Agropecuária rural"/>
    <s v="IRRIG./AQUIC. PR"/>
    <s v="Não se aplica"/>
    <s v="Não se aplica"/>
    <s v="CATIVO"/>
    <x v="4"/>
    <n v="0"/>
    <n v="0"/>
    <n v="9.9770000000000003"/>
    <n v="3.9908000000000001"/>
    <n v="9.9770000000000003"/>
    <n v="3.9908000000000001"/>
    <m/>
    <n v="648.44000000000005"/>
    <n v="159.41"/>
    <m/>
    <n v="8059.9194500000012"/>
    <n v="8059.9194500000012"/>
    <n v="6104.1281399999998"/>
    <n v="0"/>
    <n v="618.27719053557689"/>
    <n v="0"/>
    <n v="0"/>
    <n v="0"/>
    <n v="1163.7614403162859"/>
    <n v="4165.8563500826676"/>
    <n v="1538.7598606466884"/>
    <n v="51.698292194630561"/>
    <n v="0"/>
    <n v="0"/>
    <n v="0"/>
    <n v="0"/>
    <n v="95.540304234354238"/>
    <m/>
    <n v="20.703229205052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47843218833361"/>
    <n v="0"/>
    <n v="0"/>
    <n v="0"/>
    <n v="0"/>
    <n v="0"/>
    <m/>
    <m/>
    <m/>
    <m/>
    <m/>
    <m/>
    <n v="3955.4814200000001"/>
    <m/>
    <m/>
    <n v="1651.2382928350221"/>
    <m/>
    <m/>
    <m/>
    <m/>
    <m/>
    <m/>
    <m/>
    <m/>
    <m/>
    <m/>
    <m/>
    <m/>
    <n v="2148.2159999999999"/>
    <n v="-688.9136280000007"/>
    <m/>
    <m/>
    <m/>
    <m/>
    <n v="-2229.8595000000005"/>
    <n v="274.06819000000002"/>
    <n v="30"/>
    <n v="172.14333774222405"/>
    <n v="0"/>
    <n v="0"/>
    <n v="0"/>
    <n v="0"/>
    <n v="0"/>
    <n v="0"/>
    <n v="0"/>
    <n v="52.5694117769483"/>
    <n v="0"/>
    <n v="0"/>
    <n v="305.09452639595224"/>
    <n v="0"/>
    <n v="0"/>
    <n v="0"/>
    <n v="22.301435640410432"/>
    <n v="0"/>
    <n v="-43.305354129347279"/>
    <m/>
    <n v="0"/>
    <n v="0"/>
    <n v="0"/>
    <n v="0"/>
    <n v="-5.8290455122375988"/>
    <n v="-1.3191597831486881"/>
    <n v="0"/>
    <n v="-157.36847664635351"/>
    <m/>
    <m/>
    <m/>
    <n v="4165.8563500826676"/>
    <n v="0"/>
    <n v="0"/>
    <n v="-2229.8595000000014"/>
    <n v="274.06819000000019"/>
    <n v="0"/>
    <n v="0"/>
    <n v="-2127.9290993374798"/>
    <n v="0"/>
    <n v="0"/>
    <n v="0"/>
    <n v="0"/>
    <n v="0"/>
    <n v="0"/>
    <n v="0"/>
    <n v="0"/>
    <n v="0"/>
    <n v="0"/>
    <n v="0"/>
    <n v="0"/>
    <n v="292.8668506127554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16"/>
    <s v="Regular"/>
    <s v="Verde"/>
    <s v="A4"/>
    <s v="Rural"/>
    <s v="Agropecuária rural"/>
    <s v="Não se aplica"/>
    <s v="Não se aplica"/>
    <s v="Ponta"/>
    <s v="CATIVO"/>
    <x v="4"/>
    <n v="0"/>
    <n v="0"/>
    <n v="12.651999999999999"/>
    <n v="12.14592"/>
    <n v="12.651999999999999"/>
    <n v="12.14592"/>
    <m/>
    <n v="2810.7"/>
    <n v="159.41"/>
    <m/>
    <n v="37577.831719999995"/>
    <n v="37577.831719999995"/>
    <n v="23933.66188"/>
    <n v="0"/>
    <n v="682.12142154463447"/>
    <n v="0"/>
    <n v="0"/>
    <n v="0"/>
    <n v="7724.243287528313"/>
    <n v="26631.054414558443"/>
    <n v="1951.3270278542548"/>
    <n v="65.55946605657671"/>
    <n v="0"/>
    <n v="0"/>
    <n v="0"/>
    <n v="0"/>
    <n v="121.15625229758943"/>
    <m/>
    <n v="13.584874771975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662290389306733"/>
    <n v="0"/>
    <n v="0"/>
    <n v="0"/>
    <n v="0"/>
    <n v="0"/>
    <m/>
    <m/>
    <m/>
    <m/>
    <m/>
    <n v="957.34647519999794"/>
    <m/>
    <m/>
    <m/>
    <n v="2016.9893182435615"/>
    <m/>
    <m/>
    <m/>
    <m/>
    <m/>
    <m/>
    <m/>
    <m/>
    <m/>
    <m/>
    <m/>
    <m/>
    <n v="22984.033500000001"/>
    <n v="-13090.7149512"/>
    <m/>
    <m/>
    <m/>
    <m/>
    <n v="-13991.720279999998"/>
    <n v="347.55043999999998"/>
    <n v="30"/>
    <n v="-40.898817179993785"/>
    <n v="0"/>
    <n v="0"/>
    <n v="0"/>
    <n v="0"/>
    <n v="0"/>
    <n v="0"/>
    <n v="0"/>
    <n v="348.91938500474953"/>
    <n v="0"/>
    <n v="0"/>
    <n v="386.89545434114348"/>
    <n v="0"/>
    <n v="0"/>
    <n v="0"/>
    <n v="13.019058984278274"/>
    <n v="0"/>
    <n v="-47.777130017712693"/>
    <m/>
    <n v="0"/>
    <n v="0"/>
    <n v="0"/>
    <n v="0"/>
    <n v="-7.3919097745645104"/>
    <n v="-0.86559542382530275"/>
    <n v="0"/>
    <n v="-733.6980802940634"/>
    <m/>
    <m/>
    <m/>
    <n v="26631.054414558443"/>
    <n v="0"/>
    <n v="0"/>
    <n v="-13991.720279999994"/>
    <n v="347.55043999999975"/>
    <n v="0"/>
    <n v="0"/>
    <n v="-13603.204448865336"/>
    <n v="0"/>
    <n v="0"/>
    <n v="0"/>
    <n v="0"/>
    <n v="0"/>
    <n v="0"/>
    <n v="0"/>
    <n v="0"/>
    <n v="0"/>
    <n v="0"/>
    <n v="0"/>
    <n v="0"/>
    <n v="323.1087213329402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17"/>
    <s v="Sistema de Compensação"/>
    <s v="Verde"/>
    <s v="A4"/>
    <s v="Rural"/>
    <s v="Agropecuária rural"/>
    <s v="Não se aplica"/>
    <s v="Não se aplica"/>
    <s v="Ponta"/>
    <s v="CATIVO"/>
    <x v="4"/>
    <n v="0"/>
    <n v="0"/>
    <n v="1.583"/>
    <n v="1.5196799999999999"/>
    <n v="1.583"/>
    <n v="1.5196799999999999"/>
    <m/>
    <n v="2810.7"/>
    <n v="159.41"/>
    <m/>
    <n v="4701.6841299999996"/>
    <n v="4701.6841299999996"/>
    <n v="2994.5452700000001"/>
    <n v="0"/>
    <n v="85.346048870151478"/>
    <n v="0"/>
    <n v="0"/>
    <n v="0"/>
    <n v="966.44618433111918"/>
    <n v="3332.0391351759417"/>
    <n v="244.14722455685151"/>
    <n v="8.2027058779292545"/>
    <n v="0"/>
    <n v="0"/>
    <n v="0"/>
    <n v="0"/>
    <n v="15.158895620224792"/>
    <m/>
    <n v="1.6997199465726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2155711102017506"/>
    <n v="0"/>
    <n v="0"/>
    <n v="0"/>
    <n v="0"/>
    <n v="0"/>
    <m/>
    <m/>
    <m/>
    <m/>
    <m/>
    <n v="119.78181080000007"/>
    <m/>
    <m/>
    <m/>
    <n v="252.36279566705326"/>
    <m/>
    <m/>
    <m/>
    <m/>
    <m/>
    <m/>
    <m/>
    <m/>
    <m/>
    <m/>
    <m/>
    <m/>
    <n v="2875.3688000000002"/>
    <n v="-1638.2779648000005"/>
    <m/>
    <m/>
    <m/>
    <m/>
    <n v="-1750.6238699999997"/>
    <n v="43.485009999999996"/>
    <n v="30"/>
    <n v="-5.1172010429918373"/>
    <n v="0"/>
    <n v="0"/>
    <n v="0"/>
    <n v="0"/>
    <n v="0"/>
    <n v="0"/>
    <n v="0"/>
    <n v="43.656290425428324"/>
    <n v="0"/>
    <n v="0"/>
    <n v="48.407801471864531"/>
    <n v="0"/>
    <n v="0"/>
    <n v="0"/>
    <n v="1.6289258909352302"/>
    <n v="0"/>
    <n v="-5.9778056289945738"/>
    <m/>
    <n v="0"/>
    <n v="0"/>
    <n v="0"/>
    <n v="0"/>
    <n v="-0.92486509430411168"/>
    <n v="-0.10830205152667216"/>
    <n v="0"/>
    <n v="-91.799246056394423"/>
    <m/>
    <m/>
    <m/>
    <n v="3332.0391351759417"/>
    <n v="0"/>
    <n v="0"/>
    <n v="-1750.6238699999999"/>
    <n v="43.485009999999988"/>
    <n v="0"/>
    <n v="0"/>
    <n v="-1702.0133293197775"/>
    <n v="0"/>
    <n v="0"/>
    <n v="0"/>
    <n v="0"/>
    <n v="0"/>
    <n v="0"/>
    <n v="0"/>
    <n v="0"/>
    <n v="0"/>
    <n v="0"/>
    <n v="0"/>
    <n v="0"/>
    <n v="40.42689739725295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18"/>
    <s v="Regular"/>
    <s v="Verde"/>
    <s v="A4"/>
    <s v="Rural"/>
    <s v="Agropecuária rural"/>
    <s v="Não se aplica"/>
    <s v="Não se aplica"/>
    <s v="Fora ponta"/>
    <s v="CATIVO"/>
    <x v="4"/>
    <n v="0"/>
    <n v="0"/>
    <n v="485.37200000000001"/>
    <n v="465.95711999999997"/>
    <n v="485.37200000000001"/>
    <n v="465.95711999999997"/>
    <m/>
    <n v="95.29"/>
    <n v="159.41"/>
    <m/>
    <n v="123624.2484"/>
    <n v="123624.2484"/>
    <n v="134404.36051999999"/>
    <n v="0"/>
    <n v="26168.403305245207"/>
    <n v="0"/>
    <n v="0"/>
    <n v="0"/>
    <n v="0"/>
    <n v="0"/>
    <n v="74859.271432475143"/>
    <n v="2515.0750204562719"/>
    <n v="0"/>
    <n v="0"/>
    <n v="0"/>
    <n v="0"/>
    <n v="4647.9491377004097"/>
    <m/>
    <n v="521.160119967059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19.0196973473435"/>
    <n v="0"/>
    <n v="0"/>
    <n v="0"/>
    <n v="0"/>
    <n v="0"/>
    <m/>
    <m/>
    <m/>
    <m/>
    <m/>
    <n v="5376.1744208000109"/>
    <m/>
    <m/>
    <m/>
    <n v="77378.291129822494"/>
    <m/>
    <m/>
    <m/>
    <m/>
    <m/>
    <m/>
    <m/>
    <m/>
    <m/>
    <m/>
    <m/>
    <m/>
    <n v="129028.98360000001"/>
    <n v="10349.67513600002"/>
    <m/>
    <m/>
    <m/>
    <m/>
    <n v="-2553.0567200000028"/>
    <n v="13333.16884"/>
    <n v="30"/>
    <n v="10778.577960833849"/>
    <n v="0"/>
    <n v="0"/>
    <n v="0"/>
    <n v="0"/>
    <n v="0"/>
    <n v="0"/>
    <n v="0"/>
    <n v="0"/>
    <n v="0"/>
    <n v="0"/>
    <n v="14842.571962098431"/>
    <n v="0"/>
    <n v="0"/>
    <n v="0"/>
    <n v="499.45358024953521"/>
    <n v="0"/>
    <n v="-1832.8865911284593"/>
    <m/>
    <n v="0"/>
    <n v="0"/>
    <n v="0"/>
    <n v="0"/>
    <n v="-283.57777672304201"/>
    <n v="-33.207064657993669"/>
    <n v="0"/>
    <n v="-2413.7761490045987"/>
    <m/>
    <m/>
    <m/>
    <n v="0"/>
    <n v="0"/>
    <n v="0"/>
    <n v="-2553.0567200000005"/>
    <n v="13333.168839999998"/>
    <n v="0"/>
    <n v="0"/>
    <n v="0"/>
    <n v="0"/>
    <n v="0"/>
    <n v="0"/>
    <n v="0"/>
    <n v="0"/>
    <n v="0"/>
    <n v="0"/>
    <n v="0"/>
    <n v="0"/>
    <n v="0"/>
    <n v="0"/>
    <n v="0"/>
    <n v="12395.50476531867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19"/>
    <s v="Sistema de Compensação"/>
    <s v="Verde"/>
    <s v="A4"/>
    <s v="Rural"/>
    <s v="Agropecuária rural"/>
    <s v="Não se aplica"/>
    <s v="Não se aplica"/>
    <s v="Fora ponta"/>
    <s v="CATIVO"/>
    <x v="4"/>
    <n v="0"/>
    <n v="0"/>
    <n v="85.174000000000007"/>
    <n v="81.767039999999994"/>
    <n v="85.174000000000007"/>
    <n v="81.767039999999994"/>
    <m/>
    <n v="95.29"/>
    <n v="159.41"/>
    <m/>
    <n v="21693.817800000001"/>
    <n v="21693.817800000001"/>
    <n v="23585.532340000002"/>
    <n v="0"/>
    <n v="4592.0810906293636"/>
    <n v="0"/>
    <n v="0"/>
    <n v="0"/>
    <n v="0"/>
    <n v="0"/>
    <n v="13136.447065322345"/>
    <n v="441.35013925884169"/>
    <n v="0"/>
    <n v="0"/>
    <n v="0"/>
    <n v="0"/>
    <n v="815.63093844411026"/>
    <m/>
    <n v="91.454167232708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2.04235864834112"/>
    <n v="0"/>
    <n v="0"/>
    <n v="0"/>
    <n v="0"/>
    <n v="0"/>
    <m/>
    <m/>
    <m/>
    <m/>
    <m/>
    <n v="943.42129360000331"/>
    <m/>
    <m/>
    <m/>
    <n v="13578.489423970686"/>
    <m/>
    <m/>
    <m/>
    <m/>
    <m/>
    <m/>
    <m/>
    <m/>
    <m/>
    <m/>
    <m/>
    <m/>
    <n v="22642.930699999997"/>
    <n v="1816.8356119999989"/>
    <m/>
    <m/>
    <m/>
    <m/>
    <n v="-448.01524000000046"/>
    <n v="2339.7297800000001"/>
    <n v="30"/>
    <n v="1891.4453228370476"/>
    <n v="0"/>
    <n v="0"/>
    <n v="0"/>
    <n v="0"/>
    <n v="0"/>
    <n v="0"/>
    <n v="0"/>
    <n v="0"/>
    <n v="0"/>
    <n v="0"/>
    <n v="2604.6027053471826"/>
    <n v="0"/>
    <n v="0"/>
    <n v="0"/>
    <n v="87.645062434944577"/>
    <n v="0"/>
    <n v="-321.63841860011598"/>
    <m/>
    <n v="0"/>
    <n v="0"/>
    <n v="0"/>
    <n v="0"/>
    <n v="-49.76276660913345"/>
    <n v="-5.82723874714641"/>
    <n v="0"/>
    <n v="-423.57402098868027"/>
    <m/>
    <m/>
    <m/>
    <n v="0"/>
    <n v="0"/>
    <n v="0"/>
    <n v="-448.01524000000063"/>
    <n v="2339.7297800000015"/>
    <n v="0"/>
    <n v="0"/>
    <n v="0"/>
    <n v="0"/>
    <n v="0"/>
    <n v="0"/>
    <n v="0"/>
    <n v="0"/>
    <n v="0"/>
    <n v="0"/>
    <n v="0"/>
    <n v="0"/>
    <n v="0"/>
    <n v="0"/>
    <n v="0"/>
    <n v="2175.18670809451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20"/>
    <s v="Regular"/>
    <s v="Verde"/>
    <s v="A4"/>
    <s v="Rural"/>
    <s v="Agropecuária rural"/>
    <s v="Não se aplica"/>
    <s v="Não se aplica"/>
    <s v="Não se aplica"/>
    <s v="CATIVO"/>
    <x v="4"/>
    <n v="6277"/>
    <n v="6025.92"/>
    <n v="0"/>
    <n v="0"/>
    <n v="0"/>
    <n v="0"/>
    <n v="43.29"/>
    <m/>
    <m/>
    <n v="271731.33"/>
    <m/>
    <n v="271731.33"/>
    <n v="210216.73"/>
    <n v="0"/>
    <n v="0"/>
    <n v="0"/>
    <n v="0"/>
    <n v="0"/>
    <n v="148538.84739351535"/>
    <n v="123212.4074541405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94.2600000000002"/>
    <n v="10275.31"/>
    <n v="238.81"/>
    <n v="41"/>
    <m/>
    <m/>
    <m/>
    <m/>
    <m/>
    <n v="8408.6691999999985"/>
    <m/>
    <m/>
    <m/>
    <n v="0"/>
    <m/>
    <m/>
    <m/>
    <m/>
    <m/>
    <m/>
    <m/>
    <m/>
    <m/>
    <m/>
    <m/>
    <m/>
    <n v="201808.06080000001"/>
    <n v="-59054.046000000031"/>
    <m/>
    <m/>
    <m/>
    <m/>
    <n v="-61514.599999999984"/>
    <n v="0"/>
    <n v="30"/>
    <n v="1403.9147315124283"/>
    <n v="0"/>
    <n v="0"/>
    <n v="0"/>
    <n v="0"/>
    <m/>
    <m/>
    <m/>
    <n v="6709.7942610819591"/>
    <n v="0"/>
    <n v="0"/>
    <m/>
    <m/>
    <n v="0"/>
    <n v="0"/>
    <n v="0"/>
    <n v="0"/>
    <n v="0"/>
    <m/>
    <n v="0"/>
    <n v="0"/>
    <m/>
    <n v="0"/>
    <n v="0"/>
    <n v="0"/>
    <n v="0"/>
    <n v="-5305.8795295695372"/>
    <m/>
    <m/>
    <n v="123212.40745414053"/>
    <m/>
    <n v="0"/>
    <n v="0"/>
    <n v="-61514.600000000006"/>
    <m/>
    <n v="0"/>
    <m/>
    <n v="-62937.183903590281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21"/>
    <s v="Sistema de Compensação"/>
    <s v="Verde"/>
    <s v="A4"/>
    <s v="Rural"/>
    <s v="Agropecuária rural"/>
    <s v="Não se aplica"/>
    <s v="Não se aplica"/>
    <s v="Não se aplica"/>
    <s v="CATIVO"/>
    <x v="4"/>
    <n v="676"/>
    <n v="648.96"/>
    <n v="0"/>
    <n v="0"/>
    <n v="0"/>
    <n v="0"/>
    <n v="43.29"/>
    <m/>
    <m/>
    <n v="29264.04"/>
    <m/>
    <n v="29264.04"/>
    <n v="22639.24"/>
    <n v="0"/>
    <n v="0"/>
    <n v="0"/>
    <n v="0"/>
    <n v="0"/>
    <n v="15996.855319104088"/>
    <n v="13269.330482555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4.87"/>
    <n v="1275.8399999999999"/>
    <n v="465.54"/>
    <n v="4"/>
    <m/>
    <m/>
    <m/>
    <m/>
    <m/>
    <n v="905.56959999999879"/>
    <m/>
    <m/>
    <m/>
    <n v="0"/>
    <m/>
    <m/>
    <m/>
    <m/>
    <m/>
    <m/>
    <m/>
    <m/>
    <m/>
    <m/>
    <m/>
    <m/>
    <n v="21733.670400000003"/>
    <n v="-6359.8379999999925"/>
    <m/>
    <m/>
    <m/>
    <m/>
    <n v="-6624.7999999999984"/>
    <n v="0"/>
    <n v="30"/>
    <n v="151.19425816511284"/>
    <n v="0"/>
    <n v="0"/>
    <n v="0"/>
    <n v="0"/>
    <m/>
    <m/>
    <m/>
    <n v="722.60967348915437"/>
    <n v="0"/>
    <n v="0"/>
    <m/>
    <m/>
    <n v="0"/>
    <n v="0"/>
    <n v="0"/>
    <n v="0"/>
    <n v="0"/>
    <m/>
    <n v="0"/>
    <n v="0"/>
    <m/>
    <n v="0"/>
    <n v="0"/>
    <n v="0"/>
    <n v="0"/>
    <n v="-571.41541532404131"/>
    <m/>
    <m/>
    <n v="13269.3304825552"/>
    <m/>
    <n v="0"/>
    <n v="0"/>
    <n v="-6624.7999999999993"/>
    <m/>
    <n v="0"/>
    <m/>
    <n v="-6778.004830146092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22"/>
    <s v="Regular"/>
    <s v="Verde"/>
    <s v="A4"/>
    <s v="Rural"/>
    <s v="Agropecuária rural"/>
    <s v="IRRIG./AQUIC. PR"/>
    <s v="Não se aplica"/>
    <s v="Fora ponta"/>
    <s v="CATIVO"/>
    <x v="4"/>
    <n v="0"/>
    <n v="0"/>
    <n v="388.815"/>
    <n v="116.64449999999999"/>
    <n v="388.815"/>
    <n v="116.64449999999999"/>
    <m/>
    <n v="95.29"/>
    <n v="159.41"/>
    <m/>
    <n v="99031.180499999988"/>
    <n v="99031.180499999988"/>
    <n v="107666.76165"/>
    <n v="0"/>
    <n v="20962.617808874256"/>
    <n v="0"/>
    <n v="0"/>
    <n v="0"/>
    <n v="0"/>
    <n v="0"/>
    <n v="59967.216118807475"/>
    <n v="2014.7410523860158"/>
    <n v="0"/>
    <n v="0"/>
    <n v="0"/>
    <n v="0"/>
    <n v="3723.3139611988017"/>
    <m/>
    <n v="417.483645626431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7.90099887119"/>
    <n v="0"/>
    <n v="0"/>
    <n v="0"/>
    <n v="0"/>
    <n v="0"/>
    <m/>
    <m/>
    <m/>
    <m/>
    <m/>
    <m/>
    <n v="75366.733154999994"/>
    <m/>
    <m/>
    <n v="61985.117117678667"/>
    <m/>
    <m/>
    <m/>
    <m/>
    <m/>
    <m/>
    <m/>
    <m/>
    <m/>
    <m/>
    <m/>
    <m/>
    <n v="32298.7824"/>
    <n v="2589.3982499999984"/>
    <m/>
    <m/>
    <m/>
    <m/>
    <n v="-2045.166900000002"/>
    <n v="10680.74805"/>
    <n v="30"/>
    <n v="8634.3521872741112"/>
    <n v="0"/>
    <n v="0"/>
    <n v="0"/>
    <n v="0"/>
    <n v="0"/>
    <n v="0"/>
    <n v="0"/>
    <n v="0"/>
    <n v="0"/>
    <n v="0"/>
    <n v="11889.879551031576"/>
    <n v="0"/>
    <n v="0"/>
    <n v="0"/>
    <n v="400.09527497408817"/>
    <n v="0"/>
    <n v="-1468.263105266913"/>
    <m/>
    <n v="0"/>
    <n v="0"/>
    <n v="0"/>
    <n v="0"/>
    <n v="-227.16451146042527"/>
    <n v="-26.601050009060657"/>
    <n v="0"/>
    <n v="-1933.5939719951359"/>
    <m/>
    <m/>
    <m/>
    <n v="0"/>
    <n v="0"/>
    <n v="0"/>
    <n v="-2045.1668999999965"/>
    <n v="10680.748050000002"/>
    <n v="0"/>
    <n v="0"/>
    <n v="0"/>
    <n v="0"/>
    <n v="0"/>
    <n v="0"/>
    <n v="0"/>
    <n v="0"/>
    <n v="0"/>
    <n v="0"/>
    <n v="0"/>
    <n v="0"/>
    <n v="0"/>
    <n v="0"/>
    <n v="0"/>
    <n v="9929.617253008786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24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7.38"/>
    <n v="122.72"/>
    <n v="52.87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25"/>
    <s v="Regular"/>
    <s v="Convencional"/>
    <s v="B2"/>
    <s v="Rural"/>
    <s v="Aquicultura"/>
    <s v="IRRIG./AQUIC."/>
    <s v="Não se aplica"/>
    <s v="Não se aplica"/>
    <s v="CATIVO"/>
    <x v="4"/>
    <n v="0"/>
    <n v="0"/>
    <n v="5.13"/>
    <n v="5.13"/>
    <n v="5.13"/>
    <n v="5.13"/>
    <m/>
    <n v="648.44000000000005"/>
    <n v="159.41"/>
    <m/>
    <n v="4144.2705000000005"/>
    <n v="4144.2705000000005"/>
    <n v="3138.6365999999998"/>
    <n v="0"/>
    <n v="317.90738573193437"/>
    <n v="0"/>
    <n v="0"/>
    <n v="0"/>
    <n v="598.38590646712908"/>
    <n v="2142.0109327377049"/>
    <n v="791.20357673824913"/>
    <n v="26.582363331507942"/>
    <n v="0"/>
    <n v="0"/>
    <n v="0"/>
    <n v="0"/>
    <n v="49.125163949307129"/>
    <m/>
    <n v="10.645240635653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834454959020889"/>
    <n v="0"/>
    <n v="0"/>
    <n v="0"/>
    <n v="0"/>
    <n v="0"/>
    <m/>
    <m/>
    <m/>
    <m/>
    <m/>
    <n v="376.64460000000008"/>
    <m/>
    <m/>
    <m/>
    <n v="849.03803169727007"/>
    <m/>
    <m/>
    <m/>
    <m/>
    <m/>
    <m/>
    <m/>
    <m/>
    <m/>
    <m/>
    <m/>
    <m/>
    <n v="2761.9919999999997"/>
    <n v="-885.00630000000092"/>
    <m/>
    <m/>
    <m/>
    <m/>
    <n v="-1146.5550000000003"/>
    <n v="140.9211"/>
    <n v="30"/>
    <n v="88.513112420327843"/>
    <n v="0"/>
    <n v="0"/>
    <n v="0"/>
    <n v="0"/>
    <n v="0"/>
    <n v="0"/>
    <n v="0"/>
    <n v="27.030277880700055"/>
    <n v="0"/>
    <n v="0"/>
    <n v="156.87430293788054"/>
    <n v="0"/>
    <n v="0"/>
    <n v="0"/>
    <n v="11.467010607928785"/>
    <n v="0"/>
    <n v="-22.266860447384147"/>
    <m/>
    <n v="0"/>
    <n v="0"/>
    <n v="0"/>
    <n v="0"/>
    <n v="-2.9971938937334741"/>
    <n v="-0.67828903353240122"/>
    <n v="0"/>
    <n v="-80.916135631531873"/>
    <m/>
    <m/>
    <m/>
    <n v="2142.0109327377049"/>
    <n v="0"/>
    <n v="0"/>
    <n v="-1146.5550000000003"/>
    <n v="140.92110000000002"/>
    <n v="0"/>
    <n v="0"/>
    <n v="-1094.1441595270389"/>
    <n v="0"/>
    <n v="0"/>
    <n v="0"/>
    <n v="0"/>
    <n v="0"/>
    <n v="0"/>
    <n v="0"/>
    <n v="0"/>
    <n v="0"/>
    <n v="0"/>
    <n v="0"/>
    <n v="0"/>
    <n v="150.5870445668472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26"/>
    <s v="Regular"/>
    <s v="Convencional"/>
    <s v="B2"/>
    <s v="Rural"/>
    <s v="Aquicultura"/>
    <s v="IRRIG./AQUIC. PR"/>
    <s v="Não se aplica"/>
    <s v="Não se aplica"/>
    <s v="CATIVO"/>
    <x v="4"/>
    <n v="0"/>
    <n v="0"/>
    <n v="8.3190000000000008"/>
    <n v="3.3275999999999999"/>
    <n v="8.3190000000000008"/>
    <n v="3.3275999999999999"/>
    <m/>
    <n v="648.44000000000005"/>
    <n v="159.41"/>
    <m/>
    <n v="6720.5041500000016"/>
    <n v="6720.5041500000016"/>
    <n v="5089.7305800000004"/>
    <n v="0"/>
    <n v="515.53051499102583"/>
    <n v="0"/>
    <n v="0"/>
    <n v="0"/>
    <n v="970.36498165692933"/>
    <n v="3473.565097357694"/>
    <n v="1283.0453323363538"/>
    <n v="43.106955273843006"/>
    <n v="0"/>
    <n v="0"/>
    <n v="0"/>
    <n v="0"/>
    <n v="79.663204462823799"/>
    <m/>
    <n v="17.2627206331394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.786516725944409"/>
    <n v="0"/>
    <n v="0"/>
    <n v="0"/>
    <n v="0"/>
    <n v="0"/>
    <m/>
    <m/>
    <m/>
    <m/>
    <m/>
    <m/>
    <n v="3298.15074"/>
    <m/>
    <m/>
    <n v="1376.8318490622983"/>
    <m/>
    <m/>
    <m/>
    <m/>
    <m/>
    <m/>
    <m/>
    <m/>
    <m/>
    <m/>
    <m/>
    <m/>
    <n v="1792.8719999999998"/>
    <n v="-572.78211600000031"/>
    <m/>
    <m/>
    <m/>
    <m/>
    <n v="-1859.2965000000006"/>
    <n v="228.52293"/>
    <n v="30"/>
    <n v="143.53617587226245"/>
    <n v="0"/>
    <n v="0"/>
    <n v="0"/>
    <n v="0"/>
    <n v="0"/>
    <n v="0"/>
    <n v="0"/>
    <n v="43.83331027086615"/>
    <n v="0"/>
    <n v="0"/>
    <n v="254.39324096300766"/>
    <n v="0"/>
    <n v="0"/>
    <n v="0"/>
    <n v="18.595333576483341"/>
    <n v="0"/>
    <n v="-36.108774281050444"/>
    <m/>
    <n v="0"/>
    <n v="0"/>
    <n v="0"/>
    <n v="0"/>
    <n v="-4.8603617937560983"/>
    <n v="-1.0999388830323653"/>
    <n v="0"/>
    <n v="-131.21663398025609"/>
    <m/>
    <m/>
    <m/>
    <n v="3473.565097357694"/>
    <n v="0"/>
    <n v="0"/>
    <n v="-1859.2965000000008"/>
    <n v="228.52293000000009"/>
    <n v="0"/>
    <n v="0"/>
    <n v="-1774.3051195137309"/>
    <n v="0"/>
    <n v="0"/>
    <n v="0"/>
    <n v="0"/>
    <n v="0"/>
    <n v="0"/>
    <n v="0"/>
    <n v="0"/>
    <n v="0"/>
    <n v="0"/>
    <n v="0"/>
    <n v="0"/>
    <n v="244.1975874759459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27"/>
    <s v="Regular"/>
    <s v="Convencional"/>
    <s v="B1"/>
    <s v="Residencial"/>
    <s v="Residencial"/>
    <s v="Não se aplica"/>
    <s v="Não se aplica"/>
    <s v="Não se aplica"/>
    <s v="CATIVO"/>
    <x v="5"/>
    <n v="0"/>
    <n v="0"/>
    <n v="1305.001"/>
    <n v="1305.001"/>
    <n v="1305.001"/>
    <n v="1305.001"/>
    <m/>
    <n v="648.44000000000005"/>
    <n v="159.41"/>
    <m/>
    <n v="1054245.05785"/>
    <n v="1054245.05785"/>
    <n v="798425.71181999997"/>
    <n v="0"/>
    <n v="80871.239042409376"/>
    <n v="0"/>
    <n v="0"/>
    <n v="0"/>
    <n v="152221.09285097659"/>
    <n v="544897.93552312627"/>
    <n v="201271.23954132394"/>
    <n v="6762.1853274817149"/>
    <n v="0"/>
    <n v="0"/>
    <n v="0"/>
    <n v="0"/>
    <n v="12496.76180877383"/>
    <m/>
    <n v="2708.0018859198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12.284903699263"/>
    <n v="0"/>
    <n v="3097.43"/>
    <n v="14815.23"/>
    <n v="423049.76"/>
    <n v="7253"/>
    <m/>
    <m/>
    <m/>
    <m/>
    <m/>
    <m/>
    <m/>
    <m/>
    <m/>
    <n v="215983.52444502321"/>
    <m/>
    <m/>
    <m/>
    <m/>
    <m/>
    <m/>
    <m/>
    <m/>
    <m/>
    <m/>
    <m/>
    <m/>
    <n v="798425.1"/>
    <n v="-255819.98785000003"/>
    <m/>
    <m/>
    <m/>
    <m/>
    <n v="-291667.72350000008"/>
    <n v="35848.377469999999"/>
    <m/>
    <n v="22516.510764452338"/>
    <n v="0"/>
    <n v="0"/>
    <n v="0"/>
    <n v="0"/>
    <n v="0"/>
    <n v="0"/>
    <n v="0"/>
    <n v="6876.1285895889741"/>
    <n v="0"/>
    <n v="0"/>
    <n v="39906.651502580324"/>
    <n v="0"/>
    <n v="0"/>
    <n v="0"/>
    <n v="2917.0487934420416"/>
    <n v="0"/>
    <n v="-5664.3811209935229"/>
    <m/>
    <n v="0"/>
    <n v="0"/>
    <n v="0"/>
    <n v="0"/>
    <n v="-762.44464493490705"/>
    <n v="-172.54734250464253"/>
    <n v="0"/>
    <n v="-20583.945012726064"/>
    <m/>
    <m/>
    <m/>
    <n v="544897.93552312627"/>
    <n v="0"/>
    <n v="0"/>
    <n v="-291667.72350000008"/>
    <n v="35848.377470000007"/>
    <n v="0"/>
    <n v="0"/>
    <n v="-278335.13105788414"/>
    <n v="0"/>
    <n v="0"/>
    <n v="0"/>
    <n v="0"/>
    <n v="0"/>
    <n v="0"/>
    <n v="0"/>
    <n v="0"/>
    <n v="0"/>
    <n v="0"/>
    <n v="0"/>
    <n v="0"/>
    <n v="38307.25998962578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28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0.44900000000000001"/>
    <n v="-0.44900000000000001"/>
    <n v="-0.44900000000000001"/>
    <n v="-0.44900000000000001"/>
    <m/>
    <n v="648.44000000000005"/>
    <n v="159.41"/>
    <m/>
    <n v="-362.72465"/>
    <n v="-362.72465"/>
    <n v="-274.70717999999999"/>
    <n v="0"/>
    <n v="-27.82464253287301"/>
    <n v="0"/>
    <n v="0"/>
    <n v="0"/>
    <n v="-52.373347369150288"/>
    <n v="-187.47814986339759"/>
    <n v="-69.24959180418594"/>
    <n v="-2.326604509911709"/>
    <n v="0"/>
    <n v="0"/>
    <n v="0"/>
    <n v="0"/>
    <n v="-4.2996488524832168"/>
    <m/>
    <n v="-0.93171794257478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.0619240305263897"/>
    <n v="0"/>
    <n v="-2.41"/>
    <n v="-10.82"/>
    <n v="-173.61"/>
    <n v="0"/>
    <m/>
    <m/>
    <m/>
    <m/>
    <m/>
    <m/>
    <m/>
    <m/>
    <m/>
    <n v="-74.311515834712324"/>
    <m/>
    <m/>
    <m/>
    <m/>
    <m/>
    <m/>
    <m/>
    <m/>
    <m/>
    <m/>
    <m/>
    <m/>
    <n v="-275.31900000000002"/>
    <n v="87.375650000000007"/>
    <m/>
    <m/>
    <m/>
    <m/>
    <n v="100.35150000000003"/>
    <n v="-12.33403"/>
    <m/>
    <n v="-7.7470540890306268"/>
    <n v="0"/>
    <n v="0"/>
    <n v="0"/>
    <n v="0"/>
    <n v="0"/>
    <n v="0"/>
    <n v="0"/>
    <n v="-2.3658079470632174"/>
    <n v="0"/>
    <n v="0"/>
    <n v="-13.730323980333011"/>
    <n v="0"/>
    <n v="0"/>
    <n v="0"/>
    <n v="-1.0036428387836303"/>
    <n v="0"/>
    <n v="1.9488928539718273"/>
    <m/>
    <n v="0"/>
    <n v="0"/>
    <n v="0"/>
    <n v="0"/>
    <n v="0.26232749674197464"/>
    <n v="5.9366817944648709E-2"/>
    <n v="0"/>
    <n v="7.0821335084908013"/>
    <m/>
    <m/>
    <m/>
    <n v="-187.47814986339759"/>
    <n v="0"/>
    <n v="0"/>
    <n v="100.35150000000002"/>
    <n v="-12.334029999999998"/>
    <n v="0"/>
    <n v="0"/>
    <n v="95.764274391352956"/>
    <n v="0"/>
    <n v="0"/>
    <n v="0"/>
    <n v="0"/>
    <n v="0"/>
    <n v="0"/>
    <n v="0"/>
    <n v="0"/>
    <n v="0"/>
    <n v="0"/>
    <n v="0"/>
    <n v="0"/>
    <n v="-13.18003567456421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29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18.759"/>
    <n v="18.759"/>
    <n v="18.759"/>
    <n v="18.759"/>
    <m/>
    <n v="648.44000000000005"/>
    <n v="159.41"/>
    <m/>
    <n v="15154.45815"/>
    <n v="15154.45815"/>
    <n v="11477.131379999999"/>
    <n v="0"/>
    <n v="1162.4999315682958"/>
    <n v="0"/>
    <n v="0"/>
    <n v="0"/>
    <n v="2188.1327913093323"/>
    <n v="7832.7452411747781"/>
    <n v="2893.2140148212115"/>
    <n v="97.20439643971882"/>
    <n v="0"/>
    <n v="0"/>
    <n v="0"/>
    <n v="0"/>
    <n v="179.63722232457164"/>
    <m/>
    <n v="38.9267191197335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1.48470576535533"/>
    <n v="0"/>
    <n v="44.87"/>
    <n v="214.35"/>
    <n v="19171.96"/>
    <n v="210"/>
    <m/>
    <m/>
    <m/>
    <m/>
    <m/>
    <m/>
    <m/>
    <m/>
    <m/>
    <n v="3104.6987205865671"/>
    <m/>
    <m/>
    <m/>
    <m/>
    <m/>
    <m/>
    <m/>
    <m/>
    <m/>
    <m/>
    <m/>
    <m/>
    <n v="11477.743200000001"/>
    <n v="-3676.7449500000002"/>
    <m/>
    <m/>
    <m/>
    <m/>
    <n v="-4192.6365000000014"/>
    <n v="515.30972999999994"/>
    <m/>
    <n v="323.66812395573652"/>
    <n v="0"/>
    <n v="0"/>
    <n v="0"/>
    <n v="0"/>
    <n v="0"/>
    <n v="0"/>
    <n v="0"/>
    <n v="98.842296835097841"/>
    <n v="0"/>
    <n v="0"/>
    <n v="573.64620834536117"/>
    <n v="0"/>
    <n v="0"/>
    <n v="0"/>
    <n v="41.931706041741933"/>
    <n v="0"/>
    <n v="-81.42378852484967"/>
    <m/>
    <n v="0"/>
    <n v="0"/>
    <n v="0"/>
    <n v="0"/>
    <n v="-10.959914279248807"/>
    <n v="-2.4803165653088328"/>
    <n v="0"/>
    <n v="-295.88806789705779"/>
    <m/>
    <m/>
    <m/>
    <n v="7832.7452411747781"/>
    <n v="0"/>
    <n v="0"/>
    <n v="-4192.6365000000005"/>
    <n v="515.30972999999994"/>
    <n v="0"/>
    <n v="0"/>
    <n v="-4000.9844617091089"/>
    <n v="0"/>
    <n v="0"/>
    <n v="0"/>
    <n v="0"/>
    <n v="0"/>
    <n v="0"/>
    <n v="0"/>
    <n v="0"/>
    <n v="0"/>
    <n v="0"/>
    <n v="0"/>
    <n v="0"/>
    <n v="550.6554325593544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30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20.67"/>
    <n v="20.67"/>
    <n v="20.67"/>
    <n v="20.67"/>
    <m/>
    <n v="547.54"/>
    <n v="159.41"/>
    <m/>
    <n v="14612.656500000001"/>
    <n v="14612.656500000001"/>
    <n v="10703.339400000001"/>
    <n v="0"/>
    <n v="0"/>
    <n v="0"/>
    <n v="0"/>
    <n v="0"/>
    <n v="2411.040289800304"/>
    <n v="8630.6756295688829"/>
    <n v="3187.9489144599629"/>
    <n v="107.1067154117484"/>
    <n v="0"/>
    <n v="0"/>
    <n v="0"/>
    <n v="0"/>
    <n v="0"/>
    <m/>
    <n v="42.8922268886877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.02888577055788"/>
    <n v="0"/>
    <n v="11.48"/>
    <n v="46.65"/>
    <n v="1466.57"/>
    <n v="31"/>
    <m/>
    <m/>
    <m/>
    <m/>
    <m/>
    <m/>
    <m/>
    <n v="6957.1086000000014"/>
    <m/>
    <n v="3420.9778002305206"/>
    <m/>
    <m/>
    <m/>
    <m/>
    <m/>
    <m/>
    <m/>
    <m/>
    <m/>
    <m/>
    <m/>
    <m/>
    <n v="3746.2308000000003"/>
    <n v="-1368.1773000000003"/>
    <m/>
    <m/>
    <m/>
    <m/>
    <n v="-4477.1219999999994"/>
    <n v="567.80489999999998"/>
    <m/>
    <n v="499.15659841113302"/>
    <n v="0"/>
    <n v="0"/>
    <n v="0"/>
    <n v="0"/>
    <n v="0"/>
    <n v="0"/>
    <n v="0"/>
    <n v="108.91147052515953"/>
    <n v="0"/>
    <n v="0"/>
    <n v="632.08417967368268"/>
    <n v="0"/>
    <n v="0"/>
    <n v="0"/>
    <n v="46.203335139549296"/>
    <n v="0"/>
    <n v="0"/>
    <m/>
    <n v="0"/>
    <n v="0"/>
    <n v="0"/>
    <n v="0"/>
    <n v="0"/>
    <n v="-2.7329891468059913"/>
    <n v="0"/>
    <n v="-285.30939778045314"/>
    <m/>
    <m/>
    <m/>
    <n v="8630.6756295688829"/>
    <n v="0"/>
    <n v="0"/>
    <n v="-4477.1219999999994"/>
    <n v="567.80489999999963"/>
    <n v="0"/>
    <n v="0"/>
    <n v="-4408.5691573925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31"/>
    <s v="Refaturamento - 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1"/>
    <n v="-0.02"/>
    <n v="-1.5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32"/>
    <s v="Sistema de Compensação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4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33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42.140999999999998"/>
    <n v="42.140999999999998"/>
    <n v="42.140999999999998"/>
    <n v="42.140999999999998"/>
    <m/>
    <n v="547.54"/>
    <n v="159.41"/>
    <m/>
    <n v="29791.579949999999"/>
    <n v="29791.579949999999"/>
    <n v="21821.452619999996"/>
    <n v="0"/>
    <n v="0"/>
    <n v="0"/>
    <n v="0"/>
    <n v="0"/>
    <n v="4915.5127649963515"/>
    <n v="17595.805597758212"/>
    <n v="6499.4366330071252"/>
    <n v="218.36401036122345"/>
    <n v="0"/>
    <n v="0"/>
    <n v="0"/>
    <n v="0"/>
    <n v="0"/>
    <m/>
    <n v="87.4466053853985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5.08806363120846"/>
    <n v="0"/>
    <n v="41.03"/>
    <n v="197.32"/>
    <n v="5633.81"/>
    <n v="155"/>
    <m/>
    <m/>
    <m/>
    <m/>
    <m/>
    <m/>
    <m/>
    <n v="8728.6653299999998"/>
    <m/>
    <n v="6974.5246966383338"/>
    <m/>
    <m/>
    <m/>
    <m/>
    <m/>
    <m/>
    <m/>
    <m/>
    <m/>
    <m/>
    <m/>
    <m/>
    <n v="13092.4766"/>
    <n v="-4782.5013699999963"/>
    <m/>
    <m/>
    <m/>
    <m/>
    <n v="-9127.7405999999974"/>
    <n v="1157.6132699999998"/>
    <m/>
    <n v="1017.6564205923332"/>
    <n v="0"/>
    <n v="0"/>
    <n v="0"/>
    <n v="0"/>
    <n v="0"/>
    <n v="0"/>
    <n v="0"/>
    <n v="222.04345812292013"/>
    <n v="0"/>
    <n v="0"/>
    <n v="1288.6627680517013"/>
    <n v="0"/>
    <n v="0"/>
    <n v="0"/>
    <n v="94.197133338933099"/>
    <n v="0"/>
    <n v="0"/>
    <m/>
    <n v="0"/>
    <n v="0"/>
    <n v="0"/>
    <n v="0"/>
    <n v="0"/>
    <n v="-5.5718865813038718"/>
    <n v="0"/>
    <n v="-581.67505233991642"/>
    <m/>
    <m/>
    <m/>
    <n v="17595.805597758212"/>
    <n v="0"/>
    <n v="0"/>
    <n v="-9127.7405999999992"/>
    <n v="1157.6132699999998"/>
    <n v="0"/>
    <n v="0"/>
    <n v="-8987.9783677639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34"/>
    <s v="Refaturamento - 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-7.0000000000000007E-2"/>
    <n v="-7.0000000000000007E-2"/>
    <n v="-7.0000000000000007E-2"/>
    <n v="-7.0000000000000007E-2"/>
    <m/>
    <n v="547.54"/>
    <n v="159.41"/>
    <m/>
    <n v="-49.486500000000007"/>
    <n v="-49.486500000000007"/>
    <n v="-36.247399999999999"/>
    <n v="0"/>
    <n v="0"/>
    <n v="0"/>
    <n v="0"/>
    <n v="0"/>
    <n v="-8.1651098348341211"/>
    <n v="-29.228219355095394"/>
    <n v="-10.796150169917631"/>
    <n v="-0.36272230666774974"/>
    <n v="0"/>
    <n v="0"/>
    <n v="0"/>
    <n v="0"/>
    <n v="0"/>
    <m/>
    <n v="-0.14525669483348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78916410275467108"/>
    <n v="0"/>
    <n v="-0.15"/>
    <n v="-0.66"/>
    <n v="-9.66"/>
    <n v="0"/>
    <m/>
    <m/>
    <m/>
    <m/>
    <m/>
    <m/>
    <m/>
    <n v="-14.499100000000002"/>
    <m/>
    <n v="-11.585314272672303"/>
    <m/>
    <m/>
    <m/>
    <m/>
    <m/>
    <m/>
    <m/>
    <m/>
    <m/>
    <m/>
    <m/>
    <m/>
    <n v="-21.748300000000004"/>
    <n v="7.9135999999999953"/>
    <m/>
    <m/>
    <m/>
    <m/>
    <n v="15.161999999999999"/>
    <n v="-1.9229000000000001"/>
    <m/>
    <n v="-1.6904190560609216"/>
    <n v="0"/>
    <n v="0"/>
    <n v="0"/>
    <n v="0"/>
    <n v="0"/>
    <n v="0"/>
    <n v="0"/>
    <n v="-0.36883420110116916"/>
    <n v="0"/>
    <n v="0"/>
    <n v="-2.14058503034145"/>
    <n v="0"/>
    <n v="0"/>
    <n v="0"/>
    <n v="-0.15646993032261503"/>
    <n v="0"/>
    <n v="0"/>
    <m/>
    <n v="0"/>
    <n v="0"/>
    <n v="0"/>
    <n v="0"/>
    <n v="0"/>
    <n v="9.255405915646775E-3"/>
    <n v="0"/>
    <n v="0.9662146997886657"/>
    <m/>
    <m/>
    <m/>
    <n v="-29.228219355095394"/>
    <n v="0"/>
    <n v="0"/>
    <n v="15.162000000000003"/>
    <n v="-1.9229000000000003"/>
    <n v="0"/>
    <n v="0"/>
    <n v="14.929842332727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35"/>
    <s v="Sistema de Compensação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9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36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33.786999999999999"/>
    <n v="33.786999999999999"/>
    <n v="33.786999999999999"/>
    <n v="33.786999999999999"/>
    <m/>
    <n v="547.54"/>
    <n v="159.41"/>
    <m/>
    <n v="23885.719649999999"/>
    <n v="23885.719649999999"/>
    <n v="17495.584340000001"/>
    <n v="0"/>
    <n v="0"/>
    <n v="0"/>
    <n v="0"/>
    <n v="0"/>
    <n v="3941.0652284220059"/>
    <n v="14107.626390722971"/>
    <n v="5210.993225585813"/>
    <n v="175.07569393404657"/>
    <n v="0"/>
    <n v="0"/>
    <n v="0"/>
    <n v="0"/>
    <n v="0"/>
    <m/>
    <n v="70.1112564048423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0.90696485388668"/>
    <n v="0"/>
    <n v="49.37"/>
    <n v="249.8"/>
    <n v="7084.07"/>
    <n v="410"/>
    <m/>
    <m/>
    <m/>
    <m/>
    <m/>
    <m/>
    <m/>
    <n v="1749.8287300000006"/>
    <m/>
    <n v="5591.9001904397001"/>
    <m/>
    <m/>
    <m/>
    <m/>
    <m/>
    <m/>
    <m/>
    <m/>
    <m/>
    <m/>
    <m/>
    <m/>
    <n v="15747.153699999999"/>
    <n v="-5750.192919999994"/>
    <m/>
    <m/>
    <m/>
    <m/>
    <n v="-7318.2641999999987"/>
    <n v="928.12888999999996"/>
    <m/>
    <n v="815.91698067329162"/>
    <n v="0"/>
    <n v="0"/>
    <n v="0"/>
    <n v="0"/>
    <n v="0"/>
    <n v="0"/>
    <n v="0"/>
    <n v="178.02573075150303"/>
    <n v="0"/>
    <n v="0"/>
    <n v="1033.1992345735225"/>
    <n v="0"/>
    <n v="0"/>
    <n v="0"/>
    <n v="75.523564797288486"/>
    <n v="0"/>
    <n v="0"/>
    <m/>
    <n v="0"/>
    <n v="0"/>
    <n v="0"/>
    <n v="0"/>
    <n v="0"/>
    <n v="-4.4673199953136873"/>
    <n v="0"/>
    <n v="-466.36422945370919"/>
    <m/>
    <m/>
    <m/>
    <n v="14107.626390722971"/>
    <n v="0"/>
    <n v="0"/>
    <n v="-7318.2641999999978"/>
    <n v="928.12888999999996"/>
    <n v="0"/>
    <n v="0"/>
    <n v="-7206.2083270838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37"/>
    <s v="Refaturamento - 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-8.9999999999999993E-3"/>
    <n v="-8.9999999999999993E-3"/>
    <n v="-8.9999999999999993E-3"/>
    <n v="-8.9999999999999993E-3"/>
    <m/>
    <n v="547.54"/>
    <n v="159.41"/>
    <m/>
    <n v="-6.3625499999999988"/>
    <n v="-6.3625499999999988"/>
    <n v="-4.66038"/>
    <n v="0"/>
    <n v="0"/>
    <n v="0"/>
    <n v="0"/>
    <n v="0"/>
    <n v="-1.049799835907244"/>
    <n v="-3.7579139170836928"/>
    <n v="-1.3880764504179808"/>
    <n v="-4.6635725142996388E-2"/>
    <n v="0"/>
    <n v="0"/>
    <n v="0"/>
    <n v="0"/>
    <n v="0"/>
    <m/>
    <n v="-1.867586076430523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10146395606845769"/>
    <n v="0"/>
    <n v="-0.04"/>
    <n v="-0.22"/>
    <n v="-3.05"/>
    <n v="0"/>
    <m/>
    <m/>
    <m/>
    <m/>
    <m/>
    <m/>
    <m/>
    <n v="-0.46611000000000014"/>
    <m/>
    <n v="-1.4895404064864384"/>
    <m/>
    <m/>
    <m/>
    <m/>
    <m/>
    <m/>
    <m/>
    <m/>
    <m/>
    <m/>
    <m/>
    <m/>
    <n v="-4.6602999999999994"/>
    <n v="1.0360400000000007"/>
    <m/>
    <m/>
    <m/>
    <m/>
    <n v="1.9493999999999996"/>
    <n v="-0.24722999999999998"/>
    <m/>
    <n v="-0.21733959292211935"/>
    <n v="0"/>
    <n v="0"/>
    <n v="0"/>
    <n v="0"/>
    <n v="0"/>
    <n v="0"/>
    <n v="0"/>
    <n v="-4.7421540141578955E-2"/>
    <n v="0"/>
    <n v="0"/>
    <n v="-0.27521807532961517"/>
    <n v="0"/>
    <n v="0"/>
    <n v="0"/>
    <n v="-2.0117562470050504E-2"/>
    <n v="0"/>
    <n v="0"/>
    <m/>
    <n v="0"/>
    <n v="0"/>
    <n v="0"/>
    <n v="0"/>
    <n v="0"/>
    <n v="1.1899807605831592E-3"/>
    <n v="0"/>
    <n v="0.12422760425854271"/>
    <m/>
    <m/>
    <m/>
    <n v="-3.7579139170836928"/>
    <n v="0"/>
    <n v="0"/>
    <n v="1.9493999999999994"/>
    <n v="-0.24723000000000006"/>
    <n v="0"/>
    <n v="0"/>
    <n v="1.9195511570649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38"/>
    <s v="Sistema de Compensação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.3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39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5.1660000000000004"/>
    <n v="5.1660000000000004"/>
    <n v="5.1660000000000004"/>
    <n v="5.1660000000000004"/>
    <m/>
    <n v="547.54"/>
    <n v="159.41"/>
    <m/>
    <n v="3652.1037000000001"/>
    <n v="3652.1037000000001"/>
    <n v="2675.0581200000001"/>
    <n v="0"/>
    <n v="0"/>
    <n v="0"/>
    <n v="0"/>
    <n v="0"/>
    <n v="602.58510581075814"/>
    <n v="2157.0425884060401"/>
    <n v="796.75588253992112"/>
    <n v="26.768906232079932"/>
    <n v="0"/>
    <n v="0"/>
    <n v="0"/>
    <n v="0"/>
    <n v="0"/>
    <m/>
    <n v="10.7199440787112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240310783294724"/>
    <n v="0"/>
    <n v="8.5299999999999994"/>
    <n v="44.36"/>
    <n v="1264.1199999999999"/>
    <n v="93"/>
    <m/>
    <m/>
    <m/>
    <m/>
    <m/>
    <m/>
    <m/>
    <m/>
    <m/>
    <n v="854.99619332321583"/>
    <m/>
    <m/>
    <m/>
    <m/>
    <m/>
    <m/>
    <m/>
    <m/>
    <m/>
    <m/>
    <m/>
    <m/>
    <n v="2677.1293999999998"/>
    <n v="-975.00430000000097"/>
    <m/>
    <m/>
    <m/>
    <m/>
    <n v="-1118.9556"/>
    <n v="141.91002"/>
    <m/>
    <n v="124.752926337296"/>
    <n v="0"/>
    <n v="0"/>
    <n v="0"/>
    <n v="0"/>
    <n v="0"/>
    <n v="0"/>
    <n v="0"/>
    <n v="27.21996404126628"/>
    <n v="0"/>
    <n v="0"/>
    <n v="157.97517523919907"/>
    <n v="0"/>
    <n v="0"/>
    <n v="0"/>
    <n v="11.547480857808985"/>
    <n v="0"/>
    <n v="0"/>
    <m/>
    <n v="0"/>
    <n v="0"/>
    <n v="0"/>
    <n v="0"/>
    <n v="0"/>
    <n v="-0.68304895657473352"/>
    <n v="0"/>
    <n v="-71.306644844403522"/>
    <m/>
    <m/>
    <m/>
    <n v="2157.0425884060401"/>
    <n v="0"/>
    <n v="0"/>
    <n v="-1118.9556"/>
    <n v="141.91002000000003"/>
    <n v="0"/>
    <n v="0"/>
    <n v="-1101.8223641552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40"/>
    <s v="Sistema de Compensação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41"/>
    <s v="Regular"/>
    <s v="Convencional"/>
    <s v="B3"/>
    <s v="Industrial"/>
    <s v="Não se aplica"/>
    <s v="Não se aplica"/>
    <s v="Não se aplica"/>
    <s v="Não se aplica"/>
    <s v="CATIVO"/>
    <x v="5"/>
    <n v="0"/>
    <n v="0"/>
    <n v="93.147000000000006"/>
    <n v="93.147000000000006"/>
    <n v="93.147000000000006"/>
    <n v="93.147000000000006"/>
    <m/>
    <n v="648.44000000000005"/>
    <n v="159.41"/>
    <m/>
    <n v="75248.803950000016"/>
    <n v="75248.803950000016"/>
    <n v="56989.197540000001"/>
    <n v="0"/>
    <n v="5772.3429354332347"/>
    <n v="0"/>
    <n v="0"/>
    <n v="0"/>
    <n v="10865.078368361341"/>
    <n v="38893.156403843866"/>
    <n v="14366.128569675964"/>
    <n v="482.66420998829835"/>
    <n v="0"/>
    <n v="0"/>
    <n v="0"/>
    <n v="0"/>
    <n v="891.98082775557725"/>
    <m/>
    <n v="193.2889336236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0.1181239898478"/>
    <n v="0"/>
    <n v="189.75"/>
    <n v="898.81"/>
    <n v="15124.55"/>
    <n v="88"/>
    <m/>
    <m/>
    <m/>
    <m/>
    <m/>
    <m/>
    <m/>
    <m/>
    <m/>
    <n v="15416.246693665813"/>
    <m/>
    <m/>
    <m/>
    <m/>
    <m/>
    <m/>
    <m/>
    <m/>
    <m/>
    <m/>
    <m/>
    <m/>
    <n v="56991.032999999996"/>
    <n v="-18257.800950000019"/>
    <m/>
    <m/>
    <m/>
    <m/>
    <n v="-20818.354500000005"/>
    <n v="2558.74809"/>
    <m/>
    <n v="1607.160016104528"/>
    <n v="0"/>
    <n v="0"/>
    <n v="0"/>
    <n v="0"/>
    <n v="0"/>
    <n v="0"/>
    <n v="0"/>
    <n v="490.79713328529397"/>
    <n v="0"/>
    <n v="0"/>
    <n v="2848.4153403030741"/>
    <n v="0"/>
    <n v="0"/>
    <n v="0"/>
    <n v="208.21006571086582"/>
    <n v="0"/>
    <n v="-404.30628656773661"/>
    <m/>
    <n v="0"/>
    <n v="0"/>
    <n v="0"/>
    <n v="0"/>
    <n v="-54.420978483351291"/>
    <n v="-12.315904211782168"/>
    <n v="0"/>
    <n v="-1469.2193539318323"/>
    <m/>
    <m/>
    <m/>
    <n v="38893.156403843866"/>
    <n v="0"/>
    <n v="0"/>
    <n v="-20818.354500000009"/>
    <n v="2558.7480899999991"/>
    <n v="0"/>
    <n v="0"/>
    <n v="-19866.714625236869"/>
    <n v="0"/>
    <n v="0"/>
    <n v="0"/>
    <n v="0"/>
    <n v="0"/>
    <n v="0"/>
    <n v="0"/>
    <n v="0"/>
    <n v="0"/>
    <n v="0"/>
    <n v="0"/>
    <n v="0"/>
    <n v="2734.255641377802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42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5.6760000000000002"/>
    <n v="5.6760000000000002"/>
    <n v="5.6760000000000002"/>
    <n v="5.6760000000000002"/>
    <m/>
    <n v="648.44000000000005"/>
    <n v="159.41"/>
    <m/>
    <n v="4585.3566000000001"/>
    <n v="4585.3566000000001"/>
    <n v="3472.6903200000002"/>
    <n v="0"/>
    <n v="351.74314257591806"/>
    <n v="0"/>
    <n v="0"/>
    <n v="0"/>
    <n v="662.07376317883518"/>
    <n v="2369.9910437074491"/>
    <n v="875.41354806360664"/>
    <n v="29.411597323516393"/>
    <n v="0"/>
    <n v="0"/>
    <n v="0"/>
    <n v="0"/>
    <n v="54.353690170812335"/>
    <m/>
    <n v="11.77824285535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989934960507327"/>
    <n v="0"/>
    <n v="11.51"/>
    <n v="54.71"/>
    <n v="3268.05"/>
    <n v="18"/>
    <m/>
    <m/>
    <m/>
    <m/>
    <m/>
    <m/>
    <m/>
    <m/>
    <m/>
    <n v="939.40348302411394"/>
    <m/>
    <m/>
    <m/>
    <m/>
    <m/>
    <m/>
    <m/>
    <m/>
    <m/>
    <m/>
    <m/>
    <m/>
    <n v="3475.1376"/>
    <n v="-1110.2490000000007"/>
    <m/>
    <m/>
    <m/>
    <m/>
    <n v="-1268.5860000000005"/>
    <n v="155.91971999999998"/>
    <m/>
    <n v="97.933806256877688"/>
    <n v="0"/>
    <n v="0"/>
    <n v="0"/>
    <n v="0"/>
    <n v="0"/>
    <n v="0"/>
    <n v="0"/>
    <n v="29.907184649289206"/>
    <n v="0"/>
    <n v="0"/>
    <n v="173.57086617454388"/>
    <n v="0"/>
    <n v="0"/>
    <n v="0"/>
    <n v="12.687476064445178"/>
    <n v="0"/>
    <n v="-24.636783606111578"/>
    <m/>
    <n v="0"/>
    <n v="0"/>
    <n v="0"/>
    <n v="0"/>
    <n v="-3.3161934777448749"/>
    <n v="-0.75048119967444471"/>
    <n v="0"/>
    <n v="-89.528262347870367"/>
    <m/>
    <m/>
    <m/>
    <n v="2369.9910437074491"/>
    <n v="0"/>
    <n v="0"/>
    <n v="-1268.5860000000002"/>
    <n v="155.9197200000001"/>
    <n v="0"/>
    <n v="0"/>
    <n v="-1210.5969297223146"/>
    <n v="0"/>
    <n v="0"/>
    <n v="0"/>
    <n v="0"/>
    <n v="0"/>
    <n v="0"/>
    <n v="0"/>
    <n v="0"/>
    <n v="0"/>
    <n v="0"/>
    <n v="0"/>
    <n v="0"/>
    <n v="166.6144376143129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43"/>
    <s v="Regular"/>
    <s v="Verde"/>
    <s v="A4"/>
    <s v="Industrial"/>
    <s v="Não se aplica"/>
    <s v="Não se aplica"/>
    <s v="Não se aplica"/>
    <s v="Ponta"/>
    <s v="CATIVO"/>
    <x v="5"/>
    <n v="0"/>
    <n v="0"/>
    <n v="16.163"/>
    <n v="16.163"/>
    <n v="16.163"/>
    <n v="16.163"/>
    <m/>
    <n v="2810.7"/>
    <n v="159.41"/>
    <m/>
    <n v="48005.887929999997"/>
    <n v="48005.887929999997"/>
    <n v="30575.385470000001"/>
    <n v="0"/>
    <n v="871.41389001153402"/>
    <n v="0"/>
    <n v="0"/>
    <n v="0"/>
    <n v="9867.7635359089581"/>
    <n v="34021.319356821703"/>
    <n v="2492.8310742339804"/>
    <n v="83.752580609583418"/>
    <n v="0"/>
    <n v="0"/>
    <n v="0"/>
    <n v="0"/>
    <n v="154.77778263404505"/>
    <m/>
    <n v="17.354752682535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883939263544477"/>
    <n v="0"/>
    <n v="0"/>
    <n v="0"/>
    <n v="0"/>
    <n v="0"/>
    <m/>
    <m/>
    <m/>
    <m/>
    <m/>
    <m/>
    <m/>
    <m/>
    <m/>
    <n v="2576.715013497525"/>
    <m/>
    <m/>
    <m/>
    <m/>
    <m/>
    <m/>
    <m/>
    <m/>
    <m/>
    <m/>
    <m/>
    <m/>
    <n v="30569.7104"/>
    <n v="-17436.207530000003"/>
    <m/>
    <m/>
    <m/>
    <m/>
    <n v="-17874.500069999998"/>
    <n v="443.99761000000001"/>
    <m/>
    <n v="-52.248465229231442"/>
    <n v="0"/>
    <n v="0"/>
    <n v="0"/>
    <n v="0"/>
    <n v="0"/>
    <n v="0"/>
    <n v="0"/>
    <n v="445.74644481755968"/>
    <n v="0"/>
    <n v="0"/>
    <n v="494.26108350584127"/>
    <n v="0"/>
    <n v="0"/>
    <n v="0"/>
    <n v="16.631919883250859"/>
    <n v="0"/>
    <n v="-61.035547935211071"/>
    <m/>
    <n v="0"/>
    <n v="0"/>
    <n v="0"/>
    <n v="0"/>
    <n v="-9.4432056343887325"/>
    <n v="-1.105802943035755"/>
    <n v="0"/>
    <n v="-937.303356923249"/>
    <m/>
    <m/>
    <m/>
    <n v="34021.319356821703"/>
    <n v="0"/>
    <n v="0"/>
    <n v="-17874.500069999995"/>
    <n v="443.9976099999999"/>
    <n v="0"/>
    <n v="0"/>
    <n v="-17378.168946175345"/>
    <n v="0"/>
    <n v="0"/>
    <n v="0"/>
    <n v="0"/>
    <n v="0"/>
    <n v="0"/>
    <n v="0"/>
    <n v="0"/>
    <n v="0"/>
    <n v="0"/>
    <n v="0"/>
    <n v="0"/>
    <n v="412.7731791735941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44"/>
    <s v="Regular"/>
    <s v="Verde"/>
    <s v="A4"/>
    <s v="Industrial"/>
    <s v="Não se aplica"/>
    <s v="Não se aplica"/>
    <s v="Não se aplica"/>
    <s v="Fora ponta"/>
    <s v="CATIVO"/>
    <x v="5"/>
    <n v="0"/>
    <n v="0"/>
    <n v="492.53100000000001"/>
    <n v="492.53100000000001"/>
    <n v="492.53100000000001"/>
    <n v="492.53100000000001"/>
    <m/>
    <n v="95.29"/>
    <n v="159.41"/>
    <m/>
    <n v="125447.64570000001"/>
    <n v="125447.64570000001"/>
    <n v="136386.75920999999"/>
    <n v="0"/>
    <n v="26554.374476351597"/>
    <n v="0"/>
    <n v="0"/>
    <n v="0"/>
    <n v="0"/>
    <n v="0"/>
    <n v="75963.409133424284"/>
    <n v="2552.1711489339064"/>
    <n v="0"/>
    <n v="0"/>
    <n v="0"/>
    <n v="0"/>
    <n v="4716.5041179563723"/>
    <m/>
    <n v="528.846977261761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56.1740078829935"/>
    <n v="0"/>
    <n v="0"/>
    <n v="0"/>
    <n v="0"/>
    <n v="0"/>
    <m/>
    <m/>
    <m/>
    <m/>
    <m/>
    <m/>
    <m/>
    <m/>
    <m/>
    <n v="78519.583141307274"/>
    <m/>
    <m/>
    <m/>
    <m/>
    <m/>
    <m/>
    <m/>
    <m/>
    <m/>
    <m/>
    <m/>
    <m/>
    <n v="136386.4823"/>
    <n v="10938.806599999996"/>
    <m/>
    <m/>
    <m/>
    <m/>
    <n v="-2590.7130600000028"/>
    <n v="13529.826569999999"/>
    <m/>
    <n v="10937.556722735288"/>
    <n v="0"/>
    <n v="0"/>
    <n v="0"/>
    <n v="0"/>
    <n v="0"/>
    <n v="0"/>
    <n v="0"/>
    <n v="0"/>
    <n v="0"/>
    <n v="0"/>
    <n v="15061.492651130073"/>
    <n v="0"/>
    <n v="0"/>
    <n v="0"/>
    <n v="506.82027668238788"/>
    <n v="0"/>
    <n v="-1859.9207733760741"/>
    <m/>
    <n v="0"/>
    <n v="0"/>
    <n v="0"/>
    <n v="0"/>
    <n v="-287.76041046285445"/>
    <n v="-33.696852647178389"/>
    <n v="0"/>
    <n v="-2449.3781685910685"/>
    <m/>
    <m/>
    <m/>
    <n v="0"/>
    <n v="0"/>
    <n v="0"/>
    <n v="-2590.7130600000019"/>
    <n v="13529.82656999999"/>
    <n v="0"/>
    <n v="0"/>
    <n v="0"/>
    <n v="0"/>
    <n v="0"/>
    <n v="0"/>
    <n v="0"/>
    <n v="0"/>
    <n v="0"/>
    <n v="0"/>
    <n v="0"/>
    <n v="0"/>
    <n v="0"/>
    <n v="0"/>
    <n v="0"/>
    <n v="12578.33240806468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45"/>
    <s v="Regular"/>
    <s v="Verde"/>
    <s v="A4"/>
    <s v="Industrial"/>
    <s v="Não se aplica"/>
    <s v="Não se aplica"/>
    <s v="Não se aplica"/>
    <s v="Não se aplica"/>
    <s v="CATIVO"/>
    <x v="5"/>
    <n v="2117"/>
    <n v="2117"/>
    <n v="0"/>
    <n v="0"/>
    <n v="0"/>
    <n v="0"/>
    <n v="43.29"/>
    <m/>
    <m/>
    <n v="91644.93"/>
    <m/>
    <n v="91644.93"/>
    <n v="70898.33"/>
    <n v="0"/>
    <n v="0"/>
    <n v="0"/>
    <n v="0"/>
    <n v="0"/>
    <n v="50096.660814413248"/>
    <n v="41554.9890999546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42.33"/>
    <n v="3982.25"/>
    <n v="66314.44"/>
    <n v="13"/>
    <m/>
    <m/>
    <m/>
    <m/>
    <m/>
    <m/>
    <m/>
    <m/>
    <m/>
    <n v="0"/>
    <m/>
    <m/>
    <m/>
    <m/>
    <m/>
    <m/>
    <m/>
    <m/>
    <m/>
    <m/>
    <m/>
    <m/>
    <n v="70898.33"/>
    <n v="-20746.629999999976"/>
    <m/>
    <m/>
    <m/>
    <m/>
    <n v="-20746.599999999995"/>
    <n v="0"/>
    <m/>
    <n v="473.48852741943847"/>
    <n v="0"/>
    <n v="0"/>
    <n v="0"/>
    <n v="0"/>
    <m/>
    <m/>
    <m/>
    <n v="2262.9655011487193"/>
    <n v="0"/>
    <n v="0"/>
    <m/>
    <m/>
    <n v="0"/>
    <n v="0"/>
    <n v="0"/>
    <n v="0"/>
    <n v="0"/>
    <m/>
    <n v="0"/>
    <n v="0"/>
    <m/>
    <n v="0"/>
    <n v="0"/>
    <n v="0"/>
    <n v="0"/>
    <n v="-1789.4769737292831"/>
    <m/>
    <m/>
    <n v="41554.989099954677"/>
    <m/>
    <n v="0"/>
    <n v="0"/>
    <n v="-20746.599999999991"/>
    <m/>
    <n v="0"/>
    <m/>
    <n v="-21226.384948845091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46"/>
    <s v="Regular"/>
    <s v="Convencional"/>
    <s v="B3"/>
    <s v="Comercial"/>
    <s v="Não se aplica"/>
    <s v="Não se aplica"/>
    <s v="Não se aplica"/>
    <s v="Não se aplica"/>
    <s v="CATIVO"/>
    <x v="5"/>
    <n v="0"/>
    <n v="0"/>
    <n v="740.19399999999996"/>
    <n v="740.19399999999996"/>
    <n v="740.19399999999996"/>
    <n v="740.19399999999996"/>
    <m/>
    <n v="648.44000000000005"/>
    <n v="159.41"/>
    <m/>
    <n v="597965.72289999994"/>
    <n v="597965.72289999994"/>
    <n v="452865.49307999999"/>
    <n v="0"/>
    <n v="45870.007694827182"/>
    <n v="0"/>
    <n v="0"/>
    <n v="0"/>
    <n v="86339.504415502946"/>
    <n v="309065.03710464964"/>
    <n v="114160.65112674299"/>
    <n v="3835.4982151661188"/>
    <n v="0"/>
    <n v="0"/>
    <n v="0"/>
    <n v="0"/>
    <n v="7088.13871428722"/>
    <m/>
    <n v="1535.97334250823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44.779055348441"/>
    <n v="0"/>
    <n v="1779.82"/>
    <n v="8440.7999999999993"/>
    <n v="243496.68"/>
    <n v="1496"/>
    <m/>
    <m/>
    <m/>
    <m/>
    <m/>
    <m/>
    <m/>
    <m/>
    <m/>
    <n v="122505.43018209143"/>
    <m/>
    <m/>
    <m/>
    <m/>
    <m/>
    <m/>
    <m/>
    <m/>
    <m/>
    <m/>
    <m/>
    <m/>
    <n v="452863.04580000002"/>
    <n v="-145102.70709999994"/>
    <m/>
    <m/>
    <m/>
    <m/>
    <n v="-165433.35900000003"/>
    <n v="20333.129179999996"/>
    <m/>
    <n v="12771.320611082192"/>
    <n v="0"/>
    <n v="0"/>
    <n v="0"/>
    <n v="0"/>
    <n v="0"/>
    <n v="0"/>
    <n v="0"/>
    <n v="3900.1266092839942"/>
    <n v="0"/>
    <n v="0"/>
    <n v="22634.974227836574"/>
    <n v="0"/>
    <n v="0"/>
    <n v="0"/>
    <n v="1654.5443372173959"/>
    <n v="0"/>
    <n v="-3212.8258288481593"/>
    <m/>
    <n v="0"/>
    <n v="0"/>
    <n v="0"/>
    <n v="0"/>
    <n v="-432.45710272478664"/>
    <n v="-97.868513233232306"/>
    <n v="0"/>
    <n v="-11675.173118449533"/>
    <m/>
    <m/>
    <m/>
    <n v="309065.03710464964"/>
    <n v="0"/>
    <n v="0"/>
    <n v="-165433.359"/>
    <n v="20333.129179999989"/>
    <n v="0"/>
    <n v="0"/>
    <n v="-157871.13879472847"/>
    <n v="0"/>
    <n v="0"/>
    <n v="0"/>
    <n v="0"/>
    <n v="0"/>
    <n v="0"/>
    <n v="0"/>
    <n v="0"/>
    <n v="0"/>
    <n v="0"/>
    <n v="0"/>
    <n v="0"/>
    <n v="21727.80250801422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47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51.427999999999997"/>
    <n v="51.427999999999997"/>
    <n v="51.427999999999997"/>
    <n v="51.427999999999997"/>
    <m/>
    <n v="648.44000000000005"/>
    <n v="159.41"/>
    <m/>
    <n v="41546.109799999998"/>
    <n v="41546.109799999998"/>
    <n v="31464.678959999997"/>
    <n v="0"/>
    <n v="3187.0060493999845"/>
    <n v="0"/>
    <n v="0"/>
    <n v="0"/>
    <n v="5998.7895512264158"/>
    <n v="21473.555214197797"/>
    <n v="7931.7772991217689"/>
    <n v="266.48689696155759"/>
    <n v="0"/>
    <n v="0"/>
    <n v="0"/>
    <n v="0"/>
    <n v="492.47737457796626"/>
    <m/>
    <n v="106.718018598521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9.78759252096029"/>
    <n v="0"/>
    <n v="123.81"/>
    <n v="586.48"/>
    <n v="38131.29"/>
    <n v="119"/>
    <m/>
    <m/>
    <m/>
    <m/>
    <m/>
    <m/>
    <m/>
    <m/>
    <m/>
    <n v="8511.564891642729"/>
    <m/>
    <m/>
    <m/>
    <m/>
    <m/>
    <m/>
    <m/>
    <m/>
    <m/>
    <m/>
    <m/>
    <m/>
    <n v="31465.902600000001"/>
    <n v="-10080.237200000003"/>
    <m/>
    <m/>
    <m/>
    <m/>
    <n v="-11494.158000000003"/>
    <n v="1412.7271599999999"/>
    <m/>
    <n v="887.3396385092783"/>
    <n v="0"/>
    <n v="0"/>
    <n v="0"/>
    <n v="0"/>
    <n v="0"/>
    <n v="0"/>
    <n v="0"/>
    <n v="270.97721848901347"/>
    <n v="0"/>
    <n v="0"/>
    <n v="1572.6572420057155"/>
    <n v="0"/>
    <n v="0"/>
    <n v="0"/>
    <n v="114.95622252330634"/>
    <n v="0"/>
    <n v="-223.22419085537422"/>
    <m/>
    <n v="0"/>
    <n v="0"/>
    <n v="0"/>
    <n v="0"/>
    <n v="-30.046722722597508"/>
    <n v="-6.799814506141189"/>
    <n v="0"/>
    <n v="-811.18031642464348"/>
    <m/>
    <m/>
    <m/>
    <n v="21473.555214197797"/>
    <n v="0"/>
    <n v="0"/>
    <n v="-11494.158000000003"/>
    <n v="1412.7271600000004"/>
    <n v="0"/>
    <n v="0"/>
    <n v="-10968.741878393095"/>
    <n v="0"/>
    <n v="0"/>
    <n v="0"/>
    <n v="0"/>
    <n v="0"/>
    <n v="0"/>
    <n v="0"/>
    <n v="0"/>
    <n v="0"/>
    <n v="0"/>
    <n v="0"/>
    <n v="0"/>
    <n v="1509.627783232713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48"/>
    <s v="Regular"/>
    <s v="Verde"/>
    <s v="A4"/>
    <s v="Comercial"/>
    <s v="Não se aplica"/>
    <s v="Não se aplica"/>
    <s v="Não se aplica"/>
    <s v="Ponta"/>
    <s v="CATIVO"/>
    <x v="5"/>
    <n v="0"/>
    <n v="0"/>
    <n v="12.817"/>
    <n v="12.817"/>
    <n v="12.817"/>
    <n v="12.817"/>
    <m/>
    <n v="2810.7"/>
    <n v="159.41"/>
    <m/>
    <n v="38067.899870000001"/>
    <n v="38067.899870000001"/>
    <n v="24245.790729999997"/>
    <n v="0"/>
    <n v="691.01725102257205"/>
    <n v="0"/>
    <n v="0"/>
    <n v="0"/>
    <n v="7824.978360437116"/>
    <n v="26978.361083733449"/>
    <n v="1976.7750961119179"/>
    <n v="66.414454350864972"/>
    <n v="0"/>
    <n v="0"/>
    <n v="0"/>
    <n v="0"/>
    <n v="122.73630143046189"/>
    <m/>
    <n v="13.7620407803041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.518619658531804"/>
    <n v="0"/>
    <n v="0"/>
    <n v="0"/>
    <n v="0"/>
    <n v="0"/>
    <m/>
    <m/>
    <m/>
    <m/>
    <m/>
    <m/>
    <m/>
    <m/>
    <m/>
    <n v="2043.2937157704498"/>
    <m/>
    <m/>
    <m/>
    <m/>
    <m/>
    <m/>
    <m/>
    <m/>
    <m/>
    <m/>
    <m/>
    <m/>
    <n v="24251.465799999998"/>
    <n v="-13816.464070000009"/>
    <m/>
    <m/>
    <m/>
    <m/>
    <n v="-14174.192129999999"/>
    <n v="352.08299"/>
    <m/>
    <n v="-41.432195684159524"/>
    <n v="0"/>
    <n v="0"/>
    <n v="0"/>
    <n v="0"/>
    <n v="0"/>
    <n v="0"/>
    <n v="0"/>
    <n v="353.46978798655346"/>
    <n v="0"/>
    <n v="0"/>
    <n v="391.94111905551949"/>
    <n v="0"/>
    <n v="0"/>
    <n v="0"/>
    <n v="13.188845953327132"/>
    <n v="0"/>
    <n v="-48.400211463565029"/>
    <m/>
    <n v="0"/>
    <n v="0"/>
    <n v="0"/>
    <n v="0"/>
    <n v="-7.4883107477547668"/>
    <n v="-0.87688401416131256"/>
    <n v="0"/>
    <n v="-743.26654245407929"/>
    <m/>
    <m/>
    <m/>
    <n v="26978.361083733449"/>
    <n v="0"/>
    <n v="0"/>
    <n v="-14174.192130000003"/>
    <n v="352.08299000000011"/>
    <n v="0"/>
    <n v="0"/>
    <n v="-13780.609502142508"/>
    <n v="0"/>
    <n v="0"/>
    <n v="0"/>
    <n v="0"/>
    <n v="0"/>
    <n v="0"/>
    <n v="0"/>
    <n v="0"/>
    <n v="0"/>
    <n v="0"/>
    <n v="0"/>
    <n v="0"/>
    <n v="327.3225167028371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49"/>
    <s v="Sistema de Compensação"/>
    <s v="Verde"/>
    <s v="A4"/>
    <s v="Comercial"/>
    <s v="Não se aplica"/>
    <s v="Não se aplica"/>
    <s v="Não se aplica"/>
    <s v="Ponta"/>
    <s v="CATIVO"/>
    <x v="5"/>
    <n v="0"/>
    <n v="0"/>
    <n v="7.1349999999999998"/>
    <n v="7.1349999999999998"/>
    <n v="7.1349999999999998"/>
    <n v="7.1349999999999998"/>
    <m/>
    <n v="2810.7"/>
    <n v="159.41"/>
    <m/>
    <n v="21191.734850000001"/>
    <n v="21191.734850000001"/>
    <n v="13497.20815"/>
    <n v="0"/>
    <n v="384.67723227323484"/>
    <n v="0"/>
    <n v="0"/>
    <n v="0"/>
    <n v="4356.0287588139836"/>
    <n v="15018.382330688784"/>
    <n v="1100.4361637480326"/>
    <n v="36.971766543919919"/>
    <n v="0"/>
    <n v="0"/>
    <n v="0"/>
    <n v="0"/>
    <n v="68.3251549275451"/>
    <m/>
    <n v="7.6610876934906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029753551035689"/>
    <n v="0"/>
    <n v="0"/>
    <n v="0"/>
    <n v="0"/>
    <n v="0"/>
    <m/>
    <m/>
    <m/>
    <m/>
    <m/>
    <m/>
    <m/>
    <m/>
    <m/>
    <n v="1137.4659172990682"/>
    <m/>
    <m/>
    <m/>
    <m/>
    <m/>
    <m/>
    <m/>
    <m/>
    <m/>
    <m/>
    <m/>
    <m/>
    <n v="13506.6666"/>
    <n v="-7685.0982499999955"/>
    <m/>
    <m/>
    <m/>
    <m/>
    <n v="-7890.5251499999986"/>
    <n v="195.99844999999999"/>
    <m/>
    <n v="-23.06457955890437"/>
    <n v="0"/>
    <n v="0"/>
    <n v="0"/>
    <n v="0"/>
    <n v="0"/>
    <n v="0"/>
    <n v="0"/>
    <n v="196.77045621315847"/>
    <n v="0"/>
    <n v="0"/>
    <n v="218.18677416408923"/>
    <n v="0"/>
    <n v="0"/>
    <n v="0"/>
    <n v="7.3420001464452653"/>
    <n v="0"/>
    <n v="-26.94355221912582"/>
    <m/>
    <n v="0"/>
    <n v="0"/>
    <n v="0"/>
    <n v="0"/>
    <n v="-4.1686117800757074"/>
    <n v="-0.48814601240859457"/>
    <n v="0"/>
    <n v="-413.76350007098819"/>
    <m/>
    <m/>
    <m/>
    <n v="15018.382330688784"/>
    <n v="0"/>
    <n v="0"/>
    <n v="-7890.5251499999995"/>
    <n v="195.99845000000005"/>
    <n v="0"/>
    <n v="0"/>
    <n v="-7671.4245765613477"/>
    <n v="0"/>
    <n v="0"/>
    <n v="0"/>
    <n v="0"/>
    <n v="0"/>
    <n v="0"/>
    <n v="0"/>
    <n v="0"/>
    <n v="0"/>
    <n v="0"/>
    <n v="0"/>
    <n v="0"/>
    <n v="182.2147270558432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50"/>
    <s v="Regular"/>
    <s v="Verde"/>
    <s v="A4"/>
    <s v="Comercial"/>
    <s v="Não se aplica"/>
    <s v="Não se aplica"/>
    <s v="Não se aplica"/>
    <s v="Fora ponta"/>
    <s v="CATIVO"/>
    <x v="5"/>
    <n v="0"/>
    <n v="0"/>
    <n v="172.07499999999999"/>
    <n v="172.07499999999999"/>
    <n v="172.07499999999999"/>
    <n v="172.07499999999999"/>
    <m/>
    <n v="95.29"/>
    <n v="159.41"/>
    <m/>
    <n v="43827.502500000002"/>
    <n v="43827.502500000002"/>
    <n v="47649.288249999998"/>
    <n v="0"/>
    <n v="9277.271863127804"/>
    <n v="0"/>
    <n v="0"/>
    <n v="0"/>
    <n v="0"/>
    <n v="0"/>
    <n v="26539.250578408228"/>
    <n v="891.64915599790038"/>
    <n v="0"/>
    <n v="0"/>
    <n v="0"/>
    <n v="0"/>
    <n v="1647.7997244789519"/>
    <m/>
    <n v="184.76267201925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3.04763031457128"/>
    <n v="0"/>
    <n v="0"/>
    <n v="0"/>
    <n v="0"/>
    <n v="0"/>
    <m/>
    <m/>
    <m/>
    <m/>
    <m/>
    <m/>
    <m/>
    <m/>
    <m/>
    <n v="27432.298208722797"/>
    <m/>
    <m/>
    <m/>
    <m/>
    <m/>
    <m/>
    <m/>
    <m/>
    <m/>
    <m/>
    <m/>
    <m/>
    <n v="47650.6728"/>
    <n v="3823.1403000000064"/>
    <m/>
    <m/>
    <m/>
    <m/>
    <n v="-905.11450000000082"/>
    <n v="4726.9002499999997"/>
    <m/>
    <n v="3821.2418569890579"/>
    <n v="0"/>
    <n v="0"/>
    <n v="0"/>
    <n v="0"/>
    <n v="0"/>
    <n v="0"/>
    <n v="0"/>
    <n v="0"/>
    <n v="0"/>
    <n v="0"/>
    <n v="5262.0167013714999"/>
    <n v="0"/>
    <n v="0"/>
    <n v="0"/>
    <n v="177.06722847926699"/>
    <n v="0"/>
    <n v="-649.79842300015116"/>
    <m/>
    <n v="0"/>
    <n v="0"/>
    <n v="0"/>
    <n v="0"/>
    <n v="-100.53453007099165"/>
    <n v="-11.772631406476364"/>
    <n v="0"/>
    <n v="-855.7364883840977"/>
    <m/>
    <m/>
    <m/>
    <n v="0"/>
    <n v="0"/>
    <n v="0"/>
    <n v="-905.1145000000015"/>
    <n v="4726.9002499999988"/>
    <n v="0"/>
    <n v="0"/>
    <n v="0"/>
    <n v="0"/>
    <n v="0"/>
    <n v="0"/>
    <n v="0"/>
    <n v="0"/>
    <n v="0"/>
    <n v="0"/>
    <n v="0"/>
    <n v="0"/>
    <n v="0"/>
    <n v="0"/>
    <n v="0"/>
    <n v="4394.477807727291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51"/>
    <s v="Sistema de Compensação"/>
    <s v="Verde"/>
    <s v="A4"/>
    <s v="Comercial"/>
    <s v="Não se aplica"/>
    <s v="Não se aplica"/>
    <s v="Não se aplica"/>
    <s v="Fora ponta"/>
    <s v="CATIVO"/>
    <x v="5"/>
    <n v="0"/>
    <n v="0"/>
    <n v="31.003"/>
    <n v="31.003"/>
    <n v="31.003"/>
    <n v="31.003"/>
    <m/>
    <n v="95.29"/>
    <n v="159.41"/>
    <m/>
    <n v="7896.4641000000001"/>
    <n v="7896.4641000000001"/>
    <n v="8585.0407299999988"/>
    <n v="0"/>
    <n v="1671.499401845424"/>
    <n v="0"/>
    <n v="0"/>
    <n v="0"/>
    <n v="0"/>
    <n v="0"/>
    <n v="4781.6149102565178"/>
    <n v="160.64970962314635"/>
    <n v="0"/>
    <n v="0"/>
    <n v="0"/>
    <n v="0"/>
    <n v="296.88644403905829"/>
    <m/>
    <n v="33.288956098289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90167475021155"/>
    <n v="0"/>
    <n v="0"/>
    <n v="0"/>
    <n v="0"/>
    <n v="0"/>
    <m/>
    <m/>
    <m/>
    <m/>
    <m/>
    <m/>
    <m/>
    <m/>
    <m/>
    <n v="4942.5165850067297"/>
    <m/>
    <m/>
    <m/>
    <m/>
    <m/>
    <m/>
    <m/>
    <m/>
    <m/>
    <m/>
    <m/>
    <m/>
    <n v="8584.2099999999991"/>
    <n v="687.71589999999833"/>
    <m/>
    <m/>
    <m/>
    <m/>
    <n v="-163.07578000000015"/>
    <n v="851.65240999999992"/>
    <m/>
    <n v="688.4786360147109"/>
    <n v="0"/>
    <n v="0"/>
    <n v="0"/>
    <n v="0"/>
    <n v="0"/>
    <n v="0"/>
    <n v="0"/>
    <n v="0"/>
    <n v="0"/>
    <n v="0"/>
    <n v="948.06510993822849"/>
    <n v="0"/>
    <n v="0"/>
    <n v="0"/>
    <n v="31.902456978310113"/>
    <n v="0"/>
    <n v="-117.07511555004317"/>
    <m/>
    <n v="0"/>
    <n v="0"/>
    <n v="0"/>
    <n v="0"/>
    <n v="-18.113450738288293"/>
    <n v="-2.1210919162864244"/>
    <n v="0"/>
    <n v="-154.17927269720869"/>
    <m/>
    <m/>
    <m/>
    <n v="0"/>
    <n v="0"/>
    <n v="0"/>
    <n v="-163.07578000000058"/>
    <n v="851.65240999999969"/>
    <n v="0"/>
    <n v="0"/>
    <n v="0"/>
    <n v="0"/>
    <n v="0"/>
    <n v="0"/>
    <n v="0"/>
    <n v="0"/>
    <n v="0"/>
    <n v="0"/>
    <n v="0"/>
    <n v="0"/>
    <n v="0"/>
    <n v="0"/>
    <n v="0"/>
    <n v="791.7593809267425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52"/>
    <s v="Regular"/>
    <s v="Verde"/>
    <s v="A4"/>
    <s v="Comercial"/>
    <s v="Não se aplica"/>
    <s v="Não se aplica"/>
    <s v="Não se aplica"/>
    <s v="Não se aplica"/>
    <s v="CATIVO"/>
    <x v="5"/>
    <n v="1592"/>
    <n v="1592"/>
    <n v="0"/>
    <n v="0"/>
    <n v="0"/>
    <n v="0"/>
    <n v="43.29"/>
    <m/>
    <m/>
    <n v="68917.679999999993"/>
    <m/>
    <n v="68917.679999999993"/>
    <n v="53316.08"/>
    <n v="0"/>
    <n v="0"/>
    <n v="0"/>
    <n v="0"/>
    <n v="0"/>
    <n v="37673.067556233298"/>
    <n v="31249.6658701595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16.45000000000005"/>
    <n v="2441.7600000000002"/>
    <n v="66961.289999999994"/>
    <n v="12"/>
    <m/>
    <m/>
    <m/>
    <m/>
    <m/>
    <m/>
    <m/>
    <m/>
    <m/>
    <n v="0"/>
    <m/>
    <m/>
    <m/>
    <m/>
    <m/>
    <m/>
    <m/>
    <m/>
    <m/>
    <m/>
    <m/>
    <m/>
    <n v="53316.08"/>
    <n v="-15601.629999999976"/>
    <m/>
    <m/>
    <m/>
    <m/>
    <n v="-15601.599999999995"/>
    <n v="0"/>
    <m/>
    <n v="356.06695118173957"/>
    <n v="0"/>
    <n v="0"/>
    <n v="0"/>
    <n v="0"/>
    <m/>
    <m/>
    <m/>
    <n v="1701.7671600513786"/>
    <n v="0"/>
    <n v="0"/>
    <m/>
    <m/>
    <n v="0"/>
    <n v="0"/>
    <n v="0"/>
    <n v="0"/>
    <n v="0"/>
    <m/>
    <n v="0"/>
    <n v="0"/>
    <m/>
    <n v="0"/>
    <n v="0"/>
    <n v="0"/>
    <n v="0"/>
    <n v="-1345.7002088696356"/>
    <m/>
    <m/>
    <n v="31249.665870159584"/>
    <m/>
    <n v="0"/>
    <n v="0"/>
    <n v="-15601.599999999991"/>
    <m/>
    <n v="0"/>
    <m/>
    <n v="-15962.401907681331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53"/>
    <s v="Sistema de Compensação"/>
    <s v="Verde"/>
    <s v="A4"/>
    <s v="Comercial"/>
    <s v="Não se aplica"/>
    <s v="Não se aplica"/>
    <s v="Não se aplica"/>
    <s v="Não se aplica"/>
    <s v="CATIVO"/>
    <x v="5"/>
    <n v="926"/>
    <n v="926"/>
    <n v="0"/>
    <n v="0"/>
    <n v="0"/>
    <n v="0"/>
    <n v="43.29"/>
    <m/>
    <m/>
    <n v="40086.54"/>
    <m/>
    <n v="40086.54"/>
    <n v="31011.74"/>
    <n v="0"/>
    <n v="0"/>
    <n v="0"/>
    <n v="0"/>
    <n v="0"/>
    <n v="21912.852108713589"/>
    <n v="18176.6272586481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7.4"/>
    <n v="933.3"/>
    <n v="28982.76"/>
    <n v="6"/>
    <m/>
    <m/>
    <m/>
    <m/>
    <m/>
    <m/>
    <m/>
    <m/>
    <m/>
    <n v="0"/>
    <m/>
    <m/>
    <m/>
    <m/>
    <m/>
    <m/>
    <m/>
    <m/>
    <m/>
    <m/>
    <m/>
    <m/>
    <n v="31011.74"/>
    <n v="-9074.8300000000054"/>
    <m/>
    <m/>
    <m/>
    <m/>
    <n v="-9074.7999999999975"/>
    <n v="0"/>
    <m/>
    <n v="207.10929446877708"/>
    <n v="0"/>
    <n v="0"/>
    <n v="0"/>
    <n v="0"/>
    <m/>
    <m/>
    <m/>
    <n v="989.84697877360304"/>
    <n v="0"/>
    <n v="0"/>
    <m/>
    <m/>
    <n v="0"/>
    <n v="0"/>
    <n v="0"/>
    <n v="0"/>
    <n v="0"/>
    <m/>
    <n v="0"/>
    <n v="0"/>
    <m/>
    <n v="0"/>
    <n v="0"/>
    <n v="0"/>
    <n v="0"/>
    <n v="-782.73768430482573"/>
    <m/>
    <m/>
    <n v="18176.627258648103"/>
    <m/>
    <n v="0"/>
    <n v="0"/>
    <n v="-9074.7999999999993"/>
    <m/>
    <n v="0"/>
    <m/>
    <n v="-9284.663421176455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54"/>
    <s v="Regular"/>
    <s v="Convencional"/>
    <s v="B2"/>
    <s v="Rural"/>
    <s v="Não se aplica"/>
    <s v="Não se aplica"/>
    <s v="Não se aplica"/>
    <s v="Não se aplica"/>
    <s v="CATIVO"/>
    <x v="5"/>
    <n v="0"/>
    <n v="0"/>
    <n v="4294.2209999999995"/>
    <n v="4294.2209999999995"/>
    <n v="4294.2209999999995"/>
    <n v="4294.2209999999995"/>
    <m/>
    <n v="648.44000000000005"/>
    <n v="159.41"/>
    <m/>
    <n v="3469086.4348499998"/>
    <n v="3469086.4348499998"/>
    <n v="2627290.2922199997"/>
    <n v="0"/>
    <n v="266113.95163063798"/>
    <n v="0"/>
    <n v="0"/>
    <n v="0"/>
    <n v="500896.94457216008"/>
    <n v="1793034.7621036724"/>
    <n v="662300.78255448351"/>
    <n v="22251.567806587009"/>
    <n v="0"/>
    <n v="0"/>
    <n v="0"/>
    <n v="0"/>
    <n v="41121.697984319217"/>
    <m/>
    <n v="8910.9192763506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12.072321360938"/>
    <n v="0"/>
    <n v="6977.48"/>
    <n v="33310.31"/>
    <n v="240931.22"/>
    <n v="13906"/>
    <m/>
    <m/>
    <m/>
    <m/>
    <m/>
    <n v="315281.70582000003"/>
    <m/>
    <m/>
    <m/>
    <n v="710712.85487584444"/>
    <m/>
    <m/>
    <m/>
    <m/>
    <m/>
    <m/>
    <m/>
    <m/>
    <m/>
    <m/>
    <m/>
    <m/>
    <n v="2312008.0480000004"/>
    <n v="-740796.63310999889"/>
    <m/>
    <m/>
    <m/>
    <m/>
    <n v="-959758.39350000012"/>
    <n v="117962.25086999999"/>
    <m/>
    <n v="74092.566497218562"/>
    <n v="0"/>
    <n v="0"/>
    <n v="0"/>
    <n v="0"/>
    <n v="0"/>
    <n v="0"/>
    <n v="0"/>
    <n v="22626.508169812383"/>
    <n v="0"/>
    <n v="0"/>
    <n v="131316.35985111282"/>
    <n v="0"/>
    <n v="0"/>
    <n v="0"/>
    <n v="9598.8065808558604"/>
    <n v="0"/>
    <n v="-18639.146147607476"/>
    <m/>
    <n v="0"/>
    <n v="0"/>
    <n v="0"/>
    <n v="0"/>
    <n v="-2508.8914151154095"/>
    <n v="-567.78226352135243"/>
    <n v="0"/>
    <n v="-67733.288278318199"/>
    <m/>
    <m/>
    <m/>
    <n v="1793034.7621036724"/>
    <n v="0"/>
    <n v="0"/>
    <n v="-959758.39350000024"/>
    <n v="117962.25086999999"/>
    <n v="0"/>
    <n v="0"/>
    <n v="-915886.32102697087"/>
    <n v="0"/>
    <n v="0"/>
    <n v="0"/>
    <n v="0"/>
    <n v="0"/>
    <n v="0"/>
    <n v="0"/>
    <n v="0"/>
    <n v="0"/>
    <n v="0"/>
    <n v="0"/>
    <n v="0"/>
    <n v="126053.4208785363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55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25.366"/>
    <n v="-25.366"/>
    <n v="-25.366"/>
    <n v="-25.366"/>
    <m/>
    <n v="648.44000000000005"/>
    <n v="159.41"/>
    <m/>
    <n v="-20491.9231"/>
    <n v="-20491.9231"/>
    <n v="-15519.42612"/>
    <n v="0"/>
    <n v="-1571.93737748075"/>
    <n v="0"/>
    <n v="0"/>
    <n v="0"/>
    <n v="-2958.8025152914611"/>
    <n v="-10591.471602304995"/>
    <n v="-3912.2163601447228"/>
    <n v="-131.44020044191629"/>
    <n v="0"/>
    <n v="0"/>
    <n v="0"/>
    <n v="0"/>
    <n v="-242.90622002692487"/>
    <m/>
    <n v="-52.6368760163740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85.97052329249976"/>
    <n v="0"/>
    <n v="-81.47"/>
    <n v="-364.9"/>
    <n v="-7.19"/>
    <n v="0"/>
    <m/>
    <m/>
    <m/>
    <m/>
    <m/>
    <n v="-1862.3717200000006"/>
    <m/>
    <m/>
    <m/>
    <n v="-4198.1868834372226"/>
    <m/>
    <m/>
    <m/>
    <m/>
    <m/>
    <m/>
    <m/>
    <m/>
    <m/>
    <m/>
    <m/>
    <m/>
    <n v="-13659.208000000001"/>
    <n v="4373.705060000002"/>
    <m/>
    <m/>
    <m/>
    <m/>
    <n v="5669.3010000000013"/>
    <n v="-696.80401999999992"/>
    <m/>
    <n v="-437.66542098519312"/>
    <n v="0"/>
    <n v="0"/>
    <n v="0"/>
    <n v="0"/>
    <n v="0"/>
    <n v="0"/>
    <n v="0"/>
    <n v="-133.65497635903284"/>
    <n v="0"/>
    <n v="0"/>
    <n v="-775.6868554234461"/>
    <n v="0"/>
    <n v="0"/>
    <n v="0"/>
    <n v="-56.700232179477894"/>
    <n v="0"/>
    <n v="110.10159495289395"/>
    <m/>
    <n v="0"/>
    <n v="0"/>
    <n v="0"/>
    <n v="0"/>
    <n v="14.820042945115659"/>
    <n v="3.3538946636613787"/>
    <n v="0"/>
    <n v="400.10111041509504"/>
    <m/>
    <m/>
    <m/>
    <n v="-10591.471602304995"/>
    <n v="0"/>
    <n v="0"/>
    <n v="5669.3010000000013"/>
    <n v="-696.80402000000004"/>
    <n v="0"/>
    <n v="0"/>
    <n v="5410.1482944567006"/>
    <n v="0"/>
    <n v="0"/>
    <n v="0"/>
    <n v="0"/>
    <n v="0"/>
    <n v="0"/>
    <n v="0"/>
    <n v="0"/>
    <n v="0"/>
    <n v="0"/>
    <n v="0"/>
    <n v="0"/>
    <n v="-744.5986301135767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56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68.828000000000003"/>
    <n v="68.828000000000003"/>
    <n v="68.828000000000003"/>
    <n v="68.828000000000003"/>
    <m/>
    <n v="648.44000000000005"/>
    <n v="159.41"/>
    <m/>
    <n v="55602.699800000009"/>
    <n v="55602.699800000009"/>
    <n v="42110.346960000003"/>
    <n v="0"/>
    <n v="4265.2884103621018"/>
    <n v="0"/>
    <n v="0"/>
    <n v="0"/>
    <n v="8028.4025673137548"/>
    <n v="28738.855453892938"/>
    <n v="10615.391769929865"/>
    <n v="356.64929890468397"/>
    <n v="0"/>
    <n v="0"/>
    <n v="0"/>
    <n v="0"/>
    <n v="659.10073768087943"/>
    <m/>
    <n v="142.82468274284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5.95124091997855"/>
    <n v="0"/>
    <n v="110.85"/>
    <n v="529.72"/>
    <n v="4657.3500000000004"/>
    <n v="326"/>
    <m/>
    <m/>
    <m/>
    <m/>
    <m/>
    <n v="5053.3517600000014"/>
    <m/>
    <m/>
    <m/>
    <n v="11391.343010849843"/>
    <m/>
    <m/>
    <m/>
    <m/>
    <m/>
    <m/>
    <m/>
    <m/>
    <m/>
    <m/>
    <m/>
    <m/>
    <n v="37058.072"/>
    <n v="-11872.471480000007"/>
    <m/>
    <m/>
    <m/>
    <m/>
    <n v="-15383.058000000005"/>
    <n v="1890.70516"/>
    <m/>
    <n v="1187.5595519817361"/>
    <n v="0"/>
    <n v="0"/>
    <n v="0"/>
    <n v="0"/>
    <n v="0"/>
    <n v="0"/>
    <n v="0"/>
    <n v="362.65886276273341"/>
    <n v="0"/>
    <n v="0"/>
    <n v="2104.7455209763066"/>
    <n v="0"/>
    <n v="0"/>
    <n v="0"/>
    <n v="153.85017663207066"/>
    <n v="0"/>
    <n v="-298.74921459504003"/>
    <m/>
    <n v="0"/>
    <n v="0"/>
    <n v="0"/>
    <n v="0"/>
    <n v="-40.212643531752065"/>
    <n v="-9.1004439766019516"/>
    <n v="0"/>
    <n v="-1085.6327062859798"/>
    <m/>
    <m/>
    <m/>
    <n v="28738.855453892938"/>
    <n v="0"/>
    <n v="0"/>
    <n v="-15383.058000000008"/>
    <n v="1890.7051600000013"/>
    <n v="0"/>
    <n v="0"/>
    <n v="-14679.874115385392"/>
    <n v="0"/>
    <n v="0"/>
    <n v="0"/>
    <n v="0"/>
    <n v="0"/>
    <n v="0"/>
    <n v="0"/>
    <n v="0"/>
    <n v="0"/>
    <n v="0"/>
    <n v="0"/>
    <n v="0"/>
    <n v="2020.390858371728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57"/>
    <s v="Regular"/>
    <s v="Verde"/>
    <s v="A4"/>
    <s v="Rural"/>
    <s v="Não se aplica"/>
    <s v="Não se aplica"/>
    <s v="Não se aplica"/>
    <s v="Ponta"/>
    <s v="CATIVO"/>
    <x v="5"/>
    <n v="0"/>
    <n v="0"/>
    <n v="39.468000000000004"/>
    <n v="37.889279999999999"/>
    <n v="39.468000000000004"/>
    <n v="37.889279999999999"/>
    <m/>
    <n v="2810.7"/>
    <n v="159.41"/>
    <m/>
    <n v="117224.30148000001"/>
    <n v="117224.30148000001"/>
    <n v="74661.220920000007"/>
    <n v="0"/>
    <n v="2127.88241112264"/>
    <n v="0"/>
    <n v="0"/>
    <n v="0"/>
    <n v="24095.829439785608"/>
    <n v="83075.755266660824"/>
    <n v="6087.1779272329859"/>
    <n v="204.51319999375355"/>
    <n v="0"/>
    <n v="0"/>
    <n v="0"/>
    <n v="0"/>
    <n v="377.94775258309045"/>
    <m/>
    <n v="42.378109192248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4.83396119863724"/>
    <n v="0"/>
    <n v="0"/>
    <n v="0"/>
    <n v="0"/>
    <n v="0"/>
    <m/>
    <m/>
    <m/>
    <m/>
    <m/>
    <n v="2986.4488368000075"/>
    <m/>
    <m/>
    <m/>
    <n v="6292.0118884316234"/>
    <m/>
    <m/>
    <m/>
    <m/>
    <m/>
    <m/>
    <m/>
    <m/>
    <m/>
    <m/>
    <m/>
    <m/>
    <n v="71676.134099999996"/>
    <n v="-40859.225320799975"/>
    <m/>
    <m/>
    <m/>
    <m/>
    <n v="-43647.266519999997"/>
    <n v="1084.18596"/>
    <m/>
    <n v="-127.58413819634006"/>
    <n v="0"/>
    <n v="0"/>
    <n v="0"/>
    <n v="0"/>
    <n v="0"/>
    <n v="0"/>
    <n v="0"/>
    <n v="1088.4563932475066"/>
    <n v="0"/>
    <n v="0"/>
    <n v="1206.9229996788054"/>
    <n v="0"/>
    <n v="0"/>
    <n v="0"/>
    <n v="40.613042996482392"/>
    <n v="0"/>
    <n v="-149.04108184785719"/>
    <m/>
    <n v="0"/>
    <n v="0"/>
    <n v="0"/>
    <n v="0"/>
    <n v="-23.059112787109711"/>
    <n v="-2.7002308083731492"/>
    <n v="0"/>
    <n v="-2288.77614867579"/>
    <m/>
    <m/>
    <m/>
    <n v="83075.755266660824"/>
    <n v="0"/>
    <n v="0"/>
    <n v="-43647.266520000005"/>
    <n v="1084.1859599999998"/>
    <n v="0"/>
    <n v="0"/>
    <n v="-42435.288743899546"/>
    <n v="0"/>
    <n v="0"/>
    <n v="0"/>
    <n v="0"/>
    <n v="0"/>
    <n v="0"/>
    <n v="0"/>
    <n v="0"/>
    <n v="0"/>
    <n v="0"/>
    <n v="0"/>
    <n v="0"/>
    <n v="1007.939852479330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58"/>
    <s v="Sistema de Compensação"/>
    <s v="Verde"/>
    <s v="A4"/>
    <s v="Rural"/>
    <s v="Não se aplica"/>
    <s v="Não se aplica"/>
    <s v="Não se aplica"/>
    <s v="Ponta"/>
    <s v="CATIVO"/>
    <x v="5"/>
    <n v="0"/>
    <n v="0"/>
    <n v="6.4240000000000004"/>
    <n v="6.1670400000000001"/>
    <n v="6.4240000000000004"/>
    <n v="6.1670400000000001"/>
    <m/>
    <n v="2810.7"/>
    <n v="159.41"/>
    <m/>
    <n v="19079.986639999999"/>
    <n v="19079.986639999999"/>
    <n v="12152.216560000001"/>
    <n v="0"/>
    <n v="346.34429434103168"/>
    <n v="0"/>
    <n v="0"/>
    <n v="0"/>
    <n v="3921.9521719160521"/>
    <n v="13521.806319880134"/>
    <n v="990.77812416501217"/>
    <n v="33.287544257623203"/>
    <n v="0"/>
    <n v="0"/>
    <n v="0"/>
    <n v="0"/>
    <n v="61.516579573167448"/>
    <m/>
    <n v="6.89766325760115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339752881829476"/>
    <n v="0"/>
    <n v="0"/>
    <n v="0"/>
    <n v="0"/>
    <n v="0"/>
    <m/>
    <m/>
    <m/>
    <m/>
    <m/>
    <n v="486.08866240000054"/>
    <m/>
    <m/>
    <m/>
    <n v="1024.1178770468416"/>
    <m/>
    <m/>
    <m/>
    <m/>
    <m/>
    <m/>
    <m/>
    <m/>
    <m/>
    <m/>
    <m/>
    <m/>
    <n v="11671.7273"/>
    <n v="-6645.0898743999951"/>
    <m/>
    <m/>
    <m/>
    <m/>
    <n v="-7104.2373599999992"/>
    <n v="176.46728000000002"/>
    <m/>
    <n v="-20.766203095502533"/>
    <n v="0"/>
    <n v="0"/>
    <n v="0"/>
    <n v="0"/>
    <n v="0"/>
    <n v="0"/>
    <n v="0"/>
    <n v="177.16235609156683"/>
    <n v="0"/>
    <n v="0"/>
    <n v="196.44454621304965"/>
    <n v="0"/>
    <n v="0"/>
    <n v="0"/>
    <n v="6.6103726616348126"/>
    <n v="0"/>
    <n v="-24.258637625180768"/>
    <m/>
    <n v="0"/>
    <n v="0"/>
    <n v="0"/>
    <n v="0"/>
    <n v="-3.7532112228740431"/>
    <n v="-0.43950245041525093"/>
    <n v="0"/>
    <n v="-372.5321267632836"/>
    <m/>
    <m/>
    <m/>
    <n v="13521.806319880134"/>
    <n v="0"/>
    <n v="0"/>
    <n v="-7104.2373599999992"/>
    <n v="176.46727999999985"/>
    <n v="0"/>
    <n v="0"/>
    <n v="-6906.9700742578971"/>
    <n v="0"/>
    <n v="0"/>
    <n v="0"/>
    <n v="0"/>
    <n v="0"/>
    <n v="0"/>
    <n v="0"/>
    <n v="0"/>
    <n v="0"/>
    <n v="0"/>
    <n v="0"/>
    <n v="0"/>
    <n v="164.057099734651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59"/>
    <s v="Regular"/>
    <s v="Verde"/>
    <s v="A4"/>
    <s v="Rural"/>
    <s v="Não se aplica"/>
    <s v="Não se aplica"/>
    <s v="Não se aplica"/>
    <s v="Fora ponta"/>
    <s v="CATIVO"/>
    <x v="5"/>
    <n v="0"/>
    <n v="0"/>
    <n v="730.21400000000006"/>
    <n v="701.00544000000002"/>
    <n v="730.21400000000006"/>
    <n v="701.00544000000002"/>
    <m/>
    <n v="95.29"/>
    <n v="159.41"/>
    <m/>
    <n v="185985.50580000001"/>
    <n v="185985.50580000001"/>
    <n v="202203.55874000001"/>
    <n v="0"/>
    <n v="39368.84379637953"/>
    <n v="0"/>
    <n v="0"/>
    <n v="0"/>
    <n v="0"/>
    <n v="0"/>
    <n v="112621.42857394618"/>
    <n v="3783.7843777297744"/>
    <n v="0"/>
    <n v="0"/>
    <n v="0"/>
    <n v="0"/>
    <n v="6992.5696818868146"/>
    <m/>
    <n v="784.055149126085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89.7189151388898"/>
    <n v="0"/>
    <n v="0"/>
    <n v="0"/>
    <n v="0"/>
    <n v="0"/>
    <m/>
    <m/>
    <m/>
    <m/>
    <m/>
    <n v="8088.1423496000098"/>
    <m/>
    <m/>
    <m/>
    <n v="116411.14748908507"/>
    <m/>
    <m/>
    <m/>
    <m/>
    <m/>
    <m/>
    <m/>
    <m/>
    <m/>
    <m/>
    <m/>
    <m/>
    <n v="194116.67910000001"/>
    <n v="15570.563532"/>
    <m/>
    <m/>
    <m/>
    <m/>
    <n v="-3840.925640000004"/>
    <n v="20058.978579999999"/>
    <m/>
    <n v="16215.744886586675"/>
    <n v="0"/>
    <n v="0"/>
    <n v="0"/>
    <n v="0"/>
    <n v="0"/>
    <n v="0"/>
    <n v="0"/>
    <n v="0"/>
    <n v="0"/>
    <n v="0"/>
    <n v="22329.787962082162"/>
    <n v="0"/>
    <n v="0"/>
    <n v="0"/>
    <n v="751.39892010320773"/>
    <n v="0"/>
    <n v="-2757.4714842518224"/>
    <m/>
    <n v="0"/>
    <n v="0"/>
    <n v="0"/>
    <n v="0"/>
    <n v="-426.62630446758158"/>
    <n v="-49.958101234047604"/>
    <n v="0"/>
    <n v="-3631.3861056452456"/>
    <m/>
    <m/>
    <m/>
    <n v="0"/>
    <n v="0"/>
    <n v="0"/>
    <n v="-3840.9256400000013"/>
    <n v="20058.97858000001"/>
    <n v="0"/>
    <n v="0"/>
    <n v="0"/>
    <n v="0"/>
    <n v="0"/>
    <n v="0"/>
    <n v="0"/>
    <n v="0"/>
    <n v="0"/>
    <n v="0"/>
    <n v="0"/>
    <n v="0"/>
    <n v="0"/>
    <n v="0"/>
    <n v="0"/>
    <n v="18648.31740747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60"/>
    <s v="Sistema de Compensação"/>
    <s v="Verde"/>
    <s v="A4"/>
    <s v="Rural"/>
    <s v="Não se aplica"/>
    <s v="Não se aplica"/>
    <s v="Não se aplica"/>
    <s v="Fora ponta"/>
    <s v="CATIVO"/>
    <x v="5"/>
    <n v="0"/>
    <n v="0"/>
    <n v="19.356999999999999"/>
    <n v="18.582719999999998"/>
    <n v="19.356999999999999"/>
    <n v="18.582719999999998"/>
    <m/>
    <n v="95.29"/>
    <n v="159.41"/>
    <m/>
    <n v="4930.2278999999999"/>
    <n v="4930.2278999999999"/>
    <n v="5360.1468699999996"/>
    <n v="0"/>
    <n v="1043.6155830571838"/>
    <n v="0"/>
    <n v="0"/>
    <n v="0"/>
    <n v="0"/>
    <n v="0"/>
    <n v="2985.4439834156506"/>
    <n v="100.30308128810901"/>
    <n v="0"/>
    <n v="0"/>
    <n v="0"/>
    <n v="0"/>
    <n v="185.36370342431542"/>
    <m/>
    <n v="20.7842571104273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.4603979659983"/>
    <n v="0"/>
    <n v="0"/>
    <n v="0"/>
    <n v="0"/>
    <n v="0"/>
    <m/>
    <m/>
    <m/>
    <m/>
    <m/>
    <n v="214.40587480000028"/>
    <m/>
    <m/>
    <m/>
    <n v="3085.9043813816488"/>
    <m/>
    <m/>
    <m/>
    <m/>
    <m/>
    <m/>
    <m/>
    <m/>
    <m/>
    <m/>
    <m/>
    <m/>
    <n v="5144.987799999999"/>
    <n v="411.93901599999936"/>
    <m/>
    <m/>
    <m/>
    <m/>
    <n v="-101.8178200000001"/>
    <n v="531.73678999999993"/>
    <m/>
    <n v="429.8577865799034"/>
    <n v="0"/>
    <n v="0"/>
    <n v="0"/>
    <n v="0"/>
    <n v="0"/>
    <n v="0"/>
    <n v="0"/>
    <n v="0"/>
    <n v="0"/>
    <n v="0"/>
    <n v="591.93292046170654"/>
    <n v="0"/>
    <n v="0"/>
    <n v="0"/>
    <n v="19.918583999262935"/>
    <n v="0"/>
    <n v="-73.096894226435666"/>
    <m/>
    <n v="0"/>
    <n v="0"/>
    <n v="0"/>
    <n v="0"/>
    <n v="-11.309294776023165"/>
    <n v="-1.3243226856612722"/>
    <n v="0"/>
    <n v="-96.263206192944835"/>
    <m/>
    <m/>
    <m/>
    <n v="0"/>
    <n v="0"/>
    <n v="0"/>
    <n v="-101.81781999999998"/>
    <n v="531.73678999999993"/>
    <n v="0"/>
    <n v="0"/>
    <n v="0"/>
    <n v="0"/>
    <n v="0"/>
    <n v="0"/>
    <n v="0"/>
    <n v="0"/>
    <n v="0"/>
    <n v="0"/>
    <n v="0"/>
    <n v="0"/>
    <n v="0"/>
    <n v="0"/>
    <n v="0"/>
    <n v="494.3420422732946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61"/>
    <s v="Regular"/>
    <s v="Verde"/>
    <s v="A4"/>
    <s v="Rural"/>
    <s v="Não se aplica"/>
    <s v="Não se aplica"/>
    <s v="Não se aplica"/>
    <s v="Não se aplica"/>
    <s v="CATIVO"/>
    <x v="5"/>
    <n v="3177"/>
    <n v="3049.92"/>
    <n v="0"/>
    <n v="0"/>
    <n v="0"/>
    <n v="0"/>
    <n v="43.29"/>
    <m/>
    <m/>
    <n v="137532.32999999999"/>
    <m/>
    <n v="137532.32999999999"/>
    <n v="106397.73000000001"/>
    <n v="0"/>
    <n v="0"/>
    <n v="0"/>
    <n v="0"/>
    <n v="0"/>
    <n v="75180.48720235753"/>
    <n v="62361.927430588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73.8699999999999"/>
    <n v="5076.91"/>
    <n v="161.72"/>
    <n v="23"/>
    <m/>
    <m/>
    <m/>
    <m/>
    <m/>
    <n v="4255.9091999999982"/>
    <m/>
    <m/>
    <m/>
    <n v="0"/>
    <m/>
    <m/>
    <m/>
    <m/>
    <m/>
    <m/>
    <m/>
    <m/>
    <m/>
    <m/>
    <m/>
    <m/>
    <n v="102141.8208"/>
    <n v="-29889.246000000028"/>
    <m/>
    <m/>
    <m/>
    <m/>
    <n v="-31134.599999999991"/>
    <n v="0"/>
    <m/>
    <n v="710.56828134697571"/>
    <n v="0"/>
    <n v="0"/>
    <n v="0"/>
    <n v="0"/>
    <m/>
    <m/>
    <m/>
    <n v="3396.0516755547869"/>
    <n v="0"/>
    <n v="0"/>
    <m/>
    <m/>
    <n v="0"/>
    <n v="0"/>
    <n v="0"/>
    <n v="0"/>
    <n v="0"/>
    <m/>
    <n v="0"/>
    <n v="0"/>
    <m/>
    <n v="0"/>
    <n v="0"/>
    <n v="0"/>
    <n v="0"/>
    <n v="-2685.4833942078094"/>
    <m/>
    <m/>
    <n v="62361.92743058857"/>
    <m/>
    <n v="0"/>
    <n v="0"/>
    <n v="-31134.599999999977"/>
    <m/>
    <n v="0"/>
    <m/>
    <n v="-31854.6173748138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62"/>
    <s v="Sistema de Compensação"/>
    <s v="Verde"/>
    <s v="A4"/>
    <s v="Rural"/>
    <s v="Não se aplica"/>
    <s v="Não se aplica"/>
    <s v="Não se aplica"/>
    <s v="Não se aplica"/>
    <s v="CATIVO"/>
    <x v="5"/>
    <n v="283"/>
    <n v="271.68"/>
    <n v="0"/>
    <n v="0"/>
    <n v="0"/>
    <n v="0"/>
    <n v="43.29"/>
    <m/>
    <m/>
    <n v="12251.07"/>
    <m/>
    <n v="12251.07"/>
    <n v="9477.67"/>
    <n v="0"/>
    <n v="0"/>
    <n v="0"/>
    <n v="0"/>
    <n v="0"/>
    <n v="6696.9083658379541"/>
    <n v="5555.05995053716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0.5"/>
    <n v="333.34"/>
    <n v="39.99"/>
    <n v="3"/>
    <m/>
    <m/>
    <m/>
    <m/>
    <m/>
    <n v="379.10679999999979"/>
    <m/>
    <m/>
    <m/>
    <n v="0"/>
    <m/>
    <m/>
    <m/>
    <m/>
    <m/>
    <m/>
    <m/>
    <m/>
    <m/>
    <m/>
    <m/>
    <m/>
    <n v="9098.5632000000005"/>
    <n v="-2662.4940000000006"/>
    <m/>
    <m/>
    <m/>
    <m/>
    <n v="-2773.3999999999992"/>
    <n v="0"/>
    <m/>
    <n v="63.295821095749488"/>
    <n v="0"/>
    <n v="0"/>
    <n v="0"/>
    <n v="0"/>
    <m/>
    <m/>
    <m/>
    <n v="302.51262958199732"/>
    <n v="0"/>
    <n v="0"/>
    <m/>
    <m/>
    <n v="0"/>
    <n v="0"/>
    <n v="0"/>
    <n v="0"/>
    <n v="0"/>
    <m/>
    <n v="0"/>
    <n v="0"/>
    <m/>
    <n v="0"/>
    <n v="0"/>
    <n v="0"/>
    <n v="0"/>
    <n v="-239.21680848624806"/>
    <m/>
    <m/>
    <n v="5555.0599505371629"/>
    <m/>
    <n v="0"/>
    <n v="0"/>
    <n v="-2773.3999999999996"/>
    <m/>
    <n v="0"/>
    <m/>
    <n v="-2837.53752504636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63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304.88400000000001"/>
    <n v="304.88400000000001"/>
    <n v="304.88400000000001"/>
    <n v="304.88400000000001"/>
    <m/>
    <n v="648.44000000000005"/>
    <n v="159.41"/>
    <m/>
    <n v="246300.53940000001"/>
    <n v="246300.53940000001"/>
    <n v="186534.12888"/>
    <n v="0"/>
    <n v="18893.737893078964"/>
    <n v="0"/>
    <n v="0"/>
    <n v="0"/>
    <n v="35563.019241193797"/>
    <n v="127303.09185512719"/>
    <n v="47022.477834359524"/>
    <n v="1579.8318249441459"/>
    <n v="0"/>
    <n v="0"/>
    <n v="0"/>
    <n v="0"/>
    <n v="2919.5860595556637"/>
    <m/>
    <n v="632.66345925160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37.1929757750731"/>
    <n v="0"/>
    <n v="714.03"/>
    <n v="3382.38"/>
    <n v="91328.58"/>
    <n v="358"/>
    <m/>
    <m/>
    <m/>
    <m/>
    <m/>
    <m/>
    <m/>
    <m/>
    <m/>
    <n v="50459.670810134601"/>
    <m/>
    <m/>
    <m/>
    <m/>
    <m/>
    <m/>
    <m/>
    <m/>
    <m/>
    <m/>
    <m/>
    <m/>
    <n v="186531.68160000001"/>
    <n v="-59768.887800000026"/>
    <m/>
    <m/>
    <m/>
    <m/>
    <n v="-68141.574000000022"/>
    <n v="8375.1634799999993"/>
    <m/>
    <n v="5260.4740286859887"/>
    <n v="0"/>
    <n v="0"/>
    <n v="0"/>
    <n v="0"/>
    <n v="0"/>
    <n v="0"/>
    <n v="0"/>
    <n v="1606.4520938361311"/>
    <n v="0"/>
    <n v="0"/>
    <n v="9323.2875198660404"/>
    <n v="0"/>
    <n v="0"/>
    <n v="0"/>
    <n v="681.5025462354306"/>
    <n v="0"/>
    <n v="-1323.3546745887434"/>
    <m/>
    <n v="0"/>
    <n v="0"/>
    <n v="0"/>
    <n v="0"/>
    <n v="-178.12796551599149"/>
    <n v="-40.311788245515118"/>
    <n v="0"/>
    <n v="-4808.9737029013577"/>
    <m/>
    <m/>
    <m/>
    <n v="127303.09185512719"/>
    <n v="0"/>
    <n v="0"/>
    <n v="-68141.574000000008"/>
    <n v="8375.1634800000029"/>
    <n v="0"/>
    <n v="0"/>
    <n v="-65026.714996733295"/>
    <n v="0"/>
    <n v="0"/>
    <n v="0"/>
    <n v="0"/>
    <n v="0"/>
    <n v="0"/>
    <n v="0"/>
    <n v="0"/>
    <n v="0"/>
    <n v="0"/>
    <n v="0"/>
    <n v="0"/>
    <n v="8949.625827625472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64"/>
    <s v="Regular"/>
    <s v="Azul"/>
    <s v="A4"/>
    <s v="Poder público"/>
    <s v="Não se aplica"/>
    <s v="Não se aplica"/>
    <s v="Não se aplica"/>
    <s v="Ponta"/>
    <s v="CATIVO"/>
    <x v="5"/>
    <n v="200"/>
    <n v="200"/>
    <n v="2.5070000000000001"/>
    <n v="2.5070000000000001"/>
    <n v="2.5070000000000001"/>
    <n v="2.5070000000000001"/>
    <n v="112.91"/>
    <n v="95.29"/>
    <n v="159.41"/>
    <n v="22582"/>
    <n v="638.53290000000004"/>
    <n v="23220.532899999998"/>
    <n v="14122.213369999999"/>
    <n v="0"/>
    <n v="135.16269394660125"/>
    <n v="0"/>
    <n v="0"/>
    <n v="0"/>
    <n v="5077.0827132346003"/>
    <n v="17504.269107723037"/>
    <n v="386.65640679976428"/>
    <n v="12.990640325943552"/>
    <n v="0"/>
    <n v="0"/>
    <n v="0"/>
    <n v="0"/>
    <n v="24.007170764310523"/>
    <m/>
    <n v="2.6918495932139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011015017862155"/>
    <n v="0"/>
    <n v="0"/>
    <n v="0"/>
    <n v="0"/>
    <n v="0"/>
    <m/>
    <m/>
    <m/>
    <m/>
    <m/>
    <m/>
    <m/>
    <m/>
    <m/>
    <n v="399.66742181762646"/>
    <m/>
    <m/>
    <m/>
    <m/>
    <m/>
    <m/>
    <m/>
    <m/>
    <m/>
    <m/>
    <m/>
    <m/>
    <n v="14123.044099999999"/>
    <n v="-9097.5187999999944"/>
    <m/>
    <m/>
    <m/>
    <m/>
    <n v="-9167.1868200000008"/>
    <n v="68.867289999999997"/>
    <m/>
    <n v="-155.88116039190572"/>
    <n v="0"/>
    <n v="0"/>
    <n v="0"/>
    <n v="0"/>
    <n v="0"/>
    <n v="0"/>
    <n v="0"/>
    <n v="229.34189304735992"/>
    <n v="0"/>
    <n v="0"/>
    <n v="76.663523872371627"/>
    <n v="0"/>
    <n v="0"/>
    <n v="0"/>
    <n v="2.5797329176087302"/>
    <n v="0"/>
    <n v="-9.4670617257671523"/>
    <m/>
    <n v="0"/>
    <n v="0"/>
    <n v="0"/>
    <n v="0"/>
    <n v="-1.4647105441695558"/>
    <n v="-0.17151815740831777"/>
    <n v="0"/>
    <n v="-453.36301980190194"/>
    <m/>
    <m/>
    <n v="17504.269107723037"/>
    <n v="0"/>
    <n v="0"/>
    <n v="0"/>
    <n v="-9167.186819999999"/>
    <n v="68.867290000000025"/>
    <n v="0"/>
    <n v="0"/>
    <n v="-8941.2213160491574"/>
    <n v="0"/>
    <n v="0"/>
    <n v="0"/>
    <n v="0"/>
    <n v="0"/>
    <n v="0"/>
    <n v="0"/>
    <n v="0"/>
    <n v="0"/>
    <n v="0"/>
    <n v="0"/>
    <n v="0"/>
    <n v="64.02415146867539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65"/>
    <s v="Regular"/>
    <s v="Azul"/>
    <s v="A4"/>
    <s v="Poder público"/>
    <s v="Não se aplica"/>
    <s v="Não se aplica"/>
    <s v="Não se aplica"/>
    <s v="Fora ponta"/>
    <s v="CATIVO"/>
    <x v="5"/>
    <n v="230"/>
    <n v="230"/>
    <n v="24.725000000000001"/>
    <n v="24.725000000000001"/>
    <n v="24.725000000000001"/>
    <n v="24.725000000000001"/>
    <n v="43.29"/>
    <n v="95.29"/>
    <n v="159.41"/>
    <n v="9956.6999999999989"/>
    <n v="6297.4575000000004"/>
    <n v="16254.157500000001"/>
    <n v="14549.299750000002"/>
    <n v="0"/>
    <n v="1333.026568739416"/>
    <n v="0"/>
    <n v="0"/>
    <n v="0"/>
    <n v="5442.71704644074"/>
    <n v="4514.7130340054682"/>
    <n v="3813.35447073162"/>
    <n v="128.11870046228731"/>
    <n v="0"/>
    <n v="0"/>
    <n v="0"/>
    <n v="0"/>
    <n v="236.7679685470992"/>
    <m/>
    <n v="26.5480579147242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.31964352478732"/>
    <n v="0"/>
    <n v="0"/>
    <n v="0"/>
    <n v="0"/>
    <n v="0"/>
    <m/>
    <m/>
    <m/>
    <m/>
    <m/>
    <m/>
    <m/>
    <m/>
    <m/>
    <n v="3941.6741142564074"/>
    <m/>
    <m/>
    <m/>
    <m/>
    <m/>
    <m/>
    <m/>
    <m/>
    <m/>
    <m/>
    <m/>
    <m/>
    <n v="14550.684300000001"/>
    <n v="-1703.5031999999974"/>
    <m/>
    <m/>
    <m/>
    <m/>
    <n v="-2384.0534999999995"/>
    <n v="679.19574999999998"/>
    <m/>
    <n v="600.50593285632021"/>
    <n v="0"/>
    <n v="0"/>
    <n v="0"/>
    <n v="0"/>
    <n v="0"/>
    <n v="0"/>
    <n v="0"/>
    <n v="245.85832086169376"/>
    <n v="0"/>
    <n v="0"/>
    <n v="756.08521250274816"/>
    <n v="0"/>
    <n v="0"/>
    <n v="0"/>
    <n v="25.442320058985189"/>
    <n v="0"/>
    <n v="-93.367810598162123"/>
    <m/>
    <n v="0"/>
    <n v="0"/>
    <n v="0"/>
    <n v="0"/>
    <n v="-14.44553977047957"/>
    <n v="-1.6915781579260702"/>
    <n v="0"/>
    <n v="-317.3749920405395"/>
    <m/>
    <m/>
    <n v="4514.7130340054682"/>
    <n v="0"/>
    <n v="0"/>
    <n v="0"/>
    <n v="-2384.0534999999982"/>
    <n v="679.19574999999986"/>
    <n v="0"/>
    <n v="0"/>
    <n v="-2306.1259037479317"/>
    <n v="0"/>
    <n v="0"/>
    <n v="0"/>
    <n v="0"/>
    <n v="0"/>
    <n v="0"/>
    <n v="0"/>
    <n v="0"/>
    <n v="0"/>
    <n v="0"/>
    <n v="0"/>
    <n v="0"/>
    <n v="631.4308516406060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66"/>
    <s v="Regular"/>
    <s v="Azul"/>
    <s v="A4"/>
    <s v="Poder público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9.39"/>
    <n v="422.6"/>
    <n v="7584.2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67"/>
    <s v="Regular"/>
    <s v="Verde"/>
    <s v="A4"/>
    <s v="Poder público"/>
    <s v="Não se aplica"/>
    <s v="Não se aplica"/>
    <s v="Não se aplica"/>
    <s v="Ponta"/>
    <s v="CATIVO"/>
    <x v="5"/>
    <n v="0"/>
    <n v="0"/>
    <n v="0.57299999999999995"/>
    <n v="0.57299999999999995"/>
    <n v="0.57299999999999995"/>
    <n v="0.57299999999999995"/>
    <m/>
    <n v="2810.7"/>
    <n v="159.41"/>
    <m/>
    <n v="1701.8730299999997"/>
    <n v="1701.8730299999997"/>
    <n v="1083.9383699999998"/>
    <n v="0"/>
    <n v="30.892789641564619"/>
    <n v="0"/>
    <n v="0"/>
    <n v="0"/>
    <n v="349.82543501056932"/>
    <n v="1206.1013420441027"/>
    <n v="88.374200676611437"/>
    <n v="2.9691411674374368"/>
    <n v="0"/>
    <n v="0"/>
    <n v="0"/>
    <n v="0"/>
    <n v="5.4870797159752405"/>
    <m/>
    <n v="0.615249228923639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737980076725226"/>
    <n v="0"/>
    <n v="0"/>
    <n v="0"/>
    <n v="0"/>
    <n v="0"/>
    <m/>
    <m/>
    <m/>
    <m/>
    <m/>
    <m/>
    <m/>
    <m/>
    <m/>
    <n v="91.347998684283965"/>
    <m/>
    <m/>
    <m/>
    <m/>
    <m/>
    <m/>
    <m/>
    <m/>
    <m/>
    <m/>
    <m/>
    <m/>
    <n v="1078.2632999999998"/>
    <n v="-623.63972999999987"/>
    <m/>
    <m/>
    <m/>
    <m/>
    <n v="-633.67496999999992"/>
    <n v="15.740309999999997"/>
    <m/>
    <n v="-1.8522780781011647"/>
    <n v="0"/>
    <n v="0"/>
    <n v="0"/>
    <n v="0"/>
    <n v="0"/>
    <n v="0"/>
    <n v="0"/>
    <n v="15.802308536810131"/>
    <n v="0"/>
    <n v="0"/>
    <n v="17.522217462652165"/>
    <n v="0"/>
    <n v="0"/>
    <n v="0"/>
    <n v="0.58962383796960616"/>
    <n v="0"/>
    <n v="-2.1637919301414321"/>
    <m/>
    <n v="0"/>
    <n v="0"/>
    <n v="0"/>
    <n v="0"/>
    <n v="-0.33477428871525916"/>
    <n v="-3.9202195530501083E-2"/>
    <n v="0"/>
    <n v="-33.228659501145927"/>
    <m/>
    <m/>
    <m/>
    <n v="1206.1013420441027"/>
    <n v="0"/>
    <n v="0"/>
    <n v="-633.6749699999998"/>
    <n v="15.740309999999994"/>
    <n v="0"/>
    <n v="0"/>
    <n v="-616.07936683527009"/>
    <n v="0"/>
    <n v="0"/>
    <n v="0"/>
    <n v="0"/>
    <n v="0"/>
    <n v="0"/>
    <n v="0"/>
    <n v="0"/>
    <n v="0"/>
    <n v="0"/>
    <n v="0"/>
    <n v="0"/>
    <n v="14.63336210273274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68"/>
    <s v="Regular"/>
    <s v="Verde"/>
    <s v="A4"/>
    <s v="Poder público"/>
    <s v="Não se aplica"/>
    <s v="Não se aplica"/>
    <s v="Não se aplica"/>
    <s v="Fora ponta"/>
    <s v="CATIVO"/>
    <x v="5"/>
    <n v="0"/>
    <n v="0"/>
    <n v="5.9279999999999999"/>
    <n v="5.9279999999999999"/>
    <n v="5.9279999999999999"/>
    <n v="5.9279999999999999"/>
    <m/>
    <n v="95.29"/>
    <n v="159.41"/>
    <m/>
    <n v="1509.8616000000002"/>
    <n v="1509.8616000000002"/>
    <n v="1641.5224800000001"/>
    <n v="0"/>
    <n v="319.60289178917117"/>
    <n v="0"/>
    <n v="0"/>
    <n v="0"/>
    <n v="0"/>
    <n v="0"/>
    <n v="914.27968867531013"/>
    <n v="30.717397627520292"/>
    <n v="0"/>
    <n v="0"/>
    <n v="0"/>
    <n v="0"/>
    <n v="56.766856119199353"/>
    <m/>
    <n v="6.36509149923095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765575199795315"/>
    <n v="0"/>
    <n v="0"/>
    <n v="0"/>
    <n v="0"/>
    <n v="0"/>
    <m/>
    <m/>
    <m/>
    <m/>
    <m/>
    <m/>
    <m/>
    <m/>
    <m/>
    <n v="945.04526387510543"/>
    <m/>
    <m/>
    <m/>
    <m/>
    <m/>
    <m/>
    <m/>
    <m/>
    <m/>
    <m/>
    <m/>
    <m/>
    <n v="1642.0762999999999"/>
    <n v="132.18469999999979"/>
    <m/>
    <m/>
    <m/>
    <m/>
    <n v="-31.181280000000029"/>
    <n v="162.84215999999998"/>
    <m/>
    <n v="131.64214283441038"/>
    <n v="0"/>
    <n v="0"/>
    <n v="0"/>
    <n v="0"/>
    <n v="0"/>
    <n v="0"/>
    <n v="0"/>
    <n v="0"/>
    <n v="0"/>
    <n v="0"/>
    <n v="181.27697228377315"/>
    <n v="0"/>
    <n v="0"/>
    <n v="0"/>
    <n v="6.0999827425546655"/>
    <n v="0"/>
    <n v="-22.385617036436997"/>
    <m/>
    <n v="0"/>
    <n v="0"/>
    <n v="0"/>
    <n v="0"/>
    <n v="-3.4634240549809121"/>
    <n v="-0.4055682637082203"/>
    <n v="0"/>
    <n v="-29.480202836791698"/>
    <m/>
    <m/>
    <m/>
    <n v="0"/>
    <n v="0"/>
    <n v="0"/>
    <n v="-31.181280000000015"/>
    <n v="162.84216000000004"/>
    <n v="0"/>
    <n v="0"/>
    <n v="0"/>
    <n v="0"/>
    <n v="0"/>
    <n v="0"/>
    <n v="0"/>
    <n v="0"/>
    <n v="0"/>
    <n v="0"/>
    <n v="0"/>
    <n v="0"/>
    <n v="0"/>
    <n v="0"/>
    <n v="0"/>
    <n v="151.3901754712037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69"/>
    <s v="Regular"/>
    <s v="Verde"/>
    <s v="A4"/>
    <s v="Poder público"/>
    <s v="Não se aplica"/>
    <s v="Não se aplica"/>
    <s v="Não se aplica"/>
    <s v="Não se aplica"/>
    <s v="CATIVO"/>
    <x v="5"/>
    <n v="72"/>
    <n v="72"/>
    <n v="0"/>
    <n v="0"/>
    <n v="0"/>
    <n v="0"/>
    <n v="43.29"/>
    <m/>
    <m/>
    <n v="3116.88"/>
    <m/>
    <n v="3116.88"/>
    <n v="2411.2800000000002"/>
    <n v="0"/>
    <n v="0"/>
    <n v="0"/>
    <n v="0"/>
    <n v="0"/>
    <n v="1703.8070754075361"/>
    <n v="1413.301471514755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.52"/>
    <n v="82.87"/>
    <n v="0"/>
    <n v="1"/>
    <m/>
    <m/>
    <m/>
    <m/>
    <m/>
    <m/>
    <m/>
    <m/>
    <m/>
    <n v="0"/>
    <m/>
    <m/>
    <m/>
    <m/>
    <m/>
    <m/>
    <m/>
    <m/>
    <m/>
    <m/>
    <m/>
    <m/>
    <n v="2411.2800000000002"/>
    <n v="-705.63000000000056"/>
    <m/>
    <m/>
    <m/>
    <m/>
    <n v="-705.5999999999998"/>
    <n v="0"/>
    <m/>
    <n v="16.103530455455484"/>
    <n v="0"/>
    <n v="0"/>
    <n v="0"/>
    <n v="0"/>
    <m/>
    <m/>
    <m/>
    <n v="76.964343921921454"/>
    <n v="0"/>
    <n v="0"/>
    <m/>
    <m/>
    <n v="0"/>
    <n v="0"/>
    <n v="0"/>
    <n v="0"/>
    <n v="0"/>
    <m/>
    <n v="0"/>
    <n v="0"/>
    <m/>
    <n v="0"/>
    <n v="0"/>
    <n v="0"/>
    <n v="0"/>
    <n v="-60.860813466465935"/>
    <m/>
    <m/>
    <n v="1413.3014715147551"/>
    <m/>
    <n v="0"/>
    <n v="0"/>
    <n v="-705.59999999999991"/>
    <m/>
    <n v="0"/>
    <m/>
    <n v="-721.9176742167436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70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533.29"/>
    <n v="533.29"/>
    <n v="533.29"/>
    <n v="533.29"/>
    <m/>
    <n v="356.64"/>
    <n v="87.68"/>
    <m/>
    <n v="236951.41279999999"/>
    <n v="236951.41279999999"/>
    <n v="179452.08499999999"/>
    <n v="0"/>
    <n v="18176.463227161956"/>
    <n v="0"/>
    <n v="0"/>
    <n v="0"/>
    <n v="34212.918330003922"/>
    <n v="122470.20578476196"/>
    <n v="45237.334403763562"/>
    <n v="1519.855691536633"/>
    <n v="0"/>
    <n v="0"/>
    <n v="0"/>
    <n v="0"/>
    <n v="2808.7480068984978"/>
    <m/>
    <n v="608.64526476088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06.7046913845961"/>
    <n v="0"/>
    <n v="712.69"/>
    <n v="3370.34"/>
    <n v="64815.15"/>
    <n v="62"/>
    <m/>
    <m/>
    <m/>
    <m/>
    <m/>
    <m/>
    <m/>
    <m/>
    <m/>
    <n v="48544.03909514816"/>
    <m/>
    <m/>
    <m/>
    <m/>
    <m/>
    <m/>
    <m/>
    <m/>
    <m/>
    <m/>
    <m/>
    <m/>
    <n v="179452.08499999999"/>
    <n v="-57499.357800000027"/>
    <m/>
    <m/>
    <m/>
    <m/>
    <n v="-65552.006799999988"/>
    <n v="8052.6789999999964"/>
    <m/>
    <n v="5060.7673971637269"/>
    <n v="0"/>
    <n v="0"/>
    <n v="0"/>
    <n v="0"/>
    <n v="0"/>
    <n v="0"/>
    <n v="0"/>
    <n v="1545.4653586840795"/>
    <n v="0"/>
    <n v="0"/>
    <n v="8969.3417850990518"/>
    <n v="0"/>
    <n v="0"/>
    <n v="0"/>
    <n v="655.63024325658353"/>
    <n v="0"/>
    <n v="-1273.1153419867733"/>
    <m/>
    <n v="0"/>
    <n v="0"/>
    <n v="0"/>
    <n v="0"/>
    <n v="-171.36558330877551"/>
    <n v="-38.781406877367203"/>
    <n v="0"/>
    <n v="-4626.4076577030746"/>
    <m/>
    <m/>
    <m/>
    <n v="122470.20578476196"/>
    <n v="0"/>
    <n v="0"/>
    <n v="-65552.006799999988"/>
    <n v="8052.6789999999964"/>
    <n v="0"/>
    <n v="0"/>
    <n v="-62558.065567016267"/>
    <n v="0"/>
    <n v="0"/>
    <n v="0"/>
    <n v="0"/>
    <n v="0"/>
    <n v="0"/>
    <n v="0"/>
    <n v="0"/>
    <n v="0"/>
    <n v="0"/>
    <n v="0"/>
    <n v="0"/>
    <n v="8609.865642958977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71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44.726999999999997"/>
    <n v="42.043379999999999"/>
    <n v="44.726999999999997"/>
    <n v="42.043379999999999"/>
    <m/>
    <n v="648.44000000000005"/>
    <n v="159.41"/>
    <m/>
    <n v="36132.70695"/>
    <n v="36132.70695"/>
    <n v="27364.873139999996"/>
    <n v="0"/>
    <n v="2771.7433999283094"/>
    <n v="0"/>
    <n v="0"/>
    <n v="0"/>
    <n v="5217.1552511803666"/>
    <n v="18675.579529933591"/>
    <n v="6898.2772664272252"/>
    <n v="231.76400871897772"/>
    <n v="0"/>
    <n v="0"/>
    <n v="0"/>
    <n v="0"/>
    <n v="428.30822767264323"/>
    <m/>
    <n v="92.8128027116755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4.24204034154525"/>
    <n v="0"/>
    <n v="104.18"/>
    <n v="492.81"/>
    <n v="14714.45"/>
    <n v="13"/>
    <m/>
    <m/>
    <m/>
    <m/>
    <n v="1641.8923883999985"/>
    <m/>
    <m/>
    <m/>
    <m/>
    <n v="7402.5193067687705"/>
    <m/>
    <m/>
    <m/>
    <m/>
    <m/>
    <m/>
    <m/>
    <m/>
    <m/>
    <m/>
    <m/>
    <m/>
    <n v="25720.912799999998"/>
    <n v="-8243.8617330000052"/>
    <m/>
    <m/>
    <m/>
    <m/>
    <n v="-9996.4845000000023"/>
    <n v="1228.6506899999999"/>
    <m/>
    <n v="771.72046378635787"/>
    <n v="0"/>
    <n v="0"/>
    <n v="0"/>
    <n v="0"/>
    <n v="0"/>
    <n v="0"/>
    <n v="0"/>
    <n v="235.66924732360076"/>
    <n v="0"/>
    <n v="0"/>
    <n v="1367.7420950297437"/>
    <n v="0"/>
    <n v="0"/>
    <n v="0"/>
    <n v="99.977579621994323"/>
    <n v="0"/>
    <n v="-194.13837567839164"/>
    <m/>
    <n v="0"/>
    <n v="0"/>
    <n v="0"/>
    <n v="0"/>
    <n v="-26.1316747144283"/>
    <n v="-5.9138077198447689"/>
    <n v="0"/>
    <n v="-705.48460007632082"/>
    <m/>
    <m/>
    <m/>
    <n v="18675.579529933591"/>
    <n v="0"/>
    <n v="0"/>
    <n v="-9996.4845000000023"/>
    <n v="1228.6506899999995"/>
    <n v="0"/>
    <n v="0"/>
    <n v="-9539.5294002272658"/>
    <n v="0"/>
    <n v="0"/>
    <n v="0"/>
    <n v="0"/>
    <n v="0"/>
    <n v="0"/>
    <n v="0"/>
    <n v="0"/>
    <n v="0"/>
    <n v="0"/>
    <n v="0"/>
    <n v="0"/>
    <n v="1312.925290904752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72"/>
    <s v="Regular"/>
    <s v="Azul"/>
    <s v="A4"/>
    <s v="Serviço público"/>
    <s v="Água, esgoto e saneamento"/>
    <s v="Não se aplica"/>
    <s v="Não se aplica"/>
    <s v="Ponta"/>
    <s v="CATIVO"/>
    <x v="5"/>
    <n v="708"/>
    <n v="665.52"/>
    <n v="40.863999999999997"/>
    <n v="38.41216"/>
    <n v="40.863999999999997"/>
    <n v="38.41216"/>
    <n v="112.91"/>
    <n v="95.29"/>
    <n v="159.41"/>
    <n v="79940.28"/>
    <n v="10408.060799999999"/>
    <n v="90348.340799999991"/>
    <n v="58850.770239999998"/>
    <n v="0"/>
    <n v="2203.1465199177951"/>
    <n v="0"/>
    <n v="0"/>
    <n v="0"/>
    <n v="17972.872804850485"/>
    <n v="61965.112641339554"/>
    <n v="6302.4840077644849"/>
    <n v="211.74691913815604"/>
    <n v="0"/>
    <n v="0"/>
    <n v="0"/>
    <n v="0"/>
    <n v="391.31592585272642"/>
    <m/>
    <n v="43.8770409960482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.0790258037172"/>
    <n v="0"/>
    <n v="0"/>
    <n v="0"/>
    <n v="0"/>
    <n v="0"/>
    <m/>
    <m/>
    <m/>
    <m/>
    <n v="3531.0462144000007"/>
    <m/>
    <m/>
    <m/>
    <m/>
    <n v="6514.5630335682017"/>
    <m/>
    <m/>
    <m/>
    <m/>
    <m/>
    <m/>
    <m/>
    <m/>
    <m/>
    <m/>
    <m/>
    <m/>
    <n v="55319.125899999999"/>
    <n v="-29608.344451999976"/>
    <m/>
    <m/>
    <m/>
    <m/>
    <n v="-32620.104639999998"/>
    <n v="1122.5340799999999"/>
    <m/>
    <n v="158.56015719263087"/>
    <n v="0"/>
    <n v="0"/>
    <n v="0"/>
    <n v="0"/>
    <n v="0"/>
    <n v="0"/>
    <n v="0"/>
    <n v="811.87030138765112"/>
    <n v="0"/>
    <n v="0"/>
    <n v="1249.6123811410434"/>
    <n v="0"/>
    <n v="0"/>
    <n v="0"/>
    <n v="42.049543655828955"/>
    <n v="0"/>
    <n v="-154.3127285048854"/>
    <m/>
    <n v="0"/>
    <n v="0"/>
    <n v="0"/>
    <n v="0"/>
    <n v="-23.874723445131565"/>
    <n v="-2.7957391241856797"/>
    <n v="0"/>
    <n v="-1763.9888779176858"/>
    <m/>
    <m/>
    <n v="61965.112641339554"/>
    <n v="0"/>
    <n v="0"/>
    <n v="0"/>
    <n v="-32620.10463999999"/>
    <n v="1122.5340799999994"/>
    <n v="0"/>
    <n v="0"/>
    <n v="-31651.923458814021"/>
    <n v="0"/>
    <n v="0"/>
    <n v="0"/>
    <n v="0"/>
    <n v="0"/>
    <n v="0"/>
    <n v="0"/>
    <n v="0"/>
    <n v="0"/>
    <n v="0"/>
    <n v="0"/>
    <n v="0"/>
    <n v="1043.591115124033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73"/>
    <s v="Regular"/>
    <s v="Azul"/>
    <s v="A4"/>
    <s v="Serviço público"/>
    <s v="Água, esgoto e saneamento"/>
    <s v="Não se aplica"/>
    <s v="Não se aplica"/>
    <s v="Fora ponta"/>
    <s v="CATIVO"/>
    <x v="5"/>
    <n v="718"/>
    <n v="674.92"/>
    <n v="374.30500000000001"/>
    <n v="351.8467"/>
    <n v="374.30500000000001"/>
    <n v="351.8467"/>
    <n v="43.29"/>
    <n v="95.29"/>
    <n v="159.41"/>
    <n v="31082.22"/>
    <n v="95335.483500000002"/>
    <n v="126417.7035"/>
    <n v="127694.61755000001"/>
    <n v="0"/>
    <n v="20180.323955996242"/>
    <n v="0"/>
    <n v="0"/>
    <n v="0"/>
    <n v="16990.742779758486"/>
    <n v="14093.756340938808"/>
    <n v="57729.328419300262"/>
    <n v="1939.5538999610294"/>
    <n v="0"/>
    <n v="0"/>
    <n v="0"/>
    <n v="0"/>
    <n v="3584.3653980595332"/>
    <m/>
    <n v="401.90377422733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2.5959219229733"/>
    <n v="0"/>
    <n v="0"/>
    <n v="0"/>
    <n v="0"/>
    <n v="0"/>
    <m/>
    <m/>
    <m/>
    <m/>
    <n v="7661.6770530000031"/>
    <m/>
    <m/>
    <m/>
    <m/>
    <n v="59671.924341223232"/>
    <m/>
    <m/>
    <m/>
    <m/>
    <m/>
    <m/>
    <m/>
    <m/>
    <m/>
    <m/>
    <m/>
    <m/>
    <n v="120033.85430000001"/>
    <n v="1201.1830100000225"/>
    <m/>
    <m/>
    <m/>
    <m/>
    <n v="-9005.2443000000003"/>
    <n v="10282.15835"/>
    <m/>
    <n v="8472.718934607241"/>
    <n v="0"/>
    <n v="0"/>
    <n v="0"/>
    <n v="0"/>
    <n v="0"/>
    <n v="0"/>
    <n v="0"/>
    <n v="767.5055407769396"/>
    <n v="0"/>
    <n v="0"/>
    <n v="11446.16685402795"/>
    <n v="0"/>
    <n v="0"/>
    <n v="0"/>
    <n v="385.16431181712619"/>
    <n v="0"/>
    <n v="-1413.4697005437847"/>
    <m/>
    <n v="0"/>
    <n v="0"/>
    <n v="0"/>
    <n v="0"/>
    <n v="-218.68706830290603"/>
    <n v="-25.608338216482025"/>
    <n v="0"/>
    <n v="-2468.3526649516316"/>
    <m/>
    <m/>
    <n v="14093.756340938808"/>
    <n v="0"/>
    <n v="0"/>
    <n v="0"/>
    <n v="-9005.2443000000058"/>
    <n v="10282.158350000005"/>
    <n v="0"/>
    <n v="0"/>
    <n v="-7199.1234734391937"/>
    <n v="0"/>
    <n v="0"/>
    <n v="0"/>
    <n v="0"/>
    <n v="0"/>
    <n v="0"/>
    <n v="0"/>
    <n v="0"/>
    <n v="0"/>
    <n v="0"/>
    <n v="0"/>
    <n v="0"/>
    <n v="9559.058641995430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74"/>
    <s v="Regular"/>
    <s v="Azul"/>
    <s v="A4"/>
    <s v="Serviço público"/>
    <s v="Água, esgoto e saneamento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54.11"/>
    <n v="3564.95"/>
    <n v="104156.28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75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4.1929999999999996"/>
    <n v="4.1929999999999996"/>
    <n v="4.1929999999999996"/>
    <n v="4.1929999999999996"/>
    <m/>
    <n v="648.44000000000005"/>
    <n v="159.41"/>
    <m/>
    <n v="3387.3150499999997"/>
    <n v="3387.3150499999997"/>
    <n v="2565.3612599999997"/>
    <n v="0"/>
    <n v="259.84126089161811"/>
    <n v="0"/>
    <n v="0"/>
    <n v="0"/>
    <n v="489.09007910656373"/>
    <n v="1750.7703393702138"/>
    <n v="646.68939517806598"/>
    <n v="21.727066169398206"/>
    <n v="0"/>
    <n v="0"/>
    <n v="0"/>
    <n v="0"/>
    <n v="40.152400085661753"/>
    <m/>
    <n v="8.7008760205257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270929755004794"/>
    <n v="0"/>
    <n v="10.11"/>
    <n v="47.82"/>
    <n v="1379.41"/>
    <n v="5"/>
    <m/>
    <m/>
    <m/>
    <m/>
    <m/>
    <m/>
    <m/>
    <m/>
    <m/>
    <n v="693.96032493307075"/>
    <m/>
    <m/>
    <m/>
    <m/>
    <m/>
    <m/>
    <m/>
    <m/>
    <m/>
    <m/>
    <m/>
    <m/>
    <n v="2563.5258000000003"/>
    <n v="-823.81925000000001"/>
    <m/>
    <m/>
    <m/>
    <m/>
    <n v="-937.13550000000021"/>
    <n v="115.18170999999998"/>
    <m/>
    <n v="72.346097539655602"/>
    <n v="0"/>
    <n v="0"/>
    <n v="0"/>
    <n v="0"/>
    <n v="0"/>
    <n v="0"/>
    <n v="0"/>
    <n v="22.093168645960077"/>
    <n v="0"/>
    <n v="0"/>
    <n v="128.22104331745288"/>
    <n v="0"/>
    <n v="0"/>
    <n v="0"/>
    <n v="9.3725488263246319"/>
    <n v="0"/>
    <n v="-18.199794513817125"/>
    <m/>
    <n v="0"/>
    <n v="0"/>
    <n v="0"/>
    <n v="0"/>
    <n v="-2.4497532156772834"/>
    <n v="-0.55439881434724292"/>
    <n v="0"/>
    <n v="-66.136716706240378"/>
    <m/>
    <m/>
    <m/>
    <n v="1750.7703393702138"/>
    <n v="0"/>
    <n v="0"/>
    <n v="-937.13550000000009"/>
    <n v="115.18170999999995"/>
    <n v="0"/>
    <n v="0"/>
    <n v="-894.29755573038506"/>
    <n v="0"/>
    <n v="0"/>
    <n v="0"/>
    <n v="0"/>
    <n v="0"/>
    <n v="0"/>
    <n v="0"/>
    <n v="0"/>
    <n v="0"/>
    <n v="0"/>
    <n v="0"/>
    <n v="0"/>
    <n v="123.0821594286141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76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8.66000000000003"/>
    <n v="1271"/>
    <n v="401.17"/>
    <n v="3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77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1.05"/>
    <n v="241.47"/>
    <n v="48.39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78"/>
    <s v="Regular"/>
    <s v="Convencional"/>
    <s v="B2"/>
    <s v="Rural"/>
    <s v="Agropecuária rural"/>
    <s v="IRRIG./AQUIC."/>
    <s v="Não se aplica"/>
    <s v="Não se aplica"/>
    <s v="CATIVO"/>
    <x v="5"/>
    <n v="0"/>
    <n v="0"/>
    <n v="127.167"/>
    <n v="127.167"/>
    <n v="127.167"/>
    <n v="127.167"/>
    <m/>
    <n v="648.44000000000005"/>
    <n v="159.41"/>
    <m/>
    <n v="102731.86095000002"/>
    <n v="102731.86095000002"/>
    <n v="77803.313939999993"/>
    <n v="0"/>
    <n v="7880.5708618660628"/>
    <n v="0"/>
    <n v="0"/>
    <n v="0"/>
    <n v="14833.321748090722"/>
    <n v="53098.071010420223"/>
    <n v="19613.05755225593"/>
    <n v="658.94725102882467"/>
    <n v="0"/>
    <n v="0"/>
    <n v="0"/>
    <n v="0"/>
    <n v="1217.7582307878245"/>
    <m/>
    <n v="263.88368731271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3.651877928618"/>
    <n v="0"/>
    <n v="0"/>
    <n v="0"/>
    <n v="0"/>
    <n v="0"/>
    <m/>
    <m/>
    <m/>
    <m/>
    <m/>
    <n v="9336.6011400000025"/>
    <m/>
    <m/>
    <m/>
    <n v="21046.70943018455"/>
    <m/>
    <m/>
    <m/>
    <m/>
    <m/>
    <m/>
    <m/>
    <m/>
    <m/>
    <m/>
    <m/>
    <m/>
    <n v="68468.327999999994"/>
    <n v="-21935.993969999996"/>
    <m/>
    <m/>
    <m/>
    <m/>
    <n v="-28421.824500000006"/>
    <n v="3493.2774899999999"/>
    <m/>
    <n v="2194.1417089972165"/>
    <n v="0"/>
    <n v="0"/>
    <n v="0"/>
    <n v="0"/>
    <n v="0"/>
    <n v="0"/>
    <n v="0"/>
    <n v="670.05055502046343"/>
    <n v="0"/>
    <n v="0"/>
    <n v="3888.7396650490191"/>
    <n v="0"/>
    <n v="0"/>
    <n v="0"/>
    <n v="284.25445184765681"/>
    <n v="0"/>
    <n v="-551.97072953460065"/>
    <m/>
    <n v="0"/>
    <n v="0"/>
    <n v="0"/>
    <n v="0"/>
    <n v="-74.297106410215292"/>
    <n v="-16.81403148678649"/>
    <n v="0"/>
    <n v="-2005.8210954883066"/>
    <m/>
    <m/>
    <m/>
    <n v="53098.071010420223"/>
    <n v="0"/>
    <n v="0"/>
    <n v="-28421.82450000001"/>
    <n v="3493.2774899999968"/>
    <n v="0"/>
    <n v="0"/>
    <n v="-27122.617998942493"/>
    <n v="0"/>
    <n v="0"/>
    <n v="0"/>
    <n v="0"/>
    <n v="0"/>
    <n v="0"/>
    <n v="0"/>
    <n v="0"/>
    <n v="0"/>
    <n v="0"/>
    <n v="0"/>
    <n v="0"/>
    <n v="3732.885515873736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79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22.545000000000002"/>
    <n v="22.545000000000002"/>
    <n v="22.545000000000002"/>
    <n v="22.545000000000002"/>
    <m/>
    <n v="648.44000000000005"/>
    <n v="159.41"/>
    <m/>
    <n v="18212.978250000004"/>
    <n v="18212.978250000004"/>
    <n v="13793.481900000001"/>
    <n v="0"/>
    <n v="1397.1193004535012"/>
    <n v="0"/>
    <n v="0"/>
    <n v="0"/>
    <n v="2629.7485889476466"/>
    <n v="9413.574362294652"/>
    <n v="3477.1315082970423"/>
    <n v="116.82249148320598"/>
    <n v="0"/>
    <n v="0"/>
    <n v="0"/>
    <n v="0"/>
    <n v="215.89216788248135"/>
    <m/>
    <n v="46.7830312145846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4.16720995148657"/>
    <n v="0"/>
    <n v="0"/>
    <n v="0"/>
    <n v="0"/>
    <n v="0"/>
    <m/>
    <m/>
    <m/>
    <m/>
    <m/>
    <n v="1655.2539000000006"/>
    <m/>
    <m/>
    <m/>
    <n v="3731.298718248529"/>
    <m/>
    <m/>
    <m/>
    <m/>
    <m/>
    <m/>
    <m/>
    <m/>
    <m/>
    <m/>
    <m/>
    <m/>
    <n v="12140.92"/>
    <n v="-3886.5759500000022"/>
    <m/>
    <m/>
    <m/>
    <m/>
    <n v="-5038.8075000000017"/>
    <n v="619.31115"/>
    <m/>
    <n v="388.99183616301889"/>
    <n v="0"/>
    <n v="0"/>
    <n v="0"/>
    <n v="0"/>
    <n v="0"/>
    <n v="0"/>
    <n v="0"/>
    <n v="118.79095805465522"/>
    <n v="0"/>
    <n v="0"/>
    <n v="689.42127870068634"/>
    <n v="0"/>
    <n v="0"/>
    <n v="0"/>
    <n v="50.394493987476466"/>
    <n v="0"/>
    <n v="-97.856991966135411"/>
    <m/>
    <n v="0"/>
    <n v="0"/>
    <n v="0"/>
    <n v="0"/>
    <n v="-13.171878427723442"/>
    <n v="-2.9809018052608138"/>
    <n v="0"/>
    <n v="-355.60512238067957"/>
    <m/>
    <m/>
    <m/>
    <n v="9413.574362294652"/>
    <n v="0"/>
    <n v="0"/>
    <n v="-5038.8075000000026"/>
    <n v="619.31115"/>
    <n v="0"/>
    <n v="0"/>
    <n v="-4808.4756484477775"/>
    <n v="0"/>
    <n v="0"/>
    <n v="0"/>
    <n v="0"/>
    <n v="0"/>
    <n v="0"/>
    <n v="0"/>
    <n v="0"/>
    <n v="0"/>
    <n v="0"/>
    <n v="0"/>
    <n v="0"/>
    <n v="661.7904327016710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80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123.999"/>
    <n v="49.599600000000002"/>
    <n v="123.999"/>
    <n v="49.599600000000002"/>
    <m/>
    <n v="648.44000000000005"/>
    <n v="159.41"/>
    <m/>
    <n v="100172.59215000001"/>
    <n v="100172.59215000001"/>
    <n v="75865.068180000002"/>
    <n v="0"/>
    <n v="7684.2491078702005"/>
    <n v="0"/>
    <n v="0"/>
    <n v="0"/>
    <n v="14463.792205851372"/>
    <n v="51775.285311606764"/>
    <n v="19124.454641708802"/>
    <n v="642.53147577848995"/>
    <n v="0"/>
    <n v="0"/>
    <n v="0"/>
    <n v="0"/>
    <n v="1187.4212874366733"/>
    <m/>
    <n v="257.309784323676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7.9365653925206"/>
    <n v="0"/>
    <n v="0"/>
    <n v="0"/>
    <n v="0"/>
    <n v="0"/>
    <m/>
    <m/>
    <m/>
    <m/>
    <m/>
    <m/>
    <n v="49160.64353999999"/>
    <m/>
    <m/>
    <n v="20522.391207101322"/>
    <m/>
    <m/>
    <m/>
    <m/>
    <m/>
    <m/>
    <m/>
    <m/>
    <m/>
    <m/>
    <m/>
    <m/>
    <n v="26704.639999999999"/>
    <n v="-8556.2416359999988"/>
    <m/>
    <m/>
    <m/>
    <m/>
    <n v="-27713.776500000007"/>
    <n v="3406.2525299999998"/>
    <m/>
    <n v="2139.4809799236173"/>
    <n v="0"/>
    <n v="0"/>
    <n v="0"/>
    <n v="0"/>
    <n v="0"/>
    <n v="0"/>
    <n v="0"/>
    <n v="653.35817289062652"/>
    <n v="0"/>
    <n v="0"/>
    <n v="3791.8629025329901"/>
    <n v="0"/>
    <n v="0"/>
    <n v="0"/>
    <n v="277.17306985819914"/>
    <n v="0"/>
    <n v="-538.21996659165325"/>
    <m/>
    <n v="0"/>
    <n v="0"/>
    <n v="0"/>
    <n v="0"/>
    <n v="-72.446207724962278"/>
    <n v="-16.395158259061219"/>
    <n v="0"/>
    <n v="-1955.8518327825186"/>
    <m/>
    <m/>
    <m/>
    <n v="51775.285311606764"/>
    <n v="0"/>
    <n v="0"/>
    <n v="-27713.776500000007"/>
    <n v="3406.2525299999979"/>
    <n v="0"/>
    <n v="0"/>
    <n v="-26446.93599165562"/>
    <n v="0"/>
    <n v="0"/>
    <n v="0"/>
    <n v="0"/>
    <n v="0"/>
    <n v="0"/>
    <n v="0"/>
    <n v="0"/>
    <n v="0"/>
    <n v="0"/>
    <n v="0"/>
    <n v="0"/>
    <n v="3639.891411158771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81"/>
    <s v="Sistema de Compensação"/>
    <s v="Convencional"/>
    <s v="B2"/>
    <s v="Rural"/>
    <s v="Agropecuária rural"/>
    <s v="IRRIG./AQUIC. PR"/>
    <s v="Não se aplica"/>
    <s v="Não se aplica"/>
    <s v="CATIVO"/>
    <x v="5"/>
    <n v="0"/>
    <n v="0"/>
    <n v="27.702999999999999"/>
    <n v="11.081200000000001"/>
    <n v="27.702999999999999"/>
    <n v="11.081200000000001"/>
    <m/>
    <n v="648.44000000000005"/>
    <n v="159.41"/>
    <m/>
    <n v="22379.868549999999"/>
    <n v="22379.868549999999"/>
    <n v="16949.249459999999"/>
    <n v="0"/>
    <n v="1716.7618532030756"/>
    <n v="0"/>
    <n v="0"/>
    <n v="0"/>
    <n v="3231.4005393487087"/>
    <n v="11567.276582774395"/>
    <n v="4272.6535451032587"/>
    <n v="143.549943737381"/>
    <n v="0"/>
    <n v="0"/>
    <n v="0"/>
    <n v="0"/>
    <n v="265.28546138160925"/>
    <m/>
    <n v="57.4863745281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.3173305516093"/>
    <n v="0"/>
    <n v="0"/>
    <n v="0"/>
    <n v="0"/>
    <n v="0"/>
    <m/>
    <m/>
    <m/>
    <m/>
    <m/>
    <m/>
    <n v="10983.131380000001"/>
    <m/>
    <m/>
    <n v="4584.970875654868"/>
    <m/>
    <m/>
    <m/>
    <m/>
    <m/>
    <m/>
    <m/>
    <m/>
    <m/>
    <m/>
    <m/>
    <m/>
    <n v="5965.4719999999998"/>
    <n v="-1912.2938920000015"/>
    <m/>
    <m/>
    <m/>
    <m/>
    <n v="-6191.6205000000018"/>
    <n v="761.00140999999996"/>
    <m/>
    <n v="477.98806108778263"/>
    <n v="0"/>
    <n v="0"/>
    <n v="0"/>
    <n v="0"/>
    <n v="0"/>
    <n v="0"/>
    <n v="0"/>
    <n v="145.96876961579619"/>
    <n v="0"/>
    <n v="0"/>
    <n v="847.1518156507027"/>
    <n v="0"/>
    <n v="0"/>
    <n v="0"/>
    <n v="61.924092567534331"/>
    <n v="0"/>
    <n v="-120.24538693447994"/>
    <m/>
    <n v="0"/>
    <n v="0"/>
    <n v="0"/>
    <n v="0"/>
    <n v="-16.185431274483136"/>
    <n v="-3.6628930011594676"/>
    <n v="0"/>
    <n v="-436.96290553612619"/>
    <m/>
    <m/>
    <m/>
    <n v="11567.276582774395"/>
    <n v="0"/>
    <n v="0"/>
    <n v="-6191.6204999999991"/>
    <n v="761.00140999999985"/>
    <n v="0"/>
    <n v="0"/>
    <n v="-5908.5917449079079"/>
    <n v="0"/>
    <n v="0"/>
    <n v="0"/>
    <n v="0"/>
    <n v="0"/>
    <n v="0"/>
    <n v="0"/>
    <n v="0"/>
    <n v="0"/>
    <n v="0"/>
    <n v="0"/>
    <n v="0"/>
    <n v="813.1993948606959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82"/>
    <s v="Regular"/>
    <s v="Verde"/>
    <s v="A4"/>
    <s v="Rural"/>
    <s v="Agropecuária rural"/>
    <s v="Não se aplica"/>
    <s v="Não se aplica"/>
    <s v="Ponta"/>
    <s v="CATIVO"/>
    <x v="5"/>
    <n v="0"/>
    <n v="0"/>
    <n v="41.021999999999998"/>
    <n v="39.381120000000003"/>
    <n v="41.021999999999998"/>
    <n v="39.381120000000003"/>
    <m/>
    <n v="2810.7"/>
    <n v="159.41"/>
    <m/>
    <n v="121839.85242"/>
    <n v="121839.85242"/>
    <n v="77600.907179999995"/>
    <n v="0"/>
    <n v="2211.6649505693958"/>
    <n v="0"/>
    <n v="0"/>
    <n v="0"/>
    <n v="25044.57067190851"/>
    <n v="86346.752623618115"/>
    <n v="6326.8524610051563"/>
    <n v="212.56563520177755"/>
    <n v="0"/>
    <n v="0"/>
    <n v="0"/>
    <n v="0"/>
    <n v="392.82894259814367"/>
    <m/>
    <n v="44.046690870690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.89902595242972"/>
    <n v="0"/>
    <n v="0"/>
    <n v="0"/>
    <n v="0"/>
    <n v="0"/>
    <m/>
    <m/>
    <m/>
    <m/>
    <m/>
    <n v="3104.0362871999919"/>
    <m/>
    <m/>
    <m/>
    <n v="6539.7514869575862"/>
    <m/>
    <m/>
    <m/>
    <m/>
    <m/>
    <m/>
    <m/>
    <m/>
    <m/>
    <m/>
    <m/>
    <m/>
    <n v="74494.752200000003"/>
    <n v="-42471.536123199985"/>
    <m/>
    <m/>
    <m/>
    <m/>
    <n v="-45365.819579999996"/>
    <n v="1126.8743399999998"/>
    <m/>
    <n v="-132.60759392647014"/>
    <n v="0"/>
    <n v="0"/>
    <n v="0"/>
    <n v="0"/>
    <n v="0"/>
    <n v="0"/>
    <n v="0"/>
    <n v="1131.312915876133"/>
    <n v="0"/>
    <n v="0"/>
    <n v="1254.4439873523861"/>
    <n v="0"/>
    <n v="0"/>
    <n v="0"/>
    <n v="42.212127541342369"/>
    <n v="0"/>
    <n v="-154.90937619242868"/>
    <m/>
    <n v="0"/>
    <n v="0"/>
    <n v="0"/>
    <n v="0"/>
    <n v="-23.96703468006524"/>
    <n v="-2.8065488046286404"/>
    <n v="0"/>
    <n v="-2378.8936650192122"/>
    <m/>
    <m/>
    <m/>
    <n v="86346.752623618115"/>
    <n v="0"/>
    <n v="0"/>
    <n v="-45365.819579999996"/>
    <n v="1126.8743400000003"/>
    <n v="0"/>
    <n v="0"/>
    <n v="-44106.121791128178"/>
    <n v="0"/>
    <n v="0"/>
    <n v="0"/>
    <n v="0"/>
    <n v="0"/>
    <n v="0"/>
    <n v="0"/>
    <n v="0"/>
    <n v="0"/>
    <n v="0"/>
    <n v="0"/>
    <n v="0"/>
    <n v="1047.626143417631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83"/>
    <s v="Sistema de Compensação"/>
    <s v="Verde"/>
    <s v="A4"/>
    <s v="Rural"/>
    <s v="Agropecuária rural"/>
    <s v="Não se aplica"/>
    <s v="Não se aplica"/>
    <s v="Ponta"/>
    <s v="CATIVO"/>
    <x v="5"/>
    <n v="0"/>
    <n v="0"/>
    <n v="6.7619999999999996"/>
    <n v="6.4915200000000004"/>
    <n v="6.7619999999999996"/>
    <n v="6.4915200000000004"/>
    <m/>
    <n v="2810.7"/>
    <n v="159.41"/>
    <m/>
    <n v="20083.883819999999"/>
    <n v="20083.883819999999"/>
    <n v="12791.607779999998"/>
    <n v="0"/>
    <n v="364.56726624129141"/>
    <n v="0"/>
    <n v="0"/>
    <n v="0"/>
    <n v="4128.3064424807499"/>
    <n v="14233.258769462867"/>
    <n v="1042.908106414043"/>
    <n v="35.038974824104621"/>
    <n v="0"/>
    <n v="0"/>
    <n v="0"/>
    <n v="0"/>
    <n v="64.753286281718289"/>
    <m/>
    <n v="7.2605851413292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093930415151128"/>
    <n v="0"/>
    <n v="0"/>
    <n v="0"/>
    <n v="0"/>
    <n v="0"/>
    <m/>
    <m/>
    <m/>
    <m/>
    <m/>
    <n v="511.66431119999845"/>
    <m/>
    <m/>
    <m/>
    <n v="1078.0020368291941"/>
    <m/>
    <m/>
    <m/>
    <m/>
    <m/>
    <m/>
    <m/>
    <m/>
    <m/>
    <m/>
    <m/>
    <m/>
    <n v="12277.0681"/>
    <n v="-7003.4903671999928"/>
    <m/>
    <m/>
    <m/>
    <m/>
    <n v="-7478.0281799999984"/>
    <n v="185.75213999999997"/>
    <m/>
    <n v="-21.858820879790983"/>
    <n v="0"/>
    <n v="0"/>
    <n v="0"/>
    <n v="0"/>
    <n v="0"/>
    <n v="0"/>
    <n v="0"/>
    <n v="186.48378765429334"/>
    <n v="0"/>
    <n v="0"/>
    <n v="206.78051393098394"/>
    <n v="0"/>
    <n v="0"/>
    <n v="0"/>
    <n v="6.9581786952015321"/>
    <n v="0"/>
    <n v="-25.535010526381086"/>
    <m/>
    <n v="0"/>
    <n v="0"/>
    <n v="0"/>
    <n v="0"/>
    <n v="-3.9506871558334851"/>
    <n v="-0.46262695667931553"/>
    <n v="0"/>
    <n v="-392.13297652137658"/>
    <m/>
    <m/>
    <m/>
    <n v="14233.258769462867"/>
    <n v="0"/>
    <n v="0"/>
    <n v="-7478.0281799999993"/>
    <n v="185.75214000000005"/>
    <n v="0"/>
    <n v="0"/>
    <n v="-7270.3816379408318"/>
    <n v="0"/>
    <n v="0"/>
    <n v="0"/>
    <n v="0"/>
    <n v="0"/>
    <n v="0"/>
    <n v="0"/>
    <n v="0"/>
    <n v="0"/>
    <n v="0"/>
    <n v="0"/>
    <n v="0"/>
    <n v="172.6889957045006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84"/>
    <s v="Regular"/>
    <s v="Verde"/>
    <s v="A4"/>
    <s v="Rural"/>
    <s v="Agropecuária rural"/>
    <s v="Não se aplica"/>
    <s v="Não se aplica"/>
    <s v="Fora ponta"/>
    <s v="CATIVO"/>
    <x v="5"/>
    <n v="0"/>
    <n v="0"/>
    <n v="980.20399999999995"/>
    <n v="940.99584000000004"/>
    <n v="980.20399999999995"/>
    <n v="940.99584000000004"/>
    <m/>
    <n v="95.29"/>
    <n v="159.41"/>
    <m/>
    <n v="249657.95880000002"/>
    <n v="249657.95880000002"/>
    <n v="271428.28963999997"/>
    <n v="0"/>
    <n v="52846.83416722549"/>
    <n v="0"/>
    <n v="0"/>
    <n v="0"/>
    <n v="0"/>
    <n v="0"/>
    <n v="151177.56544505627"/>
    <n v="5079.1693697850706"/>
    <n v="0"/>
    <n v="0"/>
    <n v="0"/>
    <n v="0"/>
    <n v="9386.4877590188389"/>
    <m/>
    <n v="1052.4777577449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87.1356061302577"/>
    <n v="0"/>
    <n v="0"/>
    <n v="0"/>
    <n v="0"/>
    <n v="0"/>
    <m/>
    <m/>
    <m/>
    <m/>
    <m/>
    <n v="10857.131585599975"/>
    <m/>
    <m/>
    <m/>
    <n v="156264.70105118654"/>
    <m/>
    <m/>
    <m/>
    <m/>
    <m/>
    <m/>
    <m/>
    <m/>
    <m/>
    <m/>
    <m/>
    <m/>
    <n v="260572.31"/>
    <n v="20900.639551999979"/>
    <m/>
    <m/>
    <m/>
    <m/>
    <n v="-5155.8730400000049"/>
    <n v="26926.203879999997"/>
    <m/>
    <n v="21767.232620590425"/>
    <n v="0"/>
    <n v="0"/>
    <n v="0"/>
    <n v="0"/>
    <n v="0"/>
    <n v="0"/>
    <n v="0"/>
    <n v="0"/>
    <n v="0"/>
    <n v="0"/>
    <n v="29974.428701154451"/>
    <n v="0"/>
    <n v="0"/>
    <n v="0"/>
    <n v="1008.6416133912035"/>
    <n v="0"/>
    <n v="-3701.4965184857792"/>
    <m/>
    <n v="0"/>
    <n v="0"/>
    <n v="0"/>
    <n v="0"/>
    <n v="-572.68254257565786"/>
    <n v="-67.061341828585"/>
    <n v="0"/>
    <n v="-4874.5972910652108"/>
    <m/>
    <m/>
    <m/>
    <n v="0"/>
    <n v="0"/>
    <n v="0"/>
    <n v="-5155.8730400000059"/>
    <n v="26926.203879999986"/>
    <n v="0"/>
    <n v="0"/>
    <n v="0"/>
    <n v="0"/>
    <n v="0"/>
    <n v="0"/>
    <n v="0"/>
    <n v="0"/>
    <n v="0"/>
    <n v="0"/>
    <n v="0"/>
    <n v="0"/>
    <n v="0"/>
    <n v="0"/>
    <n v="0"/>
    <n v="25032.600465178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85"/>
    <s v="Sistema de Compensação"/>
    <s v="Verde"/>
    <s v="A4"/>
    <s v="Rural"/>
    <s v="Agropecuária rural"/>
    <s v="Não se aplica"/>
    <s v="Não se aplica"/>
    <s v="Fora ponta"/>
    <s v="CATIVO"/>
    <x v="5"/>
    <n v="0"/>
    <n v="0"/>
    <n v="176.624"/>
    <n v="169.55904000000001"/>
    <n v="176.624"/>
    <n v="169.55904000000001"/>
    <m/>
    <n v="95.29"/>
    <n v="159.41"/>
    <m/>
    <n v="44986.132799999999"/>
    <n v="44986.132799999999"/>
    <n v="48908.951840000002"/>
    <n v="0"/>
    <n v="9522.5271861286383"/>
    <n v="0"/>
    <n v="0"/>
    <n v="0"/>
    <n v="0"/>
    <n v="0"/>
    <n v="27240.846108736161"/>
    <n v="915.22092418406612"/>
    <n v="0"/>
    <n v="0"/>
    <n v="0"/>
    <n v="0"/>
    <n v="1691.3612002694781"/>
    <m/>
    <n v="189.647085182214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6.65636877338864"/>
    <n v="0"/>
    <n v="0"/>
    <n v="0"/>
    <n v="0"/>
    <n v="0"/>
    <m/>
    <m/>
    <m/>
    <m/>
    <m/>
    <n v="1956.3580735999958"/>
    <m/>
    <m/>
    <m/>
    <n v="28157.502477509548"/>
    <m/>
    <m/>
    <m/>
    <m/>
    <m/>
    <m/>
    <m/>
    <m/>
    <m/>
    <m/>
    <m/>
    <m/>
    <n v="46952.859600000003"/>
    <n v="3766.1421120000014"/>
    <m/>
    <m/>
    <m/>
    <m/>
    <n v="-929.0422400000009"/>
    <n v="4851.8612800000001"/>
    <m/>
    <n v="3922.2607685534458"/>
    <n v="0"/>
    <n v="0"/>
    <n v="0"/>
    <n v="0"/>
    <n v="0"/>
    <n v="0"/>
    <n v="0"/>
    <n v="0"/>
    <n v="0"/>
    <n v="0"/>
    <n v="5401.1241485575483"/>
    <n v="0"/>
    <n v="0"/>
    <n v="0"/>
    <n v="181.7482037653466"/>
    <n v="0"/>
    <n v="-666.97658964973925"/>
    <m/>
    <n v="0"/>
    <n v="0"/>
    <n v="0"/>
    <n v="0"/>
    <n v="-103.1922756894312"/>
    <n v="-12.083854421255154"/>
    <n v="0"/>
    <n v="-878.3588640090245"/>
    <m/>
    <m/>
    <m/>
    <n v="0"/>
    <n v="0"/>
    <n v="0"/>
    <n v="-929.04224000000067"/>
    <n v="4851.861280000001"/>
    <n v="0"/>
    <n v="0"/>
    <n v="0"/>
    <n v="0"/>
    <n v="0"/>
    <n v="0"/>
    <n v="0"/>
    <n v="0"/>
    <n v="0"/>
    <n v="0"/>
    <n v="0"/>
    <n v="0"/>
    <n v="0"/>
    <n v="0"/>
    <n v="0"/>
    <n v="4510.650869167659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86"/>
    <s v="Regular"/>
    <s v="Verde"/>
    <s v="A4"/>
    <s v="Rural"/>
    <s v="Agropecuária rural"/>
    <s v="Não se aplica"/>
    <s v="Não se aplica"/>
    <s v="Não se aplica"/>
    <s v="CATIVO"/>
    <x v="5"/>
    <n v="8088"/>
    <n v="7764.48"/>
    <n v="0"/>
    <n v="0"/>
    <n v="0"/>
    <n v="0"/>
    <n v="43.29"/>
    <m/>
    <m/>
    <n v="350129.52"/>
    <m/>
    <n v="350129.52"/>
    <n v="270867.12"/>
    <n v="0"/>
    <n v="0"/>
    <n v="0"/>
    <n v="0"/>
    <n v="0"/>
    <n v="191394.32813744654"/>
    <n v="158760.865300157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47.34"/>
    <n v="9206.68"/>
    <n v="225.57"/>
    <n v="41"/>
    <m/>
    <m/>
    <m/>
    <m/>
    <m/>
    <n v="10834.684800000015"/>
    <m/>
    <m/>
    <m/>
    <n v="0"/>
    <m/>
    <m/>
    <m/>
    <m/>
    <m/>
    <m/>
    <m/>
    <m/>
    <m/>
    <m/>
    <m/>
    <m/>
    <n v="260032.43520000001"/>
    <n v="-76091.934000000008"/>
    <m/>
    <m/>
    <m/>
    <m/>
    <n v="-79262.39999999998"/>
    <n v="0"/>
    <m/>
    <n v="1808.9632544961933"/>
    <n v="0"/>
    <n v="0"/>
    <n v="0"/>
    <n v="0"/>
    <m/>
    <m/>
    <m/>
    <n v="8645.6613005625259"/>
    <n v="0"/>
    <n v="0"/>
    <m/>
    <m/>
    <n v="0"/>
    <n v="0"/>
    <n v="0"/>
    <n v="0"/>
    <n v="0"/>
    <m/>
    <n v="0"/>
    <n v="0"/>
    <m/>
    <n v="0"/>
    <n v="0"/>
    <n v="0"/>
    <n v="0"/>
    <n v="-6836.6980460663399"/>
    <m/>
    <m/>
    <n v="158760.86530015749"/>
    <m/>
    <n v="0"/>
    <n v="0"/>
    <n v="-79262.400000000023"/>
    <m/>
    <n v="0"/>
    <m/>
    <n v="-81095.41873701420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87"/>
    <s v="Sistema de Compensação"/>
    <s v="Verde"/>
    <s v="A4"/>
    <s v="Rural"/>
    <s v="Agropecuária rural"/>
    <s v="Não se aplica"/>
    <s v="Não se aplica"/>
    <s v="Não se aplica"/>
    <s v="CATIVO"/>
    <x v="5"/>
    <n v="765"/>
    <n v="734.4"/>
    <n v="0"/>
    <n v="0"/>
    <n v="0"/>
    <n v="0"/>
    <n v="43.29"/>
    <m/>
    <m/>
    <n v="33116.85"/>
    <m/>
    <n v="33116.85"/>
    <n v="25619.850000000002"/>
    <n v="0"/>
    <n v="0"/>
    <n v="0"/>
    <n v="0"/>
    <n v="0"/>
    <n v="18102.950176205071"/>
    <n v="15016.3281348442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8.54"/>
    <n v="1033.1500000000001"/>
    <n v="943.34"/>
    <n v="4"/>
    <m/>
    <m/>
    <m/>
    <m/>
    <m/>
    <n v="1024.7940000000008"/>
    <m/>
    <m/>
    <m/>
    <n v="0"/>
    <m/>
    <m/>
    <m/>
    <m/>
    <m/>
    <m/>
    <m/>
    <m/>
    <m/>
    <m/>
    <m/>
    <m/>
    <n v="24595.056"/>
    <n v="-7197.1499999999942"/>
    <m/>
    <m/>
    <m/>
    <m/>
    <n v="-7496.9999999999982"/>
    <n v="0"/>
    <m/>
    <n v="171.10001108921642"/>
    <n v="0"/>
    <n v="0"/>
    <n v="0"/>
    <n v="0"/>
    <m/>
    <m/>
    <m/>
    <n v="817.74615417041787"/>
    <n v="0"/>
    <n v="0"/>
    <m/>
    <m/>
    <n v="0"/>
    <n v="0"/>
    <n v="0"/>
    <n v="0"/>
    <n v="0"/>
    <m/>
    <n v="0"/>
    <n v="0"/>
    <m/>
    <n v="0"/>
    <n v="0"/>
    <n v="0"/>
    <n v="0"/>
    <n v="-646.64614308120053"/>
    <m/>
    <m/>
    <n v="15016.328134844274"/>
    <m/>
    <n v="0"/>
    <n v="0"/>
    <n v="-7496.9999999999964"/>
    <m/>
    <n v="0"/>
    <m/>
    <n v="-7670.375288552902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388"/>
    <s v="Regular"/>
    <s v="Verde"/>
    <s v="A4"/>
    <s v="Rural"/>
    <s v="Agropecuária rural"/>
    <s v="IRRIG./AQUIC. PR"/>
    <s v="Não se aplica"/>
    <s v="Fora ponta"/>
    <s v="CATIVO"/>
    <x v="5"/>
    <n v="0"/>
    <n v="0"/>
    <n v="898.62400000000002"/>
    <n v="269.5872"/>
    <n v="898.62400000000002"/>
    <n v="269.5872"/>
    <m/>
    <n v="95.29"/>
    <n v="159.41"/>
    <m/>
    <n v="228879.53280000002"/>
    <n v="228879.53280000002"/>
    <n v="248837.97184000001"/>
    <n v="0"/>
    <n v="48448.520416861029"/>
    <n v="0"/>
    <n v="0"/>
    <n v="0"/>
    <n v="0"/>
    <n v="0"/>
    <n v="138595.42357560084"/>
    <n v="4656.442430099999"/>
    <n v="0"/>
    <n v="0"/>
    <n v="0"/>
    <n v="0"/>
    <n v="8605.2731635052969"/>
    <m/>
    <n v="964.882588293677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63.7456559279462"/>
    <n v="0"/>
    <n v="0"/>
    <n v="0"/>
    <n v="0"/>
    <n v="0"/>
    <m/>
    <m/>
    <m/>
    <m/>
    <m/>
    <m/>
    <n v="174186.58028800003"/>
    <m/>
    <m/>
    <n v="143259.16923152879"/>
    <m/>
    <m/>
    <m/>
    <m/>
    <m/>
    <m/>
    <m/>
    <m/>
    <m/>
    <m/>
    <m/>
    <m/>
    <n v="74652.166899999997"/>
    <n v="5988.2770599999931"/>
    <m/>
    <m/>
    <m/>
    <m/>
    <n v="-4726.7622400000046"/>
    <n v="24685.201280000001"/>
    <m/>
    <n v="19955.598677872622"/>
    <n v="0"/>
    <n v="0"/>
    <n v="0"/>
    <n v="0"/>
    <n v="0"/>
    <n v="0"/>
    <n v="0"/>
    <n v="0"/>
    <n v="0"/>
    <n v="0"/>
    <n v="27479.729747222242"/>
    <n v="0"/>
    <n v="0"/>
    <n v="0"/>
    <n v="924.69481984572303"/>
    <n v="0"/>
    <n v="-3393.4299466516823"/>
    <m/>
    <n v="0"/>
    <n v="0"/>
    <n v="0"/>
    <n v="0"/>
    <n v="-525.01956443710606"/>
    <n v="-61.479989103666639"/>
    <n v="0"/>
    <n v="-4468.8963890028854"/>
    <m/>
    <m/>
    <m/>
    <n v="0"/>
    <n v="0"/>
    <n v="0"/>
    <n v="-4726.7622400000109"/>
    <n v="24685.201280000008"/>
    <n v="0"/>
    <n v="0"/>
    <n v="0"/>
    <n v="0"/>
    <n v="0"/>
    <n v="0"/>
    <n v="0"/>
    <n v="0"/>
    <n v="0"/>
    <n v="0"/>
    <n v="0"/>
    <n v="0"/>
    <n v="0"/>
    <n v="0"/>
    <n v="0"/>
    <n v="22949.19788168606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90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1.58"/>
    <n v="102.2"/>
    <n v="52.1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91"/>
    <s v="Regular"/>
    <s v="Convencional"/>
    <s v="B2"/>
    <s v="Rural"/>
    <s v="Aquicultura"/>
    <s v="IRRIG./AQUIC."/>
    <s v="Não se aplica"/>
    <s v="Não se aplica"/>
    <s v="CATIVO"/>
    <x v="5"/>
    <n v="0"/>
    <n v="0"/>
    <n v="9.27"/>
    <n v="9.27"/>
    <n v="9.27"/>
    <n v="9.27"/>
    <m/>
    <n v="648.44000000000005"/>
    <n v="159.41"/>
    <m/>
    <n v="7488.7695000000003"/>
    <n v="7488.7695000000003"/>
    <n v="5671.5713999999998"/>
    <n v="0"/>
    <n v="574.46422334016211"/>
    <n v="0"/>
    <n v="0"/>
    <n v="0"/>
    <n v="1081.2938309844612"/>
    <n v="3870.6513345962039"/>
    <n v="1429.7187439305203"/>
    <n v="48.034796897286284"/>
    <n v="0"/>
    <n v="0"/>
    <n v="0"/>
    <n v="0"/>
    <n v="88.770033101379553"/>
    <m/>
    <n v="19.2361365872343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.50787475051143"/>
    <n v="0"/>
    <n v="0"/>
    <n v="0"/>
    <n v="0"/>
    <n v="0"/>
    <m/>
    <m/>
    <m/>
    <m/>
    <m/>
    <n v="680.60340000000008"/>
    <m/>
    <m/>
    <m/>
    <n v="1534.2266186810318"/>
    <m/>
    <m/>
    <m/>
    <m/>
    <m/>
    <m/>
    <m/>
    <m/>
    <m/>
    <m/>
    <m/>
    <m/>
    <n v="4990.9679999999998"/>
    <n v="-1599.1977000000006"/>
    <m/>
    <m/>
    <m/>
    <m/>
    <n v="-2071.8450000000003"/>
    <n v="254.64689999999999"/>
    <m/>
    <n v="159.94474700515275"/>
    <n v="0"/>
    <n v="0"/>
    <n v="0"/>
    <n v="0"/>
    <n v="0"/>
    <n v="0"/>
    <n v="0"/>
    <n v="48.844186345826301"/>
    <n v="0"/>
    <n v="0"/>
    <n v="283.4746175895034"/>
    <n v="0"/>
    <n v="0"/>
    <n v="0"/>
    <n v="20.721089344152006"/>
    <n v="0"/>
    <n v="-40.236607475097685"/>
    <m/>
    <n v="0"/>
    <n v="0"/>
    <n v="0"/>
    <n v="0"/>
    <n v="-5.4159819483254097"/>
    <n v="-1.2256801834006517"/>
    <n v="0"/>
    <n v="-146.21687666750495"/>
    <m/>
    <m/>
    <m/>
    <n v="3870.6513345962039"/>
    <n v="0"/>
    <n v="0"/>
    <n v="-2071.8450000000003"/>
    <n v="254.64689999999996"/>
    <n v="0"/>
    <n v="0"/>
    <n v="-1977.1376917769305"/>
    <n v="0"/>
    <n v="0"/>
    <n v="0"/>
    <n v="0"/>
    <n v="0"/>
    <n v="0"/>
    <n v="0"/>
    <n v="0"/>
    <n v="0"/>
    <n v="0"/>
    <n v="0"/>
    <n v="0"/>
    <n v="272.1134314102679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92"/>
    <s v="Regular"/>
    <s v="Convencional"/>
    <s v="B2"/>
    <s v="Rural"/>
    <s v="Aquicultura"/>
    <s v="IRRIG./AQUIC. PR"/>
    <s v="Não se aplica"/>
    <s v="Não se aplica"/>
    <s v="CATIVO"/>
    <x v="5"/>
    <n v="0"/>
    <n v="0"/>
    <n v="12.282999999999999"/>
    <n v="4.9131999999999998"/>
    <n v="12.282999999999999"/>
    <n v="4.9131999999999998"/>
    <m/>
    <n v="648.44000000000005"/>
    <n v="159.41"/>
    <m/>
    <n v="9922.8215500000006"/>
    <n v="9922.8215500000006"/>
    <n v="7514.98506"/>
    <n v="0"/>
    <n v="761.18058848837234"/>
    <n v="0"/>
    <n v="0"/>
    <n v="0"/>
    <n v="1432.7434871609642"/>
    <n v="5128.7174048376664"/>
    <n v="1894.4158933871176"/>
    <n v="63.647401325713851"/>
    <n v="0"/>
    <n v="0"/>
    <n v="0"/>
    <n v="0"/>
    <n v="117.62268787316559"/>
    <m/>
    <n v="25.488399751995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47575248765176"/>
    <n v="0"/>
    <n v="0"/>
    <n v="0"/>
    <n v="0"/>
    <n v="0"/>
    <m/>
    <m/>
    <m/>
    <m/>
    <m/>
    <m/>
    <n v="4869.7181799999998"/>
    <m/>
    <m/>
    <n v="2032.8916458747694"/>
    <m/>
    <m/>
    <m/>
    <m/>
    <m/>
    <m/>
    <m/>
    <m/>
    <m/>
    <m/>
    <m/>
    <m/>
    <n v="2643.5439999999999"/>
    <n v="-849.3290120000006"/>
    <m/>
    <m/>
    <m/>
    <m/>
    <n v="-2745.2505000000006"/>
    <n v="337.41400999999996"/>
    <m/>
    <n v="211.93110328633156"/>
    <n v="0"/>
    <n v="0"/>
    <n v="0"/>
    <n v="0"/>
    <n v="0"/>
    <n v="0"/>
    <n v="0"/>
    <n v="64.719864173223868"/>
    <n v="0"/>
    <n v="0"/>
    <n v="375.61151325262927"/>
    <n v="0"/>
    <n v="0"/>
    <n v="0"/>
    <n v="27.456002202181139"/>
    <n v="0"/>
    <n v="-53.314590034155799"/>
    <m/>
    <n v="0"/>
    <n v="0"/>
    <n v="0"/>
    <n v="0"/>
    <n v="-7.1763221436117561"/>
    <n v="-1.6240592980269923"/>
    <n v="0"/>
    <n v="-193.74130486590758"/>
    <m/>
    <m/>
    <m/>
    <n v="5128.7174048376664"/>
    <n v="0"/>
    <n v="0"/>
    <n v="-2745.2505000000001"/>
    <n v="337.41401000000019"/>
    <n v="0"/>
    <n v="0"/>
    <n v="-2619.7607624699062"/>
    <n v="0"/>
    <n v="0"/>
    <n v="0"/>
    <n v="0"/>
    <n v="0"/>
    <n v="0"/>
    <n v="0"/>
    <n v="0"/>
    <n v="0"/>
    <n v="0"/>
    <n v="0"/>
    <n v="0"/>
    <n v="360.5576351685351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93"/>
    <s v="Regular"/>
    <s v="Convencional"/>
    <s v="B1"/>
    <s v="Residencial"/>
    <s v="Residencial"/>
    <s v="Não se aplica"/>
    <s v="Não se aplica"/>
    <s v="Não se aplica"/>
    <s v="CATIVO"/>
    <x v="6"/>
    <n v="0"/>
    <n v="0"/>
    <n v="1667.6569999999999"/>
    <n v="1667.6569999999999"/>
    <n v="1667.6569999999999"/>
    <n v="1667.6569999999999"/>
    <m/>
    <n v="648.44000000000005"/>
    <n v="159.41"/>
    <m/>
    <n v="1347216.7074500001"/>
    <n v="1347216.7074500001"/>
    <n v="1020305.9057399998"/>
    <n v="0"/>
    <n v="103345.12225488508"/>
    <n v="0"/>
    <n v="0"/>
    <n v="0"/>
    <n v="194522.8938832852"/>
    <n v="696323.49435800442"/>
    <n v="257203.9343416332"/>
    <n v="8641.3770538659919"/>
    <n v="0"/>
    <n v="0"/>
    <n v="0"/>
    <n v="0"/>
    <n v="15969.575738052568"/>
    <m/>
    <n v="3460.5477705132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00.786287250663"/>
    <n v="0"/>
    <n v="1019.81"/>
    <n v="4928.5600000000004"/>
    <n v="417704.88"/>
    <n v="7299"/>
    <m/>
    <m/>
    <m/>
    <m/>
    <m/>
    <m/>
    <m/>
    <m/>
    <m/>
    <n v="276004.72062888386"/>
    <m/>
    <m/>
    <m/>
    <m/>
    <m/>
    <m/>
    <m/>
    <m/>
    <m/>
    <m/>
    <m/>
    <m/>
    <n v="1020307.7412"/>
    <n v="-326908.99625000008"/>
    <m/>
    <m/>
    <m/>
    <m/>
    <n v="-372721.33950000006"/>
    <n v="45810.537789999995"/>
    <n v="31"/>
    <n v="28773.783921938855"/>
    <n v="0"/>
    <n v="0"/>
    <n v="0"/>
    <n v="0"/>
    <n v="0"/>
    <n v="0"/>
    <n v="0"/>
    <n v="8786.984818653902"/>
    <n v="0"/>
    <n v="0"/>
    <n v="50996.594427773292"/>
    <n v="0"/>
    <n v="0"/>
    <n v="0"/>
    <n v="3727.6882084574427"/>
    <n v="0"/>
    <n v="-7238.496236472376"/>
    <m/>
    <n v="0"/>
    <n v="0"/>
    <n v="0"/>
    <n v="0"/>
    <n v="-974.32580453058108"/>
    <n v="-220.49774947242531"/>
    <n v="0"/>
    <n v="-26304.163742470475"/>
    <m/>
    <m/>
    <m/>
    <n v="696323.49435800442"/>
    <n v="0"/>
    <n v="0"/>
    <n v="-372721.33950000012"/>
    <n v="45810.537790000031"/>
    <n v="0"/>
    <n v="0"/>
    <n v="-355683.6582152794"/>
    <n v="0"/>
    <n v="0"/>
    <n v="0"/>
    <n v="0"/>
    <n v="0"/>
    <n v="0"/>
    <n v="0"/>
    <n v="0"/>
    <n v="0"/>
    <n v="0"/>
    <n v="0"/>
    <n v="0"/>
    <n v="48952.73664351167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94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192"/>
    <n v="-0.192"/>
    <n v="-0.192"/>
    <n v="-0.192"/>
    <m/>
    <n v="648.44000000000005"/>
    <n v="159.41"/>
    <m/>
    <n v="-155.10720000000001"/>
    <n v="-155.10720000000001"/>
    <n v="-117.46944000000001"/>
    <n v="0"/>
    <n v="-11.898288120961288"/>
    <n v="0"/>
    <n v="0"/>
    <n v="0"/>
    <n v="-22.395729832687874"/>
    <n v="-80.16883023111879"/>
    <n v="-29.612297608916926"/>
    <n v="-0.9948954697172564"/>
    <n v="0"/>
    <n v="0"/>
    <n v="0"/>
    <n v="0"/>
    <n v="-1.8386026273424891"/>
    <m/>
    <n v="-0.398418362971845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1645643961270977"/>
    <n v="0"/>
    <n v="-0.48"/>
    <n v="-2.2799999999999998"/>
    <n v="-71.48"/>
    <n v="0"/>
    <m/>
    <m/>
    <m/>
    <m/>
    <m/>
    <m/>
    <m/>
    <m/>
    <m/>
    <n v="-31.776862005044023"/>
    <m/>
    <m/>
    <m/>
    <m/>
    <m/>
    <m/>
    <m/>
    <m/>
    <m/>
    <m/>
    <m/>
    <m/>
    <n v="-116.2458"/>
    <n v="38.831400000000002"/>
    <m/>
    <m/>
    <m/>
    <m/>
    <n v="42.912000000000013"/>
    <n v="-5.2742399999999998"/>
    <n v="31"/>
    <n v="-3.3127714590063988"/>
    <n v="0"/>
    <n v="0"/>
    <n v="0"/>
    <n v="0"/>
    <n v="0"/>
    <n v="0"/>
    <n v="0"/>
    <n v="-1.0116595230203522"/>
    <n v="0"/>
    <n v="0"/>
    <n v="-5.8713189403651214"/>
    <n v="0"/>
    <n v="0"/>
    <n v="0"/>
    <n v="-0.42917466602774379"/>
    <n v="0"/>
    <n v="0.83337957229975856"/>
    <m/>
    <n v="0"/>
    <n v="0"/>
    <n v="0"/>
    <n v="0"/>
    <n v="0.11217567789411831"/>
    <n v="2.5386256225774007E-2"/>
    <n v="0"/>
    <n v="3.0284401639871579"/>
    <m/>
    <m/>
    <m/>
    <n v="-80.16883023111879"/>
    <n v="0"/>
    <n v="0"/>
    <n v="42.912000000000006"/>
    <n v="-5.2742400000000025"/>
    <n v="0"/>
    <n v="0"/>
    <n v="40.950424684052933"/>
    <n v="0"/>
    <n v="0"/>
    <n v="0"/>
    <n v="0"/>
    <n v="0"/>
    <n v="0"/>
    <n v="0"/>
    <n v="0"/>
    <n v="0"/>
    <n v="0"/>
    <n v="0"/>
    <n v="0"/>
    <n v="-5.636006346361536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95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25.696000000000002"/>
    <n v="25.696000000000002"/>
    <n v="25.696000000000002"/>
    <n v="25.696000000000002"/>
    <m/>
    <n v="648.44000000000005"/>
    <n v="159.41"/>
    <m/>
    <n v="20758.513600000006"/>
    <n v="20758.513600000006"/>
    <n v="15721.326720000001"/>
    <n v="0"/>
    <n v="1592.3875601886523"/>
    <n v="0"/>
    <n v="0"/>
    <n v="0"/>
    <n v="2997.2951759413936"/>
    <n v="10729.261779264732"/>
    <n v="3963.1124966600487"/>
    <n v="133.15017703049281"/>
    <n v="0"/>
    <n v="0"/>
    <n v="0"/>
    <n v="0"/>
    <n v="246.06631829266979"/>
    <m/>
    <n v="53.3216575777319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9.69086834834326"/>
    <n v="0"/>
    <n v="16.739999999999998"/>
    <n v="83.3"/>
    <n v="23131.119999999999"/>
    <n v="222"/>
    <m/>
    <m/>
    <m/>
    <m/>
    <m/>
    <m/>
    <m/>
    <m/>
    <m/>
    <n v="4252.8033650083917"/>
    <m/>
    <m/>
    <m/>
    <m/>
    <m/>
    <m/>
    <m/>
    <m/>
    <m/>
    <m/>
    <m/>
    <m/>
    <n v="15723.774000000001"/>
    <n v="-5034.7695999999996"/>
    <m/>
    <m/>
    <m/>
    <m/>
    <n v="-5743.0560000000014"/>
    <n v="705.86912000000007"/>
    <n v="31"/>
    <n v="443.35924693036031"/>
    <n v="0"/>
    <n v="0"/>
    <n v="0"/>
    <n v="0"/>
    <n v="0"/>
    <n v="0"/>
    <n v="0"/>
    <n v="135.39376616422396"/>
    <n v="0"/>
    <n v="0"/>
    <n v="785.77818485219859"/>
    <n v="0"/>
    <n v="0"/>
    <n v="0"/>
    <n v="57.437876136713044"/>
    <n v="0"/>
    <n v="-111.53396609278411"/>
    <m/>
    <n v="0"/>
    <n v="0"/>
    <n v="0"/>
    <n v="0"/>
    <n v="-15.012844891496172"/>
    <n v="-3.397527291549423"/>
    <n v="0"/>
    <n v="-405.30624194694798"/>
    <m/>
    <m/>
    <m/>
    <n v="10729.261779264732"/>
    <n v="0"/>
    <n v="0"/>
    <n v="-5743.0560000000023"/>
    <n v="705.86911999999938"/>
    <n v="0"/>
    <n v="0"/>
    <n v="-5480.5318368824182"/>
    <n v="0"/>
    <n v="0"/>
    <n v="0"/>
    <n v="0"/>
    <n v="0"/>
    <n v="0"/>
    <n v="0"/>
    <n v="0"/>
    <n v="0"/>
    <n v="0"/>
    <n v="0"/>
    <n v="0"/>
    <n v="754.2855160213856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96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21.18"/>
    <n v="21.18"/>
    <n v="21.18"/>
    <n v="21.18"/>
    <m/>
    <n v="547.54"/>
    <n v="159.41"/>
    <m/>
    <n v="14973.200999999999"/>
    <n v="14973.200999999999"/>
    <n v="10967.427599999999"/>
    <n v="0"/>
    <n v="0"/>
    <n v="0"/>
    <n v="0"/>
    <n v="0"/>
    <n v="2470.5289471683809"/>
    <n v="8843.624084870291"/>
    <n v="3266.6065799836483"/>
    <n v="109.74940650318484"/>
    <n v="0"/>
    <n v="0"/>
    <n v="0"/>
    <n v="0"/>
    <n v="0"/>
    <m/>
    <n v="43.950525665331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77850994777046"/>
    <n v="0"/>
    <n v="0.06"/>
    <n v="13.34"/>
    <n v="1174.18"/>
    <n v="30"/>
    <m/>
    <m/>
    <m/>
    <m/>
    <m/>
    <m/>
    <m/>
    <n v="7128.7644"/>
    <m/>
    <n v="3505.3850899314189"/>
    <m/>
    <m/>
    <m/>
    <m/>
    <m/>
    <m/>
    <m/>
    <m/>
    <m/>
    <m/>
    <m/>
    <m/>
    <n v="3838.6632"/>
    <n v="-1401.9342000000006"/>
    <m/>
    <m/>
    <m/>
    <m/>
    <n v="-4587.5879999999988"/>
    <n v="581.81459999999993"/>
    <n v="31"/>
    <n v="511.47250867672028"/>
    <n v="0"/>
    <n v="0"/>
    <n v="0"/>
    <n v="0"/>
    <n v="0"/>
    <n v="0"/>
    <n v="0"/>
    <n v="111.59869113318246"/>
    <n v="0"/>
    <n v="0"/>
    <n v="647.6798706090276"/>
    <n v="0"/>
    <n v="0"/>
    <n v="0"/>
    <n v="47.343330346185525"/>
    <n v="0"/>
    <n v="0"/>
    <m/>
    <n v="0"/>
    <n v="0"/>
    <n v="0"/>
    <n v="0"/>
    <n v="0"/>
    <n v="-2.8004213899057007"/>
    <n v="0"/>
    <n v="-292.34896202177055"/>
    <m/>
    <m/>
    <m/>
    <n v="8843.624084870291"/>
    <n v="0"/>
    <n v="0"/>
    <n v="-4587.5879999999997"/>
    <n v="581.81460000000015"/>
    <n v="0"/>
    <n v="0"/>
    <n v="-4517.3437229595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97"/>
    <s v="Sistema de Compensação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149999999999999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398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44.262"/>
    <n v="44.262"/>
    <n v="44.262"/>
    <n v="44.262"/>
    <m/>
    <n v="547.54"/>
    <n v="159.41"/>
    <m/>
    <n v="31291.0209"/>
    <n v="31291.0209"/>
    <n v="22919.74884"/>
    <n v="0"/>
    <n v="0"/>
    <n v="0"/>
    <n v="0"/>
    <n v="0"/>
    <n v="5162.9155929918261"/>
    <n v="18481.420644217604"/>
    <n v="6826.5599831556301"/>
    <n v="229.35449625325626"/>
    <n v="0"/>
    <n v="0"/>
    <n v="0"/>
    <n v="0"/>
    <n v="0"/>
    <m/>
    <n v="91.847883238853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8.99973594467497"/>
    <n v="0"/>
    <n v="10.94"/>
    <n v="51.49"/>
    <n v="4531.68"/>
    <n v="126"/>
    <m/>
    <m/>
    <m/>
    <m/>
    <m/>
    <m/>
    <m/>
    <n v="9167.9880599999997"/>
    <m/>
    <n v="7325.5597191003053"/>
    <m/>
    <m/>
    <m/>
    <m/>
    <m/>
    <m/>
    <m/>
    <m/>
    <m/>
    <m/>
    <m/>
    <m/>
    <n v="13751.139399999998"/>
    <n v="-5023.5031399999989"/>
    <m/>
    <m/>
    <m/>
    <m/>
    <n v="-9587.149199999998"/>
    <n v="1215.8771400000001"/>
    <n v="31"/>
    <n v="1068.8761179909798"/>
    <n v="0"/>
    <n v="0"/>
    <n v="0"/>
    <n v="0"/>
    <n v="0"/>
    <n v="0"/>
    <n v="0"/>
    <n v="233.21913441628567"/>
    <n v="0"/>
    <n v="0"/>
    <n v="1353.5224944710471"/>
    <n v="0"/>
    <n v="0"/>
    <n v="0"/>
    <n v="98.938172227708378"/>
    <n v="0"/>
    <n v="0"/>
    <m/>
    <n v="0"/>
    <n v="0"/>
    <n v="0"/>
    <n v="0"/>
    <n v="0"/>
    <n v="-5.8523253805479669"/>
    <n v="0"/>
    <n v="-610.95135774351309"/>
    <m/>
    <m/>
    <m/>
    <n v="18481.420644217604"/>
    <n v="0"/>
    <n v="0"/>
    <n v="-9587.149199999998"/>
    <n v="1215.8771399999996"/>
    <n v="0"/>
    <n v="0"/>
    <n v="-9440.3525904455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399"/>
    <s v="Sistema de Compensação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6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400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44.531999999999996"/>
    <n v="44.531999999999996"/>
    <n v="44.531999999999996"/>
    <n v="44.531999999999996"/>
    <m/>
    <n v="547.54"/>
    <n v="159.41"/>
    <m/>
    <n v="31481.897399999994"/>
    <n v="31481.897399999994"/>
    <n v="23059.560239999999"/>
    <n v="0"/>
    <n v="0"/>
    <n v="0"/>
    <n v="0"/>
    <n v="0"/>
    <n v="5194.4095880690429"/>
    <n v="18594.158061730112"/>
    <n v="6868.2022766681694"/>
    <n v="230.75356800754614"/>
    <n v="0"/>
    <n v="0"/>
    <n v="0"/>
    <n v="0"/>
    <n v="0"/>
    <m/>
    <n v="92.4081590617823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2.04365462672865"/>
    <n v="0"/>
    <n v="16.77"/>
    <n v="80.41"/>
    <n v="6947.32"/>
    <n v="353"/>
    <m/>
    <m/>
    <m/>
    <m/>
    <m/>
    <m/>
    <m/>
    <n v="2306.3122800000006"/>
    <m/>
    <n v="7370.2459312948977"/>
    <m/>
    <m/>
    <m/>
    <m/>
    <m/>
    <m/>
    <m/>
    <m/>
    <m/>
    <m/>
    <m/>
    <m/>
    <n v="20752.315900000001"/>
    <n v="-7581.6444199999933"/>
    <m/>
    <m/>
    <m/>
    <m/>
    <n v="-9645.631199999998"/>
    <n v="1223.2940399999998"/>
    <n v="31"/>
    <n v="1075.3963057786441"/>
    <n v="0"/>
    <n v="0"/>
    <n v="0"/>
    <n v="0"/>
    <n v="0"/>
    <n v="0"/>
    <n v="0"/>
    <n v="234.6417806205327"/>
    <n v="0"/>
    <n v="0"/>
    <n v="1361.7790367309353"/>
    <n v="0"/>
    <n v="0"/>
    <n v="0"/>
    <n v="99.541699101809854"/>
    <n v="0"/>
    <n v="0"/>
    <m/>
    <n v="0"/>
    <n v="0"/>
    <n v="0"/>
    <n v="0"/>
    <n v="0"/>
    <n v="-5.8880248033654681"/>
    <n v="0"/>
    <n v="-614.67818587126931"/>
    <m/>
    <m/>
    <m/>
    <n v="18594.158061730112"/>
    <n v="0"/>
    <n v="0"/>
    <n v="-9645.631199999998"/>
    <n v="1223.2940399999998"/>
    <n v="0"/>
    <n v="0"/>
    <n v="-9497.9391251575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01"/>
    <s v="Sistema de Compensação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.9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402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15.398999999999999"/>
    <n v="15.398999999999999"/>
    <n v="15.398999999999999"/>
    <n v="15.398999999999999"/>
    <m/>
    <n v="547.54"/>
    <n v="159.41"/>
    <m/>
    <n v="10886.323049999999"/>
    <n v="10886.323049999999"/>
    <n v="7973.9101799999989"/>
    <n v="0"/>
    <n v="0"/>
    <n v="0"/>
    <n v="0"/>
    <n v="0"/>
    <n v="1796.2075192372943"/>
    <n v="6429.7907121301987"/>
    <n v="2374.9988066651654"/>
    <n v="79.793725719666824"/>
    <n v="0"/>
    <n v="0"/>
    <n v="0"/>
    <n v="0"/>
    <n v="0"/>
    <m/>
    <n v="31.954397767726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3.60482883313111"/>
    <n v="0"/>
    <n v="7.29"/>
    <n v="34.51"/>
    <n v="2670.21"/>
    <n v="197"/>
    <m/>
    <m/>
    <m/>
    <m/>
    <m/>
    <m/>
    <m/>
    <m/>
    <m/>
    <n v="2548.6036354982966"/>
    <m/>
    <m/>
    <m/>
    <m/>
    <m/>
    <m/>
    <m/>
    <m/>
    <m/>
    <m/>
    <m/>
    <m/>
    <n v="7974.4279999999999"/>
    <n v="-2911.9250499999998"/>
    <m/>
    <m/>
    <m/>
    <m/>
    <n v="-3335.4233999999992"/>
    <n v="423.01052999999996"/>
    <n v="31"/>
    <n v="371.86804348974511"/>
    <n v="0"/>
    <n v="0"/>
    <n v="0"/>
    <n v="0"/>
    <n v="0"/>
    <n v="0"/>
    <n v="0"/>
    <n v="81.138255182241664"/>
    <n v="0"/>
    <n v="0"/>
    <n v="470.89812688897109"/>
    <n v="0"/>
    <n v="0"/>
    <n v="0"/>
    <n v="34.421149386256417"/>
    <n v="0"/>
    <n v="0"/>
    <m/>
    <n v="0"/>
    <n v="0"/>
    <n v="0"/>
    <n v="0"/>
    <n v="0"/>
    <n v="-2.0360570813577823"/>
    <n v="0"/>
    <n v="-212.55343088636658"/>
    <m/>
    <m/>
    <m/>
    <n v="6429.7907121301987"/>
    <n v="0"/>
    <n v="0"/>
    <n v="-3335.4233999999988"/>
    <n v="423.01052999999956"/>
    <n v="0"/>
    <n v="0"/>
    <n v="-3284.352029738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03"/>
    <s v="Sistema de Compensação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.2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404"/>
    <s v="Regular"/>
    <s v="Convencional"/>
    <s v="B3"/>
    <s v="Industrial"/>
    <s v="Não se aplica"/>
    <s v="Não se aplica"/>
    <s v="Não se aplica"/>
    <s v="Não se aplica"/>
    <s v="CATIVO"/>
    <x v="6"/>
    <n v="0"/>
    <n v="0"/>
    <n v="86.325999999999993"/>
    <n v="86.325999999999993"/>
    <n v="86.325999999999993"/>
    <n v="86.325999999999993"/>
    <m/>
    <n v="648.44000000000005"/>
    <n v="159.41"/>
    <m/>
    <n v="69738.459100000007"/>
    <n v="69738.459100000007"/>
    <n v="52815.973319999997"/>
    <n v="0"/>
    <n v="5349.6438558859581"/>
    <n v="0"/>
    <n v="0"/>
    <n v="0"/>
    <n v="10069.446737169859"/>
    <n v="36045.075200685205"/>
    <n v="13314.120850975845"/>
    <n v="447.31951207714513"/>
    <n v="0"/>
    <n v="0"/>
    <n v="0"/>
    <n v="0"/>
    <n v="826.66255420816515"/>
    <m/>
    <n v="179.134706259934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3.21971906285319"/>
    <n v="0"/>
    <n v="46.95"/>
    <n v="221.38"/>
    <n v="13382.66"/>
    <n v="83"/>
    <m/>
    <m/>
    <m/>
    <m/>
    <m/>
    <m/>
    <m/>
    <m/>
    <m/>
    <n v="14287.340570038699"/>
    <m/>
    <m/>
    <m/>
    <m/>
    <m/>
    <m/>
    <m/>
    <m/>
    <m/>
    <m/>
    <m/>
    <m/>
    <n v="52818.420599999998"/>
    <n v="-16920.068500000008"/>
    <m/>
    <m/>
    <m/>
    <m/>
    <n v="-19293.861000000004"/>
    <n v="2371.3752199999999"/>
    <n v="31"/>
    <n v="1489.4703592197257"/>
    <n v="0"/>
    <n v="0"/>
    <n v="0"/>
    <n v="0"/>
    <n v="0"/>
    <n v="0"/>
    <n v="0"/>
    <n v="454.85687491799399"/>
    <n v="0"/>
    <n v="0"/>
    <n v="2639.8306189893719"/>
    <n v="0"/>
    <n v="0"/>
    <n v="0"/>
    <n v="192.96318864328657"/>
    <n v="0"/>
    <n v="-374.69960915806678"/>
    <m/>
    <n v="0"/>
    <n v="0"/>
    <n v="0"/>
    <n v="0"/>
    <n v="-50.435820676498338"/>
    <n v="-11.414031015344648"/>
    <n v="0"/>
    <n v="-1361.6308624810174"/>
    <m/>
    <m/>
    <m/>
    <n v="36045.075200685205"/>
    <n v="0"/>
    <n v="0"/>
    <n v="-19293.861000000004"/>
    <n v="2371.3752199999999"/>
    <n v="0"/>
    <n v="0"/>
    <n v="-18411.9081316435"/>
    <n v="0"/>
    <n v="0"/>
    <n v="0"/>
    <n v="0"/>
    <n v="0"/>
    <n v="0"/>
    <n v="0"/>
    <n v="0"/>
    <n v="0"/>
    <n v="0"/>
    <n v="0"/>
    <n v="0"/>
    <n v="2534.030645083364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05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1.73"/>
    <n v="1.73"/>
    <n v="1.73"/>
    <n v="1.73"/>
    <m/>
    <n v="648.44000000000005"/>
    <n v="159.41"/>
    <m/>
    <n v="1397.5805"/>
    <n v="1397.5805"/>
    <n v="1058.4485999999999"/>
    <n v="0"/>
    <n v="107.2085335899116"/>
    <n v="0"/>
    <n v="0"/>
    <n v="0"/>
    <n v="201.79485734661466"/>
    <n v="722.35456406164326"/>
    <n v="266.81913991367855"/>
    <n v="8.9644227219315287"/>
    <n v="0"/>
    <n v="0"/>
    <n v="0"/>
    <n v="0"/>
    <n v="16.566575756783887"/>
    <m/>
    <n v="3.58991545802756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503627110936868"/>
    <n v="0"/>
    <n v="0.92"/>
    <n v="4.67"/>
    <n v="2319.79"/>
    <n v="18"/>
    <m/>
    <m/>
    <m/>
    <m/>
    <m/>
    <m/>
    <m/>
    <m/>
    <m/>
    <n v="286.32276702461542"/>
    <m/>
    <m/>
    <m/>
    <m/>
    <m/>
    <m/>
    <m/>
    <m/>
    <m/>
    <m/>
    <m/>
    <m/>
    <n v="1058.4485999999999"/>
    <n v="-339.16190000000006"/>
    <m/>
    <m/>
    <m/>
    <m/>
    <n v="-386.65500000000009"/>
    <n v="47.523099999999999"/>
    <n v="31"/>
    <n v="29.849451167089114"/>
    <n v="0"/>
    <n v="0"/>
    <n v="0"/>
    <n v="0"/>
    <n v="0"/>
    <n v="0"/>
    <n v="0"/>
    <n v="9.115473827214629"/>
    <n v="0"/>
    <n v="0"/>
    <n v="52.903030035581537"/>
    <n v="0"/>
    <n v="0"/>
    <n v="0"/>
    <n v="3.8670425636874839"/>
    <n v="0"/>
    <n v="-7.5090971879092763"/>
    <m/>
    <n v="0"/>
    <n v="0"/>
    <n v="0"/>
    <n v="0"/>
    <n v="-1.0107495976917971"/>
    <n v="-0.22874074620098517"/>
    <n v="0"/>
    <n v="-27.287507727592619"/>
    <m/>
    <m/>
    <m/>
    <n v="722.35456406164326"/>
    <n v="0"/>
    <n v="0"/>
    <n v="-386.65500000000009"/>
    <n v="47.523099999999999"/>
    <n v="0"/>
    <n v="0"/>
    <n v="-368.98038908026859"/>
    <n v="0"/>
    <n v="0"/>
    <n v="0"/>
    <n v="0"/>
    <n v="0"/>
    <n v="0"/>
    <n v="0"/>
    <n v="0"/>
    <n v="0"/>
    <n v="0"/>
    <n v="0"/>
    <n v="0"/>
    <n v="50.78276551669509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06"/>
    <s v="Regular"/>
    <s v="Verde"/>
    <s v="A4"/>
    <s v="Industrial"/>
    <s v="Não se aplica"/>
    <s v="Não se aplica"/>
    <s v="Não se aplica"/>
    <s v="Ponta"/>
    <s v="CATIVO"/>
    <x v="6"/>
    <n v="0"/>
    <n v="0"/>
    <n v="16.905999999999999"/>
    <n v="16.905999999999999"/>
    <n v="16.905999999999999"/>
    <n v="16.905999999999999"/>
    <m/>
    <n v="2810.7"/>
    <n v="159.41"/>
    <m/>
    <n v="50212.679659999994"/>
    <n v="50212.679659999994"/>
    <n v="31980.911139999997"/>
    <n v="0"/>
    <n v="911.4720797212766"/>
    <n v="0"/>
    <n v="0"/>
    <n v="0"/>
    <n v="10321.376621795262"/>
    <n v="35585.251812561255"/>
    <n v="2607.4244967518202"/>
    <n v="87.602618807499667"/>
    <n v="0"/>
    <n v="0"/>
    <n v="0"/>
    <n v="0"/>
    <n v="161.89279175964646"/>
    <m/>
    <n v="18.1525365867069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740015912236771"/>
    <n v="0"/>
    <n v="0"/>
    <n v="0"/>
    <n v="0"/>
    <n v="0"/>
    <m/>
    <m/>
    <m/>
    <m/>
    <m/>
    <m/>
    <m/>
    <m/>
    <m/>
    <n v="2695.1645126640569"/>
    <m/>
    <m/>
    <m/>
    <m/>
    <m/>
    <m/>
    <m/>
    <m/>
    <m/>
    <m/>
    <m/>
    <m/>
    <n v="31988.477900000002"/>
    <n v="-18224.231759999999"/>
    <m/>
    <m/>
    <m/>
    <m/>
    <n v="-18696.176339999998"/>
    <n v="464.40781999999996"/>
    <n v="31"/>
    <n v="-54.650284796472988"/>
    <n v="0"/>
    <n v="0"/>
    <n v="0"/>
    <n v="0"/>
    <n v="0"/>
    <n v="0"/>
    <n v="0"/>
    <n v="466.23704733562408"/>
    <n v="0"/>
    <n v="0"/>
    <n v="516.9818646136082"/>
    <n v="0"/>
    <n v="0"/>
    <n v="0"/>
    <n v="17.396475749937451"/>
    <n v="0"/>
    <n v="-63.841302567139678"/>
    <m/>
    <n v="0"/>
    <n v="0"/>
    <n v="0"/>
    <n v="0"/>
    <n v="-9.8773021379060708"/>
    <n v="-1.1566358073972935"/>
    <n v="0"/>
    <n v="-980.39043198319905"/>
    <m/>
    <m/>
    <m/>
    <n v="35585.251812561255"/>
    <n v="0"/>
    <n v="0"/>
    <n v="-18696.176339999995"/>
    <n v="464.4078199999999"/>
    <n v="0"/>
    <n v="0"/>
    <n v="-18177.029276993148"/>
    <n v="0"/>
    <n v="0"/>
    <n v="0"/>
    <n v="0"/>
    <n v="0"/>
    <n v="0"/>
    <n v="0"/>
    <n v="0"/>
    <n v="0"/>
    <n v="0"/>
    <n v="0"/>
    <n v="0"/>
    <n v="431.7480274150084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07"/>
    <s v="Regular"/>
    <s v="Verde"/>
    <s v="A4"/>
    <s v="Industrial"/>
    <s v="Não se aplica"/>
    <s v="Não se aplica"/>
    <s v="Não se aplica"/>
    <s v="Fora ponta"/>
    <s v="CATIVO"/>
    <x v="6"/>
    <n v="0"/>
    <n v="0"/>
    <n v="538.13900000000001"/>
    <n v="538.13900000000001"/>
    <n v="538.13900000000001"/>
    <n v="538.13900000000001"/>
    <m/>
    <n v="95.29"/>
    <n v="159.41"/>
    <m/>
    <n v="137064.00329999998"/>
    <n v="137064.00329999998"/>
    <n v="149016.07049000001"/>
    <n v="0"/>
    <n v="29013.289572289606"/>
    <n v="0"/>
    <n v="0"/>
    <n v="0"/>
    <n v="0"/>
    <n v="0"/>
    <n v="82997.563661275766"/>
    <n v="2788.5002769696598"/>
    <n v="0"/>
    <n v="0"/>
    <n v="0"/>
    <n v="0"/>
    <n v="5153.2488503930199"/>
    <m/>
    <n v="577.81780943060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2.8737976455213"/>
    <n v="0"/>
    <n v="0"/>
    <n v="0"/>
    <n v="0"/>
    <n v="0"/>
    <m/>
    <m/>
    <m/>
    <m/>
    <m/>
    <m/>
    <m/>
    <m/>
    <m/>
    <n v="85790.437458921282"/>
    <m/>
    <m/>
    <m/>
    <m/>
    <m/>
    <m/>
    <m/>
    <m/>
    <m/>
    <m/>
    <m/>
    <m/>
    <n v="149016.3474"/>
    <n v="11952.314099999989"/>
    <m/>
    <m/>
    <m/>
    <m/>
    <n v="-2830.6111400000027"/>
    <n v="14782.678329999999"/>
    <n v="31"/>
    <n v="11950.366245405923"/>
    <n v="0"/>
    <n v="0"/>
    <n v="0"/>
    <n v="0"/>
    <n v="0"/>
    <n v="0"/>
    <n v="0"/>
    <n v="0"/>
    <n v="0"/>
    <n v="0"/>
    <n v="16456.17553775596"/>
    <n v="0"/>
    <n v="0"/>
    <n v="0"/>
    <n v="553.75145295135417"/>
    <n v="0"/>
    <n v="-2032.1480375120082"/>
    <m/>
    <n v="0"/>
    <n v="0"/>
    <n v="0"/>
    <n v="0"/>
    <n v="-314.4068079492863"/>
    <n v="-36.817155847449044"/>
    <n v="0"/>
    <n v="-2676.1887439926195"/>
    <m/>
    <m/>
    <m/>
    <n v="0"/>
    <n v="0"/>
    <n v="0"/>
    <n v="-2830.6111400000009"/>
    <n v="14782.67833000001"/>
    <n v="0"/>
    <n v="0"/>
    <n v="0"/>
    <n v="0"/>
    <n v="0"/>
    <n v="0"/>
    <n v="0"/>
    <n v="0"/>
    <n v="0"/>
    <n v="0"/>
    <n v="0"/>
    <n v="0"/>
    <n v="0"/>
    <n v="0"/>
    <n v="0"/>
    <n v="13743.07652461169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08"/>
    <s v="Regular"/>
    <s v="Verde"/>
    <s v="A4"/>
    <s v="Industrial"/>
    <s v="Não se aplica"/>
    <s v="Não se aplica"/>
    <s v="Não se aplica"/>
    <s v="Não se aplica"/>
    <s v="CATIVO"/>
    <x v="6"/>
    <n v="2262"/>
    <n v="2262"/>
    <n v="0"/>
    <n v="0"/>
    <n v="0"/>
    <n v="0"/>
    <n v="43.29"/>
    <m/>
    <m/>
    <n v="97921.98"/>
    <m/>
    <n v="97921.98"/>
    <n v="75754.38"/>
    <n v="0"/>
    <n v="0"/>
    <n v="0"/>
    <n v="0"/>
    <n v="0"/>
    <n v="53527.938952386758"/>
    <n v="44401.2212300885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4.75"/>
    <n v="1142.4100000000001"/>
    <n v="67966.39"/>
    <n v="13"/>
    <m/>
    <m/>
    <m/>
    <m/>
    <m/>
    <m/>
    <m/>
    <m/>
    <m/>
    <n v="0"/>
    <m/>
    <m/>
    <m/>
    <m/>
    <m/>
    <m/>
    <m/>
    <m/>
    <m/>
    <m/>
    <m/>
    <m/>
    <n v="75754.38"/>
    <n v="-22167.629999999976"/>
    <m/>
    <m/>
    <m/>
    <m/>
    <n v="-22167.599999999995"/>
    <n v="0"/>
    <n v="31"/>
    <n v="505.9192484755622"/>
    <n v="0"/>
    <n v="0"/>
    <n v="0"/>
    <n v="0"/>
    <m/>
    <m/>
    <m/>
    <n v="2417.9631382137013"/>
    <n v="0"/>
    <n v="0"/>
    <m/>
    <m/>
    <n v="0"/>
    <n v="0"/>
    <n v="0"/>
    <n v="0"/>
    <n v="0"/>
    <m/>
    <n v="0"/>
    <n v="0"/>
    <m/>
    <n v="0"/>
    <n v="0"/>
    <n v="0"/>
    <n v="0"/>
    <n v="-1912.043889738138"/>
    <m/>
    <m/>
    <n v="44401.221230088559"/>
    <m/>
    <n v="0"/>
    <n v="0"/>
    <n v="-22167.599999999991"/>
    <m/>
    <n v="0"/>
    <m/>
    <n v="-22680.24693164269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09"/>
    <s v="Regular"/>
    <s v="Convencional"/>
    <s v="B3"/>
    <s v="Comercial"/>
    <s v="Não se aplica"/>
    <s v="Não se aplica"/>
    <s v="Não se aplica"/>
    <s v="Não se aplica"/>
    <s v="CATIVO"/>
    <x v="6"/>
    <n v="0"/>
    <n v="0"/>
    <n v="846.04"/>
    <n v="846.04"/>
    <n v="846.04"/>
    <n v="846.04"/>
    <m/>
    <n v="648.44000000000005"/>
    <n v="159.41"/>
    <m/>
    <n v="683473.41400000011"/>
    <n v="683473.41400000011"/>
    <n v="517624.19279999996"/>
    <n v="0"/>
    <n v="52429.31084301087"/>
    <n v="0"/>
    <n v="0"/>
    <n v="0"/>
    <n v="98685.850352329406"/>
    <n v="353260.61004549864"/>
    <n v="130485.35556795873"/>
    <n v="4383.9654333311855"/>
    <n v="0"/>
    <n v="0"/>
    <n v="0"/>
    <n v="0"/>
    <n v="8101.7258689418722"/>
    <m/>
    <n v="1755.6139156703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38.0628213508826"/>
    <n v="0"/>
    <n v="528.94000000000005"/>
    <n v="2505.09"/>
    <n v="213540.33"/>
    <n v="1512"/>
    <m/>
    <m/>
    <m/>
    <m/>
    <m/>
    <m/>
    <m/>
    <m/>
    <m/>
    <n v="140023.41838930961"/>
    <m/>
    <m/>
    <m/>
    <m/>
    <m/>
    <m/>
    <m/>
    <m/>
    <m/>
    <m/>
    <m/>
    <m/>
    <n v="517624.19279999996"/>
    <n v="-165849.25120000017"/>
    <m/>
    <m/>
    <m/>
    <m/>
    <n v="-189089.94000000003"/>
    <n v="23240.718799999999"/>
    <n v="31"/>
    <n v="14597.589401967649"/>
    <n v="0"/>
    <n v="0"/>
    <n v="0"/>
    <n v="0"/>
    <n v="0"/>
    <n v="0"/>
    <n v="0"/>
    <n v="4457.8355357090622"/>
    <n v="0"/>
    <n v="0"/>
    <n v="25871.722272429732"/>
    <n v="0"/>
    <n v="0"/>
    <n v="0"/>
    <n v="1891.1402835735025"/>
    <n v="0"/>
    <n v="-3672.2523611900324"/>
    <m/>
    <n v="0"/>
    <n v="0"/>
    <n v="0"/>
    <n v="0"/>
    <n v="-494.29745065385396"/>
    <n v="-111.86348029819715"/>
    <n v="0"/>
    <n v="-13344.695397602576"/>
    <m/>
    <m/>
    <m/>
    <n v="353260.61004549864"/>
    <n v="0"/>
    <n v="0"/>
    <n v="-189089.94000000006"/>
    <n v="23240.718800000002"/>
    <n v="0"/>
    <n v="0"/>
    <n v="-180446.34010258407"/>
    <n v="0"/>
    <n v="0"/>
    <n v="0"/>
    <n v="0"/>
    <n v="0"/>
    <n v="0"/>
    <n v="0"/>
    <n v="0"/>
    <n v="0"/>
    <n v="0"/>
    <n v="0"/>
    <n v="0"/>
    <n v="24834.82713164434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10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54.317"/>
    <n v="54.317"/>
    <n v="54.317"/>
    <n v="54.317"/>
    <m/>
    <n v="648.44000000000005"/>
    <n v="159.41"/>
    <m/>
    <n v="43879.988450000004"/>
    <n v="43879.988450000004"/>
    <n v="33232.22694"/>
    <n v="0"/>
    <n v="3366.038103470074"/>
    <n v="0"/>
    <n v="0"/>
    <n v="0"/>
    <n v="6335.7752985526413"/>
    <n v="22679.845581581663"/>
    <n v="8377.3498397059411"/>
    <n v="281.45696473245948"/>
    <n v="0"/>
    <n v="0"/>
    <n v="0"/>
    <n v="0"/>
    <n v="520.14259848626034"/>
    <m/>
    <n v="112.71296990386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2.35752241893522"/>
    <n v="0"/>
    <n v="36.17"/>
    <n v="169.75"/>
    <n v="39017.480000000003"/>
    <n v="120"/>
    <m/>
    <m/>
    <m/>
    <m/>
    <m/>
    <m/>
    <m/>
    <m/>
    <m/>
    <n v="8989.7073621248765"/>
    <m/>
    <m/>
    <m/>
    <m/>
    <m/>
    <m/>
    <m/>
    <m/>
    <m/>
    <m/>
    <m/>
    <m/>
    <n v="33234.062399999995"/>
    <n v="-10645.956050000015"/>
    <m/>
    <m/>
    <m/>
    <m/>
    <n v="-12139.849500000004"/>
    <n v="1492.08799"/>
    <n v="31"/>
    <n v="937.18649655651825"/>
    <n v="0"/>
    <n v="0"/>
    <n v="0"/>
    <n v="0"/>
    <n v="0"/>
    <n v="0"/>
    <n v="0"/>
    <n v="286.1995328744606"/>
    <n v="0"/>
    <n v="0"/>
    <n v="1661.0022441865221"/>
    <n v="0"/>
    <n v="0"/>
    <n v="0"/>
    <n v="121.41396007619255"/>
    <n v="0"/>
    <n v="-235.76394910732233"/>
    <m/>
    <n v="0"/>
    <n v="0"/>
    <n v="0"/>
    <n v="0"/>
    <n v="-31.734616125910577"/>
    <n v="-7.1817983302883732"/>
    <n v="0"/>
    <n v="-856.74887701713783"/>
    <m/>
    <m/>
    <m/>
    <n v="22679.845581581663"/>
    <n v="0"/>
    <n v="0"/>
    <n v="-12139.849500000004"/>
    <n v="1492.08799"/>
    <n v="0"/>
    <n v="0"/>
    <n v="-11584.917799810954"/>
    <n v="0"/>
    <n v="0"/>
    <n v="0"/>
    <n v="0"/>
    <n v="0"/>
    <n v="0"/>
    <n v="0"/>
    <n v="0"/>
    <n v="0"/>
    <n v="0"/>
    <n v="0"/>
    <n v="0"/>
    <n v="1594.432066225622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11"/>
    <s v="Regular"/>
    <s v="Verde"/>
    <s v="A4"/>
    <s v="Comercial"/>
    <s v="Não se aplica"/>
    <s v="Não se aplica"/>
    <s v="Não se aplica"/>
    <s v="Ponta"/>
    <s v="CATIVO"/>
    <x v="6"/>
    <n v="0"/>
    <n v="0"/>
    <n v="15.462"/>
    <n v="15.462"/>
    <n v="15.462"/>
    <n v="15.462"/>
    <m/>
    <n v="2810.7"/>
    <n v="159.41"/>
    <m/>
    <n v="45923.840819999998"/>
    <n v="45923.840819999998"/>
    <n v="29249.31078"/>
    <n v="0"/>
    <n v="833.62009325981182"/>
    <n v="0"/>
    <n v="0"/>
    <n v="0"/>
    <n v="9439.7921049448923"/>
    <n v="32545.792235053956"/>
    <n v="2384.715341818091"/>
    <n v="80.120175795667805"/>
    <n v="0"/>
    <n v="0"/>
    <n v="0"/>
    <n v="0"/>
    <n v="148.06496783317482"/>
    <m/>
    <n v="16.6020655804839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245837337927654"/>
    <n v="0"/>
    <n v="0"/>
    <n v="0"/>
    <n v="0"/>
    <n v="0"/>
    <m/>
    <m/>
    <m/>
    <m/>
    <m/>
    <m/>
    <m/>
    <m/>
    <m/>
    <n v="2464.9611791560187"/>
    <m/>
    <m/>
    <m/>
    <m/>
    <m/>
    <m/>
    <m/>
    <m/>
    <m/>
    <m/>
    <m/>
    <m/>
    <n v="29245.527399999999"/>
    <n v="-16678.343420000005"/>
    <m/>
    <m/>
    <m/>
    <m/>
    <n v="-17099.271179999996"/>
    <n v="424.74113999999997"/>
    <n v="31"/>
    <n v="-49.982414735777638"/>
    <n v="0"/>
    <n v="0"/>
    <n v="0"/>
    <n v="0"/>
    <n v="0"/>
    <n v="0"/>
    <n v="0"/>
    <n v="426.41412669486635"/>
    <n v="0"/>
    <n v="0"/>
    <n v="472.82465341627903"/>
    <n v="0"/>
    <n v="0"/>
    <n v="0"/>
    <n v="15.910582517776703"/>
    <n v="0"/>
    <n v="-58.388395853135762"/>
    <m/>
    <n v="0"/>
    <n v="0"/>
    <n v="0"/>
    <n v="0"/>
    <n v="-9.0336475604107136"/>
    <n v="-1.057843538032472"/>
    <n v="0"/>
    <n v="-896.65189041312112"/>
    <m/>
    <m/>
    <m/>
    <n v="32545.792235053956"/>
    <n v="0"/>
    <n v="0"/>
    <n v="-17099.271179999996"/>
    <n v="424.74114000000009"/>
    <n v="0"/>
    <n v="0"/>
    <n v="-16624.46626528263"/>
    <n v="0"/>
    <n v="0"/>
    <n v="0"/>
    <n v="0"/>
    <n v="0"/>
    <n v="0"/>
    <n v="0"/>
    <n v="0"/>
    <n v="0"/>
    <n v="0"/>
    <n v="0"/>
    <n v="0"/>
    <n v="394.870933389971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12"/>
    <s v="Sistema de Compensação"/>
    <s v="Verde"/>
    <s v="A4"/>
    <s v="Comercial"/>
    <s v="Não se aplica"/>
    <s v="Não se aplica"/>
    <s v="Não se aplica"/>
    <s v="Ponta"/>
    <s v="CATIVO"/>
    <x v="6"/>
    <n v="0"/>
    <n v="0"/>
    <n v="19.053000000000001"/>
    <n v="19.053000000000001"/>
    <n v="19.053000000000001"/>
    <n v="19.053000000000001"/>
    <m/>
    <n v="2810.7"/>
    <n v="159.41"/>
    <m/>
    <n v="56589.505829999995"/>
    <n v="56589.505829999995"/>
    <n v="36042.369570000003"/>
    <n v="0"/>
    <n v="1027.2256911705599"/>
    <n v="0"/>
    <n v="0"/>
    <n v="0"/>
    <n v="11632.153600796471"/>
    <n v="40104.44828964449"/>
    <n v="2938.5578455348659"/>
    <n v="98.727830127723365"/>
    <n v="0"/>
    <n v="0"/>
    <n v="0"/>
    <n v="0"/>
    <n v="182.45258259768983"/>
    <m/>
    <n v="20.4578421617488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882676160880592"/>
    <n v="0"/>
    <n v="0"/>
    <n v="0"/>
    <n v="0"/>
    <n v="0"/>
    <m/>
    <m/>
    <m/>
    <m/>
    <m/>
    <m/>
    <m/>
    <m/>
    <m/>
    <n v="3037.4405216957466"/>
    <m/>
    <m/>
    <m/>
    <m/>
    <m/>
    <m/>
    <m/>
    <m/>
    <m/>
    <m/>
    <m/>
    <m/>
    <n v="36036.694499999998"/>
    <n v="-20552.841330000003"/>
    <m/>
    <m/>
    <m/>
    <m/>
    <n v="-21070.52217"/>
    <n v="523.38590999999997"/>
    <n v="31"/>
    <n v="-61.590670544617751"/>
    <n v="0"/>
    <n v="0"/>
    <n v="0"/>
    <n v="0"/>
    <n v="0"/>
    <n v="0"/>
    <n v="0"/>
    <n v="525.4474424988548"/>
    <n v="0"/>
    <n v="0"/>
    <n v="582.6366654727949"/>
    <n v="0"/>
    <n v="0"/>
    <n v="0"/>
    <n v="19.605764371439619"/>
    <n v="0"/>
    <n v="-71.948913865592885"/>
    <m/>
    <n v="0"/>
    <n v="0"/>
    <n v="0"/>
    <n v="0"/>
    <n v="-11.131683286024156"/>
    <n v="-1.3035243131634147"/>
    <n v="0"/>
    <n v="-1104.8964214229206"/>
    <m/>
    <m/>
    <m/>
    <n v="40104.44828964449"/>
    <n v="0"/>
    <n v="0"/>
    <n v="-21070.522169999997"/>
    <n v="523.38590999999997"/>
    <n v="0"/>
    <n v="0"/>
    <n v="-20485.445333878539"/>
    <n v="0"/>
    <n v="0"/>
    <n v="0"/>
    <n v="0"/>
    <n v="0"/>
    <n v="0"/>
    <n v="0"/>
    <n v="0"/>
    <n v="0"/>
    <n v="0"/>
    <n v="0"/>
    <n v="0"/>
    <n v="486.5784435311816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13"/>
    <s v="Regular"/>
    <s v="Verde"/>
    <s v="A4"/>
    <s v="Comercial"/>
    <s v="Não se aplica"/>
    <s v="Não se aplica"/>
    <s v="Não se aplica"/>
    <s v="Fora ponta"/>
    <s v="CATIVO"/>
    <x v="6"/>
    <n v="0"/>
    <n v="0"/>
    <n v="206.374"/>
    <n v="206.374"/>
    <n v="206.374"/>
    <n v="206.374"/>
    <m/>
    <n v="95.29"/>
    <n v="159.41"/>
    <m/>
    <n v="52563.457799999996"/>
    <n v="52563.457799999996"/>
    <n v="57147.024340000004"/>
    <n v="0"/>
    <n v="11126.472198059786"/>
    <n v="0"/>
    <n v="0"/>
    <n v="0"/>
    <n v="0"/>
    <n v="0"/>
    <n v="31829.209930951154"/>
    <n v="1069.3779045178596"/>
    <n v="0"/>
    <n v="0"/>
    <n v="0"/>
    <n v="0"/>
    <n v="1976.2488469540565"/>
    <m/>
    <n v="221.59065335058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1.0551309518485"/>
    <n v="0"/>
    <n v="0"/>
    <n v="0"/>
    <n v="0"/>
    <n v="0"/>
    <m/>
    <m/>
    <m/>
    <m/>
    <m/>
    <m/>
    <m/>
    <m/>
    <m/>
    <n v="32900.265061903003"/>
    <m/>
    <m/>
    <m/>
    <m/>
    <m/>
    <m/>
    <m/>
    <m/>
    <m/>
    <m/>
    <m/>
    <m/>
    <n v="57145.916700000002"/>
    <n v="4582.4289000000063"/>
    <m/>
    <m/>
    <m/>
    <m/>
    <n v="-1085.527240000001"/>
    <n v="5669.0937799999992"/>
    <n v="31"/>
    <n v="4582.9142350385519"/>
    <n v="0"/>
    <n v="0"/>
    <n v="0"/>
    <n v="0"/>
    <n v="0"/>
    <n v="0"/>
    <n v="0"/>
    <n v="0"/>
    <n v="0"/>
    <n v="0"/>
    <n v="6310.8727864526663"/>
    <n v="0"/>
    <n v="0"/>
    <n v="0"/>
    <n v="212.36130879081929"/>
    <n v="0"/>
    <n v="-779.32006246249148"/>
    <m/>
    <n v="0"/>
    <n v="0"/>
    <n v="0"/>
    <n v="0"/>
    <n v="-120.57366327979594"/>
    <n v="-14.119221466686952"/>
    <n v="0"/>
    <n v="-1026.3069129959599"/>
    <m/>
    <m/>
    <m/>
    <n v="0"/>
    <n v="0"/>
    <n v="0"/>
    <n v="-1085.5272399999994"/>
    <n v="5669.0937800000029"/>
    <n v="0"/>
    <n v="0"/>
    <n v="0"/>
    <n v="0"/>
    <n v="0"/>
    <n v="0"/>
    <n v="0"/>
    <n v="0"/>
    <n v="0"/>
    <n v="0"/>
    <n v="0"/>
    <n v="0"/>
    <n v="0"/>
    <n v="0"/>
    <n v="0"/>
    <n v="5270.410943436943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14"/>
    <s v="Sistema de Compensação"/>
    <s v="Verde"/>
    <s v="A4"/>
    <s v="Comercial"/>
    <s v="Não se aplica"/>
    <s v="Não se aplica"/>
    <s v="Não se aplica"/>
    <s v="Fora ponta"/>
    <s v="CATIVO"/>
    <x v="6"/>
    <n v="0"/>
    <n v="0"/>
    <n v="95.251000000000005"/>
    <n v="95.251000000000005"/>
    <n v="95.251000000000005"/>
    <n v="95.251000000000005"/>
    <m/>
    <n v="95.29"/>
    <n v="159.41"/>
    <m/>
    <n v="24260.429700000001"/>
    <n v="24260.429700000001"/>
    <n v="26375.954410000002"/>
    <n v="0"/>
    <n v="5135.3736582001256"/>
    <n v="0"/>
    <n v="0"/>
    <n v="0"/>
    <n v="0"/>
    <n v="0"/>
    <n v="14690.629997640344"/>
    <n v="493.56660617728329"/>
    <n v="0"/>
    <n v="0"/>
    <n v="0"/>
    <n v="0"/>
    <n v="912.12884821353873"/>
    <m/>
    <n v="102.274178541371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4.34072256337782"/>
    <n v="0"/>
    <n v="0"/>
    <n v="0"/>
    <n v="0"/>
    <n v="0"/>
    <m/>
    <m/>
    <m/>
    <m/>
    <m/>
    <m/>
    <m/>
    <m/>
    <m/>
    <n v="15184.970720203723"/>
    <m/>
    <m/>
    <m/>
    <m/>
    <m/>
    <m/>
    <m/>
    <m/>
    <m/>
    <m/>
    <m/>
    <m/>
    <n v="26375.677499999998"/>
    <n v="2115.2177999999985"/>
    <m/>
    <m/>
    <m/>
    <m/>
    <n v="-501.02026000000052"/>
    <n v="2616.5449699999999"/>
    <n v="31"/>
    <n v="2115.2236415520238"/>
    <n v="0"/>
    <n v="0"/>
    <n v="0"/>
    <n v="0"/>
    <n v="0"/>
    <n v="0"/>
    <n v="0"/>
    <n v="0"/>
    <n v="0"/>
    <n v="0"/>
    <n v="2912.7552103579092"/>
    <n v="0"/>
    <n v="0"/>
    <n v="0"/>
    <n v="98.01441569012735"/>
    <n v="0"/>
    <n v="-359.69170181134632"/>
    <m/>
    <n v="0"/>
    <n v="0"/>
    <n v="0"/>
    <n v="0"/>
    <n v="-55.650236953607646"/>
    <n v="-6.5166637460309857"/>
    <n v="0"/>
    <n v="-473.68738198502808"/>
    <m/>
    <m/>
    <m/>
    <n v="0"/>
    <n v="0"/>
    <n v="0"/>
    <n v="-501.02025999999933"/>
    <n v="2616.5449700000008"/>
    <n v="0"/>
    <n v="0"/>
    <n v="0"/>
    <n v="0"/>
    <n v="0"/>
    <n v="0"/>
    <n v="0"/>
    <n v="0"/>
    <n v="0"/>
    <n v="0"/>
    <n v="0"/>
    <n v="0"/>
    <n v="0"/>
    <n v="0"/>
    <n v="0"/>
    <n v="2432.53468350331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15"/>
    <s v="Regular"/>
    <s v="Verde"/>
    <s v="A4"/>
    <s v="Comercial"/>
    <s v="Não se aplica"/>
    <s v="Não se aplica"/>
    <s v="Não se aplica"/>
    <s v="Não se aplica"/>
    <s v="CATIVO"/>
    <x v="6"/>
    <n v="1507"/>
    <n v="1507"/>
    <n v="0"/>
    <n v="0"/>
    <n v="0"/>
    <n v="0"/>
    <n v="43.29"/>
    <m/>
    <m/>
    <n v="65238.03"/>
    <m/>
    <n v="65238.03"/>
    <n v="50469.43"/>
    <n v="0"/>
    <n v="0"/>
    <n v="0"/>
    <n v="0"/>
    <n v="0"/>
    <n v="35661.628647766069"/>
    <n v="29581.1849662880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6.29"/>
    <n v="682.96"/>
    <n v="60055.83"/>
    <n v="12"/>
    <m/>
    <m/>
    <m/>
    <m/>
    <m/>
    <m/>
    <m/>
    <m/>
    <m/>
    <n v="0"/>
    <m/>
    <m/>
    <m/>
    <m/>
    <m/>
    <m/>
    <m/>
    <m/>
    <m/>
    <m/>
    <m/>
    <m/>
    <n v="50469.43"/>
    <n v="-14768.630000000005"/>
    <m/>
    <m/>
    <m/>
    <m/>
    <n v="-14768.599999999995"/>
    <n v="0"/>
    <n v="31"/>
    <n v="337.05583883849613"/>
    <n v="0"/>
    <n v="0"/>
    <n v="0"/>
    <n v="0"/>
    <m/>
    <m/>
    <m/>
    <n v="1610.9064762546623"/>
    <n v="0"/>
    <n v="0"/>
    <m/>
    <m/>
    <n v="0"/>
    <n v="0"/>
    <n v="0"/>
    <n v="0"/>
    <n v="0"/>
    <m/>
    <n v="0"/>
    <n v="0"/>
    <m/>
    <n v="0"/>
    <n v="0"/>
    <n v="0"/>
    <n v="0"/>
    <n v="-1273.8506374161689"/>
    <m/>
    <m/>
    <n v="29581.184966288001"/>
    <m/>
    <n v="0"/>
    <n v="0"/>
    <n v="-14768.599999999999"/>
    <m/>
    <n v="0"/>
    <m/>
    <n v="-15110.1379867310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16"/>
    <s v="Sistema de Compensação"/>
    <s v="Verde"/>
    <s v="A4"/>
    <s v="Comercial"/>
    <s v="Não se aplica"/>
    <s v="Não se aplica"/>
    <s v="Não se aplica"/>
    <s v="Não se aplica"/>
    <s v="CATIVO"/>
    <x v="6"/>
    <n v="1089"/>
    <n v="1089"/>
    <n v="0"/>
    <n v="0"/>
    <n v="0"/>
    <n v="0"/>
    <n v="43.29"/>
    <m/>
    <m/>
    <n v="47142.81"/>
    <m/>
    <n v="47142.81"/>
    <n v="36470.61"/>
    <n v="0"/>
    <n v="0"/>
    <n v="0"/>
    <n v="0"/>
    <n v="0"/>
    <n v="25770.082015538985"/>
    <n v="21376.1847566606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7.2"/>
    <n v="500.44"/>
    <n v="47708.62"/>
    <n v="6"/>
    <m/>
    <m/>
    <m/>
    <m/>
    <m/>
    <m/>
    <m/>
    <m/>
    <m/>
    <n v="0"/>
    <m/>
    <m/>
    <m/>
    <m/>
    <m/>
    <m/>
    <m/>
    <m/>
    <m/>
    <m/>
    <m/>
    <m/>
    <n v="36470.61"/>
    <n v="-10672.230000000003"/>
    <m/>
    <m/>
    <m/>
    <m/>
    <n v="-10672.199999999997"/>
    <n v="0"/>
    <n v="31"/>
    <n v="243.56589813876417"/>
    <n v="0"/>
    <n v="0"/>
    <n v="0"/>
    <n v="0"/>
    <m/>
    <m/>
    <m/>
    <n v="1164.0857018190618"/>
    <n v="0"/>
    <n v="0"/>
    <m/>
    <m/>
    <n v="0"/>
    <n v="0"/>
    <n v="0"/>
    <n v="0"/>
    <n v="0"/>
    <m/>
    <n v="0"/>
    <n v="0"/>
    <m/>
    <n v="0"/>
    <n v="0"/>
    <n v="0"/>
    <n v="0"/>
    <n v="-920.51980368029729"/>
    <m/>
    <m/>
    <n v="21376.18475666067"/>
    <m/>
    <n v="0"/>
    <n v="0"/>
    <n v="-10672.199999999997"/>
    <m/>
    <n v="0"/>
    <m/>
    <n v="-10919.004822528246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17"/>
    <s v="Regular"/>
    <s v="Convencional"/>
    <s v="B2"/>
    <s v="Rural"/>
    <s v="Não se aplica"/>
    <s v="Não se aplica"/>
    <s v="Não se aplica"/>
    <s v="Não se aplica"/>
    <s v="CATIVO"/>
    <x v="6"/>
    <n v="0"/>
    <n v="0"/>
    <n v="4856.2290000000003"/>
    <n v="4856.2290000000003"/>
    <n v="4856.2290000000003"/>
    <n v="4856.2290000000003"/>
    <m/>
    <n v="648.44000000000005"/>
    <n v="159.41"/>
    <m/>
    <n v="3923104.5976500004"/>
    <n v="3923104.5976500004"/>
    <n v="2971138.02678"/>
    <n v="0"/>
    <n v="300941.72824670683"/>
    <n v="0"/>
    <n v="0"/>
    <n v="0"/>
    <n v="566452.04525866662"/>
    <n v="2027698.9492939364"/>
    <n v="748979.67919298459"/>
    <n v="25163.751208383139"/>
    <n v="0"/>
    <n v="0"/>
    <n v="0"/>
    <n v="0"/>
    <n v="46503.517699879107"/>
    <m/>
    <n v="10077.139627064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748.022879374475"/>
    <n v="0"/>
    <n v="2069.67"/>
    <n v="9990.59"/>
    <n v="228999.87"/>
    <n v="13824"/>
    <m/>
    <m/>
    <m/>
    <m/>
    <m/>
    <n v="356544.33318000007"/>
    <m/>
    <m/>
    <m/>
    <n v="803727.70207235904"/>
    <m/>
    <m/>
    <m/>
    <m/>
    <m/>
    <m/>
    <m/>
    <m/>
    <m/>
    <m/>
    <m/>
    <m/>
    <n v="2614594.2319999998"/>
    <n v="-837747.55638999958"/>
    <m/>
    <m/>
    <m/>
    <m/>
    <n v="-1085367.1815000004"/>
    <n v="133400.61063000001"/>
    <n v="31"/>
    <n v="83789.462654162897"/>
    <n v="0"/>
    <n v="0"/>
    <n v="0"/>
    <n v="0"/>
    <n v="0"/>
    <n v="0"/>
    <n v="0"/>
    <n v="25587.762051133323"/>
    <n v="0"/>
    <n v="0"/>
    <n v="148502.44430442899"/>
    <n v="0"/>
    <n v="0"/>
    <n v="0"/>
    <n v="10855.054475152327"/>
    <n v="0"/>
    <n v="-21078.552328175399"/>
    <m/>
    <n v="0"/>
    <n v="0"/>
    <n v="0"/>
    <n v="0"/>
    <n v="-2837.2436462712285"/>
    <n v="-642.09100877622222"/>
    <n v="0"/>
    <n v="-76597.911193329128"/>
    <m/>
    <m/>
    <m/>
    <n v="2027698.9492939364"/>
    <n v="0"/>
    <n v="0"/>
    <n v="-1085367.1815000004"/>
    <n v="133400.61063000001"/>
    <n v="0"/>
    <n v="0"/>
    <n v="-1035753.3328802796"/>
    <n v="0"/>
    <n v="0"/>
    <n v="0"/>
    <n v="0"/>
    <n v="0"/>
    <n v="0"/>
    <n v="0"/>
    <n v="0"/>
    <n v="0"/>
    <n v="0"/>
    <n v="0"/>
    <n v="0"/>
    <n v="142550.7159551298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18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0.76300000000000001"/>
    <n v="0.76300000000000001"/>
    <n v="0.76300000000000001"/>
    <n v="0.76300000000000001"/>
    <m/>
    <n v="648.44000000000005"/>
    <n v="159.41"/>
    <m/>
    <n v="616.3895500000001"/>
    <n v="616.3895500000001"/>
    <n v="466.81866000000002"/>
    <n v="0"/>
    <n v="47.283301230695116"/>
    <n v="0"/>
    <n v="0"/>
    <n v="0"/>
    <n v="88.999697199691909"/>
    <n v="318.58759097053979"/>
    <n v="117.67803685210217"/>
    <n v="3.9536731426784719"/>
    <n v="0"/>
    <n v="0"/>
    <n v="0"/>
    <n v="0"/>
    <n v="7.3065302326162458"/>
    <m/>
    <n v="1.58329797368498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6018887200259151"/>
    <n v="0"/>
    <n v="1.1399999999999999"/>
    <n v="5.36"/>
    <n v="-8.9700000000000006"/>
    <n v="0"/>
    <m/>
    <m/>
    <m/>
    <m/>
    <m/>
    <n v="56.019460000000009"/>
    <m/>
    <m/>
    <m/>
    <n v="126.27992557212808"/>
    <m/>
    <m/>
    <m/>
    <m/>
    <m/>
    <m/>
    <m/>
    <m/>
    <m/>
    <m/>
    <m/>
    <m/>
    <n v="409.18399999999997"/>
    <n v="-133.27033000000006"/>
    <m/>
    <m/>
    <m/>
    <m/>
    <n v="-170.53050000000005"/>
    <n v="20.959609999999998"/>
    <n v="31"/>
    <n v="13.164815745947408"/>
    <n v="0"/>
    <n v="0"/>
    <n v="0"/>
    <n v="0"/>
    <n v="0"/>
    <n v="0"/>
    <n v="0"/>
    <n v="4.0202927920027491"/>
    <n v="0"/>
    <n v="0"/>
    <n v="23.332376830721813"/>
    <n v="0"/>
    <n v="0"/>
    <n v="0"/>
    <n v="1.7055222405165029"/>
    <n v="0"/>
    <n v="-3.3118156961703917"/>
    <m/>
    <n v="0"/>
    <n v="0"/>
    <n v="0"/>
    <n v="0"/>
    <n v="-0.44578146996464785"/>
    <n v="-0.10088392448054995"/>
    <n v="0"/>
    <n v="-12.034895026678132"/>
    <m/>
    <m/>
    <m/>
    <n v="318.58759097053979"/>
    <n v="0"/>
    <n v="0"/>
    <n v="-170.53050000000007"/>
    <n v="20.959609999999998"/>
    <n v="0"/>
    <n v="0"/>
    <n v="-162.73528142673121"/>
    <n v="0"/>
    <n v="0"/>
    <n v="0"/>
    <n v="0"/>
    <n v="0"/>
    <n v="0"/>
    <n v="0"/>
    <n v="0"/>
    <n v="0"/>
    <n v="0"/>
    <n v="0"/>
    <n v="0"/>
    <n v="22.39725438684298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19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101.393"/>
    <n v="101.393"/>
    <n v="101.393"/>
    <n v="101.393"/>
    <m/>
    <n v="648.44000000000005"/>
    <n v="159.41"/>
    <m/>
    <n v="81910.335050000009"/>
    <n v="81910.335050000009"/>
    <n v="62034.26526"/>
    <n v="0"/>
    <n v="6283.3496221282694"/>
    <n v="0"/>
    <n v="0"/>
    <n v="0"/>
    <n v="11826.9283069048"/>
    <n v="42336.240643874102"/>
    <n v="15637.915059692259"/>
    <n v="525.39289771375923"/>
    <n v="0"/>
    <n v="0"/>
    <n v="0"/>
    <n v="0"/>
    <n v="970.94498017779688"/>
    <m/>
    <n v="210.40017227502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3.0816552943479"/>
    <n v="0"/>
    <n v="42.67"/>
    <n v="208.94"/>
    <n v="5486.57"/>
    <n v="358"/>
    <m/>
    <m/>
    <m/>
    <m/>
    <m/>
    <n v="7444.2740600000016"/>
    <m/>
    <m/>
    <m/>
    <n v="16780.996714986606"/>
    <m/>
    <m/>
    <m/>
    <m/>
    <m/>
    <m/>
    <m/>
    <m/>
    <m/>
    <m/>
    <m/>
    <m/>
    <n v="54588.375999999989"/>
    <n v="-17492.95163000001"/>
    <m/>
    <m/>
    <m/>
    <m/>
    <n v="-22661.335500000005"/>
    <n v="2785.2657100000001"/>
    <n v="31"/>
    <n v="1749.4366486616491"/>
    <n v="0"/>
    <n v="0"/>
    <n v="0"/>
    <n v="0"/>
    <n v="0"/>
    <n v="0"/>
    <n v="0"/>
    <n v="534.2458021750117"/>
    <n v="0"/>
    <n v="0"/>
    <n v="3100.5762568772952"/>
    <n v="0"/>
    <n v="0"/>
    <n v="0"/>
    <n v="226.64222350287014"/>
    <n v="0"/>
    <n v="-440.09820299056901"/>
    <m/>
    <n v="0"/>
    <n v="0"/>
    <n v="0"/>
    <n v="0"/>
    <n v="-59.238690149574722"/>
    <n v="-13.406191028645338"/>
    <n v="0"/>
    <n v="-1599.284549724739"/>
    <m/>
    <m/>
    <m/>
    <n v="42336.240643874102"/>
    <n v="0"/>
    <n v="0"/>
    <n v="-22661.335500000001"/>
    <n v="2785.2657100000015"/>
    <n v="0"/>
    <n v="0"/>
    <n v="-21625.450052032182"/>
    <n v="0"/>
    <n v="0"/>
    <n v="0"/>
    <n v="0"/>
    <n v="0"/>
    <n v="0"/>
    <n v="0"/>
    <n v="0"/>
    <n v="0"/>
    <n v="0"/>
    <n v="0"/>
    <n v="0"/>
    <n v="2976.310372274142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20"/>
    <s v="Regular"/>
    <s v="Verde"/>
    <s v="A4"/>
    <s v="Rural"/>
    <s v="Não se aplica"/>
    <s v="Não se aplica"/>
    <s v="Não se aplica"/>
    <s v="Ponta"/>
    <s v="CATIVO"/>
    <x v="6"/>
    <n v="0"/>
    <n v="0"/>
    <n v="48.173000000000002"/>
    <n v="46.246079999999999"/>
    <n v="48.173000000000002"/>
    <n v="46.246079999999999"/>
    <m/>
    <n v="2810.7"/>
    <n v="159.41"/>
    <m/>
    <n v="143079.10902999999"/>
    <n v="143079.10902999999"/>
    <n v="91128.382370000007"/>
    <n v="0"/>
    <n v="2597.2048087314006"/>
    <n v="0"/>
    <n v="0"/>
    <n v="0"/>
    <n v="29410.367680216681"/>
    <n v="101398.81317677237"/>
    <n v="7429.7563162205997"/>
    <n v="249.62030970150727"/>
    <n v="0"/>
    <n v="0"/>
    <n v="0"/>
    <n v="0"/>
    <n v="461.30731441130069"/>
    <m/>
    <n v="51.7249582983220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.01181749320847"/>
    <n v="0"/>
    <n v="0"/>
    <n v="0"/>
    <n v="0"/>
    <n v="0"/>
    <m/>
    <m/>
    <m/>
    <m/>
    <m/>
    <n v="3645.1352948000049"/>
    <m/>
    <m/>
    <m/>
    <n v="7679.7681337138083"/>
    <m/>
    <m/>
    <m/>
    <m/>
    <m/>
    <m/>
    <m/>
    <m/>
    <m/>
    <m/>
    <m/>
    <m/>
    <n v="87490.662499999991"/>
    <n v="-49865.312168799996"/>
    <m/>
    <m/>
    <m/>
    <m/>
    <n v="-53274.038969999994"/>
    <n v="1323.31231"/>
    <n v="31"/>
    <n v="-155.7238950372921"/>
    <n v="0"/>
    <n v="0"/>
    <n v="0"/>
    <n v="0"/>
    <n v="0"/>
    <n v="0"/>
    <n v="0"/>
    <n v="1328.5246232875288"/>
    <n v="0"/>
    <n v="0"/>
    <n v="1473.1200380948385"/>
    <n v="0"/>
    <n v="0"/>
    <n v="0"/>
    <n v="49.570591878725679"/>
    <n v="0"/>
    <n v="-181.91334843054665"/>
    <m/>
    <n v="0"/>
    <n v="0"/>
    <n v="0"/>
    <n v="0"/>
    <n v="-28.144994433298791"/>
    <n v="-3.2957894682213364"/>
    <n v="0"/>
    <n v="-2793.5850159663232"/>
    <m/>
    <m/>
    <m/>
    <n v="101398.81317677237"/>
    <n v="0"/>
    <n v="0"/>
    <n v="-53274.038969999994"/>
    <n v="1323.3123100000012"/>
    <n v="0"/>
    <n v="0"/>
    <n v="-51794.749281946715"/>
    <n v="0"/>
    <n v="0"/>
    <n v="0"/>
    <n v="0"/>
    <n v="0"/>
    <n v="0"/>
    <n v="0"/>
    <n v="0"/>
    <n v="0"/>
    <n v="0"/>
    <n v="0"/>
    <n v="0"/>
    <n v="1230.24948093358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21"/>
    <s v="Sistema de Compensação"/>
    <s v="Verde"/>
    <s v="A4"/>
    <s v="Rural"/>
    <s v="Não se aplica"/>
    <s v="Não se aplica"/>
    <s v="Não se aplica"/>
    <s v="Ponta"/>
    <s v="CATIVO"/>
    <x v="6"/>
    <n v="0"/>
    <n v="0"/>
    <n v="7.5119999999999996"/>
    <n v="7.2115200000000002"/>
    <n v="7.5119999999999996"/>
    <n v="7.2115200000000002"/>
    <m/>
    <n v="2810.7"/>
    <n v="159.41"/>
    <m/>
    <n v="22311.466319999996"/>
    <n v="22311.466319999996"/>
    <n v="14210.375279999998"/>
    <n v="0"/>
    <n v="405.00285477737071"/>
    <n v="0"/>
    <n v="0"/>
    <n v="0"/>
    <n v="4586.1931375207623"/>
    <n v="15811.925447531064"/>
    <n v="1158.5811439488746"/>
    <n v="38.925285252687651"/>
    <n v="0"/>
    <n v="0"/>
    <n v="0"/>
    <n v="0"/>
    <n v="71.935327794774878"/>
    <m/>
    <n v="8.0658851791874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986336184356006"/>
    <n v="0"/>
    <n v="0"/>
    <n v="0"/>
    <n v="0"/>
    <n v="0"/>
    <m/>
    <m/>
    <m/>
    <m/>
    <m/>
    <n v="568.41501119999896"/>
    <m/>
    <m/>
    <m/>
    <n v="1197.5674801332307"/>
    <m/>
    <m/>
    <m/>
    <m/>
    <m/>
    <m/>
    <m/>
    <m/>
    <m/>
    <m/>
    <m/>
    <m/>
    <n v="13639.0849"/>
    <n v="-7779.9527671999949"/>
    <m/>
    <m/>
    <m/>
    <m/>
    <n v="-8307.4456799999989"/>
    <n v="206.35463999999999"/>
    <n v="31"/>
    <n v="-24.283268625998971"/>
    <n v="0"/>
    <n v="0"/>
    <n v="0"/>
    <n v="0"/>
    <n v="0"/>
    <n v="0"/>
    <n v="0"/>
    <n v="207.16743757158383"/>
    <n v="0"/>
    <n v="0"/>
    <n v="229.71535354178536"/>
    <n v="0"/>
    <n v="0"/>
    <n v="0"/>
    <n v="7.7299376454235258"/>
    <n v="0"/>
    <n v="-28.36719891661852"/>
    <m/>
    <n v="0"/>
    <n v="0"/>
    <n v="0"/>
    <n v="0"/>
    <n v="-4.3888733976073837"/>
    <n v="-0.51393873093389875"/>
    <n v="0"/>
    <n v="-435.6259863396304"/>
    <m/>
    <m/>
    <m/>
    <n v="15811.925447531064"/>
    <n v="0"/>
    <n v="0"/>
    <n v="-8307.4456799999971"/>
    <n v="206.35464000000002"/>
    <n v="0"/>
    <n v="0"/>
    <n v="-8076.768243746159"/>
    <n v="0"/>
    <n v="0"/>
    <n v="0"/>
    <n v="0"/>
    <n v="0"/>
    <n v="0"/>
    <n v="0"/>
    <n v="0"/>
    <n v="0"/>
    <n v="0"/>
    <n v="0"/>
    <n v="0"/>
    <n v="191.8426110222136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22"/>
    <s v="Regular"/>
    <s v="Verde"/>
    <s v="A4"/>
    <s v="Rural"/>
    <s v="Não se aplica"/>
    <s v="Não se aplica"/>
    <s v="Não se aplica"/>
    <s v="Fora ponta"/>
    <s v="CATIVO"/>
    <x v="6"/>
    <n v="0"/>
    <n v="0"/>
    <n v="859.30600000000004"/>
    <n v="824.93376000000001"/>
    <n v="859.30600000000004"/>
    <n v="824.93376000000001"/>
    <m/>
    <n v="95.29"/>
    <n v="159.41"/>
    <m/>
    <n v="218865.23820000002"/>
    <n v="218865.23820000002"/>
    <n v="237950.42446000001"/>
    <n v="0"/>
    <n v="46328.725123445605"/>
    <n v="0"/>
    <n v="0"/>
    <n v="0"/>
    <n v="0"/>
    <n v="0"/>
    <n v="132531.38025587483"/>
    <n v="4452.7064921919618"/>
    <n v="0"/>
    <n v="0"/>
    <n v="0"/>
    <n v="0"/>
    <n v="8228.7618192248174"/>
    <m/>
    <n v="922.665539109000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59.69017588315"/>
    <n v="0"/>
    <n v="0"/>
    <n v="0"/>
    <n v="0"/>
    <n v="0"/>
    <m/>
    <m/>
    <m/>
    <m/>
    <m/>
    <n v="9518.01697840001"/>
    <m/>
    <m/>
    <m/>
    <n v="136991.07043175798"/>
    <m/>
    <m/>
    <m/>
    <m/>
    <m/>
    <m/>
    <m/>
    <m/>
    <m/>
    <m/>
    <m/>
    <m/>
    <n v="228431.36629999999"/>
    <n v="18320.707627999975"/>
    <m/>
    <m/>
    <m/>
    <m/>
    <n v="-4519.9495600000046"/>
    <n v="23605.13582"/>
    <n v="31"/>
    <n v="19082.470173830225"/>
    <n v="0"/>
    <n v="0"/>
    <n v="0"/>
    <n v="0"/>
    <n v="0"/>
    <n v="0"/>
    <n v="0"/>
    <n v="0"/>
    <n v="0"/>
    <n v="0"/>
    <n v="26277.393715465587"/>
    <n v="0"/>
    <n v="0"/>
    <n v="0"/>
    <n v="884.2361286392852"/>
    <n v="0"/>
    <n v="-3244.9553024818742"/>
    <m/>
    <n v="0"/>
    <n v="0"/>
    <n v="0"/>
    <n v="0"/>
    <n v="-502.04808889835022"/>
    <n v="-58.79002065014447"/>
    <n v="0"/>
    <n v="-4273.3662582442867"/>
    <m/>
    <m/>
    <m/>
    <n v="0"/>
    <n v="0"/>
    <n v="0"/>
    <n v="-4519.9495600000082"/>
    <n v="23605.135820000025"/>
    <n v="0"/>
    <n v="0"/>
    <n v="0"/>
    <n v="0"/>
    <n v="0"/>
    <n v="0"/>
    <n v="0"/>
    <n v="0"/>
    <n v="0"/>
    <n v="0"/>
    <n v="0"/>
    <n v="0"/>
    <n v="0"/>
    <n v="0"/>
    <n v="0"/>
    <n v="21945.0887522702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23"/>
    <s v="Sistema de Compensação"/>
    <s v="Verde"/>
    <s v="A4"/>
    <s v="Rural"/>
    <s v="Não se aplica"/>
    <s v="Não se aplica"/>
    <s v="Não se aplica"/>
    <s v="Fora ponta"/>
    <s v="CATIVO"/>
    <x v="6"/>
    <n v="0"/>
    <n v="0"/>
    <n v="63.93"/>
    <n v="61.372799999999998"/>
    <n v="63.93"/>
    <n v="61.372799999999998"/>
    <m/>
    <n v="95.29"/>
    <n v="159.41"/>
    <m/>
    <n v="16282.971000000001"/>
    <n v="16282.971000000001"/>
    <n v="17702.856299999999"/>
    <n v="0"/>
    <n v="3446.7295668154038"/>
    <n v="0"/>
    <n v="0"/>
    <n v="0"/>
    <n v="0"/>
    <n v="0"/>
    <n v="9859.969719469058"/>
    <n v="331.2691009324177"/>
    <n v="0"/>
    <n v="0"/>
    <n v="0"/>
    <n v="0"/>
    <n v="612.19721857294439"/>
    <m/>
    <n v="68.6437752270302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1.78866776702336"/>
    <n v="0"/>
    <n v="0"/>
    <n v="0"/>
    <n v="0"/>
    <n v="0"/>
    <m/>
    <m/>
    <m/>
    <m/>
    <m/>
    <n v="708.11425200000042"/>
    <m/>
    <m/>
    <m/>
    <n v="10191.758387236081"/>
    <m/>
    <m/>
    <m/>
    <m/>
    <m/>
    <m/>
    <m/>
    <m/>
    <m/>
    <m/>
    <m/>
    <m/>
    <n v="16993.966700000001"/>
    <n v="1362.2845399999987"/>
    <m/>
    <m/>
    <m/>
    <m/>
    <n v="-336.27180000000033"/>
    <n v="1756.1570999999999"/>
    <n v="31"/>
    <n v="1419.6832306686592"/>
    <n v="0"/>
    <n v="0"/>
    <n v="0"/>
    <n v="0"/>
    <n v="0"/>
    <n v="0"/>
    <n v="0"/>
    <n v="0"/>
    <n v="0"/>
    <n v="0"/>
    <n v="1954.9657284246987"/>
    <n v="0"/>
    <n v="0"/>
    <n v="0"/>
    <n v="65.784732916923076"/>
    <n v="0"/>
    <n v="-241.41573838384284"/>
    <m/>
    <n v="0"/>
    <n v="0"/>
    <n v="0"/>
    <n v="0"/>
    <n v="-37.35099524880718"/>
    <n v="-4.3738156374606234"/>
    <n v="0"/>
    <n v="-317.92668140284979"/>
    <m/>
    <m/>
    <m/>
    <n v="0"/>
    <n v="0"/>
    <n v="0"/>
    <n v="-336.27180000000044"/>
    <n v="1756.1571000000004"/>
    <n v="0"/>
    <n v="0"/>
    <n v="0"/>
    <n v="0"/>
    <n v="0"/>
    <n v="0"/>
    <n v="0"/>
    <n v="0"/>
    <n v="0"/>
    <n v="0"/>
    <n v="0"/>
    <n v="0"/>
    <n v="0"/>
    <n v="0"/>
    <n v="0"/>
    <n v="1632.654169681858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24"/>
    <s v="Regular"/>
    <s v="Verde"/>
    <s v="A4"/>
    <s v="Rural"/>
    <s v="Não se aplica"/>
    <s v="Não se aplica"/>
    <s v="Não se aplica"/>
    <s v="Não se aplica"/>
    <s v="CATIVO"/>
    <x v="6"/>
    <n v="3774"/>
    <n v="3623.04"/>
    <n v="0"/>
    <n v="0"/>
    <n v="0"/>
    <n v="0"/>
    <n v="43.29"/>
    <m/>
    <m/>
    <n v="163376.46"/>
    <m/>
    <n v="163376.46"/>
    <n v="126391.26000000001"/>
    <n v="0"/>
    <n v="0"/>
    <n v="0"/>
    <n v="0"/>
    <n v="0"/>
    <n v="89307.887535945018"/>
    <n v="74080.552131898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6.49"/>
    <n v="1617.32"/>
    <n v="157.78"/>
    <n v="23"/>
    <m/>
    <m/>
    <m/>
    <m/>
    <m/>
    <n v="5055.6504000000014"/>
    <m/>
    <m/>
    <m/>
    <n v="0"/>
    <m/>
    <m/>
    <m/>
    <m/>
    <m/>
    <m/>
    <m/>
    <m/>
    <m/>
    <m/>
    <m/>
    <m/>
    <n v="121335.60960000001"/>
    <n v="-35505.822"/>
    <m/>
    <m/>
    <m/>
    <m/>
    <n v="-36985.19999999999"/>
    <n v="0"/>
    <n v="31"/>
    <n v="844.09338804012805"/>
    <n v="0"/>
    <n v="0"/>
    <n v="0"/>
    <n v="0"/>
    <m/>
    <m/>
    <m/>
    <n v="4034.2143605740566"/>
    <n v="0"/>
    <n v="0"/>
    <m/>
    <m/>
    <n v="0"/>
    <n v="0"/>
    <n v="0"/>
    <n v="0"/>
    <n v="0"/>
    <m/>
    <n v="0"/>
    <n v="0"/>
    <m/>
    <n v="0"/>
    <n v="0"/>
    <n v="0"/>
    <n v="0"/>
    <n v="-3190.1209725339227"/>
    <m/>
    <m/>
    <n v="74080.55213189841"/>
    <m/>
    <n v="0"/>
    <n v="0"/>
    <n v="-36985.199999999983"/>
    <m/>
    <n v="0"/>
    <m/>
    <n v="-37840.51809019430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25"/>
    <s v="Sistema de Compensação"/>
    <s v="Verde"/>
    <s v="A4"/>
    <s v="Rural"/>
    <s v="Não se aplica"/>
    <s v="Não se aplica"/>
    <s v="Não se aplica"/>
    <s v="Não se aplica"/>
    <s v="CATIVO"/>
    <x v="6"/>
    <n v="451"/>
    <n v="432.96"/>
    <n v="0"/>
    <n v="0"/>
    <n v="0"/>
    <n v="0"/>
    <n v="43.29"/>
    <m/>
    <m/>
    <n v="19523.79"/>
    <m/>
    <n v="19523.79"/>
    <n v="15103.990000000002"/>
    <n v="0"/>
    <n v="0"/>
    <n v="0"/>
    <n v="0"/>
    <n v="0"/>
    <n v="10672.458208455539"/>
    <n v="8852.76338407159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.93"/>
    <n v="172.44"/>
    <n v="37.729999999999997"/>
    <n v="3"/>
    <m/>
    <m/>
    <m/>
    <m/>
    <m/>
    <n v="604.15960000000075"/>
    <m/>
    <m/>
    <m/>
    <n v="0"/>
    <m/>
    <m/>
    <m/>
    <m/>
    <m/>
    <m/>
    <m/>
    <m/>
    <m/>
    <m/>
    <m/>
    <m/>
    <n v="14499.830400000001"/>
    <n v="-4243.037999999995"/>
    <m/>
    <m/>
    <m/>
    <m/>
    <n v="-4419.7999999999984"/>
    <n v="0"/>
    <n v="31"/>
    <n v="100.87072549181175"/>
    <n v="0"/>
    <n v="0"/>
    <n v="0"/>
    <n v="0"/>
    <m/>
    <m/>
    <m/>
    <n v="482.0960987331473"/>
    <n v="0"/>
    <n v="0"/>
    <m/>
    <m/>
    <n v="0"/>
    <n v="0"/>
    <n v="0"/>
    <n v="0"/>
    <n v="0"/>
    <m/>
    <n v="0"/>
    <n v="0"/>
    <m/>
    <n v="0"/>
    <n v="0"/>
    <n v="0"/>
    <n v="0"/>
    <n v="-381.22537324133521"/>
    <m/>
    <m/>
    <n v="8852.7633840715916"/>
    <m/>
    <n v="0"/>
    <n v="0"/>
    <n v="-4419.7999999999993"/>
    <m/>
    <n v="0"/>
    <m/>
    <n v="-4522.0120982187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26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310.08999999999997"/>
    <n v="310.08999999999997"/>
    <n v="310.08999999999997"/>
    <n v="310.08999999999997"/>
    <m/>
    <n v="648.44000000000005"/>
    <n v="159.41"/>
    <m/>
    <n v="250506.20649999997"/>
    <n v="250506.20649999997"/>
    <n v="189719.26379999999"/>
    <n v="0"/>
    <n v="19216.355017858776"/>
    <n v="0"/>
    <n v="0"/>
    <n v="0"/>
    <n v="36170.27012405303"/>
    <n v="129476.8362831647"/>
    <n v="47825.402945567963"/>
    <n v="1606.80800106575"/>
    <n v="0"/>
    <n v="0"/>
    <n v="0"/>
    <n v="0"/>
    <n v="2969.4390037116273"/>
    <m/>
    <n v="643.46640715593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95.8842374742276"/>
    <n v="0"/>
    <n v="192.6"/>
    <n v="906.95"/>
    <n v="74247.320000000007"/>
    <n v="358"/>
    <m/>
    <m/>
    <m/>
    <m/>
    <m/>
    <m/>
    <m/>
    <m/>
    <m/>
    <n v="51321.287183042194"/>
    <m/>
    <m/>
    <m/>
    <m/>
    <m/>
    <m/>
    <m/>
    <m/>
    <m/>
    <m/>
    <m/>
    <m/>
    <n v="189719.26379999999"/>
    <n v="-60786.972700000013"/>
    <m/>
    <m/>
    <m/>
    <m/>
    <n v="-69305.115000000005"/>
    <n v="8518.1722999999984"/>
    <n v="31"/>
    <n v="5350.2984464755282"/>
    <n v="0"/>
    <n v="0"/>
    <n v="0"/>
    <n v="0"/>
    <n v="0"/>
    <n v="0"/>
    <n v="0"/>
    <n v="1633.8828202780278"/>
    <n v="0"/>
    <n v="0"/>
    <n v="9482.4858865511487"/>
    <n v="0"/>
    <n v="0"/>
    <n v="0"/>
    <n v="693.13943848199551"/>
    <n v="0"/>
    <n v="-1345.9514144501627"/>
    <m/>
    <n v="0"/>
    <n v="0"/>
    <n v="0"/>
    <n v="0"/>
    <n v="-181.16956228222489"/>
    <n v="-41.000126005470179"/>
    <n v="0"/>
    <n v="-4891.0885960978003"/>
    <m/>
    <m/>
    <m/>
    <n v="129476.8362831647"/>
    <n v="0"/>
    <n v="0"/>
    <n v="-69305.114999999991"/>
    <n v="8518.1722999999984"/>
    <n v="0"/>
    <n v="0"/>
    <n v="-66137.068699364434"/>
    <n v="0"/>
    <n v="0"/>
    <n v="0"/>
    <n v="0"/>
    <n v="0"/>
    <n v="0"/>
    <n v="0"/>
    <n v="0"/>
    <n v="0"/>
    <n v="0"/>
    <n v="0"/>
    <n v="0"/>
    <n v="9102.443791371086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27"/>
    <s v="Refaturamento - Regular"/>
    <s v="Convencional"/>
    <s v="B3"/>
    <s v="Poder público"/>
    <s v="Não se aplica"/>
    <s v="Não se aplica"/>
    <s v="Não se aplica"/>
    <s v="Não se aplica"/>
    <s v="CATIVO"/>
    <x v="6"/>
    <n v="0"/>
    <n v="0"/>
    <n v="-1"/>
    <n v="-1"/>
    <n v="-1"/>
    <n v="-1"/>
    <m/>
    <n v="648.44000000000005"/>
    <n v="159.41"/>
    <m/>
    <n v="-807.85"/>
    <n v="-807.85"/>
    <n v="-611.81999999999994"/>
    <n v="0"/>
    <n v="-61.970250630006703"/>
    <n v="0"/>
    <n v="0"/>
    <n v="0"/>
    <n v="-116.644426211916"/>
    <n v="-417.54599078707702"/>
    <n v="-154.23071671310899"/>
    <n v="-5.1817472381107104"/>
    <n v="0"/>
    <n v="0"/>
    <n v="0"/>
    <n v="0"/>
    <n v="-9.5760553507421307"/>
    <m/>
    <n v="-2.0750956404783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2737728964953"/>
    <n v="0"/>
    <n v="-2.5299999999999998"/>
    <n v="-11.95"/>
    <n v="-380.82"/>
    <n v="0"/>
    <m/>
    <m/>
    <m/>
    <m/>
    <m/>
    <m/>
    <m/>
    <m/>
    <m/>
    <n v="-165.50448960960429"/>
    <m/>
    <m/>
    <m/>
    <m/>
    <m/>
    <m/>
    <m/>
    <m/>
    <m/>
    <m/>
    <m/>
    <m/>
    <n v="-611.81999999999994"/>
    <n v="196.00000000000011"/>
    <m/>
    <m/>
    <m/>
    <m/>
    <n v="223.50000000000006"/>
    <n v="-27.47"/>
    <n v="31"/>
    <n v="-17.254018015658346"/>
    <n v="0"/>
    <n v="0"/>
    <n v="0"/>
    <n v="0"/>
    <n v="0"/>
    <n v="0"/>
    <n v="0"/>
    <n v="-5.2690600157310001"/>
    <n v="0"/>
    <n v="0"/>
    <n v="-30.579786147735007"/>
    <n v="0"/>
    <n v="0"/>
    <n v="0"/>
    <n v="-2.2352847188944995"/>
    <n v="0"/>
    <n v="4.340518605727901"/>
    <m/>
    <n v="0"/>
    <n v="0"/>
    <n v="0"/>
    <n v="0"/>
    <n v="0.58424832236519997"/>
    <n v="0.13222008450923983"/>
    <n v="0"/>
    <n v="15.77312585409978"/>
    <m/>
    <m/>
    <m/>
    <n v="-417.54599078707702"/>
    <n v="0"/>
    <n v="0"/>
    <n v="223.50000000000006"/>
    <n v="-27.47"/>
    <n v="0"/>
    <n v="0"/>
    <n v="213.283461896109"/>
    <n v="0"/>
    <n v="0"/>
    <n v="0"/>
    <n v="0"/>
    <n v="0"/>
    <n v="0"/>
    <n v="0"/>
    <n v="0"/>
    <n v="0"/>
    <n v="0"/>
    <n v="0"/>
    <n v="0"/>
    <n v="-29.35419972063300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28"/>
    <s v="Regular"/>
    <s v="Azul"/>
    <s v="A4"/>
    <s v="Poder público"/>
    <s v="Não se aplica"/>
    <s v="Não se aplica"/>
    <s v="Não se aplica"/>
    <s v="Ponta"/>
    <s v="CATIVO"/>
    <x v="6"/>
    <n v="200"/>
    <n v="200"/>
    <n v="2.5539999999999998"/>
    <n v="2.5539999999999998"/>
    <n v="2.5539999999999998"/>
    <n v="2.5539999999999998"/>
    <n v="112.91"/>
    <n v="95.29"/>
    <n v="159.41"/>
    <n v="22582"/>
    <n v="650.50379999999996"/>
    <n v="23232.503800000002"/>
    <n v="14135.228140000001"/>
    <n v="0"/>
    <n v="137.69665749486219"/>
    <n v="0"/>
    <n v="0"/>
    <n v="0"/>
    <n v="5077.0827132346003"/>
    <n v="17504.269107723037"/>
    <n v="393.90525048528031"/>
    <n v="13.234182446134753"/>
    <n v="0"/>
    <n v="0"/>
    <n v="0"/>
    <n v="0"/>
    <n v="24.457245365795401"/>
    <m/>
    <n v="2.742315062253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254939112732325"/>
    <n v="0"/>
    <n v="0"/>
    <n v="0"/>
    <n v="0"/>
    <n v="0"/>
    <m/>
    <m/>
    <m/>
    <m/>
    <m/>
    <m/>
    <m/>
    <m/>
    <m/>
    <n v="407.16018959801261"/>
    <m/>
    <m/>
    <m/>
    <m/>
    <m/>
    <m/>
    <m/>
    <m/>
    <m/>
    <m/>
    <m/>
    <m/>
    <n v="14134.120499999999"/>
    <n v="-9098.4132999999983"/>
    <m/>
    <m/>
    <m/>
    <m/>
    <n v="-9167.4340400000001"/>
    <n v="70.158379999999994"/>
    <n v="31"/>
    <n v="-154.83743894905547"/>
    <n v="0"/>
    <n v="0"/>
    <n v="0"/>
    <n v="0"/>
    <n v="0"/>
    <n v="0"/>
    <n v="0"/>
    <n v="229.34189304735992"/>
    <n v="0"/>
    <n v="0"/>
    <n v="78.100773821315215"/>
    <n v="0"/>
    <n v="0"/>
    <n v="0"/>
    <n v="2.6280964784893097"/>
    <n v="0"/>
    <n v="-9.6445455315553374"/>
    <m/>
    <n v="0"/>
    <n v="0"/>
    <n v="0"/>
    <n v="0"/>
    <n v="-1.4921702153207228"/>
    <n v="-0.17473369526160498"/>
    <n v="0"/>
    <n v="-453.59675285408298"/>
    <m/>
    <m/>
    <n v="17504.269107723037"/>
    <n v="0"/>
    <n v="0"/>
    <n v="0"/>
    <n v="-9167.4340400000001"/>
    <n v="70.158379999999966"/>
    <n v="0"/>
    <n v="0"/>
    <n v="-8941.2213160491574"/>
    <n v="0"/>
    <n v="0"/>
    <n v="0"/>
    <n v="0"/>
    <n v="0"/>
    <n v="0"/>
    <n v="0"/>
    <n v="0"/>
    <n v="0"/>
    <n v="0"/>
    <n v="0"/>
    <n v="0"/>
    <n v="65.22444469525207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29"/>
    <s v="Regular"/>
    <s v="Azul"/>
    <s v="A4"/>
    <s v="Poder público"/>
    <s v="Não se aplica"/>
    <s v="Não se aplica"/>
    <s v="Não se aplica"/>
    <s v="Fora ponta"/>
    <s v="CATIVO"/>
    <x v="6"/>
    <n v="230"/>
    <n v="230"/>
    <n v="26.222000000000001"/>
    <n v="26.222000000000001"/>
    <n v="26.222000000000001"/>
    <n v="26.222000000000001"/>
    <n v="43.29"/>
    <n v="95.29"/>
    <n v="159.41"/>
    <n v="9956.6999999999989"/>
    <n v="6678.7434000000012"/>
    <n v="16635.4434"/>
    <n v="14963.834020000002"/>
    <n v="0"/>
    <n v="1413.7360034574303"/>
    <n v="0"/>
    <n v="0"/>
    <n v="0"/>
    <n v="5442.71704644074"/>
    <n v="4514.7130340054682"/>
    <n v="4044.2378536511442"/>
    <n v="135.87577607773906"/>
    <n v="0"/>
    <n v="0"/>
    <n v="0"/>
    <n v="0"/>
    <n v="251.10332340716016"/>
    <m/>
    <n v="28.155436790289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.08888544012024"/>
    <n v="0"/>
    <n v="0"/>
    <n v="0"/>
    <n v="0"/>
    <n v="0"/>
    <m/>
    <m/>
    <m/>
    <m/>
    <m/>
    <m/>
    <m/>
    <m/>
    <m/>
    <n v="4180.3267390912642"/>
    <m/>
    <m/>
    <m/>
    <m/>
    <m/>
    <m/>
    <m/>
    <m/>
    <m/>
    <m/>
    <m/>
    <m/>
    <n v="14963.280200000001"/>
    <n v="-1672.1931999999979"/>
    <m/>
    <m/>
    <m/>
    <m/>
    <n v="-2391.9277199999997"/>
    <n v="720.31834000000003"/>
    <n v="31"/>
    <n v="633.74957115306279"/>
    <n v="0"/>
    <n v="0"/>
    <n v="0"/>
    <n v="0"/>
    <n v="0"/>
    <n v="0"/>
    <n v="0"/>
    <n v="245.85832086169376"/>
    <n v="0"/>
    <n v="0"/>
    <n v="801.8631523659069"/>
    <n v="0"/>
    <n v="0"/>
    <n v="0"/>
    <n v="26.982750923628288"/>
    <n v="0"/>
    <n v="-99.020858625076244"/>
    <m/>
    <n v="0"/>
    <n v="0"/>
    <n v="0"/>
    <n v="0"/>
    <n v="-15.320159509060261"/>
    <n v="-1.7939964593382172"/>
    <n v="0"/>
    <n v="-324.81963840468882"/>
    <m/>
    <m/>
    <n v="4514.7130340054682"/>
    <n v="0"/>
    <n v="0"/>
    <n v="0"/>
    <n v="-2391.9277199999979"/>
    <n v="720.31833999999981"/>
    <n v="0"/>
    <n v="0"/>
    <n v="-2306.1259037479317"/>
    <n v="0"/>
    <n v="0"/>
    <n v="0"/>
    <n v="0"/>
    <n v="0"/>
    <n v="0"/>
    <n v="0"/>
    <n v="0"/>
    <n v="0"/>
    <n v="0"/>
    <n v="0"/>
    <n v="0"/>
    <n v="669.6614678147612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30"/>
    <s v="Regular"/>
    <s v="Azul"/>
    <s v="A4"/>
    <s v="Poder público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3.79"/>
    <n v="111.09"/>
    <n v="6350.2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431"/>
    <s v="Regular"/>
    <s v="Verde"/>
    <s v="A4"/>
    <s v="Poder público"/>
    <s v="Não se aplica"/>
    <s v="Não se aplica"/>
    <s v="Não se aplica"/>
    <s v="Ponta"/>
    <s v="CATIVO"/>
    <x v="6"/>
    <n v="0"/>
    <n v="0"/>
    <n v="0.71899999999999997"/>
    <n v="0.71899999999999997"/>
    <n v="0.71899999999999997"/>
    <n v="0.71899999999999997"/>
    <m/>
    <n v="2810.7"/>
    <n v="159.41"/>
    <m/>
    <n v="2135.5090899999996"/>
    <n v="2135.5090899999996"/>
    <n v="1360.1251099999999"/>
    <n v="0"/>
    <n v="38.764250876588065"/>
    <n v="0"/>
    <n v="0"/>
    <n v="0"/>
    <n v="438.96071164502507"/>
    <n v="1513.4151220413785"/>
    <n v="110.89188531672536"/>
    <n v="3.7256762642016006"/>
    <n v="0"/>
    <n v="0"/>
    <n v="0"/>
    <n v="0"/>
    <n v="6.8851837971835916"/>
    <m/>
    <n v="0.77201430296002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7315196640777377"/>
    <n v="0"/>
    <n v="0"/>
    <n v="0"/>
    <n v="0"/>
    <n v="0"/>
    <m/>
    <m/>
    <m/>
    <m/>
    <m/>
    <m/>
    <m/>
    <m/>
    <m/>
    <n v="114.6234049808031"/>
    <m/>
    <m/>
    <m/>
    <m/>
    <m/>
    <m/>
    <m/>
    <m/>
    <m/>
    <m/>
    <m/>
    <m/>
    <n v="1362.0167999999999"/>
    <n v="-773.52228999999988"/>
    <m/>
    <m/>
    <m/>
    <m/>
    <n v="-795.13490999999988"/>
    <n v="19.750929999999997"/>
    <n v="31"/>
    <n v="-2.3242372393625601"/>
    <n v="0"/>
    <n v="0"/>
    <n v="0"/>
    <n v="0"/>
    <n v="0"/>
    <n v="0"/>
    <n v="0"/>
    <n v="19.828725720709372"/>
    <n v="0"/>
    <n v="0"/>
    <n v="21.986866240221474"/>
    <n v="0"/>
    <n v="0"/>
    <n v="0"/>
    <n v="0.73985958027948806"/>
    <n v="0"/>
    <n v="-2.7151246034409908"/>
    <m/>
    <n v="0"/>
    <n v="0"/>
    <n v="0"/>
    <n v="0"/>
    <n v="-0.4200745437805784"/>
    <n v="-4.9190887585393139E-2"/>
    <n v="0"/>
    <n v="-41.69529874576601"/>
    <m/>
    <m/>
    <m/>
    <n v="1513.4151220413785"/>
    <n v="0"/>
    <n v="0"/>
    <n v="-795.13490999999976"/>
    <n v="19.750929999999997"/>
    <n v="0"/>
    <n v="0"/>
    <n v="-773.05595943204048"/>
    <n v="0"/>
    <n v="0"/>
    <n v="0"/>
    <n v="0"/>
    <n v="0"/>
    <n v="0"/>
    <n v="0"/>
    <n v="0"/>
    <n v="0"/>
    <n v="0"/>
    <n v="0"/>
    <n v="0"/>
    <n v="18.36193255124755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32"/>
    <s v="Regular"/>
    <s v="Verde"/>
    <s v="A4"/>
    <s v="Poder público"/>
    <s v="Não se aplica"/>
    <s v="Não se aplica"/>
    <s v="Não se aplica"/>
    <s v="Fora ponta"/>
    <s v="CATIVO"/>
    <x v="6"/>
    <n v="0"/>
    <n v="0"/>
    <n v="7.6420000000000003"/>
    <n v="7.6420000000000003"/>
    <n v="7.6420000000000003"/>
    <n v="7.6420000000000003"/>
    <m/>
    <n v="95.29"/>
    <n v="159.41"/>
    <m/>
    <n v="1946.4174000000003"/>
    <n v="1946.4174000000003"/>
    <n v="2116.1462200000001"/>
    <n v="0"/>
    <n v="412.01169012362453"/>
    <n v="0"/>
    <n v="0"/>
    <n v="0"/>
    <n v="0"/>
    <n v="0"/>
    <n v="1178.6311371215791"/>
    <n v="39.598912393642053"/>
    <n v="0"/>
    <n v="0"/>
    <n v="0"/>
    <n v="0"/>
    <n v="73.180214990371368"/>
    <m/>
    <n v="8.2054705190828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661019851018189"/>
    <n v="0"/>
    <n v="0"/>
    <n v="0"/>
    <n v="0"/>
    <n v="0"/>
    <m/>
    <m/>
    <m/>
    <m/>
    <m/>
    <m/>
    <m/>
    <m/>
    <m/>
    <n v="1218.2921569725972"/>
    <m/>
    <m/>
    <m/>
    <m/>
    <m/>
    <m/>
    <m/>
    <m/>
    <m/>
    <m/>
    <m/>
    <m/>
    <n v="2115.5924"/>
    <n v="169.14499999999975"/>
    <m/>
    <m/>
    <m/>
    <m/>
    <n v="-40.196920000000041"/>
    <n v="209.92573999999999"/>
    <n v="31"/>
    <n v="169.70466523963546"/>
    <n v="0"/>
    <n v="0"/>
    <n v="0"/>
    <n v="0"/>
    <n v="0"/>
    <n v="0"/>
    <n v="0"/>
    <n v="0"/>
    <n v="0"/>
    <n v="0"/>
    <n v="233.69072574099073"/>
    <n v="0"/>
    <n v="0"/>
    <n v="0"/>
    <n v="7.8637091967953339"/>
    <n v="0"/>
    <n v="-28.858111570926383"/>
    <m/>
    <n v="0"/>
    <n v="0"/>
    <n v="0"/>
    <n v="0"/>
    <n v="-4.4648256795148598"/>
    <n v="-0.52283277180469234"/>
    <n v="0"/>
    <n v="-38.003999675904552"/>
    <m/>
    <m/>
    <m/>
    <n v="0"/>
    <n v="0"/>
    <n v="0"/>
    <n v="-40.196920000000091"/>
    <n v="209.92573999999991"/>
    <n v="0"/>
    <n v="0"/>
    <n v="0"/>
    <n v="0"/>
    <n v="0"/>
    <n v="0"/>
    <n v="0"/>
    <n v="0"/>
    <n v="0"/>
    <n v="0"/>
    <n v="0"/>
    <n v="0"/>
    <n v="0"/>
    <n v="0"/>
    <n v="0"/>
    <n v="195.1625710106172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33"/>
    <s v="Regular"/>
    <s v="Verde"/>
    <s v="A4"/>
    <s v="Poder público"/>
    <s v="Não se aplica"/>
    <s v="Não se aplica"/>
    <s v="Não se aplica"/>
    <s v="Não se aplica"/>
    <s v="CATIVO"/>
    <x v="6"/>
    <n v="62"/>
    <n v="62"/>
    <n v="0"/>
    <n v="0"/>
    <n v="0"/>
    <n v="0"/>
    <n v="43.29"/>
    <m/>
    <m/>
    <n v="2683.98"/>
    <m/>
    <n v="2683.98"/>
    <n v="2076.38"/>
    <n v="0"/>
    <n v="0"/>
    <n v="0"/>
    <n v="0"/>
    <n v="0"/>
    <n v="1467.1672038231561"/>
    <n v="1217.0096004710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74"/>
    <n v="22.14"/>
    <n v="0"/>
    <n v="1"/>
    <m/>
    <m/>
    <m/>
    <m/>
    <m/>
    <m/>
    <m/>
    <m/>
    <m/>
    <n v="0"/>
    <m/>
    <m/>
    <m/>
    <m/>
    <m/>
    <m/>
    <m/>
    <m/>
    <m/>
    <m/>
    <m/>
    <m/>
    <n v="2076.38"/>
    <n v="-607.63000000000056"/>
    <m/>
    <m/>
    <m/>
    <m/>
    <n v="-607.5999999999998"/>
    <n v="0"/>
    <n v="31"/>
    <n v="13.866929003308996"/>
    <n v="0"/>
    <n v="0"/>
    <n v="0"/>
    <n v="0"/>
    <m/>
    <m/>
    <m/>
    <n v="66.274851710543544"/>
    <n v="0"/>
    <n v="0"/>
    <m/>
    <m/>
    <n v="0"/>
    <n v="0"/>
    <n v="0"/>
    <n v="0"/>
    <n v="0"/>
    <m/>
    <n v="0"/>
    <n v="0"/>
    <m/>
    <n v="0"/>
    <n v="0"/>
    <n v="0"/>
    <n v="0"/>
    <n v="-52.407922707234555"/>
    <m/>
    <m/>
    <n v="1217.0096004710392"/>
    <m/>
    <n v="0"/>
    <n v="0"/>
    <n v="-607.59999999999991"/>
    <m/>
    <n v="0"/>
    <m/>
    <n v="-621.65133057552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34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533.13099999999997"/>
    <n v="533.13099999999997"/>
    <n v="533.13099999999997"/>
    <n v="533.13099999999997"/>
    <m/>
    <n v="356.64"/>
    <n v="87.68"/>
    <m/>
    <n v="236880.76591999998"/>
    <n v="236880.76591999998"/>
    <n v="179398.5815"/>
    <n v="0"/>
    <n v="18171.043928744362"/>
    <n v="0"/>
    <n v="0"/>
    <n v="0"/>
    <n v="34202.717774931691"/>
    <n v="122433.69138786764"/>
    <n v="45223.846927587001"/>
    <n v="1519.4025477406603"/>
    <n v="0"/>
    <n v="0"/>
    <n v="0"/>
    <n v="0"/>
    <n v="2807.9105808580757"/>
    <m/>
    <n v="608.463797647128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05.7187999447979"/>
    <n v="0"/>
    <n v="191.86"/>
    <n v="896.64"/>
    <n v="64047.55"/>
    <n v="62"/>
    <m/>
    <m/>
    <m/>
    <m/>
    <m/>
    <m/>
    <m/>
    <m/>
    <m/>
    <n v="48529.565727531801"/>
    <m/>
    <m/>
    <m/>
    <m/>
    <m/>
    <m/>
    <m/>
    <m/>
    <m/>
    <m/>
    <m/>
    <m/>
    <n v="179398.245"/>
    <n v="-57482.550920000009"/>
    <m/>
    <m/>
    <m/>
    <m/>
    <n v="-65532.462519999986"/>
    <n v="8050.2780999999968"/>
    <n v="31"/>
    <n v="5059.2585332882591"/>
    <n v="0"/>
    <n v="0"/>
    <n v="0"/>
    <n v="0"/>
    <n v="0"/>
    <n v="0"/>
    <n v="0"/>
    <n v="1545.0045793856989"/>
    <n v="0"/>
    <n v="0"/>
    <n v="8966.6675828004372"/>
    <n v="0"/>
    <n v="0"/>
    <n v="0"/>
    <n v="655.434767607916"/>
    <n v="0"/>
    <n v="-1272.7357636347042"/>
    <m/>
    <n v="0"/>
    <n v="0"/>
    <n v="0"/>
    <n v="0"/>
    <n v="-171.314490792985"/>
    <n v="-38.769844230976901"/>
    <n v="0"/>
    <n v="-4625.0282978471332"/>
    <m/>
    <m/>
    <m/>
    <n v="122433.69138786764"/>
    <n v="0"/>
    <n v="0"/>
    <n v="-65532.462519999972"/>
    <n v="8050.2780999999959"/>
    <n v="0"/>
    <n v="0"/>
    <n v="-62539.413928273461"/>
    <n v="0"/>
    <n v="0"/>
    <n v="0"/>
    <n v="0"/>
    <n v="0"/>
    <n v="0"/>
    <n v="0"/>
    <n v="0"/>
    <n v="0"/>
    <n v="0"/>
    <n v="0"/>
    <n v="0"/>
    <n v="8607.298618193408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35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55.131999999999998"/>
    <n v="51.824080000000002"/>
    <n v="55.131999999999998"/>
    <n v="51.824080000000002"/>
    <m/>
    <n v="648.44000000000005"/>
    <n v="159.41"/>
    <m/>
    <n v="44538.386200000001"/>
    <n v="44538.386200000001"/>
    <n v="33730.860239999995"/>
    <n v="0"/>
    <n v="3416.5438577335294"/>
    <n v="0"/>
    <n v="0"/>
    <n v="0"/>
    <n v="6430.8405059153529"/>
    <n v="23020.145564073129"/>
    <n v="8503.0478738271249"/>
    <n v="285.68008873151967"/>
    <n v="0"/>
    <n v="0"/>
    <n v="0"/>
    <n v="0"/>
    <n v="527.94708359711512"/>
    <m/>
    <n v="114.40417285085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1.54564732957886"/>
    <n v="0"/>
    <n v="33.5"/>
    <n v="156.65"/>
    <n v="13916.16"/>
    <n v="13"/>
    <m/>
    <m/>
    <m/>
    <m/>
    <n v="2023.8516143999973"/>
    <m/>
    <m/>
    <m/>
    <m/>
    <n v="9124.593521156703"/>
    <m/>
    <m/>
    <m/>
    <m/>
    <m/>
    <m/>
    <m/>
    <m/>
    <m/>
    <m/>
    <m/>
    <m/>
    <n v="31704.5124"/>
    <n v="-10161.600628000015"/>
    <m/>
    <m/>
    <m/>
    <m/>
    <n v="-12322.002000000002"/>
    <n v="1514.4760399999998"/>
    <n v="31"/>
    <n v="951.24852123927485"/>
    <n v="0"/>
    <n v="0"/>
    <n v="0"/>
    <n v="0"/>
    <n v="0"/>
    <n v="0"/>
    <n v="0"/>
    <n v="290.4938167872815"/>
    <n v="0"/>
    <n v="0"/>
    <n v="1685.9247698969266"/>
    <n v="0"/>
    <n v="0"/>
    <n v="0"/>
    <n v="123.23571712209161"/>
    <n v="0"/>
    <n v="-239.3014717709907"/>
    <m/>
    <n v="0"/>
    <n v="0"/>
    <n v="0"/>
    <n v="0"/>
    <n v="-32.210778508638214"/>
    <n v="-7.2895576991634101"/>
    <n v="0"/>
    <n v="-869.60397458822911"/>
    <m/>
    <m/>
    <m/>
    <n v="23020.145564073129"/>
    <n v="0"/>
    <n v="0"/>
    <n v="-12322.002"/>
    <n v="1514.4760399999996"/>
    <n v="0"/>
    <n v="0"/>
    <n v="-11758.743821256281"/>
    <n v="0"/>
    <n v="0"/>
    <n v="0"/>
    <n v="0"/>
    <n v="0"/>
    <n v="0"/>
    <n v="0"/>
    <n v="0"/>
    <n v="0"/>
    <n v="0"/>
    <n v="0"/>
    <n v="0"/>
    <n v="1618.355738997938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36"/>
    <s v="Regular"/>
    <s v="Azul"/>
    <s v="A4"/>
    <s v="Serviço público"/>
    <s v="Água, esgoto e saneamento"/>
    <s v="Não se aplica"/>
    <s v="Não se aplica"/>
    <s v="Ponta"/>
    <s v="CATIVO"/>
    <x v="6"/>
    <n v="708"/>
    <n v="665.52"/>
    <n v="36.963000000000001"/>
    <n v="34.745220000000003"/>
    <n v="36.963000000000001"/>
    <n v="34.745220000000003"/>
    <n v="112.91"/>
    <n v="95.29"/>
    <n v="159.41"/>
    <n v="79940.28"/>
    <n v="9414.4760999999999"/>
    <n v="89354.756099999999"/>
    <n v="57770.544330000004"/>
    <n v="0"/>
    <n v="1992.8275454121347"/>
    <n v="0"/>
    <n v="0"/>
    <n v="0"/>
    <n v="17972.872804850485"/>
    <n v="61965.112641339554"/>
    <n v="5700.8299818666474"/>
    <n v="191.53292316228618"/>
    <n v="0"/>
    <n v="0"/>
    <n v="0"/>
    <n v="0"/>
    <n v="353.95973392948139"/>
    <m/>
    <n v="39.688407065801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83332592949296"/>
    <n v="0"/>
    <n v="0"/>
    <n v="0"/>
    <n v="0"/>
    <n v="0"/>
    <m/>
    <m/>
    <m/>
    <m/>
    <n v="3466.2326598000009"/>
    <m/>
    <m/>
    <m/>
    <m/>
    <n v="5892.6633077961405"/>
    <m/>
    <m/>
    <m/>
    <m/>
    <m/>
    <m/>
    <m/>
    <m/>
    <m/>
    <m/>
    <m/>
    <m/>
    <n v="54305.635300000002"/>
    <n v="-29687.865433999985"/>
    <m/>
    <m/>
    <m/>
    <m/>
    <n v="-32599.585379999997"/>
    <n v="1015.37361"/>
    <n v="31"/>
    <n v="71.931277436047822"/>
    <n v="0"/>
    <n v="0"/>
    <n v="0"/>
    <n v="0"/>
    <n v="0"/>
    <n v="0"/>
    <n v="0"/>
    <n v="811.87030138765112"/>
    <n v="0"/>
    <n v="0"/>
    <n v="1130.3206353787291"/>
    <n v="0"/>
    <n v="0"/>
    <n v="0"/>
    <n v="38.035368102740932"/>
    <n v="0"/>
    <n v="-139.58157262446389"/>
    <m/>
    <n v="0"/>
    <n v="0"/>
    <n v="0"/>
    <n v="0"/>
    <n v="-21.5955707395849"/>
    <n v="-2.528849482362844"/>
    <n v="0"/>
    <n v="-1744.5890345866596"/>
    <m/>
    <m/>
    <n v="61965.112641339554"/>
    <n v="0"/>
    <n v="0"/>
    <n v="0"/>
    <n v="-32599.585379999997"/>
    <n v="1015.3736100000006"/>
    <n v="0"/>
    <n v="0"/>
    <n v="-31651.923458814021"/>
    <n v="0"/>
    <n v="0"/>
    <n v="0"/>
    <n v="0"/>
    <n v="0"/>
    <n v="0"/>
    <n v="0"/>
    <n v="0"/>
    <n v="0"/>
    <n v="0"/>
    <n v="0"/>
    <n v="0"/>
    <n v="943.9667773181687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37"/>
    <s v="Regular"/>
    <s v="Azul"/>
    <s v="A4"/>
    <s v="Serviço público"/>
    <s v="Água, esgoto e saneamento"/>
    <s v="Não se aplica"/>
    <s v="Não se aplica"/>
    <s v="Fora ponta"/>
    <s v="CATIVO"/>
    <x v="6"/>
    <n v="718"/>
    <n v="674.92"/>
    <n v="382.291"/>
    <n v="359.35354000000001"/>
    <n v="382.291"/>
    <n v="359.35354000000001"/>
    <n v="43.29"/>
    <n v="95.29"/>
    <n v="159.41"/>
    <n v="31082.22"/>
    <n v="97369.517699999997"/>
    <n v="128451.7377"/>
    <n v="129906.02081"/>
    <n v="0"/>
    <n v="20610.882102728414"/>
    <n v="0"/>
    <n v="0"/>
    <n v="0"/>
    <n v="16990.742779758486"/>
    <n v="14093.756340938808"/>
    <n v="58961.014922971146"/>
    <n v="1980.9353334045816"/>
    <n v="0"/>
    <n v="0"/>
    <n v="0"/>
    <n v="0"/>
    <n v="3660.83977609056"/>
    <m/>
    <n v="410.47860903044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4.0422585534666"/>
    <n v="0"/>
    <n v="0"/>
    <n v="0"/>
    <n v="0"/>
    <n v="0"/>
    <m/>
    <m/>
    <m/>
    <m/>
    <n v="7794.3612485999984"/>
    <m/>
    <m/>
    <m/>
    <m/>
    <n v="60945.057181524615"/>
    <m/>
    <m/>
    <m/>
    <m/>
    <m/>
    <m/>
    <m/>
    <m/>
    <m/>
    <m/>
    <m/>
    <m/>
    <n v="122110.67930000002"/>
    <n v="1366.0158620000147"/>
    <m/>
    <m/>
    <m/>
    <m/>
    <n v="-9047.2506599999997"/>
    <n v="10501.53377"/>
    <n v="31"/>
    <n v="8650.0627525349264"/>
    <n v="0"/>
    <n v="0"/>
    <n v="0"/>
    <n v="0"/>
    <n v="0"/>
    <n v="0"/>
    <n v="0"/>
    <n v="767.5055407769396"/>
    <n v="0"/>
    <n v="0"/>
    <n v="11690.377026203765"/>
    <n v="0"/>
    <n v="0"/>
    <n v="0"/>
    <n v="393.38200111909009"/>
    <n v="0"/>
    <n v="-1443.6268425230337"/>
    <m/>
    <n v="0"/>
    <n v="0"/>
    <n v="0"/>
    <n v="0"/>
    <n v="-223.35287540531499"/>
    <n v="-26.154705988744752"/>
    <n v="0"/>
    <n v="-2508.0673916477549"/>
    <m/>
    <m/>
    <n v="14093.756340938808"/>
    <n v="0"/>
    <n v="0"/>
    <n v="0"/>
    <n v="-9047.2506599999906"/>
    <n v="10501.533770000002"/>
    <n v="0"/>
    <n v="0"/>
    <n v="-7199.1234734391937"/>
    <n v="0"/>
    <n v="0"/>
    <n v="0"/>
    <n v="0"/>
    <n v="0"/>
    <n v="0"/>
    <n v="0"/>
    <n v="0"/>
    <n v="0"/>
    <n v="0"/>
    <n v="0"/>
    <n v="0"/>
    <n v="9763.006337898439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38"/>
    <s v="Regular"/>
    <s v="Azul"/>
    <s v="A4"/>
    <s v="Serviço público"/>
    <s v="Água, esgoto e saneamento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90.51"/>
    <n v="889.12"/>
    <n v="80509.2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439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4.4249999999999998"/>
    <n v="4.4249999999999998"/>
    <n v="4.4249999999999998"/>
    <n v="4.4249999999999998"/>
    <m/>
    <n v="648.44000000000005"/>
    <n v="159.41"/>
    <m/>
    <n v="3574.7362499999999"/>
    <n v="3574.7362499999999"/>
    <n v="2707.3035"/>
    <n v="0"/>
    <n v="274.21835903777963"/>
    <n v="0"/>
    <n v="0"/>
    <n v="0"/>
    <n v="516.15158598772825"/>
    <n v="1847.6410092328158"/>
    <n v="682.47092145550721"/>
    <n v="22.929231528639892"/>
    <n v="0"/>
    <n v="0"/>
    <n v="0"/>
    <n v="0"/>
    <n v="42.374044927033928"/>
    <m/>
    <n v="9.18229820911674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886445066991705"/>
    <n v="0"/>
    <n v="2.76"/>
    <n v="12.98"/>
    <n v="1116.9100000000001"/>
    <n v="5"/>
    <m/>
    <m/>
    <m/>
    <m/>
    <m/>
    <m/>
    <m/>
    <m/>
    <m/>
    <n v="732.35736652249886"/>
    <m/>
    <m/>
    <m/>
    <m/>
    <m/>
    <m/>
    <m/>
    <m/>
    <m/>
    <m/>
    <m/>
    <m/>
    <n v="2710.3625999999999"/>
    <n v="-864.40365000000065"/>
    <m/>
    <m/>
    <m/>
    <m/>
    <n v="-988.98750000000018"/>
    <n v="121.55474999999998"/>
    <n v="31"/>
    <n v="76.349029719288865"/>
    <n v="0"/>
    <n v="0"/>
    <n v="0"/>
    <n v="0"/>
    <n v="0"/>
    <n v="0"/>
    <n v="0"/>
    <n v="23.31559056960964"/>
    <n v="0"/>
    <n v="0"/>
    <n v="135.31555370372746"/>
    <n v="0"/>
    <n v="0"/>
    <n v="0"/>
    <n v="9.8911348811081581"/>
    <n v="0"/>
    <n v="-19.206794830345956"/>
    <m/>
    <n v="0"/>
    <n v="0"/>
    <n v="0"/>
    <n v="0"/>
    <n v="-2.5852988264660084"/>
    <n v="-0.58507387395338561"/>
    <n v="0"/>
    <n v="-69.796081904391528"/>
    <m/>
    <m/>
    <m/>
    <n v="1847.6410092328158"/>
    <n v="0"/>
    <n v="0"/>
    <n v="-988.98750000000018"/>
    <n v="121.55475000000001"/>
    <n v="0"/>
    <n v="0"/>
    <n v="-943.77931889028241"/>
    <n v="0"/>
    <n v="0"/>
    <n v="0"/>
    <n v="0"/>
    <n v="0"/>
    <n v="0"/>
    <n v="0"/>
    <n v="0"/>
    <n v="0"/>
    <n v="0"/>
    <n v="0"/>
    <n v="0"/>
    <n v="129.8923337638010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40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8.069999999999993"/>
    <n v="365.22"/>
    <n v="381.46"/>
    <n v="3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441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14"/>
    <n v="75.489999999999995"/>
    <n v="58.1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442"/>
    <s v="Regular"/>
    <s v="Convencional"/>
    <s v="B2"/>
    <s v="Rural"/>
    <s v="Agropecuária rural"/>
    <s v="IRRIG./AQUIC."/>
    <s v="Não se aplica"/>
    <s v="Não se aplica"/>
    <s v="CATIVO"/>
    <x v="6"/>
    <n v="0"/>
    <n v="0"/>
    <n v="136.084"/>
    <n v="136.084"/>
    <n v="136.084"/>
    <n v="136.084"/>
    <m/>
    <n v="648.44000000000005"/>
    <n v="159.41"/>
    <m/>
    <n v="109935.45940000001"/>
    <n v="109935.45940000001"/>
    <n v="83258.912880000003"/>
    <n v="0"/>
    <n v="8433.1595867338328"/>
    <n v="0"/>
    <n v="0"/>
    <n v="0"/>
    <n v="15873.440096622377"/>
    <n v="56821.328610268589"/>
    <n v="20988.332853186723"/>
    <n v="705.15289115105793"/>
    <n v="0"/>
    <n v="0"/>
    <n v="0"/>
    <n v="0"/>
    <n v="1303.1479163503921"/>
    <m/>
    <n v="282.38731513885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4.1801108466666"/>
    <n v="0"/>
    <n v="0"/>
    <n v="0"/>
    <n v="0"/>
    <n v="0"/>
    <m/>
    <m/>
    <m/>
    <m/>
    <m/>
    <n v="9991.2872800000023"/>
    <m/>
    <m/>
    <m/>
    <n v="22522.512964033391"/>
    <m/>
    <m/>
    <m/>
    <m/>
    <m/>
    <m/>
    <m/>
    <m/>
    <m/>
    <m/>
    <m/>
    <m/>
    <n v="73265.472000000009"/>
    <n v="-23478.034439999974"/>
    <m/>
    <m/>
    <m/>
    <m/>
    <n v="-30414.774000000009"/>
    <n v="3738.22748"/>
    <n v="31"/>
    <n v="2347.9957876428671"/>
    <n v="0"/>
    <n v="0"/>
    <n v="0"/>
    <n v="0"/>
    <n v="0"/>
    <n v="0"/>
    <n v="0"/>
    <n v="717.03476318073808"/>
    <n v="0"/>
    <n v="0"/>
    <n v="4161.4196181283733"/>
    <n v="0"/>
    <n v="0"/>
    <n v="0"/>
    <n v="304.18648568603908"/>
    <n v="0"/>
    <n v="-590.67513394187608"/>
    <m/>
    <n v="0"/>
    <n v="0"/>
    <n v="0"/>
    <n v="0"/>
    <n v="-79.506848700745877"/>
    <n v="-17.993037980355382"/>
    <n v="0"/>
    <n v="-2146.4700587293146"/>
    <m/>
    <m/>
    <m/>
    <n v="56821.328610268589"/>
    <n v="0"/>
    <n v="0"/>
    <n v="-30414.774000000005"/>
    <n v="3738.2274799999977"/>
    <n v="0"/>
    <n v="0"/>
    <n v="-29024.466628670096"/>
    <n v="0"/>
    <n v="0"/>
    <n v="0"/>
    <n v="0"/>
    <n v="0"/>
    <n v="0"/>
    <n v="0"/>
    <n v="0"/>
    <n v="0"/>
    <n v="0"/>
    <n v="0"/>
    <n v="0"/>
    <n v="3994.636914782621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43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28.855"/>
    <n v="28.855"/>
    <n v="28.855"/>
    <n v="28.855"/>
    <m/>
    <n v="648.44000000000005"/>
    <n v="159.41"/>
    <m/>
    <n v="23310.511750000005"/>
    <n v="23310.511750000005"/>
    <n v="17654.0661"/>
    <n v="0"/>
    <n v="1788.1515819288434"/>
    <n v="0"/>
    <n v="0"/>
    <n v="0"/>
    <n v="3365.7749183448364"/>
    <n v="12048.289564161107"/>
    <n v="4450.3273307567597"/>
    <n v="149.51931655568455"/>
    <n v="0"/>
    <n v="0"/>
    <n v="0"/>
    <n v="0"/>
    <n v="276.3170771456642"/>
    <m/>
    <n v="59.8768847060030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5.30471692837187"/>
    <n v="0"/>
    <n v="0"/>
    <n v="0"/>
    <n v="0"/>
    <n v="0"/>
    <m/>
    <m/>
    <m/>
    <m/>
    <m/>
    <n v="2118.5341000000003"/>
    <m/>
    <m/>
    <m/>
    <n v="4775.6320476851315"/>
    <m/>
    <m/>
    <m/>
    <m/>
    <m/>
    <m/>
    <m/>
    <m/>
    <m/>
    <m/>
    <m/>
    <m/>
    <n v="15538.223999999998"/>
    <n v="-4975.1140499999965"/>
    <m/>
    <m/>
    <m/>
    <m/>
    <n v="-6449.0925000000016"/>
    <n v="792.64684999999997"/>
    <n v="31"/>
    <n v="497.86468984182102"/>
    <n v="0"/>
    <n v="0"/>
    <n v="0"/>
    <n v="0"/>
    <n v="0"/>
    <n v="0"/>
    <n v="0"/>
    <n v="152.03872675391767"/>
    <n v="0"/>
    <n v="0"/>
    <n v="882.3797292928939"/>
    <n v="0"/>
    <n v="0"/>
    <n v="0"/>
    <n v="64.499140563700792"/>
    <n v="0"/>
    <n v="-125.24566436827854"/>
    <m/>
    <n v="0"/>
    <n v="0"/>
    <n v="0"/>
    <n v="0"/>
    <n v="-16.858485341847882"/>
    <n v="-3.8152105385141155"/>
    <n v="0"/>
    <n v="-455.13354652004915"/>
    <m/>
    <m/>
    <m/>
    <n v="12048.289564161107"/>
    <n v="0"/>
    <n v="0"/>
    <n v="-6449.0925000000025"/>
    <n v="792.64685000000009"/>
    <n v="0"/>
    <n v="0"/>
    <n v="-6154.2942930122244"/>
    <n v="0"/>
    <n v="0"/>
    <n v="0"/>
    <n v="0"/>
    <n v="0"/>
    <n v="0"/>
    <n v="0"/>
    <n v="0"/>
    <n v="0"/>
    <n v="0"/>
    <n v="0"/>
    <n v="0"/>
    <n v="847.0154329388652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44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136.04900000000001"/>
    <n v="54.419600000000003"/>
    <n v="136.04900000000001"/>
    <n v="54.419600000000003"/>
    <m/>
    <n v="648.44000000000005"/>
    <n v="159.41"/>
    <m/>
    <n v="109907.18465000001"/>
    <n v="109907.18465000001"/>
    <n v="83237.499179999999"/>
    <n v="0"/>
    <n v="8430.9906279617826"/>
    <n v="0"/>
    <n v="0"/>
    <n v="0"/>
    <n v="15869.35754170496"/>
    <n v="56806.714500591042"/>
    <n v="20982.934778101768"/>
    <n v="704.97152999772402"/>
    <n v="0"/>
    <n v="0"/>
    <n v="0"/>
    <n v="0"/>
    <n v="1302.8127544131162"/>
    <m/>
    <n v="282.31468679144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3.7855287952891"/>
    <n v="0"/>
    <n v="0"/>
    <n v="0"/>
    <n v="0"/>
    <n v="0"/>
    <m/>
    <m/>
    <m/>
    <m/>
    <m/>
    <m/>
    <n v="53937.986540000005"/>
    <m/>
    <m/>
    <n v="22516.720306897056"/>
    <m/>
    <m/>
    <m/>
    <m/>
    <m/>
    <m/>
    <m/>
    <m/>
    <m/>
    <m/>
    <m/>
    <m/>
    <n v="29299.727999999999"/>
    <n v="-9387.739835999997"/>
    <m/>
    <m/>
    <m/>
    <m/>
    <n v="-30406.95150000001"/>
    <n v="3737.2660300000002"/>
    <n v="31"/>
    <n v="2347.3918970123268"/>
    <n v="0"/>
    <n v="0"/>
    <n v="0"/>
    <n v="0"/>
    <n v="0"/>
    <n v="0"/>
    <n v="0"/>
    <n v="716.85034608018941"/>
    <n v="0"/>
    <n v="0"/>
    <n v="4160.3493256131987"/>
    <n v="0"/>
    <n v="0"/>
    <n v="0"/>
    <n v="304.10825072087778"/>
    <n v="0"/>
    <n v="-590.52321579067575"/>
    <m/>
    <n v="0"/>
    <n v="0"/>
    <n v="0"/>
    <n v="0"/>
    <n v="-79.486400009463068"/>
    <n v="-17.988410277397577"/>
    <n v="0"/>
    <n v="-2145.9179993244211"/>
    <m/>
    <m/>
    <m/>
    <n v="56806.714500591042"/>
    <n v="0"/>
    <n v="0"/>
    <n v="-30406.95150000001"/>
    <n v="3737.2660299999989"/>
    <n v="0"/>
    <n v="0"/>
    <n v="-29017.001707503732"/>
    <n v="0"/>
    <n v="0"/>
    <n v="0"/>
    <n v="0"/>
    <n v="0"/>
    <n v="0"/>
    <n v="0"/>
    <n v="0"/>
    <n v="0"/>
    <n v="0"/>
    <n v="0"/>
    <n v="0"/>
    <n v="3993.609517792399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45"/>
    <s v="Sistema de Compensação"/>
    <s v="Convencional"/>
    <s v="B2"/>
    <s v="Rural"/>
    <s v="Agropecuária rural"/>
    <s v="IRRIG./AQUIC. PR"/>
    <s v="Não se aplica"/>
    <s v="Não se aplica"/>
    <s v="CATIVO"/>
    <x v="6"/>
    <n v="0"/>
    <n v="0"/>
    <n v="26.370999999999999"/>
    <n v="10.548400000000001"/>
    <n v="26.370999999999999"/>
    <n v="10.548400000000001"/>
    <m/>
    <n v="648.44000000000005"/>
    <n v="159.41"/>
    <m/>
    <n v="21303.81235"/>
    <n v="21303.81235"/>
    <n v="16134.305219999998"/>
    <n v="0"/>
    <n v="1634.2174793639067"/>
    <n v="0"/>
    <n v="0"/>
    <n v="0"/>
    <n v="3076.0301636344366"/>
    <n v="11011.105323046007"/>
    <n v="4067.2182304413968"/>
    <n v="136.64785641621754"/>
    <n v="0"/>
    <n v="0"/>
    <n v="0"/>
    <n v="0"/>
    <n v="252.53015565442072"/>
    <m/>
    <n v="54.7223471350548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7.30066505347753"/>
    <n v="0"/>
    <n v="0"/>
    <n v="0"/>
    <n v="0"/>
    <n v="0"/>
    <m/>
    <m/>
    <m/>
    <m/>
    <m/>
    <m/>
    <n v="10455.046659999998"/>
    <m/>
    <m/>
    <n v="4364.5188954948744"/>
    <m/>
    <m/>
    <m/>
    <m/>
    <m/>
    <m/>
    <m/>
    <m/>
    <m/>
    <m/>
    <m/>
    <m/>
    <n v="5680.12"/>
    <n v="-1818.8730440000008"/>
    <m/>
    <m/>
    <m/>
    <m/>
    <n v="-5893.9185000000016"/>
    <n v="724.41136999999992"/>
    <n v="31"/>
    <n v="455.00570909092858"/>
    <n v="0"/>
    <n v="0"/>
    <n v="0"/>
    <n v="0"/>
    <n v="0"/>
    <n v="0"/>
    <n v="0"/>
    <n v="138.95038167484245"/>
    <n v="0"/>
    <n v="0"/>
    <n v="806.41954050191953"/>
    <n v="0"/>
    <n v="0"/>
    <n v="0"/>
    <n v="58.946693321966848"/>
    <n v="0"/>
    <n v="-114.46381615165046"/>
    <m/>
    <n v="0"/>
    <n v="0"/>
    <n v="0"/>
    <n v="0"/>
    <n v="-15.407212509092687"/>
    <n v="-3.4867758485931617"/>
    <n v="0"/>
    <n v="-415.95310189846532"/>
    <m/>
    <m/>
    <m/>
    <n v="11011.105323046007"/>
    <n v="0"/>
    <n v="0"/>
    <n v="-5893.9184999999998"/>
    <n v="724.41136999999981"/>
    <n v="0"/>
    <n v="0"/>
    <n v="-5624.4981736622904"/>
    <n v="0"/>
    <n v="0"/>
    <n v="0"/>
    <n v="0"/>
    <n v="0"/>
    <n v="0"/>
    <n v="0"/>
    <n v="0"/>
    <n v="0"/>
    <n v="0"/>
    <n v="0"/>
    <n v="0"/>
    <n v="774.0996008328128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46"/>
    <s v="Regular"/>
    <s v="Verde"/>
    <s v="A4"/>
    <s v="Rural"/>
    <s v="Agropecuária rural"/>
    <s v="Não se aplica"/>
    <s v="Não se aplica"/>
    <s v="Ponta"/>
    <s v="CATIVO"/>
    <x v="6"/>
    <n v="0"/>
    <n v="0"/>
    <n v="21.824999999999999"/>
    <n v="20.952000000000002"/>
    <n v="21.824999999999999"/>
    <n v="20.952000000000002"/>
    <m/>
    <n v="2810.7"/>
    <n v="159.41"/>
    <m/>
    <n v="64822.650749999993"/>
    <n v="64822.650749999993"/>
    <n v="41286.134250000003"/>
    <n v="0"/>
    <n v="1176.6756263999091"/>
    <n v="0"/>
    <n v="0"/>
    <n v="0"/>
    <n v="13324.502825664356"/>
    <n v="45939.200331784545"/>
    <n v="3366.0853922636038"/>
    <n v="113.09163347176624"/>
    <n v="0"/>
    <n v="0"/>
    <n v="0"/>
    <n v="0"/>
    <n v="208.997408029947"/>
    <m/>
    <n v="23.434231101672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26900788386179"/>
    <n v="0"/>
    <n v="0"/>
    <n v="0"/>
    <n v="0"/>
    <n v="0"/>
    <m/>
    <m/>
    <m/>
    <m/>
    <m/>
    <n v="1651.4453699999954"/>
    <m/>
    <m/>
    <m/>
    <n v="3479.3544001474656"/>
    <m/>
    <m/>
    <m/>
    <m/>
    <m/>
    <m/>
    <m/>
    <m/>
    <m/>
    <m/>
    <m/>
    <m/>
    <n v="39630.905499999993"/>
    <n v="-22598.869220000015"/>
    <m/>
    <m/>
    <m/>
    <m/>
    <n v="-24136.049249999996"/>
    <n v="599.53274999999996"/>
    <n v="31"/>
    <n v="-70.55142941459053"/>
    <n v="0"/>
    <n v="0"/>
    <n v="0"/>
    <n v="0"/>
    <n v="0"/>
    <n v="0"/>
    <n v="0"/>
    <n v="601.89421259316077"/>
    <n v="0"/>
    <n v="0"/>
    <n v="667.40383267431616"/>
    <n v="0"/>
    <n v="0"/>
    <n v="0"/>
    <n v="22.458185451460125"/>
    <n v="0"/>
    <n v="-82.416682155910621"/>
    <m/>
    <n v="0"/>
    <n v="0"/>
    <n v="0"/>
    <n v="0"/>
    <n v="-12.751219635620487"/>
    <n v="-1.4931726308083491"/>
    <n v="0"/>
    <n v="-1265.6465857111866"/>
    <m/>
    <m/>
    <m/>
    <n v="45939.200331784545"/>
    <n v="0"/>
    <n v="0"/>
    <n v="-24136.049249999996"/>
    <n v="599.53275000000031"/>
    <n v="0"/>
    <n v="0"/>
    <n v="-23465.850228935029"/>
    <n v="0"/>
    <n v="0"/>
    <n v="0"/>
    <n v="0"/>
    <n v="0"/>
    <n v="0"/>
    <n v="0"/>
    <n v="0"/>
    <n v="0"/>
    <n v="0"/>
    <n v="0"/>
    <n v="0"/>
    <n v="557.3702057454489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47"/>
    <s v="Sistema de Compensação"/>
    <s v="Verde"/>
    <s v="A4"/>
    <s v="Rural"/>
    <s v="Agropecuária rural"/>
    <s v="Não se aplica"/>
    <s v="Não se aplica"/>
    <s v="Ponta"/>
    <s v="CATIVO"/>
    <x v="6"/>
    <n v="0"/>
    <n v="0"/>
    <n v="0.13300000000000001"/>
    <n v="0.12767999999999999"/>
    <n v="0.13300000000000001"/>
    <n v="0.12767999999999999"/>
    <m/>
    <n v="2810.7"/>
    <n v="159.41"/>
    <m/>
    <n v="395.02463"/>
    <n v="395.02463"/>
    <n v="251.59477000000001"/>
    <n v="0"/>
    <n v="7.1705777003980717"/>
    <n v="0"/>
    <n v="0"/>
    <n v="0"/>
    <n v="81.198573920428842"/>
    <n v="279.9502242440937"/>
    <n v="20.512685322843495"/>
    <n v="0.68917238266872449"/>
    <n v="0"/>
    <n v="0"/>
    <n v="0"/>
    <n v="0"/>
    <n v="1.2736153616487034"/>
    <m/>
    <n v="0.14280654004684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9025328973899747"/>
    <n v="0"/>
    <n v="0"/>
    <n v="0"/>
    <n v="0"/>
    <n v="0"/>
    <m/>
    <m/>
    <m/>
    <m/>
    <m/>
    <n v="10.063790800000037"/>
    <m/>
    <m/>
    <m/>
    <n v="21.202938612582493"/>
    <m/>
    <m/>
    <m/>
    <m/>
    <m/>
    <m/>
    <m/>
    <m/>
    <m/>
    <m/>
    <m/>
    <m/>
    <n v="245.91970000000001"/>
    <n v="-133.3339447999999"/>
    <m/>
    <m/>
    <m/>
    <m/>
    <n v="-147.08337"/>
    <n v="3.6535100000000003"/>
    <n v="31"/>
    <n v="-0.42993540032716737"/>
    <n v="0"/>
    <n v="0"/>
    <n v="0"/>
    <n v="0"/>
    <n v="0"/>
    <n v="0"/>
    <n v="0"/>
    <n v="3.6679005853328874"/>
    <n v="0"/>
    <n v="0"/>
    <n v="4.067111557648758"/>
    <n v="0"/>
    <n v="0"/>
    <n v="0"/>
    <n v="0.13685858717270094"/>
    <n v="0"/>
    <n v="-0.50224140786877935"/>
    <m/>
    <n v="0"/>
    <n v="0"/>
    <n v="0"/>
    <n v="0"/>
    <n v="-7.7705026874571592E-2"/>
    <n v="-9.0992879678126193E-3"/>
    <n v="0"/>
    <n v="-7.7127604077703475"/>
    <m/>
    <m/>
    <m/>
    <n v="279.9502242440937"/>
    <n v="0"/>
    <n v="0"/>
    <n v="-147.08337"/>
    <n v="3.6535100000000007"/>
    <n v="0"/>
    <n v="0"/>
    <n v="-142.99922476281142"/>
    <n v="0"/>
    <n v="0"/>
    <n v="0"/>
    <n v="0"/>
    <n v="0"/>
    <n v="0"/>
    <n v="0"/>
    <n v="0"/>
    <n v="0"/>
    <n v="0"/>
    <n v="0"/>
    <n v="0"/>
    <n v="3.396574449674443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48"/>
    <s v="Regular"/>
    <s v="Verde"/>
    <s v="A4"/>
    <s v="Rural"/>
    <s v="Agropecuária rural"/>
    <s v="Não se aplica"/>
    <s v="Não se aplica"/>
    <s v="Fora ponta"/>
    <s v="CATIVO"/>
    <x v="6"/>
    <n v="0"/>
    <n v="0"/>
    <n v="747.18"/>
    <n v="717.29280000000006"/>
    <n v="747.18"/>
    <n v="717.29280000000006"/>
    <m/>
    <n v="95.29"/>
    <n v="159.41"/>
    <m/>
    <n v="190306.74599999998"/>
    <n v="190306.74599999998"/>
    <n v="206901.61379999999"/>
    <n v="0"/>
    <n v="40283.550723183689"/>
    <n v="0"/>
    <n v="0"/>
    <n v="0"/>
    <n v="0"/>
    <n v="0"/>
    <n v="115238.10691370077"/>
    <n v="3871.6979013715604"/>
    <n v="0"/>
    <n v="0"/>
    <n v="0"/>
    <n v="0"/>
    <n v="7155.0370369675047"/>
    <m/>
    <n v="802.272109715820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77.7703235126623"/>
    <n v="0"/>
    <n v="0"/>
    <n v="0"/>
    <n v="0"/>
    <n v="0"/>
    <m/>
    <m/>
    <m/>
    <m/>
    <m/>
    <n v="8276.0645519999707"/>
    <m/>
    <m/>
    <m/>
    <n v="119115.87723721344"/>
    <m/>
    <m/>
    <m/>
    <m/>
    <m/>
    <m/>
    <m/>
    <m/>
    <m/>
    <m/>
    <m/>
    <m/>
    <n v="198624.77389999997"/>
    <n v="15930.267739999981"/>
    <m/>
    <m/>
    <m/>
    <m/>
    <n v="-3930.1668000000036"/>
    <n v="20525.034599999999"/>
    <n v="31"/>
    <n v="16592.506120616483"/>
    <n v="0"/>
    <n v="0"/>
    <n v="0"/>
    <n v="0"/>
    <n v="0"/>
    <n v="0"/>
    <n v="0"/>
    <n v="0"/>
    <n v="0"/>
    <n v="0"/>
    <n v="22848.604613864634"/>
    <n v="0"/>
    <n v="0"/>
    <n v="0"/>
    <n v="768.85713656916278"/>
    <n v="0"/>
    <n v="-2821.5393618901871"/>
    <m/>
    <n v="0"/>
    <n v="0"/>
    <n v="0"/>
    <n v="0"/>
    <n v="-436.53866150483009"/>
    <n v="-51.118841983385323"/>
    <n v="0"/>
    <n v="-3715.7587644389378"/>
    <m/>
    <m/>
    <m/>
    <n v="0"/>
    <n v="0"/>
    <n v="0"/>
    <n v="-3930.1668000000063"/>
    <n v="20525.034599999999"/>
    <n v="0"/>
    <n v="0"/>
    <n v="0"/>
    <n v="0"/>
    <n v="0"/>
    <n v="0"/>
    <n v="0"/>
    <n v="0"/>
    <n v="0"/>
    <n v="0"/>
    <n v="0"/>
    <n v="0"/>
    <n v="0"/>
    <n v="0"/>
    <n v="0"/>
    <n v="19081.59772411842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49"/>
    <s v="Sistema de Compensação"/>
    <s v="Verde"/>
    <s v="A4"/>
    <s v="Rural"/>
    <s v="Agropecuária rural"/>
    <s v="Não se aplica"/>
    <s v="Não se aplica"/>
    <s v="Fora ponta"/>
    <s v="CATIVO"/>
    <x v="6"/>
    <n v="0"/>
    <n v="0"/>
    <n v="19.213999999999999"/>
    <n v="18.445440000000001"/>
    <n v="19.213999999999999"/>
    <n v="18.445440000000001"/>
    <m/>
    <n v="95.29"/>
    <n v="159.41"/>
    <m/>
    <n v="4893.8058000000001"/>
    <n v="4893.8058000000001"/>
    <n v="5320.5487399999993"/>
    <n v="0"/>
    <n v="1035.9058641763047"/>
    <n v="0"/>
    <n v="0"/>
    <n v="0"/>
    <n v="0"/>
    <n v="0"/>
    <n v="2963.3889909256759"/>
    <n v="99.56209143305918"/>
    <n v="0"/>
    <n v="0"/>
    <n v="0"/>
    <n v="0"/>
    <n v="183.99432750915929"/>
    <m/>
    <n v="20.630713236542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718245932669888"/>
    <n v="0"/>
    <n v="0"/>
    <n v="0"/>
    <n v="0"/>
    <n v="0"/>
    <m/>
    <m/>
    <m/>
    <m/>
    <m/>
    <n v="212.82194959999924"/>
    <m/>
    <m/>
    <m/>
    <n v="3063.1072368583459"/>
    <m/>
    <m/>
    <m/>
    <m/>
    <m/>
    <m/>
    <m/>
    <m/>
    <m/>
    <m/>
    <m/>
    <m/>
    <n v="5108.9894999999997"/>
    <n v="410.90593199999876"/>
    <m/>
    <m/>
    <m/>
    <m/>
    <n v="-101.06564000000009"/>
    <n v="527.80857999999989"/>
    <n v="31"/>
    <n v="426.68220857293363"/>
    <n v="0"/>
    <n v="0"/>
    <n v="0"/>
    <n v="0"/>
    <n v="0"/>
    <n v="0"/>
    <n v="0"/>
    <n v="0"/>
    <n v="0"/>
    <n v="0"/>
    <n v="587.5600110425803"/>
    <n v="0"/>
    <n v="0"/>
    <n v="0"/>
    <n v="19.771435292753949"/>
    <n v="0"/>
    <n v="-72.556890306697142"/>
    <m/>
    <n v="0"/>
    <n v="0"/>
    <n v="0"/>
    <n v="0"/>
    <n v="-11.225747265924952"/>
    <n v="-1.3145392407034002"/>
    <n v="0"/>
    <n v="-95.552060949074843"/>
    <m/>
    <m/>
    <m/>
    <n v="0"/>
    <n v="0"/>
    <n v="0"/>
    <n v="-101.06564000000003"/>
    <n v="527.80857999999989"/>
    <n v="0"/>
    <n v="0"/>
    <n v="0"/>
    <n v="0"/>
    <n v="0"/>
    <n v="0"/>
    <n v="0"/>
    <n v="0"/>
    <n v="0"/>
    <n v="0"/>
    <n v="0"/>
    <n v="0"/>
    <n v="0"/>
    <n v="0"/>
    <n v="0"/>
    <n v="490.690086286050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50"/>
    <s v="Regular"/>
    <s v="Verde"/>
    <s v="A4"/>
    <s v="Rural"/>
    <s v="Agropecuária rural"/>
    <s v="Não se aplica"/>
    <s v="Não se aplica"/>
    <s v="Não se aplica"/>
    <s v="CATIVO"/>
    <x v="6"/>
    <n v="8496"/>
    <n v="8156.16"/>
    <n v="0"/>
    <n v="0"/>
    <n v="0"/>
    <n v="0"/>
    <n v="43.29"/>
    <m/>
    <m/>
    <n v="367791.83999999997"/>
    <m/>
    <n v="367791.83999999997"/>
    <n v="284531.04000000004"/>
    <n v="0"/>
    <n v="0"/>
    <n v="0"/>
    <n v="0"/>
    <n v="0"/>
    <n v="201049.23489808926"/>
    <n v="166769.57363874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6.69"/>
    <n v="2038.53"/>
    <n v="733.81"/>
    <n v="44"/>
    <m/>
    <m/>
    <m/>
    <m/>
    <m/>
    <n v="11381.241600000005"/>
    <m/>
    <m/>
    <m/>
    <n v="0"/>
    <m/>
    <m/>
    <m/>
    <m/>
    <m/>
    <m/>
    <m/>
    <m/>
    <m/>
    <m/>
    <m/>
    <m/>
    <n v="273149.79840000003"/>
    <n v="-79930.397999999986"/>
    <m/>
    <m/>
    <m/>
    <m/>
    <n v="-83260.799999999974"/>
    <n v="0"/>
    <n v="31"/>
    <n v="1900.2165937437676"/>
    <n v="0"/>
    <n v="0"/>
    <n v="0"/>
    <n v="0"/>
    <m/>
    <m/>
    <m/>
    <n v="9081.7925827867584"/>
    <n v="0"/>
    <n v="0"/>
    <m/>
    <m/>
    <n v="0"/>
    <n v="0"/>
    <n v="0"/>
    <n v="0"/>
    <n v="0"/>
    <m/>
    <n v="0"/>
    <n v="0"/>
    <m/>
    <n v="0"/>
    <n v="0"/>
    <n v="0"/>
    <n v="0"/>
    <n v="-7181.5759890429799"/>
    <m/>
    <m/>
    <n v="166769.5736387411"/>
    <m/>
    <n v="0"/>
    <n v="0"/>
    <n v="-83260.79999999993"/>
    <m/>
    <n v="0"/>
    <m/>
    <n v="-85186.2855575757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51"/>
    <s v="Sistema de Compensação"/>
    <s v="Verde"/>
    <s v="A4"/>
    <s v="Rural"/>
    <s v="Agropecuária rural"/>
    <s v="Não se aplica"/>
    <s v="Não se aplica"/>
    <s v="Não se aplica"/>
    <s v="CATIVO"/>
    <x v="6"/>
    <n v="182"/>
    <n v="174.72"/>
    <n v="0"/>
    <n v="0"/>
    <n v="0"/>
    <n v="0"/>
    <n v="43.29"/>
    <m/>
    <m/>
    <n v="7878.78"/>
    <m/>
    <n v="7878.78"/>
    <n v="6095.18"/>
    <n v="0"/>
    <n v="0"/>
    <n v="0"/>
    <n v="0"/>
    <n v="0"/>
    <n v="4306.8456628357162"/>
    <n v="3572.51205299563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05"/>
    <n v="32.950000000000003"/>
    <n v="119.08"/>
    <n v="1"/>
    <m/>
    <m/>
    <m/>
    <m/>
    <m/>
    <n v="243.80720000000005"/>
    <m/>
    <m/>
    <m/>
    <n v="0"/>
    <m/>
    <m/>
    <m/>
    <m/>
    <m/>
    <m/>
    <m/>
    <m/>
    <m/>
    <m/>
    <m/>
    <m/>
    <n v="5851.3728000000001"/>
    <n v="-1712.2860000000001"/>
    <m/>
    <m/>
    <m/>
    <m/>
    <n v="-1783.5999999999995"/>
    <n v="0"/>
    <n v="31"/>
    <n v="40.706146429068212"/>
    <n v="0"/>
    <n v="0"/>
    <n v="0"/>
    <n v="0"/>
    <m/>
    <m/>
    <m/>
    <n v="194.5487582470796"/>
    <n v="0"/>
    <n v="0"/>
    <m/>
    <m/>
    <n v="0"/>
    <n v="0"/>
    <n v="0"/>
    <n v="0"/>
    <n v="0"/>
    <m/>
    <n v="0"/>
    <n v="0"/>
    <m/>
    <n v="0"/>
    <n v="0"/>
    <n v="0"/>
    <n v="0"/>
    <n v="-153.84261181801111"/>
    <m/>
    <m/>
    <n v="3572.5120529956312"/>
    <m/>
    <n v="0"/>
    <n v="0"/>
    <n v="-1783.5999999999995"/>
    <m/>
    <n v="0"/>
    <m/>
    <n v="-1824.847454270102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52"/>
    <s v="Regular"/>
    <s v="Verde"/>
    <s v="A4"/>
    <s v="Rural"/>
    <s v="Agropecuária rural"/>
    <s v="IRRIG./AQUIC. PR"/>
    <s v="Não se aplica"/>
    <s v="Fora ponta"/>
    <s v="CATIVO"/>
    <x v="6"/>
    <n v="0"/>
    <n v="0"/>
    <n v="660.40499999999997"/>
    <n v="198.1215"/>
    <n v="660.40499999999997"/>
    <n v="198.1215"/>
    <m/>
    <n v="95.29"/>
    <n v="159.41"/>
    <m/>
    <n v="168205.15349999999"/>
    <n v="168205.15349999999"/>
    <n v="182872.74854999999"/>
    <n v="0"/>
    <n v="35605.153129559309"/>
    <n v="0"/>
    <n v="0"/>
    <n v="0"/>
    <n v="0"/>
    <n v="0"/>
    <n v="101854.73647092073"/>
    <n v="3422.0517847845035"/>
    <n v="0"/>
    <n v="0"/>
    <n v="0"/>
    <n v="0"/>
    <n v="6324.0748339068568"/>
    <m/>
    <n v="709.09889533563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27.4189760156587"/>
    <n v="0"/>
    <n v="0"/>
    <n v="0"/>
    <n v="0"/>
    <n v="0"/>
    <m/>
    <m/>
    <m/>
    <m/>
    <m/>
    <m/>
    <n v="128010.923985"/>
    <m/>
    <m/>
    <n v="105282.15544693639"/>
    <m/>
    <m/>
    <m/>
    <m/>
    <m/>
    <m/>
    <m/>
    <m/>
    <m/>
    <m/>
    <m/>
    <m/>
    <n v="54861.409200000002"/>
    <n v="4399.8331500000058"/>
    <m/>
    <m/>
    <m/>
    <m/>
    <n v="-3473.7303000000034"/>
    <n v="18141.325349999999"/>
    <n v="31"/>
    <n v="14665.50764820489"/>
    <n v="0"/>
    <n v="0"/>
    <n v="0"/>
    <n v="0"/>
    <n v="0"/>
    <n v="0"/>
    <n v="0"/>
    <n v="0"/>
    <n v="0"/>
    <n v="0"/>
    <n v="20195.043670894942"/>
    <n v="0"/>
    <n v="0"/>
    <n v="0"/>
    <n v="679.56462602847751"/>
    <n v="0"/>
    <n v="-2493.8551651397065"/>
    <m/>
    <n v="0"/>
    <n v="0"/>
    <n v="0"/>
    <n v="0"/>
    <n v="-385.84051333159005"/>
    <n v="-45.182069702130093"/>
    <n v="0"/>
    <n v="-3284.2229005451118"/>
    <m/>
    <m/>
    <m/>
    <n v="0"/>
    <n v="0"/>
    <n v="0"/>
    <n v="-3473.7303000000029"/>
    <n v="18141.325349999999"/>
    <n v="0"/>
    <n v="0"/>
    <n v="0"/>
    <n v="0"/>
    <n v="0"/>
    <n v="0"/>
    <n v="0"/>
    <n v="0"/>
    <n v="0"/>
    <n v="0"/>
    <n v="0"/>
    <n v="0"/>
    <n v="0"/>
    <n v="0"/>
    <n v="0"/>
    <n v="16865.52443185902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54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88"/>
    <n v="27.54"/>
    <n v="47.22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455"/>
    <s v="Regular"/>
    <s v="Convencional"/>
    <s v="B2"/>
    <s v="Rural"/>
    <s v="Aquicultura"/>
    <s v="IRRIG./AQUIC."/>
    <s v="Não se aplica"/>
    <s v="Não se aplica"/>
    <s v="CATIVO"/>
    <x v="6"/>
    <n v="0"/>
    <n v="0"/>
    <n v="9.3279999999999994"/>
    <n v="9.3279999999999994"/>
    <n v="9.3279999999999994"/>
    <n v="9.3279999999999994"/>
    <m/>
    <n v="648.44000000000005"/>
    <n v="159.41"/>
    <m/>
    <n v="7535.6247999999996"/>
    <n v="7535.6247999999996"/>
    <n v="5707.0569599999999"/>
    <n v="0"/>
    <n v="578.05849787670252"/>
    <n v="0"/>
    <n v="0"/>
    <n v="0"/>
    <n v="1088.0592077047525"/>
    <n v="3894.8690020618542"/>
    <n v="1438.6641254998806"/>
    <n v="48.3353382370967"/>
    <n v="0"/>
    <n v="0"/>
    <n v="0"/>
    <n v="0"/>
    <n v="89.325444311722592"/>
    <m/>
    <n v="19.356492134382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.16175357850815"/>
    <n v="0"/>
    <n v="0"/>
    <n v="0"/>
    <n v="0"/>
    <n v="0"/>
    <m/>
    <m/>
    <m/>
    <m/>
    <m/>
    <n v="684.86176000000012"/>
    <m/>
    <m/>
    <m/>
    <n v="1543.8258790783887"/>
    <m/>
    <m/>
    <m/>
    <m/>
    <m/>
    <m/>
    <m/>
    <m/>
    <m/>
    <m/>
    <m/>
    <m/>
    <n v="5023.2719999999999"/>
    <n v="-1608.1264799999999"/>
    <m/>
    <m/>
    <m/>
    <m/>
    <n v="-2084.8080000000004"/>
    <n v="256.24015999999995"/>
    <n v="31"/>
    <n v="160.94548005006209"/>
    <n v="0"/>
    <n v="0"/>
    <n v="0"/>
    <n v="0"/>
    <n v="0"/>
    <n v="0"/>
    <n v="0"/>
    <n v="49.149791826738692"/>
    <n v="0"/>
    <n v="0"/>
    <n v="285.24824518607215"/>
    <n v="0"/>
    <n v="0"/>
    <n v="0"/>
    <n v="20.850735857847894"/>
    <n v="0"/>
    <n v="-40.488357554229879"/>
    <m/>
    <n v="0"/>
    <n v="0"/>
    <n v="0"/>
    <n v="0"/>
    <n v="-5.4498683510225874"/>
    <n v="-1.23334894830219"/>
    <n v="0"/>
    <n v="-147.13171796704273"/>
    <m/>
    <m/>
    <m/>
    <n v="3894.8690020618542"/>
    <n v="0"/>
    <n v="0"/>
    <n v="-2084.8080000000004"/>
    <n v="256.24016000000006"/>
    <n v="0"/>
    <n v="0"/>
    <n v="-1989.5081325669046"/>
    <n v="0"/>
    <n v="0"/>
    <n v="0"/>
    <n v="0"/>
    <n v="0"/>
    <n v="0"/>
    <n v="0"/>
    <n v="0"/>
    <n v="0"/>
    <n v="0"/>
    <n v="0"/>
    <n v="0"/>
    <n v="273.8159749940646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56"/>
    <s v="Regular"/>
    <s v="Convencional"/>
    <s v="B2"/>
    <s v="Rural"/>
    <s v="Aquicultura"/>
    <s v="IRRIG./AQUIC. PR"/>
    <s v="Não se aplica"/>
    <s v="Não se aplica"/>
    <s v="CATIVO"/>
    <x v="6"/>
    <n v="0"/>
    <n v="0"/>
    <n v="12.526"/>
    <n v="5.0103999999999997"/>
    <n v="12.526"/>
    <n v="5.0103999999999997"/>
    <m/>
    <n v="648.44000000000005"/>
    <n v="159.41"/>
    <m/>
    <n v="10119.1291"/>
    <n v="10119.1291"/>
    <n v="7663.6573199999993"/>
    <n v="0"/>
    <n v="776.23935939146395"/>
    <n v="0"/>
    <n v="0"/>
    <n v="0"/>
    <n v="1461.0880827304597"/>
    <n v="5230.1810805989262"/>
    <n v="1931.8939575484033"/>
    <n v="64.906565904574762"/>
    <n v="0"/>
    <n v="0"/>
    <n v="0"/>
    <n v="0"/>
    <n v="119.94966932339592"/>
    <m/>
    <n v="25.9926479926319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21527930150012"/>
    <n v="0"/>
    <n v="0"/>
    <n v="0"/>
    <n v="0"/>
    <n v="0"/>
    <m/>
    <m/>
    <m/>
    <m/>
    <m/>
    <m/>
    <n v="4966.0579600000001"/>
    <m/>
    <m/>
    <n v="2073.1092368499035"/>
    <m/>
    <m/>
    <m/>
    <m/>
    <m/>
    <m/>
    <m/>
    <m/>
    <m/>
    <m/>
    <m/>
    <m/>
    <n v="2697.384"/>
    <n v="-864.58946400000059"/>
    <m/>
    <m/>
    <m/>
    <m/>
    <n v="-2799.5610000000006"/>
    <n v="344.08921999999995"/>
    <n v="31"/>
    <n v="216.1238296641377"/>
    <n v="0"/>
    <n v="0"/>
    <n v="0"/>
    <n v="0"/>
    <n v="0"/>
    <n v="0"/>
    <n v="0"/>
    <n v="66.000245757046514"/>
    <n v="0"/>
    <n v="0"/>
    <n v="383.04240128652873"/>
    <n v="0"/>
    <n v="0"/>
    <n v="0"/>
    <n v="27.999176388872513"/>
    <n v="0"/>
    <n v="-54.369336055347731"/>
    <m/>
    <n v="0"/>
    <n v="0"/>
    <n v="0"/>
    <n v="0"/>
    <n v="-7.3182944859464953"/>
    <n v="-1.6561887785627363"/>
    <n v="0"/>
    <n v="-197.57417444845385"/>
    <m/>
    <m/>
    <m/>
    <n v="5230.1810805989262"/>
    <n v="0"/>
    <n v="0"/>
    <n v="-2799.5610000000006"/>
    <n v="344.08921999999984"/>
    <n v="0"/>
    <n v="0"/>
    <n v="-2671.588643710661"/>
    <n v="0"/>
    <n v="0"/>
    <n v="0"/>
    <n v="0"/>
    <n v="0"/>
    <n v="0"/>
    <n v="0"/>
    <n v="0"/>
    <n v="0"/>
    <n v="0"/>
    <n v="0"/>
    <n v="0"/>
    <n v="367.6907057006489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57"/>
    <s v="Regular"/>
    <s v="Convencional"/>
    <s v="B1"/>
    <s v="Residencial"/>
    <s v="Residencial"/>
    <s v="Não se aplica"/>
    <s v="Não se aplica"/>
    <s v="Não se aplica"/>
    <s v="CATIVO"/>
    <x v="7"/>
    <n v="0"/>
    <n v="0"/>
    <n v="1653.1849999999999"/>
    <n v="1653.1849999999999"/>
    <n v="1653.1849999999999"/>
    <n v="1653.1849999999999"/>
    <m/>
    <n v="648.44000000000005"/>
    <n v="159.41"/>
    <m/>
    <n v="1335525.5022499999"/>
    <n v="1335525.5022499999"/>
    <n v="1011451.6466999999"/>
    <n v="0"/>
    <n v="102448.28878776763"/>
    <n v="0"/>
    <n v="0"/>
    <n v="0"/>
    <n v="192834.81574714635"/>
    <n v="690280.76877933391"/>
    <n v="254971.90740936107"/>
    <n v="8566.3868078360538"/>
    <n v="0"/>
    <n v="0"/>
    <n v="0"/>
    <n v="0"/>
    <n v="15830.991065016629"/>
    <m/>
    <n v="3430.51698640421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37.632245892582"/>
    <n v="0"/>
    <n v="1976.04"/>
    <n v="8671.7999999999993"/>
    <n v="415713.95"/>
    <n v="6996"/>
    <m/>
    <m/>
    <m/>
    <m/>
    <m/>
    <m/>
    <m/>
    <m/>
    <m/>
    <n v="273609.53965525364"/>
    <m/>
    <m/>
    <m/>
    <m/>
    <m/>
    <m/>
    <m/>
    <m/>
    <m/>
    <m/>
    <m/>
    <m/>
    <n v="1011454.7058"/>
    <n v="-324070.82644999993"/>
    <m/>
    <m/>
    <m/>
    <m/>
    <n v="-369486.84750000009"/>
    <n v="45412.991949999996"/>
    <n v="29"/>
    <n v="28524.083773216233"/>
    <n v="0"/>
    <n v="0"/>
    <n v="0"/>
    <n v="0"/>
    <n v="0"/>
    <n v="0"/>
    <n v="0"/>
    <n v="8710.7309821062372"/>
    <n v="0"/>
    <n v="0"/>
    <n v="50554.043762643327"/>
    <n v="0"/>
    <n v="0"/>
    <n v="0"/>
    <n v="3695.3391680056047"/>
    <n v="0"/>
    <n v="-7175.6802512102731"/>
    <m/>
    <n v="0"/>
    <n v="0"/>
    <n v="0"/>
    <n v="0"/>
    <n v="-965.87056280931392"/>
    <n v="-218.58426040940776"/>
    <n v="0"/>
    <n v="-26075.895065109944"/>
    <m/>
    <m/>
    <m/>
    <n v="690280.76877933391"/>
    <n v="0"/>
    <n v="0"/>
    <n v="-369486.84750000003"/>
    <n v="45412.991949999996"/>
    <n v="0"/>
    <n v="0"/>
    <n v="-352597.01995471894"/>
    <n v="0"/>
    <n v="0"/>
    <n v="0"/>
    <n v="0"/>
    <n v="0"/>
    <n v="0"/>
    <n v="0"/>
    <n v="0"/>
    <n v="0"/>
    <n v="0"/>
    <n v="0"/>
    <n v="0"/>
    <n v="48527.92266515467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58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253"/>
    <n v="-0.253"/>
    <n v="-0.253"/>
    <n v="-0.253"/>
    <m/>
    <n v="648.44000000000005"/>
    <n v="159.41"/>
    <m/>
    <n v="-204.38605000000001"/>
    <n v="-204.38605000000001"/>
    <n v="-154.79046"/>
    <n v="0"/>
    <n v="-15.678473409391696"/>
    <n v="0"/>
    <n v="0"/>
    <n v="0"/>
    <n v="-29.511039831614749"/>
    <n v="-105.63913566913048"/>
    <n v="-39.020371328416573"/>
    <n v="-1.3109820512420098"/>
    <n v="0"/>
    <n v="0"/>
    <n v="0"/>
    <n v="0"/>
    <n v="-2.4227420037377589"/>
    <m/>
    <n v="-0.524999197041025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8522645428133111"/>
    <n v="0"/>
    <n v="-0.17"/>
    <n v="-0.76"/>
    <n v="-68.34"/>
    <n v="0"/>
    <m/>
    <m/>
    <m/>
    <m/>
    <m/>
    <m/>
    <m/>
    <m/>
    <m/>
    <n v="-41.872635871229882"/>
    <m/>
    <m/>
    <m/>
    <m/>
    <m/>
    <m/>
    <m/>
    <m/>
    <m/>
    <m/>
    <m/>
    <m/>
    <n v="-152.95499999999998"/>
    <n v="51.401050000000055"/>
    <m/>
    <m/>
    <m/>
    <m/>
    <n v="56.545500000000018"/>
    <n v="-6.94991"/>
    <n v="29"/>
    <n v="-4.3652665579615757"/>
    <n v="0"/>
    <n v="0"/>
    <n v="0"/>
    <n v="0"/>
    <n v="0"/>
    <n v="0"/>
    <n v="0"/>
    <n v="-1.3330721839799438"/>
    <n v="0"/>
    <n v="0"/>
    <n v="-7.7366858953769579"/>
    <n v="0"/>
    <n v="0"/>
    <n v="0"/>
    <n v="-0.56552703388030823"/>
    <n v="0"/>
    <n v="1.0981512072491597"/>
    <m/>
    <n v="0"/>
    <n v="0"/>
    <n v="0"/>
    <n v="0"/>
    <n v="0.14781482555839531"/>
    <n v="3.3451681380837706E-2"/>
    <n v="0"/>
    <n v="3.9906008410872444"/>
    <m/>
    <m/>
    <m/>
    <n v="-105.63913566913048"/>
    <n v="0"/>
    <n v="0"/>
    <n v="56.545500000000018"/>
    <n v="-6.9499099999999956"/>
    <n v="0"/>
    <n v="0"/>
    <n v="53.960715859715577"/>
    <n v="0"/>
    <n v="0"/>
    <n v="0"/>
    <n v="0"/>
    <n v="0"/>
    <n v="0"/>
    <n v="0"/>
    <n v="0"/>
    <n v="0"/>
    <n v="0"/>
    <n v="0"/>
    <n v="0"/>
    <n v="-7.426612529320149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59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26.757999999999999"/>
    <n v="26.757999999999999"/>
    <n v="26.757999999999999"/>
    <n v="26.757999999999999"/>
    <m/>
    <n v="648.44000000000005"/>
    <n v="159.41"/>
    <m/>
    <n v="21616.4503"/>
    <n v="21616.4503"/>
    <n v="16371.079559999998"/>
    <n v="0"/>
    <n v="1658.1999663577194"/>
    <n v="0"/>
    <n v="0"/>
    <n v="0"/>
    <n v="3121.1715565784484"/>
    <n v="11172.695621480607"/>
    <n v="4126.9055178093704"/>
    <n v="138.65319259736637"/>
    <n v="0"/>
    <n v="0"/>
    <n v="0"/>
    <n v="0"/>
    <n v="256.23608907515791"/>
    <m/>
    <n v="55.5254091479199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.66361516442123"/>
    <n v="0"/>
    <n v="31.58"/>
    <n v="140.19999999999999"/>
    <n v="22287.23"/>
    <n v="238"/>
    <m/>
    <m/>
    <m/>
    <m/>
    <m/>
    <m/>
    <m/>
    <m/>
    <m/>
    <n v="4428.569132973792"/>
    <m/>
    <m/>
    <m/>
    <m/>
    <m/>
    <m/>
    <m/>
    <m/>
    <m/>
    <m/>
    <m/>
    <m/>
    <n v="16372.303200000002"/>
    <n v="-5244.1770999999935"/>
    <m/>
    <m/>
    <m/>
    <m/>
    <n v="-5980.4130000000014"/>
    <n v="735.04225999999994"/>
    <n v="29"/>
    <n v="461.68301406298451"/>
    <n v="0"/>
    <n v="0"/>
    <n v="0"/>
    <n v="0"/>
    <n v="0"/>
    <n v="0"/>
    <n v="0"/>
    <n v="140.98950790092977"/>
    <n v="0"/>
    <n v="0"/>
    <n v="818.25391774109266"/>
    <n v="0"/>
    <n v="0"/>
    <n v="0"/>
    <n v="59.811748508179051"/>
    <n v="0"/>
    <n v="-116.14359685206728"/>
    <m/>
    <n v="0"/>
    <n v="0"/>
    <n v="0"/>
    <n v="0"/>
    <n v="-15.633316609848009"/>
    <n v="-3.537945021298242"/>
    <n v="0"/>
    <n v="-422.05730160400191"/>
    <m/>
    <m/>
    <m/>
    <n v="11172.695621480607"/>
    <n v="0"/>
    <n v="0"/>
    <n v="-5980.4130000000005"/>
    <n v="735.04226000000017"/>
    <n v="0"/>
    <n v="0"/>
    <n v="-5707.0388734160852"/>
    <n v="0"/>
    <n v="0"/>
    <n v="0"/>
    <n v="0"/>
    <n v="0"/>
    <n v="0"/>
    <n v="0"/>
    <n v="0"/>
    <n v="0"/>
    <n v="0"/>
    <n v="0"/>
    <n v="0"/>
    <n v="785.4596761246978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60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-3.722"/>
    <n v="-3.722"/>
    <n v="-3.722"/>
    <n v="-3.722"/>
    <m/>
    <n v="648.44000000000005"/>
    <n v="159.41"/>
    <m/>
    <n v="-3006.8177000000001"/>
    <n v="-3006.8177000000001"/>
    <n v="-2277.1940400000003"/>
    <n v="0"/>
    <n v="-230.65327284488495"/>
    <n v="0"/>
    <n v="0"/>
    <n v="0"/>
    <n v="-434.15055436075136"/>
    <n v="-1554.1061777095006"/>
    <n v="-574.04672760619167"/>
    <n v="-19.286463220248063"/>
    <n v="0"/>
    <n v="0"/>
    <n v="0"/>
    <n v="0"/>
    <n v="-35.642078015462211"/>
    <m/>
    <n v="-7.72350597386045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1.96098272075551"/>
    <n v="0"/>
    <n v="-13.02"/>
    <n v="-59.36"/>
    <n v="-1202.55"/>
    <n v="11"/>
    <m/>
    <m/>
    <m/>
    <m/>
    <m/>
    <m/>
    <m/>
    <m/>
    <m/>
    <n v="-616.00771032694718"/>
    <m/>
    <m/>
    <m/>
    <m/>
    <m/>
    <m/>
    <m/>
    <m/>
    <m/>
    <m/>
    <m/>
    <m/>
    <n v="-2275.9704000000002"/>
    <n v="730.81729999999925"/>
    <m/>
    <m/>
    <m/>
    <m/>
    <n v="831.86700000000019"/>
    <n v="-102.24333999999999"/>
    <n v="29"/>
    <n v="-64.219455054280388"/>
    <n v="0"/>
    <n v="0"/>
    <n v="0"/>
    <n v="0"/>
    <n v="0"/>
    <n v="0"/>
    <n v="0"/>
    <n v="-19.611441378550751"/>
    <n v="0"/>
    <n v="0"/>
    <n v="-113.81796404186969"/>
    <n v="0"/>
    <n v="0"/>
    <n v="0"/>
    <n v="-8.3197297237253238"/>
    <n v="0"/>
    <n v="16.155410250519253"/>
    <m/>
    <n v="0"/>
    <n v="0"/>
    <n v="0"/>
    <n v="0"/>
    <n v="2.1745722558432732"/>
    <n v="0.49212315454338995"/>
    <n v="0"/>
    <n v="58.707574428959376"/>
    <m/>
    <m/>
    <m/>
    <n v="-1554.1061777095006"/>
    <n v="0"/>
    <n v="0"/>
    <n v="831.86699999999996"/>
    <n v="-102.24333999999999"/>
    <n v="0"/>
    <n v="0"/>
    <n v="793.8410451773176"/>
    <n v="0"/>
    <n v="0"/>
    <n v="0"/>
    <n v="0"/>
    <n v="0"/>
    <n v="0"/>
    <n v="0"/>
    <n v="0"/>
    <n v="0"/>
    <n v="0"/>
    <n v="0"/>
    <n v="0"/>
    <n v="-109.2563313601960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61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42.21"/>
    <n v="42.21"/>
    <n v="42.21"/>
    <n v="42.21"/>
    <m/>
    <n v="547.54"/>
    <n v="159.41"/>
    <m/>
    <n v="29840.359499999999"/>
    <n v="29840.359499999999"/>
    <n v="21857.182199999999"/>
    <n v="0"/>
    <n v="0"/>
    <n v="0"/>
    <n v="0"/>
    <n v="0"/>
    <n v="4923.5612304049746"/>
    <n v="17624.616271122522"/>
    <n v="6510.0785524603307"/>
    <n v="218.7215509206531"/>
    <n v="0"/>
    <n v="0"/>
    <n v="0"/>
    <n v="0"/>
    <n v="0"/>
    <m/>
    <n v="87.5897869845915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5.86595396106662"/>
    <n v="0"/>
    <n v="12.49"/>
    <n v="41.91"/>
    <n v="2326.16"/>
    <n v="103"/>
    <m/>
    <m/>
    <m/>
    <m/>
    <m/>
    <m/>
    <m/>
    <n v="14207.041800000001"/>
    <m/>
    <n v="6985.9445064213969"/>
    <m/>
    <m/>
    <m/>
    <m/>
    <m/>
    <m/>
    <m/>
    <m/>
    <m/>
    <m/>
    <m/>
    <m/>
    <n v="7650.1404000000002"/>
    <n v="-2793.9099000000006"/>
    <m/>
    <m/>
    <m/>
    <m/>
    <n v="-9142.6859999999979"/>
    <n v="1159.5086999999999"/>
    <n v="29"/>
    <n v="1019.3226908047363"/>
    <n v="0"/>
    <n v="0"/>
    <n v="0"/>
    <n v="0"/>
    <n v="0"/>
    <n v="0"/>
    <n v="0"/>
    <n v="222.40702326400515"/>
    <n v="0"/>
    <n v="0"/>
    <n v="1290.7727732958947"/>
    <n v="0"/>
    <n v="0"/>
    <n v="0"/>
    <n v="94.351367984536807"/>
    <n v="0"/>
    <n v="0"/>
    <m/>
    <n v="0"/>
    <n v="0"/>
    <n v="0"/>
    <n v="0"/>
    <n v="0"/>
    <n v="-5.581009767135015"/>
    <n v="0"/>
    <n v="-582.62746397256535"/>
    <m/>
    <m/>
    <m/>
    <n v="17624.616271122522"/>
    <n v="0"/>
    <n v="0"/>
    <n v="-9142.6859999999979"/>
    <n v="1159.5086999999994"/>
    <n v="0"/>
    <n v="0"/>
    <n v="-9002.6949266347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62"/>
    <s v="Sistema de Compensação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0.03"/>
    <n v="0.03"/>
    <n v="0.03"/>
    <n v="0.03"/>
    <m/>
    <n v="547.54"/>
    <n v="159.41"/>
    <m/>
    <n v="21.208499999999997"/>
    <n v="21.208499999999997"/>
    <n v="15.534600000000001"/>
    <n v="0"/>
    <n v="0"/>
    <n v="0"/>
    <n v="0"/>
    <n v="0"/>
    <n v="3.4993327863574799"/>
    <n v="12.52637972361231"/>
    <n v="4.6269215013932694"/>
    <n v="0.15545241714332131"/>
    <n v="0"/>
    <n v="0"/>
    <n v="0"/>
    <n v="0"/>
    <n v="0"/>
    <m/>
    <n v="6.225286921435078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3821318689485902"/>
    <n v="0"/>
    <n v="0.01"/>
    <n v="0.03"/>
    <n v="4.12"/>
    <n v="0"/>
    <m/>
    <m/>
    <m/>
    <m/>
    <m/>
    <m/>
    <m/>
    <n v="10.0974"/>
    <m/>
    <n v="4.9651346882881287"/>
    <m/>
    <m/>
    <m/>
    <m/>
    <m/>
    <m/>
    <m/>
    <m/>
    <m/>
    <m/>
    <m/>
    <m/>
    <n v="5.4371999999999998"/>
    <n v="-2.0156999999999989"/>
    <m/>
    <m/>
    <m/>
    <m/>
    <n v="-6.4979999999999984"/>
    <n v="0.82409999999999994"/>
    <n v="29"/>
    <n v="0.72446530974039369"/>
    <n v="0"/>
    <n v="0"/>
    <n v="0"/>
    <n v="0"/>
    <n v="0"/>
    <n v="0"/>
    <n v="0"/>
    <n v="0.1580718004719297"/>
    <n v="0"/>
    <n v="0"/>
    <n v="0.91739358443204999"/>
    <n v="0"/>
    <n v="0"/>
    <n v="0"/>
    <n v="6.7058541566834939E-2"/>
    <n v="0"/>
    <n v="0"/>
    <m/>
    <n v="0"/>
    <n v="0"/>
    <n v="0"/>
    <n v="0"/>
    <n v="0"/>
    <n v="-3.9666025352771903E-3"/>
    <n v="0"/>
    <n v="-0.41409201419514241"/>
    <m/>
    <m/>
    <m/>
    <n v="12.52637972361231"/>
    <n v="0"/>
    <n v="0"/>
    <n v="-6.4979999999999976"/>
    <n v="0.8241000000000005"/>
    <n v="0"/>
    <n v="0"/>
    <n v="-6.3985038568832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63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82.757000000000005"/>
    <n v="82.757000000000005"/>
    <n v="82.757000000000005"/>
    <n v="82.757000000000005"/>
    <m/>
    <n v="547.54"/>
    <n v="159.41"/>
    <m/>
    <n v="58505.061150000001"/>
    <n v="58505.061150000001"/>
    <n v="42853.229740000002"/>
    <n v="0"/>
    <n v="0"/>
    <n v="0"/>
    <n v="0"/>
    <n v="0"/>
    <n v="9653.1427800195324"/>
    <n v="34554.853559566138"/>
    <n v="12763.671423026761"/>
    <n v="428.82585618432807"/>
    <n v="0"/>
    <n v="0"/>
    <n v="0"/>
    <n v="0"/>
    <n v="0"/>
    <m/>
    <n v="171.728689919067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2.98362359526163"/>
    <n v="0"/>
    <n v="38.19"/>
    <n v="184.37"/>
    <n v="8540.26"/>
    <n v="299"/>
    <m/>
    <m/>
    <m/>
    <m/>
    <m/>
    <m/>
    <m/>
    <n v="17141.457410000003"/>
    <m/>
    <n v="13696.655046622021"/>
    <m/>
    <m/>
    <m/>
    <m/>
    <m/>
    <m/>
    <m/>
    <m/>
    <m/>
    <m/>
    <m/>
    <m/>
    <n v="25712.704400000002"/>
    <n v="-9390.3622899999973"/>
    <m/>
    <m/>
    <m/>
    <m/>
    <n v="-17925.1662"/>
    <n v="2273.3347899999999"/>
    <n v="29"/>
    <n v="1998.4858546062023"/>
    <n v="0"/>
    <n v="0"/>
    <n v="0"/>
    <n v="0"/>
    <n v="0"/>
    <n v="0"/>
    <n v="0"/>
    <n v="436.05159972185174"/>
    <n v="0"/>
    <n v="0"/>
    <n v="2530.6913622281063"/>
    <n v="0"/>
    <n v="0"/>
    <n v="0"/>
    <n v="184.9854574815522"/>
    <n v="0"/>
    <n v="0"/>
    <m/>
    <n v="0"/>
    <n v="0"/>
    <n v="0"/>
    <n v="0"/>
    <n v="0"/>
    <n v="-10.942137533731142"/>
    <n v="0"/>
    <n v="-1142.30042729158"/>
    <m/>
    <m/>
    <m/>
    <n v="34554.853559566138"/>
    <n v="0"/>
    <n v="0"/>
    <n v="-17925.1662"/>
    <n v="2273.334789999999"/>
    <n v="0"/>
    <n v="0"/>
    <n v="-17650.699456136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64"/>
    <s v="Refaturamento - 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-6.9000000000000006E-2"/>
    <n v="-6.9000000000000006E-2"/>
    <n v="-6.9000000000000006E-2"/>
    <n v="-6.9000000000000006E-2"/>
    <m/>
    <n v="547.54"/>
    <n v="159.41"/>
    <m/>
    <n v="-48.77955"/>
    <n v="-48.77955"/>
    <n v="-35.729580000000006"/>
    <n v="0"/>
    <n v="0"/>
    <n v="0"/>
    <n v="0"/>
    <n v="0"/>
    <n v="-8.0484654086222047"/>
    <n v="-28.810673364308318"/>
    <n v="-10.641919453204521"/>
    <n v="-0.35754055942963903"/>
    <n v="0"/>
    <n v="0"/>
    <n v="0"/>
    <n v="0"/>
    <n v="0"/>
    <m/>
    <n v="-0.143181599193006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77789032985817574"/>
    <n v="0"/>
    <n v="-0.01"/>
    <n v="-0.05"/>
    <n v="-5.09"/>
    <n v="0"/>
    <m/>
    <m/>
    <m/>
    <m/>
    <m/>
    <m/>
    <m/>
    <n v="-14.291970000000001"/>
    <m/>
    <n v="-11.419809783062696"/>
    <m/>
    <m/>
    <m/>
    <m/>
    <m/>
    <m/>
    <m/>
    <m/>
    <m/>
    <m/>
    <m/>
    <m/>
    <n v="-21.748300000000004"/>
    <n v="7.4894299999999916"/>
    <m/>
    <m/>
    <m/>
    <m/>
    <n v="14.945399999999999"/>
    <n v="-1.8954300000000002"/>
    <n v="29"/>
    <n v="-1.6662702124029103"/>
    <n v="0"/>
    <n v="0"/>
    <n v="0"/>
    <n v="0"/>
    <n v="0"/>
    <n v="0"/>
    <n v="0"/>
    <n v="-0.36356514108543969"/>
    <n v="0"/>
    <n v="0"/>
    <n v="-2.1100052441937169"/>
    <n v="0"/>
    <n v="0"/>
    <n v="0"/>
    <n v="-0.15423464560372058"/>
    <n v="0"/>
    <n v="0"/>
    <m/>
    <n v="0"/>
    <n v="0"/>
    <n v="0"/>
    <n v="0"/>
    <n v="0"/>
    <n v="9.1231858311375258E-3"/>
    <n v="0"/>
    <n v="0.95241163264882756"/>
    <m/>
    <m/>
    <m/>
    <n v="-28.810673364308318"/>
    <n v="0"/>
    <n v="0"/>
    <n v="14.945399999999996"/>
    <n v="-1.8954300000000011"/>
    <n v="0"/>
    <n v="0"/>
    <n v="14.71655887083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65"/>
    <s v="Sistema de Compensação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7.0000000000000007E-2"/>
    <n v="7.0000000000000007E-2"/>
    <n v="7.0000000000000007E-2"/>
    <n v="7.0000000000000007E-2"/>
    <m/>
    <n v="547.54"/>
    <n v="159.41"/>
    <m/>
    <n v="49.486500000000007"/>
    <n v="49.486500000000007"/>
    <n v="36.247399999999999"/>
    <n v="0"/>
    <n v="0"/>
    <n v="0"/>
    <n v="0"/>
    <n v="0"/>
    <n v="8.1651098348341211"/>
    <n v="29.228219355095394"/>
    <n v="10.796150169917631"/>
    <n v="0.36272230666774974"/>
    <n v="0"/>
    <n v="0"/>
    <n v="0"/>
    <n v="0"/>
    <n v="0"/>
    <m/>
    <n v="0.14525669483348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8916410275467108"/>
    <n v="0"/>
    <n v="0.03"/>
    <n v="0.16"/>
    <n v="16.57"/>
    <n v="0"/>
    <m/>
    <m/>
    <m/>
    <m/>
    <m/>
    <m/>
    <m/>
    <n v="14.499100000000002"/>
    <m/>
    <n v="11.585314272672303"/>
    <m/>
    <m/>
    <m/>
    <m/>
    <m/>
    <m/>
    <m/>
    <m/>
    <m/>
    <m/>
    <m/>
    <m/>
    <n v="21.748300000000004"/>
    <n v="-7.9736000000000047"/>
    <m/>
    <m/>
    <m/>
    <m/>
    <n v="-15.161999999999999"/>
    <n v="1.9229000000000001"/>
    <n v="29"/>
    <n v="1.6904190560609216"/>
    <n v="0"/>
    <n v="0"/>
    <n v="0"/>
    <n v="0"/>
    <n v="0"/>
    <n v="0"/>
    <n v="0"/>
    <n v="0.36883420110116916"/>
    <n v="0"/>
    <n v="0"/>
    <n v="2.14058503034145"/>
    <n v="0"/>
    <n v="0"/>
    <n v="0"/>
    <n v="0.15646993032261503"/>
    <n v="0"/>
    <n v="0"/>
    <m/>
    <n v="0"/>
    <n v="0"/>
    <n v="0"/>
    <n v="0"/>
    <n v="0"/>
    <n v="-9.255405915646775E-3"/>
    <n v="0"/>
    <n v="-0.9662146997886657"/>
    <m/>
    <m/>
    <m/>
    <n v="29.228219355095394"/>
    <n v="0"/>
    <n v="0"/>
    <n v="-15.162000000000003"/>
    <n v="1.9229000000000003"/>
    <n v="0"/>
    <n v="0"/>
    <n v="-14.929842332727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66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77.433999999999997"/>
    <n v="77.433999999999997"/>
    <n v="77.433999999999997"/>
    <n v="77.433999999999997"/>
    <m/>
    <n v="547.54"/>
    <n v="159.41"/>
    <m/>
    <n v="54741.9663"/>
    <n v="54741.9663"/>
    <n v="40096.873879999999"/>
    <n v="0"/>
    <n v="0"/>
    <n v="0"/>
    <n v="0"/>
    <n v="0"/>
    <n v="9032.2444992935034"/>
    <n v="32332.256250606522"/>
    <n v="11942.701317962881"/>
    <n v="401.24341563586472"/>
    <n v="0"/>
    <n v="0"/>
    <n v="0"/>
    <n v="0"/>
    <n v="0"/>
    <m/>
    <n v="160.6829558248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2.97333046721701"/>
    <n v="0"/>
    <n v="55.38"/>
    <n v="253.1"/>
    <n v="12127.98"/>
    <n v="676"/>
    <m/>
    <m/>
    <m/>
    <m/>
    <m/>
    <m/>
    <m/>
    <n v="4010.3068600000015"/>
    <m/>
    <n v="12815.674648430098"/>
    <m/>
    <m/>
    <m/>
    <m/>
    <m/>
    <m/>
    <m/>
    <m/>
    <m/>
    <m/>
    <m/>
    <m/>
    <n v="36084.702900000004"/>
    <n v="-13183.483939999998"/>
    <m/>
    <m/>
    <m/>
    <m/>
    <n v="-16772.204399999995"/>
    <n v="2127.1119799999997"/>
    <n v="29"/>
    <n v="1869.9415598145897"/>
    <n v="0"/>
    <n v="0"/>
    <n v="0"/>
    <n v="0"/>
    <n v="0"/>
    <n v="0"/>
    <n v="0"/>
    <n v="408.00439325811385"/>
    <n v="0"/>
    <n v="0"/>
    <n v="2367.9151605637126"/>
    <n v="0"/>
    <n v="0"/>
    <n v="0"/>
    <n v="173.08703692287668"/>
    <n v="0"/>
    <n v="0"/>
    <m/>
    <n v="0"/>
    <n v="0"/>
    <n v="0"/>
    <n v="0"/>
    <n v="0"/>
    <n v="-10.238330023888466"/>
    <n v="0"/>
    <n v="-1068.8267009062217"/>
    <m/>
    <m/>
    <m/>
    <n v="32332.256250606522"/>
    <n v="0"/>
    <n v="0"/>
    <n v="-16772.204399999999"/>
    <n v="2127.1119799999997"/>
    <n v="0"/>
    <n v="0"/>
    <n v="-16515.391588463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67"/>
    <s v="Sistema de Compensação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1E-3"/>
    <n v="1E-3"/>
    <n v="1E-3"/>
    <n v="1E-3"/>
    <m/>
    <n v="547.54"/>
    <n v="159.41"/>
    <m/>
    <n v="0.70694999999999997"/>
    <n v="0.70694999999999997"/>
    <n v="0.51781999999999995"/>
    <n v="0"/>
    <n v="0"/>
    <n v="0"/>
    <n v="0"/>
    <n v="0"/>
    <n v="0.11664442621191601"/>
    <n v="0.41754599078707705"/>
    <n v="0.15423071671310901"/>
    <n v="5.1817472381107104E-3"/>
    <n v="0"/>
    <n v="0"/>
    <n v="0"/>
    <n v="0"/>
    <n v="0"/>
    <m/>
    <n v="2.075095640478359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273772896495301E-2"/>
    <n v="0"/>
    <n v="0"/>
    <n v="0"/>
    <n v="35.78"/>
    <n v="0"/>
    <m/>
    <m/>
    <m/>
    <m/>
    <m/>
    <m/>
    <m/>
    <n v="5.1790000000000024E-2"/>
    <m/>
    <n v="0.16550448960960432"/>
    <m/>
    <m/>
    <m/>
    <m/>
    <m/>
    <m/>
    <m/>
    <m/>
    <m/>
    <m/>
    <m/>
    <m/>
    <n v="0"/>
    <n v="-0.66625999999999996"/>
    <m/>
    <m/>
    <m/>
    <m/>
    <n v="-0.21659999999999996"/>
    <n v="2.7469999999999998E-2"/>
    <n v="29"/>
    <n v="2.4148843658013064E-2"/>
    <n v="0"/>
    <n v="0"/>
    <n v="0"/>
    <n v="0"/>
    <n v="0"/>
    <n v="0"/>
    <n v="0"/>
    <n v="5.2690600157309919E-3"/>
    <n v="0"/>
    <n v="0"/>
    <n v="3.0579786147734989E-2"/>
    <n v="0"/>
    <n v="0"/>
    <n v="0"/>
    <n v="2.2352847188944983E-3"/>
    <n v="0"/>
    <n v="0"/>
    <m/>
    <n v="0"/>
    <n v="0"/>
    <n v="0"/>
    <n v="0"/>
    <n v="0"/>
    <n v="-1.3222008450923983E-4"/>
    <n v="0"/>
    <n v="-1.3803067139838081E-2"/>
    <m/>
    <m/>
    <m/>
    <n v="0.41754599078707705"/>
    <n v="0"/>
    <n v="0"/>
    <n v="-0.21660000000000001"/>
    <n v="2.7469999999999994E-2"/>
    <n v="0"/>
    <n v="0"/>
    <n v="-0.2132834618961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68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26.314"/>
    <n v="26.314"/>
    <n v="26.314"/>
    <n v="26.314"/>
    <m/>
    <n v="547.54"/>
    <n v="159.41"/>
    <m/>
    <n v="18602.6823"/>
    <n v="18602.6823"/>
    <n v="13625.91548"/>
    <n v="0"/>
    <n v="0"/>
    <n v="0"/>
    <n v="0"/>
    <n v="0"/>
    <n v="3069.3814313403577"/>
    <n v="10987.305201571146"/>
    <n v="4058.4270795887501"/>
    <n v="136.35249682364523"/>
    <n v="0"/>
    <n v="0"/>
    <n v="0"/>
    <n v="0"/>
    <n v="0"/>
    <m/>
    <n v="54.604066683547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6.65805999837733"/>
    <n v="0"/>
    <n v="20.09"/>
    <n v="95.76"/>
    <n v="4578.97"/>
    <n v="329"/>
    <m/>
    <m/>
    <m/>
    <m/>
    <m/>
    <m/>
    <m/>
    <m/>
    <m/>
    <n v="4355.0851395871277"/>
    <m/>
    <m/>
    <m/>
    <m/>
    <m/>
    <m/>
    <m/>
    <m/>
    <m/>
    <m/>
    <m/>
    <m/>
    <n v="13623.8442"/>
    <n v="-4978.8680999999997"/>
    <m/>
    <m/>
    <m/>
    <m/>
    <n v="-5699.6123999999991"/>
    <n v="722.84557999999993"/>
    <n v="29"/>
    <n v="635.45267201695879"/>
    <n v="0"/>
    <n v="0"/>
    <n v="0"/>
    <n v="0"/>
    <n v="0"/>
    <n v="0"/>
    <n v="0"/>
    <n v="138.65004525394534"/>
    <n v="0"/>
    <n v="0"/>
    <n v="804.67649269149888"/>
    <n v="0"/>
    <n v="0"/>
    <n v="0"/>
    <n v="58.819282092989852"/>
    <n v="0"/>
    <n v="0"/>
    <m/>
    <n v="0"/>
    <n v="0"/>
    <n v="0"/>
    <n v="0"/>
    <n v="0"/>
    <n v="-3.4792393037761329"/>
    <n v="0"/>
    <n v="-363.21390871769927"/>
    <m/>
    <m/>
    <m/>
    <n v="10987.305201571146"/>
    <n v="0"/>
    <n v="0"/>
    <n v="-5699.6124"/>
    <n v="722.84557999999925"/>
    <n v="0"/>
    <n v="0"/>
    <n v="-5612.3410163342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69"/>
    <s v="Sistema de Compensação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2.22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470"/>
    <s v="Regular"/>
    <s v="Convencional"/>
    <s v="B3"/>
    <s v="Industrial"/>
    <s v="Não se aplica"/>
    <s v="Não se aplica"/>
    <s v="Não se aplica"/>
    <s v="Não se aplica"/>
    <s v="CATIVO"/>
    <x v="7"/>
    <n v="0"/>
    <n v="0"/>
    <n v="110.893"/>
    <n v="110.893"/>
    <n v="110.893"/>
    <n v="110.893"/>
    <m/>
    <n v="648.44000000000005"/>
    <n v="159.41"/>
    <m/>
    <n v="89584.910050000006"/>
    <n v="89584.910050000006"/>
    <n v="67846.555259999994"/>
    <n v="0"/>
    <n v="6872.0670031133332"/>
    <n v="0"/>
    <n v="0"/>
    <n v="0"/>
    <n v="12935.050355918002"/>
    <n v="46302.927556351329"/>
    <n v="17103.106868466795"/>
    <n v="574.61949647581105"/>
    <n v="0"/>
    <n v="0"/>
    <n v="0"/>
    <n v="0"/>
    <n v="1061.9175060098471"/>
    <m/>
    <n v="230.113580859566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0.1824978110533"/>
    <n v="0"/>
    <n v="134.52000000000001"/>
    <n v="581.69000000000005"/>
    <n v="17267.41"/>
    <n v="86"/>
    <m/>
    <m/>
    <m/>
    <m/>
    <m/>
    <m/>
    <m/>
    <m/>
    <m/>
    <n v="18353.289366277848"/>
    <m/>
    <m/>
    <m/>
    <m/>
    <m/>
    <m/>
    <m/>
    <m/>
    <m/>
    <m/>
    <m/>
    <m/>
    <n v="67844.719799999992"/>
    <n v="-21740.220249999998"/>
    <m/>
    <m/>
    <m/>
    <m/>
    <n v="-24784.585500000005"/>
    <n v="3046.2307099999998"/>
    <n v="29"/>
    <n v="1913.3498198104062"/>
    <n v="0"/>
    <n v="0"/>
    <n v="0"/>
    <n v="0"/>
    <n v="0"/>
    <n v="0"/>
    <n v="0"/>
    <n v="584.30187232445678"/>
    <n v="0"/>
    <n v="0"/>
    <n v="3391.0842252807779"/>
    <n v="0"/>
    <n v="0"/>
    <n v="0"/>
    <n v="247.8774283323678"/>
    <n v="0"/>
    <n v="-481.33312974498403"/>
    <m/>
    <n v="0"/>
    <n v="0"/>
    <n v="0"/>
    <n v="0"/>
    <n v="-64.789049212044119"/>
    <n v="-14.662281831483142"/>
    <n v="0"/>
    <n v="-1749.1292453386868"/>
    <m/>
    <m/>
    <m/>
    <n v="46302.927556351329"/>
    <n v="0"/>
    <n v="0"/>
    <n v="-24784.585500000008"/>
    <n v="3046.2307099999998"/>
    <n v="0"/>
    <n v="0"/>
    <n v="-23651.642940045214"/>
    <n v="0"/>
    <n v="0"/>
    <n v="0"/>
    <n v="0"/>
    <n v="0"/>
    <n v="0"/>
    <n v="0"/>
    <n v="0"/>
    <n v="0"/>
    <n v="0"/>
    <n v="0"/>
    <n v="0"/>
    <n v="3255.175269620155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71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2.2269999999999999"/>
    <n v="2.2269999999999999"/>
    <n v="2.2269999999999999"/>
    <n v="2.2269999999999999"/>
    <m/>
    <n v="648.44000000000005"/>
    <n v="159.41"/>
    <m/>
    <n v="1799.08195"/>
    <n v="1799.08195"/>
    <n v="1362.5231399999998"/>
    <n v="0"/>
    <n v="138.00774815302492"/>
    <n v="0"/>
    <n v="0"/>
    <n v="0"/>
    <n v="259.76713717393693"/>
    <n v="929.87492148282047"/>
    <n v="343.47180612009367"/>
    <n v="11.539751099272552"/>
    <n v="0"/>
    <n v="0"/>
    <n v="0"/>
    <n v="0"/>
    <n v="21.325875266102724"/>
    <m/>
    <n v="4.621237991345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106692240495033"/>
    <n v="0"/>
    <n v="2.67"/>
    <n v="11.6"/>
    <n v="3253.42"/>
    <n v="20"/>
    <m/>
    <m/>
    <m/>
    <m/>
    <m/>
    <m/>
    <m/>
    <m/>
    <m/>
    <n v="368.5784983605887"/>
    <m/>
    <m/>
    <m/>
    <m/>
    <m/>
    <m/>
    <m/>
    <m/>
    <m/>
    <m/>
    <m/>
    <m/>
    <n v="1364.3586"/>
    <n v="-434.75334999999995"/>
    <m/>
    <m/>
    <m/>
    <m/>
    <n v="-497.73450000000008"/>
    <n v="61.175689999999996"/>
    <n v="29"/>
    <n v="38.424698120871199"/>
    <n v="0"/>
    <n v="0"/>
    <n v="0"/>
    <n v="0"/>
    <n v="0"/>
    <n v="0"/>
    <n v="0"/>
    <n v="11.734196655032918"/>
    <n v="0"/>
    <n v="0"/>
    <n v="68.101183751005863"/>
    <n v="0"/>
    <n v="0"/>
    <n v="0"/>
    <n v="4.9779790689780512"/>
    <n v="0"/>
    <n v="-9.6663349349560406"/>
    <m/>
    <n v="0"/>
    <n v="0"/>
    <n v="0"/>
    <n v="0"/>
    <n v="-1.3011210139072986"/>
    <n v="-0.29445412820207739"/>
    <n v="0"/>
    <n v="-35.12675127708021"/>
    <m/>
    <m/>
    <m/>
    <n v="929.87492148282047"/>
    <n v="0"/>
    <n v="0"/>
    <n v="-497.73450000000014"/>
    <n v="61.175689999999975"/>
    <n v="0"/>
    <n v="0"/>
    <n v="-474.98226964263472"/>
    <n v="0"/>
    <n v="0"/>
    <n v="0"/>
    <n v="0"/>
    <n v="0"/>
    <n v="0"/>
    <n v="0"/>
    <n v="0"/>
    <n v="0"/>
    <n v="0"/>
    <n v="0"/>
    <n v="0"/>
    <n v="65.37180277784969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72"/>
    <s v="Regular"/>
    <s v="Verde"/>
    <s v="A4"/>
    <s v="Industrial"/>
    <s v="Não se aplica"/>
    <s v="Não se aplica"/>
    <s v="Não se aplica"/>
    <s v="Ponta"/>
    <s v="CATIVO"/>
    <x v="7"/>
    <n v="0"/>
    <n v="0"/>
    <n v="14.005000000000001"/>
    <n v="14.005000000000001"/>
    <n v="14.005000000000001"/>
    <n v="14.005000000000001"/>
    <m/>
    <n v="2810.7"/>
    <n v="159.41"/>
    <m/>
    <n v="41596.390549999996"/>
    <n v="41596.390549999996"/>
    <n v="26493.118450000002"/>
    <n v="0"/>
    <n v="755.06722326372176"/>
    <n v="0"/>
    <n v="0"/>
    <n v="0"/>
    <n v="8550.2708853804961"/>
    <n v="29478.969101793475"/>
    <n v="2160.0011875670916"/>
    <n v="72.570370069740505"/>
    <n v="0"/>
    <n v="0"/>
    <n v="0"/>
    <n v="0"/>
    <n v="134.11265518714356"/>
    <m/>
    <n v="15.0376360402715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684190396952332"/>
    <n v="0"/>
    <n v="0"/>
    <n v="0"/>
    <n v="0"/>
    <n v="0"/>
    <m/>
    <m/>
    <m/>
    <m/>
    <m/>
    <m/>
    <m/>
    <m/>
    <m/>
    <n v="2232.6853779640442"/>
    <m/>
    <m/>
    <m/>
    <m/>
    <m/>
    <m/>
    <m/>
    <m/>
    <m/>
    <m/>
    <m/>
    <m/>
    <n v="26502.5769"/>
    <n v="-15093.843650000003"/>
    <m/>
    <m/>
    <m/>
    <m/>
    <n v="-15487.989449999999"/>
    <n v="384.71735000000001"/>
    <n v="29"/>
    <n v="-45.272520914149936"/>
    <n v="0"/>
    <n v="0"/>
    <n v="0"/>
    <n v="0"/>
    <n v="0"/>
    <n v="0"/>
    <n v="0"/>
    <n v="386.23268945554264"/>
    <n v="0"/>
    <n v="0"/>
    <n v="428.26990499902877"/>
    <n v="0"/>
    <n v="0"/>
    <n v="0"/>
    <n v="14.411312130478763"/>
    <n v="0"/>
    <n v="-52.886397873701185"/>
    <m/>
    <n v="0"/>
    <n v="0"/>
    <n v="0"/>
    <n v="0"/>
    <n v="-8.1823977547246329"/>
    <n v="-0.9581618645805694"/>
    <n v="0"/>
    <n v="-812.15947000619337"/>
    <m/>
    <m/>
    <m/>
    <n v="29478.969101793475"/>
    <n v="0"/>
    <n v="0"/>
    <n v="-15487.989449999997"/>
    <n v="384.71735000000035"/>
    <n v="0"/>
    <n v="0"/>
    <n v="-15057.925885738148"/>
    <n v="0"/>
    <n v="0"/>
    <n v="0"/>
    <n v="0"/>
    <n v="0"/>
    <n v="0"/>
    <n v="0"/>
    <n v="0"/>
    <n v="0"/>
    <n v="0"/>
    <n v="0"/>
    <n v="0"/>
    <n v="357.6618433660945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73"/>
    <s v="Regular"/>
    <s v="Verde"/>
    <s v="A4"/>
    <s v="Industrial"/>
    <s v="Não se aplica"/>
    <s v="Não se aplica"/>
    <s v="Não se aplica"/>
    <s v="Fora ponta"/>
    <s v="CATIVO"/>
    <x v="7"/>
    <n v="0"/>
    <n v="0"/>
    <n v="481.31299999999999"/>
    <n v="481.31299999999999"/>
    <n v="481.31299999999999"/>
    <n v="481.31299999999999"/>
    <m/>
    <n v="95.29"/>
    <n v="159.41"/>
    <m/>
    <n v="122590.42109999999"/>
    <n v="122590.42109999999"/>
    <n v="133280.38282999999"/>
    <n v="0"/>
    <n v="25949.565900087946"/>
    <n v="0"/>
    <n v="0"/>
    <n v="0"/>
    <n v="0"/>
    <n v="0"/>
    <n v="74233.248953336632"/>
    <n v="2494.0423084167801"/>
    <n v="0"/>
    <n v="0"/>
    <n v="0"/>
    <n v="0"/>
    <n v="4609.0799290317473"/>
    <m/>
    <n v="516.80183616217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97.9539973244064"/>
    <n v="0"/>
    <n v="0"/>
    <n v="0"/>
    <n v="0"/>
    <n v="0"/>
    <m/>
    <m/>
    <m/>
    <m/>
    <m/>
    <m/>
    <m/>
    <m/>
    <m/>
    <n v="76731.202950661042"/>
    <m/>
    <m/>
    <m/>
    <m/>
    <m/>
    <m/>
    <m/>
    <m/>
    <m/>
    <m/>
    <m/>
    <m/>
    <n v="133279.5521"/>
    <n v="10689.10100000001"/>
    <m/>
    <m/>
    <m/>
    <m/>
    <n v="-2531.7063800000024"/>
    <n v="13221.668109999999"/>
    <n v="29"/>
    <n v="10688.44040048217"/>
    <n v="0"/>
    <n v="0"/>
    <n v="0"/>
    <n v="0"/>
    <n v="0"/>
    <n v="0"/>
    <n v="0"/>
    <n v="0"/>
    <n v="0"/>
    <n v="0"/>
    <n v="14718.448610124775"/>
    <n v="0"/>
    <n v="0"/>
    <n v="0"/>
    <n v="495.27682081093371"/>
    <n v="0"/>
    <n v="-1817.5587875604942"/>
    <m/>
    <n v="0"/>
    <n v="0"/>
    <n v="0"/>
    <n v="0"/>
    <n v="-281.20631278256133"/>
    <n v="-32.929365335727766"/>
    <n v="0"/>
    <n v="-2393.5905647747509"/>
    <m/>
    <m/>
    <m/>
    <n v="0"/>
    <n v="0"/>
    <n v="0"/>
    <n v="-2531.7063800000033"/>
    <n v="13221.668109999999"/>
    <n v="0"/>
    <n v="0"/>
    <n v="0"/>
    <n v="0"/>
    <n v="0"/>
    <n v="0"/>
    <n v="0"/>
    <n v="0"/>
    <n v="0"/>
    <n v="0"/>
    <n v="0"/>
    <n v="0"/>
    <n v="0"/>
    <n v="0"/>
    <n v="0"/>
    <n v="12291.84539921921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74"/>
    <s v="Regular"/>
    <s v="Verde"/>
    <s v="A4"/>
    <s v="Industrial"/>
    <s v="Não se aplica"/>
    <s v="Não se aplica"/>
    <s v="Não se aplica"/>
    <s v="Não se aplica"/>
    <s v="CATIVO"/>
    <x v="7"/>
    <n v="2270"/>
    <n v="2270"/>
    <n v="0"/>
    <n v="0"/>
    <n v="0"/>
    <n v="0"/>
    <n v="43.29"/>
    <m/>
    <m/>
    <n v="98268.3"/>
    <m/>
    <n v="98268.3"/>
    <n v="76022.3"/>
    <n v="0"/>
    <n v="0"/>
    <n v="0"/>
    <n v="0"/>
    <n v="0"/>
    <n v="53717.250849654265"/>
    <n v="44558.2547269235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98.47"/>
    <n v="2150.0100000000002"/>
    <n v="61952.09"/>
    <n v="13"/>
    <m/>
    <m/>
    <m/>
    <m/>
    <m/>
    <m/>
    <m/>
    <m/>
    <m/>
    <n v="0"/>
    <m/>
    <m/>
    <m/>
    <m/>
    <m/>
    <m/>
    <m/>
    <m/>
    <m/>
    <m/>
    <m/>
    <m/>
    <n v="76022.3"/>
    <n v="-22246.029999999984"/>
    <m/>
    <m/>
    <m/>
    <m/>
    <n v="-22245.999999999993"/>
    <n v="0"/>
    <n v="29"/>
    <n v="507.70852963728248"/>
    <n v="0"/>
    <n v="0"/>
    <n v="0"/>
    <n v="0"/>
    <m/>
    <m/>
    <m/>
    <n v="2426.5147319828029"/>
    <n v="0"/>
    <n v="0"/>
    <m/>
    <m/>
    <n v="0"/>
    <n v="0"/>
    <n v="0"/>
    <n v="0"/>
    <n v="0"/>
    <m/>
    <n v="0"/>
    <n v="0"/>
    <m/>
    <n v="0"/>
    <n v="0"/>
    <n v="0"/>
    <n v="0"/>
    <n v="-1918.8062023455232"/>
    <m/>
    <m/>
    <n v="44558.254726923529"/>
    <m/>
    <n v="0"/>
    <n v="0"/>
    <n v="-22246"/>
    <m/>
    <n v="0"/>
    <m/>
    <n v="-22760.4600065556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75"/>
    <s v="Regular"/>
    <s v="Convencional"/>
    <s v="B3"/>
    <s v="Comercial"/>
    <s v="Não se aplica"/>
    <s v="Não se aplica"/>
    <s v="Não se aplica"/>
    <s v="Não se aplica"/>
    <s v="CATIVO"/>
    <x v="7"/>
    <n v="0"/>
    <n v="0"/>
    <n v="887.71100000000001"/>
    <n v="887.71100000000001"/>
    <n v="887.71100000000001"/>
    <n v="887.71100000000001"/>
    <m/>
    <n v="648.44000000000005"/>
    <n v="159.41"/>
    <m/>
    <n v="717137.33135000011"/>
    <n v="717137.33135000011"/>
    <n v="543119.34401999996"/>
    <n v="0"/>
    <n v="55011.67315701388"/>
    <n v="0"/>
    <n v="0"/>
    <n v="0"/>
    <n v="103546.54023700616"/>
    <n v="370660.16902758693"/>
    <n v="136912.30376411069"/>
    <n v="4599.8940224904973"/>
    <n v="0"/>
    <n v="0"/>
    <n v="0"/>
    <n v="0"/>
    <n v="8500.7696714626472"/>
    <m/>
    <n v="1842.0852261046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07.852211720739"/>
    <n v="0"/>
    <n v="1072.17"/>
    <n v="4656.8999999999996"/>
    <n v="224953.43"/>
    <n v="1548"/>
    <m/>
    <m/>
    <m/>
    <m/>
    <m/>
    <m/>
    <m/>
    <m/>
    <m/>
    <n v="146920.15597583144"/>
    <m/>
    <m/>
    <m/>
    <m/>
    <m/>
    <m/>
    <m/>
    <m/>
    <m/>
    <m/>
    <m/>
    <m/>
    <n v="543118.73220000009"/>
    <n v="-174018.62915000005"/>
    <m/>
    <m/>
    <m/>
    <m/>
    <n v="-198403.40850000005"/>
    <n v="24385.421169999998"/>
    <n v="29"/>
    <n v="15316.58158669807"/>
    <n v="0"/>
    <n v="0"/>
    <n v="0"/>
    <n v="0"/>
    <n v="0"/>
    <n v="0"/>
    <n v="0"/>
    <n v="4677.4025356245838"/>
    <n v="0"/>
    <n v="0"/>
    <n v="27146.012540992"/>
    <n v="0"/>
    <n v="0"/>
    <n v="0"/>
    <n v="1984.2868330945548"/>
    <n v="0"/>
    <n v="-3853.1261120093186"/>
    <m/>
    <n v="0"/>
    <n v="0"/>
    <n v="0"/>
    <n v="0"/>
    <n v="-518.64366249513387"/>
    <n v="-117.37322343978167"/>
    <n v="0"/>
    <n v="-14001.97732506877"/>
    <m/>
    <m/>
    <m/>
    <n v="370660.16902758693"/>
    <n v="0"/>
    <n v="0"/>
    <n v="-198403.40850000008"/>
    <n v="24385.421170000016"/>
    <n v="0"/>
    <n v="0"/>
    <n v="-189334.07524325681"/>
    <n v="0"/>
    <n v="0"/>
    <n v="0"/>
    <n v="0"/>
    <n v="0"/>
    <n v="0"/>
    <n v="0"/>
    <n v="0"/>
    <n v="0"/>
    <n v="0"/>
    <n v="0"/>
    <n v="0"/>
    <n v="26058.04598820284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76"/>
    <s v="Refaturamento - Regular"/>
    <s v="Convencional"/>
    <s v="B3"/>
    <s v="Comercial"/>
    <s v="Não se aplica"/>
    <s v="Não se aplica"/>
    <s v="Não se aplica"/>
    <s v="Não se aplica"/>
    <s v="CATIVO"/>
    <x v="7"/>
    <n v="0"/>
    <n v="0"/>
    <n v="-0.127"/>
    <n v="-0.127"/>
    <n v="-0.127"/>
    <n v="-0.127"/>
    <m/>
    <n v="648.44000000000005"/>
    <n v="159.41"/>
    <m/>
    <n v="-102.59695000000001"/>
    <n v="-102.59695000000001"/>
    <n v="-77.701139999999995"/>
    <n v="0"/>
    <n v="-7.8702218300108511"/>
    <n v="0"/>
    <n v="0"/>
    <n v="0"/>
    <n v="-14.813842128913333"/>
    <n v="-53.028340829958779"/>
    <n v="-19.587301022564841"/>
    <n v="-0.65808189924006022"/>
    <n v="0"/>
    <n v="0"/>
    <n v="0"/>
    <n v="0"/>
    <n v="-1.2161590295442506"/>
    <m/>
    <n v="-0.2635371463407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4317691578549032"/>
    <n v="0"/>
    <n v="-7.0000000000000007E-2"/>
    <n v="-0.38"/>
    <n v="-32.06"/>
    <n v="0"/>
    <m/>
    <m/>
    <m/>
    <m/>
    <m/>
    <m/>
    <m/>
    <m/>
    <m/>
    <n v="-21.019070180419742"/>
    <m/>
    <m/>
    <m/>
    <m/>
    <m/>
    <m/>
    <m/>
    <m/>
    <m/>
    <m/>
    <m/>
    <m/>
    <n v="-79.536600000000007"/>
    <n v="23.030349999999984"/>
    <m/>
    <m/>
    <m/>
    <m/>
    <n v="28.384500000000006"/>
    <n v="-3.4886900000000001"/>
    <n v="29"/>
    <n v="-2.1912602879886052"/>
    <n v="0"/>
    <n v="0"/>
    <n v="0"/>
    <n v="0"/>
    <n v="0"/>
    <n v="0"/>
    <n v="0"/>
    <n v="-0.66917062199783572"/>
    <n v="0"/>
    <n v="0"/>
    <n v="-3.8836328407623455"/>
    <n v="0"/>
    <n v="0"/>
    <n v="0"/>
    <n v="-0.28388115929960134"/>
    <n v="0"/>
    <n v="0.55124586292744304"/>
    <m/>
    <n v="0"/>
    <n v="0"/>
    <n v="0"/>
    <n v="0"/>
    <n v="7.4199536940380284E-2"/>
    <n v="1.679195073267345E-2"/>
    <n v="0"/>
    <n v="2.0031869834706724"/>
    <m/>
    <m/>
    <m/>
    <n v="-53.028340829958779"/>
    <n v="0"/>
    <n v="0"/>
    <n v="28.38450000000001"/>
    <n v="-3.4886900000000018"/>
    <n v="0"/>
    <n v="0"/>
    <n v="27.086999660805841"/>
    <n v="0"/>
    <n v="0"/>
    <n v="0"/>
    <n v="0"/>
    <n v="0"/>
    <n v="0"/>
    <n v="0"/>
    <n v="0"/>
    <n v="0"/>
    <n v="0"/>
    <n v="0"/>
    <n v="0"/>
    <n v="-3.727983364520391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77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68.165000000000006"/>
    <n v="68.165000000000006"/>
    <n v="68.165000000000006"/>
    <n v="68.165000000000006"/>
    <m/>
    <n v="648.44000000000005"/>
    <n v="159.41"/>
    <m/>
    <n v="55067.095250000013"/>
    <n v="55067.095250000013"/>
    <n v="41704.710300000006"/>
    <n v="0"/>
    <n v="4224.2021341944073"/>
    <n v="0"/>
    <n v="0"/>
    <n v="0"/>
    <n v="7951.0673127352547"/>
    <n v="28462.022462001107"/>
    <n v="10513.136804749076"/>
    <n v="353.21380048581659"/>
    <n v="0"/>
    <n v="0"/>
    <n v="0"/>
    <n v="0"/>
    <n v="652.75181298333735"/>
    <m/>
    <n v="141.44889433320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8.47672948960223"/>
    <n v="0"/>
    <n v="82.58"/>
    <n v="357.32"/>
    <n v="36688.839999999997"/>
    <n v="125"/>
    <m/>
    <m/>
    <m/>
    <m/>
    <m/>
    <m/>
    <m/>
    <m/>
    <m/>
    <n v="11281.613534238679"/>
    <m/>
    <m/>
    <m/>
    <m/>
    <m/>
    <m/>
    <m/>
    <m/>
    <m/>
    <m/>
    <m/>
    <m/>
    <n v="41707.769400000005"/>
    <n v="-13359.355850000014"/>
    <m/>
    <m/>
    <m/>
    <m/>
    <n v="-15234.877500000006"/>
    <n v="1872.4925500000002"/>
    <n v="29"/>
    <n v="1176.1201380373604"/>
    <n v="0"/>
    <n v="0"/>
    <n v="0"/>
    <n v="0"/>
    <n v="0"/>
    <n v="0"/>
    <n v="0"/>
    <n v="359.16547597230419"/>
    <n v="0"/>
    <n v="0"/>
    <n v="2084.4711227603566"/>
    <n v="0"/>
    <n v="0"/>
    <n v="0"/>
    <n v="152.36818286344351"/>
    <n v="0"/>
    <n v="-295.87145075944227"/>
    <m/>
    <n v="0"/>
    <n v="0"/>
    <n v="0"/>
    <n v="0"/>
    <n v="-39.825286894023861"/>
    <n v="-9.0127820605723343"/>
    <n v="0"/>
    <n v="-1075.1751238447116"/>
    <m/>
    <m/>
    <m/>
    <n v="28462.022462001107"/>
    <n v="0"/>
    <n v="0"/>
    <n v="-15234.87750000001"/>
    <n v="1872.4925500000008"/>
    <n v="0"/>
    <n v="0"/>
    <n v="-14538.467180148271"/>
    <n v="0"/>
    <n v="0"/>
    <n v="0"/>
    <n v="0"/>
    <n v="0"/>
    <n v="0"/>
    <n v="0"/>
    <n v="0"/>
    <n v="0"/>
    <n v="0"/>
    <n v="0"/>
    <n v="0"/>
    <n v="2000.929023956948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78"/>
    <s v="Regular"/>
    <s v="Verde"/>
    <s v="A4"/>
    <s v="Comercial"/>
    <s v="Não se aplica"/>
    <s v="Não se aplica"/>
    <s v="Não se aplica"/>
    <s v="Ponta"/>
    <s v="CATIVO"/>
    <x v="7"/>
    <n v="0"/>
    <n v="0"/>
    <n v="9.1259999999999994"/>
    <n v="9.1259999999999994"/>
    <n v="9.1259999999999994"/>
    <n v="9.1259999999999994"/>
    <m/>
    <n v="2810.7"/>
    <n v="159.41"/>
    <m/>
    <n v="27105.223859999995"/>
    <n v="27105.223859999995"/>
    <n v="17263.562939999996"/>
    <n v="0"/>
    <n v="492.02024130701346"/>
    <n v="0"/>
    <n v="0"/>
    <n v="0"/>
    <n v="5571.5653052468688"/>
    <n v="19209.216138733824"/>
    <n v="1407.5095207238326"/>
    <n v="47.28862529499834"/>
    <n v="0"/>
    <n v="0"/>
    <n v="0"/>
    <n v="0"/>
    <n v="87.391081130872678"/>
    <m/>
    <n v="9.79889086065818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36279339968489"/>
    <n v="0"/>
    <n v="0"/>
    <n v="0"/>
    <n v="0"/>
    <n v="0"/>
    <m/>
    <m/>
    <m/>
    <m/>
    <m/>
    <m/>
    <m/>
    <m/>
    <m/>
    <n v="1454.8723141235175"/>
    <m/>
    <m/>
    <m/>
    <m/>
    <m/>
    <m/>
    <m/>
    <m/>
    <m/>
    <m/>
    <m/>
    <m/>
    <n v="17271.129700000001"/>
    <n v="-9834.1241599999885"/>
    <m/>
    <m/>
    <m/>
    <m/>
    <n v="-10092.352139999999"/>
    <n v="250.69121999999999"/>
    <n v="29"/>
    <n v="-29.500680175832713"/>
    <n v="0"/>
    <n v="0"/>
    <n v="0"/>
    <n v="0"/>
    <n v="0"/>
    <n v="0"/>
    <n v="0"/>
    <n v="251.67865219359373"/>
    <n v="0"/>
    <n v="0"/>
    <n v="279.07112838422972"/>
    <n v="0"/>
    <n v="0"/>
    <n v="0"/>
    <n v="9.3907629063012621"/>
    <n v="0"/>
    <n v="-34.462068332409615"/>
    <m/>
    <n v="0"/>
    <n v="0"/>
    <n v="0"/>
    <n v="0"/>
    <n v="-5.331850189904813"/>
    <n v="-0.62436166912975999"/>
    <n v="0"/>
    <n v="-529.22294346851265"/>
    <m/>
    <m/>
    <m/>
    <n v="19209.216138733824"/>
    <n v="0"/>
    <n v="0"/>
    <n v="-10092.352139999997"/>
    <n v="250.69122000000016"/>
    <n v="0"/>
    <n v="0"/>
    <n v="-9812.112219439221"/>
    <n v="0"/>
    <n v="0"/>
    <n v="0"/>
    <n v="0"/>
    <n v="0"/>
    <n v="0"/>
    <n v="0"/>
    <n v="0"/>
    <n v="0"/>
    <n v="0"/>
    <n v="0"/>
    <n v="0"/>
    <n v="233.0611911859320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79"/>
    <s v="Sistema de Compensação"/>
    <s v="Verde"/>
    <s v="A4"/>
    <s v="Comercial"/>
    <s v="Não se aplica"/>
    <s v="Não se aplica"/>
    <s v="Não se aplica"/>
    <s v="Ponta"/>
    <s v="CATIVO"/>
    <x v="7"/>
    <n v="0"/>
    <n v="0"/>
    <n v="5.17"/>
    <n v="5.17"/>
    <n v="5.17"/>
    <n v="5.17"/>
    <m/>
    <n v="2810.7"/>
    <n v="159.41"/>
    <m/>
    <n v="15355.468699999999"/>
    <n v="15355.468699999999"/>
    <n v="9780.0372999999981"/>
    <n v="0"/>
    <n v="278.73599030870696"/>
    <n v="0"/>
    <n v="0"/>
    <n v="0"/>
    <n v="3156.365617809151"/>
    <n v="10882.275634150106"/>
    <n v="797.37280540677352"/>
    <n v="26.789633221032371"/>
    <n v="0"/>
    <n v="0"/>
    <n v="0"/>
    <n v="0"/>
    <n v="49.508206163336816"/>
    <m/>
    <n v="5.5512015943023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831650435718924"/>
    <n v="0"/>
    <n v="0"/>
    <n v="0"/>
    <n v="0"/>
    <n v="0"/>
    <m/>
    <m/>
    <m/>
    <m/>
    <m/>
    <m/>
    <m/>
    <m/>
    <m/>
    <n v="824.20445584249239"/>
    <m/>
    <m/>
    <m/>
    <m/>
    <m/>
    <m/>
    <m/>
    <m/>
    <m/>
    <m/>
    <m/>
    <m/>
    <n v="9780.0372999999981"/>
    <n v="-5575.461400000002"/>
    <m/>
    <m/>
    <m/>
    <m/>
    <n v="-5717.4512999999988"/>
    <n v="142.01989999999998"/>
    <n v="29"/>
    <n v="-16.712526463845279"/>
    <n v="0"/>
    <n v="0"/>
    <n v="0"/>
    <n v="0"/>
    <n v="0"/>
    <n v="0"/>
    <n v="0"/>
    <n v="142.57929342985744"/>
    <n v="0"/>
    <n v="0"/>
    <n v="158.09749438378992"/>
    <n v="0"/>
    <n v="0"/>
    <n v="0"/>
    <n v="5.3199916968636352"/>
    <n v="0"/>
    <n v="-19.523218636703632"/>
    <m/>
    <n v="0"/>
    <n v="0"/>
    <n v="0"/>
    <n v="0"/>
    <n v="-3.0205638266280843"/>
    <n v="-0.35370916386158857"/>
    <n v="0"/>
    <n v="-299.81181434716314"/>
    <m/>
    <m/>
    <m/>
    <n v="10882.275634150106"/>
    <n v="0"/>
    <n v="0"/>
    <n v="-5717.4513000000006"/>
    <n v="142.01990000000001"/>
    <n v="0"/>
    <n v="0"/>
    <n v="-5558.6916693513886"/>
    <n v="0"/>
    <n v="0"/>
    <n v="0"/>
    <n v="0"/>
    <n v="0"/>
    <n v="0"/>
    <n v="0"/>
    <n v="0"/>
    <n v="0"/>
    <n v="0"/>
    <n v="0"/>
    <n v="0"/>
    <n v="132.0322549234351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80"/>
    <s v="Regular"/>
    <s v="Verde"/>
    <s v="A4"/>
    <s v="Comercial"/>
    <s v="Não se aplica"/>
    <s v="Não se aplica"/>
    <s v="Não se aplica"/>
    <s v="Fora ponta"/>
    <s v="CATIVO"/>
    <x v="7"/>
    <n v="0"/>
    <n v="0"/>
    <n v="130.99700000000001"/>
    <n v="130.99700000000001"/>
    <n v="130.99700000000001"/>
    <n v="130.99700000000001"/>
    <m/>
    <n v="95.29"/>
    <n v="159.41"/>
    <m/>
    <n v="33364.935900000004"/>
    <n v="33364.935900000004"/>
    <n v="36274.379270000005"/>
    <n v="0"/>
    <n v="7062.5877219477161"/>
    <n v="0"/>
    <n v="0"/>
    <n v="0"/>
    <n v="0"/>
    <n v="0"/>
    <n v="20203.76119726714"/>
    <n v="678.79334295078877"/>
    <n v="0"/>
    <n v="0"/>
    <n v="0"/>
    <n v="0"/>
    <n v="1254.4345227811671"/>
    <m/>
    <n v="140.65585207907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9.85797139804106"/>
    <n v="0"/>
    <n v="0"/>
    <n v="0"/>
    <n v="0"/>
    <n v="0"/>
    <m/>
    <m/>
    <m/>
    <m/>
    <m/>
    <m/>
    <m/>
    <m/>
    <m/>
    <n v="20883.61916866518"/>
    <m/>
    <m/>
    <m/>
    <m/>
    <m/>
    <m/>
    <m/>
    <m/>
    <m/>
    <m/>
    <m/>
    <m/>
    <n v="36275.21"/>
    <n v="2910.2440999999963"/>
    <m/>
    <m/>
    <m/>
    <m/>
    <n v="-689.04422000000079"/>
    <n v="3598.4875900000002"/>
    <n v="29"/>
    <n v="2909.0293159377834"/>
    <n v="0"/>
    <n v="0"/>
    <n v="0"/>
    <n v="0"/>
    <n v="0"/>
    <n v="0"/>
    <n v="0"/>
    <n v="0"/>
    <n v="0"/>
    <n v="0"/>
    <n v="4005.8602459948452"/>
    <n v="0"/>
    <n v="0"/>
    <n v="0"/>
    <n v="134.79747626964138"/>
    <n v="0"/>
    <n v="-494.67757674125187"/>
    <m/>
    <n v="0"/>
    <n v="0"/>
    <n v="0"/>
    <n v="0"/>
    <n v="-76.534777484874212"/>
    <n v="-8.9622513227033949"/>
    <n v="0"/>
    <n v="-651.4538007778682"/>
    <m/>
    <m/>
    <m/>
    <n v="0"/>
    <n v="0"/>
    <n v="0"/>
    <n v="-689.04421999999977"/>
    <n v="3598.4875900000006"/>
    <n v="0"/>
    <n v="0"/>
    <n v="0"/>
    <n v="0"/>
    <n v="0"/>
    <n v="0"/>
    <n v="0"/>
    <n v="0"/>
    <n v="0"/>
    <n v="0"/>
    <n v="0"/>
    <n v="0"/>
    <n v="0"/>
    <n v="0"/>
    <n v="0"/>
    <n v="3345.421527699270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81"/>
    <s v="Sistema de Compensação"/>
    <s v="Verde"/>
    <s v="A4"/>
    <s v="Comercial"/>
    <s v="Não se aplica"/>
    <s v="Não se aplica"/>
    <s v="Não se aplica"/>
    <s v="Fora ponta"/>
    <s v="CATIVO"/>
    <x v="7"/>
    <n v="0"/>
    <n v="0"/>
    <n v="9.6129999999999995"/>
    <n v="9.6129999999999995"/>
    <n v="9.6129999999999995"/>
    <n v="9.6129999999999995"/>
    <m/>
    <n v="95.29"/>
    <n v="159.41"/>
    <m/>
    <n v="2448.4310999999998"/>
    <n v="2448.4310999999998"/>
    <n v="2661.9358299999999"/>
    <n v="0"/>
    <n v="518.27641679644103"/>
    <n v="0"/>
    <n v="0"/>
    <n v="0"/>
    <n v="0"/>
    <n v="0"/>
    <n v="1482.6198797631166"/>
    <n v="49.812136199958253"/>
    <n v="0"/>
    <n v="0"/>
    <n v="0"/>
    <n v="0"/>
    <n v="92.054620086684096"/>
    <m/>
    <n v="10.321799018574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890262212488587"/>
    <n v="0"/>
    <n v="0"/>
    <n v="0"/>
    <n v="0"/>
    <n v="0"/>
    <m/>
    <m/>
    <m/>
    <m/>
    <m/>
    <m/>
    <m/>
    <m/>
    <m/>
    <n v="1532.5101419756052"/>
    <m/>
    <m/>
    <m/>
    <m/>
    <m/>
    <m/>
    <m/>
    <m/>
    <m/>
    <m/>
    <m/>
    <m/>
    <n v="2661.1050999999998"/>
    <n v="212.64399999999932"/>
    <m/>
    <m/>
    <m/>
    <m/>
    <n v="-50.56438000000005"/>
    <n v="264.06910999999997"/>
    <n v="29"/>
    <n v="213.47434532172429"/>
    <n v="0"/>
    <n v="0"/>
    <n v="0"/>
    <n v="0"/>
    <n v="0"/>
    <n v="0"/>
    <n v="0"/>
    <n v="0"/>
    <n v="0"/>
    <n v="0"/>
    <n v="293.96348423817653"/>
    <n v="0"/>
    <n v="0"/>
    <n v="0"/>
    <n v="9.8918917179787513"/>
    <n v="0"/>
    <n v="-36.301102660470463"/>
    <m/>
    <n v="0"/>
    <n v="0"/>
    <n v="0"/>
    <n v="0"/>
    <n v="-5.6163791228966602"/>
    <n v="-0.65768011454573561"/>
    <n v="0"/>
    <n v="-47.805868736517979"/>
    <m/>
    <m/>
    <m/>
    <n v="0"/>
    <n v="0"/>
    <n v="0"/>
    <n v="-50.564380000000028"/>
    <n v="264.06910999999991"/>
    <n v="0"/>
    <n v="0"/>
    <n v="0"/>
    <n v="0"/>
    <n v="0"/>
    <n v="0"/>
    <n v="0"/>
    <n v="0"/>
    <n v="0"/>
    <n v="0"/>
    <n v="0"/>
    <n v="0"/>
    <n v="0"/>
    <n v="0"/>
    <n v="0"/>
    <n v="245.4982720655670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82"/>
    <s v="Regular"/>
    <s v="Verde"/>
    <s v="A4"/>
    <s v="Comercial"/>
    <s v="Não se aplica"/>
    <s v="Não se aplica"/>
    <s v="Não se aplica"/>
    <s v="Não se aplica"/>
    <s v="CATIVO"/>
    <x v="7"/>
    <n v="1247"/>
    <n v="1247"/>
    <n v="0"/>
    <n v="0"/>
    <n v="0"/>
    <n v="0"/>
    <n v="43.29"/>
    <m/>
    <m/>
    <n v="53982.63"/>
    <m/>
    <n v="53982.63"/>
    <n v="41762.030000000006"/>
    <n v="0"/>
    <n v="0"/>
    <n v="0"/>
    <n v="0"/>
    <n v="0"/>
    <n v="29508.991986572186"/>
    <n v="24477.5963191513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9.51"/>
    <n v="817.53"/>
    <n v="37129.39"/>
    <n v="12"/>
    <m/>
    <m/>
    <m/>
    <m/>
    <m/>
    <m/>
    <m/>
    <m/>
    <m/>
    <n v="0"/>
    <m/>
    <m/>
    <m/>
    <m/>
    <m/>
    <m/>
    <m/>
    <m/>
    <m/>
    <m/>
    <m/>
    <m/>
    <n v="41762.030000000006"/>
    <n v="-12220.629999999997"/>
    <m/>
    <m/>
    <m/>
    <m/>
    <n v="-12220.599999999997"/>
    <n v="0"/>
    <n v="29"/>
    <n v="278.90420108268518"/>
    <n v="0"/>
    <n v="0"/>
    <n v="0"/>
    <n v="0"/>
    <m/>
    <m/>
    <m/>
    <n v="1332.9796787588384"/>
    <n v="0"/>
    <n v="0"/>
    <m/>
    <m/>
    <n v="0"/>
    <n v="0"/>
    <n v="0"/>
    <n v="0"/>
    <n v="0"/>
    <m/>
    <n v="0"/>
    <n v="0"/>
    <m/>
    <n v="0"/>
    <n v="0"/>
    <n v="0"/>
    <n v="0"/>
    <n v="-1054.075477676153"/>
    <m/>
    <m/>
    <n v="24477.596319151384"/>
    <m/>
    <n v="0"/>
    <n v="0"/>
    <n v="-12220.599999999991"/>
    <m/>
    <n v="0"/>
    <m/>
    <n v="-12503.2130520594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83"/>
    <s v="Sistema de Compensação"/>
    <s v="Verde"/>
    <s v="A4"/>
    <s v="Comercial"/>
    <s v="Não se aplica"/>
    <s v="Não se aplica"/>
    <s v="Não se aplica"/>
    <s v="Não se aplica"/>
    <s v="CATIVO"/>
    <x v="7"/>
    <n v="1195"/>
    <n v="1195"/>
    <n v="0"/>
    <n v="0"/>
    <n v="0"/>
    <n v="0"/>
    <n v="43.29"/>
    <m/>
    <m/>
    <n v="51731.549999999996"/>
    <m/>
    <n v="51731.549999999996"/>
    <n v="40020.550000000003"/>
    <n v="0"/>
    <n v="0"/>
    <n v="0"/>
    <n v="0"/>
    <n v="0"/>
    <n v="28278.464654333413"/>
    <n v="23456.8785897240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1.85"/>
    <n v="396.23"/>
    <n v="18801.72"/>
    <n v="6"/>
    <m/>
    <m/>
    <m/>
    <m/>
    <m/>
    <m/>
    <m/>
    <m/>
    <m/>
    <n v="0"/>
    <m/>
    <m/>
    <m/>
    <m/>
    <m/>
    <m/>
    <m/>
    <m/>
    <m/>
    <m/>
    <m/>
    <m/>
    <n v="40020.550000000003"/>
    <n v="-11711.029999999999"/>
    <m/>
    <m/>
    <m/>
    <m/>
    <n v="-11710.999999999996"/>
    <n v="0"/>
    <n v="29"/>
    <n v="267.27387353151789"/>
    <n v="0"/>
    <n v="0"/>
    <n v="0"/>
    <n v="0"/>
    <m/>
    <m/>
    <m/>
    <n v="1277.3943192596671"/>
    <n v="0"/>
    <n v="0"/>
    <m/>
    <m/>
    <n v="0"/>
    <n v="0"/>
    <n v="0"/>
    <n v="0"/>
    <n v="0"/>
    <m/>
    <n v="0"/>
    <n v="0"/>
    <m/>
    <n v="0"/>
    <n v="0"/>
    <n v="0"/>
    <n v="0"/>
    <n v="-1010.1204457281499"/>
    <m/>
    <m/>
    <n v="23456.87858972406"/>
    <m/>
    <n v="0"/>
    <n v="0"/>
    <n v="-11710.999999999993"/>
    <m/>
    <n v="0"/>
    <m/>
    <n v="-11981.82806512511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84"/>
    <s v="Regular"/>
    <s v="Convencional"/>
    <s v="B2"/>
    <s v="Rural"/>
    <s v="Não se aplica"/>
    <s v="Não se aplica"/>
    <s v="Não se aplica"/>
    <s v="Não se aplica"/>
    <s v="CATIVO"/>
    <x v="7"/>
    <n v="0"/>
    <n v="0"/>
    <n v="4889.1859999999997"/>
    <n v="4889.1859999999997"/>
    <n v="4889.1859999999997"/>
    <n v="4889.1859999999997"/>
    <m/>
    <n v="648.44000000000005"/>
    <n v="159.41"/>
    <m/>
    <n v="3949728.9101"/>
    <n v="3949728.9101"/>
    <n v="2991301.7785200002"/>
    <n v="0"/>
    <n v="302984.08179671993"/>
    <n v="0"/>
    <n v="0"/>
    <n v="0"/>
    <n v="570296.29561333265"/>
    <n v="2041460.0125123058"/>
    <n v="754062.66092369845"/>
    <n v="25334.526052109552"/>
    <n v="0"/>
    <n v="0"/>
    <n v="0"/>
    <n v="0"/>
    <n v="46819.115756073516"/>
    <m/>
    <n v="10145.52855408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119.572612724267"/>
    <n v="0"/>
    <n v="5301.94"/>
    <n v="23147.27"/>
    <n v="215678.47"/>
    <n v="13351"/>
    <m/>
    <m/>
    <m/>
    <m/>
    <m/>
    <n v="358964.03612000006"/>
    <m/>
    <m/>
    <m/>
    <n v="809182.23353642272"/>
    <m/>
    <m/>
    <m/>
    <m/>
    <m/>
    <m/>
    <m/>
    <m/>
    <m/>
    <m/>
    <m/>
    <m/>
    <n v="2632339.8959999997"/>
    <n v="-843431.35325999931"/>
    <m/>
    <m/>
    <m/>
    <m/>
    <n v="-1092733.0710000002"/>
    <n v="134305.93941999998"/>
    <n v="29"/>
    <n v="84358.103325904813"/>
    <n v="0"/>
    <n v="0"/>
    <n v="0"/>
    <n v="0"/>
    <n v="0"/>
    <n v="0"/>
    <n v="0"/>
    <n v="25761.414462071843"/>
    <n v="0"/>
    <n v="0"/>
    <n v="149510.26231649995"/>
    <n v="0"/>
    <n v="0"/>
    <n v="0"/>
    <n v="10928.72275363293"/>
    <n v="0"/>
    <n v="-21221.602799864369"/>
    <m/>
    <n v="0"/>
    <n v="0"/>
    <n v="0"/>
    <n v="0"/>
    <n v="-2856.4987182314289"/>
    <n v="-646.44858610139272"/>
    <n v="0"/>
    <n v="-77117.746102102683"/>
    <m/>
    <m/>
    <m/>
    <n v="2041460.0125123058"/>
    <n v="0"/>
    <n v="0"/>
    <n v="-1092733.0710000002"/>
    <n v="134305.93942000007"/>
    <n v="0"/>
    <n v="0"/>
    <n v="-1042782.5159339894"/>
    <n v="0"/>
    <n v="0"/>
    <n v="0"/>
    <n v="0"/>
    <n v="0"/>
    <n v="0"/>
    <n v="0"/>
    <n v="0"/>
    <n v="0"/>
    <n v="0"/>
    <n v="0"/>
    <n v="0"/>
    <n v="143518.1423153227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85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-4.8659999999999997"/>
    <n v="-4.8659999999999997"/>
    <n v="-4.8659999999999997"/>
    <n v="-4.8659999999999997"/>
    <m/>
    <n v="648.44000000000005"/>
    <n v="159.41"/>
    <m/>
    <n v="-3930.9980999999998"/>
    <n v="-3930.9980999999998"/>
    <n v="-2977.1161199999997"/>
    <n v="0"/>
    <n v="-301.54723956561259"/>
    <n v="0"/>
    <n v="0"/>
    <n v="0"/>
    <n v="-567.59177794718323"/>
    <n v="-2031.7787911699165"/>
    <n v="-750.48666752598831"/>
    <n v="-25.214382060646717"/>
    <n v="0"/>
    <n v="0"/>
    <n v="0"/>
    <n v="0"/>
    <n v="-46.597085336711203"/>
    <m/>
    <n v="-10.097415386567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4.858178914346126"/>
    <n v="0"/>
    <n v="-2.19"/>
    <n v="-10.1"/>
    <n v="-11.55"/>
    <n v="0"/>
    <m/>
    <m/>
    <m/>
    <m/>
    <m/>
    <n v="-357.26172000000003"/>
    <m/>
    <m/>
    <m/>
    <n v="-805.34484644033444"/>
    <m/>
    <m/>
    <m/>
    <m/>
    <m/>
    <m/>
    <m/>
    <m/>
    <m/>
    <m/>
    <m/>
    <m/>
    <n v="-2622.0079999999998"/>
    <n v="837.25005999999939"/>
    <m/>
    <m/>
    <m/>
    <m/>
    <n v="1087.5510000000002"/>
    <n v="-133.66901999999999"/>
    <n v="29"/>
    <n v="-83.958051664193817"/>
    <n v="0"/>
    <n v="0"/>
    <n v="0"/>
    <n v="0"/>
    <n v="0"/>
    <n v="0"/>
    <n v="0"/>
    <n v="-25.639246036546979"/>
    <n v="0"/>
    <n v="0"/>
    <n v="-148.80123939487851"/>
    <n v="0"/>
    <n v="0"/>
    <n v="0"/>
    <n v="-10.876895442140636"/>
    <n v="0"/>
    <n v="21.120963535471958"/>
    <m/>
    <n v="0"/>
    <n v="0"/>
    <n v="0"/>
    <n v="0"/>
    <n v="2.842952336629061"/>
    <n v="0.64338293122196077"/>
    <n v="0"/>
    <n v="76.752030406049528"/>
    <m/>
    <m/>
    <m/>
    <n v="-2031.7787911699165"/>
    <n v="0"/>
    <n v="0"/>
    <n v="1087.5510000000004"/>
    <n v="-133.66901999999993"/>
    <n v="0"/>
    <n v="0"/>
    <n v="1037.8373255864662"/>
    <n v="0"/>
    <n v="0"/>
    <n v="0"/>
    <n v="0"/>
    <n v="0"/>
    <n v="0"/>
    <n v="0"/>
    <n v="0"/>
    <n v="0"/>
    <n v="0"/>
    <n v="0"/>
    <n v="0"/>
    <n v="-142.8375358406001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86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98.78"/>
    <n v="98.78"/>
    <n v="98.78"/>
    <n v="98.78"/>
    <m/>
    <n v="648.44000000000005"/>
    <n v="159.41"/>
    <m/>
    <n v="79799.42300000001"/>
    <n v="79799.42300000001"/>
    <n v="60435.579599999997"/>
    <n v="0"/>
    <n v="6121.4213572320623"/>
    <n v="0"/>
    <n v="0"/>
    <n v="0"/>
    <n v="11522.136421213063"/>
    <n v="41245.192969947471"/>
    <n v="15234.910196920906"/>
    <n v="511.852992180576"/>
    <n v="0"/>
    <n v="0"/>
    <n v="0"/>
    <n v="0"/>
    <n v="945.92274754630773"/>
    <m/>
    <n v="204.97794736645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3.6232867158058"/>
    <n v="0"/>
    <n v="107.98"/>
    <n v="478.59"/>
    <n v="5502.24"/>
    <n v="413"/>
    <m/>
    <m/>
    <m/>
    <m/>
    <m/>
    <n v="7252.4276000000009"/>
    <m/>
    <m/>
    <m/>
    <n v="16348.533483636711"/>
    <m/>
    <m/>
    <m/>
    <m/>
    <m/>
    <m/>
    <m/>
    <m/>
    <m/>
    <m/>
    <m/>
    <m/>
    <n v="53183.152000000002"/>
    <n v="-17040.567800000004"/>
    <m/>
    <m/>
    <m/>
    <m/>
    <n v="-22077.330000000005"/>
    <n v="2713.4865999999997"/>
    <n v="29"/>
    <n v="1704.3518995867344"/>
    <n v="0"/>
    <n v="0"/>
    <n v="0"/>
    <n v="0"/>
    <n v="0"/>
    <n v="0"/>
    <n v="0"/>
    <n v="520.47774835390737"/>
    <n v="0"/>
    <n v="0"/>
    <n v="3020.671275673265"/>
    <n v="0"/>
    <n v="0"/>
    <n v="0"/>
    <n v="220.80142453239864"/>
    <n v="0"/>
    <n v="-428.75642787380184"/>
    <m/>
    <n v="0"/>
    <n v="0"/>
    <n v="0"/>
    <n v="0"/>
    <n v="-57.712049283234478"/>
    <n v="-13.060699947822712"/>
    <n v="0"/>
    <n v="-1558.0693718679763"/>
    <m/>
    <m/>
    <m/>
    <n v="41245.192969947471"/>
    <n v="0"/>
    <n v="0"/>
    <n v="-22077.330000000009"/>
    <n v="2713.4865999999984"/>
    <n v="0"/>
    <n v="0"/>
    <n v="-21068.14036609765"/>
    <n v="0"/>
    <n v="0"/>
    <n v="0"/>
    <n v="0"/>
    <n v="0"/>
    <n v="0"/>
    <n v="0"/>
    <n v="0"/>
    <n v="0"/>
    <n v="0"/>
    <n v="0"/>
    <n v="0"/>
    <n v="2899.607848404128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87"/>
    <s v="Regular"/>
    <s v="Verde"/>
    <s v="A4"/>
    <s v="Rural"/>
    <s v="Não se aplica"/>
    <s v="Não se aplica"/>
    <s v="Não se aplica"/>
    <s v="Ponta"/>
    <s v="CATIVO"/>
    <x v="7"/>
    <n v="0"/>
    <n v="0"/>
    <n v="32.465000000000003"/>
    <n v="31.166399999999999"/>
    <n v="32.465000000000003"/>
    <n v="31.166399999999999"/>
    <m/>
    <n v="2810.7"/>
    <n v="159.41"/>
    <m/>
    <n v="96424.621150000006"/>
    <n v="96424.621150000006"/>
    <n v="61413.715850000008"/>
    <n v="0"/>
    <n v="1750.3218424317549"/>
    <n v="0"/>
    <n v="0"/>
    <n v="0"/>
    <n v="19820.388739298665"/>
    <n v="68335.218271312042"/>
    <n v="5007.1002180910837"/>
    <n v="168.22542408526422"/>
    <n v="0"/>
    <n v="0"/>
    <n v="0"/>
    <n v="0"/>
    <n v="310.88663696184329"/>
    <m/>
    <n v="34.8587543054205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8.4892710629816"/>
    <n v="0"/>
    <n v="0"/>
    <n v="0"/>
    <n v="0"/>
    <n v="0"/>
    <m/>
    <m/>
    <m/>
    <m/>
    <m/>
    <n v="2456.5486340000075"/>
    <m/>
    <m/>
    <m/>
    <n v="5175.5894891540656"/>
    <m/>
    <m/>
    <m/>
    <m/>
    <m/>
    <m/>
    <m/>
    <m/>
    <m/>
    <m/>
    <m/>
    <m/>
    <n v="58963.977299999999"/>
    <n v="-33603.689003999985"/>
    <m/>
    <m/>
    <m/>
    <m/>
    <n v="-35902.718849999997"/>
    <n v="891.81355000000008"/>
    <n v="29"/>
    <n v="-104.94626144076028"/>
    <n v="0"/>
    <n v="0"/>
    <n v="0"/>
    <n v="0"/>
    <n v="0"/>
    <n v="0"/>
    <n v="0"/>
    <n v="895.32625941979131"/>
    <n v="0"/>
    <n v="0"/>
    <n v="992.77275728621771"/>
    <n v="0"/>
    <n v="0"/>
    <n v="0"/>
    <n v="33.406872425276219"/>
    <n v="0"/>
    <n v="-122.59599478541281"/>
    <m/>
    <n v="0"/>
    <n v="0"/>
    <n v="0"/>
    <n v="0"/>
    <n v="-18.967621785586232"/>
    <n v="-2.2211156682333595"/>
    <n v="0"/>
    <n v="-1882.6674183328146"/>
    <m/>
    <m/>
    <m/>
    <n v="68335.218271312042"/>
    <n v="0"/>
    <n v="0"/>
    <n v="-35902.718850000005"/>
    <n v="891.81354999999985"/>
    <n v="0"/>
    <n v="0"/>
    <n v="-34905.788209959937"/>
    <n v="0"/>
    <n v="0"/>
    <n v="0"/>
    <n v="0"/>
    <n v="0"/>
    <n v="0"/>
    <n v="0"/>
    <n v="0"/>
    <n v="0"/>
    <n v="0"/>
    <n v="0"/>
    <n v="0"/>
    <n v="829.0961617194045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88"/>
    <s v="Sistema de Compensação"/>
    <s v="Verde"/>
    <s v="A4"/>
    <s v="Rural"/>
    <s v="Não se aplica"/>
    <s v="Não se aplica"/>
    <s v="Não se aplica"/>
    <s v="Ponta"/>
    <s v="CATIVO"/>
    <x v="7"/>
    <n v="0"/>
    <n v="0"/>
    <n v="1.8420000000000001"/>
    <n v="1.7683199999999999"/>
    <n v="1.8420000000000001"/>
    <n v="1.7683199999999999"/>
    <m/>
    <n v="2810.7"/>
    <n v="159.41"/>
    <m/>
    <n v="5470.9426199999998"/>
    <n v="5470.9426199999998"/>
    <n v="3484.49298"/>
    <n v="0"/>
    <n v="99.309805444610888"/>
    <n v="0"/>
    <n v="0"/>
    <n v="0"/>
    <n v="1124.5697230182702"/>
    <n v="3877.2053613354929"/>
    <n v="284.09298018554676"/>
    <n v="9.5447784125999284"/>
    <n v="0"/>
    <n v="0"/>
    <n v="0"/>
    <n v="0"/>
    <n v="17.639093956067004"/>
    <m/>
    <n v="1.9778168929796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5597485691671675"/>
    <n v="0"/>
    <n v="0"/>
    <n v="0"/>
    <n v="0"/>
    <n v="0"/>
    <m/>
    <m/>
    <m/>
    <m/>
    <m/>
    <n v="139.37971920000035"/>
    <m/>
    <m/>
    <m/>
    <n v="293.65272875471391"/>
    <m/>
    <m/>
    <m/>
    <m/>
    <m/>
    <m/>
    <m/>
    <m/>
    <m/>
    <m/>
    <m/>
    <m/>
    <n v="3348.2912999999999"/>
    <n v="-1903.8436152000004"/>
    <m/>
    <m/>
    <m/>
    <m/>
    <n v="-2037.0493799999999"/>
    <n v="50.599739999999997"/>
    <n v="29"/>
    <n v="-5.9544436646817758"/>
    <n v="0"/>
    <n v="0"/>
    <n v="0"/>
    <n v="0"/>
    <n v="0"/>
    <n v="0"/>
    <n v="0"/>
    <n v="50.799044196865907"/>
    <n v="0"/>
    <n v="0"/>
    <n v="56.327966084127866"/>
    <n v="0"/>
    <n v="0"/>
    <n v="0"/>
    <n v="1.895439981745227"/>
    <n v="0"/>
    <n v="-6.9558546864232511"/>
    <m/>
    <n v="0"/>
    <n v="0"/>
    <n v="0"/>
    <n v="0"/>
    <n v="-1.0761854097966967"/>
    <n v="-0.12602171756925462"/>
    <n v="0"/>
    <n v="-106.81883211363143"/>
    <m/>
    <m/>
    <m/>
    <n v="3877.2053613354929"/>
    <n v="0"/>
    <n v="0"/>
    <n v="-2037.0493799999999"/>
    <n v="50.599739999999997"/>
    <n v="0"/>
    <n v="0"/>
    <n v="-1980.4855038578839"/>
    <n v="0"/>
    <n v="0"/>
    <n v="0"/>
    <n v="0"/>
    <n v="0"/>
    <n v="0"/>
    <n v="0"/>
    <n v="0"/>
    <n v="0"/>
    <n v="0"/>
    <n v="0"/>
    <n v="0"/>
    <n v="47.04127922030318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89"/>
    <s v="Regular"/>
    <s v="Verde"/>
    <s v="A4"/>
    <s v="Rural"/>
    <s v="Não se aplica"/>
    <s v="Não se aplica"/>
    <s v="Não se aplica"/>
    <s v="Fora ponta"/>
    <s v="CATIVO"/>
    <x v="7"/>
    <n v="0"/>
    <n v="0"/>
    <n v="696.35599999999999"/>
    <n v="668.50175999999999"/>
    <n v="696.35599999999999"/>
    <n v="668.50175999999999"/>
    <m/>
    <n v="95.29"/>
    <n v="159.41"/>
    <m/>
    <n v="177361.8732"/>
    <n v="177361.8732"/>
    <n v="192827.93995999999"/>
    <n v="0"/>
    <n v="37543.41958750676"/>
    <n v="0"/>
    <n v="0"/>
    <n v="0"/>
    <n v="0"/>
    <n v="0"/>
    <n v="107399.48496747372"/>
    <n v="3608.3407797418217"/>
    <n v="0"/>
    <n v="0"/>
    <n v="0"/>
    <n v="0"/>
    <n v="6668.3435998213872"/>
    <m/>
    <n v="747.700684217016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14.0001490939044"/>
    <n v="0"/>
    <n v="0"/>
    <n v="0"/>
    <n v="0"/>
    <n v="0"/>
    <m/>
    <m/>
    <m/>
    <m/>
    <m/>
    <n v="7713.1175984000001"/>
    <m/>
    <m/>
    <m/>
    <n v="111013.48511656762"/>
    <m/>
    <m/>
    <m/>
    <m/>
    <m/>
    <m/>
    <m/>
    <m/>
    <m/>
    <m/>
    <m/>
    <m/>
    <n v="185114.33499999999"/>
    <n v="14846.906727999973"/>
    <m/>
    <m/>
    <m/>
    <m/>
    <n v="-3662.8325600000035"/>
    <n v="19128.89932"/>
    <n v="29"/>
    <n v="15463.865724628646"/>
    <n v="0"/>
    <n v="0"/>
    <n v="0"/>
    <n v="0"/>
    <n v="0"/>
    <n v="0"/>
    <n v="0"/>
    <n v="0"/>
    <n v="0"/>
    <n v="0"/>
    <n v="21294.417562692164"/>
    <n v="0"/>
    <n v="0"/>
    <n v="0"/>
    <n v="716.55863405438549"/>
    <n v="0"/>
    <n v="-2629.6151715629458"/>
    <m/>
    <n v="0"/>
    <n v="0"/>
    <n v="0"/>
    <n v="0"/>
    <n v="-406.84482476894118"/>
    <n v="-47.641682497098714"/>
    <n v="0"/>
    <n v="-3463.0087932889542"/>
    <m/>
    <m/>
    <m/>
    <n v="0"/>
    <n v="0"/>
    <n v="0"/>
    <n v="-3662.8325600000026"/>
    <n v="19128.899319999997"/>
    <n v="0"/>
    <n v="0"/>
    <n v="0"/>
    <n v="0"/>
    <n v="0"/>
    <n v="0"/>
    <n v="0"/>
    <n v="0"/>
    <n v="0"/>
    <n v="0"/>
    <n v="0"/>
    <n v="0"/>
    <n v="0"/>
    <n v="0"/>
    <n v="0"/>
    <n v="17783.6465975751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90"/>
    <s v="Sistema de Compensação"/>
    <s v="Verde"/>
    <s v="A4"/>
    <s v="Rural"/>
    <s v="Não se aplica"/>
    <s v="Não se aplica"/>
    <s v="Não se aplica"/>
    <s v="Fora ponta"/>
    <s v="CATIVO"/>
    <x v="7"/>
    <n v="0"/>
    <n v="0"/>
    <n v="28.381"/>
    <n v="27.245760000000001"/>
    <n v="28.381"/>
    <n v="27.245760000000001"/>
    <m/>
    <n v="95.29"/>
    <n v="159.41"/>
    <m/>
    <n v="7228.6406999999999"/>
    <n v="7228.6406999999999"/>
    <n v="7858.9827100000002"/>
    <n v="0"/>
    <n v="1530.1365843232907"/>
    <n v="0"/>
    <n v="0"/>
    <n v="0"/>
    <n v="0"/>
    <n v="0"/>
    <n v="4377.2219710347463"/>
    <n v="147.06316836482006"/>
    <n v="0"/>
    <n v="0"/>
    <n v="0"/>
    <n v="0"/>
    <n v="271.7780269094124"/>
    <m/>
    <n v="30.4736271659368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.29382418107133"/>
    <n v="0"/>
    <n v="0"/>
    <n v="0"/>
    <n v="0"/>
    <n v="0"/>
    <m/>
    <m/>
    <m/>
    <m/>
    <m/>
    <n v="314.35930839999992"/>
    <m/>
    <m/>
    <m/>
    <n v="4524.5157952158179"/>
    <m/>
    <m/>
    <m/>
    <m/>
    <m/>
    <m/>
    <m/>
    <m/>
    <m/>
    <m/>
    <m/>
    <m/>
    <n v="7545.7974999999997"/>
    <n v="606.27242799999931"/>
    <m/>
    <m/>
    <m/>
    <m/>
    <n v="-149.28406000000015"/>
    <n v="779.62607000000003"/>
    <n v="29"/>
    <n v="630.25230360718251"/>
    <n v="0"/>
    <n v="0"/>
    <n v="0"/>
    <n v="0"/>
    <n v="0"/>
    <n v="0"/>
    <n v="0"/>
    <n v="0"/>
    <n v="0"/>
    <n v="0"/>
    <n v="867.88491065886683"/>
    <n v="0"/>
    <n v="0"/>
    <n v="0"/>
    <n v="29.204387688334009"/>
    <n v="0"/>
    <n v="-107.17378493777301"/>
    <m/>
    <n v="0"/>
    <n v="0"/>
    <n v="0"/>
    <n v="0"/>
    <n v="-16.581551637046744"/>
    <n v="-1.9417059534924057"/>
    <n v="0"/>
    <n v="-141.13995221170467"/>
    <m/>
    <m/>
    <m/>
    <n v="0"/>
    <n v="0"/>
    <n v="0"/>
    <n v="-149.28405999999995"/>
    <n v="779.62606999999934"/>
    <n v="0"/>
    <n v="0"/>
    <n v="0"/>
    <n v="0"/>
    <n v="0"/>
    <n v="0"/>
    <n v="0"/>
    <n v="0"/>
    <n v="0"/>
    <n v="0"/>
    <n v="0"/>
    <n v="0"/>
    <n v="0"/>
    <n v="0"/>
    <n v="0"/>
    <n v="724.7983417760177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91"/>
    <s v="Regular"/>
    <s v="Verde"/>
    <s v="A4"/>
    <s v="Rural"/>
    <s v="Não se aplica"/>
    <s v="Não se aplica"/>
    <s v="Não se aplica"/>
    <s v="Não se aplica"/>
    <s v="CATIVO"/>
    <x v="7"/>
    <n v="3299"/>
    <n v="3167.04"/>
    <n v="0"/>
    <n v="0"/>
    <n v="0"/>
    <n v="0"/>
    <n v="43.29"/>
    <m/>
    <m/>
    <n v="142813.71"/>
    <m/>
    <n v="142813.71"/>
    <n v="110483.51000000001"/>
    <n v="0"/>
    <n v="0"/>
    <n v="0"/>
    <n v="0"/>
    <n v="0"/>
    <n v="78067.493635686958"/>
    <n v="64756.68825732190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32.86"/>
    <n v="3160.88"/>
    <n v="161.35"/>
    <n v="23"/>
    <m/>
    <m/>
    <m/>
    <m/>
    <m/>
    <n v="4419.3404000000019"/>
    <m/>
    <m/>
    <m/>
    <n v="0"/>
    <m/>
    <m/>
    <m/>
    <m/>
    <m/>
    <m/>
    <m/>
    <m/>
    <m/>
    <m/>
    <m/>
    <m/>
    <n v="106064.16960000001"/>
    <n v="-31037.022000000012"/>
    <m/>
    <m/>
    <m/>
    <m/>
    <n v="-32330.19999999999"/>
    <n v="0"/>
    <n v="29"/>
    <n v="737.85481906318455"/>
    <n v="0"/>
    <n v="0"/>
    <n v="0"/>
    <n v="0"/>
    <m/>
    <m/>
    <m/>
    <n v="3526.46348053361"/>
    <n v="0"/>
    <n v="0"/>
    <m/>
    <m/>
    <n v="0"/>
    <n v="0"/>
    <n v="0"/>
    <n v="0"/>
    <n v="0"/>
    <m/>
    <n v="0"/>
    <n v="0"/>
    <m/>
    <n v="0"/>
    <n v="0"/>
    <n v="0"/>
    <n v="0"/>
    <n v="-2788.6086614704323"/>
    <m/>
    <m/>
    <n v="64756.688257321905"/>
    <m/>
    <n v="0"/>
    <n v="0"/>
    <n v="-32330.199999999983"/>
    <m/>
    <n v="0"/>
    <m/>
    <n v="-33077.86676723662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92"/>
    <s v="Sistema de Compensação"/>
    <s v="Verde"/>
    <s v="A4"/>
    <s v="Rural"/>
    <s v="Não se aplica"/>
    <s v="Não se aplica"/>
    <s v="Não se aplica"/>
    <s v="Não se aplica"/>
    <s v="CATIVO"/>
    <x v="7"/>
    <n v="467"/>
    <n v="448.32"/>
    <n v="0"/>
    <n v="0"/>
    <n v="0"/>
    <n v="0"/>
    <n v="43.29"/>
    <m/>
    <m/>
    <n v="20216.43"/>
    <m/>
    <n v="20216.43"/>
    <n v="15639.830000000002"/>
    <n v="0"/>
    <n v="0"/>
    <n v="0"/>
    <n v="0"/>
    <n v="0"/>
    <n v="11051.082002990546"/>
    <n v="9166.830377741536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9.74"/>
    <n v="257.7"/>
    <n v="23"/>
    <n v="3"/>
    <m/>
    <m/>
    <m/>
    <m/>
    <m/>
    <n v="625.59320000000025"/>
    <m/>
    <m/>
    <m/>
    <n v="0"/>
    <m/>
    <m/>
    <m/>
    <m/>
    <m/>
    <m/>
    <m/>
    <m/>
    <m/>
    <m/>
    <m/>
    <m/>
    <n v="15014.236800000001"/>
    <n v="-4393.5659999999934"/>
    <m/>
    <m/>
    <m/>
    <m/>
    <n v="-4576.5999999999985"/>
    <n v="0"/>
    <n v="29"/>
    <n v="104.44928781524686"/>
    <n v="0"/>
    <n v="0"/>
    <n v="0"/>
    <n v="0"/>
    <m/>
    <m/>
    <m/>
    <n v="499.19928627135232"/>
    <n v="0"/>
    <n v="0"/>
    <m/>
    <m/>
    <n v="0"/>
    <n v="0"/>
    <n v="0"/>
    <n v="0"/>
    <n v="0"/>
    <m/>
    <n v="0"/>
    <n v="0"/>
    <m/>
    <n v="0"/>
    <n v="0"/>
    <n v="0"/>
    <n v="0"/>
    <n v="-394.7499984561054"/>
    <m/>
    <m/>
    <n v="9166.8303777415367"/>
    <m/>
    <n v="0"/>
    <n v="0"/>
    <n v="-4576.5999999999985"/>
    <m/>
    <n v="0"/>
    <m/>
    <n v="-4682.4382480447121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493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304.161"/>
    <n v="304.161"/>
    <n v="304.161"/>
    <n v="304.161"/>
    <m/>
    <n v="648.44000000000005"/>
    <n v="159.41"/>
    <m/>
    <n v="245716.46385"/>
    <n v="245716.46385"/>
    <n v="186091.78302"/>
    <n v="0"/>
    <n v="18848.93340187347"/>
    <n v="0"/>
    <n v="0"/>
    <n v="0"/>
    <n v="35478.685321042583"/>
    <n v="127001.20610378814"/>
    <n v="46910.969026175946"/>
    <n v="1576.0854216909918"/>
    <n v="0"/>
    <n v="0"/>
    <n v="0"/>
    <n v="0"/>
    <n v="2912.6625715370774"/>
    <m/>
    <n v="631.16316510353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29.0420379709071"/>
    <n v="0"/>
    <n v="368.36"/>
    <n v="1595.4"/>
    <n v="73088.240000000005"/>
    <n v="358"/>
    <m/>
    <m/>
    <m/>
    <m/>
    <m/>
    <m/>
    <m/>
    <m/>
    <m/>
    <n v="50340.011064146856"/>
    <m/>
    <m/>
    <m/>
    <m/>
    <m/>
    <m/>
    <m/>
    <m/>
    <m/>
    <m/>
    <m/>
    <m/>
    <n v="186091.17120000001"/>
    <n v="-59625.322650000016"/>
    <m/>
    <m/>
    <m/>
    <m/>
    <n v="-67979.983500000017"/>
    <n v="8355.3026699999991"/>
    <n v="29"/>
    <n v="5247.9993736606702"/>
    <n v="0"/>
    <n v="0"/>
    <n v="0"/>
    <n v="0"/>
    <n v="0"/>
    <n v="0"/>
    <n v="0"/>
    <n v="1602.6425634447587"/>
    <n v="0"/>
    <n v="0"/>
    <n v="9301.1783344812284"/>
    <n v="0"/>
    <n v="0"/>
    <n v="0"/>
    <n v="679.88643538367023"/>
    <n v="0"/>
    <n v="-1320.2164796368052"/>
    <m/>
    <n v="0"/>
    <n v="0"/>
    <n v="0"/>
    <n v="0"/>
    <n v="-177.70555397892167"/>
    <n v="-40.216193124414872"/>
    <n v="0"/>
    <n v="-4797.5697329088434"/>
    <m/>
    <m/>
    <m/>
    <n v="127001.20610378814"/>
    <n v="0"/>
    <n v="0"/>
    <n v="-67979.983500000017"/>
    <n v="8355.3026700000046"/>
    <n v="0"/>
    <n v="0"/>
    <n v="-64872.511053782415"/>
    <n v="0"/>
    <n v="0"/>
    <n v="0"/>
    <n v="0"/>
    <n v="0"/>
    <n v="0"/>
    <n v="0"/>
    <n v="0"/>
    <n v="0"/>
    <n v="0"/>
    <n v="0"/>
    <n v="0"/>
    <n v="8928.402741227453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94"/>
    <s v="Regular"/>
    <s v="Azul"/>
    <s v="A4"/>
    <s v="Poder público"/>
    <s v="Não se aplica"/>
    <s v="Não se aplica"/>
    <s v="Não se aplica"/>
    <s v="Ponta"/>
    <s v="CATIVO"/>
    <x v="7"/>
    <n v="200"/>
    <n v="200"/>
    <n v="4.1580000000000004"/>
    <n v="4.1580000000000004"/>
    <n v="4.1580000000000004"/>
    <n v="4.1580000000000004"/>
    <n v="112.91"/>
    <n v="95.29"/>
    <n v="159.41"/>
    <n v="22582"/>
    <n v="1059.0426000000002"/>
    <n v="23641.042600000001"/>
    <n v="14579.39178"/>
    <n v="0"/>
    <n v="224.17490284402393"/>
    <n v="0"/>
    <n v="0"/>
    <n v="0"/>
    <n v="5077.0827132346003"/>
    <n v="17504.269107723037"/>
    <n v="641.29132009310729"/>
    <n v="21.545705016064336"/>
    <n v="0"/>
    <n v="0"/>
    <n v="0"/>
    <n v="0"/>
    <n v="39.817238148385783"/>
    <m/>
    <n v="4.4645834098856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579497584471817"/>
    <n v="0"/>
    <n v="0"/>
    <n v="0"/>
    <n v="0"/>
    <n v="0"/>
    <m/>
    <m/>
    <m/>
    <m/>
    <m/>
    <m/>
    <m/>
    <m/>
    <m/>
    <n v="662.87081767757911"/>
    <m/>
    <m/>
    <m/>
    <m/>
    <m/>
    <m/>
    <m/>
    <m/>
    <m/>
    <m/>
    <m/>
    <m/>
    <n v="14579.945599999999"/>
    <n v="-9061.1269999999968"/>
    <m/>
    <m/>
    <m/>
    <m/>
    <n v="-9175.8710800000008"/>
    <n v="114.22026000000001"/>
    <n v="29"/>
    <n v="-119.21766885688339"/>
    <n v="0"/>
    <n v="0"/>
    <n v="0"/>
    <n v="0"/>
    <n v="0"/>
    <n v="0"/>
    <n v="0"/>
    <n v="229.34189304735992"/>
    <n v="0"/>
    <n v="0"/>
    <n v="127.15075080228212"/>
    <n v="0"/>
    <n v="0"/>
    <n v="0"/>
    <n v="4.2786316200307546"/>
    <n v="0"/>
    <n v="-15.701652435476575"/>
    <m/>
    <n v="0"/>
    <n v="0"/>
    <n v="0"/>
    <n v="0"/>
    <n v="-2.4293045243945031"/>
    <n v="-0.28447247646740514"/>
    <n v="0"/>
    <n v="-461.57351489021897"/>
    <m/>
    <m/>
    <n v="17504.269107723037"/>
    <n v="0"/>
    <n v="0"/>
    <n v="0"/>
    <n v="-9175.8710800000008"/>
    <n v="114.22025999999994"/>
    <n v="0"/>
    <n v="0"/>
    <n v="-8941.2213160491574"/>
    <n v="0"/>
    <n v="0"/>
    <n v="0"/>
    <n v="0"/>
    <n v="0"/>
    <n v="0"/>
    <n v="0"/>
    <n v="0"/>
    <n v="0"/>
    <n v="0"/>
    <n v="0"/>
    <n v="0"/>
    <n v="106.1876433214010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95"/>
    <s v="Regular"/>
    <s v="Azul"/>
    <s v="A4"/>
    <s v="Poder público"/>
    <s v="Não se aplica"/>
    <s v="Não se aplica"/>
    <s v="Não se aplica"/>
    <s v="Fora ponta"/>
    <s v="CATIVO"/>
    <x v="7"/>
    <n v="230"/>
    <n v="230"/>
    <n v="34.524000000000001"/>
    <n v="34.524000000000001"/>
    <n v="34.524000000000001"/>
    <n v="34.524000000000001"/>
    <n v="43.29"/>
    <n v="95.29"/>
    <n v="159.41"/>
    <n v="9956.6999999999989"/>
    <n v="8793.2628000000004"/>
    <n v="18749.962800000001"/>
    <n v="17262.740839999999"/>
    <n v="0"/>
    <n v="1861.3310114928047"/>
    <n v="0"/>
    <n v="0"/>
    <n v="0"/>
    <n v="5442.71704644074"/>
    <n v="4514.7130340054682"/>
    <n v="5324.6612638033748"/>
    <n v="178.89464164853416"/>
    <n v="0"/>
    <n v="0"/>
    <n v="0"/>
    <n v="0"/>
    <n v="330.6037349290213"/>
    <m/>
    <n v="37.0695713426871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.1752223680387"/>
    <n v="0"/>
    <n v="0"/>
    <n v="0"/>
    <n v="0"/>
    <n v="0"/>
    <m/>
    <m/>
    <m/>
    <m/>
    <m/>
    <m/>
    <m/>
    <m/>
    <m/>
    <n v="5503.8364861714135"/>
    <m/>
    <m/>
    <m/>
    <m/>
    <m/>
    <m/>
    <m/>
    <m/>
    <m/>
    <m/>
    <m/>
    <m/>
    <n v="17261.6332"/>
    <n v="-1488.3595999999961"/>
    <m/>
    <m/>
    <m/>
    <m/>
    <n v="-2435.5962399999999"/>
    <n v="948.37428"/>
    <n v="29"/>
    <n v="818.11075027102561"/>
    <n v="0"/>
    <n v="0"/>
    <n v="0"/>
    <n v="0"/>
    <n v="0"/>
    <n v="0"/>
    <n v="0"/>
    <n v="245.85832086169376"/>
    <n v="0"/>
    <n v="0"/>
    <n v="1055.7365369644031"/>
    <n v="0"/>
    <n v="0"/>
    <n v="0"/>
    <n v="35.525607996618987"/>
    <n v="0"/>
    <n v="-130.37129597941157"/>
    <m/>
    <n v="0"/>
    <n v="0"/>
    <n v="0"/>
    <n v="0"/>
    <n v="-20.170589081336118"/>
    <n v="-2.3619835924869435"/>
    <n v="0"/>
    <n v="-366.10584689845473"/>
    <m/>
    <m/>
    <n v="4514.7130340054682"/>
    <n v="0"/>
    <n v="0"/>
    <n v="0"/>
    <n v="-2435.5962399999989"/>
    <n v="948.37428"/>
    <n v="0"/>
    <n v="0"/>
    <n v="-2306.1259037479317"/>
    <n v="0"/>
    <n v="0"/>
    <n v="0"/>
    <n v="0"/>
    <n v="0"/>
    <n v="0"/>
    <n v="0"/>
    <n v="0"/>
    <n v="0"/>
    <n v="0"/>
    <n v="0"/>
    <n v="0"/>
    <n v="881.6792203049659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96"/>
    <s v="Regular"/>
    <s v="Azul"/>
    <s v="A4"/>
    <s v="Poder público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0.25"/>
    <n v="259.81"/>
    <n v="11626.2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497"/>
    <s v="Regular"/>
    <s v="Verde"/>
    <s v="A4"/>
    <s v="Poder público"/>
    <s v="Não se aplica"/>
    <s v="Não se aplica"/>
    <s v="Não se aplica"/>
    <s v="Ponta"/>
    <s v="CATIVO"/>
    <x v="7"/>
    <n v="0"/>
    <n v="0"/>
    <n v="0.73099999999999998"/>
    <n v="0.73099999999999998"/>
    <n v="0.73099999999999998"/>
    <n v="0.73099999999999998"/>
    <m/>
    <n v="2810.7"/>
    <n v="159.41"/>
    <m/>
    <n v="2171.1504099999997"/>
    <n v="2171.1504099999997"/>
    <n v="1382.8253899999997"/>
    <n v="0"/>
    <n v="39.411220293165336"/>
    <n v="0"/>
    <n v="0"/>
    <n v="0"/>
    <n v="446.28689876566528"/>
    <n v="1538.6737888904697"/>
    <n v="112.74265391728267"/>
    <n v="3.7878572310589291"/>
    <n v="0"/>
    <n v="0"/>
    <n v="0"/>
    <n v="0"/>
    <n v="7.0000964613924976"/>
    <m/>
    <n v="0.784899103565760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7937981563850158"/>
    <n v="0"/>
    <n v="0"/>
    <n v="0"/>
    <n v="0"/>
    <n v="0"/>
    <m/>
    <m/>
    <m/>
    <m/>
    <m/>
    <m/>
    <m/>
    <m/>
    <m/>
    <n v="116.53645207366768"/>
    <m/>
    <m/>
    <m/>
    <m/>
    <m/>
    <m/>
    <m/>
    <m/>
    <m/>
    <m/>
    <m/>
    <m/>
    <n v="1380.9336999999998"/>
    <n v="-790.24671000000058"/>
    <m/>
    <m/>
    <m/>
    <m/>
    <n v="-808.40558999999985"/>
    <n v="20.080569999999998"/>
    <n v="29"/>
    <n v="-2.3630284033018825"/>
    <n v="0"/>
    <n v="0"/>
    <n v="0"/>
    <n v="0"/>
    <n v="0"/>
    <n v="0"/>
    <n v="0"/>
    <n v="20.15966411938598"/>
    <n v="0"/>
    <n v="0"/>
    <n v="22.353823673994299"/>
    <n v="0"/>
    <n v="0"/>
    <n v="0"/>
    <n v="0.75220772348303999"/>
    <n v="0"/>
    <n v="-2.7604396176847885"/>
    <m/>
    <n v="0"/>
    <n v="0"/>
    <n v="0"/>
    <n v="0"/>
    <n v="-0.42708552364896146"/>
    <n v="-5.0011875973466347E-2"/>
    <n v="0"/>
    <n v="-42.391186902858074"/>
    <m/>
    <m/>
    <m/>
    <n v="1538.6737888904697"/>
    <n v="0"/>
    <n v="0"/>
    <n v="-808.40558999999985"/>
    <n v="20.080569999999994"/>
    <n v="0"/>
    <n v="0"/>
    <n v="-785.95814512492575"/>
    <n v="0"/>
    <n v="0"/>
    <n v="0"/>
    <n v="0"/>
    <n v="0"/>
    <n v="0"/>
    <n v="0"/>
    <n v="0"/>
    <n v="0"/>
    <n v="0"/>
    <n v="0"/>
    <n v="0"/>
    <n v="18.6683903963309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98"/>
    <s v="Regular"/>
    <s v="Verde"/>
    <s v="A4"/>
    <s v="Poder público"/>
    <s v="Não se aplica"/>
    <s v="Não se aplica"/>
    <s v="Não se aplica"/>
    <s v="Fora ponta"/>
    <s v="CATIVO"/>
    <x v="7"/>
    <n v="0"/>
    <n v="0"/>
    <n v="6.7729999999999997"/>
    <n v="6.7729999999999997"/>
    <n v="6.7729999999999997"/>
    <n v="6.7729999999999997"/>
    <m/>
    <n v="95.29"/>
    <n v="159.41"/>
    <m/>
    <n v="1725.0830999999998"/>
    <n v="1725.0830999999998"/>
    <n v="1875.51143"/>
    <n v="0"/>
    <n v="365.16032153982053"/>
    <n v="0"/>
    <n v="0"/>
    <n v="0"/>
    <n v="0"/>
    <n v="0"/>
    <n v="1044.604644297887"/>
    <n v="35.095974043723842"/>
    <n v="0"/>
    <n v="0"/>
    <n v="0"/>
    <n v="0"/>
    <n v="64.858622890576441"/>
    <m/>
    <n v="7.2723962085511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151019033099473"/>
    <n v="0"/>
    <n v="0"/>
    <n v="0"/>
    <n v="0"/>
    <n v="0"/>
    <m/>
    <m/>
    <m/>
    <m/>
    <m/>
    <m/>
    <m/>
    <m/>
    <m/>
    <n v="1079.7556633309864"/>
    <m/>
    <m/>
    <m/>
    <m/>
    <m/>
    <m/>
    <m/>
    <m/>
    <m/>
    <m/>
    <m/>
    <m/>
    <n v="1874.6806999999999"/>
    <n v="149.56760000000008"/>
    <m/>
    <m/>
    <m/>
    <m/>
    <n v="-35.625980000000034"/>
    <n v="186.05430999999999"/>
    <n v="29"/>
    <n v="150.40692196650798"/>
    <n v="0"/>
    <n v="0"/>
    <n v="0"/>
    <n v="0"/>
    <n v="0"/>
    <n v="0"/>
    <n v="0"/>
    <n v="0"/>
    <n v="0"/>
    <n v="0"/>
    <n v="207.11689157860928"/>
    <n v="0"/>
    <n v="0"/>
    <n v="0"/>
    <n v="6.9694978264714464"/>
    <n v="0"/>
    <n v="-25.576549289437878"/>
    <m/>
    <n v="0"/>
    <n v="0"/>
    <n v="0"/>
    <n v="0"/>
    <n v="-3.9571138873794922"/>
    <n v="-0.46337952936838267"/>
    <n v="0"/>
    <n v="-33.682424732387005"/>
    <m/>
    <m/>
    <m/>
    <n v="0"/>
    <n v="0"/>
    <n v="0"/>
    <n v="-35.625980000000027"/>
    <n v="186.05430999999999"/>
    <n v="0"/>
    <n v="0"/>
    <n v="0"/>
    <n v="0"/>
    <n v="0"/>
    <n v="0"/>
    <n v="0"/>
    <n v="0"/>
    <n v="0"/>
    <n v="0"/>
    <n v="0"/>
    <n v="0"/>
    <n v="0"/>
    <n v="0"/>
    <n v="0"/>
    <n v="172.9699153958270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499"/>
    <s v="Regular"/>
    <s v="Verde"/>
    <s v="A4"/>
    <s v="Poder público"/>
    <s v="Não se aplica"/>
    <s v="Não se aplica"/>
    <s v="Não se aplica"/>
    <s v="Não se aplica"/>
    <s v="CATIVO"/>
    <x v="7"/>
    <n v="50"/>
    <n v="50"/>
    <n v="0"/>
    <n v="0"/>
    <n v="0"/>
    <n v="0"/>
    <n v="43.29"/>
    <m/>
    <m/>
    <n v="2164.5"/>
    <m/>
    <n v="2164.5"/>
    <n v="1674.5"/>
    <n v="0"/>
    <n v="0"/>
    <n v="0"/>
    <n v="0"/>
    <n v="0"/>
    <n v="1183.1993579218999"/>
    <n v="981.45935521857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.220000000000001"/>
    <n v="44.07"/>
    <n v="0"/>
    <n v="1"/>
    <m/>
    <m/>
    <m/>
    <m/>
    <m/>
    <m/>
    <m/>
    <m/>
    <m/>
    <n v="0"/>
    <m/>
    <m/>
    <m/>
    <m/>
    <m/>
    <m/>
    <m/>
    <m/>
    <m/>
    <m/>
    <m/>
    <m/>
    <n v="1674.5"/>
    <n v="-490.03000000000065"/>
    <m/>
    <m/>
    <m/>
    <m/>
    <n v="-489.99999999999989"/>
    <n v="0"/>
    <n v="29"/>
    <n v="11.18300726073312"/>
    <n v="0"/>
    <n v="0"/>
    <n v="0"/>
    <n v="0"/>
    <m/>
    <m/>
    <m/>
    <n v="53.447461056890006"/>
    <n v="0"/>
    <n v="0"/>
    <m/>
    <m/>
    <n v="0"/>
    <n v="0"/>
    <n v="0"/>
    <n v="0"/>
    <n v="0"/>
    <m/>
    <n v="0"/>
    <n v="0"/>
    <m/>
    <n v="0"/>
    <n v="0"/>
    <n v="0"/>
    <n v="0"/>
    <n v="-42.2644537961569"/>
    <m/>
    <m/>
    <n v="981.45935521857996"/>
    <m/>
    <n v="0"/>
    <n v="0"/>
    <n v="-490"/>
    <m/>
    <n v="0"/>
    <m/>
    <n v="-501.3317182060720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500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481.74099999999999"/>
    <n v="481.74099999999999"/>
    <n v="481.74099999999999"/>
    <n v="481.74099999999999"/>
    <m/>
    <n v="356.64"/>
    <n v="87.68"/>
    <m/>
    <n v="214047.16111999998"/>
    <n v="214047.16111999998"/>
    <n v="162105.84649999999"/>
    <n v="0"/>
    <n v="16419.485779812538"/>
    <n v="0"/>
    <n v="0"/>
    <n v="0"/>
    <n v="30905.821390264995"/>
    <n v="110631.96273126632"/>
    <n v="40864.592835049341"/>
    <n v="1372.9430529290801"/>
    <n v="0"/>
    <n v="0"/>
    <n v="0"/>
    <n v="0"/>
    <n v="2537.248164397025"/>
    <m/>
    <n v="549.812256916828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87.0712459118058"/>
    <n v="0"/>
    <n v="371.68"/>
    <n v="1604.18"/>
    <n v="58121.77"/>
    <n v="62"/>
    <m/>
    <m/>
    <m/>
    <m/>
    <m/>
    <m/>
    <m/>
    <m/>
    <m/>
    <n v="43851.664080961149"/>
    <m/>
    <m/>
    <m/>
    <m/>
    <m/>
    <m/>
    <m/>
    <m/>
    <m/>
    <m/>
    <m/>
    <m/>
    <n v="162105.51"/>
    <n v="-51941.681119999994"/>
    <m/>
    <m/>
    <m/>
    <m/>
    <n v="-59215.603719999992"/>
    <n v="7274.2890999999972"/>
    <n v="29"/>
    <n v="4571.5823410846642"/>
    <n v="0"/>
    <n v="0"/>
    <n v="0"/>
    <n v="0"/>
    <n v="0"/>
    <n v="0"/>
    <n v="0"/>
    <n v="1396.0772325710714"/>
    <n v="0"/>
    <n v="0"/>
    <n v="8102.345217227783"/>
    <n v="0"/>
    <n v="0"/>
    <n v="0"/>
    <n v="592.25556267072261"/>
    <n v="0"/>
    <n v="-1150.0531755031061"/>
    <m/>
    <n v="0"/>
    <n v="0"/>
    <n v="0"/>
    <n v="0"/>
    <n v="-154.80100408549379"/>
    <n v="-35.032709652365043"/>
    <n v="0"/>
    <n v="-4179.2087821439309"/>
    <m/>
    <m/>
    <m/>
    <n v="110631.96273126632"/>
    <n v="0"/>
    <n v="0"/>
    <n v="-59215.603719999985"/>
    <n v="7274.2890999999945"/>
    <n v="0"/>
    <n v="0"/>
    <n v="-56511.063519510935"/>
    <n v="0"/>
    <n v="0"/>
    <n v="0"/>
    <n v="0"/>
    <n v="0"/>
    <n v="0"/>
    <n v="0"/>
    <n v="0"/>
    <n v="0"/>
    <n v="0"/>
    <n v="0"/>
    <n v="0"/>
    <n v="7777.616840189579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01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50.831000000000003"/>
    <n v="47.781140000000001"/>
    <n v="50.831000000000003"/>
    <n v="47.781140000000001"/>
    <m/>
    <n v="648.44000000000005"/>
    <n v="159.41"/>
    <m/>
    <n v="41063.823349999999"/>
    <n v="41063.823349999999"/>
    <n v="31099.422420000003"/>
    <n v="0"/>
    <n v="3150.009809773871"/>
    <n v="0"/>
    <n v="0"/>
    <n v="0"/>
    <n v="5929.1528287779029"/>
    <n v="21224.280257697912"/>
    <n v="7839.7015612440437"/>
    <n v="263.39339386040552"/>
    <n v="0"/>
    <n v="0"/>
    <n v="0"/>
    <n v="0"/>
    <n v="486.76046953357326"/>
    <m/>
    <n v="105.479186501155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3.05715010175265"/>
    <n v="0"/>
    <n v="58.76"/>
    <n v="253.67"/>
    <n v="12881.82"/>
    <n v="13"/>
    <m/>
    <m/>
    <m/>
    <m/>
    <n v="1865.9653452000016"/>
    <m/>
    <m/>
    <m/>
    <m/>
    <n v="8412.7587113457957"/>
    <m/>
    <m/>
    <m/>
    <m/>
    <m/>
    <m/>
    <m/>
    <m/>
    <m/>
    <m/>
    <m/>
    <m/>
    <n v="29232.759599999998"/>
    <n v="-9367.2643490000046"/>
    <m/>
    <m/>
    <m/>
    <m/>
    <n v="-11360.728500000003"/>
    <n v="1396.3275699999999"/>
    <n v="29"/>
    <n v="877.03898975393167"/>
    <n v="0"/>
    <n v="0"/>
    <n v="0"/>
    <n v="0"/>
    <n v="0"/>
    <n v="0"/>
    <n v="0"/>
    <n v="267.8315896596223"/>
    <n v="0"/>
    <n v="0"/>
    <n v="1554.4011096755175"/>
    <n v="0"/>
    <n v="0"/>
    <n v="0"/>
    <n v="113.62175754612633"/>
    <n v="0"/>
    <n v="-220.63290124775494"/>
    <m/>
    <n v="0"/>
    <n v="0"/>
    <n v="0"/>
    <n v="0"/>
    <n v="-29.697926474145447"/>
    <n v="-6.7208791156891721"/>
    <n v="0"/>
    <n v="-801.76376028974596"/>
    <m/>
    <m/>
    <m/>
    <n v="21224.280257697912"/>
    <n v="0"/>
    <n v="0"/>
    <n v="-11360.728500000001"/>
    <n v="1396.3275700000004"/>
    <n v="0"/>
    <n v="0"/>
    <n v="-10841.411651641116"/>
    <n v="0"/>
    <n v="0"/>
    <n v="0"/>
    <n v="0"/>
    <n v="0"/>
    <n v="0"/>
    <n v="0"/>
    <n v="0"/>
    <n v="0"/>
    <n v="0"/>
    <n v="0"/>
    <n v="0"/>
    <n v="1492.103325999496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02"/>
    <s v="Regular"/>
    <s v="Azul"/>
    <s v="A4"/>
    <s v="Serviço público"/>
    <s v="Água, esgoto e saneamento"/>
    <s v="Não se aplica"/>
    <s v="Não se aplica"/>
    <s v="Ponta"/>
    <s v="CATIVO"/>
    <x v="7"/>
    <n v="708"/>
    <n v="665.52"/>
    <n v="36.389000000000003"/>
    <n v="34.205660000000002"/>
    <n v="36.389000000000003"/>
    <n v="34.205660000000002"/>
    <n v="112.91"/>
    <n v="95.29"/>
    <n v="159.41"/>
    <n v="79940.28"/>
    <n v="9268.2783000000018"/>
    <n v="89208.55829999999"/>
    <n v="57611.597990000009"/>
    <n v="0"/>
    <n v="1961.8808416525221"/>
    <n v="0"/>
    <n v="0"/>
    <n v="0"/>
    <n v="17972.872804850485"/>
    <n v="61965.112641339554"/>
    <n v="5612.3015504733239"/>
    <n v="188.55860024761066"/>
    <n v="0"/>
    <n v="0"/>
    <n v="0"/>
    <n v="0"/>
    <n v="348.46307815815544"/>
    <m/>
    <n v="39.072084103494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.85433804746151"/>
    <n v="0"/>
    <n v="0"/>
    <n v="0"/>
    <n v="0"/>
    <n v="0"/>
    <m/>
    <m/>
    <m/>
    <m/>
    <n v="3456.6958794000016"/>
    <m/>
    <m/>
    <m/>
    <m/>
    <n v="5801.1558885207851"/>
    <m/>
    <m/>
    <m/>
    <m/>
    <m/>
    <m/>
    <m/>
    <m/>
    <m/>
    <m/>
    <m/>
    <m/>
    <n v="54156.103899999995"/>
    <n v="-29699.970901999979"/>
    <m/>
    <m/>
    <m/>
    <m/>
    <n v="-32596.566139999995"/>
    <n v="999.60583000000008"/>
    <n v="29"/>
    <n v="59.184551729755185"/>
    <n v="0"/>
    <n v="0"/>
    <n v="0"/>
    <n v="0"/>
    <n v="0"/>
    <n v="0"/>
    <n v="0"/>
    <n v="811.87030138765112"/>
    <n v="0"/>
    <n v="0"/>
    <n v="1112.7678381299293"/>
    <n v="0"/>
    <n v="0"/>
    <n v="0"/>
    <n v="37.444715252837682"/>
    <n v="0"/>
    <n v="-137.41400444313535"/>
    <m/>
    <n v="0"/>
    <n v="0"/>
    <n v="0"/>
    <n v="0"/>
    <n v="-21.26021220254728"/>
    <n v="-2.4895788711333395"/>
    <n v="0"/>
    <n v="-1741.7345075238529"/>
    <m/>
    <m/>
    <n v="61965.112641339554"/>
    <n v="0"/>
    <n v="0"/>
    <n v="0"/>
    <n v="-32596.566139999988"/>
    <n v="999.60582999999951"/>
    <n v="0"/>
    <n v="0"/>
    <n v="-31651.923458814021"/>
    <n v="0"/>
    <n v="0"/>
    <n v="0"/>
    <n v="0"/>
    <n v="0"/>
    <n v="0"/>
    <n v="0"/>
    <n v="0"/>
    <n v="0"/>
    <n v="0"/>
    <n v="0"/>
    <n v="0"/>
    <n v="929.3078770616790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03"/>
    <s v="Regular"/>
    <s v="Azul"/>
    <s v="A4"/>
    <s v="Serviço público"/>
    <s v="Água, esgoto e saneamento"/>
    <s v="Não se aplica"/>
    <s v="Não se aplica"/>
    <s v="Fora ponta"/>
    <s v="CATIVO"/>
    <x v="7"/>
    <n v="718"/>
    <n v="674.92"/>
    <n v="362.286"/>
    <n v="340.54883999999998"/>
    <n v="362.286"/>
    <n v="340.54883999999998"/>
    <n v="43.29"/>
    <n v="95.29"/>
    <n v="159.41"/>
    <n v="31082.22"/>
    <n v="92274.244200000001"/>
    <n v="123356.4642"/>
    <n v="124366.43625999999"/>
    <n v="0"/>
    <n v="19532.330171176058"/>
    <n v="0"/>
    <n v="0"/>
    <n v="0"/>
    <n v="16990.742779758486"/>
    <n v="14093.756340938808"/>
    <n v="55875.629435125404"/>
    <n v="1877.2744799061768"/>
    <n v="0"/>
    <n v="0"/>
    <n v="0"/>
    <n v="0"/>
    <n v="3469.2707887989636"/>
    <m/>
    <n v="388.998572687312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0.2188220028754"/>
    <n v="0"/>
    <n v="0"/>
    <n v="0"/>
    <n v="0"/>
    <n v="0"/>
    <m/>
    <m/>
    <m/>
    <m/>
    <n v="7461.9861756000064"/>
    <m/>
    <m/>
    <m/>
    <m/>
    <n v="57755.84825712828"/>
    <m/>
    <m/>
    <m/>
    <m/>
    <m/>
    <m/>
    <m/>
    <m/>
    <m/>
    <m/>
    <m/>
    <m/>
    <n v="116904.77130000001"/>
    <n v="949.664952000021"/>
    <m/>
    <m/>
    <m/>
    <m/>
    <n v="-8942.0243599999994"/>
    <n v="9951.9964199999995"/>
    <n v="29"/>
    <n v="8205.8149341472163"/>
    <n v="0"/>
    <n v="0"/>
    <n v="0"/>
    <n v="0"/>
    <n v="0"/>
    <n v="0"/>
    <n v="0"/>
    <n v="767.5055407769396"/>
    <n v="0"/>
    <n v="0"/>
    <n v="11078.628404318326"/>
    <n v="0"/>
    <n v="0"/>
    <n v="0"/>
    <n v="372.79661738683558"/>
    <n v="0"/>
    <n v="-1368.0829375274334"/>
    <m/>
    <n v="0"/>
    <n v="0"/>
    <n v="0"/>
    <n v="0"/>
    <n v="-211.66498771639908"/>
    <n v="-24.786049930127547"/>
    <n v="0"/>
    <n v="-2408.5816531609098"/>
    <m/>
    <m/>
    <n v="14093.756340938808"/>
    <n v="0"/>
    <n v="0"/>
    <n v="0"/>
    <n v="-8942.0243600000031"/>
    <n v="9951.9964199999959"/>
    <n v="0"/>
    <n v="0"/>
    <n v="-7199.1234734391937"/>
    <n v="0"/>
    <n v="0"/>
    <n v="0"/>
    <n v="0"/>
    <n v="0"/>
    <n v="0"/>
    <n v="0"/>
    <n v="0"/>
    <n v="0"/>
    <n v="0"/>
    <n v="0"/>
    <n v="0"/>
    <n v="9252.115571990640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04"/>
    <s v="Regular"/>
    <s v="Azul"/>
    <s v="A4"/>
    <s v="Serviço público"/>
    <s v="Água, esgoto e saneamento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67.39"/>
    <n v="1584.41"/>
    <n v="77437.6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05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4.6180000000000003"/>
    <n v="4.6180000000000003"/>
    <n v="4.6180000000000003"/>
    <n v="4.6180000000000003"/>
    <m/>
    <n v="648.44000000000005"/>
    <n v="159.41"/>
    <m/>
    <n v="3730.6513000000004"/>
    <n v="3730.6513000000004"/>
    <n v="2825.3847599999999"/>
    <n v="0"/>
    <n v="286.17861740937099"/>
    <n v="0"/>
    <n v="0"/>
    <n v="0"/>
    <n v="538.66396024662811"/>
    <n v="1928.2273854547218"/>
    <n v="712.23744978113734"/>
    <n v="23.929308745595261"/>
    <n v="0"/>
    <n v="0"/>
    <n v="0"/>
    <n v="0"/>
    <n v="44.222223609727159"/>
    <m/>
    <n v="9.5827916677290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062283236015304"/>
    <n v="0"/>
    <n v="5.6"/>
    <n v="24.23"/>
    <n v="1170.29"/>
    <n v="5"/>
    <m/>
    <m/>
    <m/>
    <m/>
    <m/>
    <m/>
    <m/>
    <m/>
    <m/>
    <n v="764.29973301715268"/>
    <m/>
    <m/>
    <m/>
    <m/>
    <m/>
    <m/>
    <m/>
    <m/>
    <m/>
    <m/>
    <m/>
    <m/>
    <n v="2826.6084000000001"/>
    <n v="-904.07290000000103"/>
    <m/>
    <m/>
    <m/>
    <m/>
    <n v="-1032.1230000000003"/>
    <n v="126.85646"/>
    <n v="29"/>
    <n v="79.679055196310628"/>
    <n v="0"/>
    <n v="0"/>
    <n v="0"/>
    <n v="0"/>
    <n v="0"/>
    <n v="0"/>
    <n v="0"/>
    <n v="24.332519152645773"/>
    <n v="0"/>
    <n v="0"/>
    <n v="141.21745243024031"/>
    <n v="0"/>
    <n v="0"/>
    <n v="0"/>
    <n v="10.322544831854799"/>
    <n v="0"/>
    <n v="-20.044514921251448"/>
    <m/>
    <n v="0"/>
    <n v="0"/>
    <n v="0"/>
    <n v="0"/>
    <n v="-2.698058752682492"/>
    <n v="-0.61059235026367098"/>
    <n v="0"/>
    <n v="-72.840295194232795"/>
    <m/>
    <m/>
    <m/>
    <n v="1928.2273854547218"/>
    <n v="0"/>
    <n v="0"/>
    <n v="-1032.1230000000003"/>
    <n v="126.85645999999997"/>
    <n v="0"/>
    <n v="0"/>
    <n v="-984.94302703623146"/>
    <n v="0"/>
    <n v="0"/>
    <n v="0"/>
    <n v="0"/>
    <n v="0"/>
    <n v="0"/>
    <n v="0"/>
    <n v="0"/>
    <n v="0"/>
    <n v="0"/>
    <n v="0"/>
    <n v="0"/>
    <n v="135.557694309883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06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076.29"/>
    <n v="17579.86"/>
    <n v="386.42"/>
    <n v="3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07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96"/>
    <n v="60.36"/>
    <n v="55.07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08"/>
    <s v="Regular"/>
    <s v="Convencional"/>
    <s v="B2"/>
    <s v="Rural"/>
    <s v="Agropecuária rural"/>
    <s v="IRRIG./AQUIC."/>
    <s v="Não se aplica"/>
    <s v="Não se aplica"/>
    <s v="CATIVO"/>
    <x v="7"/>
    <n v="0"/>
    <n v="0"/>
    <n v="3678.5120000000002"/>
    <n v="3678.5120000000002"/>
    <n v="3678.5120000000002"/>
    <n v="3678.5120000000002"/>
    <m/>
    <n v="648.44000000000005"/>
    <n v="159.41"/>
    <m/>
    <n v="2971685.9192000004"/>
    <n v="2971685.9192000004"/>
    <n v="2250587.21184"/>
    <n v="0"/>
    <n v="227958.31058548723"/>
    <n v="0"/>
    <n v="0"/>
    <n v="0"/>
    <n v="429077.92155364755"/>
    <n v="1535947.9376621523"/>
    <n v="567339.54219777195"/>
    <n v="19061.119396357106"/>
    <n v="0"/>
    <n v="0"/>
    <n v="0"/>
    <n v="0"/>
    <n v="35225.634520369138"/>
    <m/>
    <n v="7633.2642146473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470.70888503272"/>
    <n v="0"/>
    <n v="0"/>
    <n v="0"/>
    <n v="0"/>
    <n v="0"/>
    <m/>
    <m/>
    <m/>
    <m/>
    <m/>
    <n v="270076.3510400001"/>
    <m/>
    <m/>
    <m/>
    <n v="608810.25108280464"/>
    <m/>
    <m/>
    <m/>
    <m/>
    <m/>
    <m/>
    <m/>
    <m/>
    <m/>
    <m/>
    <m/>
    <m/>
    <n v="1980509.784"/>
    <n v="-634581.21191999968"/>
    <m/>
    <m/>
    <m/>
    <m/>
    <n v="-822147.43200000026"/>
    <n v="101048.72464"/>
    <n v="29"/>
    <n v="63469.112318815663"/>
    <n v="0"/>
    <n v="0"/>
    <n v="0"/>
    <n v="0"/>
    <n v="0"/>
    <n v="0"/>
    <n v="0"/>
    <n v="19382.300496586657"/>
    <n v="0"/>
    <n v="0"/>
    <n v="112488.11030187702"/>
    <n v="0"/>
    <n v="0"/>
    <n v="0"/>
    <n v="8222.5216618700433"/>
    <n v="0"/>
    <n v="-15966.649777393352"/>
    <m/>
    <n v="0"/>
    <n v="0"/>
    <n v="0"/>
    <n v="0"/>
    <n v="-2149.1644648002548"/>
    <n v="-486.37316750825266"/>
    <n v="0"/>
    <n v="-58021.632731816295"/>
    <m/>
    <m/>
    <m/>
    <n v="1535947.9376621523"/>
    <n v="0"/>
    <n v="0"/>
    <n v="-822147.43200000026"/>
    <n v="101048.72464000003"/>
    <n v="0"/>
    <n v="0"/>
    <n v="-784565.77398637973"/>
    <n v="0"/>
    <n v="0"/>
    <n v="0"/>
    <n v="0"/>
    <n v="0"/>
    <n v="0"/>
    <n v="0"/>
    <n v="0"/>
    <n v="0"/>
    <n v="0"/>
    <n v="0"/>
    <n v="0"/>
    <n v="107979.7759227451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09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8.5120000000000005"/>
    <n v="8.5120000000000005"/>
    <n v="8.5120000000000005"/>
    <n v="8.5120000000000005"/>
    <m/>
    <n v="648.44000000000005"/>
    <n v="159.41"/>
    <m/>
    <n v="6876.4192000000012"/>
    <n v="6876.4192000000012"/>
    <n v="5207.8118400000003"/>
    <n v="0"/>
    <n v="527.49077336261712"/>
    <n v="0"/>
    <n v="0"/>
    <n v="0"/>
    <n v="992.87735591582907"/>
    <n v="3554.1514735796"/>
    <n v="1312.8118606619837"/>
    <n v="44.107032490798368"/>
    <n v="0"/>
    <n v="0"/>
    <n v="0"/>
    <n v="0"/>
    <n v="81.511383145517016"/>
    <m/>
    <n v="17.663214091751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962354894968001"/>
    <n v="0"/>
    <n v="0"/>
    <n v="0"/>
    <n v="0"/>
    <n v="0"/>
    <m/>
    <m/>
    <m/>
    <m/>
    <m/>
    <n v="624.95104000000015"/>
    <m/>
    <m/>
    <m/>
    <n v="1408.7742155569517"/>
    <m/>
    <m/>
    <m/>
    <m/>
    <m/>
    <m/>
    <m/>
    <m/>
    <m/>
    <m/>
    <m/>
    <m/>
    <n v="4581.7839999999997"/>
    <n v="-1469.5119200000017"/>
    <m/>
    <m/>
    <m/>
    <m/>
    <n v="-1902.4320000000007"/>
    <n v="233.82464000000002"/>
    <n v="29"/>
    <n v="146.86620134928398"/>
    <n v="0"/>
    <n v="0"/>
    <n v="0"/>
    <n v="0"/>
    <n v="0"/>
    <n v="0"/>
    <n v="0"/>
    <n v="44.850238853902169"/>
    <n v="0"/>
    <n v="0"/>
    <n v="260.29513968952051"/>
    <n v="0"/>
    <n v="0"/>
    <n v="0"/>
    <n v="19.026743527229982"/>
    <n v="0"/>
    <n v="-36.946494371955907"/>
    <m/>
    <n v="0"/>
    <n v="0"/>
    <n v="0"/>
    <n v="0"/>
    <n v="-4.9731217199725819"/>
    <n v="-1.1254573593426507"/>
    <n v="0"/>
    <n v="-134.26084727009734"/>
    <m/>
    <m/>
    <m/>
    <n v="3554.1514735796"/>
    <n v="0"/>
    <n v="0"/>
    <n v="-1902.4320000000007"/>
    <n v="233.82464000000004"/>
    <n v="0"/>
    <n v="0"/>
    <n v="-1815.4688276596801"/>
    <n v="0"/>
    <n v="0"/>
    <n v="0"/>
    <n v="0"/>
    <n v="0"/>
    <n v="0"/>
    <n v="0"/>
    <n v="0"/>
    <n v="0"/>
    <n v="0"/>
    <n v="0"/>
    <n v="0"/>
    <n v="249.8629480220281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10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85.572999999999993"/>
    <n v="34.229199999999999"/>
    <n v="85.572999999999993"/>
    <n v="34.229199999999999"/>
    <m/>
    <n v="648.44000000000005"/>
    <n v="159.41"/>
    <m/>
    <n v="69130.148050000003"/>
    <n v="69130.148050000003"/>
    <n v="52355.272859999997"/>
    <n v="0"/>
    <n v="5302.9802571615628"/>
    <n v="0"/>
    <n v="0"/>
    <n v="0"/>
    <n v="9981.6134842322863"/>
    <n v="35730.66306962254"/>
    <n v="13197.985121290874"/>
    <n v="443.41765640684781"/>
    <n v="0"/>
    <n v="0"/>
    <n v="0"/>
    <n v="0"/>
    <n v="819.45178452905623"/>
    <m/>
    <n v="177.572159242654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4.73056807179228"/>
    <n v="0"/>
    <n v="0"/>
    <n v="0"/>
    <n v="0"/>
    <n v="0"/>
    <m/>
    <m/>
    <m/>
    <m/>
    <m/>
    <m/>
    <n v="33926.271580000001"/>
    <m/>
    <m/>
    <n v="14162.715689362667"/>
    <m/>
    <m/>
    <m/>
    <m/>
    <m/>
    <m/>
    <m/>
    <m/>
    <m/>
    <m/>
    <m/>
    <m/>
    <n v="18429.431999999997"/>
    <n v="-5904.4785719999963"/>
    <m/>
    <m/>
    <m/>
    <m/>
    <n v="-19125.565500000004"/>
    <n v="2350.6903099999995"/>
    <n v="29"/>
    <n v="1476.4780836539358"/>
    <n v="0"/>
    <n v="0"/>
    <n v="0"/>
    <n v="0"/>
    <n v="0"/>
    <n v="0"/>
    <n v="0"/>
    <n v="450.88927272615001"/>
    <n v="0"/>
    <n v="0"/>
    <n v="2616.804040020128"/>
    <n v="0"/>
    <n v="0"/>
    <n v="0"/>
    <n v="191.28001924995897"/>
    <n v="0"/>
    <n v="-371.43119864795335"/>
    <m/>
    <n v="0"/>
    <n v="0"/>
    <n v="0"/>
    <n v="0"/>
    <n v="-49.995881689757198"/>
    <n v="-11.314469291709173"/>
    <n v="0"/>
    <n v="-1349.7536987128804"/>
    <m/>
    <m/>
    <m/>
    <n v="35730.66306962254"/>
    <n v="0"/>
    <n v="0"/>
    <n v="-19125.565500000004"/>
    <n v="2350.69031"/>
    <n v="0"/>
    <n v="0"/>
    <n v="-18251.305684835737"/>
    <n v="0"/>
    <n v="0"/>
    <n v="0"/>
    <n v="0"/>
    <n v="0"/>
    <n v="0"/>
    <n v="0"/>
    <n v="0"/>
    <n v="0"/>
    <n v="0"/>
    <n v="0"/>
    <n v="0"/>
    <n v="2511.926932693727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11"/>
    <s v="Sistema de Compensação"/>
    <s v="Convencional"/>
    <s v="B2"/>
    <s v="Rural"/>
    <s v="Agropecuária rural"/>
    <s v="IRRIG./AQUIC. PR"/>
    <s v="Não se aplica"/>
    <s v="Não se aplica"/>
    <s v="CATIVO"/>
    <x v="7"/>
    <n v="0"/>
    <n v="0"/>
    <n v="10.581"/>
    <n v="4.2324000000000002"/>
    <n v="10.581"/>
    <n v="4.2324000000000002"/>
    <m/>
    <n v="648.44000000000005"/>
    <n v="159.41"/>
    <m/>
    <n v="8547.8608500000009"/>
    <n v="8547.8608500000009"/>
    <n v="6473.6674199999998"/>
    <n v="0"/>
    <n v="655.70722191610093"/>
    <n v="0"/>
    <n v="0"/>
    <n v="0"/>
    <n v="1234.2146737482831"/>
    <n v="4418.0541285180616"/>
    <n v="1631.915213541406"/>
    <n v="54.828067526449423"/>
    <n v="0"/>
    <n v="0"/>
    <n v="0"/>
    <n v="0"/>
    <n v="101.32424166620248"/>
    <m/>
    <n v="21.9565869719015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.28779101781677"/>
    <n v="0"/>
    <n v="0"/>
    <n v="0"/>
    <n v="0"/>
    <n v="0"/>
    <m/>
    <m/>
    <m/>
    <m/>
    <m/>
    <m/>
    <n v="4194.94326"/>
    <m/>
    <m/>
    <n v="1751.2030045592228"/>
    <m/>
    <m/>
    <m/>
    <m/>
    <m/>
    <m/>
    <m/>
    <m/>
    <m/>
    <m/>
    <m/>
    <m/>
    <n v="2277.4320000000002"/>
    <n v="-731.45348400000012"/>
    <m/>
    <m/>
    <m/>
    <m/>
    <n v="-2364.8535000000006"/>
    <n v="290.66006999999996"/>
    <n v="29"/>
    <n v="182.56476462368209"/>
    <n v="0"/>
    <n v="0"/>
    <n v="0"/>
    <n v="0"/>
    <n v="0"/>
    <n v="0"/>
    <n v="0"/>
    <n v="55.751924026449842"/>
    <n v="0"/>
    <n v="0"/>
    <n v="323.56471722918423"/>
    <n v="0"/>
    <n v="0"/>
    <n v="0"/>
    <n v="23.651547610622686"/>
    <n v="0"/>
    <n v="-45.927027367206961"/>
    <m/>
    <n v="0"/>
    <n v="0"/>
    <n v="0"/>
    <n v="0"/>
    <n v="-6.1819314989461844"/>
    <n v="-1.3990207141922646"/>
    <n v="0"/>
    <n v="-166.89544466222975"/>
    <m/>
    <m/>
    <m/>
    <n v="4418.0541285180616"/>
    <n v="0"/>
    <n v="0"/>
    <n v="-2364.8535000000002"/>
    <n v="290.66007000000013"/>
    <n v="0"/>
    <n v="0"/>
    <n v="-2256.752310322729"/>
    <n v="0"/>
    <n v="0"/>
    <n v="0"/>
    <n v="0"/>
    <n v="0"/>
    <n v="0"/>
    <n v="0"/>
    <n v="0"/>
    <n v="0"/>
    <n v="0"/>
    <n v="0"/>
    <n v="0"/>
    <n v="310.5967872440177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12"/>
    <s v="Regular"/>
    <s v="Verde"/>
    <s v="A4"/>
    <s v="Rural"/>
    <s v="Agropecuária rural"/>
    <s v="Não se aplica"/>
    <s v="Não se aplica"/>
    <s v="Ponta"/>
    <s v="CATIVO"/>
    <x v="7"/>
    <n v="0"/>
    <n v="0"/>
    <n v="8.6349999999999998"/>
    <n v="8.2896000000000001"/>
    <n v="8.6349999999999998"/>
    <n v="8.2896000000000001"/>
    <m/>
    <n v="2810.7"/>
    <n v="159.41"/>
    <m/>
    <n v="25646.899849999998"/>
    <n v="25646.899849999998"/>
    <n v="16334.74315"/>
    <n v="0"/>
    <n v="465.54840934539357"/>
    <n v="0"/>
    <n v="0"/>
    <n v="0"/>
    <n v="5271.8021488940076"/>
    <n v="18175.715686825177"/>
    <n v="1331.782238817696"/>
    <n v="44.74438740108598"/>
    <n v="0"/>
    <n v="0"/>
    <n v="0"/>
    <n v="0"/>
    <n v="82.689237953658292"/>
    <m/>
    <n v="9.27168776920703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814565089445438"/>
    <n v="0"/>
    <n v="0"/>
    <n v="0"/>
    <n v="0"/>
    <n v="0"/>
    <m/>
    <m/>
    <m/>
    <m/>
    <m/>
    <n v="653.38972599999943"/>
    <m/>
    <m/>
    <m/>
    <n v="1376.5968039071415"/>
    <m/>
    <m/>
    <m/>
    <m/>
    <m/>
    <m/>
    <m/>
    <m/>
    <m/>
    <m/>
    <m/>
    <m/>
    <n v="15682.110099999998"/>
    <n v="-8938.9437559999933"/>
    <m/>
    <m/>
    <m/>
    <m/>
    <n v="-9549.3601499999986"/>
    <n v="237.20344999999998"/>
    <n v="29"/>
    <n v="-27.913475051316709"/>
    <n v="0"/>
    <n v="0"/>
    <n v="0"/>
    <n v="0"/>
    <n v="0"/>
    <n v="0"/>
    <n v="0"/>
    <n v="238.13775604774037"/>
    <n v="0"/>
    <n v="0"/>
    <n v="264.05645338569184"/>
    <n v="0"/>
    <n v="0"/>
    <n v="0"/>
    <n v="8.8855180468892598"/>
    <n v="0"/>
    <n v="-32.607928999600801"/>
    <m/>
    <n v="0"/>
    <n v="0"/>
    <n v="0"/>
    <n v="0"/>
    <n v="-5.0449842636235047"/>
    <n v="-0.59076956091776012"/>
    <n v="0"/>
    <n v="-500.74951970749589"/>
    <m/>
    <m/>
    <m/>
    <n v="18175.715686825177"/>
    <n v="0"/>
    <n v="0"/>
    <n v="-9549.3601499999986"/>
    <n v="237.20344999999998"/>
    <n v="0"/>
    <n v="0"/>
    <n v="-9284.1977881719995"/>
    <n v="0"/>
    <n v="0"/>
    <n v="0"/>
    <n v="0"/>
    <n v="0"/>
    <n v="0"/>
    <n v="0"/>
    <n v="0"/>
    <n v="0"/>
    <n v="0"/>
    <n v="0"/>
    <n v="0"/>
    <n v="220.5219576912692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13"/>
    <s v="Sistema de Compensação"/>
    <s v="Verde"/>
    <s v="A4"/>
    <s v="Rural"/>
    <s v="Agropecuária rural"/>
    <s v="Não se aplica"/>
    <s v="Não se aplica"/>
    <s v="Ponta"/>
    <s v="CATIVO"/>
    <x v="7"/>
    <n v="0"/>
    <n v="0"/>
    <n v="2.1429999999999998"/>
    <n v="2.05728"/>
    <n v="2.1429999999999998"/>
    <n v="2.05728"/>
    <m/>
    <n v="2810.7"/>
    <n v="159.41"/>
    <m/>
    <n v="6364.9457299999995"/>
    <n v="6364.9457299999995"/>
    <n v="4053.8916699999995"/>
    <n v="0"/>
    <n v="115.53795497709072"/>
    <n v="0"/>
    <n v="0"/>
    <n v="0"/>
    <n v="1308.3349166276616"/>
    <n v="4510.7769214668624"/>
    <n v="330.51642591619253"/>
    <n v="11.104484331271252"/>
    <n v="0"/>
    <n v="0"/>
    <n v="0"/>
    <n v="0"/>
    <n v="20.521486616640384"/>
    <m/>
    <n v="2.3010106415067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121900751208056"/>
    <n v="0"/>
    <n v="0"/>
    <n v="0"/>
    <n v="0"/>
    <n v="0"/>
    <m/>
    <m/>
    <m/>
    <m/>
    <m/>
    <n v="162.15566679999961"/>
    <m/>
    <m/>
    <m/>
    <n v="341.63832666740058"/>
    <m/>
    <m/>
    <m/>
    <m/>
    <m/>
    <m/>
    <m/>
    <m/>
    <m/>
    <m/>
    <m/>
    <m/>
    <n v="3896.8813999999998"/>
    <n v="-2213.4965008000004"/>
    <m/>
    <m/>
    <m/>
    <m/>
    <n v="-2369.9222699999996"/>
    <n v="58.868209999999991"/>
    <n v="29"/>
    <n v="-6.9274553601592288"/>
    <n v="0"/>
    <n v="0"/>
    <n v="0"/>
    <n v="0"/>
    <n v="0"/>
    <n v="0"/>
    <n v="0"/>
    <n v="59.100082363671845"/>
    <n v="0"/>
    <n v="0"/>
    <n v="65.532481714596088"/>
    <n v="0"/>
    <n v="0"/>
    <n v="0"/>
    <n v="2.2051725737676531"/>
    <n v="0"/>
    <n v="-8.0925062937052132"/>
    <m/>
    <n v="0"/>
    <n v="0"/>
    <n v="0"/>
    <n v="0"/>
    <n v="-1.2520441548286243"/>
    <n v="-0.14661484297009375"/>
    <n v="0"/>
    <n v="-124.27402672069063"/>
    <m/>
    <m/>
    <m/>
    <n v="4510.7769214668624"/>
    <n v="0"/>
    <n v="0"/>
    <n v="-2369.9222699999996"/>
    <n v="58.868209999999976"/>
    <n v="0"/>
    <n v="0"/>
    <n v="-2304.1153283210888"/>
    <n v="0"/>
    <n v="0"/>
    <n v="0"/>
    <n v="0"/>
    <n v="0"/>
    <n v="0"/>
    <n v="0"/>
    <n v="0"/>
    <n v="0"/>
    <n v="0"/>
    <n v="0"/>
    <n v="0"/>
    <n v="54.72826350114534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14"/>
    <s v="Regular"/>
    <s v="Verde"/>
    <s v="A4"/>
    <s v="Rural"/>
    <s v="Agropecuária rural"/>
    <s v="Não se aplica"/>
    <s v="Não se aplica"/>
    <s v="Fora ponta"/>
    <s v="CATIVO"/>
    <x v="7"/>
    <n v="0"/>
    <n v="0"/>
    <n v="455.95800000000003"/>
    <n v="437.71967999999998"/>
    <n v="455.95800000000003"/>
    <n v="437.71967999999998"/>
    <m/>
    <n v="95.29"/>
    <n v="159.41"/>
    <m/>
    <n v="116132.50260000001"/>
    <n v="116132.50260000001"/>
    <n v="126259.32978"/>
    <n v="0"/>
    <n v="24582.573436978226"/>
    <n v="0"/>
    <n v="0"/>
    <n v="0"/>
    <n v="0"/>
    <n v="0"/>
    <n v="70322.729131075757"/>
    <n v="2362.6591071944836"/>
    <n v="0"/>
    <n v="0"/>
    <n v="0"/>
    <n v="0"/>
    <n v="4366.2790456136809"/>
    <m/>
    <n v="489.57732621564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6.3647329534874"/>
    <n v="0"/>
    <n v="0"/>
    <n v="0"/>
    <n v="0"/>
    <n v="0"/>
    <m/>
    <m/>
    <m/>
    <m/>
    <m/>
    <n v="5050.3731912000121"/>
    <m/>
    <m/>
    <m/>
    <n v="72689.093864029244"/>
    <m/>
    <m/>
    <m/>
    <m/>
    <m/>
    <m/>
    <m/>
    <m/>
    <m/>
    <m/>
    <m/>
    <m/>
    <n v="121209.04519999999"/>
    <n v="9721.8127039999963"/>
    <m/>
    <m/>
    <m/>
    <m/>
    <n v="-2398.3390800000025"/>
    <n v="12525.16626"/>
    <n v="29"/>
    <n v="10125.385992323165"/>
    <n v="0"/>
    <n v="0"/>
    <n v="0"/>
    <n v="0"/>
    <n v="0"/>
    <n v="0"/>
    <n v="0"/>
    <n v="0"/>
    <n v="0"/>
    <n v="0"/>
    <n v="13943.098132348954"/>
    <n v="0"/>
    <n v="0"/>
    <n v="0"/>
    <n v="469.18622323376212"/>
    <n v="0"/>
    <n v="-1721.8119387145343"/>
    <m/>
    <n v="0"/>
    <n v="0"/>
    <n v="0"/>
    <n v="0"/>
    <n v="-266.39269656899251"/>
    <n v="-31.194685287427887"/>
    <n v="0"/>
    <n v="-2267.4990426885747"/>
    <m/>
    <m/>
    <m/>
    <n v="0"/>
    <n v="0"/>
    <n v="0"/>
    <n v="-2398.3390799999979"/>
    <n v="12525.166259999998"/>
    <n v="0"/>
    <n v="0"/>
    <n v="0"/>
    <n v="0"/>
    <n v="0"/>
    <n v="0"/>
    <n v="0"/>
    <n v="0"/>
    <n v="0"/>
    <n v="0"/>
    <n v="0"/>
    <n v="0"/>
    <n v="0"/>
    <n v="0"/>
    <n v="0"/>
    <n v="11644.32551071172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15"/>
    <s v="Sistema de Compensação"/>
    <s v="Verde"/>
    <s v="A4"/>
    <s v="Rural"/>
    <s v="Agropecuária rural"/>
    <s v="Não se aplica"/>
    <s v="Não se aplica"/>
    <s v="Fora ponta"/>
    <s v="CATIVO"/>
    <x v="7"/>
    <n v="0"/>
    <n v="0"/>
    <n v="73.203999999999994"/>
    <n v="70.275840000000002"/>
    <n v="73.203999999999994"/>
    <n v="70.275840000000002"/>
    <m/>
    <n v="95.29"/>
    <n v="159.41"/>
    <m/>
    <n v="18645.058799999999"/>
    <n v="18645.058799999999"/>
    <n v="20270.91964"/>
    <n v="0"/>
    <n v="3946.7290975935366"/>
    <n v="0"/>
    <n v="0"/>
    <n v="0"/>
    <n v="0"/>
    <n v="0"/>
    <n v="11290.305386266429"/>
    <n v="379.32462481865639"/>
    <n v="0"/>
    <n v="0"/>
    <n v="0"/>
    <n v="0"/>
    <n v="701.00555589572684"/>
    <m/>
    <n v="78.6015786284923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9.91956257183131"/>
    <n v="0"/>
    <n v="0"/>
    <n v="0"/>
    <n v="0"/>
    <n v="0"/>
    <m/>
    <m/>
    <m/>
    <m/>
    <m/>
    <n v="810.83678559999748"/>
    <m/>
    <m/>
    <m/>
    <n v="11670.22494883826"/>
    <m/>
    <m/>
    <m/>
    <m/>
    <m/>
    <m/>
    <m/>
    <m/>
    <m/>
    <m/>
    <m/>
    <m/>
    <n v="19461.234799999998"/>
    <n v="1561.9483519999958"/>
    <m/>
    <m/>
    <m/>
    <m/>
    <n v="-385.05304000000035"/>
    <n v="2010.9138799999998"/>
    <n v="29"/>
    <n v="1625.6294574983367"/>
    <n v="0"/>
    <n v="0"/>
    <n v="0"/>
    <n v="0"/>
    <n v="0"/>
    <n v="0"/>
    <n v="0"/>
    <n v="0"/>
    <n v="0"/>
    <n v="0"/>
    <n v="2238.5626651587936"/>
    <n v="0"/>
    <n v="0"/>
    <n v="0"/>
    <n v="75.327789589401448"/>
    <n v="0"/>
    <n v="-276.43669189192588"/>
    <m/>
    <n v="0"/>
    <n v="0"/>
    <n v="0"/>
    <n v="0"/>
    <n v="-42.769314190422051"/>
    <n v="-5.0083028300432773"/>
    <n v="0"/>
    <n v="-364.04668833746615"/>
    <m/>
    <m/>
    <m/>
    <n v="0"/>
    <n v="0"/>
    <n v="0"/>
    <n v="-385.05304000000069"/>
    <n v="2010.9138800000001"/>
    <n v="0"/>
    <n v="0"/>
    <n v="0"/>
    <n v="0"/>
    <n v="0"/>
    <n v="0"/>
    <n v="0"/>
    <n v="0"/>
    <n v="0"/>
    <n v="0"/>
    <n v="0"/>
    <n v="0"/>
    <n v="0"/>
    <n v="0"/>
    <n v="0"/>
    <n v="1869.495007623818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16"/>
    <s v="Regular"/>
    <s v="Verde"/>
    <s v="A4"/>
    <s v="Rural"/>
    <s v="Agropecuária rural"/>
    <s v="Não se aplica"/>
    <s v="Não se aplica"/>
    <s v="Não se aplica"/>
    <s v="CATIVO"/>
    <x v="7"/>
    <n v="7404"/>
    <n v="7107.84"/>
    <n v="0"/>
    <n v="0"/>
    <n v="0"/>
    <n v="0"/>
    <n v="43.29"/>
    <m/>
    <m/>
    <n v="320519.15999999997"/>
    <m/>
    <n v="320519.15999999997"/>
    <n v="247959.96000000002"/>
    <n v="0"/>
    <n v="0"/>
    <n v="0"/>
    <n v="0"/>
    <n v="0"/>
    <n v="175208.16092107497"/>
    <n v="145334.501320767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20.93"/>
    <n v="3541.07"/>
    <n v="214.64"/>
    <n v="42"/>
    <m/>
    <m/>
    <m/>
    <m/>
    <m/>
    <n v="9918.3983999999964"/>
    <m/>
    <m/>
    <m/>
    <n v="0"/>
    <m/>
    <m/>
    <m/>
    <m/>
    <m/>
    <m/>
    <m/>
    <m/>
    <m/>
    <m/>
    <m/>
    <m/>
    <n v="238041.56160000002"/>
    <n v="-69656.862000000023"/>
    <m/>
    <m/>
    <m/>
    <m/>
    <n v="-72559.199999999983"/>
    <n v="0"/>
    <n v="29"/>
    <n v="1655.9797151693201"/>
    <n v="0"/>
    <n v="0"/>
    <n v="0"/>
    <n v="0"/>
    <m/>
    <m/>
    <m/>
    <n v="7914.5000333042408"/>
    <n v="0"/>
    <n v="0"/>
    <m/>
    <m/>
    <n v="0"/>
    <n v="0"/>
    <n v="0"/>
    <n v="0"/>
    <n v="0"/>
    <m/>
    <n v="0"/>
    <n v="0"/>
    <m/>
    <n v="0"/>
    <n v="0"/>
    <n v="0"/>
    <n v="0"/>
    <n v="-6258.5203181349134"/>
    <m/>
    <m/>
    <n v="145334.50132076733"/>
    <m/>
    <n v="0"/>
    <n v="0"/>
    <n v="-72559.199999999953"/>
    <m/>
    <n v="0"/>
    <m/>
    <n v="-74237.20083195515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517"/>
    <s v="Sistema de Compensação"/>
    <s v="Verde"/>
    <s v="A4"/>
    <s v="Rural"/>
    <s v="Agropecuária rural"/>
    <s v="Não se aplica"/>
    <s v="Não se aplica"/>
    <s v="Não se aplica"/>
    <s v="CATIVO"/>
    <x v="7"/>
    <n v="724"/>
    <n v="695.04"/>
    <n v="0"/>
    <n v="0"/>
    <n v="0"/>
    <n v="0"/>
    <n v="43.29"/>
    <m/>
    <m/>
    <n v="31341.96"/>
    <m/>
    <n v="31341.96"/>
    <n v="24246.760000000002"/>
    <n v="0"/>
    <n v="0"/>
    <n v="0"/>
    <n v="0"/>
    <n v="0"/>
    <n v="17132.726702709111"/>
    <n v="14211.5314635650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8.96"/>
    <n v="426.85"/>
    <n v="323.14999999999998"/>
    <n v="4"/>
    <m/>
    <m/>
    <m/>
    <m/>
    <m/>
    <n v="969.87040000000127"/>
    <m/>
    <m/>
    <m/>
    <n v="0"/>
    <m/>
    <m/>
    <m/>
    <m/>
    <m/>
    <m/>
    <m/>
    <m/>
    <m/>
    <m/>
    <m/>
    <m/>
    <n v="23276.889599999999"/>
    <n v="-6811.421999999995"/>
    <m/>
    <m/>
    <m/>
    <m/>
    <n v="-7095.199999999998"/>
    <n v="0"/>
    <n v="29"/>
    <n v="161.92994513541635"/>
    <n v="0"/>
    <n v="0"/>
    <n v="0"/>
    <n v="0"/>
    <m/>
    <m/>
    <m/>
    <n v="773.91923610376762"/>
    <n v="0"/>
    <n v="0"/>
    <m/>
    <m/>
    <n v="0"/>
    <n v="0"/>
    <n v="0"/>
    <n v="0"/>
    <n v="0"/>
    <m/>
    <n v="0"/>
    <n v="0"/>
    <m/>
    <n v="0"/>
    <n v="0"/>
    <n v="0"/>
    <n v="0"/>
    <n v="-611.98929096835184"/>
    <m/>
    <m/>
    <n v="14211.531463565037"/>
    <m/>
    <n v="0"/>
    <n v="0"/>
    <n v="-7095.1999999999971"/>
    <m/>
    <n v="0"/>
    <m/>
    <n v="-7259.283279623922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518"/>
    <s v="Regular"/>
    <s v="Verde"/>
    <s v="A4"/>
    <s v="Rural"/>
    <s v="Agropecuária rural"/>
    <s v="IRRIG./AQUIC. PR"/>
    <s v="Não se aplica"/>
    <s v="Fora ponta"/>
    <s v="CATIVO"/>
    <x v="7"/>
    <n v="0"/>
    <n v="0"/>
    <n v="451.13200000000001"/>
    <n v="135.33959999999999"/>
    <n v="451.13200000000001"/>
    <n v="135.33959999999999"/>
    <m/>
    <n v="95.29"/>
    <n v="159.41"/>
    <m/>
    <n v="114903.3204"/>
    <n v="114903.3204"/>
    <n v="124922.96212000001"/>
    <n v="0"/>
    <n v="24322.383903278067"/>
    <n v="0"/>
    <n v="0"/>
    <n v="0"/>
    <n v="0"/>
    <n v="0"/>
    <n v="69578.411692218287"/>
    <n v="2337.651995023361"/>
    <n v="0"/>
    <n v="0"/>
    <n v="0"/>
    <n v="0"/>
    <n v="4320.0650024909992"/>
    <m/>
    <n v="484.395488905374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1.3183992972436"/>
    <n v="0"/>
    <n v="0"/>
    <n v="0"/>
    <n v="0"/>
    <n v="0"/>
    <m/>
    <m/>
    <m/>
    <m/>
    <m/>
    <m/>
    <n v="87446.073484000008"/>
    <m/>
    <m/>
    <n v="71919.730091515536"/>
    <m/>
    <m/>
    <m/>
    <m/>
    <m/>
    <m/>
    <m/>
    <m/>
    <m/>
    <m/>
    <m/>
    <m/>
    <n v="37476.999400000001"/>
    <n v="3005.9732799999983"/>
    <m/>
    <m/>
    <m/>
    <m/>
    <n v="-2372.9543200000026"/>
    <n v="12392.59604"/>
    <n v="29"/>
    <n v="10018.215786297747"/>
    <n v="0"/>
    <n v="0"/>
    <n v="0"/>
    <n v="0"/>
    <n v="0"/>
    <n v="0"/>
    <n v="0"/>
    <n v="0"/>
    <n v="0"/>
    <n v="0"/>
    <n v="13795.520084399992"/>
    <n v="0"/>
    <n v="0"/>
    <n v="0"/>
    <n v="464.22021164206672"/>
    <n v="0"/>
    <n v="-1703.5877504861528"/>
    <m/>
    <n v="0"/>
    <n v="0"/>
    <n v="0"/>
    <n v="0"/>
    <n v="-263.57311416525772"/>
    <n v="-30.864511124024432"/>
    <n v="0"/>
    <n v="-2243.4991339688786"/>
    <m/>
    <m/>
    <m/>
    <n v="0"/>
    <n v="0"/>
    <n v="0"/>
    <n v="-2372.9543200000044"/>
    <n v="12392.596040000004"/>
    <n v="0"/>
    <n v="0"/>
    <n v="0"/>
    <n v="0"/>
    <n v="0"/>
    <n v="0"/>
    <n v="0"/>
    <n v="0"/>
    <n v="0"/>
    <n v="0"/>
    <n v="0"/>
    <n v="0"/>
    <n v="0"/>
    <n v="0"/>
    <n v="0"/>
    <n v="11521.07838068068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20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86"/>
    <n v="59.88"/>
    <n v="46.62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21"/>
    <s v="Regular"/>
    <s v="Convencional"/>
    <s v="B2"/>
    <s v="Rural"/>
    <s v="Aquicultura"/>
    <s v="IRRIG./AQUIC."/>
    <s v="Não se aplica"/>
    <s v="Não se aplica"/>
    <s v="CATIVO"/>
    <x v="7"/>
    <n v="0"/>
    <n v="0"/>
    <n v="8.0289999999999999"/>
    <n v="8.0289999999999999"/>
    <n v="8.0289999999999999"/>
    <n v="8.0289999999999999"/>
    <m/>
    <n v="648.44000000000005"/>
    <n v="159.41"/>
    <m/>
    <n v="6486.2276500000007"/>
    <n v="6486.2276500000007"/>
    <n v="4912.30278"/>
    <n v="0"/>
    <n v="497.55914230832383"/>
    <n v="0"/>
    <n v="0"/>
    <n v="0"/>
    <n v="936.5380980554736"/>
    <n v="3352.4767600294413"/>
    <n v="1238.3184244895522"/>
    <n v="41.604248574790894"/>
    <n v="0"/>
    <n v="0"/>
    <n v="0"/>
    <n v="0"/>
    <n v="76.886148411108564"/>
    <m/>
    <n v="16.660942897400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.517122585960763"/>
    <n v="0"/>
    <n v="0"/>
    <n v="0"/>
    <n v="0"/>
    <n v="0"/>
    <m/>
    <m/>
    <m/>
    <m/>
    <m/>
    <n v="589.48918000000003"/>
    <m/>
    <m/>
    <m/>
    <n v="1328.835547075513"/>
    <m/>
    <m/>
    <m/>
    <m/>
    <m/>
    <m/>
    <m/>
    <m/>
    <m/>
    <m/>
    <m/>
    <m/>
    <n v="4323.3519999999999"/>
    <n v="-1384.5743900000007"/>
    <m/>
    <m/>
    <m/>
    <m/>
    <n v="-1794.4815000000003"/>
    <n v="220.55662999999998"/>
    <n v="29"/>
    <n v="138.53251064772121"/>
    <n v="0"/>
    <n v="0"/>
    <n v="0"/>
    <n v="0"/>
    <n v="0"/>
    <n v="0"/>
    <n v="0"/>
    <n v="42.305282866304196"/>
    <n v="0"/>
    <n v="0"/>
    <n v="245.52510298016432"/>
    <n v="0"/>
    <n v="0"/>
    <n v="0"/>
    <n v="17.947101008003941"/>
    <n v="0"/>
    <n v="-34.850023885389305"/>
    <m/>
    <n v="0"/>
    <n v="0"/>
    <n v="0"/>
    <n v="0"/>
    <n v="-4.6909297802701957"/>
    <n v="-1.0615950585246878"/>
    <n v="0"/>
    <n v="-126.64242748256713"/>
    <m/>
    <m/>
    <m/>
    <n v="3352.4767600294413"/>
    <n v="0"/>
    <n v="0"/>
    <n v="-1794.4815000000003"/>
    <n v="220.55662999999981"/>
    <n v="0"/>
    <n v="0"/>
    <n v="-1712.4529155638591"/>
    <n v="0"/>
    <n v="0"/>
    <n v="0"/>
    <n v="0"/>
    <n v="0"/>
    <n v="0"/>
    <n v="0"/>
    <n v="0"/>
    <n v="0"/>
    <n v="0"/>
    <n v="0"/>
    <n v="0"/>
    <n v="235.6848695569623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22"/>
    <s v="Regular"/>
    <s v="Convencional"/>
    <s v="B2"/>
    <s v="Rural"/>
    <s v="Aquicultura"/>
    <s v="IRRIG./AQUIC. PR"/>
    <s v="Não se aplica"/>
    <s v="Não se aplica"/>
    <s v="CATIVO"/>
    <x v="7"/>
    <n v="0"/>
    <n v="0"/>
    <n v="11.545"/>
    <n v="4.6180000000000003"/>
    <n v="11.545"/>
    <n v="4.6180000000000003"/>
    <m/>
    <n v="648.44000000000005"/>
    <n v="159.41"/>
    <m/>
    <n v="9326.6282499999998"/>
    <n v="9326.6282499999998"/>
    <n v="7063.4619000000002"/>
    <n v="0"/>
    <n v="715.44654352342741"/>
    <n v="0"/>
    <n v="0"/>
    <n v="0"/>
    <n v="1346.6599006165702"/>
    <n v="4820.5684636368042"/>
    <n v="1780.5936244528432"/>
    <n v="59.823271863988154"/>
    <n v="0"/>
    <n v="0"/>
    <n v="0"/>
    <n v="0"/>
    <n v="110.5555590243179"/>
    <m/>
    <n v="23.956979169322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15570809003825"/>
    <n v="0"/>
    <n v="0"/>
    <n v="0"/>
    <n v="0"/>
    <n v="0"/>
    <m/>
    <m/>
    <m/>
    <m/>
    <m/>
    <m/>
    <n v="4577.1306999999997"/>
    <m/>
    <m/>
    <n v="1910.7493325428813"/>
    <m/>
    <m/>
    <m/>
    <m/>
    <m/>
    <m/>
    <m/>
    <m/>
    <m/>
    <m/>
    <m/>
    <m/>
    <n v="2487.4079999999999"/>
    <n v="-795.60438000000113"/>
    <m/>
    <m/>
    <m/>
    <m/>
    <n v="-2580.3075000000008"/>
    <n v="317.14114999999998"/>
    <n v="29"/>
    <n v="199.19763799077555"/>
    <n v="0"/>
    <n v="0"/>
    <n v="0"/>
    <n v="0"/>
    <n v="0"/>
    <n v="0"/>
    <n v="0"/>
    <n v="60.831297881614319"/>
    <n v="0"/>
    <n v="0"/>
    <n v="353.04363107560062"/>
    <n v="0"/>
    <n v="0"/>
    <n v="0"/>
    <n v="25.806362079636983"/>
    <n v="0"/>
    <n v="-50.11128730312862"/>
    <m/>
    <n v="0"/>
    <n v="0"/>
    <n v="0"/>
    <n v="0"/>
    <n v="-6.7451468817062334"/>
    <n v="-1.5264808756591748"/>
    <n v="0"/>
    <n v="-182.10073798558199"/>
    <m/>
    <m/>
    <m/>
    <n v="4820.5684636368042"/>
    <n v="0"/>
    <n v="0"/>
    <n v="-2580.3074999999999"/>
    <n v="317.14114999999993"/>
    <n v="0"/>
    <n v="0"/>
    <n v="-2462.3575675905786"/>
    <n v="0"/>
    <n v="0"/>
    <n v="0"/>
    <n v="0"/>
    <n v="0"/>
    <n v="0"/>
    <n v="0"/>
    <n v="0"/>
    <n v="0"/>
    <n v="0"/>
    <n v="0"/>
    <n v="0"/>
    <n v="338.8942357747080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23"/>
    <s v="Regular"/>
    <s v="Convencional"/>
    <s v="B1"/>
    <s v="Residencial"/>
    <s v="Residencial"/>
    <s v="Não se aplica"/>
    <s v="Não se aplica"/>
    <s v="Não se aplica"/>
    <s v="CATIVO"/>
    <x v="8"/>
    <n v="0"/>
    <n v="0"/>
    <n v="1346.751"/>
    <n v="1346.751"/>
    <n v="1346.751"/>
    <n v="1346.751"/>
    <m/>
    <n v="648.44000000000005"/>
    <n v="159.41"/>
    <m/>
    <n v="1087972.79535"/>
    <n v="1087972.79535"/>
    <n v="823969.19681999995"/>
    <n v="0"/>
    <n v="83458.497006212157"/>
    <n v="0"/>
    <n v="0"/>
    <n v="0"/>
    <n v="157090.99764532407"/>
    <n v="562330.4806384868"/>
    <n v="207710.37196409624"/>
    <n v="6978.523274672837"/>
    <n v="0"/>
    <n v="0"/>
    <n v="0"/>
    <n v="0"/>
    <n v="12896.562119667315"/>
    <m/>
    <n v="2794.63712890987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82.964922127941"/>
    <n v="0"/>
    <n v="1602.47"/>
    <n v="7065.02"/>
    <n v="337390.15"/>
    <n v="7012"/>
    <m/>
    <m/>
    <m/>
    <m/>
    <m/>
    <m/>
    <m/>
    <m/>
    <m/>
    <n v="222893.33688622419"/>
    <m/>
    <m/>
    <m/>
    <m/>
    <m/>
    <m/>
    <m/>
    <m/>
    <m/>
    <m/>
    <m/>
    <m/>
    <n v="823968.58499999996"/>
    <n v="-264004.24035000009"/>
    <m/>
    <m/>
    <m/>
    <m/>
    <n v="-300998.84850000008"/>
    <n v="36995.249969999997"/>
    <n v="31"/>
    <n v="23236.866016605869"/>
    <n v="0"/>
    <n v="0"/>
    <n v="0"/>
    <n v="0"/>
    <n v="0"/>
    <n v="0"/>
    <n v="0"/>
    <n v="7096.1118452457595"/>
    <n v="0"/>
    <n v="0"/>
    <n v="41183.357574248279"/>
    <n v="0"/>
    <n v="0"/>
    <n v="0"/>
    <n v="3010.3719304558854"/>
    <n v="0"/>
    <n v="-5845.5977727826539"/>
    <m/>
    <n v="0"/>
    <n v="0"/>
    <n v="0"/>
    <n v="0"/>
    <n v="-786.83701239365473"/>
    <n v="-178.06753103290339"/>
    <n v="0"/>
    <n v="-21242.473017134733"/>
    <m/>
    <m/>
    <m/>
    <n v="562330.4806384868"/>
    <n v="0"/>
    <n v="0"/>
    <n v="-300998.84850000008"/>
    <n v="36995.249969999975"/>
    <n v="0"/>
    <n v="0"/>
    <n v="-287239.71559204673"/>
    <n v="0"/>
    <n v="0"/>
    <n v="0"/>
    <n v="0"/>
    <n v="0"/>
    <n v="0"/>
    <n v="0"/>
    <n v="0"/>
    <n v="0"/>
    <n v="0"/>
    <n v="0"/>
    <n v="0"/>
    <n v="39532.79782796221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24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5.1840000000000002"/>
    <n v="-5.1840000000000002"/>
    <n v="-5.1840000000000002"/>
    <n v="-5.1840000000000002"/>
    <m/>
    <n v="648.44000000000005"/>
    <n v="159.41"/>
    <m/>
    <n v="-4187.8944000000001"/>
    <n v="-4187.8944000000001"/>
    <n v="-3171.6748800000005"/>
    <n v="0"/>
    <n v="-321.25377926595473"/>
    <n v="0"/>
    <n v="0"/>
    <n v="0"/>
    <n v="-604.68470548257255"/>
    <n v="-2164.5584162402074"/>
    <n v="-799.532035440757"/>
    <n v="-26.862177682365925"/>
    <n v="0"/>
    <n v="0"/>
    <n v="0"/>
    <n v="0"/>
    <n v="-49.642270938247208"/>
    <m/>
    <n v="-10.757295800239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8.443238695431639"/>
    <n v="0"/>
    <n v="-9.89"/>
    <n v="-45.55"/>
    <n v="-1556.44"/>
    <n v="0"/>
    <m/>
    <m/>
    <m/>
    <m/>
    <m/>
    <m/>
    <m/>
    <m/>
    <m/>
    <n v="-857.97527413618866"/>
    <m/>
    <m/>
    <m/>
    <m/>
    <m/>
    <m/>
    <m/>
    <m/>
    <m/>
    <m/>
    <m/>
    <m/>
    <n v="-3169.2275999999997"/>
    <n v="1018.6367999999998"/>
    <m/>
    <m/>
    <m/>
    <m/>
    <n v="1158.6240000000003"/>
    <n v="-142.40448000000001"/>
    <n v="31"/>
    <n v="-89.444829393172995"/>
    <n v="0"/>
    <n v="0"/>
    <n v="0"/>
    <n v="0"/>
    <n v="0"/>
    <n v="0"/>
    <n v="0"/>
    <n v="-27.314807121549507"/>
    <n v="0"/>
    <n v="0"/>
    <n v="-158.52561138985834"/>
    <n v="0"/>
    <n v="0"/>
    <n v="0"/>
    <n v="-11.587715982749081"/>
    <n v="0"/>
    <n v="22.501248452093421"/>
    <m/>
    <n v="0"/>
    <n v="0"/>
    <n v="0"/>
    <n v="0"/>
    <n v="3.0287433031411979"/>
    <n v="0.68542891809589968"/>
    <n v="0"/>
    <n v="81.767884427653257"/>
    <m/>
    <m/>
    <m/>
    <n v="-2164.5584162402074"/>
    <n v="0"/>
    <n v="0"/>
    <n v="1158.6240000000003"/>
    <n v="-142.40448000000004"/>
    <n v="0"/>
    <n v="0"/>
    <n v="1105.6614664694291"/>
    <n v="0"/>
    <n v="0"/>
    <n v="0"/>
    <n v="0"/>
    <n v="0"/>
    <n v="0"/>
    <n v="0"/>
    <n v="0"/>
    <n v="0"/>
    <n v="0"/>
    <n v="0"/>
    <n v="0"/>
    <n v="-152.1721713517614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25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26.321000000000002"/>
    <n v="26.321000000000002"/>
    <n v="26.321000000000002"/>
    <n v="26.321000000000002"/>
    <m/>
    <n v="648.44000000000005"/>
    <n v="159.41"/>
    <m/>
    <n v="21263.419850000002"/>
    <n v="21263.419850000002"/>
    <n v="16103.714220000002"/>
    <n v="0"/>
    <n v="1631.1189668324066"/>
    <n v="0"/>
    <n v="0"/>
    <n v="0"/>
    <n v="3070.1979423238413"/>
    <n v="10990.228023506656"/>
    <n v="4059.5066946057418"/>
    <n v="136.38876905431201"/>
    <n v="0"/>
    <n v="0"/>
    <n v="0"/>
    <n v="0"/>
    <n v="252.05135288688365"/>
    <m/>
    <n v="54.6185923530309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6.73697640865282"/>
    <n v="0"/>
    <n v="30.98"/>
    <n v="138.19999999999999"/>
    <n v="20192.63"/>
    <n v="258"/>
    <m/>
    <m/>
    <m/>
    <m/>
    <m/>
    <m/>
    <m/>
    <m/>
    <m/>
    <n v="4356.2436710143947"/>
    <m/>
    <m/>
    <m/>
    <m/>
    <m/>
    <m/>
    <m/>
    <m/>
    <m/>
    <m/>
    <m/>
    <m/>
    <n v="16103.1024"/>
    <n v="-5160.3474499999975"/>
    <m/>
    <m/>
    <m/>
    <m/>
    <n v="-5882.7435000000014"/>
    <n v="723.03787"/>
    <n v="31"/>
    <n v="454.14300819014716"/>
    <n v="0"/>
    <n v="0"/>
    <n v="0"/>
    <n v="0"/>
    <n v="0"/>
    <n v="0"/>
    <n v="0"/>
    <n v="138.68692867405571"/>
    <n v="0"/>
    <n v="0"/>
    <n v="804.8905511945336"/>
    <n v="0"/>
    <n v="0"/>
    <n v="0"/>
    <n v="58.8349290860221"/>
    <n v="0"/>
    <n v="-114.24679022136411"/>
    <m/>
    <n v="0"/>
    <n v="0"/>
    <n v="0"/>
    <n v="0"/>
    <n v="-15.378000092974446"/>
    <n v="-3.4801648443676996"/>
    <n v="0"/>
    <n v="-415.16444560576036"/>
    <m/>
    <m/>
    <m/>
    <n v="10990.228023506656"/>
    <n v="0"/>
    <n v="0"/>
    <n v="-5882.7435000000005"/>
    <n v="723.03787000000011"/>
    <n v="0"/>
    <n v="0"/>
    <n v="-5613.8340005674863"/>
    <n v="0"/>
    <n v="0"/>
    <n v="0"/>
    <n v="0"/>
    <n v="0"/>
    <n v="0"/>
    <n v="0"/>
    <n v="0"/>
    <n v="0"/>
    <n v="0"/>
    <n v="0"/>
    <n v="0"/>
    <n v="772.6318908467812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26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43.255000000000003"/>
    <n v="43.255000000000003"/>
    <n v="43.255000000000003"/>
    <n v="43.255000000000003"/>
    <m/>
    <n v="547.54"/>
    <n v="159.41"/>
    <m/>
    <n v="30579.12225"/>
    <n v="30579.12225"/>
    <n v="22398.304100000001"/>
    <n v="0"/>
    <n v="0"/>
    <n v="0"/>
    <n v="0"/>
    <n v="0"/>
    <n v="5045.4546557964268"/>
    <n v="18060.951831495018"/>
    <n v="6671.2496514255299"/>
    <n v="224.13647678447879"/>
    <n v="0"/>
    <n v="0"/>
    <n v="0"/>
    <n v="0"/>
    <n v="0"/>
    <m/>
    <n v="89.758261928891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7.64704663790423"/>
    <n v="0"/>
    <n v="12.56"/>
    <n v="43.35"/>
    <n v="2349.84"/>
    <n v="120"/>
    <m/>
    <m/>
    <m/>
    <m/>
    <m/>
    <m/>
    <m/>
    <n v="14558.767900000003"/>
    <m/>
    <n v="7158.8966980634341"/>
    <m/>
    <m/>
    <m/>
    <m/>
    <m/>
    <m/>
    <m/>
    <m/>
    <m/>
    <m/>
    <m/>
    <m/>
    <n v="7840.4423999999999"/>
    <n v="-2862.1722499999996"/>
    <m/>
    <m/>
    <m/>
    <m/>
    <n v="-9369.0329999999994"/>
    <n v="1188.2148500000001"/>
    <n v="31"/>
    <n v="1044.5582324273601"/>
    <n v="0"/>
    <n v="0"/>
    <n v="0"/>
    <n v="0"/>
    <n v="0"/>
    <n v="0"/>
    <n v="0"/>
    <n v="227.9131909804446"/>
    <n v="0"/>
    <n v="0"/>
    <n v="1322.7286498202775"/>
    <n v="0"/>
    <n v="0"/>
    <n v="0"/>
    <n v="96.687240515781639"/>
    <n v="0"/>
    <n v="0"/>
    <m/>
    <n v="0"/>
    <n v="0"/>
    <n v="0"/>
    <n v="0"/>
    <n v="0"/>
    <n v="-5.7191797554471719"/>
    <n v="0"/>
    <n v="-597.05166913369612"/>
    <m/>
    <m/>
    <m/>
    <n v="18060.951831495018"/>
    <n v="0"/>
    <n v="0"/>
    <n v="-9369.0329999999994"/>
    <n v="1188.2148500000003"/>
    <n v="0"/>
    <n v="0"/>
    <n v="-9225.5761443161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27"/>
    <s v="Refaturamento - 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.03"/>
    <n v="-2.029999999999999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28"/>
    <s v="Sistema de Compensação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.4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29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81.864000000000004"/>
    <n v="81.864000000000004"/>
    <n v="81.864000000000004"/>
    <n v="81.864000000000004"/>
    <m/>
    <n v="547.54"/>
    <n v="159.41"/>
    <m/>
    <n v="57873.754799999995"/>
    <n v="57873.754799999995"/>
    <n v="42390.816480000001"/>
    <n v="0"/>
    <n v="0"/>
    <n v="0"/>
    <n v="0"/>
    <n v="0"/>
    <n v="9548.9793074122917"/>
    <n v="34181.984989793273"/>
    <n v="12625.943393001955"/>
    <n v="424.19855590069523"/>
    <n v="0"/>
    <n v="0"/>
    <n v="0"/>
    <n v="0"/>
    <n v="0"/>
    <m/>
    <n v="169.87562951212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2.91614439869136"/>
    <n v="0"/>
    <n v="36.97"/>
    <n v="183.1"/>
    <n v="8428.49"/>
    <n v="364"/>
    <m/>
    <m/>
    <m/>
    <m/>
    <m/>
    <m/>
    <m/>
    <n v="16956.490320000001"/>
    <m/>
    <n v="13548.859537400647"/>
    <m/>
    <m/>
    <m/>
    <m/>
    <m/>
    <m/>
    <m/>
    <m/>
    <m/>
    <m/>
    <m/>
    <m/>
    <n v="25433.0834"/>
    <n v="-9291.1994799999993"/>
    <m/>
    <m/>
    <m/>
    <m/>
    <n v="-17731.742399999999"/>
    <n v="2248.8040799999999"/>
    <n v="31"/>
    <n v="1976.9209372195874"/>
    <n v="0"/>
    <n v="0"/>
    <n v="0"/>
    <n v="0"/>
    <n v="0"/>
    <n v="0"/>
    <n v="0"/>
    <n v="431.34632912780216"/>
    <n v="0"/>
    <n v="0"/>
    <n v="2503.3836131981789"/>
    <n v="0"/>
    <n v="0"/>
    <n v="0"/>
    <n v="182.98934822757928"/>
    <n v="0"/>
    <n v="0"/>
    <m/>
    <n v="0"/>
    <n v="0"/>
    <n v="0"/>
    <n v="0"/>
    <n v="0"/>
    <n v="-10.824064998264419"/>
    <n v="0"/>
    <n v="-1129.9742883357046"/>
    <m/>
    <m/>
    <m/>
    <n v="34181.984989793273"/>
    <n v="0"/>
    <n v="0"/>
    <n v="-17731.742399999999"/>
    <n v="2248.8040799999999"/>
    <n v="0"/>
    <n v="0"/>
    <n v="-17460.23732466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30"/>
    <s v="Refaturamento - 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-0.13500000000000001"/>
    <n v="-0.13500000000000001"/>
    <n v="-0.13500000000000001"/>
    <n v="-0.13500000000000001"/>
    <m/>
    <n v="547.54"/>
    <n v="159.41"/>
    <m/>
    <n v="-95.438250000000011"/>
    <n v="-95.438250000000011"/>
    <n v="-69.905699999999996"/>
    <n v="0"/>
    <n v="0"/>
    <n v="0"/>
    <n v="0"/>
    <n v="0"/>
    <n v="-15.74699753860866"/>
    <n v="-56.368708756255401"/>
    <n v="-20.821146756269716"/>
    <n v="-0.69953587714494592"/>
    <n v="0"/>
    <n v="0"/>
    <n v="0"/>
    <n v="0"/>
    <n v="0"/>
    <m/>
    <n v="-0.28013791146457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5219593410268657"/>
    <n v="0"/>
    <n v="-0.1"/>
    <n v="-0.31"/>
    <n v="-14.54"/>
    <n v="0"/>
    <m/>
    <m/>
    <m/>
    <m/>
    <m/>
    <m/>
    <m/>
    <n v="-27.96255"/>
    <m/>
    <n v="-22.34310609729658"/>
    <m/>
    <m/>
    <m/>
    <m/>
    <m/>
    <m/>
    <m/>
    <m/>
    <m/>
    <m/>
    <m/>
    <m/>
    <n v="-43.496600000000008"/>
    <n v="13.736350000000002"/>
    <m/>
    <m/>
    <m/>
    <m/>
    <n v="29.240999999999996"/>
    <n v="-3.70845"/>
    <n v="31"/>
    <n v="-3.2600938938317867"/>
    <n v="0"/>
    <n v="0"/>
    <n v="0"/>
    <n v="0"/>
    <n v="0"/>
    <n v="0"/>
    <n v="0"/>
    <n v="-0.71132310212368566"/>
    <n v="0"/>
    <n v="0"/>
    <n v="-4.1282711299442241"/>
    <n v="0"/>
    <n v="0"/>
    <n v="0"/>
    <n v="-0.30176343705075737"/>
    <n v="0"/>
    <n v="0"/>
    <m/>
    <n v="0"/>
    <n v="0"/>
    <n v="0"/>
    <n v="0"/>
    <n v="0"/>
    <n v="1.7849711408747415E-2"/>
    <n v="0"/>
    <n v="1.8634140638781409"/>
    <m/>
    <m/>
    <m/>
    <n v="-56.368708756255401"/>
    <n v="0"/>
    <n v="0"/>
    <n v="29.241"/>
    <n v="-3.7084499999999991"/>
    <n v="0"/>
    <n v="0"/>
    <n v="28.793267355974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31"/>
    <s v="Sistema de Compensação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.8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32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66.953999999999994"/>
    <n v="66.953999999999994"/>
    <n v="66.953999999999994"/>
    <n v="66.953999999999994"/>
    <m/>
    <n v="547.54"/>
    <n v="159.41"/>
    <m/>
    <n v="47333.13029999999"/>
    <n v="47333.13029999999"/>
    <n v="34670.120279999996"/>
    <n v="0"/>
    <n v="0"/>
    <n v="0"/>
    <n v="0"/>
    <n v="0"/>
    <n v="7809.810912592623"/>
    <n v="27956.374267157953"/>
    <n v="10326.363406809498"/>
    <n v="346.93870458046445"/>
    <n v="0"/>
    <n v="0"/>
    <n v="0"/>
    <n v="0"/>
    <n v="0"/>
    <m/>
    <n v="138.93595351258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4.82419051194631"/>
    <n v="0"/>
    <n v="47.3"/>
    <n v="218.82"/>
    <n v="10485.59"/>
    <n v="736"/>
    <m/>
    <m/>
    <m/>
    <m/>
    <m/>
    <m/>
    <m/>
    <n v="3467.5476600000011"/>
    <m/>
    <n v="11081.187597321445"/>
    <m/>
    <m/>
    <m/>
    <m/>
    <m/>
    <m/>
    <m/>
    <m/>
    <m/>
    <m/>
    <m/>
    <m/>
    <n v="31200.708500000001"/>
    <n v="-11399.473539999999"/>
    <m/>
    <m/>
    <m/>
    <m/>
    <n v="-14502.236399999996"/>
    <n v="1839.2263799999998"/>
    <n v="31"/>
    <n v="1616.8616782786157"/>
    <n v="0"/>
    <n v="0"/>
    <n v="0"/>
    <n v="0"/>
    <n v="0"/>
    <n v="0"/>
    <n v="0"/>
    <n v="352.78464429325322"/>
    <n v="0"/>
    <n v="0"/>
    <n v="2047.439001735449"/>
    <n v="0"/>
    <n v="0"/>
    <n v="0"/>
    <n v="149.66125306886227"/>
    <n v="0"/>
    <n v="0"/>
    <m/>
    <n v="0"/>
    <n v="0"/>
    <n v="0"/>
    <n v="0"/>
    <n v="0"/>
    <n v="-8.852663538231667"/>
    <n v="0"/>
    <n v="-924.17055728071875"/>
    <m/>
    <m/>
    <m/>
    <n v="27956.374267157953"/>
    <n v="0"/>
    <n v="0"/>
    <n v="-14502.236399999994"/>
    <n v="1839.2263800000001"/>
    <n v="0"/>
    <n v="0"/>
    <n v="-14280.180907792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33"/>
    <s v="Refaturamento - 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-0.183"/>
    <n v="-0.183"/>
    <n v="-0.183"/>
    <n v="-0.183"/>
    <m/>
    <n v="547.54"/>
    <n v="159.41"/>
    <m/>
    <n v="-129.37184999999999"/>
    <n v="-129.37184999999999"/>
    <n v="-94.761059999999986"/>
    <n v="0"/>
    <n v="0"/>
    <n v="0"/>
    <n v="0"/>
    <n v="0"/>
    <n v="-21.345929996780626"/>
    <n v="-76.410916314035092"/>
    <n v="-28.224221158498946"/>
    <n v="-0.94825974457425999"/>
    <n v="0"/>
    <n v="0"/>
    <n v="0"/>
    <n v="0"/>
    <n v="0"/>
    <m/>
    <n v="-0.37974250220753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0631004400586401"/>
    <n v="0"/>
    <n v="-0.13"/>
    <n v="-0.6"/>
    <n v="-28.67"/>
    <n v="0"/>
    <m/>
    <m/>
    <m/>
    <m/>
    <m/>
    <m/>
    <m/>
    <n v="-9.4775700000000036"/>
    <m/>
    <n v="-30.287321598557586"/>
    <m/>
    <m/>
    <m/>
    <m/>
    <m/>
    <m/>
    <m/>
    <m/>
    <m/>
    <m/>
    <m/>
    <m/>
    <n v="-83.88539999999999"/>
    <n v="32.520179999999996"/>
    <m/>
    <m/>
    <m/>
    <m/>
    <n v="39.637799999999991"/>
    <n v="-5.0270099999999998"/>
    <n v="31"/>
    <n v="-4.4192383894164209"/>
    <n v="0"/>
    <n v="0"/>
    <n v="0"/>
    <n v="0"/>
    <n v="0"/>
    <n v="0"/>
    <n v="0"/>
    <n v="-0.9642379828787746"/>
    <n v="0"/>
    <n v="0"/>
    <n v="-5.5961008650355062"/>
    <n v="0"/>
    <n v="0"/>
    <n v="0"/>
    <n v="-0.40905710355769331"/>
    <n v="0"/>
    <n v="0"/>
    <m/>
    <n v="0"/>
    <n v="0"/>
    <n v="0"/>
    <n v="0"/>
    <n v="0"/>
    <n v="2.4196275465190931E-2"/>
    <n v="0"/>
    <n v="2.5259612865903684"/>
    <m/>
    <m/>
    <m/>
    <n v="-76.410916314035092"/>
    <n v="0"/>
    <n v="0"/>
    <n v="39.637799999999991"/>
    <n v="-5.0270099999999971"/>
    <n v="0"/>
    <n v="0"/>
    <n v="39.030873526987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34"/>
    <s v="Sistema de Compensação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.5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35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15.129"/>
    <n v="15.129"/>
    <n v="15.129"/>
    <n v="15.129"/>
    <m/>
    <n v="547.54"/>
    <n v="159.41"/>
    <m/>
    <n v="10695.446550000001"/>
    <n v="10695.446550000001"/>
    <n v="7834.0987800000003"/>
    <n v="0"/>
    <n v="0"/>
    <n v="0"/>
    <n v="0"/>
    <n v="0"/>
    <n v="1764.713524160077"/>
    <n v="6317.0532946176882"/>
    <n v="2333.3565131526257"/>
    <n v="78.394653965376932"/>
    <n v="0"/>
    <n v="0"/>
    <n v="0"/>
    <n v="0"/>
    <n v="0"/>
    <m/>
    <n v="31.394121944797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.56091015107739"/>
    <n v="0"/>
    <n v="11.34"/>
    <n v="55.05"/>
    <n v="2632.4"/>
    <n v="222"/>
    <m/>
    <m/>
    <m/>
    <m/>
    <m/>
    <m/>
    <m/>
    <m/>
    <m/>
    <n v="2503.9174233037029"/>
    <m/>
    <m/>
    <m/>
    <m/>
    <m/>
    <m/>
    <m/>
    <m/>
    <m/>
    <m/>
    <m/>
    <m/>
    <n v="7834.6165999999994"/>
    <n v="-2860.8599500000018"/>
    <m/>
    <m/>
    <m/>
    <m/>
    <n v="-3276.9413999999992"/>
    <n v="415.59362999999996"/>
    <n v="31"/>
    <n v="365.34785570208078"/>
    <n v="0"/>
    <n v="0"/>
    <n v="0"/>
    <n v="0"/>
    <n v="0"/>
    <n v="0"/>
    <n v="0"/>
    <n v="79.715608977994407"/>
    <n v="0"/>
    <n v="0"/>
    <n v="462.6415846290829"/>
    <n v="0"/>
    <n v="0"/>
    <n v="0"/>
    <n v="33.817622512154884"/>
    <n v="0"/>
    <n v="0"/>
    <m/>
    <n v="0"/>
    <n v="0"/>
    <n v="0"/>
    <n v="0"/>
    <n v="0"/>
    <n v="-2.0003576585402918"/>
    <n v="0"/>
    <n v="-208.82660275861031"/>
    <m/>
    <m/>
    <m/>
    <n v="6317.0532946176882"/>
    <n v="0"/>
    <n v="0"/>
    <n v="-3276.9413999999997"/>
    <n v="415.59362999999985"/>
    <n v="0"/>
    <n v="0"/>
    <n v="-3226.7654950262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36"/>
    <s v="Refaturamento - 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-0.24399999999999999"/>
    <n v="-0.24399999999999999"/>
    <n v="-0.24399999999999999"/>
    <n v="-0.24399999999999999"/>
    <m/>
    <n v="547.54"/>
    <n v="159.41"/>
    <m/>
    <n v="-172.49579999999997"/>
    <n v="-172.49579999999997"/>
    <n v="-126.34808"/>
    <n v="0"/>
    <n v="0"/>
    <n v="0"/>
    <n v="0"/>
    <n v="0"/>
    <n v="-28.461239995707501"/>
    <n v="-101.88122175204678"/>
    <n v="-37.632294877998589"/>
    <n v="-1.2643463260990133"/>
    <n v="0"/>
    <n v="0"/>
    <n v="0"/>
    <n v="0"/>
    <n v="0"/>
    <m/>
    <n v="-0.506323336276719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7508005867448531"/>
    <n v="0"/>
    <n v="-0.19"/>
    <n v="-0.88"/>
    <n v="-42.47"/>
    <n v="0"/>
    <m/>
    <m/>
    <m/>
    <m/>
    <m/>
    <m/>
    <m/>
    <m/>
    <m/>
    <n v="-40.383095464743441"/>
    <m/>
    <m/>
    <m/>
    <m/>
    <m/>
    <m/>
    <m/>
    <m/>
    <m/>
    <m/>
    <m/>
    <m/>
    <n v="-124.27680000000001"/>
    <n v="48.188999999999993"/>
    <m/>
    <m/>
    <m/>
    <m/>
    <n v="52.850399999999993"/>
    <n v="-6.70268"/>
    <n v="31"/>
    <n v="-5.8923178525552373"/>
    <n v="0"/>
    <n v="0"/>
    <n v="0"/>
    <n v="0"/>
    <n v="0"/>
    <n v="0"/>
    <n v="0"/>
    <n v="-1.2856506438383661"/>
    <n v="0"/>
    <n v="0"/>
    <n v="-7.4614678200473463"/>
    <n v="0"/>
    <n v="0"/>
    <n v="0"/>
    <n v="-0.5454094714102582"/>
    <n v="0"/>
    <n v="0"/>
    <m/>
    <n v="0"/>
    <n v="0"/>
    <n v="0"/>
    <n v="0"/>
    <n v="0"/>
    <n v="3.2261700620254519E-2"/>
    <n v="0"/>
    <n v="3.367948382120491"/>
    <m/>
    <m/>
    <m/>
    <n v="-101.88122175204678"/>
    <n v="0"/>
    <n v="0"/>
    <n v="52.850399999999979"/>
    <n v="-6.7026800000000009"/>
    <n v="0"/>
    <n v="0"/>
    <n v="52.04116470265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37"/>
    <s v="Sistema de Compensação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.1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38"/>
    <s v="Regular"/>
    <s v="Convencional"/>
    <s v="B3"/>
    <s v="Industrial"/>
    <s v="Não se aplica"/>
    <s v="Não se aplica"/>
    <s v="Não se aplica"/>
    <s v="Não se aplica"/>
    <s v="CATIVO"/>
    <x v="8"/>
    <n v="0"/>
    <n v="0"/>
    <n v="100.396"/>
    <n v="100.396"/>
    <n v="100.396"/>
    <n v="100.396"/>
    <m/>
    <n v="648.44000000000005"/>
    <n v="159.41"/>
    <m/>
    <n v="81104.90860000001"/>
    <n v="81104.90860000001"/>
    <n v="61424.280719999995"/>
    <n v="0"/>
    <n v="6221.5652822501534"/>
    <n v="0"/>
    <n v="0"/>
    <n v="0"/>
    <n v="11710.633813971519"/>
    <n v="41919.947291059383"/>
    <n v="15484.14703512929"/>
    <n v="520.22669571736287"/>
    <n v="0"/>
    <n v="0"/>
    <n v="0"/>
    <n v="0"/>
    <n v="961.39765299310693"/>
    <m/>
    <n v="208.331301921465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1.8417037165423"/>
    <n v="0"/>
    <n v="121.69"/>
    <n v="526.61"/>
    <n v="15632.89"/>
    <n v="87"/>
    <m/>
    <m/>
    <m/>
    <m/>
    <m/>
    <m/>
    <m/>
    <m/>
    <m/>
    <n v="16615.988738845834"/>
    <m/>
    <m/>
    <m/>
    <m/>
    <m/>
    <m/>
    <m/>
    <m/>
    <m/>
    <m/>
    <m/>
    <m/>
    <n v="61426.728000000003"/>
    <n v="-19678.210600000006"/>
    <m/>
    <m/>
    <m/>
    <m/>
    <n v="-22438.506000000005"/>
    <n v="2757.8781199999999"/>
    <n v="31"/>
    <n v="1732.2343927000475"/>
    <n v="0"/>
    <n v="0"/>
    <n v="0"/>
    <n v="0"/>
    <n v="0"/>
    <n v="0"/>
    <n v="0"/>
    <n v="528.99254933932934"/>
    <n v="0"/>
    <n v="0"/>
    <n v="3070.0882100880026"/>
    <n v="0"/>
    <n v="0"/>
    <n v="0"/>
    <n v="224.41364463813215"/>
    <n v="0"/>
    <n v="-435.77070594065844"/>
    <m/>
    <n v="0"/>
    <n v="0"/>
    <n v="0"/>
    <n v="0"/>
    <n v="-58.65619457217656"/>
    <n v="-13.274367604389653"/>
    <n v="0"/>
    <n v="-1583.5587432482016"/>
    <m/>
    <m/>
    <m/>
    <n v="41919.947291059383"/>
    <n v="0"/>
    <n v="0"/>
    <n v="-22438.506000000008"/>
    <n v="2757.8781199999994"/>
    <n v="0"/>
    <n v="0"/>
    <n v="-21412.806440521759"/>
    <n v="0"/>
    <n v="0"/>
    <n v="0"/>
    <n v="0"/>
    <n v="0"/>
    <n v="0"/>
    <n v="0"/>
    <n v="0"/>
    <n v="0"/>
    <n v="0"/>
    <n v="0"/>
    <n v="0"/>
    <n v="2947.044235152670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39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6.3079999999999998"/>
    <n v="6.3079999999999998"/>
    <n v="6.3079999999999998"/>
    <n v="6.3079999999999998"/>
    <m/>
    <n v="648.44000000000005"/>
    <n v="159.41"/>
    <m/>
    <n v="5095.9178000000002"/>
    <n v="5095.9178000000002"/>
    <n v="3859.3605599999996"/>
    <n v="0"/>
    <n v="390.90834097408225"/>
    <n v="0"/>
    <n v="0"/>
    <n v="0"/>
    <n v="735.79304054476609"/>
    <n v="2633.8801098848817"/>
    <n v="972.8873610262915"/>
    <n v="32.686461578002358"/>
    <n v="0"/>
    <n v="0"/>
    <n v="0"/>
    <n v="0"/>
    <n v="60.405757152481357"/>
    <m/>
    <n v="13.0897033001374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114959431092359"/>
    <n v="0"/>
    <n v="7.63"/>
    <n v="33.01"/>
    <n v="3587.59"/>
    <n v="20"/>
    <m/>
    <m/>
    <m/>
    <m/>
    <m/>
    <m/>
    <m/>
    <m/>
    <m/>
    <n v="1044.0023204573838"/>
    <m/>
    <m/>
    <m/>
    <m/>
    <m/>
    <m/>
    <m/>
    <m/>
    <m/>
    <m/>
    <m/>
    <m/>
    <n v="3860.5841999999998"/>
    <n v="-1235.363600000001"/>
    <m/>
    <m/>
    <m/>
    <m/>
    <n v="-1409.8380000000004"/>
    <n v="173.28075999999999"/>
    <n v="31"/>
    <n v="108.83834564277322"/>
    <n v="0"/>
    <n v="0"/>
    <n v="0"/>
    <n v="0"/>
    <n v="0"/>
    <n v="0"/>
    <n v="0"/>
    <n v="33.237230579231209"/>
    <n v="0"/>
    <n v="0"/>
    <n v="192.89729101991247"/>
    <n v="0"/>
    <n v="0"/>
    <n v="0"/>
    <n v="14.100176006786498"/>
    <n v="0"/>
    <n v="-27.379991364931584"/>
    <m/>
    <n v="0"/>
    <n v="0"/>
    <n v="0"/>
    <n v="0"/>
    <n v="-3.6854384174796806"/>
    <n v="-0.8340442930842844"/>
    <n v="0"/>
    <n v="-99.496877887661412"/>
    <m/>
    <m/>
    <m/>
    <n v="2633.8801098848817"/>
    <n v="0"/>
    <n v="0"/>
    <n v="-1409.8380000000006"/>
    <n v="173.28075999999987"/>
    <n v="0"/>
    <n v="0"/>
    <n v="-1345.3920776406555"/>
    <n v="0"/>
    <n v="0"/>
    <n v="0"/>
    <n v="0"/>
    <n v="0"/>
    <n v="0"/>
    <n v="0"/>
    <n v="0"/>
    <n v="0"/>
    <n v="0"/>
    <n v="0"/>
    <n v="0"/>
    <n v="185.1662918377529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40"/>
    <s v="Regular"/>
    <s v="Verde"/>
    <s v="A4"/>
    <s v="Industrial"/>
    <s v="Não se aplica"/>
    <s v="Não se aplica"/>
    <s v="Não se aplica"/>
    <s v="Ponta"/>
    <s v="CATIVO"/>
    <x v="8"/>
    <n v="0"/>
    <n v="0"/>
    <n v="19.379000000000001"/>
    <n v="19.379000000000001"/>
    <n v="19.379000000000001"/>
    <n v="19.379000000000001"/>
    <m/>
    <n v="2810.7"/>
    <n v="159.41"/>
    <m/>
    <n v="57557.761689999999"/>
    <n v="57557.761689999999"/>
    <n v="36659.060510000003"/>
    <n v="0"/>
    <n v="1044.8016936542424"/>
    <n v="0"/>
    <n v="0"/>
    <n v="0"/>
    <n v="11831.181684240531"/>
    <n v="40790.642072378134"/>
    <n v="2988.8370591833395"/>
    <n v="100.41707972734746"/>
    <n v="0"/>
    <n v="0"/>
    <n v="0"/>
    <n v="0"/>
    <n v="185.57437664203175"/>
    <m/>
    <n v="20.807879244871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.57457520189499"/>
    <n v="0"/>
    <n v="0"/>
    <n v="0"/>
    <n v="0"/>
    <n v="0"/>
    <m/>
    <m/>
    <m/>
    <m/>
    <m/>
    <m/>
    <m/>
    <m/>
    <m/>
    <n v="3089.4116343852347"/>
    <m/>
    <m/>
    <m/>
    <m/>
    <m/>
    <m/>
    <m/>
    <m/>
    <m/>
    <m/>
    <m/>
    <m/>
    <n v="36660.9522"/>
    <n v="-20896.839490000006"/>
    <m/>
    <m/>
    <m/>
    <m/>
    <n v="-21431.042310000001"/>
    <n v="532.34113000000002"/>
    <n v="31"/>
    <n v="-62.644497164961649"/>
    <n v="0"/>
    <n v="0"/>
    <n v="0"/>
    <n v="0"/>
    <n v="0"/>
    <n v="0"/>
    <n v="0"/>
    <n v="534.43793566290151"/>
    <n v="0"/>
    <n v="0"/>
    <n v="592.60567575695632"/>
    <n v="0"/>
    <n v="0"/>
    <n v="0"/>
    <n v="19.941222261802778"/>
    <n v="0"/>
    <n v="-73.179971752549477"/>
    <m/>
    <n v="0"/>
    <n v="0"/>
    <n v="0"/>
    <n v="0"/>
    <n v="-11.322148239115194"/>
    <n v="-1.3258278310394047"/>
    <n v="0"/>
    <n v="-1123.8013830239215"/>
    <m/>
    <m/>
    <m/>
    <n v="40790.642072378134"/>
    <n v="0"/>
    <n v="0"/>
    <n v="-21431.042309999997"/>
    <n v="532.34112999999979"/>
    <n v="0"/>
    <n v="0"/>
    <n v="-20835.954711868588"/>
    <n v="0"/>
    <n v="0"/>
    <n v="0"/>
    <n v="0"/>
    <n v="0"/>
    <n v="0"/>
    <n v="0"/>
    <n v="0"/>
    <n v="0"/>
    <n v="0"/>
    <n v="0"/>
    <n v="0"/>
    <n v="494.903881655947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41"/>
    <s v="Regular"/>
    <s v="Verde"/>
    <s v="A4"/>
    <s v="Industrial"/>
    <s v="Não se aplica"/>
    <s v="Não se aplica"/>
    <s v="Não se aplica"/>
    <s v="Fora ponta"/>
    <s v="CATIVO"/>
    <x v="8"/>
    <n v="0"/>
    <n v="0"/>
    <n v="535.26300000000003"/>
    <n v="535.26300000000003"/>
    <n v="535.26300000000003"/>
    <n v="535.26300000000003"/>
    <m/>
    <n v="95.29"/>
    <n v="159.41"/>
    <m/>
    <n v="136331.48610000001"/>
    <n v="136331.48610000001"/>
    <n v="148219.67733000001"/>
    <n v="0"/>
    <n v="28858.232568783256"/>
    <n v="0"/>
    <n v="0"/>
    <n v="0"/>
    <n v="0"/>
    <n v="0"/>
    <n v="82553.996120008858"/>
    <n v="2773.5975719128533"/>
    <n v="0"/>
    <n v="0"/>
    <n v="0"/>
    <n v="0"/>
    <n v="5125.7081152042856"/>
    <m/>
    <n v="574.729752218768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77.9477189892104"/>
    <n v="0"/>
    <n v="0"/>
    <n v="0"/>
    <n v="0"/>
    <n v="0"/>
    <m/>
    <m/>
    <m/>
    <m/>
    <m/>
    <m/>
    <m/>
    <m/>
    <m/>
    <n v="85331.943838998064"/>
    <m/>
    <m/>
    <m/>
    <m/>
    <m/>
    <m/>
    <m/>
    <m/>
    <m/>
    <m/>
    <m/>
    <m/>
    <n v="148218.84659999999"/>
    <n v="11887.330499999953"/>
    <m/>
    <m/>
    <m/>
    <m/>
    <n v="-2815.4833800000029"/>
    <n v="14703.67461"/>
    <n v="31"/>
    <n v="11886.499375839194"/>
    <n v="0"/>
    <n v="0"/>
    <n v="0"/>
    <n v="0"/>
    <n v="0"/>
    <n v="0"/>
    <n v="0"/>
    <n v="0"/>
    <n v="0"/>
    <n v="0"/>
    <n v="16368.228072795086"/>
    <n v="0"/>
    <n v="0"/>
    <n v="0"/>
    <n v="550.79201463023628"/>
    <n v="0"/>
    <n v="-2021.2875390982445"/>
    <m/>
    <n v="0"/>
    <n v="0"/>
    <n v="0"/>
    <n v="0"/>
    <n v="-312.7265097741647"/>
    <n v="-36.620392297107401"/>
    <n v="0"/>
    <n v="-2661.8862704166054"/>
    <m/>
    <m/>
    <m/>
    <n v="0"/>
    <n v="0"/>
    <n v="0"/>
    <n v="-2815.4833800000051"/>
    <n v="14703.674609999987"/>
    <n v="0"/>
    <n v="0"/>
    <n v="0"/>
    <n v="0"/>
    <n v="0"/>
    <n v="0"/>
    <n v="0"/>
    <n v="0"/>
    <n v="0"/>
    <n v="0"/>
    <n v="0"/>
    <n v="0"/>
    <n v="0"/>
    <n v="0"/>
    <n v="0"/>
    <n v="13669.62879440670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42"/>
    <s v="Regular"/>
    <s v="Verde"/>
    <s v="A4"/>
    <s v="Industrial"/>
    <s v="Não se aplica"/>
    <s v="Não se aplica"/>
    <s v="Não se aplica"/>
    <s v="Não se aplica"/>
    <s v="CATIVO"/>
    <x v="8"/>
    <n v="2310"/>
    <n v="2310"/>
    <n v="0"/>
    <n v="0"/>
    <n v="0"/>
    <n v="0"/>
    <n v="43.29"/>
    <m/>
    <m/>
    <n v="99999.9"/>
    <m/>
    <n v="99999.9"/>
    <n v="77361.900000000009"/>
    <n v="0"/>
    <n v="0"/>
    <n v="0"/>
    <n v="0"/>
    <n v="0"/>
    <n v="54663.81033599178"/>
    <n v="45343.4222110983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58.55999999999995"/>
    <n v="2408.9499999999998"/>
    <n v="69943.83"/>
    <n v="13"/>
    <m/>
    <m/>
    <m/>
    <m/>
    <m/>
    <m/>
    <m/>
    <m/>
    <m/>
    <n v="0"/>
    <m/>
    <m/>
    <m/>
    <m/>
    <m/>
    <m/>
    <m/>
    <m/>
    <m/>
    <m/>
    <m/>
    <m/>
    <n v="77361.900000000009"/>
    <n v="-22638.02999999997"/>
    <m/>
    <m/>
    <m/>
    <m/>
    <n v="-22637.999999999993"/>
    <n v="0"/>
    <n v="31"/>
    <n v="516.65493544586934"/>
    <n v="0"/>
    <n v="0"/>
    <n v="0"/>
    <n v="0"/>
    <m/>
    <m/>
    <m/>
    <n v="2469.2727008283182"/>
    <n v="0"/>
    <n v="0"/>
    <m/>
    <m/>
    <n v="0"/>
    <n v="0"/>
    <n v="0"/>
    <n v="0"/>
    <n v="0"/>
    <m/>
    <n v="0"/>
    <n v="0"/>
    <m/>
    <n v="0"/>
    <n v="0"/>
    <n v="0"/>
    <n v="0"/>
    <n v="-1952.6177653824486"/>
    <m/>
    <m/>
    <n v="45343.422211098397"/>
    <m/>
    <n v="0"/>
    <n v="0"/>
    <n v="-22637.999999999985"/>
    <m/>
    <n v="0"/>
    <m/>
    <n v="-23161.52538112052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543"/>
    <s v="Regular"/>
    <s v="Convencional"/>
    <s v="B3"/>
    <s v="Comercial"/>
    <s v="Não se aplica"/>
    <s v="Não se aplica"/>
    <s v="Não se aplica"/>
    <s v="Não se aplica"/>
    <s v="CATIVO"/>
    <x v="8"/>
    <n v="0"/>
    <n v="0"/>
    <n v="772.71100000000001"/>
    <n v="772.71100000000001"/>
    <n v="772.71100000000001"/>
    <n v="772.71100000000001"/>
    <m/>
    <n v="648.44000000000005"/>
    <n v="159.41"/>
    <m/>
    <n v="624234.58134999999"/>
    <n v="624234.58134999999"/>
    <n v="472760.04402000003"/>
    <n v="0"/>
    <n v="47885.094334563109"/>
    <n v="0"/>
    <n v="0"/>
    <n v="0"/>
    <n v="90132.431222635831"/>
    <n v="322642.38008707308"/>
    <n v="119175.77134210317"/>
    <n v="4003.9930901077651"/>
    <n v="0"/>
    <n v="0"/>
    <n v="0"/>
    <n v="0"/>
    <n v="7399.5233061273029"/>
    <m/>
    <n v="1603.449227449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11.3683286237811"/>
    <n v="0"/>
    <n v="932.59"/>
    <n v="4053.33"/>
    <n v="195809.15"/>
    <n v="1544"/>
    <m/>
    <m/>
    <m/>
    <m/>
    <m/>
    <m/>
    <m/>
    <m/>
    <m/>
    <n v="127887.13967072695"/>
    <m/>
    <m/>
    <m/>
    <m/>
    <m/>
    <m/>
    <m/>
    <m/>
    <m/>
    <m/>
    <m/>
    <m/>
    <n v="472759.43220000004"/>
    <n v="-151475.17914999998"/>
    <m/>
    <m/>
    <m/>
    <m/>
    <n v="-172700.90850000005"/>
    <n v="21226.371169999999"/>
    <n v="31"/>
    <n v="13332.369514897524"/>
    <n v="0"/>
    <n v="0"/>
    <n v="0"/>
    <n v="0"/>
    <n v="0"/>
    <n v="0"/>
    <n v="0"/>
    <n v="4071.4606338155136"/>
    <n v="0"/>
    <n v="0"/>
    <n v="23629.337134002475"/>
    <n v="0"/>
    <n v="0"/>
    <n v="0"/>
    <n v="1727.2290904216861"/>
    <n v="0"/>
    <n v="-3353.9664723506139"/>
    <m/>
    <n v="0"/>
    <n v="0"/>
    <n v="0"/>
    <n v="0"/>
    <n v="-451.45510542313605"/>
    <n v="-102.16791372121929"/>
    <n v="0"/>
    <n v="-12188.067851847294"/>
    <m/>
    <m/>
    <m/>
    <n v="322642.38008707308"/>
    <n v="0"/>
    <n v="0"/>
    <n v="-172700.90850000002"/>
    <n v="21226.371169999999"/>
    <n v="0"/>
    <n v="0"/>
    <n v="-164806.47712520428"/>
    <n v="0"/>
    <n v="0"/>
    <n v="0"/>
    <n v="0"/>
    <n v="0"/>
    <n v="0"/>
    <n v="0"/>
    <n v="0"/>
    <n v="0"/>
    <n v="0"/>
    <n v="0"/>
    <n v="0"/>
    <n v="22682.31302033004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44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65.962999999999994"/>
    <n v="65.962999999999994"/>
    <n v="65.962999999999994"/>
    <n v="65.962999999999994"/>
    <m/>
    <n v="648.44000000000005"/>
    <n v="159.41"/>
    <m/>
    <n v="53288.20955"/>
    <n v="53288.20955"/>
    <n v="40357.482659999994"/>
    <n v="0"/>
    <n v="4087.7436423071317"/>
    <n v="0"/>
    <n v="0"/>
    <n v="0"/>
    <n v="7694.2162862166142"/>
    <n v="27542.586190287959"/>
    <n v="10173.520766546808"/>
    <n v="341.80359306749676"/>
    <n v="0"/>
    <n v="0"/>
    <n v="0"/>
    <n v="0"/>
    <n v="631.66533910100316"/>
    <m/>
    <n v="136.87953373287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3.65188157151943"/>
    <n v="0"/>
    <n v="80.040000000000006"/>
    <n v="346.5"/>
    <n v="34238.93"/>
    <n v="130"/>
    <m/>
    <m/>
    <m/>
    <m/>
    <m/>
    <m/>
    <m/>
    <m/>
    <m/>
    <n v="10917.172648118327"/>
    <m/>
    <m/>
    <m/>
    <m/>
    <m/>
    <m/>
    <m/>
    <m/>
    <m/>
    <m/>
    <m/>
    <m/>
    <n v="40355.647199999999"/>
    <n v="-12932.592350000006"/>
    <m/>
    <m/>
    <m/>
    <m/>
    <n v="-14742.730500000001"/>
    <n v="1812.0036099999998"/>
    <n v="31"/>
    <n v="1138.1267903668704"/>
    <n v="0"/>
    <n v="0"/>
    <n v="0"/>
    <n v="0"/>
    <n v="0"/>
    <n v="0"/>
    <n v="0"/>
    <n v="347.56300581766391"/>
    <n v="0"/>
    <n v="0"/>
    <n v="2017.1344336630427"/>
    <n v="0"/>
    <n v="0"/>
    <n v="0"/>
    <n v="147.44608591243787"/>
    <n v="0"/>
    <n v="-286.31362878962955"/>
    <m/>
    <n v="0"/>
    <n v="0"/>
    <n v="0"/>
    <n v="0"/>
    <n v="-38.538772088175733"/>
    <n v="-8.7216334344829818"/>
    <n v="0"/>
    <n v="-1040.4427007139836"/>
    <m/>
    <m/>
    <m/>
    <n v="27542.586190287959"/>
    <n v="0"/>
    <n v="0"/>
    <n v="-14742.730500000005"/>
    <n v="1812.0036099999998"/>
    <n v="0"/>
    <n v="0"/>
    <n v="-14068.816997053036"/>
    <n v="0"/>
    <n v="0"/>
    <n v="0"/>
    <n v="0"/>
    <n v="0"/>
    <n v="0"/>
    <n v="0"/>
    <n v="0"/>
    <n v="0"/>
    <n v="0"/>
    <n v="0"/>
    <n v="0"/>
    <n v="1936.291076172114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45"/>
    <s v="Regular"/>
    <s v="Verde"/>
    <s v="A4"/>
    <s v="Comercial"/>
    <s v="Não se aplica"/>
    <s v="Não se aplica"/>
    <s v="Não se aplica"/>
    <s v="Ponta"/>
    <s v="CATIVO"/>
    <x v="8"/>
    <n v="0"/>
    <n v="0"/>
    <n v="11.506"/>
    <n v="11.506"/>
    <n v="11.506"/>
    <n v="11.506"/>
    <m/>
    <n v="2810.7"/>
    <n v="159.41"/>
    <m/>
    <n v="34174.085659999997"/>
    <n v="34174.085659999997"/>
    <n v="21765.78514"/>
    <n v="0"/>
    <n v="620.33584226150538"/>
    <n v="0"/>
    <n v="0"/>
    <n v="0"/>
    <n v="7024.592417507175"/>
    <n v="24218.85173047024"/>
    <n v="1774.578626501032"/>
    <n v="59.621183721701833"/>
    <n v="0"/>
    <n v="0"/>
    <n v="0"/>
    <n v="0"/>
    <n v="110.18209286563896"/>
    <m/>
    <n v="12.3543763141281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714694373961692"/>
    <n v="0"/>
    <n v="0"/>
    <n v="0"/>
    <n v="0"/>
    <n v="0"/>
    <m/>
    <m/>
    <m/>
    <m/>
    <m/>
    <m/>
    <m/>
    <m/>
    <m/>
    <n v="1834.2933208749937"/>
    <m/>
    <m/>
    <m/>
    <m/>
    <m/>
    <m/>
    <m/>
    <m/>
    <m/>
    <m/>
    <m/>
    <m/>
    <n v="21773.351899999998"/>
    <n v="-12400.763759999998"/>
    <m/>
    <m/>
    <m/>
    <m/>
    <n v="-12724.370339999999"/>
    <n v="316.06981999999999"/>
    <n v="31"/>
    <n v="-37.194261023794752"/>
    <n v="0"/>
    <n v="0"/>
    <n v="0"/>
    <n v="0"/>
    <n v="0"/>
    <n v="0"/>
    <n v="0"/>
    <n v="317.31476793112961"/>
    <n v="0"/>
    <n v="0"/>
    <n v="351.85101941583889"/>
    <n v="0"/>
    <n v="0"/>
    <n v="0"/>
    <n v="11.839811308339065"/>
    <n v="0"/>
    <n v="-43.44954615742995"/>
    <m/>
    <n v="0"/>
    <n v="0"/>
    <n v="0"/>
    <n v="0"/>
    <n v="-6.7223611971339921"/>
    <n v="-0.78719103276430324"/>
    <n v="0"/>
    <n v="-667.24076129177149"/>
    <m/>
    <m/>
    <m/>
    <n v="24218.85173047024"/>
    <n v="0"/>
    <n v="0"/>
    <n v="-12724.370340000001"/>
    <n v="316.06982000000016"/>
    <n v="0"/>
    <n v="0"/>
    <n v="-12371.045715194796"/>
    <n v="0"/>
    <n v="0"/>
    <n v="0"/>
    <n v="0"/>
    <n v="0"/>
    <n v="0"/>
    <n v="0"/>
    <n v="0"/>
    <n v="0"/>
    <n v="0"/>
    <n v="0"/>
    <n v="0"/>
    <n v="293.8419971274747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46"/>
    <s v="Sistema de Compensação"/>
    <s v="Verde"/>
    <s v="A4"/>
    <s v="Comercial"/>
    <s v="Não se aplica"/>
    <s v="Não se aplica"/>
    <s v="Não se aplica"/>
    <s v="Ponta"/>
    <s v="CATIVO"/>
    <x v="8"/>
    <n v="0"/>
    <n v="0"/>
    <n v="4.4560000000000004"/>
    <n v="4.4560000000000004"/>
    <n v="4.4560000000000004"/>
    <n v="4.4560000000000004"/>
    <m/>
    <n v="2810.7"/>
    <n v="159.41"/>
    <m/>
    <n v="13234.810159999999"/>
    <n v="13234.810159999999"/>
    <n v="8429.370640000001"/>
    <n v="0"/>
    <n v="240.24131002235947"/>
    <n v="0"/>
    <n v="0"/>
    <n v="0"/>
    <n v="2720.4574841310596"/>
    <n v="9379.3849566291847"/>
    <n v="687.25207367361372"/>
    <n v="23.089865693021327"/>
    <n v="0"/>
    <n v="0"/>
    <n v="0"/>
    <n v="0"/>
    <n v="42.670902642906938"/>
    <m/>
    <n v="4.7845559582613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126080143435885"/>
    <n v="0"/>
    <n v="0"/>
    <n v="0"/>
    <n v="0"/>
    <n v="0"/>
    <m/>
    <m/>
    <m/>
    <m/>
    <m/>
    <m/>
    <m/>
    <m/>
    <m/>
    <n v="710.37815381704957"/>
    <m/>
    <m/>
    <m/>
    <m/>
    <m/>
    <m/>
    <m/>
    <m/>
    <m/>
    <m/>
    <m/>
    <m/>
    <n v="8436.9373999999989"/>
    <n v="-4797.9027600000009"/>
    <m/>
    <m/>
    <m/>
    <m/>
    <n v="-4927.84584"/>
    <n v="122.40632000000001"/>
    <n v="31"/>
    <n v="-14.404452209457304"/>
    <n v="0"/>
    <n v="0"/>
    <n v="0"/>
    <n v="0"/>
    <n v="0"/>
    <n v="0"/>
    <n v="0"/>
    <n v="122.88845870859677"/>
    <n v="0"/>
    <n v="0"/>
    <n v="136.26352707430715"/>
    <n v="0"/>
    <n v="0"/>
    <n v="0"/>
    <n v="4.5852771762522941"/>
    <n v="0"/>
    <n v="-16.826975289197605"/>
    <m/>
    <n v="0"/>
    <n v="0"/>
    <n v="0"/>
    <n v="0"/>
    <n v="-2.6034105244593349"/>
    <n v="-0.30486035477122631"/>
    <n v="0"/>
    <n v="-258.4064690001855"/>
    <m/>
    <m/>
    <m/>
    <n v="9379.3849566291847"/>
    <n v="0"/>
    <n v="0"/>
    <n v="-4927.845839999999"/>
    <n v="122.40632000000005"/>
    <n v="0"/>
    <n v="0"/>
    <n v="-4791.0116206247194"/>
    <n v="0"/>
    <n v="0"/>
    <n v="0"/>
    <n v="0"/>
    <n v="0"/>
    <n v="0"/>
    <n v="0"/>
    <n v="0"/>
    <n v="0"/>
    <n v="0"/>
    <n v="0"/>
    <n v="0"/>
    <n v="113.7980131409723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47"/>
    <s v="Regular"/>
    <s v="Verde"/>
    <s v="A4"/>
    <s v="Comercial"/>
    <s v="Não se aplica"/>
    <s v="Não se aplica"/>
    <s v="Não se aplica"/>
    <s v="Fora ponta"/>
    <s v="CATIVO"/>
    <x v="8"/>
    <n v="0"/>
    <n v="0"/>
    <n v="183.93199999999999"/>
    <n v="183.93199999999999"/>
    <n v="183.93199999999999"/>
    <n v="183.93199999999999"/>
    <m/>
    <n v="95.29"/>
    <n v="159.41"/>
    <m/>
    <n v="46847.4804"/>
    <n v="46847.4804"/>
    <n v="50932.610119999998"/>
    <n v="0"/>
    <n v="9916.5315608241945"/>
    <n v="0"/>
    <n v="0"/>
    <n v="0"/>
    <n v="0"/>
    <n v="0"/>
    <n v="28367.964186475561"/>
    <n v="953.08913300017912"/>
    <n v="0"/>
    <n v="0"/>
    <n v="0"/>
    <n v="0"/>
    <n v="1761.3430127727015"/>
    <m/>
    <n v="197.493928751104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4.58397058852086"/>
    <n v="0"/>
    <n v="0"/>
    <n v="0"/>
    <n v="0"/>
    <n v="0"/>
    <m/>
    <m/>
    <m/>
    <m/>
    <m/>
    <m/>
    <m/>
    <m/>
    <m/>
    <n v="29322.54815706408"/>
    <m/>
    <m/>
    <m/>
    <m/>
    <m/>
    <m/>
    <m/>
    <m/>
    <m/>
    <m/>
    <m/>
    <m/>
    <n v="50932.056299999997"/>
    <n v="4084.5458999999973"/>
    <m/>
    <m/>
    <m/>
    <m/>
    <n v="-967.48232000000087"/>
    <n v="5052.6120399999991"/>
    <n v="31"/>
    <n v="4084.5483494970758"/>
    <n v="0"/>
    <n v="0"/>
    <n v="0"/>
    <n v="0"/>
    <n v="0"/>
    <n v="0"/>
    <n v="0"/>
    <n v="0"/>
    <n v="0"/>
    <n v="0"/>
    <n v="5624.6012257251932"/>
    <n v="0"/>
    <n v="0"/>
    <n v="0"/>
    <n v="189.26822297630986"/>
    <n v="0"/>
    <n v="-694.5734333242126"/>
    <m/>
    <n v="0"/>
    <n v="0"/>
    <n v="0"/>
    <n v="0"/>
    <n v="-107.4619624292759"/>
    <n v="-12.58383634959182"/>
    <n v="0"/>
    <n v="-914.70186710134465"/>
    <m/>
    <m/>
    <m/>
    <n v="0"/>
    <n v="0"/>
    <n v="0"/>
    <n v="-967.4823200000028"/>
    <n v="5052.6120399999963"/>
    <n v="0"/>
    <n v="0"/>
    <n v="0"/>
    <n v="0"/>
    <n v="0"/>
    <n v="0"/>
    <n v="0"/>
    <n v="0"/>
    <n v="0"/>
    <n v="0"/>
    <n v="0"/>
    <n v="0"/>
    <n v="0"/>
    <n v="0"/>
    <n v="0"/>
    <n v="4697.28369682345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48"/>
    <s v="Sistema de Compensação"/>
    <s v="Verde"/>
    <s v="A4"/>
    <s v="Comercial"/>
    <s v="Não se aplica"/>
    <s v="Não se aplica"/>
    <s v="Não se aplica"/>
    <s v="Fora ponta"/>
    <s v="CATIVO"/>
    <x v="8"/>
    <n v="0"/>
    <n v="0"/>
    <n v="22.196000000000002"/>
    <n v="22.196000000000002"/>
    <n v="22.196000000000002"/>
    <n v="22.196000000000002"/>
    <m/>
    <n v="95.29"/>
    <n v="159.41"/>
    <m/>
    <n v="5653.3212000000003"/>
    <n v="5653.3212000000003"/>
    <n v="6146.2943599999999"/>
    <n v="0"/>
    <n v="1196.6777641957565"/>
    <n v="0"/>
    <n v="0"/>
    <n v="0"/>
    <n v="0"/>
    <n v="0"/>
    <n v="3423.3049881641673"/>
    <n v="115.01406169710533"/>
    <n v="0"/>
    <n v="0"/>
    <n v="0"/>
    <n v="0"/>
    <n v="212.55012456507234"/>
    <m/>
    <n v="23.8325861870665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.19445127102848"/>
    <n v="0"/>
    <n v="0"/>
    <n v="0"/>
    <n v="0"/>
    <n v="0"/>
    <m/>
    <m/>
    <m/>
    <m/>
    <m/>
    <m/>
    <m/>
    <m/>
    <m/>
    <n v="3538.4994394351957"/>
    <m/>
    <m/>
    <m/>
    <m/>
    <m/>
    <m/>
    <m/>
    <m/>
    <m/>
    <m/>
    <m/>
    <m/>
    <n v="6147.402"/>
    <n v="494.05079999999907"/>
    <m/>
    <m/>
    <m/>
    <m/>
    <n v="-116.75096000000012"/>
    <n v="609.72411999999997"/>
    <n v="31"/>
    <n v="492.90300309591294"/>
    <n v="0"/>
    <n v="0"/>
    <n v="0"/>
    <n v="0"/>
    <n v="0"/>
    <n v="0"/>
    <n v="0"/>
    <n v="0"/>
    <n v="0"/>
    <n v="0"/>
    <n v="678.74893333512591"/>
    <n v="0"/>
    <n v="0"/>
    <n v="0"/>
    <n v="22.839948878836609"/>
    <n v="0"/>
    <n v="-83.817671346281486"/>
    <m/>
    <n v="0"/>
    <n v="0"/>
    <n v="0"/>
    <n v="0"/>
    <n v="-12.967975763217964"/>
    <n v="-1.5185548551396195"/>
    <n v="0"/>
    <n v="-110.3816771534124"/>
    <m/>
    <m/>
    <m/>
    <n v="0"/>
    <n v="0"/>
    <n v="0"/>
    <n v="-116.75096000000008"/>
    <n v="609.72411999999986"/>
    <n v="0"/>
    <n v="0"/>
    <n v="0"/>
    <n v="0"/>
    <n v="0"/>
    <n v="0"/>
    <n v="0"/>
    <n v="0"/>
    <n v="0"/>
    <n v="0"/>
    <n v="0"/>
    <n v="0"/>
    <n v="0"/>
    <n v="0"/>
    <n v="0"/>
    <n v="566.8448607892777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49"/>
    <s v="Regular"/>
    <s v="Verde"/>
    <s v="A4"/>
    <s v="Comercial"/>
    <s v="Não se aplica"/>
    <s v="Não se aplica"/>
    <s v="Não se aplica"/>
    <s v="Não se aplica"/>
    <s v="CATIVO"/>
    <x v="8"/>
    <n v="1526"/>
    <n v="1526"/>
    <n v="0"/>
    <n v="0"/>
    <n v="0"/>
    <n v="0"/>
    <n v="43.29"/>
    <m/>
    <m/>
    <n v="66060.539999999994"/>
    <m/>
    <n v="66060.539999999994"/>
    <n v="51105.740000000005"/>
    <n v="0"/>
    <n v="0"/>
    <n v="0"/>
    <n v="0"/>
    <n v="0"/>
    <n v="36111.244403776393"/>
    <n v="29954.1395212710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8.5"/>
    <n v="1071.96"/>
    <n v="50794.080000000002"/>
    <n v="12"/>
    <m/>
    <m/>
    <m/>
    <m/>
    <m/>
    <m/>
    <m/>
    <m/>
    <m/>
    <n v="0"/>
    <m/>
    <m/>
    <m/>
    <m/>
    <m/>
    <m/>
    <m/>
    <m/>
    <m/>
    <m/>
    <m/>
    <m/>
    <n v="51105.740000000005"/>
    <n v="-14954.829999999973"/>
    <m/>
    <m/>
    <m/>
    <m/>
    <n v="-14954.799999999996"/>
    <n v="0"/>
    <n v="31"/>
    <n v="341.3053815975727"/>
    <n v="0"/>
    <n v="0"/>
    <n v="0"/>
    <n v="0"/>
    <m/>
    <m/>
    <m/>
    <n v="1631.2165114562813"/>
    <n v="0"/>
    <n v="0"/>
    <m/>
    <m/>
    <n v="0"/>
    <n v="0"/>
    <n v="0"/>
    <n v="0"/>
    <n v="0"/>
    <m/>
    <n v="0"/>
    <n v="0"/>
    <m/>
    <n v="0"/>
    <n v="0"/>
    <n v="0"/>
    <n v="0"/>
    <n v="-1289.9111298587086"/>
    <m/>
    <m/>
    <n v="29954.139521271059"/>
    <m/>
    <n v="0"/>
    <n v="0"/>
    <n v="-14954.799999999988"/>
    <m/>
    <n v="0"/>
    <m/>
    <n v="-15300.644039649316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550"/>
    <s v="Sistema de Compensação"/>
    <s v="Verde"/>
    <s v="A4"/>
    <s v="Comercial"/>
    <s v="Não se aplica"/>
    <s v="Não se aplica"/>
    <s v="Não se aplica"/>
    <s v="Não se aplica"/>
    <s v="CATIVO"/>
    <x v="8"/>
    <n v="964"/>
    <n v="964"/>
    <n v="0"/>
    <n v="0"/>
    <n v="0"/>
    <n v="0"/>
    <n v="43.29"/>
    <m/>
    <m/>
    <n v="41731.56"/>
    <m/>
    <n v="41731.56"/>
    <n v="32284.36"/>
    <n v="0"/>
    <n v="0"/>
    <n v="0"/>
    <n v="0"/>
    <n v="0"/>
    <n v="22812.083620734233"/>
    <n v="18922.5363686142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7.73"/>
    <n v="378.47"/>
    <n v="18884.849999999999"/>
    <n v="6"/>
    <m/>
    <m/>
    <m/>
    <m/>
    <m/>
    <m/>
    <m/>
    <m/>
    <m/>
    <n v="0"/>
    <m/>
    <m/>
    <m/>
    <m/>
    <m/>
    <m/>
    <m/>
    <m/>
    <m/>
    <m/>
    <m/>
    <m/>
    <n v="32284.36"/>
    <n v="-9447.2300000000032"/>
    <m/>
    <m/>
    <m/>
    <m/>
    <n v="-9447.1999999999971"/>
    <n v="0"/>
    <n v="31"/>
    <n v="215.60837998693387"/>
    <n v="0"/>
    <n v="0"/>
    <n v="0"/>
    <n v="0"/>
    <m/>
    <m/>
    <m/>
    <n v="1030.4670491768375"/>
    <n v="0"/>
    <n v="0"/>
    <m/>
    <m/>
    <n v="0"/>
    <n v="0"/>
    <n v="0"/>
    <n v="0"/>
    <n v="0"/>
    <m/>
    <n v="0"/>
    <n v="0"/>
    <m/>
    <n v="0"/>
    <n v="0"/>
    <n v="0"/>
    <n v="0"/>
    <n v="-814.85866918990496"/>
    <m/>
    <m/>
    <n v="18922.536368614223"/>
    <m/>
    <n v="0"/>
    <n v="0"/>
    <n v="-9447.1999999999971"/>
    <m/>
    <n v="0"/>
    <m/>
    <n v="-9665.675527013068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551"/>
    <s v="Regular"/>
    <s v="Convencional"/>
    <s v="B2"/>
    <s v="Rural"/>
    <s v="Não se aplica"/>
    <s v="Não se aplica"/>
    <s v="Não se aplica"/>
    <s v="Não se aplica"/>
    <s v="CATIVO"/>
    <x v="8"/>
    <n v="0"/>
    <n v="0"/>
    <n v="4032.6120000000001"/>
    <n v="4032.6120000000001"/>
    <n v="4032.6120000000001"/>
    <n v="4032.6120000000001"/>
    <m/>
    <n v="648.44000000000005"/>
    <n v="159.41"/>
    <m/>
    <n v="3257745.6041999999"/>
    <n v="3257745.6041999999"/>
    <n v="2467232.6738399998"/>
    <n v="0"/>
    <n v="249901.97633357259"/>
    <n v="0"/>
    <n v="0"/>
    <n v="0"/>
    <n v="470381.71287528699"/>
    <n v="1683800.9729998563"/>
    <n v="621952.63898588391"/>
    <n v="20895.976093372108"/>
    <n v="0"/>
    <n v="0"/>
    <n v="0"/>
    <n v="0"/>
    <n v="38616.515720066927"/>
    <m/>
    <n v="8368.05558094071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462.751867681705"/>
    <n v="0"/>
    <n v="4362.17"/>
    <n v="19091.22"/>
    <n v="195901.93"/>
    <n v="13288"/>
    <m/>
    <m/>
    <m/>
    <m/>
    <m/>
    <n v="296074.37304000009"/>
    <m/>
    <m/>
    <m/>
    <n v="667415.39085356565"/>
    <m/>
    <m/>
    <m/>
    <m/>
    <m/>
    <m/>
    <m/>
    <m/>
    <m/>
    <m/>
    <m/>
    <m/>
    <n v="2171157.2239999999"/>
    <n v="-695667.00291999942"/>
    <m/>
    <m/>
    <m/>
    <m/>
    <n v="-901288.78200000024"/>
    <n v="110775.85163999999"/>
    <n v="31"/>
    <n v="69578.760098160012"/>
    <n v="0"/>
    <n v="0"/>
    <n v="0"/>
    <n v="0"/>
    <n v="0"/>
    <n v="0"/>
    <n v="0"/>
    <n v="21248.074648157053"/>
    <n v="0"/>
    <n v="0"/>
    <n v="123316.41257678997"/>
    <n v="0"/>
    <n v="0"/>
    <n v="0"/>
    <n v="9014.0359808305875"/>
    <n v="0"/>
    <n v="-17503.627415681607"/>
    <m/>
    <n v="0"/>
    <n v="0"/>
    <n v="0"/>
    <n v="0"/>
    <n v="-2356.0467957497749"/>
    <n v="-533.19229943297432"/>
    <n v="0"/>
    <n v="-63606.896596753024"/>
    <m/>
    <m/>
    <m/>
    <n v="1683800.9729998563"/>
    <n v="0"/>
    <n v="0"/>
    <n v="-901288.78200000012"/>
    <n v="110775.85164000001"/>
    <n v="0"/>
    <n v="0"/>
    <n v="-860089.44784379203"/>
    <n v="0"/>
    <n v="0"/>
    <n v="0"/>
    <n v="0"/>
    <n v="0"/>
    <n v="0"/>
    <n v="0"/>
    <n v="0"/>
    <n v="0"/>
    <n v="0"/>
    <n v="0"/>
    <n v="0"/>
    <n v="118374.0980438212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52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0.90700000000000003"/>
    <n v="0.90700000000000003"/>
    <n v="0.90700000000000003"/>
    <n v="0.90700000000000003"/>
    <m/>
    <n v="648.44000000000005"/>
    <n v="159.41"/>
    <m/>
    <n v="732.71995000000004"/>
    <n v="732.71995000000004"/>
    <n v="554.92074000000002"/>
    <n v="0"/>
    <n v="56.207017321416082"/>
    <n v="0"/>
    <n v="0"/>
    <n v="0"/>
    <n v="105.79649457420781"/>
    <n v="378.71421364387885"/>
    <n v="139.88726005878985"/>
    <n v="4.6998447449664145"/>
    <n v="0"/>
    <n v="0"/>
    <n v="0"/>
    <n v="0"/>
    <n v="8.6854822031231134"/>
    <m/>
    <n v="1.8821117459138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225312017121238"/>
    <n v="0"/>
    <n v="-1.79"/>
    <n v="-9.02"/>
    <n v="-7.3"/>
    <n v="0"/>
    <m/>
    <m/>
    <m/>
    <m/>
    <m/>
    <n v="66.591940000000022"/>
    <m/>
    <m/>
    <m/>
    <n v="150.11257207591109"/>
    <m/>
    <m/>
    <m/>
    <m/>
    <m/>
    <m/>
    <m/>
    <m/>
    <m/>
    <m/>
    <m/>
    <m/>
    <n v="489.94400000000002"/>
    <n v="-154.88137"/>
    <m/>
    <m/>
    <m/>
    <m/>
    <n v="-202.71450000000007"/>
    <n v="24.915289999999999"/>
    <n v="31"/>
    <n v="15.649394340202264"/>
    <n v="0"/>
    <n v="0"/>
    <n v="0"/>
    <n v="0"/>
    <n v="0"/>
    <n v="0"/>
    <n v="0"/>
    <n v="4.7790374342680195"/>
    <n v="0"/>
    <n v="0"/>
    <n v="27.735866035995656"/>
    <n v="0"/>
    <n v="0"/>
    <n v="0"/>
    <n v="2.0274032400373105"/>
    <n v="0"/>
    <n v="-3.9368503753952098"/>
    <m/>
    <n v="0"/>
    <n v="0"/>
    <n v="0"/>
    <n v="0"/>
    <n v="-0.52991322838523658"/>
    <n v="-0.11992361664988049"/>
    <n v="0"/>
    <n v="-14.306225149668499"/>
    <m/>
    <m/>
    <m/>
    <n v="378.71421364387885"/>
    <n v="0"/>
    <n v="0"/>
    <n v="-202.71449999999999"/>
    <n v="24.915289999999999"/>
    <n v="0"/>
    <n v="0"/>
    <n v="-193.44809993977086"/>
    <n v="0"/>
    <n v="0"/>
    <n v="0"/>
    <n v="0"/>
    <n v="0"/>
    <n v="0"/>
    <n v="0"/>
    <n v="0"/>
    <n v="0"/>
    <n v="0"/>
    <n v="0"/>
    <n v="0"/>
    <n v="26.62425914661413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53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116.73699999999999"/>
    <n v="116.73699999999999"/>
    <n v="116.73699999999999"/>
    <n v="116.73699999999999"/>
    <m/>
    <n v="648.44000000000005"/>
    <n v="159.41"/>
    <m/>
    <n v="94305.985450000007"/>
    <n v="94305.985450000007"/>
    <n v="71422.031339999987"/>
    <n v="0"/>
    <n v="7234.2211477950923"/>
    <n v="0"/>
    <n v="0"/>
    <n v="0"/>
    <n v="13616.720382700438"/>
    <n v="48743.066326511005"/>
    <n v="18004.431176938204"/>
    <n v="604.90162733532998"/>
    <n v="0"/>
    <n v="0"/>
    <n v="0"/>
    <n v="0"/>
    <n v="1117.8799734795841"/>
    <m/>
    <n v="242.24043978252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6.0664266181718"/>
    <n v="0"/>
    <n v="127.09"/>
    <n v="562.11"/>
    <n v="5606.24"/>
    <n v="437"/>
    <m/>
    <m/>
    <m/>
    <m/>
    <m/>
    <n v="8570.8305400000027"/>
    <m/>
    <m/>
    <m/>
    <n v="19320.497603556374"/>
    <m/>
    <m/>
    <m/>
    <m/>
    <m/>
    <m/>
    <m/>
    <m/>
    <m/>
    <m/>
    <m/>
    <m/>
    <n v="62852.815999999992"/>
    <n v="-20136.714669999987"/>
    <m/>
    <m/>
    <m/>
    <m/>
    <n v="-26090.719500000007"/>
    <n v="3206.7653899999996"/>
    <n v="31"/>
    <n v="2014.1823010939115"/>
    <n v="0"/>
    <n v="0"/>
    <n v="0"/>
    <n v="0"/>
    <n v="0"/>
    <n v="0"/>
    <n v="0"/>
    <n v="615.09425905639"/>
    <n v="0"/>
    <n v="0"/>
    <n v="3569.7924955281414"/>
    <n v="0"/>
    <n v="0"/>
    <n v="0"/>
    <n v="260.94043222958726"/>
    <n v="0"/>
    <n v="-506.6991204768583"/>
    <m/>
    <n v="0"/>
    <n v="0"/>
    <n v="0"/>
    <n v="0"/>
    <n v="-68.203396407946457"/>
    <n v="-15.434976005355139"/>
    <n v="0"/>
    <n v="-1841.307392830046"/>
    <m/>
    <m/>
    <m/>
    <n v="48743.066326511005"/>
    <n v="0"/>
    <n v="0"/>
    <n v="-26090.719500000014"/>
    <n v="3206.7653900000005"/>
    <n v="0"/>
    <n v="0"/>
    <n v="-24898.071491366074"/>
    <n v="0"/>
    <n v="0"/>
    <n v="0"/>
    <n v="0"/>
    <n v="0"/>
    <n v="0"/>
    <n v="0"/>
    <n v="0"/>
    <n v="0"/>
    <n v="0"/>
    <n v="0"/>
    <n v="0"/>
    <n v="3426.721212787534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54"/>
    <s v="Regular"/>
    <s v="Verde"/>
    <s v="A4"/>
    <s v="Rural"/>
    <s v="Não se aplica"/>
    <s v="Não se aplica"/>
    <s v="Não se aplica"/>
    <s v="Ponta"/>
    <s v="CATIVO"/>
    <x v="8"/>
    <n v="0"/>
    <n v="0"/>
    <n v="37.524000000000001"/>
    <n v="36.023040000000002"/>
    <n v="37.524000000000001"/>
    <n v="36.023040000000002"/>
    <m/>
    <n v="2810.7"/>
    <n v="159.41"/>
    <m/>
    <n v="111450.40764"/>
    <n v="111450.40764"/>
    <n v="70983.775559999995"/>
    <n v="0"/>
    <n v="2023.0733656371222"/>
    <n v="0"/>
    <n v="0"/>
    <n v="0"/>
    <n v="22908.987126241893"/>
    <n v="78983.851237108058"/>
    <n v="5787.353413942702"/>
    <n v="194.43988336286631"/>
    <n v="0"/>
    <n v="0"/>
    <n v="0"/>
    <n v="0"/>
    <n v="359.33190098124771"/>
    <m/>
    <n v="40.2907714941198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74484544485821"/>
    <n v="0"/>
    <n v="0"/>
    <n v="0"/>
    <n v="0"/>
    <n v="0"/>
    <m/>
    <m/>
    <m/>
    <m/>
    <m/>
    <n v="2839.3510223999983"/>
    <m/>
    <m/>
    <m/>
    <n v="5982.0982593875606"/>
    <m/>
    <m/>
    <m/>
    <m/>
    <m/>
    <m/>
    <m/>
    <m/>
    <m/>
    <m/>
    <m/>
    <m/>
    <n v="68138.673800000004"/>
    <n v="-38853.747534399983"/>
    <m/>
    <m/>
    <m/>
    <m/>
    <n v="-41497.416359999996"/>
    <n v="1030.7842800000001"/>
    <n v="31"/>
    <n v="-121.2999696381703"/>
    <n v="0"/>
    <n v="0"/>
    <n v="0"/>
    <n v="0"/>
    <n v="0"/>
    <n v="0"/>
    <n v="0"/>
    <n v="1034.8443726618898"/>
    <n v="0"/>
    <n v="0"/>
    <n v="1147.4758954076087"/>
    <n v="0"/>
    <n v="0"/>
    <n v="0"/>
    <n v="38.612643797506962"/>
    <n v="0"/>
    <n v="-141.70004954036153"/>
    <m/>
    <n v="0"/>
    <n v="0"/>
    <n v="0"/>
    <n v="0"/>
    <n v="-21.923334048431741"/>
    <n v="-2.5672306895052728"/>
    <n v="0"/>
    <n v="-2176.042267226876"/>
    <m/>
    <m/>
    <m/>
    <n v="78983.851237108058"/>
    <n v="0"/>
    <n v="0"/>
    <n v="-41497.416360000003"/>
    <n v="1030.7842799999999"/>
    <n v="0"/>
    <n v="0"/>
    <n v="-40345.13466165214"/>
    <n v="0"/>
    <n v="0"/>
    <n v="0"/>
    <n v="0"/>
    <n v="0"/>
    <n v="0"/>
    <n v="0"/>
    <n v="0"/>
    <n v="0"/>
    <n v="0"/>
    <n v="0"/>
    <n v="0"/>
    <n v="958.2936815758180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55"/>
    <s v="Sistema de Compensação"/>
    <s v="Verde"/>
    <s v="A4"/>
    <s v="Rural"/>
    <s v="Não se aplica"/>
    <s v="Não se aplica"/>
    <s v="Não se aplica"/>
    <s v="Ponta"/>
    <s v="CATIVO"/>
    <x v="8"/>
    <n v="0"/>
    <n v="0"/>
    <n v="2.74"/>
    <n v="2.6303999999999998"/>
    <n v="2.74"/>
    <n v="2.6303999999999998"/>
    <m/>
    <n v="2810.7"/>
    <n v="159.41"/>
    <m/>
    <n v="8138.1014000000005"/>
    <n v="8138.1014000000005"/>
    <n v="5183.2305999999999"/>
    <n v="0"/>
    <n v="147.72468345180991"/>
    <n v="0"/>
    <n v="0"/>
    <n v="0"/>
    <n v="1672.8127258795116"/>
    <n v="5767.395597209148"/>
    <n v="422.59216379391864"/>
    <n v="14.197987432423348"/>
    <n v="0"/>
    <n v="0"/>
    <n v="0"/>
    <n v="0"/>
    <n v="26.23839166103344"/>
    <m/>
    <n v="2.9420294716418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220255743495136"/>
    <n v="0"/>
    <n v="0"/>
    <n v="0"/>
    <n v="0"/>
    <n v="0"/>
    <m/>
    <m/>
    <m/>
    <m/>
    <m/>
    <n v="207.32922400000069"/>
    <m/>
    <m/>
    <m/>
    <n v="436.8124195374138"/>
    <m/>
    <m/>
    <m/>
    <m/>
    <m/>
    <m/>
    <m/>
    <m/>
    <m/>
    <m/>
    <m/>
    <m/>
    <n v="4975.1446999999989"/>
    <n v="-2837.4626440000002"/>
    <m/>
    <m/>
    <m/>
    <m/>
    <n v="-3030.1385999999998"/>
    <n v="75.267800000000008"/>
    <n v="31"/>
    <n v="-8.8573157661385267"/>
    <n v="0"/>
    <n v="0"/>
    <n v="0"/>
    <n v="0"/>
    <n v="0"/>
    <n v="0"/>
    <n v="0"/>
    <n v="75.564267697835476"/>
    <n v="0"/>
    <n v="0"/>
    <n v="83.788614044793974"/>
    <n v="0"/>
    <n v="0"/>
    <n v="0"/>
    <n v="2.819492698144364"/>
    <n v="0"/>
    <n v="-10.346928252334266"/>
    <m/>
    <n v="0"/>
    <n v="0"/>
    <n v="0"/>
    <n v="0"/>
    <n v="-1.600840403280646"/>
    <n v="-0.18745901527674125"/>
    <n v="0"/>
    <n v="-158.89446253602071"/>
    <m/>
    <m/>
    <m/>
    <n v="5767.395597209148"/>
    <n v="0"/>
    <n v="0"/>
    <n v="-3030.1386000000002"/>
    <n v="75.267799999999966"/>
    <n v="0"/>
    <n v="0"/>
    <n v="-2945.9990665421292"/>
    <n v="0"/>
    <n v="0"/>
    <n v="0"/>
    <n v="0"/>
    <n v="0"/>
    <n v="0"/>
    <n v="0"/>
    <n v="0"/>
    <n v="0"/>
    <n v="0"/>
    <n v="0"/>
    <n v="0"/>
    <n v="69.97454129404492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56"/>
    <s v="Regular"/>
    <s v="Verde"/>
    <s v="A4"/>
    <s v="Rural"/>
    <s v="Não se aplica"/>
    <s v="Não se aplica"/>
    <s v="Não se aplica"/>
    <s v="Fora ponta"/>
    <s v="CATIVO"/>
    <x v="8"/>
    <n v="0"/>
    <n v="0"/>
    <n v="848.55200000000002"/>
    <n v="814.60991999999999"/>
    <n v="848.55200000000002"/>
    <n v="814.60991999999999"/>
    <m/>
    <n v="95.29"/>
    <n v="159.41"/>
    <m/>
    <n v="216126.19439999998"/>
    <n v="216126.19439999998"/>
    <n v="234972.53431999998"/>
    <n v="0"/>
    <n v="45748.932697956276"/>
    <n v="0"/>
    <n v="0"/>
    <n v="0"/>
    <n v="0"/>
    <n v="0"/>
    <n v="130872.78312834207"/>
    <n v="4396.9819823933194"/>
    <n v="0"/>
    <n v="0"/>
    <n v="0"/>
    <n v="0"/>
    <n v="8125.7809199829362"/>
    <m/>
    <n v="911.118610299498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03.8782670271112"/>
    <n v="0"/>
    <n v="0"/>
    <n v="0"/>
    <n v="0"/>
    <n v="0"/>
    <m/>
    <m/>
    <m/>
    <m/>
    <m/>
    <n v="9398.9013728000082"/>
    <m/>
    <m/>
    <m/>
    <n v="135276.66139536918"/>
    <m/>
    <m/>
    <m/>
    <m/>
    <m/>
    <m/>
    <m/>
    <m/>
    <m/>
    <m/>
    <m/>
    <m/>
    <n v="225573.6551"/>
    <n v="18092.478475999989"/>
    <m/>
    <m/>
    <m/>
    <m/>
    <n v="-4463.3835200000049"/>
    <n v="23309.723439999998"/>
    <n v="31"/>
    <n v="18843.657824970316"/>
    <n v="0"/>
    <n v="0"/>
    <n v="0"/>
    <n v="0"/>
    <n v="0"/>
    <n v="0"/>
    <n v="0"/>
    <n v="0"/>
    <n v="0"/>
    <n v="0"/>
    <n v="25948.538695232826"/>
    <n v="0"/>
    <n v="0"/>
    <n v="0"/>
    <n v="873.17013430503539"/>
    <n v="0"/>
    <n v="-3204.3454972170584"/>
    <m/>
    <n v="0"/>
    <n v="0"/>
    <n v="0"/>
    <n v="0"/>
    <n v="-495.76508243963508"/>
    <n v="-58.054278223032725"/>
    <n v="0"/>
    <n v="-4219.8861466877988"/>
    <m/>
    <m/>
    <m/>
    <n v="0"/>
    <n v="0"/>
    <n v="0"/>
    <n v="-4463.383520000003"/>
    <n v="23309.723440000002"/>
    <n v="0"/>
    <n v="0"/>
    <n v="0"/>
    <n v="0"/>
    <n v="0"/>
    <n v="0"/>
    <n v="0"/>
    <n v="0"/>
    <n v="0"/>
    <n v="0"/>
    <n v="0"/>
    <n v="0"/>
    <n v="0"/>
    <n v="0"/>
    <n v="0"/>
    <n v="21670.45144676803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57"/>
    <s v="Sistema de Compensação"/>
    <s v="Verde"/>
    <s v="A4"/>
    <s v="Rural"/>
    <s v="Não se aplica"/>
    <s v="Não se aplica"/>
    <s v="Não se aplica"/>
    <s v="Fora ponta"/>
    <s v="CATIVO"/>
    <x v="8"/>
    <n v="0"/>
    <n v="0"/>
    <n v="39.72"/>
    <n v="38.1312"/>
    <n v="39.72"/>
    <n v="38.1312"/>
    <m/>
    <n v="95.29"/>
    <n v="159.41"/>
    <m/>
    <n v="10116.683999999999"/>
    <n v="10116.683999999999"/>
    <n v="10998.8652"/>
    <n v="0"/>
    <n v="2141.4687688707622"/>
    <n v="0"/>
    <n v="0"/>
    <n v="0"/>
    <n v="0"/>
    <n v="0"/>
    <n v="6126.0440678446885"/>
    <n v="205.81900029775741"/>
    <n v="0"/>
    <n v="0"/>
    <n v="0"/>
    <n v="0"/>
    <n v="380.36091853147741"/>
    <m/>
    <n v="42.64869000496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6.14180953709007"/>
    <n v="0"/>
    <n v="0"/>
    <n v="0"/>
    <n v="0"/>
    <n v="0"/>
    <m/>
    <m/>
    <m/>
    <m/>
    <m/>
    <n v="439.95460799999978"/>
    <m/>
    <m/>
    <m/>
    <n v="6332.1858773817785"/>
    <m/>
    <m/>
    <m/>
    <m/>
    <m/>
    <m/>
    <m/>
    <m/>
    <m/>
    <m/>
    <m/>
    <m/>
    <n v="10558.578300000001"/>
    <n v="846.53166000000056"/>
    <m/>
    <m/>
    <m/>
    <m/>
    <n v="-208.9272000000002"/>
    <n v="1091.1083999999998"/>
    <n v="31"/>
    <n v="882.05565340465182"/>
    <n v="0"/>
    <n v="0"/>
    <n v="0"/>
    <n v="0"/>
    <n v="0"/>
    <n v="0"/>
    <n v="0"/>
    <n v="0"/>
    <n v="0"/>
    <n v="0"/>
    <n v="1214.6291057880353"/>
    <n v="0"/>
    <n v="0"/>
    <n v="0"/>
    <n v="40.872354003756982"/>
    <n v="0"/>
    <n v="-149.99269714697675"/>
    <m/>
    <n v="0"/>
    <n v="0"/>
    <n v="0"/>
    <n v="0"/>
    <n v="-23.206343364345742"/>
    <n v="-2.7174715645226897"/>
    <n v="0"/>
    <n v="-197.52929431129661"/>
    <m/>
    <m/>
    <m/>
    <n v="0"/>
    <n v="0"/>
    <n v="0"/>
    <n v="-208.92720000000008"/>
    <n v="1091.1084000000001"/>
    <n v="0"/>
    <n v="0"/>
    <n v="0"/>
    <n v="0"/>
    <n v="0"/>
    <n v="0"/>
    <n v="0"/>
    <n v="0"/>
    <n v="0"/>
    <n v="0"/>
    <n v="0"/>
    <n v="0"/>
    <n v="0"/>
    <n v="0"/>
    <n v="0"/>
    <n v="1014.375467226081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58"/>
    <s v="Regular"/>
    <s v="Verde"/>
    <s v="A4"/>
    <s v="Rural"/>
    <s v="Não se aplica"/>
    <s v="Não se aplica"/>
    <s v="Não se aplica"/>
    <s v="Não se aplica"/>
    <s v="CATIVO"/>
    <x v="8"/>
    <n v="3550"/>
    <n v="3408"/>
    <n v="0"/>
    <n v="0"/>
    <n v="0"/>
    <n v="0"/>
    <n v="43.29"/>
    <m/>
    <m/>
    <n v="153679.5"/>
    <m/>
    <n v="153679.5"/>
    <n v="118889.5"/>
    <n v="0"/>
    <n v="0"/>
    <n v="0"/>
    <n v="0"/>
    <n v="0"/>
    <n v="84007.154412454911"/>
    <n v="69683.6142205191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67.44"/>
    <n v="3741.15"/>
    <n v="162.25"/>
    <n v="23"/>
    <m/>
    <m/>
    <m/>
    <m/>
    <m/>
    <n v="4755.58"/>
    <m/>
    <m/>
    <m/>
    <n v="0"/>
    <m/>
    <m/>
    <m/>
    <m/>
    <m/>
    <m/>
    <m/>
    <m/>
    <m/>
    <m/>
    <m/>
    <m/>
    <n v="114133.92000000001"/>
    <n v="-33398.430000000022"/>
    <m/>
    <m/>
    <m/>
    <m/>
    <n v="-34789.999999999993"/>
    <n v="0"/>
    <n v="31"/>
    <n v="793.99351551204745"/>
    <n v="0"/>
    <n v="0"/>
    <n v="0"/>
    <n v="0"/>
    <m/>
    <m/>
    <m/>
    <n v="3794.7697350391827"/>
    <n v="0"/>
    <n v="0"/>
    <m/>
    <m/>
    <n v="0"/>
    <n v="0"/>
    <n v="0"/>
    <n v="0"/>
    <n v="0"/>
    <m/>
    <n v="0"/>
    <n v="0"/>
    <m/>
    <n v="0"/>
    <n v="0"/>
    <n v="0"/>
    <n v="0"/>
    <n v="-3000.7762195271398"/>
    <m/>
    <m/>
    <n v="69683.614220519172"/>
    <m/>
    <n v="0"/>
    <n v="0"/>
    <n v="-34790"/>
    <m/>
    <n v="0"/>
    <m/>
    <n v="-35594.55199263111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559"/>
    <s v="Sistema de Compensação"/>
    <s v="Verde"/>
    <s v="A4"/>
    <s v="Rural"/>
    <s v="Não se aplica"/>
    <s v="Não se aplica"/>
    <s v="Não se aplica"/>
    <s v="Não se aplica"/>
    <s v="CATIVO"/>
    <x v="8"/>
    <n v="362"/>
    <n v="347.52"/>
    <n v="0"/>
    <n v="0"/>
    <n v="0"/>
    <n v="0"/>
    <n v="43.29"/>
    <m/>
    <m/>
    <n v="15670.98"/>
    <m/>
    <n v="15670.98"/>
    <n v="12123.380000000001"/>
    <n v="0"/>
    <n v="0"/>
    <n v="0"/>
    <n v="0"/>
    <n v="0"/>
    <n v="8566.3633513545556"/>
    <n v="7105.76573178251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5.86"/>
    <n v="240.94"/>
    <n v="19.64"/>
    <n v="3"/>
    <m/>
    <m/>
    <m/>
    <m/>
    <m/>
    <n v="484.93520000000063"/>
    <m/>
    <m/>
    <m/>
    <n v="0"/>
    <m/>
    <m/>
    <m/>
    <m/>
    <m/>
    <m/>
    <m/>
    <m/>
    <m/>
    <m/>
    <m/>
    <m/>
    <n v="11638.444799999999"/>
    <n v="-3405.7260000000006"/>
    <m/>
    <m/>
    <m/>
    <m/>
    <n v="-3547.599999999999"/>
    <n v="0"/>
    <n v="31"/>
    <n v="80.964972567708173"/>
    <n v="0"/>
    <n v="0"/>
    <n v="0"/>
    <n v="0"/>
    <m/>
    <m/>
    <m/>
    <n v="386.95961805188381"/>
    <n v="0"/>
    <n v="0"/>
    <m/>
    <m/>
    <n v="0"/>
    <n v="0"/>
    <n v="0"/>
    <n v="0"/>
    <n v="0"/>
    <m/>
    <n v="0"/>
    <n v="0"/>
    <m/>
    <n v="0"/>
    <n v="0"/>
    <n v="0"/>
    <n v="0"/>
    <n v="-305.99464548417592"/>
    <m/>
    <m/>
    <n v="7105.7657317825187"/>
    <m/>
    <n v="0"/>
    <n v="0"/>
    <n v="-3547.5999999999985"/>
    <m/>
    <n v="0"/>
    <m/>
    <n v="-3629.64163981196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560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302.50799999999998"/>
    <n v="302.50799999999998"/>
    <n v="302.50799999999998"/>
    <n v="302.50799999999998"/>
    <m/>
    <n v="648.44000000000005"/>
    <n v="159.41"/>
    <m/>
    <n v="244381.08780000001"/>
    <n v="244381.08780000001"/>
    <n v="185080.44456"/>
    <n v="0"/>
    <n v="18746.496577582067"/>
    <n v="0"/>
    <n v="0"/>
    <n v="0"/>
    <n v="35285.872084514282"/>
    <n v="126311.00258101709"/>
    <n v="46656.02565144917"/>
    <n v="1567.5199935063947"/>
    <n v="0"/>
    <n v="0"/>
    <n v="0"/>
    <n v="0"/>
    <n v="2896.8333520423002"/>
    <m/>
    <n v="627.73303200982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10.4064913729999"/>
    <n v="0"/>
    <n v="366.24"/>
    <n v="1586.88"/>
    <n v="70252.649999999994"/>
    <n v="361"/>
    <m/>
    <m/>
    <m/>
    <m/>
    <m/>
    <m/>
    <m/>
    <m/>
    <m/>
    <n v="50066.432142822174"/>
    <m/>
    <m/>
    <m/>
    <m/>
    <m/>
    <m/>
    <m/>
    <m/>
    <m/>
    <m/>
    <m/>
    <m/>
    <n v="185081.66819999999"/>
    <n v="-59299.449600000051"/>
    <m/>
    <m/>
    <m/>
    <m/>
    <n v="-67610.538000000015"/>
    <n v="8309.8947599999992"/>
    <n v="31"/>
    <n v="5219.4784818807966"/>
    <n v="0"/>
    <n v="0"/>
    <n v="0"/>
    <n v="0"/>
    <n v="0"/>
    <n v="0"/>
    <n v="0"/>
    <n v="1593.932807238758"/>
    <n v="0"/>
    <n v="0"/>
    <n v="9250.629947979025"/>
    <n v="0"/>
    <n v="0"/>
    <n v="0"/>
    <n v="676.19150974333752"/>
    <n v="0"/>
    <n v="-1313.0416023815378"/>
    <m/>
    <n v="0"/>
    <n v="0"/>
    <n v="0"/>
    <n v="0"/>
    <n v="-176.73979150205196"/>
    <n v="-39.997633324721164"/>
    <n v="0"/>
    <n v="-4771.4967558720164"/>
    <m/>
    <m/>
    <m/>
    <n v="126311.00258101709"/>
    <n v="0"/>
    <n v="0"/>
    <n v="-67610.538000000015"/>
    <n v="8309.8947600000029"/>
    <n v="0"/>
    <n v="0"/>
    <n v="-64519.953491268141"/>
    <n v="0"/>
    <n v="0"/>
    <n v="0"/>
    <n v="0"/>
    <n v="0"/>
    <n v="0"/>
    <n v="0"/>
    <n v="0"/>
    <n v="0"/>
    <n v="0"/>
    <n v="0"/>
    <n v="0"/>
    <n v="8879.880249089246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61"/>
    <s v="Regular"/>
    <s v="Azul"/>
    <s v="A4"/>
    <s v="Poder público"/>
    <s v="Não se aplica"/>
    <s v="Não se aplica"/>
    <s v="Não se aplica"/>
    <s v="Ponta"/>
    <s v="CATIVO"/>
    <x v="8"/>
    <n v="200"/>
    <n v="200"/>
    <n v="6.5519999999999996"/>
    <n v="6.5519999999999996"/>
    <n v="6.5519999999999996"/>
    <n v="6.5519999999999996"/>
    <n v="112.91"/>
    <n v="95.29"/>
    <n v="159.41"/>
    <n v="22582"/>
    <n v="1668.7943999999998"/>
    <n v="24250.794400000002"/>
    <n v="15242.314320000001"/>
    <n v="0"/>
    <n v="353.24530145118916"/>
    <n v="0"/>
    <n v="0"/>
    <n v="0"/>
    <n v="5077.0827132346003"/>
    <n v="17504.269107723037"/>
    <n v="1010.5196559042901"/>
    <n v="33.950807904101374"/>
    <n v="0"/>
    <n v="0"/>
    <n v="0"/>
    <n v="0"/>
    <n v="62.742314658062433"/>
    <m/>
    <n v="7.03510113072895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004056799773764"/>
    <n v="0"/>
    <n v="0"/>
    <n v="0"/>
    <n v="0"/>
    <n v="0"/>
    <m/>
    <m/>
    <m/>
    <m/>
    <m/>
    <m/>
    <m/>
    <m/>
    <m/>
    <n v="1044.5237127040639"/>
    <m/>
    <m/>
    <m/>
    <m/>
    <m/>
    <m/>
    <m/>
    <m/>
    <m/>
    <m/>
    <m/>
    <m/>
    <n v="15241.7605"/>
    <n v="-9009.0638999999974"/>
    <m/>
    <m/>
    <m/>
    <m/>
    <n v="-9188.4635199999993"/>
    <n v="179.98343999999997"/>
    <n v="31"/>
    <n v="-66.054495789141583"/>
    <n v="0"/>
    <n v="0"/>
    <n v="0"/>
    <n v="0"/>
    <n v="0"/>
    <n v="0"/>
    <n v="0"/>
    <n v="229.34189304735992"/>
    <n v="0"/>
    <n v="0"/>
    <n v="200.35875883995971"/>
    <n v="0"/>
    <n v="0"/>
    <n v="0"/>
    <n v="6.7420861891393713"/>
    <n v="0"/>
    <n v="-24.741997777114591"/>
    <m/>
    <n v="0"/>
    <n v="0"/>
    <n v="0"/>
    <n v="0"/>
    <n v="-3.8279950081367886"/>
    <n v="-0.44825965988803329"/>
    <n v="0"/>
    <n v="-473.47898142046176"/>
    <m/>
    <m/>
    <n v="17504.269107723037"/>
    <n v="0"/>
    <n v="0"/>
    <n v="0"/>
    <n v="-9188.4635200000012"/>
    <n v="179.98343999999997"/>
    <n v="0"/>
    <n v="0"/>
    <n v="-8941.2213160491574"/>
    <n v="0"/>
    <n v="0"/>
    <n v="0"/>
    <n v="0"/>
    <n v="0"/>
    <n v="0"/>
    <n v="0"/>
    <n v="0"/>
    <n v="0"/>
    <n v="0"/>
    <n v="0"/>
    <n v="0"/>
    <n v="167.3259834155409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62"/>
    <s v="Regular"/>
    <s v="Azul"/>
    <s v="A4"/>
    <s v="Poder público"/>
    <s v="Não se aplica"/>
    <s v="Não se aplica"/>
    <s v="Não se aplica"/>
    <s v="Fora ponta"/>
    <s v="CATIVO"/>
    <x v="8"/>
    <n v="230"/>
    <n v="230"/>
    <n v="44.293999999999997"/>
    <n v="44.293999999999997"/>
    <n v="44.293999999999997"/>
    <n v="44.293999999999997"/>
    <n v="43.29"/>
    <n v="95.29"/>
    <n v="159.41"/>
    <n v="9956.6999999999989"/>
    <n v="11281.681799999998"/>
    <n v="21238.381799999999"/>
    <n v="19968.151539999999"/>
    <n v="0"/>
    <n v="2388.0719448227983"/>
    <n v="0"/>
    <n v="0"/>
    <n v="0"/>
    <n v="5442.71704644074"/>
    <n v="4514.7130340054682"/>
    <n v="6831.4953660904494"/>
    <n v="229.52031216487578"/>
    <n v="0"/>
    <n v="0"/>
    <n v="0"/>
    <n v="0"/>
    <n v="424.16179570577191"/>
    <m/>
    <n v="47.559946502519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9.88029485488084"/>
    <n v="0"/>
    <n v="0"/>
    <n v="0"/>
    <n v="0"/>
    <n v="0"/>
    <m/>
    <m/>
    <m/>
    <m/>
    <m/>
    <m/>
    <m/>
    <m/>
    <m/>
    <n v="7061.3756609453303"/>
    <m/>
    <m/>
    <m/>
    <m/>
    <m/>
    <m/>
    <m/>
    <m/>
    <m/>
    <m/>
    <m/>
    <m/>
    <n v="19967.043900000001"/>
    <n v="-1271.3678999999975"/>
    <m/>
    <m/>
    <m/>
    <m/>
    <n v="-2486.9864399999997"/>
    <n v="1216.7561799999999"/>
    <n v="31"/>
    <n v="1035.0715693486636"/>
    <n v="0"/>
    <n v="0"/>
    <n v="0"/>
    <n v="0"/>
    <n v="0"/>
    <n v="0"/>
    <n v="0"/>
    <n v="245.85832086169376"/>
    <n v="0"/>
    <n v="0"/>
    <n v="1354.5010476277739"/>
    <n v="0"/>
    <n v="0"/>
    <n v="0"/>
    <n v="45.579054588177542"/>
    <n v="0"/>
    <n v="-167.26527007623872"/>
    <m/>
    <n v="0"/>
    <n v="0"/>
    <n v="0"/>
    <n v="0"/>
    <n v="-25.878695190844155"/>
    <n v="-3.0304049717766333"/>
    <n v="0"/>
    <n v="-414.69248349013071"/>
    <m/>
    <m/>
    <n v="4514.7130340054682"/>
    <n v="0"/>
    <n v="0"/>
    <n v="0"/>
    <n v="-2486.9864399999988"/>
    <n v="1216.7561799999994"/>
    <n v="0"/>
    <n v="0"/>
    <n v="-2306.1259037479317"/>
    <n v="0"/>
    <n v="0"/>
    <n v="0"/>
    <n v="0"/>
    <n v="0"/>
    <n v="0"/>
    <n v="0"/>
    <n v="0"/>
    <n v="0"/>
    <n v="0"/>
    <n v="0"/>
    <n v="0"/>
    <n v="1131.186982510374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63"/>
    <s v="Regular"/>
    <s v="Azul"/>
    <s v="A4"/>
    <s v="Poder público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8.459999999999994"/>
    <n v="295.29000000000002"/>
    <n v="13091.4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64"/>
    <s v="Regular"/>
    <s v="Verde"/>
    <s v="A4"/>
    <s v="Poder público"/>
    <s v="Não se aplica"/>
    <s v="Não se aplica"/>
    <s v="Não se aplica"/>
    <s v="Ponta"/>
    <s v="CATIVO"/>
    <x v="8"/>
    <n v="0"/>
    <n v="0"/>
    <n v="0.68300000000000005"/>
    <n v="0.68300000000000005"/>
    <n v="0.68300000000000005"/>
    <n v="0.68300000000000005"/>
    <m/>
    <n v="2810.7"/>
    <n v="159.41"/>
    <m/>
    <n v="2028.5851300000002"/>
    <n v="2028.5851300000002"/>
    <n v="1292.0242700000001"/>
    <n v="0"/>
    <n v="36.823342626856267"/>
    <n v="0"/>
    <n v="0"/>
    <n v="0"/>
    <n v="416.98215028310454"/>
    <n v="1437.6391214941052"/>
    <n v="105.33957951505344"/>
    <n v="3.5391333636296154"/>
    <n v="0"/>
    <n v="0"/>
    <n v="0"/>
    <n v="0"/>
    <n v="6.5404458045568754"/>
    <m/>
    <n v="0.733359901142837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446841871559043"/>
    <n v="0"/>
    <n v="0"/>
    <n v="0"/>
    <n v="0"/>
    <n v="0"/>
    <m/>
    <m/>
    <m/>
    <m/>
    <m/>
    <m/>
    <m/>
    <m/>
    <m/>
    <n v="108.88426370220935"/>
    <m/>
    <m/>
    <m/>
    <m/>
    <m/>
    <m/>
    <m/>
    <m/>
    <m/>
    <m/>
    <m/>
    <m/>
    <n v="1286.3492000000001"/>
    <n v="-742.26593000000003"/>
    <m/>
    <m/>
    <m/>
    <m/>
    <n v="-755.32286999999997"/>
    <n v="18.76201"/>
    <n v="31"/>
    <n v="-2.2078637475447067"/>
    <n v="0"/>
    <n v="0"/>
    <n v="0"/>
    <n v="0"/>
    <n v="0"/>
    <n v="0"/>
    <n v="0"/>
    <n v="18.835910524679377"/>
    <n v="0"/>
    <n v="0"/>
    <n v="20.885993938903013"/>
    <n v="0"/>
    <n v="0"/>
    <n v="0"/>
    <n v="0.70281515066883227"/>
    <n v="0"/>
    <n v="-2.5791795607095978"/>
    <m/>
    <n v="0"/>
    <n v="0"/>
    <n v="0"/>
    <n v="0"/>
    <n v="-0.399041604175431"/>
    <n v="-4.6727922421173074E-2"/>
    <n v="0"/>
    <n v="-39.607634274489826"/>
    <m/>
    <m/>
    <m/>
    <n v="1437.6391214941052"/>
    <n v="0"/>
    <n v="0"/>
    <n v="-755.32286999999997"/>
    <n v="18.762010000000004"/>
    <n v="0"/>
    <n v="0"/>
    <n v="-734.3494023533849"/>
    <n v="0"/>
    <n v="0"/>
    <n v="0"/>
    <n v="0"/>
    <n v="0"/>
    <n v="0"/>
    <n v="0"/>
    <n v="0"/>
    <n v="0"/>
    <n v="0"/>
    <n v="0"/>
    <n v="0"/>
    <n v="17.44255901599732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65"/>
    <s v="Regular"/>
    <s v="Verde"/>
    <s v="A4"/>
    <s v="Poder público"/>
    <s v="Não se aplica"/>
    <s v="Não se aplica"/>
    <s v="Não se aplica"/>
    <s v="Fora ponta"/>
    <s v="CATIVO"/>
    <x v="8"/>
    <n v="0"/>
    <n v="0"/>
    <n v="6.8979999999999997"/>
    <n v="6.8979999999999997"/>
    <n v="6.8979999999999997"/>
    <n v="6.8979999999999997"/>
    <m/>
    <n v="95.29"/>
    <n v="159.41"/>
    <m/>
    <n v="1756.9205999999999"/>
    <n v="1756.9205999999999"/>
    <n v="1910.1251799999998"/>
    <n v="0"/>
    <n v="371.89958629583379"/>
    <n v="0"/>
    <n v="0"/>
    <n v="0"/>
    <n v="0"/>
    <n v="0"/>
    <n v="1063.8834838870257"/>
    <n v="35.743692448487678"/>
    <n v="0"/>
    <n v="0"/>
    <n v="0"/>
    <n v="0"/>
    <n v="66.055629809419216"/>
    <m/>
    <n v="7.4066128815275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799753327966947"/>
    <n v="0"/>
    <n v="0"/>
    <n v="0"/>
    <n v="0"/>
    <n v="0"/>
    <m/>
    <m/>
    <m/>
    <m/>
    <m/>
    <m/>
    <m/>
    <m/>
    <m/>
    <n v="1099.6832372149927"/>
    <m/>
    <m/>
    <m/>
    <m/>
    <m/>
    <m/>
    <m/>
    <m/>
    <m/>
    <m/>
    <m/>
    <m/>
    <n v="1910.6790000000001"/>
    <n v="153.72840000000019"/>
    <m/>
    <m/>
    <m/>
    <m/>
    <n v="-36.283480000000033"/>
    <n v="189.48805999999999"/>
    <n v="31"/>
    <n v="153.18277686770557"/>
    <n v="0"/>
    <n v="0"/>
    <n v="0"/>
    <n v="0"/>
    <n v="0"/>
    <n v="0"/>
    <n v="0"/>
    <n v="0"/>
    <n v="0"/>
    <n v="0"/>
    <n v="210.93936484707615"/>
    <n v="0"/>
    <n v="0"/>
    <n v="0"/>
    <n v="7.0981243181751168"/>
    <n v="0"/>
    <n v="-26.048580687810841"/>
    <m/>
    <n v="0"/>
    <n v="0"/>
    <n v="0"/>
    <n v="0"/>
    <n v="-4.0301449276751526"/>
    <n v="-0.47193149174414639"/>
    <n v="0"/>
    <n v="-34.30405519031531"/>
    <m/>
    <m/>
    <m/>
    <n v="0"/>
    <n v="0"/>
    <n v="0"/>
    <n v="-36.283480000000054"/>
    <n v="189.4880599999999"/>
    <n v="0"/>
    <n v="0"/>
    <n v="0"/>
    <n v="0"/>
    <n v="0"/>
    <n v="0"/>
    <n v="0"/>
    <n v="0"/>
    <n v="0"/>
    <n v="0"/>
    <n v="0"/>
    <n v="0"/>
    <n v="0"/>
    <n v="0"/>
    <n v="0"/>
    <n v="176.1621846154459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66"/>
    <s v="Regular"/>
    <s v="Verde"/>
    <s v="A4"/>
    <s v="Poder público"/>
    <s v="Não se aplica"/>
    <s v="Não se aplica"/>
    <s v="Não se aplica"/>
    <s v="Não se aplica"/>
    <s v="CATIVO"/>
    <x v="8"/>
    <n v="55"/>
    <n v="55"/>
    <n v="0"/>
    <n v="0"/>
    <n v="0"/>
    <n v="0"/>
    <n v="43.29"/>
    <m/>
    <m/>
    <n v="2380.9499999999998"/>
    <m/>
    <n v="2380.9499999999998"/>
    <n v="1841.95"/>
    <n v="0"/>
    <n v="0"/>
    <n v="0"/>
    <n v="0"/>
    <n v="0"/>
    <n v="1301.5192937140901"/>
    <n v="1079.6052907404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.96"/>
    <n v="47.26"/>
    <n v="0"/>
    <n v="1"/>
    <m/>
    <m/>
    <m/>
    <m/>
    <m/>
    <m/>
    <m/>
    <m/>
    <m/>
    <n v="0"/>
    <m/>
    <m/>
    <m/>
    <m/>
    <m/>
    <m/>
    <m/>
    <m/>
    <m/>
    <m/>
    <m/>
    <m/>
    <n v="1841.95"/>
    <n v="-539.03000000000043"/>
    <m/>
    <m/>
    <m/>
    <m/>
    <n v="-538.99999999999989"/>
    <n v="0"/>
    <n v="31"/>
    <n v="12.301307986806478"/>
    <n v="0"/>
    <n v="0"/>
    <n v="0"/>
    <n v="0"/>
    <m/>
    <m/>
    <m/>
    <n v="58.792207162578961"/>
    <n v="0"/>
    <n v="0"/>
    <m/>
    <m/>
    <n v="0"/>
    <n v="0"/>
    <n v="0"/>
    <n v="0"/>
    <n v="0"/>
    <m/>
    <n v="0"/>
    <n v="0"/>
    <m/>
    <n v="0"/>
    <n v="0"/>
    <n v="0"/>
    <n v="0"/>
    <n v="-46.49089917577259"/>
    <m/>
    <m/>
    <n v="1079.605290740438"/>
    <m/>
    <n v="0"/>
    <n v="0"/>
    <n v="-538.99999999999977"/>
    <m/>
    <n v="0"/>
    <m/>
    <n v="-551.46489002667931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567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516.54700000000003"/>
    <n v="516.54700000000003"/>
    <n v="516.54700000000003"/>
    <n v="516.54700000000003"/>
    <m/>
    <n v="356.64"/>
    <n v="87.68"/>
    <m/>
    <n v="229512.16304000001"/>
    <n v="229512.16304000001"/>
    <n v="173818.06550000003"/>
    <n v="0"/>
    <n v="17605.800878697948"/>
    <n v="0"/>
    <n v="0"/>
    <n v="0"/>
    <n v="33138.780634567564"/>
    <n v="118625.17089670057"/>
    <n v="43817.077714303399"/>
    <n v="1472.138794832405"/>
    <n v="0"/>
    <n v="0"/>
    <n v="0"/>
    <n v="0"/>
    <n v="2720.5654647928868"/>
    <m/>
    <n v="589.53643529119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02.888462601285"/>
    <n v="0"/>
    <n v="398.58"/>
    <n v="1720.06"/>
    <n v="62321.11"/>
    <n v="62"/>
    <m/>
    <m/>
    <m/>
    <m/>
    <m/>
    <m/>
    <m/>
    <m/>
    <m/>
    <n v="47019.966176904687"/>
    <m/>
    <m/>
    <m/>
    <m/>
    <m/>
    <m/>
    <m/>
    <m/>
    <m/>
    <m/>
    <m/>
    <m/>
    <n v="173819.07499999998"/>
    <n v="-55693.118040000059"/>
    <m/>
    <m/>
    <m/>
    <m/>
    <n v="-63493.957239999996"/>
    <n v="7799.8596999999972"/>
    <n v="31"/>
    <n v="4901.8811841638235"/>
    <n v="0"/>
    <n v="0"/>
    <n v="0"/>
    <n v="0"/>
    <n v="0"/>
    <n v="0"/>
    <n v="0"/>
    <n v="1496.9444291702166"/>
    <n v="0"/>
    <n v="0"/>
    <n v="8687.7432373897173"/>
    <n v="0"/>
    <n v="0"/>
    <n v="0"/>
    <n v="635.04628862993559"/>
    <n v="0"/>
    <n v="-1233.14502532814"/>
    <m/>
    <n v="0"/>
    <n v="0"/>
    <n v="0"/>
    <n v="0"/>
    <n v="-165.98544499502759"/>
    <n v="-37.563838396151027"/>
    <n v="0"/>
    <n v="-4481.1584623067192"/>
    <m/>
    <m/>
    <m/>
    <n v="118625.17089670057"/>
    <n v="0"/>
    <n v="0"/>
    <n v="-63493.957240000003"/>
    <n v="7799.8596999999936"/>
    <n v="0"/>
    <n v="0"/>
    <n v="-60594.012815626695"/>
    <n v="0"/>
    <n v="0"/>
    <n v="0"/>
    <n v="0"/>
    <n v="0"/>
    <n v="0"/>
    <n v="0"/>
    <n v="0"/>
    <n v="0"/>
    <n v="0"/>
    <n v="0"/>
    <n v="0"/>
    <n v="8339.553091701573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68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47.533999999999999"/>
    <n v="44.681959999999997"/>
    <n v="47.533999999999999"/>
    <n v="44.681959999999997"/>
    <m/>
    <n v="648.44000000000005"/>
    <n v="159.41"/>
    <m/>
    <n v="38400.341899999999"/>
    <n v="38400.341899999999"/>
    <n v="29082.251879999996"/>
    <n v="0"/>
    <n v="2945.6938934467385"/>
    <n v="0"/>
    <n v="0"/>
    <n v="0"/>
    <n v="5544.5761555572153"/>
    <n v="19847.63112607292"/>
    <n v="7331.2028882409222"/>
    <n v="246.30917321635451"/>
    <n v="0"/>
    <n v="0"/>
    <n v="0"/>
    <n v="0"/>
    <n v="455.18821504217641"/>
    <m/>
    <n v="98.6375961744983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5.88752086200759"/>
    <n v="0"/>
    <n v="54.95"/>
    <n v="237.2"/>
    <n v="12046.28"/>
    <n v="13"/>
    <m/>
    <m/>
    <m/>
    <m/>
    <n v="1744.9351128000014"/>
    <m/>
    <m/>
    <m/>
    <m/>
    <n v="7867.0904091029297"/>
    <m/>
    <m/>
    <m/>
    <m/>
    <m/>
    <m/>
    <m/>
    <m/>
    <m/>
    <m/>
    <m/>
    <m/>
    <n v="27336.117599999998"/>
    <n v="-8760.2337860000043"/>
    <m/>
    <m/>
    <m/>
    <m/>
    <n v="-10623.849000000002"/>
    <n v="1305.7589799999998"/>
    <n v="31"/>
    <n v="820.15249235630472"/>
    <n v="0"/>
    <n v="0"/>
    <n v="0"/>
    <n v="0"/>
    <n v="0"/>
    <n v="0"/>
    <n v="0"/>
    <n v="250.45949878775718"/>
    <n v="0"/>
    <n v="0"/>
    <n v="1453.5795547464359"/>
    <n v="0"/>
    <n v="0"/>
    <n v="0"/>
    <n v="106.25202382793111"/>
    <n v="0"/>
    <n v="-206.32221140466982"/>
    <m/>
    <n v="0"/>
    <n v="0"/>
    <n v="0"/>
    <n v="0"/>
    <n v="-27.771659755307383"/>
    <n v="-6.2849494970622146"/>
    <n v="0"/>
    <n v="-749.75976434877884"/>
    <m/>
    <m/>
    <m/>
    <n v="19847.63112607292"/>
    <n v="0"/>
    <n v="0"/>
    <n v="-10623.849000000002"/>
    <n v="1305.7589799999996"/>
    <n v="0"/>
    <n v="0"/>
    <n v="-10138.216077769646"/>
    <n v="0"/>
    <n v="0"/>
    <n v="0"/>
    <n v="0"/>
    <n v="0"/>
    <n v="0"/>
    <n v="0"/>
    <n v="0"/>
    <n v="0"/>
    <n v="0"/>
    <n v="0"/>
    <n v="0"/>
    <n v="1395.322529520569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69"/>
    <s v="Refaturamento - 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-2.4E-2"/>
    <n v="-2.256E-2"/>
    <n v="-2.4E-2"/>
    <n v="-2.256E-2"/>
    <m/>
    <n v="648.44000000000005"/>
    <n v="159.41"/>
    <m/>
    <n v="-19.388400000000001"/>
    <n v="-19.388400000000001"/>
    <n v="-14.683680000000001"/>
    <n v="0"/>
    <n v="-1.487286015120161"/>
    <n v="0"/>
    <n v="0"/>
    <n v="0"/>
    <n v="-2.7994662290859842"/>
    <n v="-10.021103778889849"/>
    <n v="-3.7015372011146157"/>
    <n v="-0.12436193371465705"/>
    <n v="0"/>
    <n v="0"/>
    <n v="0"/>
    <n v="0"/>
    <n v="-0.22982532841781114"/>
    <m/>
    <n v="-4.980229537148063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27057054951588722"/>
    <n v="0"/>
    <n v="-0.03"/>
    <n v="-0.12"/>
    <n v="-6.08"/>
    <n v="0"/>
    <m/>
    <m/>
    <m/>
    <m/>
    <n v="-0.88102080000000016"/>
    <m/>
    <m/>
    <m/>
    <m/>
    <n v="-3.9721077506305029"/>
    <m/>
    <m/>
    <m/>
    <m/>
    <m/>
    <m/>
    <m/>
    <m/>
    <m/>
    <m/>
    <m/>
    <m/>
    <n v="-12.2364"/>
    <n v="5.9586959999999998"/>
    <m/>
    <m/>
    <m/>
    <m/>
    <n v="5.3640000000000017"/>
    <n v="-0.65927999999999998"/>
    <n v="31"/>
    <n v="-0.41409643237579985"/>
    <n v="0"/>
    <n v="0"/>
    <n v="0"/>
    <n v="0"/>
    <n v="0"/>
    <n v="0"/>
    <n v="0"/>
    <n v="-0.12645744037754403"/>
    <n v="0"/>
    <n v="0"/>
    <n v="-0.73391486754564017"/>
    <n v="0"/>
    <n v="0"/>
    <n v="0"/>
    <n v="-5.3646833253467974E-2"/>
    <n v="0"/>
    <n v="0.10417244653746982"/>
    <m/>
    <n v="0"/>
    <n v="0"/>
    <n v="0"/>
    <n v="0"/>
    <n v="1.4021959736764789E-2"/>
    <n v="3.1732820282217508E-3"/>
    <n v="0"/>
    <n v="0.37855502049839473"/>
    <m/>
    <m/>
    <m/>
    <n v="-10.021103778889849"/>
    <n v="0"/>
    <n v="0"/>
    <n v="5.3640000000000008"/>
    <n v="-0.65928000000000031"/>
    <n v="0"/>
    <n v="0"/>
    <n v="5.1188030855066167"/>
    <n v="0"/>
    <n v="0"/>
    <n v="0"/>
    <n v="0"/>
    <n v="0"/>
    <n v="0"/>
    <n v="0"/>
    <n v="0"/>
    <n v="0"/>
    <n v="0"/>
    <n v="0"/>
    <n v="0"/>
    <n v="-0.7045007932951921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70"/>
    <s v="Regular"/>
    <s v="Azul"/>
    <s v="A4"/>
    <s v="Serviço público"/>
    <s v="Água, esgoto e saneamento"/>
    <s v="Não se aplica"/>
    <s v="Não se aplica"/>
    <s v="Ponta"/>
    <s v="CATIVO"/>
    <x v="8"/>
    <n v="708"/>
    <n v="665.52"/>
    <n v="39.304000000000002"/>
    <n v="36.94576"/>
    <n v="39.304000000000002"/>
    <n v="36.94576"/>
    <n v="112.91"/>
    <n v="95.29"/>
    <n v="159.41"/>
    <n v="79940.28"/>
    <n v="10010.728800000001"/>
    <n v="89951.008799999996"/>
    <n v="58418.790640000007"/>
    <n v="0"/>
    <n v="2119.0404957627502"/>
    <n v="0"/>
    <n v="0"/>
    <n v="0"/>
    <n v="17972.872804850485"/>
    <n v="61965.112641339554"/>
    <n v="6061.8840896920365"/>
    <n v="203.66339344670337"/>
    <n v="0"/>
    <n v="0"/>
    <n v="0"/>
    <n v="0"/>
    <n v="376.37727950556871"/>
    <m/>
    <n v="42.202016917303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3.98282180377112"/>
    <n v="0"/>
    <n v="0"/>
    <n v="0"/>
    <n v="0"/>
    <n v="0"/>
    <m/>
    <m/>
    <m/>
    <m/>
    <n v="3505.1274384000021"/>
    <m/>
    <m/>
    <m/>
    <m/>
    <n v="6265.8669114958075"/>
    <m/>
    <m/>
    <m/>
    <m/>
    <m/>
    <m/>
    <m/>
    <m/>
    <m/>
    <m/>
    <m/>
    <m/>
    <n v="54914.837299999999"/>
    <n v="-29639.140971999979"/>
    <m/>
    <m/>
    <m/>
    <m/>
    <n v="-32611.899039999997"/>
    <n v="1079.6808800000001"/>
    <n v="31"/>
    <n v="123.91748802568327"/>
    <n v="0"/>
    <n v="0"/>
    <n v="0"/>
    <n v="0"/>
    <n v="0"/>
    <n v="0"/>
    <n v="0"/>
    <n v="811.87030138765112"/>
    <n v="0"/>
    <n v="0"/>
    <n v="1201.9079147505763"/>
    <n v="0"/>
    <n v="0"/>
    <n v="0"/>
    <n v="40.444285039367173"/>
    <n v="0"/>
    <n v="-148.4217766531915"/>
    <m/>
    <n v="0"/>
    <n v="0"/>
    <n v="0"/>
    <n v="0"/>
    <n v="-22.963296062241795"/>
    <n v="-2.689010633736153"/>
    <n v="0"/>
    <n v="-1756.2309298027408"/>
    <m/>
    <m/>
    <n v="61965.112641339554"/>
    <n v="0"/>
    <n v="0"/>
    <n v="0"/>
    <n v="-32611.899039999997"/>
    <n v="1079.6808799999999"/>
    <n v="0"/>
    <n v="0"/>
    <n v="-31651.923458814021"/>
    <n v="0"/>
    <n v="0"/>
    <n v="0"/>
    <n v="0"/>
    <n v="0"/>
    <n v="0"/>
    <n v="0"/>
    <n v="0"/>
    <n v="0"/>
    <n v="0"/>
    <n v="0"/>
    <n v="0"/>
    <n v="1003.751595263190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71"/>
    <s v="Regular"/>
    <s v="Azul"/>
    <s v="A4"/>
    <s v="Serviço público"/>
    <s v="Água, esgoto e saneamento"/>
    <s v="Não se aplica"/>
    <s v="Não se aplica"/>
    <s v="Fora ponta"/>
    <s v="CATIVO"/>
    <x v="8"/>
    <n v="718"/>
    <n v="674.92"/>
    <n v="387.91199999999998"/>
    <n v="364.63727999999998"/>
    <n v="387.91199999999998"/>
    <n v="364.63727999999998"/>
    <n v="43.29"/>
    <n v="95.29"/>
    <n v="159.41"/>
    <n v="31082.22"/>
    <n v="98801.186400000006"/>
    <n v="129883.40640000001"/>
    <n v="131462.53191999998"/>
    <n v="0"/>
    <n v="20913.933360276817"/>
    <n v="0"/>
    <n v="0"/>
    <n v="0"/>
    <n v="16990.742779758486"/>
    <n v="14093.756340938808"/>
    <n v="59827.945781615534"/>
    <n v="2010.0619346300018"/>
    <n v="0"/>
    <n v="0"/>
    <n v="0"/>
    <n v="0"/>
    <n v="3714.666783217081"/>
    <m/>
    <n v="416.514064380849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3.2145423250674"/>
    <n v="0"/>
    <n v="0"/>
    <n v="0"/>
    <n v="0"/>
    <n v="0"/>
    <m/>
    <m/>
    <m/>
    <m/>
    <n v="7887.7519152000013"/>
    <m/>
    <m/>
    <m/>
    <m/>
    <n v="61841.160323940603"/>
    <m/>
    <m/>
    <m/>
    <m/>
    <m/>
    <m/>
    <m/>
    <m/>
    <m/>
    <m/>
    <m/>
    <m/>
    <n v="123575.53319999999"/>
    <n v="1485.1011839999992"/>
    <m/>
    <m/>
    <m/>
    <m/>
    <n v="-9076.8171199999997"/>
    <n v="10655.942639999999"/>
    <n v="31"/>
    <n v="8774.8873957320466"/>
    <n v="0"/>
    <n v="0"/>
    <n v="0"/>
    <n v="0"/>
    <n v="0"/>
    <n v="0"/>
    <n v="0"/>
    <n v="767.5055407769396"/>
    <n v="0"/>
    <n v="0"/>
    <n v="11862.266004140183"/>
    <n v="0"/>
    <n v="0"/>
    <n v="0"/>
    <n v="399.16607719802073"/>
    <n v="0"/>
    <n v="-1464.8531504450693"/>
    <m/>
    <n v="0"/>
    <n v="0"/>
    <n v="0"/>
    <n v="0"/>
    <n v="-226.63693522532913"/>
    <n v="-26.539270632858177"/>
    <n v="0"/>
    <n v="-2536.0208700798744"/>
    <m/>
    <m/>
    <n v="14093.756340938808"/>
    <n v="0"/>
    <n v="0"/>
    <n v="0"/>
    <n v="-9076.8171200000143"/>
    <n v="10655.942639999994"/>
    <n v="0"/>
    <n v="0"/>
    <n v="-7199.1234734391937"/>
    <n v="0"/>
    <n v="0"/>
    <n v="0"/>
    <n v="0"/>
    <n v="0"/>
    <n v="0"/>
    <n v="0"/>
    <n v="0"/>
    <n v="0"/>
    <n v="0"/>
    <n v="0"/>
    <n v="0"/>
    <n v="9906.556300166259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72"/>
    <s v="Regular"/>
    <s v="Azul"/>
    <s v="A4"/>
    <s v="Serviço público"/>
    <s v="Água, esgoto e saneamento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85.91"/>
    <n v="1664.33"/>
    <n v="82054.92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73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4.1929999999999996"/>
    <n v="4.1929999999999996"/>
    <n v="4.1929999999999996"/>
    <n v="4.1929999999999996"/>
    <m/>
    <n v="648.44000000000005"/>
    <n v="159.41"/>
    <m/>
    <n v="3387.3150499999997"/>
    <n v="3387.3150499999997"/>
    <n v="2565.3612599999997"/>
    <n v="0"/>
    <n v="259.84126089161811"/>
    <n v="0"/>
    <n v="0"/>
    <n v="0"/>
    <n v="489.09007910656373"/>
    <n v="1750.7703393702138"/>
    <n v="646.68939517806598"/>
    <n v="21.727066169398206"/>
    <n v="0"/>
    <n v="0"/>
    <n v="0"/>
    <n v="0"/>
    <n v="40.152400085661753"/>
    <m/>
    <n v="8.7008760205257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270929755004794"/>
    <n v="0"/>
    <n v="5.09"/>
    <n v="21.99"/>
    <n v="1062.5899999999999"/>
    <n v="5"/>
    <m/>
    <m/>
    <m/>
    <m/>
    <m/>
    <m/>
    <m/>
    <m/>
    <m/>
    <n v="693.96032493307075"/>
    <m/>
    <m/>
    <m/>
    <m/>
    <m/>
    <m/>
    <m/>
    <m/>
    <m/>
    <m/>
    <m/>
    <m/>
    <n v="2563.5258000000003"/>
    <n v="-823.81925000000001"/>
    <m/>
    <m/>
    <m/>
    <m/>
    <n v="-937.13550000000021"/>
    <n v="115.18170999999998"/>
    <n v="31"/>
    <n v="72.346097539655602"/>
    <n v="0"/>
    <n v="0"/>
    <n v="0"/>
    <n v="0"/>
    <n v="0"/>
    <n v="0"/>
    <n v="0"/>
    <n v="22.093168645960077"/>
    <n v="0"/>
    <n v="0"/>
    <n v="128.22104331745288"/>
    <n v="0"/>
    <n v="0"/>
    <n v="0"/>
    <n v="9.3725488263246319"/>
    <n v="0"/>
    <n v="-18.199794513817125"/>
    <m/>
    <n v="0"/>
    <n v="0"/>
    <n v="0"/>
    <n v="0"/>
    <n v="-2.4497532156772834"/>
    <n v="-0.55439881434724292"/>
    <n v="0"/>
    <n v="-66.136716706240378"/>
    <m/>
    <m/>
    <m/>
    <n v="1750.7703393702138"/>
    <n v="0"/>
    <n v="0"/>
    <n v="-937.13550000000009"/>
    <n v="115.18170999999995"/>
    <n v="0"/>
    <n v="0"/>
    <n v="-894.29755573038506"/>
    <n v="0"/>
    <n v="0"/>
    <n v="0"/>
    <n v="0"/>
    <n v="0"/>
    <n v="0"/>
    <n v="0"/>
    <n v="0"/>
    <n v="0"/>
    <n v="0"/>
    <n v="0"/>
    <n v="0"/>
    <n v="123.0821594286141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74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5.98"/>
    <n v="285.38"/>
    <n v="397.29"/>
    <n v="4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75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3963.68"/>
    <n v="-17093.349999999999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76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62"/>
    <n v="24.42"/>
    <n v="56.37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77"/>
    <s v="Regular"/>
    <s v="Convencional"/>
    <s v="B2"/>
    <s v="Rural"/>
    <s v="Agropecuária rural"/>
    <s v="IRRIG./AQUIC."/>
    <s v="Não se aplica"/>
    <s v="Não se aplica"/>
    <s v="CATIVO"/>
    <x v="8"/>
    <n v="0"/>
    <n v="0"/>
    <n v="44.353000000000002"/>
    <n v="44.353000000000002"/>
    <n v="44.353000000000002"/>
    <n v="44.353000000000002"/>
    <m/>
    <n v="648.44000000000005"/>
    <n v="159.41"/>
    <m/>
    <n v="35830.571050000006"/>
    <n v="35830.571050000006"/>
    <n v="27136.052460000003"/>
    <n v="0"/>
    <n v="2748.5665261926874"/>
    <n v="0"/>
    <n v="0"/>
    <n v="0"/>
    <n v="5173.5302357771106"/>
    <n v="18519.417329379226"/>
    <n v="6840.5949783765236"/>
    <n v="229.82603525192434"/>
    <n v="0"/>
    <n v="0"/>
    <n v="0"/>
    <n v="0"/>
    <n v="424.72678297146575"/>
    <m/>
    <n v="92.0367169421366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0.02564927825608"/>
    <n v="0"/>
    <n v="0"/>
    <n v="0"/>
    <n v="0"/>
    <n v="0"/>
    <m/>
    <m/>
    <m/>
    <m/>
    <m/>
    <n v="3256.3972600000011"/>
    <m/>
    <m/>
    <m/>
    <n v="7340.62062765478"/>
    <m/>
    <m/>
    <m/>
    <m/>
    <m/>
    <m/>
    <m/>
    <m/>
    <m/>
    <m/>
    <m/>
    <m/>
    <n v="23878.04"/>
    <n v="-7652.981229999994"/>
    <m/>
    <m/>
    <m/>
    <m/>
    <n v="-9912.8955000000024"/>
    <n v="1218.37691"/>
    <n v="31"/>
    <n v="765.26746104849735"/>
    <n v="0"/>
    <n v="0"/>
    <n v="0"/>
    <n v="0"/>
    <n v="0"/>
    <n v="0"/>
    <n v="0"/>
    <n v="233.69861887771731"/>
    <n v="0"/>
    <n v="0"/>
    <n v="1356.3052550104903"/>
    <n v="0"/>
    <n v="0"/>
    <n v="0"/>
    <n v="99.141583137127782"/>
    <n v="0"/>
    <n v="-192.51502171984976"/>
    <m/>
    <n v="0"/>
    <n v="0"/>
    <n v="0"/>
    <n v="0"/>
    <n v="-25.913165841863758"/>
    <n v="-5.8643574082383054"/>
    <n v="0"/>
    <n v="-699.58545100688764"/>
    <m/>
    <m/>
    <m/>
    <n v="18519.417329379226"/>
    <n v="0"/>
    <n v="0"/>
    <n v="-9912.8955000000024"/>
    <n v="1218.37691"/>
    <n v="0"/>
    <n v="0"/>
    <n v="-9459.7613854781212"/>
    <n v="0"/>
    <n v="0"/>
    <n v="0"/>
    <n v="0"/>
    <n v="0"/>
    <n v="0"/>
    <n v="0"/>
    <n v="0"/>
    <n v="0"/>
    <n v="0"/>
    <n v="0"/>
    <n v="0"/>
    <n v="1301.946820209235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78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-3609.9949999999999"/>
    <n v="-3609.9949999999999"/>
    <n v="-3609.9949999999999"/>
    <n v="-3609.9949999999999"/>
    <m/>
    <n v="648.44000000000005"/>
    <n v="159.41"/>
    <m/>
    <n v="-2916334.4607500001"/>
    <n v="-2916334.4607500001"/>
    <n v="-2208667.1409"/>
    <n v="0"/>
    <n v="-223712.29492307105"/>
    <n v="0"/>
    <n v="0"/>
    <n v="0"/>
    <n v="-421085.79540288571"/>
    <n v="-1507338.939011394"/>
    <n v="-556772.11618073983"/>
    <n v="-18706.081620843474"/>
    <n v="0"/>
    <n v="0"/>
    <n v="0"/>
    <n v="0"/>
    <n v="-34569.511935902337"/>
    <m/>
    <n v="-7491.08488664867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0698.263787483549"/>
    <n v="0"/>
    <n v="0"/>
    <n v="0"/>
    <n v="0"/>
    <n v="0"/>
    <m/>
    <m/>
    <m/>
    <m/>
    <m/>
    <n v="-265045.83290000004"/>
    <m/>
    <m/>
    <m/>
    <n v="-597470.37996822339"/>
    <m/>
    <m/>
    <m/>
    <m/>
    <m/>
    <m/>
    <m/>
    <m/>
    <m/>
    <m/>
    <m/>
    <m/>
    <n v="-1943624"/>
    <n v="622757.5154500003"/>
    <m/>
    <m/>
    <m/>
    <m/>
    <n v="806833.88250000018"/>
    <n v="-99166.562649999993"/>
    <n v="31"/>
    <n v="-62286.918766436866"/>
    <n v="0"/>
    <n v="0"/>
    <n v="0"/>
    <n v="0"/>
    <n v="0"/>
    <n v="0"/>
    <n v="0"/>
    <n v="-19021.280311488837"/>
    <n v="0"/>
    <n v="0"/>
    <n v="-110392.87509439269"/>
    <n v="0"/>
    <n v="0"/>
    <n v="0"/>
    <n v="-8069.3666587855478"/>
    <n v="0"/>
    <n v="15669.250464084704"/>
    <m/>
    <n v="0"/>
    <n v="0"/>
    <n v="0"/>
    <n v="0"/>
    <n v="2109.1335224967588"/>
    <n v="477.31384397793408"/>
    <n v="0"/>
    <n v="56940.905467670935"/>
    <m/>
    <m/>
    <m/>
    <n v="-1507338.939011394"/>
    <n v="0"/>
    <n v="0"/>
    <n v="806833.8825000003"/>
    <n v="-99166.562650000094"/>
    <n v="0"/>
    <n v="0"/>
    <n v="769952.23102764401"/>
    <n v="0"/>
    <n v="0"/>
    <n v="0"/>
    <n v="0"/>
    <n v="0"/>
    <n v="0"/>
    <n v="0"/>
    <n v="0"/>
    <n v="0"/>
    <n v="0"/>
    <n v="0"/>
    <n v="0"/>
    <n v="-105968.5142204865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79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4.1820000000000004"/>
    <n v="4.1820000000000004"/>
    <n v="4.1820000000000004"/>
    <n v="4.1820000000000004"/>
    <m/>
    <n v="648.44000000000005"/>
    <n v="159.41"/>
    <m/>
    <n v="3378.4287000000004"/>
    <n v="3378.4287000000004"/>
    <n v="2558.6312400000002"/>
    <n v="0"/>
    <n v="259.15958813468808"/>
    <n v="0"/>
    <n v="0"/>
    <n v="0"/>
    <n v="487.80699041823277"/>
    <n v="1746.1773334715563"/>
    <n v="644.99285729422184"/>
    <n v="21.670066949778992"/>
    <n v="0"/>
    <n v="0"/>
    <n v="0"/>
    <n v="0"/>
    <n v="40.047063476803594"/>
    <m/>
    <n v="8.67804996848050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146918253143347"/>
    <n v="0"/>
    <n v="0"/>
    <n v="0"/>
    <n v="0"/>
    <n v="0"/>
    <m/>
    <m/>
    <m/>
    <m/>
    <m/>
    <n v="307.04244000000011"/>
    <m/>
    <m/>
    <m/>
    <n v="692.13977554736516"/>
    <m/>
    <m/>
    <m/>
    <m/>
    <m/>
    <m/>
    <m/>
    <m/>
    <m/>
    <m/>
    <m/>
    <m/>
    <n v="2250.5119999999997"/>
    <n v="-722.54362000000128"/>
    <m/>
    <m/>
    <m/>
    <m/>
    <n v="-934.67700000000036"/>
    <n v="114.87954000000001"/>
    <n v="31"/>
    <n v="72.156303341483635"/>
    <n v="0"/>
    <n v="0"/>
    <n v="0"/>
    <n v="0"/>
    <n v="0"/>
    <n v="0"/>
    <n v="0"/>
    <n v="22.035208985787051"/>
    <n v="0"/>
    <n v="0"/>
    <n v="127.88466566982788"/>
    <n v="0"/>
    <n v="0"/>
    <n v="0"/>
    <n v="9.3479606944167983"/>
    <n v="0"/>
    <n v="-18.15204880915411"/>
    <m/>
    <n v="0"/>
    <n v="0"/>
    <n v="0"/>
    <n v="0"/>
    <n v="-2.4433264841312692"/>
    <n v="-0.5529443934176399"/>
    <n v="0"/>
    <n v="-65.96321232184529"/>
    <m/>
    <m/>
    <m/>
    <n v="1746.1773334715563"/>
    <n v="0"/>
    <n v="0"/>
    <n v="-934.67700000000036"/>
    <n v="114.87954000000002"/>
    <n v="0"/>
    <n v="0"/>
    <n v="-891.95143764952797"/>
    <n v="0"/>
    <n v="0"/>
    <n v="0"/>
    <n v="0"/>
    <n v="0"/>
    <n v="0"/>
    <n v="0"/>
    <n v="0"/>
    <n v="0"/>
    <n v="0"/>
    <n v="0"/>
    <n v="0"/>
    <n v="122.7592632316872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80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39.805"/>
    <n v="15.922000000000001"/>
    <n v="39.805"/>
    <n v="15.922000000000001"/>
    <m/>
    <n v="648.44000000000005"/>
    <n v="159.41"/>
    <m/>
    <n v="32156.469250000002"/>
    <n v="32156.469250000002"/>
    <n v="24353.4951"/>
    <n v="0"/>
    <n v="2466.7258263274166"/>
    <n v="0"/>
    <n v="0"/>
    <n v="0"/>
    <n v="4643.0313853653161"/>
    <n v="16620.418163279599"/>
    <n v="6139.1536787653031"/>
    <n v="206.25944881299682"/>
    <n v="0"/>
    <n v="0"/>
    <n v="0"/>
    <n v="0"/>
    <n v="381.1748832362905"/>
    <m/>
    <n v="82.5991819692411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8.75253014499543"/>
    <n v="0"/>
    <n v="0"/>
    <n v="0"/>
    <n v="0"/>
    <n v="0"/>
    <m/>
    <m/>
    <m/>
    <m/>
    <m/>
    <m/>
    <n v="15781.0903"/>
    <m/>
    <m/>
    <n v="6587.9062089102981"/>
    <m/>
    <m/>
    <m/>
    <m/>
    <m/>
    <m/>
    <m/>
    <m/>
    <m/>
    <m/>
    <m/>
    <m/>
    <n v="8571.3279999999995"/>
    <n v="-2747.811020000001"/>
    <m/>
    <m/>
    <m/>
    <m/>
    <n v="-8896.4175000000014"/>
    <n v="1093.44335"/>
    <n v="31"/>
    <n v="686.79618711328294"/>
    <n v="0"/>
    <n v="0"/>
    <n v="0"/>
    <n v="0"/>
    <n v="0"/>
    <n v="0"/>
    <n v="0"/>
    <n v="209.73493392617274"/>
    <n v="0"/>
    <n v="0"/>
    <n v="1217.2283876105921"/>
    <n v="0"/>
    <n v="0"/>
    <n v="0"/>
    <n v="88.975508235595555"/>
    <n v="0"/>
    <n v="-172.77434310099898"/>
    <m/>
    <n v="0"/>
    <n v="0"/>
    <n v="0"/>
    <n v="0"/>
    <n v="-23.256004471746792"/>
    <n v="-5.2630204638902995"/>
    <n v="0"/>
    <n v="-627.84927462244173"/>
    <m/>
    <m/>
    <m/>
    <n v="16620.418163279599"/>
    <n v="0"/>
    <n v="0"/>
    <n v="-8896.4174999999996"/>
    <n v="1093.4433499999996"/>
    <n v="0"/>
    <n v="0"/>
    <n v="-8489.7482007746185"/>
    <n v="0"/>
    <n v="0"/>
    <n v="0"/>
    <n v="0"/>
    <n v="0"/>
    <n v="0"/>
    <n v="0"/>
    <n v="0"/>
    <n v="0"/>
    <n v="0"/>
    <n v="0"/>
    <n v="0"/>
    <n v="1168.443919879796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82"/>
    <s v="Sistema de Compensação"/>
    <s v="Convencional"/>
    <s v="B2"/>
    <s v="Rural"/>
    <s v="Agropecuária rural"/>
    <s v="IRRIG./AQUIC. PR"/>
    <s v="Não se aplica"/>
    <s v="Não se aplica"/>
    <s v="CATIVO"/>
    <x v="8"/>
    <n v="0"/>
    <n v="0"/>
    <n v="2.4279999999999999"/>
    <n v="0.97119999999999995"/>
    <n v="2.4279999999999999"/>
    <n v="0.97119999999999995"/>
    <m/>
    <n v="648.44000000000005"/>
    <n v="159.41"/>
    <m/>
    <n v="1961.4598000000001"/>
    <n v="1961.4598000000001"/>
    <n v="1485.4989599999999"/>
    <n v="0"/>
    <n v="150.46376852965628"/>
    <n v="0"/>
    <n v="0"/>
    <n v="0"/>
    <n v="283.21266684253203"/>
    <n v="1013.801665631023"/>
    <n v="374.47218017942862"/>
    <n v="12.581282294132805"/>
    <n v="0"/>
    <n v="0"/>
    <n v="0"/>
    <n v="0"/>
    <n v="23.250662391601892"/>
    <m/>
    <n v="5.03833221508145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372720592690587"/>
    <n v="0"/>
    <n v="0"/>
    <n v="0"/>
    <n v="0"/>
    <n v="0"/>
    <m/>
    <m/>
    <m/>
    <m/>
    <m/>
    <m/>
    <n v="962.60487999999998"/>
    <m/>
    <m/>
    <n v="401.84490077211922"/>
    <m/>
    <m/>
    <m/>
    <m/>
    <m/>
    <m/>
    <m/>
    <m/>
    <m/>
    <m/>
    <m/>
    <m/>
    <n v="522.24799999999993"/>
    <n v="-168.21779200000003"/>
    <m/>
    <m/>
    <m/>
    <m/>
    <n v="-542.65800000000013"/>
    <n v="66.697159999999997"/>
    <n v="31"/>
    <n v="41.892755742018608"/>
    <n v="0"/>
    <n v="0"/>
    <n v="0"/>
    <n v="0"/>
    <n v="0"/>
    <n v="0"/>
    <n v="0"/>
    <n v="12.793277718194872"/>
    <n v="0"/>
    <n v="0"/>
    <n v="74.247720766700581"/>
    <n v="0"/>
    <n v="0"/>
    <n v="0"/>
    <n v="5.4272712974758441"/>
    <n v="0"/>
    <n v="-10.538779174707344"/>
    <m/>
    <n v="0"/>
    <n v="0"/>
    <n v="0"/>
    <n v="0"/>
    <n v="-1.4185549267027042"/>
    <n v="-0.32103036518843364"/>
    <n v="0"/>
    <n v="-38.297149573754268"/>
    <m/>
    <m/>
    <m/>
    <n v="1013.801665631023"/>
    <n v="0"/>
    <n v="0"/>
    <n v="-542.65800000000013"/>
    <n v="66.697159999999997"/>
    <n v="0"/>
    <n v="0"/>
    <n v="-517.85224548375265"/>
    <n v="0"/>
    <n v="0"/>
    <n v="0"/>
    <n v="0"/>
    <n v="0"/>
    <n v="0"/>
    <n v="0"/>
    <n v="0"/>
    <n v="0"/>
    <n v="0"/>
    <n v="0"/>
    <n v="0"/>
    <n v="71.27199692169692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83"/>
    <s v="Regular"/>
    <s v="Verde"/>
    <s v="A4"/>
    <s v="Rural"/>
    <s v="Agropecuária rural"/>
    <s v="Não se aplica"/>
    <s v="Não se aplica"/>
    <s v="Ponta"/>
    <s v="CATIVO"/>
    <x v="8"/>
    <n v="0"/>
    <n v="0"/>
    <n v="2.5310000000000001"/>
    <n v="2.4297599999999999"/>
    <n v="2.5310000000000001"/>
    <n v="2.4297599999999999"/>
    <m/>
    <n v="2810.7"/>
    <n v="159.41"/>
    <m/>
    <n v="7517.3484099999996"/>
    <n v="7517.3484099999996"/>
    <n v="4787.8673899999994"/>
    <n v="0"/>
    <n v="136.45663277975578"/>
    <n v="0"/>
    <n v="0"/>
    <n v="0"/>
    <n v="1545.2149668616948"/>
    <n v="5327.4738162541435"/>
    <n v="390.35794400087889"/>
    <n v="13.115002259658208"/>
    <n v="0"/>
    <n v="0"/>
    <n v="0"/>
    <n v="0"/>
    <n v="24.236996092728333"/>
    <m/>
    <n v="2.71761919442536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135572002476712"/>
    <n v="0"/>
    <n v="0"/>
    <n v="0"/>
    <n v="0"/>
    <n v="0"/>
    <m/>
    <m/>
    <m/>
    <m/>
    <m/>
    <n v="191.51469560000041"/>
    <m/>
    <m/>
    <m/>
    <n v="403.49351600335558"/>
    <m/>
    <m/>
    <m/>
    <m/>
    <m/>
    <m/>
    <m/>
    <m/>
    <m/>
    <m/>
    <m/>
    <m/>
    <n v="4596.8067000000001"/>
    <n v="-2619.8777735999993"/>
    <m/>
    <m/>
    <m/>
    <m/>
    <n v="-2799.0075899999997"/>
    <n v="69.526570000000007"/>
    <n v="31"/>
    <n v="-8.1817029941958026"/>
    <n v="0"/>
    <n v="0"/>
    <n v="0"/>
    <n v="0"/>
    <n v="0"/>
    <n v="0"/>
    <n v="0"/>
    <n v="69.800423920883759"/>
    <n v="0"/>
    <n v="0"/>
    <n v="77.397438739917277"/>
    <n v="0"/>
    <n v="0"/>
    <n v="0"/>
    <n v="2.6044292040158332"/>
    <n v="0"/>
    <n v="-9.5576917542547335"/>
    <m/>
    <n v="0"/>
    <n v="0"/>
    <n v="0"/>
    <n v="0"/>
    <n v="-1.4787325039063219"/>
    <n v="-0.17316013418446463"/>
    <n v="0"/>
    <n v="-146.77441046666729"/>
    <m/>
    <m/>
    <m/>
    <n v="5327.4738162541435"/>
    <n v="0"/>
    <n v="0"/>
    <n v="-2799.0075900000002"/>
    <n v="69.526569999999992"/>
    <n v="0"/>
    <n v="0"/>
    <n v="-2721.2859990577113"/>
    <n v="0"/>
    <n v="0"/>
    <n v="0"/>
    <n v="0"/>
    <n v="0"/>
    <n v="0"/>
    <n v="0"/>
    <n v="0"/>
    <n v="0"/>
    <n v="0"/>
    <n v="0"/>
    <n v="0"/>
    <n v="64.63706715884222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85"/>
    <s v="Regular"/>
    <s v="Verde"/>
    <s v="A4"/>
    <s v="Rural"/>
    <s v="Agropecuária rural"/>
    <s v="Não se aplica"/>
    <s v="Não se aplica"/>
    <s v="Fora ponta"/>
    <s v="CATIVO"/>
    <x v="8"/>
    <n v="0"/>
    <n v="0"/>
    <n v="52.570999999999998"/>
    <n v="50.468159999999997"/>
    <n v="52.570999999999998"/>
    <n v="50.468159999999997"/>
    <m/>
    <n v="95.29"/>
    <n v="159.41"/>
    <m/>
    <n v="13389.833699999999"/>
    <n v="13389.833699999999"/>
    <n v="14557.43561"/>
    <n v="0"/>
    <n v="2834.3190999069698"/>
    <n v="0"/>
    <n v="0"/>
    <n v="0"/>
    <n v="0"/>
    <n v="0"/>
    <n v="8108.0630083248525"/>
    <n v="272.40963405471814"/>
    <n v="0"/>
    <n v="0"/>
    <n v="0"/>
    <n v="0"/>
    <n v="503.42280584386452"/>
    <m/>
    <n v="56.447237720322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2.83688492382583"/>
    <n v="0"/>
    <n v="0"/>
    <n v="0"/>
    <n v="0"/>
    <n v="0"/>
    <m/>
    <m/>
    <m/>
    <m/>
    <m/>
    <n v="582.29742440000007"/>
    <m/>
    <m/>
    <m/>
    <n v="8380.8998932486775"/>
    <m/>
    <m/>
    <m/>
    <m/>
    <m/>
    <m/>
    <m/>
    <m/>
    <m/>
    <m/>
    <m/>
    <m/>
    <n v="13975.6477"/>
    <n v="1121.3773479999982"/>
    <m/>
    <m/>
    <m/>
    <m/>
    <n v="-276.52346000000028"/>
    <n v="1444.12537"/>
    <n v="31"/>
    <n v="1167.4357440870062"/>
    <n v="0"/>
    <n v="0"/>
    <n v="0"/>
    <n v="0"/>
    <n v="0"/>
    <n v="0"/>
    <n v="0"/>
    <n v="0"/>
    <n v="0"/>
    <n v="0"/>
    <n v="1607.6099375725771"/>
    <n v="0"/>
    <n v="0"/>
    <n v="0"/>
    <n v="54.096186362827495"/>
    <n v="0"/>
    <n v="-198.52130115089903"/>
    <m/>
    <n v="0"/>
    <n v="0"/>
    <n v="0"/>
    <n v="0"/>
    <n v="-30.71451855506092"/>
    <n v="-3.5966817124502128"/>
    <n v="0"/>
    <n v="-261.43787842998927"/>
    <m/>
    <m/>
    <m/>
    <n v="0"/>
    <n v="0"/>
    <n v="0"/>
    <n v="-276.52346000000034"/>
    <n v="1444.1253699999997"/>
    <n v="0"/>
    <n v="0"/>
    <n v="0"/>
    <n v="0"/>
    <n v="0"/>
    <n v="0"/>
    <n v="0"/>
    <n v="0"/>
    <n v="0"/>
    <n v="0"/>
    <n v="0"/>
    <n v="0"/>
    <n v="0"/>
    <n v="0"/>
    <n v="0"/>
    <n v="1342.566281156655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87"/>
    <s v="Regular"/>
    <s v="Verde"/>
    <s v="A4"/>
    <s v="Rural"/>
    <s v="Agropecuária rural"/>
    <s v="Não se aplica"/>
    <s v="Não se aplica"/>
    <s v="Não se aplica"/>
    <s v="CATIVO"/>
    <x v="8"/>
    <n v="2755"/>
    <n v="2644.8"/>
    <n v="0"/>
    <n v="0"/>
    <n v="0"/>
    <n v="0"/>
    <n v="43.29"/>
    <m/>
    <m/>
    <n v="119263.95"/>
    <m/>
    <n v="119263.95"/>
    <n v="92264.950000000012"/>
    <n v="0"/>
    <n v="0"/>
    <n v="0"/>
    <n v="0"/>
    <n v="0"/>
    <n v="65194.284621496692"/>
    <n v="54078.4104725437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7.96"/>
    <n v="854.65"/>
    <n v="262.25"/>
    <n v="42"/>
    <m/>
    <m/>
    <m/>
    <m/>
    <m/>
    <n v="3690.597999999994"/>
    <m/>
    <m/>
    <m/>
    <n v="0"/>
    <m/>
    <m/>
    <m/>
    <m/>
    <m/>
    <m/>
    <m/>
    <m/>
    <m/>
    <m/>
    <m/>
    <m/>
    <n v="88574.352000000014"/>
    <n v="-25919.069999999978"/>
    <m/>
    <m/>
    <m/>
    <m/>
    <n v="-26998.999999999993"/>
    <n v="0"/>
    <n v="31"/>
    <n v="616.18370006638725"/>
    <n v="0"/>
    <n v="0"/>
    <n v="0"/>
    <n v="0"/>
    <m/>
    <m/>
    <m/>
    <n v="2944.9551042346357"/>
    <n v="0"/>
    <n v="0"/>
    <m/>
    <m/>
    <n v="0"/>
    <n v="0"/>
    <n v="0"/>
    <n v="0"/>
    <n v="0"/>
    <m/>
    <n v="0"/>
    <n v="0"/>
    <m/>
    <n v="0"/>
    <n v="0"/>
    <n v="0"/>
    <n v="0"/>
    <n v="-2328.7714041682452"/>
    <m/>
    <m/>
    <n v="54078.410472543757"/>
    <m/>
    <n v="0"/>
    <n v="0"/>
    <n v="-26998.999999999985"/>
    <m/>
    <n v="0"/>
    <m/>
    <n v="-27623.37767315456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588"/>
    <s v="Sistema de Compensação"/>
    <s v="Verde"/>
    <s v="A4"/>
    <s v="Rural"/>
    <s v="Agropecuária rural"/>
    <s v="Não se aplica"/>
    <s v="Não se aplica"/>
    <s v="Não se aplica"/>
    <s v="CATIVO"/>
    <x v="8"/>
    <n v="110"/>
    <n v="105.6"/>
    <n v="0"/>
    <n v="0"/>
    <n v="0"/>
    <n v="0"/>
    <n v="43.29"/>
    <m/>
    <m/>
    <n v="4761.8999999999996"/>
    <m/>
    <n v="4761.8999999999996"/>
    <n v="3683.9"/>
    <n v="0"/>
    <n v="0"/>
    <n v="0"/>
    <n v="0"/>
    <n v="0"/>
    <n v="2603.0385874281801"/>
    <n v="2159.2105814808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.36"/>
    <n v="96.46"/>
    <n v="10.029999999999999"/>
    <n v="4"/>
    <m/>
    <m/>
    <m/>
    <m/>
    <m/>
    <n v="147.35600000000019"/>
    <m/>
    <m/>
    <m/>
    <n v="0"/>
    <m/>
    <m/>
    <m/>
    <m/>
    <m/>
    <m/>
    <m/>
    <m/>
    <m/>
    <m/>
    <m/>
    <m/>
    <n v="3536.5439999999999"/>
    <n v="-1034.9100000000008"/>
    <m/>
    <m/>
    <m/>
    <m/>
    <n v="-1077.9999999999998"/>
    <n v="0"/>
    <n v="31"/>
    <n v="24.602615973612956"/>
    <n v="0"/>
    <n v="0"/>
    <n v="0"/>
    <n v="0"/>
    <m/>
    <m/>
    <m/>
    <n v="117.58441432515792"/>
    <n v="0"/>
    <n v="0"/>
    <m/>
    <m/>
    <n v="0"/>
    <n v="0"/>
    <n v="0"/>
    <n v="0"/>
    <n v="0"/>
    <m/>
    <n v="0"/>
    <n v="0"/>
    <m/>
    <n v="0"/>
    <n v="0"/>
    <n v="0"/>
    <n v="0"/>
    <n v="-92.98179835154518"/>
    <m/>
    <m/>
    <n v="2159.210581480876"/>
    <m/>
    <n v="0"/>
    <n v="0"/>
    <n v="-1077.9999999999995"/>
    <m/>
    <n v="0"/>
    <m/>
    <n v="-1102.9297800533586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589"/>
    <s v="Regular"/>
    <s v="Verde"/>
    <s v="A4"/>
    <s v="Rural"/>
    <s v="Agropecuária rural"/>
    <s v="IRRIG./AQUIC. PR"/>
    <s v="Não se aplica"/>
    <s v="Fora ponta"/>
    <s v="CATIVO"/>
    <x v="8"/>
    <n v="0"/>
    <n v="0"/>
    <n v="40.887"/>
    <n v="12.2661"/>
    <n v="40.887"/>
    <n v="12.2661"/>
    <m/>
    <n v="95.29"/>
    <n v="159.41"/>
    <m/>
    <n v="10413.918900000001"/>
    <n v="10413.918900000001"/>
    <n v="11322.01917"/>
    <n v="0"/>
    <n v="2204.3865446329019"/>
    <n v="0"/>
    <n v="0"/>
    <n v="0"/>
    <n v="0"/>
    <n v="0"/>
    <n v="6306.0313142488876"/>
    <n v="211.86609932463261"/>
    <n v="0"/>
    <n v="0"/>
    <n v="0"/>
    <n v="0"/>
    <n v="391.53617512579348"/>
    <m/>
    <n v="43.901736863875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.19839291397284"/>
    <n v="0"/>
    <n v="0"/>
    <n v="0"/>
    <n v="0"/>
    <n v="0"/>
    <m/>
    <m/>
    <m/>
    <m/>
    <m/>
    <m/>
    <n v="7925.4134189999995"/>
    <m/>
    <m/>
    <n v="6518.22970716286"/>
    <m/>
    <m/>
    <m/>
    <m/>
    <m/>
    <m/>
    <m/>
    <m/>
    <m/>
    <m/>
    <m/>
    <m/>
    <n v="3397.6856999999995"/>
    <n v="273.48002999999926"/>
    <m/>
    <m/>
    <m/>
    <m/>
    <n v="-215.06562000000022"/>
    <n v="1123.16589"/>
    <n v="31"/>
    <n v="907.9710347622331"/>
    <n v="0"/>
    <n v="0"/>
    <n v="0"/>
    <n v="0"/>
    <n v="0"/>
    <n v="0"/>
    <n v="0"/>
    <n v="0"/>
    <n v="0"/>
    <n v="0"/>
    <n v="1250.3157162224406"/>
    <n v="0"/>
    <n v="0"/>
    <n v="0"/>
    <n v="42.073210930302423"/>
    <n v="0"/>
    <n v="-154.3995822821862"/>
    <m/>
    <n v="0"/>
    <n v="0"/>
    <n v="0"/>
    <n v="0"/>
    <n v="-23.888161156545891"/>
    <n v="-2.797312685262817"/>
    <n v="0"/>
    <n v="-203.33283626651524"/>
    <m/>
    <m/>
    <m/>
    <n v="0"/>
    <n v="0"/>
    <n v="0"/>
    <n v="-215.06562000000031"/>
    <n v="1123.1658900000002"/>
    <n v="0"/>
    <n v="0"/>
    <n v="0"/>
    <n v="0"/>
    <n v="0"/>
    <n v="0"/>
    <n v="0"/>
    <n v="0"/>
    <n v="0"/>
    <n v="0"/>
    <n v="0"/>
    <n v="0"/>
    <n v="0"/>
    <n v="0"/>
    <n v="0"/>
    <n v="1044.178492660443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91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42"/>
    <n v="58.01"/>
    <n v="46.62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592"/>
    <s v="Regular"/>
    <s v="Convencional"/>
    <s v="B2"/>
    <s v="Rural"/>
    <s v="Aquicultura"/>
    <s v="IRRIG./AQUIC."/>
    <s v="Não se aplica"/>
    <s v="Não se aplica"/>
    <s v="CATIVO"/>
    <x v="8"/>
    <n v="0"/>
    <n v="0"/>
    <n v="8.4990000000000006"/>
    <n v="8.4990000000000006"/>
    <n v="8.4990000000000006"/>
    <n v="8.4990000000000006"/>
    <m/>
    <n v="648.44000000000005"/>
    <n v="159.41"/>
    <m/>
    <n v="6865.9171500000011"/>
    <n v="6865.9171500000011"/>
    <n v="5199.8581800000002"/>
    <n v="0"/>
    <n v="526.68516010442704"/>
    <n v="0"/>
    <n v="0"/>
    <n v="0"/>
    <n v="991.36097837507418"/>
    <n v="3548.7233756993678"/>
    <n v="1310.8068613447133"/>
    <n v="44.039669776702929"/>
    <n v="0"/>
    <n v="0"/>
    <n v="0"/>
    <n v="0"/>
    <n v="81.386894425957379"/>
    <m/>
    <n v="17.63623784842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815795847313566"/>
    <n v="0"/>
    <n v="0"/>
    <n v="0"/>
    <n v="0"/>
    <n v="0"/>
    <m/>
    <m/>
    <m/>
    <m/>
    <m/>
    <n v="623.99658000000022"/>
    <m/>
    <m/>
    <m/>
    <n v="1406.622657192027"/>
    <m/>
    <m/>
    <m/>
    <m/>
    <m/>
    <m/>
    <m/>
    <m/>
    <m/>
    <m/>
    <m/>
    <m/>
    <n v="4576.3999999999996"/>
    <n v="-1465.6540900000018"/>
    <m/>
    <m/>
    <m/>
    <m/>
    <n v="-1899.5265000000006"/>
    <n v="233.46753000000001"/>
    <n v="31"/>
    <n v="146.64189911508083"/>
    <n v="0"/>
    <n v="0"/>
    <n v="0"/>
    <n v="0"/>
    <n v="0"/>
    <n v="0"/>
    <n v="0"/>
    <n v="44.781741073697731"/>
    <n v="0"/>
    <n v="0"/>
    <n v="259.89760246959986"/>
    <n v="0"/>
    <n v="0"/>
    <n v="0"/>
    <n v="18.997684825884349"/>
    <n v="0"/>
    <n v="-36.890067630081489"/>
    <m/>
    <n v="0"/>
    <n v="0"/>
    <n v="0"/>
    <n v="0"/>
    <n v="-4.9655264917818442"/>
    <n v="-1.1237384982440268"/>
    <n v="0"/>
    <n v="-134.05579663399405"/>
    <m/>
    <m/>
    <m/>
    <n v="3548.7233756993678"/>
    <n v="0"/>
    <n v="0"/>
    <n v="-1899.5265000000004"/>
    <n v="233.4675299999999"/>
    <n v="0"/>
    <n v="0"/>
    <n v="-1812.6961426550306"/>
    <n v="0"/>
    <n v="0"/>
    <n v="0"/>
    <n v="0"/>
    <n v="0"/>
    <n v="0"/>
    <n v="0"/>
    <n v="0"/>
    <n v="0"/>
    <n v="0"/>
    <n v="0"/>
    <n v="0"/>
    <n v="249.481343425659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93"/>
    <s v="Regular"/>
    <s v="Convencional"/>
    <s v="B2"/>
    <s v="Rural"/>
    <s v="Aquicultura"/>
    <s v="IRRIG./AQUIC. PR"/>
    <s v="Não se aplica"/>
    <s v="Não se aplica"/>
    <s v="CATIVO"/>
    <x v="8"/>
    <n v="0"/>
    <n v="0"/>
    <n v="9.3729999999999993"/>
    <n v="3.7492000000000001"/>
    <n v="9.3729999999999993"/>
    <n v="3.7492000000000001"/>
    <m/>
    <n v="648.44000000000005"/>
    <n v="159.41"/>
    <m/>
    <n v="7571.9780499999997"/>
    <n v="7571.9780499999997"/>
    <n v="5734.5888599999998"/>
    <n v="0"/>
    <n v="580.84715915505274"/>
    <n v="0"/>
    <n v="0"/>
    <n v="0"/>
    <n v="1093.3082068842887"/>
    <n v="3913.6585716472728"/>
    <n v="1445.6045077519705"/>
    <n v="48.568516862811684"/>
    <n v="0"/>
    <n v="0"/>
    <n v="0"/>
    <n v="0"/>
    <n v="89.75636680250598"/>
    <m/>
    <n v="19.449871438203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.66907335885044"/>
    <n v="0"/>
    <n v="0"/>
    <n v="0"/>
    <n v="0"/>
    <n v="0"/>
    <m/>
    <m/>
    <m/>
    <m/>
    <m/>
    <m/>
    <n v="3716.0195799999997"/>
    <m/>
    <m/>
    <n v="1551.2735811108209"/>
    <m/>
    <m/>
    <m/>
    <m/>
    <m/>
    <m/>
    <m/>
    <m/>
    <m/>
    <m/>
    <m/>
    <m/>
    <n v="2019"/>
    <n v="-646.37377200000083"/>
    <m/>
    <m/>
    <m/>
    <m/>
    <n v="-2094.8655000000003"/>
    <n v="257.47630999999996"/>
    <n v="31"/>
    <n v="161.72191086076646"/>
    <n v="0"/>
    <n v="0"/>
    <n v="0"/>
    <n v="0"/>
    <n v="0"/>
    <n v="0"/>
    <n v="0"/>
    <n v="49.386899527446531"/>
    <n v="0"/>
    <n v="0"/>
    <n v="286.62433556272026"/>
    <n v="0"/>
    <n v="0"/>
    <n v="0"/>
    <n v="20.95132367019815"/>
    <n v="0"/>
    <n v="-40.683680891487597"/>
    <m/>
    <n v="0"/>
    <n v="0"/>
    <n v="0"/>
    <n v="0"/>
    <n v="-5.4761595255290132"/>
    <n v="-1.2392988521051045"/>
    <n v="0"/>
    <n v="-147.84150863047722"/>
    <m/>
    <m/>
    <m/>
    <n v="3913.6585716472728"/>
    <n v="0"/>
    <n v="0"/>
    <n v="-2094.8655000000003"/>
    <n v="257.47631000000001"/>
    <n v="0"/>
    <n v="0"/>
    <n v="-1999.1058883522296"/>
    <n v="0"/>
    <n v="0"/>
    <n v="0"/>
    <n v="0"/>
    <n v="0"/>
    <n v="0"/>
    <n v="0"/>
    <n v="0"/>
    <n v="0"/>
    <n v="0"/>
    <n v="0"/>
    <n v="0"/>
    <n v="275.1369139814930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94"/>
    <s v="Regular"/>
    <s v="Convencional"/>
    <s v="B1"/>
    <s v="Residencial"/>
    <s v="Residencial"/>
    <s v="Não se aplica"/>
    <s v="Não se aplica"/>
    <s v="Não se aplica"/>
    <s v="CATIVO"/>
    <x v="9"/>
    <n v="0"/>
    <n v="0"/>
    <n v="1207.991"/>
    <n v="1207.991"/>
    <n v="1207.991"/>
    <n v="1207.991"/>
    <m/>
    <n v="648.44000000000005"/>
    <n v="159.41"/>
    <m/>
    <n v="975875.52935000008"/>
    <n v="975875.52935000008"/>
    <n v="739073.05362000002"/>
    <n v="0"/>
    <n v="74859.505028792424"/>
    <n v="0"/>
    <n v="0"/>
    <n v="0"/>
    <n v="140905.41706415862"/>
    <n v="504391.79895687196"/>
    <n v="186309.31771298524"/>
    <n v="6259.5040279125951"/>
    <n v="0"/>
    <n v="0"/>
    <n v="0"/>
    <n v="0"/>
    <n v="11567.788679198336"/>
    <m/>
    <n v="2506.6968578370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18.616195010254"/>
    <n v="0"/>
    <n v="1793.75"/>
    <n v="9052.2099999999991"/>
    <n v="300785.49"/>
    <n v="6977"/>
    <m/>
    <m/>
    <m/>
    <m/>
    <m/>
    <m/>
    <m/>
    <m/>
    <m/>
    <n v="199927.9339079955"/>
    <m/>
    <m/>
    <m/>
    <m/>
    <m/>
    <m/>
    <m/>
    <m/>
    <m/>
    <m/>
    <m/>
    <m/>
    <n v="739072.44179999991"/>
    <n v="-236803.1175500002"/>
    <m/>
    <m/>
    <m/>
    <m/>
    <n v="-269985.98850000009"/>
    <n v="33183.512770000001"/>
    <n v="30"/>
    <n v="20842.698476753256"/>
    <n v="0"/>
    <n v="0"/>
    <n v="0"/>
    <n v="0"/>
    <n v="0"/>
    <n v="0"/>
    <n v="0"/>
    <n v="6364.9770774629142"/>
    <n v="0"/>
    <n v="0"/>
    <n v="36940.106448388542"/>
    <n v="0"/>
    <n v="0"/>
    <n v="0"/>
    <n v="2700.2038228620859"/>
    <n v="0"/>
    <n v="-5243.3074110518501"/>
    <m/>
    <n v="0"/>
    <n v="0"/>
    <n v="0"/>
    <n v="0"/>
    <n v="-705.76671518225885"/>
    <n v="-159.72067210640125"/>
    <n v="0"/>
    <n v="-19053.794073619847"/>
    <m/>
    <m/>
    <m/>
    <n v="504391.79895687196"/>
    <n v="0"/>
    <n v="0"/>
    <n v="-269985.98850000009"/>
    <n v="33183.512770000001"/>
    <n v="0"/>
    <n v="0"/>
    <n v="-257644.50241934264"/>
    <n v="0"/>
    <n v="0"/>
    <n v="0"/>
    <n v="0"/>
    <n v="0"/>
    <n v="0"/>
    <n v="0"/>
    <n v="0"/>
    <n v="0"/>
    <n v="0"/>
    <n v="0"/>
    <n v="0"/>
    <n v="35459.60907472718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95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64200000000000002"/>
    <n v="-0.64200000000000002"/>
    <n v="-0.64200000000000002"/>
    <n v="-0.64200000000000002"/>
    <m/>
    <n v="648.44000000000005"/>
    <n v="159.41"/>
    <m/>
    <n v="-518.63970000000006"/>
    <n v="-518.63970000000006"/>
    <n v="-392.78844000000004"/>
    <n v="0"/>
    <n v="-39.784900904464301"/>
    <n v="0"/>
    <n v="0"/>
    <n v="0"/>
    <n v="-74.885721628050078"/>
    <n v="-268.06452608530344"/>
    <n v="-99.016120129815974"/>
    <n v="-3.3266817268670761"/>
    <n v="0"/>
    <n v="0"/>
    <n v="0"/>
    <n v="0"/>
    <n v="-6.1478275351764484"/>
    <m/>
    <n v="-1.33221140118710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2377621995499828"/>
    <n v="0"/>
    <n v="-0.73"/>
    <n v="-3.14"/>
    <n v="-171.6"/>
    <n v="0"/>
    <m/>
    <m/>
    <m/>
    <m/>
    <m/>
    <m/>
    <m/>
    <m/>
    <m/>
    <n v="-106.25388232936595"/>
    <m/>
    <m/>
    <m/>
    <m/>
    <m/>
    <m/>
    <m/>
    <m/>
    <m/>
    <m/>
    <m/>
    <m/>
    <n v="-391.56479999999999"/>
    <n v="127.0449000000001"/>
    <m/>
    <m/>
    <m/>
    <m/>
    <n v="143.48700000000005"/>
    <n v="-17.635739999999998"/>
    <n v="30"/>
    <n v="-11.077079566052703"/>
    <n v="0"/>
    <n v="0"/>
    <n v="0"/>
    <n v="0"/>
    <n v="0"/>
    <n v="0"/>
    <n v="0"/>
    <n v="-3.3827365300992938"/>
    <n v="0"/>
    <n v="0"/>
    <n v="-19.63222270684588"/>
    <n v="0"/>
    <n v="0"/>
    <n v="0"/>
    <n v="-1.4350527895302685"/>
    <n v="0"/>
    <n v="2.7866129448773123"/>
    <m/>
    <n v="0"/>
    <n v="0"/>
    <n v="0"/>
    <n v="0"/>
    <n v="0.37508742295845909"/>
    <n v="8.4885294254932075E-2"/>
    <n v="0"/>
    <n v="10.126346798332058"/>
    <m/>
    <m/>
    <m/>
    <n v="-268.06452608530344"/>
    <n v="0"/>
    <n v="0"/>
    <n v="143.48700000000002"/>
    <n v="-17.635739999999998"/>
    <n v="0"/>
    <n v="0"/>
    <n v="136.92798253730197"/>
    <n v="0"/>
    <n v="0"/>
    <n v="0"/>
    <n v="0"/>
    <n v="0"/>
    <n v="0"/>
    <n v="0"/>
    <n v="0"/>
    <n v="0"/>
    <n v="0"/>
    <n v="0"/>
    <n v="0"/>
    <n v="-18.84539622064638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96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30.974"/>
    <n v="30.974"/>
    <n v="30.974"/>
    <n v="30.974"/>
    <m/>
    <n v="648.44000000000005"/>
    <n v="159.41"/>
    <m/>
    <n v="25022.345900000004"/>
    <n v="25022.345900000004"/>
    <n v="18950.51268"/>
    <n v="0"/>
    <n v="1919.4665430138277"/>
    <n v="0"/>
    <n v="0"/>
    <n v="0"/>
    <n v="3612.9444574878862"/>
    <n v="12933.069518638924"/>
    <n v="4777.142219471838"/>
    <n v="160.49943895324114"/>
    <n v="0"/>
    <n v="0"/>
    <n v="0"/>
    <n v="0"/>
    <n v="296.60873843388674"/>
    <m/>
    <n v="64.2740123681767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9.19384169604541"/>
    <n v="0"/>
    <n v="45.46"/>
    <n v="232.25"/>
    <n v="19184.400000000001"/>
    <n v="281"/>
    <m/>
    <m/>
    <m/>
    <m/>
    <m/>
    <m/>
    <m/>
    <m/>
    <m/>
    <n v="5126.3360611678836"/>
    <m/>
    <m/>
    <m/>
    <m/>
    <m/>
    <m/>
    <m/>
    <m/>
    <m/>
    <m/>
    <m/>
    <m/>
    <n v="18948.065399999999"/>
    <n v="-6074.3104999999996"/>
    <m/>
    <m/>
    <m/>
    <m/>
    <n v="-6922.6890000000021"/>
    <n v="850.85577999999998"/>
    <n v="30"/>
    <n v="534.42595401700601"/>
    <n v="0"/>
    <n v="0"/>
    <n v="0"/>
    <n v="0"/>
    <n v="0"/>
    <n v="0"/>
    <n v="0"/>
    <n v="163.20386492725174"/>
    <n v="0"/>
    <n v="0"/>
    <n v="947.178296139944"/>
    <n v="0"/>
    <n v="0"/>
    <n v="0"/>
    <n v="69.235708883038228"/>
    <n v="0"/>
    <n v="-134.44322329381612"/>
    <m/>
    <n v="0"/>
    <n v="0"/>
    <n v="0"/>
    <n v="0"/>
    <n v="-18.096507536939669"/>
    <n v="-4.0953848975891916"/>
    <n v="0"/>
    <n v="-488.5568002048866"/>
    <m/>
    <m/>
    <m/>
    <n v="12933.069518638924"/>
    <n v="0"/>
    <n v="0"/>
    <n v="-6922.6890000000021"/>
    <n v="850.85577999999987"/>
    <n v="0"/>
    <n v="0"/>
    <n v="-6606.2419487700809"/>
    <n v="0"/>
    <n v="0"/>
    <n v="0"/>
    <n v="0"/>
    <n v="0"/>
    <n v="0"/>
    <n v="0"/>
    <n v="0"/>
    <n v="0"/>
    <n v="0"/>
    <n v="0"/>
    <n v="0"/>
    <n v="909.2169821468866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97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46.44"/>
    <n v="46.44"/>
    <n v="46.44"/>
    <n v="46.44"/>
    <m/>
    <n v="547.54"/>
    <n v="159.41"/>
    <m/>
    <n v="32830.757999999994"/>
    <n v="32830.757999999994"/>
    <n v="24047.560799999999"/>
    <n v="0"/>
    <n v="0"/>
    <n v="0"/>
    <n v="0"/>
    <n v="0"/>
    <n v="5416.9671532813791"/>
    <n v="19390.835812151854"/>
    <n v="7162.4744841567808"/>
    <n v="240.64034173786138"/>
    <n v="0"/>
    <n v="0"/>
    <n v="0"/>
    <n v="0"/>
    <n v="0"/>
    <m/>
    <n v="96.367441543815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3.55401331324174"/>
    <n v="0"/>
    <n v="15.03"/>
    <n v="75.150000000000006"/>
    <n v="2563.0100000000002"/>
    <n v="95"/>
    <m/>
    <m/>
    <m/>
    <m/>
    <m/>
    <m/>
    <m/>
    <n v="15630.7752"/>
    <m/>
    <n v="7686.0284974700226"/>
    <m/>
    <m/>
    <m/>
    <m/>
    <m/>
    <m/>
    <m/>
    <m/>
    <m/>
    <m/>
    <m/>
    <m/>
    <n v="8416.7855999999992"/>
    <n v="-3073.8936000000012"/>
    <m/>
    <m/>
    <m/>
    <m/>
    <n v="-10058.903999999999"/>
    <n v="1275.7067999999999"/>
    <n v="30"/>
    <n v="1121.472299478135"/>
    <n v="0"/>
    <n v="0"/>
    <n v="0"/>
    <n v="0"/>
    <n v="0"/>
    <n v="0"/>
    <n v="0"/>
    <n v="244.69514713054741"/>
    <n v="0"/>
    <n v="0"/>
    <n v="1420.1252687008146"/>
    <n v="0"/>
    <n v="0"/>
    <n v="0"/>
    <n v="103.80662234546048"/>
    <n v="0"/>
    <n v="0"/>
    <m/>
    <n v="0"/>
    <n v="0"/>
    <n v="0"/>
    <n v="0"/>
    <n v="0"/>
    <n v="-6.1403007246090908"/>
    <n v="0"/>
    <n v="-641.01443797408047"/>
    <m/>
    <m/>
    <m/>
    <n v="19390.835812151854"/>
    <n v="0"/>
    <n v="0"/>
    <n v="-10058.903999999999"/>
    <n v="1275.706799999999"/>
    <n v="0"/>
    <n v="0"/>
    <n v="-9904.8839704552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98"/>
    <s v="Sistema de Compensação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.03"/>
    <n v="0.03"/>
    <n v="0.03"/>
    <n v="0.03"/>
    <m/>
    <n v="547.54"/>
    <n v="159.41"/>
    <m/>
    <n v="21.208499999999997"/>
    <n v="21.208499999999997"/>
    <n v="15.534600000000001"/>
    <n v="0"/>
    <n v="0"/>
    <n v="0"/>
    <n v="0"/>
    <n v="0"/>
    <n v="3.4993327863574799"/>
    <n v="12.52637972361231"/>
    <n v="4.6269215013932694"/>
    <n v="0.15545241714332131"/>
    <n v="0"/>
    <n v="0"/>
    <n v="0"/>
    <n v="0"/>
    <n v="0"/>
    <m/>
    <n v="6.225286921435078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3821318689485902"/>
    <n v="0"/>
    <n v="0.01"/>
    <n v="0.05"/>
    <n v="5.28"/>
    <n v="0"/>
    <m/>
    <m/>
    <m/>
    <m/>
    <m/>
    <m/>
    <m/>
    <n v="10.0974"/>
    <m/>
    <n v="4.9651346882881287"/>
    <m/>
    <m/>
    <m/>
    <m/>
    <m/>
    <m/>
    <m/>
    <m/>
    <m/>
    <m/>
    <m/>
    <m/>
    <n v="5.4371999999999998"/>
    <n v="-2.0156999999999989"/>
    <m/>
    <m/>
    <m/>
    <m/>
    <n v="-6.4979999999999984"/>
    <n v="0.82409999999999994"/>
    <n v="30"/>
    <n v="0.72446530974039369"/>
    <n v="0"/>
    <n v="0"/>
    <n v="0"/>
    <n v="0"/>
    <n v="0"/>
    <n v="0"/>
    <n v="0"/>
    <n v="0.1580718004719297"/>
    <n v="0"/>
    <n v="0"/>
    <n v="0.91739358443204999"/>
    <n v="0"/>
    <n v="0"/>
    <n v="0"/>
    <n v="6.7058541566834939E-2"/>
    <n v="0"/>
    <n v="0"/>
    <m/>
    <n v="0"/>
    <n v="0"/>
    <n v="0"/>
    <n v="0"/>
    <n v="0"/>
    <n v="-3.9666025352771903E-3"/>
    <n v="0"/>
    <n v="-0.41409201419514241"/>
    <m/>
    <m/>
    <m/>
    <n v="12.52637972361231"/>
    <n v="0"/>
    <n v="0"/>
    <n v="-6.4979999999999976"/>
    <n v="0.8241000000000005"/>
    <n v="0"/>
    <n v="0"/>
    <n v="-6.3985038568832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599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90.688000000000002"/>
    <n v="90.688000000000002"/>
    <n v="90.688000000000002"/>
    <n v="90.688000000000002"/>
    <m/>
    <n v="547.54"/>
    <n v="159.41"/>
    <m/>
    <n v="64111.881599999993"/>
    <n v="64111.881599999993"/>
    <n v="46960.060160000001"/>
    <n v="0"/>
    <n v="0"/>
    <n v="0"/>
    <n v="0"/>
    <n v="0"/>
    <n v="10578.249724306239"/>
    <n v="37866.410812498441"/>
    <n v="13986.875237278429"/>
    <n v="469.9222935297841"/>
    <n v="0"/>
    <n v="0"/>
    <n v="0"/>
    <n v="0"/>
    <n v="0"/>
    <m/>
    <n v="188.186273443701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2.3959164373658"/>
    <n v="0"/>
    <n v="50.62"/>
    <n v="283.20999999999998"/>
    <n v="9347.74"/>
    <n v="386"/>
    <m/>
    <m/>
    <m/>
    <m/>
    <m/>
    <m/>
    <m/>
    <n v="18784.205439999998"/>
    <m/>
    <n v="15009.271153715796"/>
    <m/>
    <m/>
    <m/>
    <m/>
    <m/>
    <m/>
    <m/>
    <m/>
    <m/>
    <m/>
    <m/>
    <m/>
    <n v="28176.4761"/>
    <n v="-10290.682860000001"/>
    <m/>
    <m/>
    <m/>
    <m/>
    <n v="-19643.020799999998"/>
    <n v="2491.1993600000001"/>
    <n v="30"/>
    <n v="2190.0103336578977"/>
    <n v="0"/>
    <n v="0"/>
    <n v="0"/>
    <n v="0"/>
    <n v="0"/>
    <n v="0"/>
    <n v="0"/>
    <n v="477.84051470661325"/>
    <n v="0"/>
    <n v="0"/>
    <n v="2773.2196461657913"/>
    <n v="0"/>
    <n v="0"/>
    <n v="0"/>
    <n v="202.71350058710448"/>
    <n v="0"/>
    <n v="0"/>
    <m/>
    <n v="0"/>
    <n v="0"/>
    <n v="0"/>
    <n v="0"/>
    <n v="0"/>
    <n v="-11.990775023973953"/>
    <n v="0"/>
    <n v="-1251.7725527776358"/>
    <m/>
    <m/>
    <m/>
    <n v="37866.410812498441"/>
    <n v="0"/>
    <n v="0"/>
    <n v="-19643.020799999995"/>
    <n v="2491.1993600000005"/>
    <n v="0"/>
    <n v="0"/>
    <n v="-19342.250592434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00"/>
    <s v="Sistema de Compensação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7.0000000000000007E-2"/>
    <n v="7.0000000000000007E-2"/>
    <n v="7.0000000000000007E-2"/>
    <n v="7.0000000000000007E-2"/>
    <m/>
    <n v="547.54"/>
    <n v="159.41"/>
    <m/>
    <n v="49.486500000000007"/>
    <n v="49.486500000000007"/>
    <n v="36.247399999999999"/>
    <n v="0"/>
    <n v="0"/>
    <n v="0"/>
    <n v="0"/>
    <n v="0"/>
    <n v="8.1651098348341211"/>
    <n v="29.228219355095394"/>
    <n v="10.796150169917631"/>
    <n v="0.36272230666774974"/>
    <n v="0"/>
    <n v="0"/>
    <n v="0"/>
    <n v="0"/>
    <n v="0"/>
    <m/>
    <n v="0.14525669483348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8916410275467108"/>
    <n v="0"/>
    <n v="0.04"/>
    <n v="0.22"/>
    <n v="21.22"/>
    <n v="0"/>
    <m/>
    <m/>
    <m/>
    <m/>
    <m/>
    <m/>
    <m/>
    <n v="14.499100000000002"/>
    <m/>
    <n v="11.585314272672303"/>
    <m/>
    <m/>
    <m/>
    <m/>
    <m/>
    <m/>
    <m/>
    <m/>
    <m/>
    <m/>
    <m/>
    <m/>
    <n v="21.748300000000004"/>
    <n v="-7.9736000000000047"/>
    <m/>
    <m/>
    <m/>
    <m/>
    <n v="-15.161999999999999"/>
    <n v="1.9229000000000001"/>
    <n v="30"/>
    <n v="1.6904190560609216"/>
    <n v="0"/>
    <n v="0"/>
    <n v="0"/>
    <n v="0"/>
    <n v="0"/>
    <n v="0"/>
    <n v="0"/>
    <n v="0.36883420110116916"/>
    <n v="0"/>
    <n v="0"/>
    <n v="2.14058503034145"/>
    <n v="0"/>
    <n v="0"/>
    <n v="0"/>
    <n v="0.15646993032261503"/>
    <n v="0"/>
    <n v="0"/>
    <m/>
    <n v="0"/>
    <n v="0"/>
    <n v="0"/>
    <n v="0"/>
    <n v="0"/>
    <n v="-9.255405915646775E-3"/>
    <n v="0"/>
    <n v="-0.9662146997886657"/>
    <m/>
    <m/>
    <m/>
    <n v="29.228219355095394"/>
    <n v="0"/>
    <n v="0"/>
    <n v="-15.162000000000003"/>
    <n v="1.9229000000000003"/>
    <n v="0"/>
    <n v="0"/>
    <n v="-14.929842332727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01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72.463999999999999"/>
    <n v="72.463999999999999"/>
    <n v="72.463999999999999"/>
    <n v="72.463999999999999"/>
    <m/>
    <n v="547.54"/>
    <n v="159.41"/>
    <m/>
    <n v="51228.424799999993"/>
    <n v="51228.424799999993"/>
    <n v="37523.30848"/>
    <n v="0"/>
    <n v="0"/>
    <n v="0"/>
    <n v="0"/>
    <n v="0"/>
    <n v="8452.5217010202814"/>
    <n v="30257.052676394749"/>
    <n v="11176.174655898729"/>
    <n v="375.49013186245452"/>
    <n v="0"/>
    <n v="0"/>
    <n v="0"/>
    <n v="0"/>
    <n v="0"/>
    <m/>
    <n v="150.36973049162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6.9426791716354"/>
    <n v="0"/>
    <n v="67.53"/>
    <n v="342.3"/>
    <n v="11387.91"/>
    <n v="846"/>
    <m/>
    <m/>
    <m/>
    <m/>
    <m/>
    <m/>
    <m/>
    <n v="3752.9105600000016"/>
    <m/>
    <n v="11993.117335070365"/>
    <m/>
    <m/>
    <m/>
    <m/>
    <m/>
    <m/>
    <m/>
    <m/>
    <m/>
    <m/>
    <m/>
    <m/>
    <n v="33768.533799999997"/>
    <n v="-12337.44084000001"/>
    <m/>
    <m/>
    <m/>
    <m/>
    <n v="-15695.702399999996"/>
    <n v="1990.5860799999998"/>
    <n v="30"/>
    <n v="1749.921806834267"/>
    <n v="0"/>
    <n v="0"/>
    <n v="0"/>
    <n v="0"/>
    <n v="0"/>
    <n v="0"/>
    <n v="0"/>
    <n v="381.81716497992966"/>
    <n v="0"/>
    <n v="0"/>
    <n v="2215.9336234094699"/>
    <n v="0"/>
    <n v="0"/>
    <n v="0"/>
    <n v="161.977671869971"/>
    <n v="0"/>
    <n v="0"/>
    <m/>
    <n v="0"/>
    <n v="0"/>
    <n v="0"/>
    <n v="0"/>
    <n v="0"/>
    <n v="-9.5811962038775675"/>
    <n v="0"/>
    <n v="-1000.2254572212266"/>
    <m/>
    <m/>
    <m/>
    <n v="30257.052676394749"/>
    <n v="0"/>
    <n v="0"/>
    <n v="-15695.702399999995"/>
    <n v="1990.5860799999991"/>
    <n v="0"/>
    <n v="0"/>
    <n v="-15455.372782839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02"/>
    <s v="Sistema de Compensação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2.8000000000000001E-2"/>
    <n v="2.8000000000000001E-2"/>
    <n v="2.8000000000000001E-2"/>
    <n v="2.8000000000000001E-2"/>
    <m/>
    <n v="547.54"/>
    <n v="159.41"/>
    <m/>
    <n v="19.794599999999999"/>
    <n v="19.794599999999999"/>
    <n v="14.49896"/>
    <n v="0"/>
    <n v="0"/>
    <n v="0"/>
    <n v="0"/>
    <n v="0"/>
    <n v="3.266043933933648"/>
    <n v="11.691287742038156"/>
    <n v="4.3184600679670515"/>
    <n v="0.14508892266709988"/>
    <n v="0"/>
    <n v="0"/>
    <n v="0"/>
    <n v="0"/>
    <n v="0"/>
    <m/>
    <n v="5.810267793339407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156656411018684"/>
    <n v="0"/>
    <n v="0.03"/>
    <n v="0.13"/>
    <n v="42.02"/>
    <n v="2"/>
    <m/>
    <m/>
    <m/>
    <m/>
    <m/>
    <m/>
    <m/>
    <n v="1.4501200000000005"/>
    <m/>
    <n v="4.6341257090689201"/>
    <m/>
    <m/>
    <m/>
    <m/>
    <m/>
    <m/>
    <m/>
    <m/>
    <m/>
    <m/>
    <m/>
    <m/>
    <n v="13.980899999999998"/>
    <n v="-3.8643800000000041"/>
    <m/>
    <m/>
    <m/>
    <m/>
    <n v="-6.0647999999999991"/>
    <n v="0.76915999999999995"/>
    <n v="30"/>
    <n v="0.67616762242436756"/>
    <n v="0"/>
    <n v="0"/>
    <n v="0"/>
    <n v="0"/>
    <n v="0"/>
    <n v="0"/>
    <n v="0"/>
    <n v="0.14753368044046811"/>
    <n v="0"/>
    <n v="0"/>
    <n v="0.85623401213658035"/>
    <n v="0"/>
    <n v="0"/>
    <n v="0"/>
    <n v="6.2587972129045988E-2"/>
    <n v="0"/>
    <n v="0"/>
    <m/>
    <n v="0"/>
    <n v="0"/>
    <n v="0"/>
    <n v="0"/>
    <n v="0"/>
    <n v="-3.7021623662587128E-3"/>
    <n v="0"/>
    <n v="-0.38648587991546623"/>
    <m/>
    <m/>
    <m/>
    <n v="11.691287742038156"/>
    <n v="0"/>
    <n v="0"/>
    <n v="-6.0647999999999982"/>
    <n v="0.76916000000000029"/>
    <n v="0"/>
    <n v="0"/>
    <n v="-5.9719369330910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03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14.282"/>
    <n v="14.282"/>
    <n v="14.282"/>
    <n v="14.282"/>
    <m/>
    <n v="547.54"/>
    <n v="159.41"/>
    <m/>
    <n v="10096.659899999999"/>
    <n v="10096.659899999999"/>
    <n v="7395.5052400000004"/>
    <n v="0"/>
    <n v="0"/>
    <n v="0"/>
    <n v="0"/>
    <n v="0"/>
    <n v="1665.9156951585842"/>
    <n v="5963.3918404210335"/>
    <n v="2202.7230960966226"/>
    <n v="74.005714054697165"/>
    <n v="0"/>
    <n v="0"/>
    <n v="0"/>
    <n v="0"/>
    <n v="0"/>
    <m/>
    <n v="29.6365159373119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01202450774588"/>
    <n v="0"/>
    <n v="15.62"/>
    <n v="72.44"/>
    <n v="2494.79"/>
    <n v="221"/>
    <m/>
    <m/>
    <m/>
    <m/>
    <m/>
    <m/>
    <m/>
    <m/>
    <m/>
    <n v="2363.7351206043686"/>
    <m/>
    <m/>
    <m/>
    <m/>
    <m/>
    <m/>
    <m/>
    <m/>
    <m/>
    <m/>
    <m/>
    <m/>
    <n v="7394.4695999999994"/>
    <n v="-2702.2203"/>
    <m/>
    <m/>
    <m/>
    <m/>
    <n v="-3093.4811999999997"/>
    <n v="392.32653999999997"/>
    <n v="30"/>
    <n v="344.89378512374424"/>
    <n v="0"/>
    <n v="0"/>
    <n v="0"/>
    <n v="0"/>
    <n v="0"/>
    <n v="0"/>
    <n v="0"/>
    <n v="75.252715144670219"/>
    <n v="0"/>
    <n v="0"/>
    <n v="436.74050576195123"/>
    <n v="0"/>
    <n v="0"/>
    <n v="0"/>
    <n v="31.924336355251256"/>
    <n v="0"/>
    <n v="0"/>
    <m/>
    <n v="0"/>
    <n v="0"/>
    <n v="0"/>
    <n v="0"/>
    <n v="0"/>
    <n v="-1.8883672469609607"/>
    <n v="0"/>
    <n v="-197.13540489116747"/>
    <m/>
    <m/>
    <m/>
    <n v="5963.3918404210335"/>
    <n v="0"/>
    <n v="0"/>
    <n v="-3093.4811999999993"/>
    <n v="392.32654000000002"/>
    <n v="0"/>
    <n v="0"/>
    <n v="-3046.114402800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04"/>
    <s v="Sistema de Compensação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5.29999999999999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605"/>
    <s v="Regular"/>
    <s v="Convencional"/>
    <s v="B3"/>
    <s v="Industrial"/>
    <s v="Não se aplica"/>
    <s v="Não se aplica"/>
    <s v="Não se aplica"/>
    <s v="Não se aplica"/>
    <s v="CATIVO"/>
    <x v="9"/>
    <n v="0"/>
    <n v="0"/>
    <n v="101.809"/>
    <n v="101.809"/>
    <n v="101.809"/>
    <n v="101.809"/>
    <m/>
    <n v="648.44000000000005"/>
    <n v="159.41"/>
    <m/>
    <n v="82246.400650000011"/>
    <n v="82246.400650000011"/>
    <n v="62288.78237999999"/>
    <n v="0"/>
    <n v="6309.1292463903519"/>
    <n v="0"/>
    <n v="0"/>
    <n v="0"/>
    <n v="11875.452388208956"/>
    <n v="42509.939776041523"/>
    <n v="15702.075037844912"/>
    <n v="527.54850456481324"/>
    <n v="0"/>
    <n v="0"/>
    <n v="0"/>
    <n v="0"/>
    <n v="974.92861920370558"/>
    <m/>
    <n v="211.263412061461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7.7715448192901"/>
    <n v="0"/>
    <n v="152.4"/>
    <n v="756.47"/>
    <n v="15650.33"/>
    <n v="87"/>
    <m/>
    <m/>
    <m/>
    <m/>
    <m/>
    <m/>
    <m/>
    <m/>
    <m/>
    <n v="16849.846582664202"/>
    <m/>
    <m/>
    <m/>
    <m/>
    <m/>
    <m/>
    <m/>
    <m/>
    <m/>
    <m/>
    <m/>
    <m/>
    <n v="62289.394199999995"/>
    <n v="-19957.03645"/>
    <m/>
    <m/>
    <m/>
    <m/>
    <n v="-22754.311500000003"/>
    <n v="2796.6932299999999"/>
    <n v="30"/>
    <n v="1756.6143201561645"/>
    <n v="0"/>
    <n v="0"/>
    <n v="0"/>
    <n v="0"/>
    <n v="0"/>
    <n v="0"/>
    <n v="0"/>
    <n v="536.43773114155738"/>
    <n v="0"/>
    <n v="0"/>
    <n v="3113.2974479147524"/>
    <n v="0"/>
    <n v="0"/>
    <n v="0"/>
    <n v="227.57210194592994"/>
    <n v="0"/>
    <n v="-441.90385873055129"/>
    <m/>
    <n v="0"/>
    <n v="0"/>
    <n v="0"/>
    <n v="0"/>
    <n v="-59.481737451678669"/>
    <n v="-13.461194583801216"/>
    <n v="0"/>
    <n v="-1605.8461700800444"/>
    <m/>
    <m/>
    <m/>
    <n v="42509.939776041523"/>
    <n v="0"/>
    <n v="0"/>
    <n v="-22754.311500000011"/>
    <n v="2796.6932299999971"/>
    <n v="0"/>
    <n v="0"/>
    <n v="-21714.175972180961"/>
    <n v="0"/>
    <n v="0"/>
    <n v="0"/>
    <n v="0"/>
    <n v="0"/>
    <n v="0"/>
    <n v="0"/>
    <n v="0"/>
    <n v="0"/>
    <n v="0"/>
    <n v="0"/>
    <n v="0"/>
    <n v="2988.521719357925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06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18.198"/>
    <n v="18.198"/>
    <n v="18.198"/>
    <n v="18.198"/>
    <m/>
    <n v="648.44000000000005"/>
    <n v="159.41"/>
    <m/>
    <n v="14701.254300000002"/>
    <n v="14701.254300000002"/>
    <n v="11133.90036"/>
    <n v="0"/>
    <n v="1127.734620964862"/>
    <n v="0"/>
    <n v="0"/>
    <n v="0"/>
    <n v="2122.6952682044475"/>
    <n v="7598.5019403432279"/>
    <n v="2806.6905827451574"/>
    <n v="94.297436239138705"/>
    <n v="0"/>
    <n v="0"/>
    <n v="0"/>
    <n v="0"/>
    <n v="174.26505527280528"/>
    <m/>
    <n v="37.762590465425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.16011917042147"/>
    <n v="0"/>
    <n v="27.6"/>
    <n v="137.16"/>
    <n v="5516.39"/>
    <n v="20"/>
    <m/>
    <m/>
    <m/>
    <m/>
    <m/>
    <m/>
    <m/>
    <m/>
    <m/>
    <n v="3011.8507019155786"/>
    <m/>
    <m/>
    <m/>
    <m/>
    <m/>
    <m/>
    <m/>
    <m/>
    <m/>
    <m/>
    <m/>
    <m/>
    <n v="11135.124"/>
    <n v="-3566.1603000000032"/>
    <m/>
    <m/>
    <m/>
    <m/>
    <n v="-4067.2530000000011"/>
    <n v="499.89905999999996"/>
    <n v="30"/>
    <n v="313.98861984895029"/>
    <n v="0"/>
    <n v="0"/>
    <n v="0"/>
    <n v="0"/>
    <n v="0"/>
    <n v="0"/>
    <n v="0"/>
    <n v="95.886354166272667"/>
    <n v="0"/>
    <n v="0"/>
    <n v="556.49094831648154"/>
    <n v="0"/>
    <n v="0"/>
    <n v="0"/>
    <n v="40.677711314442121"/>
    <n v="0"/>
    <n v="-78.988757587036389"/>
    <m/>
    <n v="0"/>
    <n v="0"/>
    <n v="0"/>
    <n v="0"/>
    <n v="-10.632150970401909"/>
    <n v="-2.4061410978991447"/>
    <n v="0"/>
    <n v="-287.0393442929078"/>
    <m/>
    <m/>
    <m/>
    <n v="7598.5019403432279"/>
    <n v="0"/>
    <n v="0"/>
    <n v="-4067.2530000000024"/>
    <n v="499.89905999999974"/>
    <n v="0"/>
    <n v="0"/>
    <n v="-3881.332439585392"/>
    <n v="0"/>
    <n v="0"/>
    <n v="0"/>
    <n v="0"/>
    <n v="0"/>
    <n v="0"/>
    <n v="0"/>
    <n v="0"/>
    <n v="0"/>
    <n v="0"/>
    <n v="0"/>
    <n v="0"/>
    <n v="534.1877265160793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07"/>
    <s v="Regular"/>
    <s v="Verde"/>
    <s v="A4"/>
    <s v="Industrial"/>
    <s v="Não se aplica"/>
    <s v="Não se aplica"/>
    <s v="Não se aplica"/>
    <s v="Ponta"/>
    <s v="CATIVO"/>
    <x v="9"/>
    <n v="0"/>
    <n v="0"/>
    <n v="13.648999999999999"/>
    <n v="13.648999999999999"/>
    <n v="13.648999999999999"/>
    <n v="13.648999999999999"/>
    <m/>
    <n v="2810.7"/>
    <n v="159.41"/>
    <m/>
    <n v="40539.031389999996"/>
    <n v="40539.031389999996"/>
    <n v="25819.676809999997"/>
    <n v="0"/>
    <n v="735.87379723859601"/>
    <n v="0"/>
    <n v="0"/>
    <n v="0"/>
    <n v="8332.9273341348362"/>
    <n v="28729.628651937099"/>
    <n v="2105.0950524172245"/>
    <n v="70.725668052973077"/>
    <n v="0"/>
    <n v="0"/>
    <n v="0"/>
    <n v="0"/>
    <n v="130.70357948227934"/>
    <m/>
    <n v="14.655386955634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836595125169737"/>
    <n v="0"/>
    <n v="0"/>
    <n v="0"/>
    <n v="0"/>
    <n v="0"/>
    <m/>
    <m/>
    <m/>
    <m/>
    <m/>
    <m/>
    <m/>
    <m/>
    <m/>
    <n v="2175.9316475423943"/>
    <m/>
    <m/>
    <m/>
    <m/>
    <m/>
    <m/>
    <m/>
    <m/>
    <m/>
    <m/>
    <m/>
    <m/>
    <n v="25821.568500000001"/>
    <n v="-14717.492890000001"/>
    <m/>
    <m/>
    <m/>
    <m/>
    <n v="-15094.292609999997"/>
    <n v="374.93802999999997"/>
    <n v="30"/>
    <n v="-44.121716383951934"/>
    <n v="0"/>
    <n v="0"/>
    <n v="0"/>
    <n v="0"/>
    <n v="0"/>
    <n v="0"/>
    <n v="0"/>
    <n v="376.414850294801"/>
    <n v="0"/>
    <n v="0"/>
    <n v="417.38350113043498"/>
    <n v="0"/>
    <n v="0"/>
    <n v="0"/>
    <n v="14.044983882106735"/>
    <n v="0"/>
    <n v="-51.542052451135078"/>
    <m/>
    <n v="0"/>
    <n v="0"/>
    <n v="0"/>
    <n v="0"/>
    <n v="-7.9744053519626164"/>
    <n v="-0.93380587573439477"/>
    <n v="0"/>
    <n v="-791.51478801246219"/>
    <m/>
    <m/>
    <m/>
    <n v="28729.628651937099"/>
    <n v="0"/>
    <n v="0"/>
    <n v="-15094.29261"/>
    <n v="374.9380299999998"/>
    <n v="0"/>
    <n v="0"/>
    <n v="-14675.161043515882"/>
    <n v="0"/>
    <n v="0"/>
    <n v="0"/>
    <n v="0"/>
    <n v="0"/>
    <n v="0"/>
    <n v="0"/>
    <n v="0"/>
    <n v="0"/>
    <n v="0"/>
    <n v="0"/>
    <n v="0"/>
    <n v="348.5702606286200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08"/>
    <s v="Regular"/>
    <s v="Verde"/>
    <s v="A4"/>
    <s v="Industrial"/>
    <s v="Não se aplica"/>
    <s v="Não se aplica"/>
    <s v="Não se aplica"/>
    <s v="Fora ponta"/>
    <s v="CATIVO"/>
    <x v="9"/>
    <n v="0"/>
    <n v="0"/>
    <n v="466.97300000000001"/>
    <n v="466.97300000000001"/>
    <n v="466.97300000000001"/>
    <n v="466.97300000000001"/>
    <m/>
    <n v="95.29"/>
    <n v="159.41"/>
    <m/>
    <n v="118938.02310000001"/>
    <n v="118938.02310000001"/>
    <n v="129309.49343"/>
    <n v="0"/>
    <n v="25176.437447278109"/>
    <n v="0"/>
    <n v="0"/>
    <n v="0"/>
    <n v="0"/>
    <n v="0"/>
    <n v="72021.580475670649"/>
    <n v="2419.7360530222727"/>
    <n v="0"/>
    <n v="0"/>
    <n v="0"/>
    <n v="0"/>
    <n v="4471.7592953021049"/>
    <m/>
    <n v="501.40449943832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3.5311990172095"/>
    <n v="0"/>
    <n v="0"/>
    <n v="0"/>
    <n v="0"/>
    <n v="0"/>
    <m/>
    <m/>
    <m/>
    <m/>
    <m/>
    <m/>
    <m/>
    <m/>
    <m/>
    <n v="74445.111674687854"/>
    <m/>
    <m/>
    <m/>
    <m/>
    <m/>
    <m/>
    <m/>
    <m/>
    <m/>
    <m/>
    <m/>
    <m/>
    <n v="129308.66270000002"/>
    <n v="10370.609600000011"/>
    <m/>
    <m/>
    <m/>
    <m/>
    <n v="-2456.2779800000026"/>
    <n v="12827.748309999999"/>
    <n v="30"/>
    <n v="10369.994326216751"/>
    <n v="0"/>
    <n v="0"/>
    <n v="0"/>
    <n v="0"/>
    <n v="0"/>
    <n v="0"/>
    <n v="0"/>
    <n v="0"/>
    <n v="0"/>
    <n v="0"/>
    <n v="14279.934476766255"/>
    <n v="0"/>
    <n v="0"/>
    <n v="0"/>
    <n v="480.52078968268916"/>
    <n v="0"/>
    <n v="-1763.4073455391517"/>
    <m/>
    <n v="0"/>
    <n v="0"/>
    <n v="0"/>
    <n v="0"/>
    <n v="-272.82819183984429"/>
    <n v="-31.948284211980251"/>
    <n v="0"/>
    <n v="-2322.2771186412165"/>
    <m/>
    <m/>
    <m/>
    <n v="0"/>
    <n v="0"/>
    <n v="0"/>
    <n v="-2456.2779799999989"/>
    <n v="12827.748309999995"/>
    <n v="0"/>
    <n v="0"/>
    <n v="0"/>
    <n v="0"/>
    <n v="0"/>
    <n v="0"/>
    <n v="0"/>
    <n v="0"/>
    <n v="0"/>
    <n v="0"/>
    <n v="0"/>
    <n v="0"/>
    <n v="0"/>
    <n v="0"/>
    <n v="0"/>
    <n v="11925.62827434453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09"/>
    <s v="Regular"/>
    <s v="Verde"/>
    <s v="A4"/>
    <s v="Industrial"/>
    <s v="Não se aplica"/>
    <s v="Não se aplica"/>
    <s v="Não se aplica"/>
    <s v="Não se aplica"/>
    <s v="CATIVO"/>
    <x v="9"/>
    <n v="2299"/>
    <n v="2299"/>
    <n v="0"/>
    <n v="0"/>
    <n v="0"/>
    <n v="0"/>
    <n v="43.29"/>
    <m/>
    <m/>
    <n v="99523.709999999992"/>
    <m/>
    <n v="99523.709999999992"/>
    <n v="76993.510000000009"/>
    <n v="0"/>
    <n v="0"/>
    <n v="0"/>
    <n v="0"/>
    <n v="0"/>
    <n v="54403.506477248964"/>
    <n v="45127.501152950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47.21"/>
    <n v="2709.19"/>
    <n v="54015.73"/>
    <n v="13"/>
    <m/>
    <m/>
    <m/>
    <m/>
    <m/>
    <m/>
    <m/>
    <m/>
    <m/>
    <n v="0"/>
    <m/>
    <m/>
    <m/>
    <m/>
    <m/>
    <m/>
    <m/>
    <m/>
    <m/>
    <m/>
    <m/>
    <m/>
    <n v="76993.510000000009"/>
    <n v="-22530.229999999967"/>
    <m/>
    <m/>
    <m/>
    <m/>
    <n v="-22530.199999999993"/>
    <n v="0"/>
    <n v="30"/>
    <n v="514.19467384850577"/>
    <n v="0"/>
    <n v="0"/>
    <n v="0"/>
    <n v="0"/>
    <m/>
    <m/>
    <m/>
    <n v="2457.5142593958008"/>
    <n v="0"/>
    <n v="0"/>
    <m/>
    <m/>
    <n v="0"/>
    <n v="0"/>
    <n v="0"/>
    <n v="0"/>
    <n v="0"/>
    <m/>
    <n v="0"/>
    <n v="0"/>
    <m/>
    <n v="0"/>
    <n v="0"/>
    <n v="0"/>
    <n v="0"/>
    <n v="-1943.3195855472941"/>
    <m/>
    <m/>
    <n v="45127.50115295031"/>
    <m/>
    <n v="0"/>
    <n v="0"/>
    <n v="-22530.199999999983"/>
    <m/>
    <n v="0"/>
    <m/>
    <n v="-23051.23240311519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10"/>
    <s v="Regular"/>
    <s v="Convencional"/>
    <s v="B3"/>
    <s v="Comercial"/>
    <s v="Não se aplica"/>
    <s v="Não se aplica"/>
    <s v="Não se aplica"/>
    <s v="Não se aplica"/>
    <s v="CATIVO"/>
    <x v="9"/>
    <n v="0"/>
    <n v="0"/>
    <n v="713.46"/>
    <n v="713.46"/>
    <n v="713.46"/>
    <n v="713.46"/>
    <m/>
    <n v="648.44000000000005"/>
    <n v="159.41"/>
    <m/>
    <n v="576368.66100000008"/>
    <n v="576368.66100000008"/>
    <n v="436509.09719999996"/>
    <n v="0"/>
    <n v="44213.295014484582"/>
    <n v="0"/>
    <n v="0"/>
    <n v="0"/>
    <n v="83221.132325153594"/>
    <n v="297902.36258694797"/>
    <n v="110037.44714613474"/>
    <n v="3696.9693845024676"/>
    <n v="0"/>
    <n v="0"/>
    <n v="0"/>
    <n v="0"/>
    <n v="6832.1324505404809"/>
    <m/>
    <n v="1480.4977356556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43.3860107335377"/>
    <n v="0"/>
    <n v="1067.49"/>
    <n v="5321.96"/>
    <n v="179174.06"/>
    <n v="1528"/>
    <m/>
    <m/>
    <m/>
    <m/>
    <m/>
    <m/>
    <m/>
    <m/>
    <m/>
    <n v="118080.83315686828"/>
    <m/>
    <m/>
    <m/>
    <m/>
    <m/>
    <m/>
    <m/>
    <m/>
    <m/>
    <m/>
    <m/>
    <m/>
    <n v="436509.09719999996"/>
    <n v="-139859.59380000015"/>
    <m/>
    <m/>
    <m/>
    <m/>
    <n v="-159458.31000000006"/>
    <n v="19598.746200000001"/>
    <n v="30"/>
    <n v="12310.051693451591"/>
    <n v="0"/>
    <n v="0"/>
    <n v="0"/>
    <n v="0"/>
    <n v="0"/>
    <n v="0"/>
    <n v="0"/>
    <n v="3759.2635588234407"/>
    <n v="0"/>
    <n v="0"/>
    <n v="21817.454224963032"/>
    <n v="0"/>
    <n v="0"/>
    <n v="0"/>
    <n v="1594.7862355424686"/>
    <n v="0"/>
    <n v="-3096.7864044426242"/>
    <m/>
    <n v="0"/>
    <n v="0"/>
    <n v="0"/>
    <n v="0"/>
    <n v="-416.83780807467519"/>
    <n v="-94.333741493962179"/>
    <n v="0"/>
    <n v="-11253.494371866031"/>
    <m/>
    <m/>
    <m/>
    <n v="297902.36258694797"/>
    <n v="0"/>
    <n v="0"/>
    <n v="-159458.31000000006"/>
    <n v="19598.74619999998"/>
    <n v="0"/>
    <n v="0"/>
    <n v="-152169.21872439791"/>
    <n v="0"/>
    <n v="0"/>
    <n v="0"/>
    <n v="0"/>
    <n v="0"/>
    <n v="0"/>
    <n v="0"/>
    <n v="0"/>
    <n v="0"/>
    <n v="0"/>
    <n v="0"/>
    <n v="0"/>
    <n v="20943.04733268282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11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104.82899999999999"/>
    <n v="104.82899999999999"/>
    <n v="104.82899999999999"/>
    <n v="104.82899999999999"/>
    <m/>
    <n v="648.44000000000005"/>
    <n v="159.41"/>
    <m/>
    <n v="84686.107650000005"/>
    <n v="84686.107650000005"/>
    <n v="64136.47877999999"/>
    <n v="0"/>
    <n v="6496.2794032929723"/>
    <n v="0"/>
    <n v="0"/>
    <n v="0"/>
    <n v="12227.718555368941"/>
    <n v="43770.928668218497"/>
    <n v="16167.851802318501"/>
    <n v="543.19738122390766"/>
    <n v="0"/>
    <n v="0"/>
    <n v="0"/>
    <n v="0"/>
    <n v="1003.8483063629468"/>
    <m/>
    <n v="217.53020089570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1.8183389667058"/>
    <n v="0"/>
    <n v="158.69999999999999"/>
    <n v="789.59"/>
    <n v="45457.39"/>
    <n v="141"/>
    <m/>
    <m/>
    <m/>
    <m/>
    <m/>
    <m/>
    <m/>
    <m/>
    <m/>
    <n v="17349.670141285205"/>
    <m/>
    <m/>
    <m/>
    <m/>
    <m/>
    <m/>
    <m/>
    <m/>
    <m/>
    <m/>
    <m/>
    <m/>
    <n v="64137.090599999996"/>
    <n v="-20549.047049999994"/>
    <m/>
    <m/>
    <m/>
    <m/>
    <n v="-23429.281500000005"/>
    <n v="2879.6526299999996"/>
    <n v="30"/>
    <n v="1808.7214545634561"/>
    <n v="0"/>
    <n v="0"/>
    <n v="0"/>
    <n v="0"/>
    <n v="0"/>
    <n v="0"/>
    <n v="0"/>
    <n v="552.35029238906463"/>
    <n v="0"/>
    <n v="0"/>
    <n v="3205.648402080913"/>
    <n v="0"/>
    <n v="0"/>
    <n v="0"/>
    <n v="234.3226617969915"/>
    <n v="0"/>
    <n v="-455.01222491985027"/>
    <m/>
    <n v="0"/>
    <n v="0"/>
    <n v="0"/>
    <n v="0"/>
    <n v="-61.246167385221611"/>
    <n v="-13.860499239019106"/>
    <n v="0"/>
    <n v="-1653.4810101594258"/>
    <m/>
    <m/>
    <m/>
    <n v="43770.928668218497"/>
    <n v="0"/>
    <n v="0"/>
    <n v="-23429.281500000005"/>
    <n v="2879.6526299999969"/>
    <n v="0"/>
    <n v="0"/>
    <n v="-22358.292027107214"/>
    <n v="0"/>
    <n v="0"/>
    <n v="0"/>
    <n v="0"/>
    <n v="0"/>
    <n v="0"/>
    <n v="0"/>
    <n v="0"/>
    <n v="0"/>
    <n v="0"/>
    <n v="0"/>
    <n v="0"/>
    <n v="3077.171402514236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12"/>
    <s v="Regular"/>
    <s v="Verde"/>
    <s v="A4"/>
    <s v="Comercial"/>
    <s v="Não se aplica"/>
    <s v="Não se aplica"/>
    <s v="Não se aplica"/>
    <s v="Ponta"/>
    <s v="CATIVO"/>
    <x v="9"/>
    <n v="0"/>
    <n v="0"/>
    <n v="9.7110000000000003"/>
    <n v="9.7110000000000003"/>
    <n v="9.7110000000000003"/>
    <n v="9.7110000000000003"/>
    <m/>
    <n v="2810.7"/>
    <n v="159.41"/>
    <m/>
    <n v="28842.73821"/>
    <n v="28842.73821"/>
    <n v="18370.201589999997"/>
    <n v="0"/>
    <n v="523.56000036515547"/>
    <n v="0"/>
    <n v="0"/>
    <n v="0"/>
    <n v="5928.7169273780792"/>
    <n v="20440.57614762702"/>
    <n v="1497.7344900010014"/>
    <n v="50.319947429293109"/>
    <n v="0"/>
    <n v="0"/>
    <n v="0"/>
    <n v="0"/>
    <n v="92.993073511056835"/>
    <m/>
    <n v="10.427024890187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398869899664696"/>
    <n v="0"/>
    <n v="0"/>
    <n v="0"/>
    <n v="0"/>
    <n v="0"/>
    <m/>
    <m/>
    <m/>
    <m/>
    <m/>
    <m/>
    <m/>
    <m/>
    <m/>
    <n v="1548.1333599006662"/>
    <m/>
    <m/>
    <m/>
    <m/>
    <m/>
    <m/>
    <m/>
    <m/>
    <m/>
    <m/>
    <m/>
    <m/>
    <n v="18368.3099"/>
    <n v="-10474.458309999995"/>
    <m/>
    <m/>
    <m/>
    <m/>
    <n v="-10739.297789999999"/>
    <n v="266.76116999999999"/>
    <n v="30"/>
    <n v="-31.391749417871324"/>
    <n v="0"/>
    <n v="0"/>
    <n v="0"/>
    <n v="0"/>
    <n v="0"/>
    <n v="0"/>
    <n v="0"/>
    <n v="267.8118991290803"/>
    <n v="0"/>
    <n v="0"/>
    <n v="296.96030328065467"/>
    <n v="0"/>
    <n v="0"/>
    <n v="0"/>
    <n v="9.9927348874744197"/>
    <n v="0"/>
    <n v="-36.671175276794884"/>
    <m/>
    <n v="0"/>
    <n v="0"/>
    <n v="0"/>
    <n v="0"/>
    <n v="-5.6736354584884623"/>
    <n v="-0.66438485304833428"/>
    <n v="0"/>
    <n v="-563.14749112675065"/>
    <m/>
    <m/>
    <m/>
    <n v="20440.57614762702"/>
    <n v="0"/>
    <n v="0"/>
    <n v="-10739.297790000001"/>
    <n v="266.76116999999999"/>
    <n v="0"/>
    <n v="0"/>
    <n v="-10441.093771967378"/>
    <n v="0"/>
    <n v="0"/>
    <n v="0"/>
    <n v="0"/>
    <n v="0"/>
    <n v="0"/>
    <n v="0"/>
    <n v="0"/>
    <n v="0"/>
    <n v="0"/>
    <n v="0"/>
    <n v="0"/>
    <n v="248.0010111337482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13"/>
    <s v="Sistema de Compensação"/>
    <s v="Verde"/>
    <s v="A4"/>
    <s v="Comercial"/>
    <s v="Não se aplica"/>
    <s v="Não se aplica"/>
    <s v="Não se aplica"/>
    <s v="Ponta"/>
    <s v="CATIVO"/>
    <x v="9"/>
    <n v="0"/>
    <n v="0"/>
    <n v="8.6630000000000003"/>
    <n v="8.6630000000000003"/>
    <n v="8.6630000000000003"/>
    <n v="8.6630000000000003"/>
    <m/>
    <n v="2810.7"/>
    <n v="159.41"/>
    <m/>
    <n v="25730.06293"/>
    <n v="25730.06293"/>
    <n v="16387.710469999998"/>
    <n v="0"/>
    <n v="467.05800465074054"/>
    <n v="0"/>
    <n v="0"/>
    <n v="0"/>
    <n v="5288.8965855088354"/>
    <n v="18234.652576139724"/>
    <n v="1336.1006988856632"/>
    <n v="44.889476323753087"/>
    <n v="0"/>
    <n v="0"/>
    <n v="0"/>
    <n v="0"/>
    <n v="82.957367503479077"/>
    <m/>
    <n v="9.30175230395374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95988157149575"/>
    <n v="0"/>
    <n v="0"/>
    <n v="0"/>
    <n v="0"/>
    <n v="0"/>
    <m/>
    <m/>
    <m/>
    <m/>
    <m/>
    <m/>
    <m/>
    <m/>
    <m/>
    <n v="1381.0605804571589"/>
    <m/>
    <m/>
    <m/>
    <m/>
    <m/>
    <m/>
    <m/>
    <m/>
    <m/>
    <m/>
    <m/>
    <m/>
    <n v="16382.035400000001"/>
    <n v="-9348.0575299999946"/>
    <m/>
    <m/>
    <m/>
    <m/>
    <n v="-9580.325069999999"/>
    <n v="237.97261"/>
    <n v="30"/>
    <n v="-28.003987767173385"/>
    <n v="0"/>
    <n v="0"/>
    <n v="0"/>
    <n v="0"/>
    <n v="0"/>
    <n v="0"/>
    <n v="0"/>
    <n v="238.909945644652"/>
    <n v="0"/>
    <n v="0"/>
    <n v="264.91268739782845"/>
    <n v="0"/>
    <n v="0"/>
    <n v="0"/>
    <n v="8.9143303810308865"/>
    <n v="0"/>
    <n v="-32.713664032836334"/>
    <m/>
    <n v="0"/>
    <n v="0"/>
    <n v="0"/>
    <n v="0"/>
    <n v="-5.0613432166497176"/>
    <n v="-0.59268520048993167"/>
    <n v="0"/>
    <n v="-502.37325874071064"/>
    <m/>
    <m/>
    <m/>
    <n v="18234.652576139724"/>
    <n v="0"/>
    <n v="0"/>
    <n v="-9580.325069999999"/>
    <n v="237.97261000000003"/>
    <n v="0"/>
    <n v="0"/>
    <n v="-9314.3028881220671"/>
    <n v="0"/>
    <n v="0"/>
    <n v="0"/>
    <n v="0"/>
    <n v="0"/>
    <n v="0"/>
    <n v="0"/>
    <n v="0"/>
    <n v="0"/>
    <n v="0"/>
    <n v="0"/>
    <n v="0"/>
    <n v="221.237025996463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14"/>
    <s v="Regular"/>
    <s v="Verde"/>
    <s v="A4"/>
    <s v="Comercial"/>
    <s v="Não se aplica"/>
    <s v="Não se aplica"/>
    <s v="Não se aplica"/>
    <s v="Fora ponta"/>
    <s v="CATIVO"/>
    <x v="9"/>
    <n v="0"/>
    <n v="0"/>
    <n v="165.41300000000001"/>
    <n v="165.41300000000001"/>
    <n v="165.41300000000001"/>
    <n v="165.41300000000001"/>
    <m/>
    <n v="95.29"/>
    <n v="159.41"/>
    <m/>
    <n v="42130.691100000004"/>
    <n v="42130.691100000004"/>
    <n v="45804.513830000004"/>
    <n v="0"/>
    <n v="8918.0960086913256"/>
    <n v="0"/>
    <n v="0"/>
    <n v="0"/>
    <n v="0"/>
    <n v="0"/>
    <n v="25511.7655436655"/>
    <n v="857.12835589760698"/>
    <n v="0"/>
    <n v="0"/>
    <n v="0"/>
    <n v="0"/>
    <n v="1584.0040437323082"/>
    <m/>
    <n v="177.60946021631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8.47268733531428"/>
    <n v="0"/>
    <n v="0"/>
    <n v="0"/>
    <n v="0"/>
    <n v="0"/>
    <m/>
    <m/>
    <m/>
    <m/>
    <m/>
    <m/>
    <m/>
    <m/>
    <m/>
    <n v="26370.238231000814"/>
    <m/>
    <m/>
    <m/>
    <m/>
    <m/>
    <m/>
    <m/>
    <m/>
    <m/>
    <m/>
    <m/>
    <m/>
    <n v="45803.683099999995"/>
    <n v="3672.9619999999923"/>
    <m/>
    <m/>
    <m/>
    <m/>
    <n v="-870.07238000000086"/>
    <n v="4543.8951100000004"/>
    <n v="30"/>
    <n v="3673.2998941747937"/>
    <n v="0"/>
    <n v="0"/>
    <n v="0"/>
    <n v="0"/>
    <n v="0"/>
    <n v="0"/>
    <n v="0"/>
    <n v="0"/>
    <n v="0"/>
    <n v="0"/>
    <n v="5058.2941660552897"/>
    <n v="0"/>
    <n v="0"/>
    <n v="0"/>
    <n v="170.21195097742839"/>
    <n v="0"/>
    <n v="-624.64103759246973"/>
    <m/>
    <n v="0"/>
    <n v="0"/>
    <n v="0"/>
    <n v="0"/>
    <n v="-96.642267747394953"/>
    <n v="-11.316846019697692"/>
    <n v="0"/>
    <n v="-822.60607149835118"/>
    <m/>
    <m/>
    <m/>
    <n v="0"/>
    <n v="0"/>
    <n v="0"/>
    <n v="-870.07238000000143"/>
    <n v="4543.8951100000013"/>
    <n v="0"/>
    <n v="0"/>
    <n v="0"/>
    <n v="0"/>
    <n v="0"/>
    <n v="0"/>
    <n v="0"/>
    <n v="0"/>
    <n v="0"/>
    <n v="0"/>
    <n v="0"/>
    <n v="0"/>
    <n v="0"/>
    <n v="0"/>
    <n v="0"/>
    <n v="4224.34262739848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15"/>
    <s v="Sistema de Compensação"/>
    <s v="Verde"/>
    <s v="A4"/>
    <s v="Comercial"/>
    <s v="Não se aplica"/>
    <s v="Não se aplica"/>
    <s v="Não se aplica"/>
    <s v="Fora ponta"/>
    <s v="CATIVO"/>
    <x v="9"/>
    <n v="0"/>
    <n v="0"/>
    <n v="81.173000000000002"/>
    <n v="81.173000000000002"/>
    <n v="81.173000000000002"/>
    <n v="81.173000000000002"/>
    <m/>
    <n v="95.29"/>
    <n v="159.41"/>
    <m/>
    <n v="20674.7631"/>
    <n v="20674.7631"/>
    <n v="22477.615429999998"/>
    <n v="0"/>
    <n v="4376.3707043188924"/>
    <n v="0"/>
    <n v="0"/>
    <n v="0"/>
    <n v="0"/>
    <n v="0"/>
    <n v="12519.369967753197"/>
    <n v="420.61796855916072"/>
    <n v="0"/>
    <n v="0"/>
    <n v="0"/>
    <n v="0"/>
    <n v="777.31714098579096"/>
    <m/>
    <n v="87.158159964081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27767133822289"/>
    <n v="0"/>
    <n v="0"/>
    <n v="0"/>
    <n v="0"/>
    <n v="0"/>
    <m/>
    <m/>
    <m/>
    <m/>
    <m/>
    <m/>
    <m/>
    <m/>
    <m/>
    <n v="12940.647639091419"/>
    <m/>
    <m/>
    <m/>
    <m/>
    <m/>
    <m/>
    <m/>
    <m/>
    <m/>
    <m/>
    <m/>
    <m/>
    <n v="22476.7847"/>
    <n v="1801.9916000000012"/>
    <m/>
    <m/>
    <m/>
    <m/>
    <n v="-426.96998000000042"/>
    <n v="2229.82231"/>
    <n v="30"/>
    <n v="1802.595759159507"/>
    <n v="0"/>
    <n v="0"/>
    <n v="0"/>
    <n v="0"/>
    <n v="0"/>
    <n v="0"/>
    <n v="0"/>
    <n v="0"/>
    <n v="0"/>
    <n v="0"/>
    <n v="2482.2529809700936"/>
    <n v="0"/>
    <n v="0"/>
    <n v="0"/>
    <n v="83.527985688493573"/>
    <n v="0"/>
    <n v="-306.52963760099601"/>
    <m/>
    <n v="0"/>
    <n v="0"/>
    <n v="0"/>
    <n v="0"/>
    <n v="-47.42518907135036"/>
    <n v="-5.5535075354229662"/>
    <n v="0"/>
    <n v="-403.67687329131121"/>
    <m/>
    <m/>
    <m/>
    <n v="0"/>
    <n v="0"/>
    <n v="0"/>
    <n v="-426.96998000000076"/>
    <n v="2229.8223099999996"/>
    <n v="0"/>
    <n v="0"/>
    <n v="0"/>
    <n v="0"/>
    <n v="0"/>
    <n v="0"/>
    <n v="0"/>
    <n v="0"/>
    <n v="0"/>
    <n v="0"/>
    <n v="0"/>
    <n v="0"/>
    <n v="0"/>
    <n v="0"/>
    <n v="0"/>
    <n v="2073.00855491295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16"/>
    <s v="Regular"/>
    <s v="Verde"/>
    <s v="A4"/>
    <s v="Comercial"/>
    <s v="Não se aplica"/>
    <s v="Não se aplica"/>
    <s v="Não se aplica"/>
    <s v="Não se aplica"/>
    <s v="CATIVO"/>
    <x v="9"/>
    <n v="1656"/>
    <n v="1656"/>
    <n v="0"/>
    <n v="0"/>
    <n v="0"/>
    <n v="0"/>
    <n v="43.29"/>
    <m/>
    <m/>
    <n v="71688.240000000005"/>
    <m/>
    <n v="71688.240000000005"/>
    <n v="55459.44"/>
    <n v="0"/>
    <n v="0"/>
    <n v="0"/>
    <n v="0"/>
    <n v="0"/>
    <n v="39187.562734373329"/>
    <n v="32505.93384483936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74.02999999999997"/>
    <n v="1356.77"/>
    <n v="44495.95"/>
    <n v="12"/>
    <m/>
    <m/>
    <m/>
    <m/>
    <m/>
    <m/>
    <m/>
    <m/>
    <m/>
    <n v="0"/>
    <m/>
    <m/>
    <m/>
    <m/>
    <m/>
    <m/>
    <m/>
    <m/>
    <m/>
    <m/>
    <m/>
    <m/>
    <n v="55459.44"/>
    <n v="-16228.829999999987"/>
    <m/>
    <m/>
    <m/>
    <m/>
    <n v="-16228.799999999996"/>
    <n v="0"/>
    <n v="30"/>
    <n v="370.38120047548"/>
    <n v="0"/>
    <n v="0"/>
    <n v="0"/>
    <n v="0"/>
    <m/>
    <m/>
    <m/>
    <n v="1770.1799102041987"/>
    <n v="0"/>
    <n v="0"/>
    <m/>
    <m/>
    <n v="0"/>
    <n v="0"/>
    <n v="0"/>
    <n v="0"/>
    <n v="0"/>
    <m/>
    <n v="0"/>
    <n v="0"/>
    <m/>
    <n v="0"/>
    <n v="0"/>
    <n v="0"/>
    <n v="0"/>
    <n v="-1399.7987097287164"/>
    <m/>
    <m/>
    <n v="32505.933844839368"/>
    <m/>
    <n v="0"/>
    <n v="0"/>
    <n v="-16228.800000000003"/>
    <m/>
    <n v="0"/>
    <m/>
    <n v="-16604.10650698510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17"/>
    <s v="Sistema de Compensação"/>
    <s v="Verde"/>
    <s v="A4"/>
    <s v="Comercial"/>
    <s v="Não se aplica"/>
    <s v="Não se aplica"/>
    <s v="Não se aplica"/>
    <s v="Não se aplica"/>
    <s v="CATIVO"/>
    <x v="9"/>
    <n v="1013"/>
    <n v="1013"/>
    <n v="0"/>
    <n v="0"/>
    <n v="0"/>
    <n v="0"/>
    <n v="43.29"/>
    <m/>
    <m/>
    <n v="43852.77"/>
    <m/>
    <n v="43852.77"/>
    <n v="33925.370000000003"/>
    <n v="0"/>
    <n v="0"/>
    <n v="0"/>
    <n v="0"/>
    <n v="0"/>
    <n v="23971.618991497697"/>
    <n v="19884.366536728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4.92"/>
    <n v="915.5"/>
    <n v="31781.98"/>
    <n v="6"/>
    <m/>
    <m/>
    <m/>
    <m/>
    <m/>
    <m/>
    <m/>
    <m/>
    <m/>
    <n v="0"/>
    <m/>
    <m/>
    <m/>
    <m/>
    <m/>
    <m/>
    <m/>
    <m/>
    <m/>
    <m/>
    <m/>
    <m/>
    <n v="33925.370000000003"/>
    <n v="-9927.43"/>
    <m/>
    <m/>
    <m/>
    <m/>
    <n v="-9927.3999999999978"/>
    <n v="0"/>
    <n v="30"/>
    <n v="226.56772710245059"/>
    <n v="0"/>
    <n v="0"/>
    <n v="0"/>
    <n v="0"/>
    <m/>
    <m/>
    <m/>
    <n v="1082.8455610125893"/>
    <n v="0"/>
    <n v="0"/>
    <m/>
    <m/>
    <n v="0"/>
    <n v="0"/>
    <n v="0"/>
    <n v="0"/>
    <n v="0"/>
    <m/>
    <n v="0"/>
    <n v="0"/>
    <m/>
    <n v="0"/>
    <n v="0"/>
    <n v="0"/>
    <n v="0"/>
    <n v="-856.27783391013872"/>
    <m/>
    <m/>
    <n v="19884.36653672843"/>
    <m/>
    <n v="0"/>
    <n v="0"/>
    <n v="-9927.3999999999942"/>
    <m/>
    <n v="0"/>
    <m/>
    <n v="-10156.98061085501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18"/>
    <s v="Regular"/>
    <s v="Convencional"/>
    <s v="B2"/>
    <s v="Rural"/>
    <s v="Não se aplica"/>
    <s v="Não se aplica"/>
    <s v="Não se aplica"/>
    <s v="Não se aplica"/>
    <s v="CATIVO"/>
    <x v="9"/>
    <n v="0"/>
    <n v="0"/>
    <n v="4028.9430000000002"/>
    <n v="4028.9430000000002"/>
    <n v="4028.9430000000002"/>
    <n v="4028.9430000000002"/>
    <m/>
    <n v="648.44000000000005"/>
    <n v="159.41"/>
    <m/>
    <n v="3254781.6025500004"/>
    <n v="3254781.6025500004"/>
    <n v="2464987.9062600001"/>
    <n v="0"/>
    <n v="249674.6074840111"/>
    <n v="0"/>
    <n v="0"/>
    <n v="0"/>
    <n v="469953.7444755155"/>
    <n v="1682268.9967596584"/>
    <n v="621386.76648626348"/>
    <n v="20876.964262755482"/>
    <n v="0"/>
    <n v="0"/>
    <n v="0"/>
    <n v="0"/>
    <n v="38581.381172985057"/>
    <m/>
    <n v="8360.44205503580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421.38839492447"/>
    <n v="0"/>
    <n v="5396.67"/>
    <n v="27027.279999999999"/>
    <n v="189569.2"/>
    <n v="13188"/>
    <m/>
    <m/>
    <m/>
    <m/>
    <m/>
    <n v="295804.9950600001"/>
    <m/>
    <m/>
    <m/>
    <n v="666808.15488118795"/>
    <m/>
    <m/>
    <m/>
    <m/>
    <m/>
    <m/>
    <m/>
    <m/>
    <m/>
    <m/>
    <m/>
    <m/>
    <n v="2169181.2960000001"/>
    <n v="-695034.60212999955"/>
    <m/>
    <m/>
    <m/>
    <m/>
    <n v="-900468.76050000032"/>
    <n v="110675.06421"/>
    <n v="30"/>
    <n v="69515.455106060952"/>
    <n v="0"/>
    <n v="0"/>
    <n v="0"/>
    <n v="0"/>
    <n v="0"/>
    <n v="0"/>
    <n v="0"/>
    <n v="21228.742466959287"/>
    <n v="0"/>
    <n v="0"/>
    <n v="123204.21534141398"/>
    <n v="0"/>
    <n v="0"/>
    <n v="0"/>
    <n v="9005.8347211969594"/>
    <n v="0"/>
    <n v="-17487.702052917186"/>
    <m/>
    <n v="0"/>
    <n v="0"/>
    <n v="0"/>
    <n v="0"/>
    <n v="-2353.9031886550219"/>
    <n v="-532.70718394290998"/>
    <n v="0"/>
    <n v="-63549.024997994333"/>
    <m/>
    <m/>
    <m/>
    <n v="1682268.9967596584"/>
    <n v="0"/>
    <n v="0"/>
    <n v="-900468.76050000032"/>
    <n v="110675.0642100001"/>
    <n v="0"/>
    <n v="0"/>
    <n v="-859306.91082209512"/>
    <n v="0"/>
    <n v="0"/>
    <n v="0"/>
    <n v="0"/>
    <n v="0"/>
    <n v="0"/>
    <n v="0"/>
    <n v="0"/>
    <n v="0"/>
    <n v="0"/>
    <n v="0"/>
    <n v="0"/>
    <n v="118266.397485046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19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0.24299999999999999"/>
    <n v="-0.24299999999999999"/>
    <n v="-0.24299999999999999"/>
    <n v="-0.24299999999999999"/>
    <m/>
    <n v="648.44000000000005"/>
    <n v="159.41"/>
    <m/>
    <n v="-196.30754999999999"/>
    <n v="-196.30754999999999"/>
    <n v="-148.67225999999999"/>
    <n v="0"/>
    <n v="-15.058770903091629"/>
    <n v="0"/>
    <n v="0"/>
    <n v="0"/>
    <n v="-28.344595569495588"/>
    <n v="-101.46367576125971"/>
    <n v="-37.478064161285481"/>
    <n v="-1.2591645788609025"/>
    <n v="0"/>
    <n v="0"/>
    <n v="0"/>
    <n v="0"/>
    <n v="-2.3269814502303379"/>
    <m/>
    <n v="-0.504248240636241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7395268138483577"/>
    <n v="0"/>
    <n v="-0.27"/>
    <n v="-1.1499999999999999"/>
    <n v="0"/>
    <n v="0"/>
    <m/>
    <m/>
    <m/>
    <m/>
    <m/>
    <n v="-17.841060000000002"/>
    <m/>
    <m/>
    <m/>
    <n v="-40.217590975133838"/>
    <m/>
    <m/>
    <m/>
    <m/>
    <m/>
    <m/>
    <m/>
    <m/>
    <m/>
    <m/>
    <m/>
    <m/>
    <n v="-129.21599999999998"/>
    <n v="43.505130000000037"/>
    <m/>
    <m/>
    <m/>
    <m/>
    <n v="54.310500000000012"/>
    <n v="-6.6752099999999999"/>
    <n v="30"/>
    <n v="-4.1927263778049877"/>
    <n v="0"/>
    <n v="0"/>
    <n v="0"/>
    <n v="0"/>
    <n v="0"/>
    <n v="0"/>
    <n v="0"/>
    <n v="-1.2803815838226313"/>
    <n v="0"/>
    <n v="0"/>
    <n v="-7.4308880338996062"/>
    <n v="0"/>
    <n v="0"/>
    <n v="0"/>
    <n v="-0.54317418669136375"/>
    <n v="0"/>
    <n v="1.05474602119188"/>
    <m/>
    <n v="0"/>
    <n v="0"/>
    <n v="0"/>
    <n v="0"/>
    <n v="0.14197234233474365"/>
    <n v="3.212948053574527E-2"/>
    <n v="0"/>
    <n v="3.8328695825462464"/>
    <m/>
    <m/>
    <m/>
    <n v="-101.46367576125971"/>
    <n v="0"/>
    <n v="0"/>
    <n v="54.310500000000005"/>
    <n v="-6.6752099999999999"/>
    <n v="0"/>
    <n v="0"/>
    <n v="51.827881240754479"/>
    <n v="0"/>
    <n v="0"/>
    <n v="0"/>
    <n v="0"/>
    <n v="0"/>
    <n v="0"/>
    <n v="0"/>
    <n v="0"/>
    <n v="0"/>
    <n v="0"/>
    <n v="0"/>
    <n v="0"/>
    <n v="-7.133070532113818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20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116.14400000000001"/>
    <n v="116.14400000000001"/>
    <n v="116.14400000000001"/>
    <n v="116.14400000000001"/>
    <m/>
    <n v="648.44000000000005"/>
    <n v="159.41"/>
    <m/>
    <n v="93826.930400000012"/>
    <n v="93826.930400000012"/>
    <n v="71059.222080000007"/>
    <n v="0"/>
    <n v="7197.4727891714992"/>
    <n v="0"/>
    <n v="0"/>
    <n v="0"/>
    <n v="13547.550237956772"/>
    <n v="48495.461553974274"/>
    <n v="17912.972361927332"/>
    <n v="601.82885122313041"/>
    <n v="0"/>
    <n v="0"/>
    <n v="0"/>
    <n v="0"/>
    <n v="1112.201372656594"/>
    <m/>
    <n v="241.00990806771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9.3810792905501"/>
    <n v="0"/>
    <n v="159.29"/>
    <n v="800.4"/>
    <n v="6123.1"/>
    <n v="482"/>
    <m/>
    <m/>
    <m/>
    <m/>
    <m/>
    <n v="8527.2924800000019"/>
    <m/>
    <m/>
    <m/>
    <n v="19222.353441217881"/>
    <m/>
    <m/>
    <m/>
    <m/>
    <m/>
    <m/>
    <m/>
    <m/>
    <m/>
    <m/>
    <m/>
    <m/>
    <n v="62529.775999999998"/>
    <n v="-20038.185039999982"/>
    <m/>
    <m/>
    <m/>
    <m/>
    <n v="-25958.184000000008"/>
    <n v="3190.47568"/>
    <n v="30"/>
    <n v="2003.9506684106309"/>
    <n v="0"/>
    <n v="0"/>
    <n v="0"/>
    <n v="0"/>
    <n v="0"/>
    <n v="0"/>
    <n v="0"/>
    <n v="611.96970646706177"/>
    <n v="0"/>
    <n v="0"/>
    <n v="3551.658682342535"/>
    <n v="0"/>
    <n v="0"/>
    <n v="0"/>
    <n v="259.61490839128282"/>
    <n v="0"/>
    <n v="-504.12519294366211"/>
    <m/>
    <n v="0"/>
    <n v="0"/>
    <n v="0"/>
    <n v="0"/>
    <n v="-67.856937152783757"/>
    <n v="-15.35656949524116"/>
    <n v="0"/>
    <n v="-1831.953929198565"/>
    <m/>
    <m/>
    <m/>
    <n v="48495.461553974274"/>
    <n v="0"/>
    <n v="0"/>
    <n v="-25958.184000000008"/>
    <n v="3190.4756799999996"/>
    <n v="0"/>
    <n v="0"/>
    <n v="-24771.594398461682"/>
    <n v="0"/>
    <n v="0"/>
    <n v="0"/>
    <n v="0"/>
    <n v="0"/>
    <n v="0"/>
    <n v="0"/>
    <n v="0"/>
    <n v="0"/>
    <n v="0"/>
    <n v="0"/>
    <n v="0"/>
    <n v="3409.314172353199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2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-0.46600000000000003"/>
    <n v="-0.46600000000000003"/>
    <n v="-0.46600000000000003"/>
    <n v="-0.46600000000000003"/>
    <m/>
    <n v="648.44000000000005"/>
    <n v="159.41"/>
    <m/>
    <n v="-376.4581"/>
    <n v="-376.4581"/>
    <n v="-285.10811999999999"/>
    <n v="0"/>
    <n v="-28.878136793583124"/>
    <n v="0"/>
    <n v="0"/>
    <n v="0"/>
    <n v="-54.356302614752856"/>
    <n v="-194.5764317067779"/>
    <n v="-71.871513988308791"/>
    <n v="-2.4146942129595912"/>
    <n v="0"/>
    <n v="0"/>
    <n v="0"/>
    <n v="0"/>
    <n v="-4.4624417934458327"/>
    <m/>
    <n v="-0.96699456846291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.2535781697668105"/>
    <n v="0"/>
    <n v="-0.51"/>
    <n v="-2.21"/>
    <n v="-3.2"/>
    <n v="2"/>
    <m/>
    <m/>
    <m/>
    <m/>
    <m/>
    <n v="-34.213720000000009"/>
    <m/>
    <m/>
    <m/>
    <n v="-77.125092158075603"/>
    <m/>
    <m/>
    <m/>
    <m/>
    <m/>
    <m/>
    <m/>
    <m/>
    <m/>
    <m/>
    <m/>
    <m/>
    <n v="-253.04799999999997"/>
    <n v="78.206060000000065"/>
    <m/>
    <m/>
    <m/>
    <m/>
    <n v="104.15100000000004"/>
    <n v="-12.801019999999999"/>
    <n v="30"/>
    <n v="-8.0403723952967994"/>
    <n v="0"/>
    <n v="0"/>
    <n v="0"/>
    <n v="0"/>
    <n v="0"/>
    <n v="0"/>
    <n v="0"/>
    <n v="-2.455381967330645"/>
    <n v="0"/>
    <n v="0"/>
    <n v="-14.250180344844509"/>
    <n v="0"/>
    <n v="0"/>
    <n v="0"/>
    <n v="-1.0416426790048368"/>
    <n v="0"/>
    <n v="2.0226816702692005"/>
    <m/>
    <n v="0"/>
    <n v="0"/>
    <n v="0"/>
    <n v="0"/>
    <n v="0.27225971822218309"/>
    <n v="6.1614559381305778E-2"/>
    <n v="0"/>
    <n v="7.3502766480104977"/>
    <m/>
    <m/>
    <m/>
    <n v="-194.5764317067779"/>
    <n v="0"/>
    <n v="0"/>
    <n v="104.15100000000001"/>
    <n v="-12.801020000000008"/>
    <n v="0"/>
    <n v="0"/>
    <n v="99.39009324358679"/>
    <n v="0"/>
    <n v="0"/>
    <n v="0"/>
    <n v="0"/>
    <n v="0"/>
    <n v="0"/>
    <n v="0"/>
    <n v="0"/>
    <n v="0"/>
    <n v="0"/>
    <n v="0"/>
    <n v="0"/>
    <n v="-13.67905706981497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22"/>
    <s v="Regular"/>
    <s v="Verde"/>
    <s v="A4"/>
    <s v="Rural"/>
    <s v="Não se aplica"/>
    <s v="Não se aplica"/>
    <s v="Não se aplica"/>
    <s v="Ponta"/>
    <s v="CATIVO"/>
    <x v="9"/>
    <n v="0"/>
    <n v="0"/>
    <n v="31.984999999999999"/>
    <n v="30.7056"/>
    <n v="31.984999999999999"/>
    <n v="30.7056"/>
    <m/>
    <n v="2810.7"/>
    <n v="159.41"/>
    <m/>
    <n v="94998.968349999996"/>
    <n v="94998.968349999996"/>
    <n v="60505.70465"/>
    <n v="0"/>
    <n v="1724.4430657686639"/>
    <n v="0"/>
    <n v="0"/>
    <n v="0"/>
    <n v="19527.341254473056"/>
    <n v="67324.871597348392"/>
    <n v="4933.0694740687914"/>
    <n v="165.73818541097106"/>
    <n v="0"/>
    <n v="0"/>
    <n v="0"/>
    <n v="0"/>
    <n v="306.29013039348706"/>
    <m/>
    <n v="34.3433622811913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.99813137069046"/>
    <n v="0"/>
    <n v="0"/>
    <n v="0"/>
    <n v="0"/>
    <n v="0"/>
    <m/>
    <m/>
    <m/>
    <m/>
    <m/>
    <n v="2420.228185999998"/>
    <m/>
    <m/>
    <m/>
    <n v="5099.0676054394817"/>
    <m/>
    <m/>
    <m/>
    <m/>
    <m/>
    <m/>
    <m/>
    <m/>
    <m/>
    <m/>
    <m/>
    <m/>
    <n v="58093.799899999998"/>
    <n v="-33105.239715999982"/>
    <m/>
    <m/>
    <m/>
    <m/>
    <n v="-35371.891649999998"/>
    <n v="878.62794999999994"/>
    <n v="30"/>
    <n v="-103.39461488319284"/>
    <n v="0"/>
    <n v="0"/>
    <n v="0"/>
    <n v="0"/>
    <n v="0"/>
    <n v="0"/>
    <n v="0"/>
    <n v="882.08872347272336"/>
    <n v="0"/>
    <n v="0"/>
    <n v="978.09445993530335"/>
    <n v="0"/>
    <n v="0"/>
    <n v="0"/>
    <n v="32.912946697134146"/>
    <n v="0"/>
    <n v="-120.78339421566079"/>
    <m/>
    <n v="0"/>
    <n v="0"/>
    <n v="0"/>
    <n v="0"/>
    <n v="-18.687182590850966"/>
    <n v="-2.1882761327104276"/>
    <n v="0"/>
    <n v="-1854.831892049132"/>
    <m/>
    <m/>
    <m/>
    <n v="67324.871597348392"/>
    <n v="0"/>
    <n v="0"/>
    <n v="-35371.891649999998"/>
    <n v="878.62795000000006"/>
    <n v="0"/>
    <n v="0"/>
    <n v="-34389.70078224453"/>
    <n v="0"/>
    <n v="0"/>
    <n v="0"/>
    <n v="0"/>
    <n v="0"/>
    <n v="0"/>
    <n v="0"/>
    <n v="0"/>
    <n v="0"/>
    <n v="0"/>
    <n v="0"/>
    <n v="0"/>
    <n v="816.8378479160680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23"/>
    <s v="Sistema de Compensação"/>
    <s v="Verde"/>
    <s v="A4"/>
    <s v="Rural"/>
    <s v="Não se aplica"/>
    <s v="Não se aplica"/>
    <s v="Não se aplica"/>
    <s v="Ponta"/>
    <s v="CATIVO"/>
    <x v="9"/>
    <n v="0"/>
    <n v="0"/>
    <n v="2.2549999999999999"/>
    <n v="2.1648000000000001"/>
    <n v="2.2549999999999999"/>
    <n v="2.1648000000000001"/>
    <m/>
    <n v="2810.7"/>
    <n v="159.41"/>
    <m/>
    <n v="6697.5980499999987"/>
    <n v="6697.5980499999987"/>
    <n v="4265.7609499999999"/>
    <n v="0"/>
    <n v="121.57633619847857"/>
    <n v="0"/>
    <n v="0"/>
    <n v="0"/>
    <n v="1376.7126630869702"/>
    <n v="4746.5244787250467"/>
    <n v="347.79026618806074"/>
    <n v="11.684840021939651"/>
    <n v="0"/>
    <n v="0"/>
    <n v="0"/>
    <n v="0"/>
    <n v="21.594004815923505"/>
    <m/>
    <n v="2.42126878049355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703166679409318"/>
    <n v="0"/>
    <n v="0"/>
    <n v="0"/>
    <n v="0"/>
    <n v="0"/>
    <m/>
    <m/>
    <m/>
    <m/>
    <m/>
    <n v="170.63043799999969"/>
    <m/>
    <m/>
    <m/>
    <n v="359.49343286747006"/>
    <m/>
    <m/>
    <m/>
    <m/>
    <m/>
    <m/>
    <m/>
    <m/>
    <m/>
    <m/>
    <m/>
    <m/>
    <n v="4086.0504000000001"/>
    <n v="-2343.6737280000007"/>
    <m/>
    <m/>
    <m/>
    <m/>
    <n v="-2493.7819499999996"/>
    <n v="61.944849999999995"/>
    <n v="30"/>
    <n v="-7.2895062235925252"/>
    <n v="0"/>
    <n v="0"/>
    <n v="0"/>
    <n v="0"/>
    <n v="0"/>
    <n v="0"/>
    <n v="0"/>
    <n v="62.18884075132064"/>
    <n v="0"/>
    <n v="0"/>
    <n v="68.957417763142473"/>
    <n v="0"/>
    <n v="0"/>
    <n v="0"/>
    <n v="2.3204219103341384"/>
    <n v="0"/>
    <n v="-8.515446426647344"/>
    <m/>
    <n v="0"/>
    <n v="0"/>
    <n v="0"/>
    <n v="0"/>
    <n v="-1.3174799669335258"/>
    <n v="-0.1542774012587782"/>
    <n v="0"/>
    <n v="-130.76898285354986"/>
    <m/>
    <m/>
    <m/>
    <n v="4746.5244787250467"/>
    <n v="0"/>
    <n v="0"/>
    <n v="-2493.7819499999991"/>
    <n v="61.944849999999974"/>
    <n v="0"/>
    <n v="0"/>
    <n v="-2424.535728121351"/>
    <n v="0"/>
    <n v="0"/>
    <n v="0"/>
    <n v="0"/>
    <n v="0"/>
    <n v="0"/>
    <n v="0"/>
    <n v="0"/>
    <n v="0"/>
    <n v="0"/>
    <n v="0"/>
    <n v="0"/>
    <n v="57.58853672192382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24"/>
    <s v="Regular"/>
    <s v="Verde"/>
    <s v="A4"/>
    <s v="Rural"/>
    <s v="Não se aplica"/>
    <s v="Não se aplica"/>
    <s v="Não se aplica"/>
    <s v="Fora ponta"/>
    <s v="CATIVO"/>
    <x v="9"/>
    <n v="0"/>
    <n v="0"/>
    <n v="771.48900000000003"/>
    <n v="740.62944000000005"/>
    <n v="771.48900000000003"/>
    <n v="740.62944000000005"/>
    <m/>
    <n v="95.29"/>
    <n v="159.41"/>
    <m/>
    <n v="196498.24830000004"/>
    <n v="196498.24830000004"/>
    <n v="213633.01899000001"/>
    <n v="0"/>
    <n v="41594.149018815093"/>
    <n v="0"/>
    <n v="0"/>
    <n v="0"/>
    <n v="0"/>
    <n v="0"/>
    <n v="118987.30140627974"/>
    <n v="3997.6609949827939"/>
    <n v="0"/>
    <n v="0"/>
    <n v="0"/>
    <n v="0"/>
    <n v="7387.8213664886962"/>
    <m/>
    <n v="828.37349454287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03.9309793041311"/>
    <n v="0"/>
    <n v="0"/>
    <n v="0"/>
    <n v="0"/>
    <n v="0"/>
    <m/>
    <m/>
    <m/>
    <m/>
    <m/>
    <n v="8545.3207595999957"/>
    <m/>
    <m/>
    <m/>
    <n v="122991.23238558388"/>
    <m/>
    <m/>
    <m/>
    <m/>
    <m/>
    <m/>
    <m/>
    <m/>
    <m/>
    <m/>
    <m/>
    <m/>
    <n v="205087.85330000002"/>
    <n v="16449.504932000011"/>
    <m/>
    <m/>
    <m/>
    <m/>
    <n v="-4058.0321400000039"/>
    <n v="21192.802830000001"/>
    <n v="30"/>
    <n v="17132.332174962241"/>
    <n v="0"/>
    <n v="0"/>
    <n v="0"/>
    <n v="0"/>
    <n v="0"/>
    <n v="0"/>
    <n v="0"/>
    <n v="0"/>
    <n v="0"/>
    <n v="0"/>
    <n v="23591.968635329933"/>
    <n v="0"/>
    <n v="0"/>
    <n v="0"/>
    <n v="793.87138766375847"/>
    <n v="0"/>
    <n v="-2913.3362519945586"/>
    <m/>
    <n v="0"/>
    <n v="0"/>
    <n v="0"/>
    <n v="0"/>
    <n v="-450.74115397320566"/>
    <n v="-52.781959210524747"/>
    <n v="0"/>
    <n v="-3836.6484828531702"/>
    <m/>
    <m/>
    <m/>
    <n v="0"/>
    <n v="0"/>
    <n v="0"/>
    <n v="-4058.0321400000103"/>
    <n v="21192.802829999986"/>
    <n v="0"/>
    <n v="0"/>
    <n v="0"/>
    <n v="0"/>
    <n v="0"/>
    <n v="0"/>
    <n v="0"/>
    <n v="0"/>
    <n v="0"/>
    <n v="0"/>
    <n v="0"/>
    <n v="0"/>
    <n v="0"/>
    <n v="0"/>
    <n v="0"/>
    <n v="19702.40470379613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25"/>
    <s v="Sistema de Compensação"/>
    <s v="Verde"/>
    <s v="A4"/>
    <s v="Rural"/>
    <s v="Não se aplica"/>
    <s v="Não se aplica"/>
    <s v="Não se aplica"/>
    <s v="Fora ponta"/>
    <s v="CATIVO"/>
    <x v="9"/>
    <n v="0"/>
    <n v="0"/>
    <n v="47.116999999999997"/>
    <n v="45.232320000000001"/>
    <n v="47.116999999999997"/>
    <n v="45.232320000000001"/>
    <m/>
    <n v="95.29"/>
    <n v="159.41"/>
    <m/>
    <n v="12000.6999"/>
    <n v="12000.6999"/>
    <n v="13047.168470000001"/>
    <n v="0"/>
    <n v="2540.2715000726007"/>
    <n v="0"/>
    <n v="0"/>
    <n v="0"/>
    <n v="0"/>
    <n v="0"/>
    <n v="7266.8886793715556"/>
    <n v="244.14838461806232"/>
    <n v="0"/>
    <n v="0"/>
    <n v="0"/>
    <n v="0"/>
    <n v="451.19499996091696"/>
    <m/>
    <n v="50.5910958450177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.53131017016798"/>
    <n v="0"/>
    <n v="0"/>
    <n v="0"/>
    <n v="0"/>
    <n v="0"/>
    <m/>
    <m/>
    <m/>
    <m/>
    <m/>
    <n v="521.88673879999885"/>
    <m/>
    <m/>
    <m/>
    <n v="7511.4199895417232"/>
    <m/>
    <m/>
    <m/>
    <m/>
    <m/>
    <m/>
    <m/>
    <m/>
    <m/>
    <m/>
    <m/>
    <m/>
    <n v="12524.639299999999"/>
    <n v="1003.9373959999975"/>
    <m/>
    <m/>
    <m/>
    <m/>
    <n v="-247.83542000000023"/>
    <n v="1294.3039899999999"/>
    <n v="30"/>
    <n v="1046.3196430379357"/>
    <n v="0"/>
    <n v="0"/>
    <n v="0"/>
    <n v="0"/>
    <n v="0"/>
    <n v="0"/>
    <n v="0"/>
    <n v="0"/>
    <n v="0"/>
    <n v="0"/>
    <n v="1440.8277839228303"/>
    <n v="0"/>
    <n v="0"/>
    <n v="0"/>
    <n v="48.483955276813134"/>
    <n v="0"/>
    <n v="-177.92562717709234"/>
    <m/>
    <n v="0"/>
    <n v="0"/>
    <n v="0"/>
    <n v="0"/>
    <n v="-27.528028204881139"/>
    <n v="-3.2235424900708907"/>
    <n v="0"/>
    <n v="-234.3148982896617"/>
    <m/>
    <m/>
    <m/>
    <n v="0"/>
    <n v="0"/>
    <n v="0"/>
    <n v="-247.83542000000034"/>
    <n v="1294.3039900000003"/>
    <n v="0"/>
    <n v="0"/>
    <n v="0"/>
    <n v="0"/>
    <n v="0"/>
    <n v="0"/>
    <n v="0"/>
    <n v="0"/>
    <n v="0"/>
    <n v="0"/>
    <n v="0"/>
    <n v="0"/>
    <n v="0"/>
    <n v="0"/>
    <n v="0"/>
    <n v="1203.281190566246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26"/>
    <s v="Regular"/>
    <s v="Verde"/>
    <s v="A4"/>
    <s v="Rural"/>
    <s v="Não se aplica"/>
    <s v="Não se aplica"/>
    <s v="Não se aplica"/>
    <s v="Não se aplica"/>
    <s v="CATIVO"/>
    <x v="9"/>
    <n v="3703"/>
    <n v="3554.88"/>
    <n v="0"/>
    <n v="0"/>
    <n v="0"/>
    <n v="0"/>
    <n v="43.29"/>
    <m/>
    <m/>
    <n v="160302.87"/>
    <m/>
    <n v="160302.87"/>
    <n v="124013.47"/>
    <n v="0"/>
    <n v="0"/>
    <n v="0"/>
    <n v="0"/>
    <n v="0"/>
    <n v="87627.744447695921"/>
    <n v="72686.8798474880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89.01"/>
    <n v="4401.13"/>
    <n v="150.84"/>
    <n v="22"/>
    <m/>
    <m/>
    <m/>
    <m/>
    <m/>
    <n v="4960.5387999999966"/>
    <m/>
    <m/>
    <m/>
    <n v="0"/>
    <m/>
    <m/>
    <m/>
    <m/>
    <m/>
    <m/>
    <m/>
    <m/>
    <m/>
    <m/>
    <m/>
    <m/>
    <n v="119052.93120000001"/>
    <n v="-34837.854000000036"/>
    <m/>
    <m/>
    <m/>
    <m/>
    <n v="-36289.399999999987"/>
    <n v="0"/>
    <n v="30"/>
    <n v="828.21351772989146"/>
    <n v="0"/>
    <n v="0"/>
    <n v="0"/>
    <n v="0"/>
    <m/>
    <m/>
    <m/>
    <n v="3958.3189658732736"/>
    <n v="0"/>
    <n v="0"/>
    <m/>
    <m/>
    <n v="0"/>
    <n v="0"/>
    <n v="0"/>
    <n v="0"/>
    <n v="0"/>
    <m/>
    <n v="0"/>
    <n v="0"/>
    <m/>
    <n v="0"/>
    <n v="0"/>
    <n v="0"/>
    <n v="0"/>
    <n v="-3130.1054481433798"/>
    <m/>
    <m/>
    <n v="72686.879847488031"/>
    <m/>
    <n v="0"/>
    <n v="0"/>
    <n v="-36289.399999999994"/>
    <m/>
    <n v="0"/>
    <m/>
    <n v="-37128.62705034168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27"/>
    <s v="Sistema de Compensação"/>
    <s v="Verde"/>
    <s v="A4"/>
    <s v="Rural"/>
    <s v="Não se aplica"/>
    <s v="Não se aplica"/>
    <s v="Não se aplica"/>
    <s v="Não se aplica"/>
    <s v="CATIVO"/>
    <x v="9"/>
    <n v="489"/>
    <n v="469.44"/>
    <n v="0"/>
    <n v="0"/>
    <n v="0"/>
    <n v="0"/>
    <n v="43.29"/>
    <m/>
    <m/>
    <n v="21168.81"/>
    <m/>
    <n v="21168.81"/>
    <n v="16376.61"/>
    <n v="0"/>
    <n v="0"/>
    <n v="0"/>
    <n v="0"/>
    <n v="0"/>
    <n v="11571.689720476183"/>
    <n v="9598.67249403771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3.64"/>
    <n v="364.62"/>
    <n v="17.27"/>
    <n v="3"/>
    <m/>
    <m/>
    <m/>
    <m/>
    <m/>
    <n v="655.06440000000009"/>
    <m/>
    <m/>
    <m/>
    <n v="0"/>
    <m/>
    <m/>
    <m/>
    <m/>
    <m/>
    <m/>
    <m/>
    <m/>
    <m/>
    <m/>
    <m/>
    <m/>
    <n v="15721.545600000001"/>
    <n v="-4600.541999999994"/>
    <m/>
    <m/>
    <m/>
    <m/>
    <n v="-4792.1999999999989"/>
    <n v="0"/>
    <n v="30"/>
    <n v="109.36981100996854"/>
    <n v="0"/>
    <n v="0"/>
    <n v="0"/>
    <n v="0"/>
    <m/>
    <m/>
    <m/>
    <n v="522.71616913638354"/>
    <n v="0"/>
    <n v="0"/>
    <m/>
    <m/>
    <n v="0"/>
    <n v="0"/>
    <n v="0"/>
    <n v="0"/>
    <n v="0"/>
    <m/>
    <n v="0"/>
    <n v="0"/>
    <m/>
    <n v="0"/>
    <n v="0"/>
    <n v="0"/>
    <n v="0"/>
    <n v="-413.34635812641449"/>
    <m/>
    <m/>
    <n v="9598.6724940377117"/>
    <m/>
    <n v="0"/>
    <n v="0"/>
    <n v="-4792.2000000000007"/>
    <m/>
    <n v="0"/>
    <m/>
    <n v="-4903.02420405538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28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301.18599999999998"/>
    <n v="301.18599999999998"/>
    <n v="301.18599999999998"/>
    <n v="301.18599999999998"/>
    <m/>
    <n v="648.44000000000005"/>
    <n v="159.41"/>
    <m/>
    <n v="243313.11009999999"/>
    <n v="243313.11009999999"/>
    <n v="184271.61851999999"/>
    <n v="0"/>
    <n v="18664.571906249199"/>
    <n v="0"/>
    <n v="0"/>
    <n v="0"/>
    <n v="35131.668153062128"/>
    <n v="125759.00678119657"/>
    <n v="46452.132643954443"/>
    <n v="1560.6697236576124"/>
    <n v="0"/>
    <n v="0"/>
    <n v="0"/>
    <n v="0"/>
    <n v="2884.1738068686191"/>
    <m/>
    <n v="624.98975557311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95.5025636038331"/>
    <n v="0"/>
    <n v="455.14"/>
    <n v="2262.16"/>
    <n v="69775.679999999993"/>
    <n v="360"/>
    <m/>
    <m/>
    <m/>
    <m/>
    <m/>
    <m/>
    <m/>
    <m/>
    <m/>
    <n v="49847.635207558276"/>
    <m/>
    <m/>
    <m/>
    <m/>
    <m/>
    <m/>
    <m/>
    <m/>
    <m/>
    <m/>
    <m/>
    <m/>
    <n v="184274.06579999998"/>
    <n v="-59039.074300000037"/>
    <m/>
    <m/>
    <m/>
    <m/>
    <n v="-67315.071000000011"/>
    <n v="8273.5794199999982"/>
    <n v="30"/>
    <n v="5196.6686700640857"/>
    <n v="0"/>
    <n v="0"/>
    <n v="0"/>
    <n v="0"/>
    <n v="0"/>
    <n v="0"/>
    <n v="0"/>
    <n v="1586.9671098979597"/>
    <n v="0"/>
    <n v="0"/>
    <n v="9210.2034706917111"/>
    <n v="0"/>
    <n v="0"/>
    <n v="0"/>
    <n v="673.23646334495879"/>
    <n v="0"/>
    <n v="-1307.3034367847649"/>
    <m/>
    <n v="0"/>
    <n v="0"/>
    <n v="0"/>
    <n v="0"/>
    <n v="-175.96741521988497"/>
    <n v="-39.822838372999854"/>
    <n v="0"/>
    <n v="-4750.6446834928956"/>
    <m/>
    <m/>
    <m/>
    <n v="125759.00678119657"/>
    <n v="0"/>
    <n v="0"/>
    <n v="-67315.070999999996"/>
    <n v="8273.5794199999946"/>
    <n v="0"/>
    <n v="0"/>
    <n v="-64237.992754641484"/>
    <n v="0"/>
    <n v="0"/>
    <n v="0"/>
    <n v="0"/>
    <n v="0"/>
    <n v="0"/>
    <n v="0"/>
    <n v="0"/>
    <n v="0"/>
    <n v="0"/>
    <n v="0"/>
    <n v="0"/>
    <n v="8841.07399705857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29"/>
    <s v="Refaturamento - Regular"/>
    <s v="Convencional"/>
    <s v="B3"/>
    <s v="Poder público"/>
    <s v="Não se aplica"/>
    <s v="Não se aplica"/>
    <s v="Não se aplica"/>
    <s v="Não se aplica"/>
    <s v="CATIVO"/>
    <x v="9"/>
    <n v="0"/>
    <n v="0"/>
    <n v="-0.13100000000000001"/>
    <n v="-0.13100000000000001"/>
    <n v="-0.13100000000000001"/>
    <n v="-0.13100000000000001"/>
    <m/>
    <n v="648.44000000000005"/>
    <n v="159.41"/>
    <m/>
    <n v="-105.82835000000001"/>
    <n v="-105.82835000000001"/>
    <n v="-80.148420000000002"/>
    <n v="0"/>
    <n v="-8.1181028325308784"/>
    <n v="0"/>
    <n v="0"/>
    <n v="0"/>
    <n v="-15.280419833760996"/>
    <n v="-54.69852479310709"/>
    <n v="-20.204223889417278"/>
    <n v="-0.67880888819250307"/>
    <n v="0"/>
    <n v="0"/>
    <n v="0"/>
    <n v="0"/>
    <n v="-1.2544632509472191"/>
    <m/>
    <n v="-0.27183752890266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4768642494408843"/>
    <n v="0"/>
    <n v="-0.16"/>
    <n v="-0.69"/>
    <n v="-33.200000000000003"/>
    <n v="0"/>
    <m/>
    <m/>
    <m/>
    <m/>
    <m/>
    <m/>
    <m/>
    <m/>
    <m/>
    <n v="-21.681088138858161"/>
    <m/>
    <m/>
    <m/>
    <m/>
    <m/>
    <m/>
    <m/>
    <m/>
    <m/>
    <m/>
    <m/>
    <m/>
    <n v="-79.536600000000007"/>
    <n v="26.261749999999992"/>
    <m/>
    <m/>
    <m/>
    <m/>
    <n v="29.278500000000008"/>
    <n v="-3.59857"/>
    <n v="30"/>
    <n v="-2.2602763600512432"/>
    <n v="0"/>
    <n v="0"/>
    <n v="0"/>
    <n v="0"/>
    <n v="0"/>
    <n v="0"/>
    <n v="0"/>
    <n v="-0.69024686206076069"/>
    <n v="0"/>
    <n v="0"/>
    <n v="-4.0059519853532848"/>
    <n v="0"/>
    <n v="0"/>
    <n v="0"/>
    <n v="-0.29282229817517957"/>
    <n v="0"/>
    <n v="0.56860793735035475"/>
    <m/>
    <n v="0"/>
    <n v="0"/>
    <n v="0"/>
    <n v="0"/>
    <n v="7.6536530229841082E-2"/>
    <n v="1.7320831070710418E-2"/>
    <n v="0"/>
    <n v="2.0662794868870713"/>
    <m/>
    <m/>
    <m/>
    <n v="-54.69852479310709"/>
    <n v="0"/>
    <n v="0"/>
    <n v="29.278500000000008"/>
    <n v="-3.5985700000000023"/>
    <n v="0"/>
    <n v="0"/>
    <n v="27.940133508390279"/>
    <n v="0"/>
    <n v="0"/>
    <n v="0"/>
    <n v="0"/>
    <n v="0"/>
    <n v="0"/>
    <n v="0"/>
    <n v="0"/>
    <n v="0"/>
    <n v="0"/>
    <n v="0"/>
    <n v="0"/>
    <n v="-3.845400163402923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30"/>
    <s v="Regular"/>
    <s v="Azul"/>
    <s v="A4"/>
    <s v="Poder público"/>
    <s v="Não se aplica"/>
    <s v="Não se aplica"/>
    <s v="Não se aplica"/>
    <s v="Ponta"/>
    <s v="CATIVO"/>
    <x v="9"/>
    <n v="200"/>
    <n v="200"/>
    <n v="5.1959999999999997"/>
    <n v="5.1959999999999997"/>
    <n v="5.1959999999999997"/>
    <n v="5.1959999999999997"/>
    <n v="112.91"/>
    <n v="95.29"/>
    <n v="159.41"/>
    <n v="22582"/>
    <n v="1323.4212"/>
    <n v="23905.421200000001"/>
    <n v="14866.824359999999"/>
    <n v="0"/>
    <n v="280.13775737795771"/>
    <n v="0"/>
    <n v="0"/>
    <n v="0"/>
    <n v="5077.0827132346003"/>
    <n v="17504.269107723037"/>
    <n v="801.38280404131422"/>
    <n v="26.924358649223251"/>
    <n v="0"/>
    <n v="0"/>
    <n v="0"/>
    <n v="0"/>
    <n v="49.757183602456109"/>
    <m/>
    <n v="5.57911866228138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966587169051358"/>
    <n v="0"/>
    <n v="0"/>
    <n v="0"/>
    <n v="0"/>
    <n v="0"/>
    <m/>
    <m/>
    <m/>
    <m/>
    <m/>
    <m/>
    <m/>
    <m/>
    <m/>
    <n v="828.34939121036552"/>
    <m/>
    <m/>
    <m/>
    <m/>
    <m/>
    <m/>
    <m/>
    <m/>
    <m/>
    <m/>
    <m/>
    <m/>
    <n v="14867.932000000001"/>
    <n v="-9037.5191999999952"/>
    <m/>
    <m/>
    <m/>
    <m/>
    <n v="-9181.3309599999993"/>
    <n v="142.73411999999999"/>
    <n v="30"/>
    <n v="-96.166969757337029"/>
    <n v="0"/>
    <n v="0"/>
    <n v="0"/>
    <n v="0"/>
    <n v="0"/>
    <n v="0"/>
    <n v="0"/>
    <n v="229.34189304735992"/>
    <n v="0"/>
    <n v="0"/>
    <n v="158.89256882363111"/>
    <n v="0"/>
    <n v="0"/>
    <n v="0"/>
    <n v="5.3467460071379946"/>
    <n v="0"/>
    <n v="-19.621401167565239"/>
    <m/>
    <n v="0"/>
    <n v="0"/>
    <n v="0"/>
    <n v="0"/>
    <n v="-3.0357542830095809"/>
    <n v="-0.35548797203574711"/>
    <n v="0"/>
    <n v="-466.73553421285555"/>
    <m/>
    <m/>
    <n v="17504.269107723037"/>
    <n v="0"/>
    <n v="0"/>
    <n v="0"/>
    <n v="-9181.3309600000011"/>
    <n v="142.73411999999996"/>
    <n v="0"/>
    <n v="0"/>
    <n v="-8941.2213160491574"/>
    <n v="0"/>
    <n v="0"/>
    <n v="0"/>
    <n v="0"/>
    <n v="0"/>
    <n v="0"/>
    <n v="0"/>
    <n v="0"/>
    <n v="0"/>
    <n v="0"/>
    <n v="0"/>
    <n v="0"/>
    <n v="132.6962469211158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31"/>
    <s v="Regular"/>
    <s v="Azul"/>
    <s v="A4"/>
    <s v="Poder público"/>
    <s v="Não se aplica"/>
    <s v="Não se aplica"/>
    <s v="Não se aplica"/>
    <s v="Fora ponta"/>
    <s v="CATIVO"/>
    <x v="9"/>
    <n v="230"/>
    <n v="230"/>
    <n v="36.773000000000003"/>
    <n v="36.773000000000003"/>
    <n v="36.773000000000003"/>
    <n v="36.773000000000003"/>
    <n v="43.29"/>
    <n v="95.29"/>
    <n v="159.41"/>
    <n v="9956.6999999999989"/>
    <n v="9366.0830999999998"/>
    <n v="19322.783100000001"/>
    <n v="17885.511430000002"/>
    <n v="0"/>
    <n v="1982.5838629829948"/>
    <n v="0"/>
    <n v="0"/>
    <n v="0"/>
    <n v="5442.71704644074"/>
    <n v="4514.7130340054682"/>
    <n v="5671.5261456911576"/>
    <n v="190.54839118704515"/>
    <n v="0"/>
    <n v="0"/>
    <n v="0"/>
    <n v="0"/>
    <n v="352.1402834128404"/>
    <m/>
    <n v="39.484397722877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.8472498012944"/>
    <n v="0"/>
    <n v="0"/>
    <n v="0"/>
    <n v="0"/>
    <n v="0"/>
    <m/>
    <m/>
    <m/>
    <m/>
    <m/>
    <m/>
    <m/>
    <m/>
    <m/>
    <n v="5862.3733954924519"/>
    <m/>
    <m/>
    <m/>
    <m/>
    <m/>
    <m/>
    <m/>
    <m/>
    <m/>
    <m/>
    <m/>
    <m/>
    <n v="17884.680700000001"/>
    <n v="-1438.1323999999986"/>
    <m/>
    <m/>
    <m/>
    <m/>
    <n v="-2447.42598"/>
    <n v="1010.15431"/>
    <n v="30"/>
    <n v="868.05393165337955"/>
    <n v="0"/>
    <n v="0"/>
    <n v="0"/>
    <n v="0"/>
    <n v="0"/>
    <n v="0"/>
    <n v="0"/>
    <n v="245.85832086169376"/>
    <n v="0"/>
    <n v="0"/>
    <n v="1124.5104760106597"/>
    <n v="0"/>
    <n v="0"/>
    <n v="0"/>
    <n v="37.839855835351358"/>
    <n v="0"/>
    <n v="-138.86408489893711"/>
    <m/>
    <n v="0"/>
    <n v="0"/>
    <n v="0"/>
    <n v="0"/>
    <n v="-21.484563558335481"/>
    <n v="-2.5158504995516822"/>
    <n v="0"/>
    <n v="-377.29022209750076"/>
    <m/>
    <m/>
    <n v="4514.7130340054682"/>
    <n v="0"/>
    <n v="0"/>
    <n v="0"/>
    <n v="-2447.4259799999963"/>
    <n v="1010.1543099999999"/>
    <n v="0"/>
    <n v="0"/>
    <n v="-2306.1259037479317"/>
    <n v="0"/>
    <n v="0"/>
    <n v="0"/>
    <n v="0"/>
    <n v="0"/>
    <n v="0"/>
    <n v="0"/>
    <n v="0"/>
    <n v="0"/>
    <n v="0"/>
    <n v="0"/>
    <n v="0"/>
    <n v="939.114528104348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32"/>
    <s v="Regular"/>
    <s v="Azul"/>
    <s v="A4"/>
    <s v="Poder público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2.319999999999993"/>
    <n v="358.01"/>
    <n v="10369.1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633"/>
    <s v="Regular"/>
    <s v="Verde"/>
    <s v="A4"/>
    <s v="Poder público"/>
    <s v="Não se aplica"/>
    <s v="Não se aplica"/>
    <s v="Não se aplica"/>
    <s v="Ponta"/>
    <s v="CATIVO"/>
    <x v="9"/>
    <n v="0"/>
    <n v="0"/>
    <n v="0.40799999999999997"/>
    <n v="0.40799999999999997"/>
    <n v="0.40799999999999997"/>
    <n v="0.40799999999999997"/>
    <m/>
    <n v="2810.7"/>
    <n v="159.41"/>
    <m/>
    <n v="1211.8048799999999"/>
    <n v="1211.8048799999999"/>
    <n v="771.80951999999991"/>
    <n v="0"/>
    <n v="21.996960163627165"/>
    <n v="0"/>
    <n v="0"/>
    <n v="0"/>
    <n v="249.09036210176666"/>
    <n v="858.79467286909926"/>
    <n v="62.926132418948463"/>
    <n v="2.1141528731491697"/>
    <n v="0"/>
    <n v="0"/>
    <n v="0"/>
    <n v="0"/>
    <n v="3.9070305831027889"/>
    <m/>
    <n v="0.438083220594843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174687384474509"/>
    <n v="0"/>
    <n v="0"/>
    <n v="0"/>
    <n v="0"/>
    <n v="0"/>
    <m/>
    <m/>
    <m/>
    <m/>
    <m/>
    <m/>
    <m/>
    <m/>
    <m/>
    <n v="65.043601157395912"/>
    <m/>
    <m/>
    <m/>
    <m/>
    <m/>
    <m/>
    <m/>
    <m/>
    <m/>
    <m/>
    <m/>
    <m/>
    <n v="775.59289999999999"/>
    <n v="-436.2419799999999"/>
    <m/>
    <m/>
    <m/>
    <m/>
    <n v="-451.2031199999999"/>
    <n v="11.207759999999999"/>
    <n v="30"/>
    <n v="-1.318899573935937"/>
    <n v="0"/>
    <n v="0"/>
    <n v="0"/>
    <n v="0"/>
    <n v="0"/>
    <n v="0"/>
    <n v="0"/>
    <n v="11.251905555006118"/>
    <n v="0"/>
    <n v="0"/>
    <n v="12.476552748275886"/>
    <n v="0"/>
    <n v="0"/>
    <n v="0"/>
    <n v="0.41983686892076655"/>
    <n v="0"/>
    <n v="-1.540710484289189"/>
    <m/>
    <n v="0"/>
    <n v="0"/>
    <n v="0"/>
    <n v="0"/>
    <n v="-0.23837331552500141"/>
    <n v="-2.7913605194492874E-2"/>
    <n v="0"/>
    <n v="-23.660197341130086"/>
    <m/>
    <m/>
    <m/>
    <n v="858.79467286909926"/>
    <n v="0"/>
    <n v="0"/>
    <n v="-451.20312000000001"/>
    <n v="11.207760000000007"/>
    <n v="0"/>
    <n v="0"/>
    <n v="-438.67431355809799"/>
    <n v="0"/>
    <n v="0"/>
    <n v="0"/>
    <n v="0"/>
    <n v="0"/>
    <n v="0"/>
    <n v="0"/>
    <n v="0"/>
    <n v="0"/>
    <n v="0"/>
    <n v="0"/>
    <n v="0"/>
    <n v="10.41956673283588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34"/>
    <s v="Regular"/>
    <s v="Verde"/>
    <s v="A4"/>
    <s v="Poder público"/>
    <s v="Não se aplica"/>
    <s v="Não se aplica"/>
    <s v="Não se aplica"/>
    <s v="Fora ponta"/>
    <s v="CATIVO"/>
    <x v="9"/>
    <n v="0"/>
    <n v="0"/>
    <n v="4.0209999999999999"/>
    <n v="4.0209999999999999"/>
    <n v="4.0209999999999999"/>
    <n v="4.0209999999999999"/>
    <m/>
    <n v="95.29"/>
    <n v="159.41"/>
    <m/>
    <n v="1024.1487"/>
    <n v="1024.1487"/>
    <n v="1113.4551099999999"/>
    <n v="0"/>
    <n v="216.78866867143341"/>
    <n v="0"/>
    <n v="0"/>
    <n v="0"/>
    <n v="0"/>
    <n v="0"/>
    <n v="620.16171190341129"/>
    <n v="20.835805644443166"/>
    <n v="0"/>
    <n v="0"/>
    <n v="0"/>
    <n v="0"/>
    <n v="38.505318565334107"/>
    <m/>
    <n v="4.3174819363035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868484797297057"/>
    <n v="0"/>
    <n v="0"/>
    <n v="0"/>
    <n v="0"/>
    <n v="0"/>
    <m/>
    <m/>
    <m/>
    <m/>
    <m/>
    <m/>
    <m/>
    <m/>
    <m/>
    <n v="641.0301967007083"/>
    <m/>
    <m/>
    <m/>
    <m/>
    <m/>
    <m/>
    <m/>
    <m/>
    <m/>
    <m/>
    <m/>
    <m/>
    <n v="1113.1781999999998"/>
    <n v="88.999499999999898"/>
    <m/>
    <m/>
    <m/>
    <m/>
    <n v="-21.15046000000002"/>
    <n v="110.45687"/>
    <n v="30"/>
    <n v="89.293700461734716"/>
    <n v="0"/>
    <n v="0"/>
    <n v="0"/>
    <n v="0"/>
    <n v="0"/>
    <n v="0"/>
    <n v="0"/>
    <n v="0"/>
    <n v="0"/>
    <n v="0"/>
    <n v="122.96132010004237"/>
    <n v="0"/>
    <n v="0"/>
    <n v="0"/>
    <n v="4.1376569851235345"/>
    <n v="0"/>
    <n v="-15.184306022859857"/>
    <m/>
    <n v="0"/>
    <n v="0"/>
    <n v="0"/>
    <n v="0"/>
    <n v="-2.3492625042304667"/>
    <n v="-0.27509952570356777"/>
    <n v="0"/>
    <n v="-19.996608570637555"/>
    <m/>
    <m/>
    <m/>
    <n v="0"/>
    <n v="0"/>
    <n v="0"/>
    <n v="-21.15046000000001"/>
    <n v="110.45686999999998"/>
    <n v="0"/>
    <n v="0"/>
    <n v="0"/>
    <n v="0"/>
    <n v="0"/>
    <n v="0"/>
    <n v="0"/>
    <n v="0"/>
    <n v="0"/>
    <n v="0"/>
    <n v="0"/>
    <n v="0"/>
    <n v="0"/>
    <n v="0"/>
    <n v="0"/>
    <n v="102.6889162566987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35"/>
    <s v="Regular"/>
    <s v="Verde"/>
    <s v="A4"/>
    <s v="Poder público"/>
    <s v="Não se aplica"/>
    <s v="Não se aplica"/>
    <s v="Não se aplica"/>
    <s v="Não se aplica"/>
    <s v="CATIVO"/>
    <x v="9"/>
    <n v="45"/>
    <n v="45"/>
    <n v="0"/>
    <n v="0"/>
    <n v="0"/>
    <n v="0"/>
    <n v="43.29"/>
    <m/>
    <m/>
    <n v="1948.05"/>
    <m/>
    <n v="1948.05"/>
    <n v="1507.0500000000002"/>
    <n v="0"/>
    <n v="0"/>
    <n v="0"/>
    <n v="0"/>
    <n v="0"/>
    <n v="1064.8794221297101"/>
    <n v="883.313419696722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49"/>
    <n v="37.15"/>
    <n v="0"/>
    <n v="1"/>
    <m/>
    <m/>
    <m/>
    <m/>
    <m/>
    <m/>
    <m/>
    <m/>
    <m/>
    <n v="0"/>
    <m/>
    <m/>
    <m/>
    <m/>
    <m/>
    <m/>
    <m/>
    <m/>
    <m/>
    <m/>
    <m/>
    <m/>
    <n v="1507.0500000000002"/>
    <n v="-441.02999999999975"/>
    <m/>
    <m/>
    <m/>
    <m/>
    <n v="-440.99999999999989"/>
    <n v="0"/>
    <n v="30"/>
    <n v="10.064706534659763"/>
    <n v="0"/>
    <n v="0"/>
    <n v="0"/>
    <n v="0"/>
    <m/>
    <m/>
    <m/>
    <n v="48.102714951201051"/>
    <n v="0"/>
    <n v="0"/>
    <m/>
    <m/>
    <n v="0"/>
    <n v="0"/>
    <n v="0"/>
    <n v="0"/>
    <n v="0"/>
    <m/>
    <n v="0"/>
    <n v="0"/>
    <m/>
    <n v="0"/>
    <n v="0"/>
    <n v="0"/>
    <n v="0"/>
    <n v="-38.03800841654121"/>
    <m/>
    <m/>
    <n v="883.31341969672201"/>
    <m/>
    <n v="0"/>
    <n v="0"/>
    <n v="-440.99999999999977"/>
    <m/>
    <n v="0"/>
    <m/>
    <n v="-451.1985463854648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36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506.28399999999999"/>
    <n v="506.28399999999999"/>
    <n v="506.28399999999999"/>
    <n v="506.28399999999999"/>
    <m/>
    <n v="356.64"/>
    <n v="87.68"/>
    <m/>
    <n v="224952.10688000001"/>
    <n v="224952.10688000001"/>
    <n v="170364.56599999999"/>
    <n v="0"/>
    <n v="17256.000503479278"/>
    <n v="0"/>
    <n v="0"/>
    <n v="0"/>
    <n v="32480.363674150471"/>
    <n v="116268.26991980428"/>
    <n v="42946.49929920875"/>
    <n v="1442.8896452848032"/>
    <n v="0"/>
    <n v="0"/>
    <n v="0"/>
    <n v="0"/>
    <n v="2666.5119839573199"/>
    <m/>
    <n v="577.823246684171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39.2519604210825"/>
    <n v="0"/>
    <n v="421.12"/>
    <n v="2086.08"/>
    <n v="52678.69"/>
    <n v="62"/>
    <m/>
    <m/>
    <m/>
    <m/>
    <m/>
    <m/>
    <m/>
    <m/>
    <m/>
    <n v="46085.751259629833"/>
    <m/>
    <m/>
    <m/>
    <m/>
    <m/>
    <m/>
    <m/>
    <m/>
    <m/>
    <m/>
    <m/>
    <m/>
    <n v="170363.22"/>
    <n v="-54588.916880000033"/>
    <m/>
    <m/>
    <m/>
    <m/>
    <n v="-62232.429279999989"/>
    <n v="7644.8883999999971"/>
    <n v="30"/>
    <n v="4804.4882913717593"/>
    <n v="0"/>
    <n v="0"/>
    <n v="0"/>
    <n v="0"/>
    <n v="0"/>
    <n v="0"/>
    <n v="0"/>
    <n v="1467.2024295524207"/>
    <n v="0"/>
    <n v="0"/>
    <n v="8515.1310475108985"/>
    <n v="0"/>
    <n v="0"/>
    <n v="0"/>
    <n v="622.42888874142773"/>
    <n v="0"/>
    <n v="-1208.6443169803151"/>
    <m/>
    <n v="0"/>
    <n v="0"/>
    <n v="0"/>
    <n v="0"/>
    <n v="-162.68756770218852"/>
    <n v="-36.817502296125895"/>
    <n v="0"/>
    <n v="-4392.1246874543749"/>
    <m/>
    <m/>
    <m/>
    <n v="116268.26991980428"/>
    <n v="0"/>
    <n v="0"/>
    <n v="-62232.429279999997"/>
    <n v="7644.8883999999962"/>
    <n v="0"/>
    <n v="0"/>
    <n v="-59390.102322434817"/>
    <n v="0"/>
    <n v="0"/>
    <n v="0"/>
    <n v="0"/>
    <n v="0"/>
    <n v="0"/>
    <n v="0"/>
    <n v="0"/>
    <n v="0"/>
    <n v="0"/>
    <n v="0"/>
    <n v="0"/>
    <n v="8173.858908248501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37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51.499000000000002"/>
    <n v="48.409059999999997"/>
    <n v="51.499000000000002"/>
    <n v="48.409059999999997"/>
    <m/>
    <n v="648.44000000000005"/>
    <n v="159.41"/>
    <m/>
    <n v="41603.467150000004"/>
    <n v="41603.467150000004"/>
    <n v="31508.118179999998"/>
    <n v="0"/>
    <n v="3191.4059371947155"/>
    <n v="0"/>
    <n v="0"/>
    <n v="0"/>
    <n v="6007.0713054874623"/>
    <n v="21503.200979543679"/>
    <n v="7942.7276800084001"/>
    <n v="266.85480101546347"/>
    <n v="0"/>
    <n v="0"/>
    <n v="0"/>
    <n v="0"/>
    <n v="493.15727450786903"/>
    <m/>
    <n v="106.865350388995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0.58803039661154"/>
    <n v="0"/>
    <n v="73.760000000000005"/>
    <n v="365.52"/>
    <n v="12944.01"/>
    <n v="13"/>
    <m/>
    <m/>
    <m/>
    <m/>
    <n v="1890.4870908000034"/>
    <m/>
    <m/>
    <m/>
    <m/>
    <n v="8523.3157104050115"/>
    <m/>
    <m/>
    <m/>
    <m/>
    <m/>
    <m/>
    <m/>
    <m/>
    <m/>
    <m/>
    <m/>
    <m/>
    <n v="29618.206199999997"/>
    <n v="-9489.0829210000047"/>
    <m/>
    <m/>
    <m/>
    <m/>
    <n v="-11510.026500000004"/>
    <n v="1414.6775299999999"/>
    <n v="30"/>
    <n v="888.56467378839443"/>
    <n v="0"/>
    <n v="0"/>
    <n v="0"/>
    <n v="0"/>
    <n v="0"/>
    <n v="0"/>
    <n v="0"/>
    <n v="271.35132175013041"/>
    <n v="0"/>
    <n v="0"/>
    <n v="1574.8284068222056"/>
    <n v="0"/>
    <n v="0"/>
    <n v="0"/>
    <n v="115.11492773834777"/>
    <n v="0"/>
    <n v="-223.53236767638145"/>
    <m/>
    <n v="0"/>
    <n v="0"/>
    <n v="0"/>
    <n v="0"/>
    <n v="-30.08820435348548"/>
    <n v="-6.809202132141337"/>
    <n v="0"/>
    <n v="-812.30020836028461"/>
    <m/>
    <m/>
    <m/>
    <n v="21503.200979543679"/>
    <n v="0"/>
    <n v="0"/>
    <n v="-11510.026500000007"/>
    <n v="1414.6775300000008"/>
    <n v="0"/>
    <n v="0"/>
    <n v="-10983.885004187716"/>
    <n v="0"/>
    <n v="0"/>
    <n v="0"/>
    <n v="0"/>
    <n v="0"/>
    <n v="0"/>
    <n v="0"/>
    <n v="0"/>
    <n v="0"/>
    <n v="0"/>
    <n v="0"/>
    <n v="0"/>
    <n v="1511.71193141287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38"/>
    <s v="Regular"/>
    <s v="Azul"/>
    <s v="A4"/>
    <s v="Serviço público"/>
    <s v="Água, esgoto e saneamento"/>
    <s v="Não se aplica"/>
    <s v="Não se aplica"/>
    <s v="Ponta"/>
    <s v="CATIVO"/>
    <x v="9"/>
    <n v="708"/>
    <n v="665.52"/>
    <n v="33.828000000000003"/>
    <n v="31.79832"/>
    <n v="33.828000000000003"/>
    <n v="31.79832"/>
    <n v="112.91"/>
    <n v="95.29"/>
    <n v="159.41"/>
    <n v="79940.28"/>
    <n v="8615.9916000000012"/>
    <n v="88556.271599999993"/>
    <n v="56902.431479999999"/>
    <n v="0"/>
    <n v="1823.8067853313232"/>
    <n v="0"/>
    <n v="0"/>
    <n v="0"/>
    <n v="17972.872804850485"/>
    <n v="61965.112641339554"/>
    <n v="5217.3166849710515"/>
    <n v="175.28814557080912"/>
    <n v="0"/>
    <n v="0"/>
    <n v="0"/>
    <n v="0"/>
    <n v="323.93880040490484"/>
    <m/>
    <n v="36.3222529075547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5.56306981421659"/>
    <n v="0"/>
    <n v="0"/>
    <n v="0"/>
    <n v="0"/>
    <n v="0"/>
    <m/>
    <m/>
    <m/>
    <m/>
    <n v="3414.145888800002"/>
    <m/>
    <m/>
    <m/>
    <m/>
    <n v="5392.8797547852682"/>
    <m/>
    <m/>
    <m/>
    <m/>
    <m/>
    <m/>
    <m/>
    <m/>
    <m/>
    <m/>
    <m/>
    <m/>
    <n v="53488.750799999994"/>
    <n v="-29754.174503999981"/>
    <m/>
    <m/>
    <m/>
    <m/>
    <n v="-32583.095279999998"/>
    <n v="929.25516000000005"/>
    <n v="30"/>
    <n v="2.3128365140037204"/>
    <n v="0"/>
    <n v="0"/>
    <n v="0"/>
    <n v="0"/>
    <n v="0"/>
    <n v="0"/>
    <n v="0"/>
    <n v="811.87030138765112"/>
    <n v="0"/>
    <n v="0"/>
    <n v="1034.4530058055798"/>
    <n v="0"/>
    <n v="0"/>
    <n v="0"/>
    <n v="34.809415690812983"/>
    <n v="0"/>
    <n v="-127.74302515327122"/>
    <m/>
    <n v="0"/>
    <n v="0"/>
    <n v="0"/>
    <n v="0"/>
    <n v="-19.763952248969986"/>
    <n v="-2.3143662659786912"/>
    <n v="0"/>
    <n v="-1728.9985427018178"/>
    <m/>
    <m/>
    <n v="61965.112641339554"/>
    <n v="0"/>
    <n v="0"/>
    <n v="0"/>
    <n v="-32583.095279999994"/>
    <n v="929.25515999999971"/>
    <n v="0"/>
    <n v="0"/>
    <n v="-31651.923458814021"/>
    <n v="0"/>
    <n v="0"/>
    <n v="0"/>
    <n v="0"/>
    <n v="0"/>
    <n v="0"/>
    <n v="0"/>
    <n v="0"/>
    <n v="0"/>
    <n v="0"/>
    <n v="0"/>
    <n v="0"/>
    <n v="863.9046652901282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39"/>
    <s v="Regular"/>
    <s v="Azul"/>
    <s v="A4"/>
    <s v="Serviço público"/>
    <s v="Água, esgoto e saneamento"/>
    <s v="Não se aplica"/>
    <s v="Não se aplica"/>
    <s v="Fora ponta"/>
    <s v="CATIVO"/>
    <x v="9"/>
    <n v="718"/>
    <n v="674.92"/>
    <n v="359.19400000000002"/>
    <n v="337.64236"/>
    <n v="359.19400000000002"/>
    <n v="337.64236"/>
    <n v="43.29"/>
    <n v="95.29"/>
    <n v="159.41"/>
    <n v="31082.22"/>
    <n v="91486.711800000005"/>
    <n v="122568.93180000001"/>
    <n v="123510.23053999999"/>
    <n v="0"/>
    <n v="19365.627718171316"/>
    <n v="0"/>
    <n v="0"/>
    <n v="0"/>
    <n v="16990.742779758486"/>
    <n v="14093.756340938808"/>
    <n v="55398.74805904847"/>
    <n v="1861.2525174459386"/>
    <n v="0"/>
    <n v="0"/>
    <n v="0"/>
    <n v="0"/>
    <n v="3439.6616256544689"/>
    <m/>
    <n v="385.67858906456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4.1717304850335"/>
    <n v="0"/>
    <n v="0"/>
    <n v="0"/>
    <n v="0"/>
    <n v="0"/>
    <m/>
    <m/>
    <m/>
    <m/>
    <n v="7410.6138324000067"/>
    <m/>
    <m/>
    <m/>
    <m/>
    <n v="57262.919789533502"/>
    <m/>
    <m/>
    <m/>
    <m/>
    <m/>
    <m/>
    <m/>
    <m/>
    <m/>
    <m/>
    <m/>
    <m/>
    <n v="116098.9632"/>
    <n v="884.13730800000485"/>
    <m/>
    <m/>
    <m/>
    <m/>
    <n v="-8925.76044"/>
    <n v="9867.0591800000002"/>
    <n v="30"/>
    <n v="8137.1513873112126"/>
    <n v="0"/>
    <n v="0"/>
    <n v="0"/>
    <n v="0"/>
    <n v="0"/>
    <n v="0"/>
    <n v="0"/>
    <n v="767.5055407769396"/>
    <n v="0"/>
    <n v="0"/>
    <n v="10984.075705549527"/>
    <n v="0"/>
    <n v="0"/>
    <n v="0"/>
    <n v="369.61491248805351"/>
    <n v="0"/>
    <n v="-1356.4067688572795"/>
    <m/>
    <n v="0"/>
    <n v="0"/>
    <n v="0"/>
    <n v="0"/>
    <n v="-209.8584919036457"/>
    <n v="-24.574508588800654"/>
    <n v="0"/>
    <n v="-2393.2050021535956"/>
    <m/>
    <m/>
    <n v="14093.756340938808"/>
    <n v="0"/>
    <n v="0"/>
    <n v="0"/>
    <n v="-8925.7604400000055"/>
    <n v="9867.0591799999966"/>
    <n v="0"/>
    <n v="0"/>
    <n v="-7199.1234734391937"/>
    <n v="0"/>
    <n v="0"/>
    <n v="0"/>
    <n v="0"/>
    <n v="0"/>
    <n v="0"/>
    <n v="0"/>
    <n v="0"/>
    <n v="0"/>
    <n v="0"/>
    <n v="0"/>
    <n v="0"/>
    <n v="9173.151600574150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40"/>
    <s v="Regular"/>
    <s v="Azul"/>
    <s v="A4"/>
    <s v="Serviço público"/>
    <s v="Água, esgoto e saneamento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99.73"/>
    <n v="1978.73"/>
    <n v="67887.759999999995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641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4.5650000000000004"/>
    <n v="4.5650000000000004"/>
    <n v="4.5650000000000004"/>
    <n v="4.5650000000000004"/>
    <m/>
    <n v="648.44000000000005"/>
    <n v="159.41"/>
    <m/>
    <n v="3687.8352500000005"/>
    <n v="3687.8352500000005"/>
    <n v="2792.9583000000002"/>
    <n v="0"/>
    <n v="282.89419412598062"/>
    <n v="0"/>
    <n v="0"/>
    <n v="0"/>
    <n v="532.48180565739654"/>
    <n v="1906.0974479430067"/>
    <n v="704.06322179534254"/>
    <n v="23.654676141975393"/>
    <n v="0"/>
    <n v="0"/>
    <n v="0"/>
    <n v="0"/>
    <n v="43.71469267613783"/>
    <m/>
    <n v="9.47281159878371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464773272501048"/>
    <n v="0"/>
    <n v="6.95"/>
    <n v="34.44"/>
    <n v="1159.8"/>
    <n v="5"/>
    <m/>
    <m/>
    <m/>
    <m/>
    <m/>
    <m/>
    <m/>
    <m/>
    <m/>
    <n v="755.52799506784356"/>
    <m/>
    <m/>
    <m/>
    <m/>
    <m/>
    <m/>
    <m/>
    <m/>
    <m/>
    <m/>
    <m/>
    <m/>
    <n v="2796.0174000000002"/>
    <n v="-891.84785000000102"/>
    <m/>
    <m/>
    <m/>
    <m/>
    <n v="-1020.2775000000004"/>
    <n v="125.40055000000001"/>
    <n v="30"/>
    <n v="78.764592241480614"/>
    <n v="0"/>
    <n v="0"/>
    <n v="0"/>
    <n v="0"/>
    <n v="0"/>
    <n v="0"/>
    <n v="0"/>
    <n v="24.053258971812056"/>
    <n v="0"/>
    <n v="0"/>
    <n v="139.5967237644104"/>
    <n v="0"/>
    <n v="0"/>
    <n v="0"/>
    <n v="10.204074741753395"/>
    <n v="0"/>
    <n v="-19.81446743514789"/>
    <m/>
    <n v="0"/>
    <n v="0"/>
    <n v="0"/>
    <n v="0"/>
    <n v="-2.667093591597137"/>
    <n v="-0.6035846857846785"/>
    <n v="0"/>
    <n v="-72.004319523965506"/>
    <m/>
    <m/>
    <m/>
    <n v="1906.0974479430067"/>
    <n v="0"/>
    <n v="0"/>
    <n v="-1020.2775000000004"/>
    <n v="125.40054999999995"/>
    <n v="0"/>
    <n v="0"/>
    <n v="-973.63900355573765"/>
    <n v="0"/>
    <n v="0"/>
    <n v="0"/>
    <n v="0"/>
    <n v="0"/>
    <n v="0"/>
    <n v="0"/>
    <n v="0"/>
    <n v="0"/>
    <n v="0"/>
    <n v="0"/>
    <n v="0"/>
    <n v="134.0019217246896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42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.12"/>
    <n v="36.409999999999997"/>
    <n v="395.84"/>
    <n v="4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643"/>
    <s v="Refaturamento - 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0.51"/>
    <n v="-45.31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644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8"/>
    <n v="2.5499999999999998"/>
    <n v="41.89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645"/>
    <s v="Regular"/>
    <s v="Convencional"/>
    <s v="B2"/>
    <s v="Rural"/>
    <s v="Agropecuária rural"/>
    <s v="IRRIG./AQUIC."/>
    <s v="Não se aplica"/>
    <s v="Não se aplica"/>
    <s v="CATIVO"/>
    <x v="9"/>
    <n v="0"/>
    <n v="0"/>
    <n v="4.0780000000000003"/>
    <n v="4.0780000000000003"/>
    <n v="4.0780000000000003"/>
    <n v="4.0780000000000003"/>
    <m/>
    <n v="648.44000000000005"/>
    <n v="159.41"/>
    <m/>
    <n v="3294.4123000000004"/>
    <n v="3294.4123000000004"/>
    <n v="2495.0019600000001"/>
    <n v="0"/>
    <n v="252.71468206916734"/>
    <n v="0"/>
    <n v="0"/>
    <n v="0"/>
    <n v="475.6759700921935"/>
    <n v="1702.7525504297002"/>
    <n v="628.95286275605849"/>
    <n v="21.131165237015477"/>
    <n v="0"/>
    <n v="0"/>
    <n v="0"/>
    <n v="0"/>
    <n v="39.051153720326411"/>
    <m/>
    <n v="8.4622400218707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974445871907839"/>
    <n v="0"/>
    <n v="0"/>
    <n v="0"/>
    <n v="0"/>
    <n v="0"/>
    <m/>
    <m/>
    <m/>
    <m/>
    <m/>
    <n v="299.40676000000008"/>
    <m/>
    <m/>
    <m/>
    <n v="674.92730862796634"/>
    <m/>
    <m/>
    <m/>
    <m/>
    <m/>
    <m/>
    <m/>
    <m/>
    <m/>
    <m/>
    <m/>
    <m/>
    <n v="2196.672"/>
    <n v="-702.44898000000057"/>
    <m/>
    <m/>
    <m/>
    <m/>
    <n v="-911.43300000000033"/>
    <n v="112.02266"/>
    <n v="30"/>
    <n v="70.36188546785479"/>
    <n v="0"/>
    <n v="0"/>
    <n v="0"/>
    <n v="0"/>
    <n v="0"/>
    <n v="0"/>
    <n v="0"/>
    <n v="21.487226744150973"/>
    <n v="0"/>
    <n v="0"/>
    <n v="124.70436791046336"/>
    <n v="0"/>
    <n v="0"/>
    <n v="0"/>
    <n v="9.1154910836517686"/>
    <n v="0"/>
    <n v="-17.700634874158368"/>
    <m/>
    <n v="0"/>
    <n v="0"/>
    <n v="0"/>
    <n v="0"/>
    <n v="-2.3825646586052827"/>
    <n v="-0.53919350462868021"/>
    <n v="0"/>
    <n v="-64.322807233018906"/>
    <m/>
    <m/>
    <m/>
    <n v="1702.7525504297002"/>
    <n v="0"/>
    <n v="0"/>
    <n v="-911.43300000000022"/>
    <n v="112.02265999999997"/>
    <n v="0"/>
    <n v="0"/>
    <n v="-869.76995761233263"/>
    <n v="0"/>
    <n v="0"/>
    <n v="0"/>
    <n v="0"/>
    <n v="0"/>
    <n v="0"/>
    <n v="0"/>
    <n v="0"/>
    <n v="0"/>
    <n v="0"/>
    <n v="0"/>
    <n v="0"/>
    <n v="119.7064264607413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46"/>
    <s v="Refaturamento - Regular"/>
    <s v="Convencional"/>
    <s v="B2"/>
    <s v="Rural"/>
    <s v="Agropecuária rural"/>
    <s v="IRRIG./AQUIC."/>
    <s v="Não se aplica"/>
    <s v="Não se aplica"/>
    <s v="CATIVO"/>
    <x v="9"/>
    <n v="0"/>
    <n v="0"/>
    <n v="-8.468"/>
    <n v="-8.468"/>
    <n v="-8.468"/>
    <n v="-8.468"/>
    <m/>
    <n v="648.44000000000005"/>
    <n v="159.41"/>
    <m/>
    <n v="-6840.8738000000012"/>
    <n v="-6840.8738000000012"/>
    <n v="-5180.8917600000004"/>
    <n v="0"/>
    <n v="-524.76408233489678"/>
    <n v="0"/>
    <n v="0"/>
    <n v="0"/>
    <n v="-987.74500116250465"/>
    <n v="-3535.7794499849683"/>
    <n v="-1306.0257091266069"/>
    <n v="-43.879035612321495"/>
    <n v="0"/>
    <n v="0"/>
    <n v="0"/>
    <n v="0"/>
    <n v="-81.090036710084362"/>
    <m/>
    <n v="-17.571909883570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5.466308887522203"/>
    <n v="0"/>
    <n v="0"/>
    <n v="0"/>
    <n v="0"/>
    <n v="0"/>
    <m/>
    <m/>
    <m/>
    <m/>
    <m/>
    <n v="-621.72056000000009"/>
    <m/>
    <m/>
    <m/>
    <n v="-1401.4920180141291"/>
    <m/>
    <m/>
    <m/>
    <m/>
    <m/>
    <m/>
    <m/>
    <m/>
    <m/>
    <m/>
    <m/>
    <m/>
    <n v="-4560.2480000000005"/>
    <n v="1459.707879999999"/>
    <m/>
    <m/>
    <m/>
    <m/>
    <n v="1892.5980000000004"/>
    <n v="-232.61596"/>
    <n v="30"/>
    <n v="-146.10702455659521"/>
    <n v="0"/>
    <n v="0"/>
    <n v="0"/>
    <n v="0"/>
    <n v="0"/>
    <n v="0"/>
    <n v="0"/>
    <n v="-44.61840021321018"/>
    <n v="0"/>
    <n v="0"/>
    <n v="-258.94962909902006"/>
    <n v="0"/>
    <n v="0"/>
    <n v="0"/>
    <n v="-18.928390999598619"/>
    <n v="0"/>
    <n v="36.755511553303904"/>
    <m/>
    <n v="0"/>
    <n v="0"/>
    <n v="0"/>
    <n v="0"/>
    <n v="4.9474147937885107"/>
    <n v="1.1196396756242422"/>
    <n v="0"/>
    <n v="133.56682973251694"/>
    <m/>
    <m/>
    <m/>
    <n v="-3535.7794499849683"/>
    <n v="0"/>
    <n v="0"/>
    <n v="1892.5980000000009"/>
    <n v="-232.61596000000009"/>
    <n v="0"/>
    <n v="0"/>
    <n v="1806.0843553362513"/>
    <n v="0"/>
    <n v="0"/>
    <n v="0"/>
    <n v="0"/>
    <n v="0"/>
    <n v="0"/>
    <n v="0"/>
    <n v="0"/>
    <n v="0"/>
    <n v="0"/>
    <n v="0"/>
    <n v="0"/>
    <n v="-248.5713632343202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47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.3"/>
    <n v="0.3"/>
    <n v="0.3"/>
    <n v="0.3"/>
    <m/>
    <n v="648.44000000000005"/>
    <n v="159.41"/>
    <m/>
    <n v="242.35500000000002"/>
    <n v="242.35500000000002"/>
    <n v="183.54599999999999"/>
    <n v="0"/>
    <n v="18.591075189002009"/>
    <n v="0"/>
    <n v="0"/>
    <n v="0"/>
    <n v="34.993327863574798"/>
    <n v="125.2637972361231"/>
    <n v="46.269215013932694"/>
    <n v="1.554524171433213"/>
    <n v="0"/>
    <n v="0"/>
    <n v="0"/>
    <n v="0"/>
    <n v="2.8728166052226389"/>
    <m/>
    <n v="0.62252869214350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821318689485902"/>
    <n v="0"/>
    <n v="0"/>
    <n v="0"/>
    <n v="0"/>
    <n v="0"/>
    <m/>
    <m/>
    <m/>
    <m/>
    <m/>
    <n v="22.026000000000003"/>
    <m/>
    <m/>
    <m/>
    <n v="49.651346882881285"/>
    <m/>
    <m/>
    <m/>
    <m/>
    <m/>
    <m/>
    <m/>
    <m/>
    <m/>
    <m/>
    <m/>
    <m/>
    <n v="161.51999999999998"/>
    <n v="-51.782999999999987"/>
    <m/>
    <m/>
    <m/>
    <m/>
    <n v="-67.050000000000011"/>
    <n v="8.2409999999999997"/>
    <n v="30"/>
    <n v="5.1762054046974981"/>
    <n v="0"/>
    <n v="0"/>
    <n v="0"/>
    <n v="0"/>
    <n v="0"/>
    <n v="0"/>
    <n v="0"/>
    <n v="1.5807180047193015"/>
    <n v="0"/>
    <n v="0"/>
    <n v="9.1739358443205035"/>
    <n v="0"/>
    <n v="0"/>
    <n v="0"/>
    <n v="0.67058541566834995"/>
    <n v="0"/>
    <n v="-1.3021555817183703"/>
    <m/>
    <n v="0"/>
    <n v="0"/>
    <n v="0"/>
    <n v="0"/>
    <n v="-0.17527449670955964"/>
    <n v="-3.9666025352771972E-2"/>
    <n v="0"/>
    <n v="-4.7319377562299341"/>
    <m/>
    <m/>
    <m/>
    <n v="125.2637972361231"/>
    <n v="0"/>
    <n v="0"/>
    <n v="-67.050000000000011"/>
    <n v="8.2409999999999997"/>
    <n v="0"/>
    <n v="0"/>
    <n v="-63.985038568832692"/>
    <n v="0"/>
    <n v="0"/>
    <n v="0"/>
    <n v="0"/>
    <n v="0"/>
    <n v="0"/>
    <n v="0"/>
    <n v="0"/>
    <n v="0"/>
    <n v="0"/>
    <n v="0"/>
    <n v="0"/>
    <n v="8.806259916189899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48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3.3490000000000002"/>
    <n v="1.3395999999999999"/>
    <n v="3.3490000000000002"/>
    <n v="1.3395999999999999"/>
    <m/>
    <n v="648.44000000000005"/>
    <n v="159.41"/>
    <m/>
    <n v="2705.4896500000004"/>
    <n v="2705.4896500000004"/>
    <n v="2048.9851800000001"/>
    <n v="0"/>
    <n v="207.53836935989247"/>
    <n v="0"/>
    <n v="0"/>
    <n v="0"/>
    <n v="390.64218338370671"/>
    <n v="1398.361523145921"/>
    <n v="516.51867027220203"/>
    <n v="17.353671500432771"/>
    <n v="0"/>
    <n v="0"/>
    <n v="0"/>
    <n v="0"/>
    <n v="32.0702093696354"/>
    <m/>
    <n v="6.94949529996202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755865430362761"/>
    <n v="0"/>
    <n v="0"/>
    <n v="0"/>
    <n v="0"/>
    <n v="0"/>
    <m/>
    <m/>
    <m/>
    <m/>
    <m/>
    <m/>
    <n v="1327.7445399999999"/>
    <m/>
    <m/>
    <n v="554.27453570256478"/>
    <m/>
    <m/>
    <m/>
    <m/>
    <m/>
    <m/>
    <m/>
    <m/>
    <m/>
    <m/>
    <m/>
    <m/>
    <n v="721.45600000000002"/>
    <n v="-230.9090359999999"/>
    <m/>
    <m/>
    <m/>
    <m/>
    <n v="-748.50150000000019"/>
    <n v="91.997029999999995"/>
    <n v="30"/>
    <n v="57.783706334439785"/>
    <n v="0"/>
    <n v="0"/>
    <n v="0"/>
    <n v="0"/>
    <n v="0"/>
    <n v="0"/>
    <n v="0"/>
    <n v="17.646081992683094"/>
    <n v="0"/>
    <n v="0"/>
    <n v="102.41170380876451"/>
    <n v="0"/>
    <n v="0"/>
    <n v="0"/>
    <n v="7.4859685235776823"/>
    <n v="0"/>
    <n v="-14.536396810582744"/>
    <m/>
    <n v="0"/>
    <n v="0"/>
    <n v="0"/>
    <n v="0"/>
    <n v="-1.9566476316010579"/>
    <n v="-0.44280506302144396"/>
    <n v="0"/>
    <n v="-52.824198485380165"/>
    <m/>
    <m/>
    <m/>
    <n v="1398.361523145921"/>
    <n v="0"/>
    <n v="0"/>
    <n v="-748.50150000000031"/>
    <n v="91.997029999999995"/>
    <n v="0"/>
    <n v="0"/>
    <n v="-714.28631389006898"/>
    <n v="0"/>
    <n v="0"/>
    <n v="0"/>
    <n v="0"/>
    <n v="0"/>
    <n v="0"/>
    <n v="0"/>
    <n v="0"/>
    <n v="0"/>
    <n v="0"/>
    <n v="0"/>
    <n v="0"/>
    <n v="98.30721486439992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49"/>
    <s v="Refaturamento - Regular"/>
    <s v="Convencional"/>
    <s v="B2"/>
    <s v="Rural"/>
    <s v="Agropecuária rural"/>
    <s v="IRRIG./AQUIC. PR"/>
    <s v="Não se aplica"/>
    <s v="Não se aplica"/>
    <s v="CATIVO"/>
    <x v="9"/>
    <n v="0"/>
    <n v="0"/>
    <n v="-2.7519999999999998"/>
    <n v="-1.1008"/>
    <n v="-2.7519999999999998"/>
    <n v="-1.1008"/>
    <m/>
    <n v="648.44000000000005"/>
    <n v="159.41"/>
    <m/>
    <n v="-2223.2031999999999"/>
    <n v="-2223.2031999999999"/>
    <n v="-1683.7286399999998"/>
    <n v="0"/>
    <n v="-170.54212973377844"/>
    <n v="0"/>
    <n v="0"/>
    <n v="0"/>
    <n v="-321.00546093519279"/>
    <n v="-1149.0865666460359"/>
    <n v="-424.44293239447592"/>
    <n v="-14.260168399280674"/>
    <n v="0"/>
    <n v="0"/>
    <n v="0"/>
    <n v="0"/>
    <n v="-26.353304325242341"/>
    <m/>
    <n v="-5.7106632025964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1.025423011155063"/>
    <n v="0"/>
    <n v="0"/>
    <n v="0"/>
    <n v="0"/>
    <n v="0"/>
    <m/>
    <m/>
    <m/>
    <m/>
    <m/>
    <m/>
    <n v="-1091.05792"/>
    <m/>
    <m/>
    <n v="-455.46835540563097"/>
    <m/>
    <m/>
    <m/>
    <m/>
    <m/>
    <m/>
    <m/>
    <m/>
    <m/>
    <m/>
    <m/>
    <m/>
    <n v="-592.24"/>
    <n v="190.29972799999996"/>
    <m/>
    <m/>
    <m/>
    <m/>
    <n v="615.07200000000012"/>
    <n v="-75.597439999999992"/>
    <n v="30"/>
    <n v="-47.483057579092019"/>
    <n v="0"/>
    <n v="0"/>
    <n v="0"/>
    <n v="0"/>
    <n v="0"/>
    <n v="0"/>
    <n v="0"/>
    <n v="-14.500453163291752"/>
    <n v="0"/>
    <n v="0"/>
    <n v="-84.155571478566742"/>
    <n v="0"/>
    <n v="0"/>
    <n v="0"/>
    <n v="-6.1515035463976631"/>
    <n v="0"/>
    <n v="11.945107202963186"/>
    <m/>
    <n v="0"/>
    <n v="0"/>
    <n v="0"/>
    <n v="0"/>
    <n v="1.6078513831490291"/>
    <n v="0.36386967256942793"/>
    <n v="0"/>
    <n v="43.40764235048259"/>
    <m/>
    <m/>
    <m/>
    <n v="-1149.0865666460359"/>
    <n v="0"/>
    <n v="0"/>
    <n v="615.07200000000012"/>
    <n v="-75.597439999999949"/>
    <n v="0"/>
    <n v="0"/>
    <n v="586.9560871380919"/>
    <n v="0"/>
    <n v="0"/>
    <n v="0"/>
    <n v="0"/>
    <n v="0"/>
    <n v="0"/>
    <n v="0"/>
    <n v="0"/>
    <n v="0"/>
    <n v="0"/>
    <n v="0"/>
    <n v="0"/>
    <n v="-80.78275763118200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50"/>
    <s v="Sistema de Compensação"/>
    <s v="Convencional"/>
    <s v="B2"/>
    <s v="Rural"/>
    <s v="Agropecuária rural"/>
    <s v="IRRIG./AQUIC. PR"/>
    <s v="Não se aplica"/>
    <s v="Não se aplica"/>
    <s v="CATIVO"/>
    <x v="9"/>
    <n v="0"/>
    <n v="0"/>
    <n v="0.1"/>
    <n v="0.04"/>
    <n v="0.1"/>
    <n v="0.04"/>
    <m/>
    <n v="648.44000000000005"/>
    <n v="159.41"/>
    <m/>
    <n v="80.785000000000011"/>
    <n v="80.785000000000011"/>
    <n v="61.182000000000002"/>
    <n v="0"/>
    <n v="6.1970250630006705"/>
    <n v="0"/>
    <n v="0"/>
    <n v="0"/>
    <n v="11.664442621191601"/>
    <n v="41.754599078707706"/>
    <n v="15.4230716713109"/>
    <n v="0.5181747238110711"/>
    <n v="0"/>
    <n v="0"/>
    <n v="0"/>
    <n v="0"/>
    <n v="0.95760553507421309"/>
    <m/>
    <n v="0.20750956404783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2737728964953"/>
    <n v="0"/>
    <n v="0"/>
    <n v="0"/>
    <n v="0"/>
    <n v="0"/>
    <m/>
    <m/>
    <m/>
    <m/>
    <m/>
    <m/>
    <n v="39.646000000000008"/>
    <m/>
    <m/>
    <n v="16.550448960960431"/>
    <m/>
    <m/>
    <m/>
    <m/>
    <m/>
    <m/>
    <m/>
    <m/>
    <m/>
    <m/>
    <m/>
    <m/>
    <n v="21.536000000000001"/>
    <n v="-6.9304000000000023"/>
    <m/>
    <m/>
    <m/>
    <m/>
    <n v="-22.350000000000009"/>
    <n v="2.7469999999999999"/>
    <n v="30"/>
    <n v="1.7254018015658303"/>
    <n v="0"/>
    <n v="0"/>
    <n v="0"/>
    <n v="0"/>
    <n v="0"/>
    <n v="0"/>
    <n v="0"/>
    <n v="0.5269060015730993"/>
    <n v="0"/>
    <n v="0"/>
    <n v="3.0579786147735"/>
    <n v="0"/>
    <n v="0"/>
    <n v="0"/>
    <n v="0.22352847188945013"/>
    <n v="0"/>
    <n v="-0.4340518605727901"/>
    <m/>
    <n v="0"/>
    <n v="0"/>
    <n v="0"/>
    <n v="0"/>
    <n v="-5.8424832236519952E-2"/>
    <n v="-1.3222008450923972E-2"/>
    <n v="0"/>
    <n v="-1.5773125854099781"/>
    <m/>
    <m/>
    <m/>
    <n v="41.754599078707706"/>
    <n v="0"/>
    <n v="0"/>
    <n v="-22.350000000000009"/>
    <n v="2.7469999999999981"/>
    <n v="0"/>
    <n v="0"/>
    <n v="-21.328346189610905"/>
    <n v="0"/>
    <n v="0"/>
    <n v="0"/>
    <n v="0"/>
    <n v="0"/>
    <n v="0"/>
    <n v="0"/>
    <n v="0"/>
    <n v="0"/>
    <n v="0"/>
    <n v="0"/>
    <n v="0"/>
    <n v="2.935419972063300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51"/>
    <s v="Regular"/>
    <s v="Verde"/>
    <s v="A4"/>
    <s v="Rural"/>
    <s v="Agropecuária rural"/>
    <s v="Não se aplica"/>
    <s v="Não se aplica"/>
    <s v="Ponta"/>
    <s v="CATIVO"/>
    <x v="9"/>
    <n v="0"/>
    <n v="0"/>
    <n v="1.3160000000000001"/>
    <n v="1.26336"/>
    <n v="1.3160000000000001"/>
    <n v="1.26336"/>
    <m/>
    <n v="2810.7"/>
    <n v="159.41"/>
    <m/>
    <n v="3908.6647599999997"/>
    <n v="3908.6647599999997"/>
    <n v="2489.4640399999998"/>
    <n v="0"/>
    <n v="70.95097935130724"/>
    <n v="0"/>
    <n v="0"/>
    <n v="0"/>
    <n v="803.43852089687482"/>
    <n v="2770.0337977836639"/>
    <n v="202.96762319445145"/>
    <n v="6.819179365353695"/>
    <n v="0"/>
    <n v="0"/>
    <n v="0"/>
    <n v="0"/>
    <n v="12.602088841576645"/>
    <m/>
    <n v="1.41303313309513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298746563648169"/>
    <n v="0"/>
    <n v="0"/>
    <n v="0"/>
    <n v="0"/>
    <n v="0"/>
    <m/>
    <m/>
    <m/>
    <m/>
    <m/>
    <n v="99.578561600000029"/>
    <m/>
    <m/>
    <m/>
    <n v="209.79749785081626"/>
    <m/>
    <m/>
    <m/>
    <m/>
    <m/>
    <m/>
    <m/>
    <m/>
    <m/>
    <m/>
    <m/>
    <m/>
    <n v="2383.5293999999999"/>
    <n v="-1368.8187696000009"/>
    <m/>
    <m/>
    <m/>
    <m/>
    <n v="-1455.35124"/>
    <n v="36.15052"/>
    <n v="30"/>
    <n v="-4.2540976453426538"/>
    <n v="0"/>
    <n v="0"/>
    <n v="0"/>
    <n v="0"/>
    <n v="0"/>
    <n v="0"/>
    <n v="0"/>
    <n v="36.292911054872889"/>
    <n v="0"/>
    <n v="0"/>
    <n v="40.242998570419275"/>
    <n v="0"/>
    <n v="0"/>
    <n v="0"/>
    <n v="1.3541797046561985"/>
    <n v="0"/>
    <n v="-4.9695465620700361"/>
    <m/>
    <n v="0"/>
    <n v="0"/>
    <n v="0"/>
    <n v="0"/>
    <n v="-0.7688707922326028"/>
    <n v="-9.0035059892040747E-2"/>
    <n v="0"/>
    <n v="-76.315734561096065"/>
    <m/>
    <m/>
    <m/>
    <n v="2770.0337977836639"/>
    <n v="0"/>
    <n v="0"/>
    <n v="-1455.35124"/>
    <n v="36.15052"/>
    <n v="0"/>
    <n v="0"/>
    <n v="-1414.9396976530813"/>
    <n v="0"/>
    <n v="0"/>
    <n v="0"/>
    <n v="0"/>
    <n v="0"/>
    <n v="0"/>
    <n v="0"/>
    <n v="0"/>
    <n v="0"/>
    <n v="0"/>
    <n v="0"/>
    <n v="0"/>
    <n v="33.60821034414712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52"/>
    <s v="Sistema de Compensação"/>
    <s v="Verde"/>
    <s v="A4"/>
    <s v="Rural"/>
    <s v="Agropecuária rural"/>
    <s v="Não se aplica"/>
    <s v="Não se aplica"/>
    <s v="Ponta"/>
    <s v="CATIVO"/>
    <x v="9"/>
    <n v="0"/>
    <n v="0"/>
    <n v="0.21"/>
    <n v="0.2016"/>
    <n v="0.21"/>
    <n v="0.2016"/>
    <m/>
    <n v="2810.7"/>
    <n v="159.41"/>
    <m/>
    <n v="623.72309999999993"/>
    <n v="623.72309999999993"/>
    <n v="397.25489999999996"/>
    <n v="0"/>
    <n v="11.321964790102218"/>
    <n v="0"/>
    <n v="0"/>
    <n v="0"/>
    <n v="128.20827461120342"/>
    <n v="442.02666985909525"/>
    <n v="32.388450509752886"/>
    <n v="1.0881669200032491"/>
    <n v="0"/>
    <n v="0"/>
    <n v="0"/>
    <n v="0"/>
    <n v="2.0109716236558475"/>
    <m/>
    <n v="0.225484010600286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898736153773643"/>
    <n v="0"/>
    <n v="0"/>
    <n v="0"/>
    <n v="0"/>
    <n v="0"/>
    <m/>
    <m/>
    <m/>
    <m/>
    <m/>
    <n v="15.890195999999982"/>
    <m/>
    <m/>
    <m/>
    <n v="33.47832412513025"/>
    <m/>
    <m/>
    <m/>
    <m/>
    <m/>
    <m/>
    <m/>
    <m/>
    <m/>
    <m/>
    <m/>
    <m/>
    <n v="378.33799999999997"/>
    <n v="-220.46617600000002"/>
    <m/>
    <m/>
    <m/>
    <m/>
    <n v="-232.23689999999996"/>
    <n v="5.7686999999999999"/>
    <n v="30"/>
    <n v="-0.67884536893765812"/>
    <n v="0"/>
    <n v="0"/>
    <n v="0"/>
    <n v="0"/>
    <n v="0"/>
    <n v="0"/>
    <n v="0"/>
    <n v="5.7914219768414057"/>
    <n v="0"/>
    <n v="0"/>
    <n v="6.4217550910243517"/>
    <n v="0"/>
    <n v="0"/>
    <n v="0"/>
    <n v="0.21609250606215946"/>
    <n v="0"/>
    <n v="-0.79301274926649334"/>
    <m/>
    <n v="0"/>
    <n v="0"/>
    <n v="0"/>
    <n v="0"/>
    <n v="-0.12269214769669201"/>
    <n v="-1.4367296791283096E-2"/>
    <n v="0"/>
    <n v="-12.178042749111073"/>
    <m/>
    <m/>
    <m/>
    <n v="442.02666985909525"/>
    <n v="0"/>
    <n v="0"/>
    <n v="-232.23689999999999"/>
    <n v="5.7687000000000026"/>
    <n v="0"/>
    <n v="0"/>
    <n v="-225.78824962549166"/>
    <n v="0"/>
    <n v="0"/>
    <n v="0"/>
    <n v="0"/>
    <n v="0"/>
    <n v="0"/>
    <n v="0"/>
    <n v="0"/>
    <n v="0"/>
    <n v="0"/>
    <n v="0"/>
    <n v="0"/>
    <n v="5.363012288959646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53"/>
    <s v="Regular"/>
    <s v="Verde"/>
    <s v="A4"/>
    <s v="Rural"/>
    <s v="Agropecuária rural"/>
    <s v="Não se aplica"/>
    <s v="Não se aplica"/>
    <s v="Fora ponta"/>
    <s v="CATIVO"/>
    <x v="9"/>
    <n v="0"/>
    <n v="0"/>
    <n v="12.372"/>
    <n v="11.87712"/>
    <n v="12.372"/>
    <n v="11.87712"/>
    <m/>
    <n v="95.29"/>
    <n v="159.41"/>
    <m/>
    <n v="3151.1484"/>
    <n v="3151.1484"/>
    <n v="3425.9305199999999"/>
    <n v="0"/>
    <n v="667.02546849116493"/>
    <n v="0"/>
    <n v="0"/>
    <n v="0"/>
    <n v="0"/>
    <n v="0"/>
    <n v="1908.1424271745843"/>
    <n v="64.108576829905715"/>
    <n v="0"/>
    <n v="0"/>
    <n v="0"/>
    <n v="0"/>
    <n v="118.47495679938164"/>
    <m/>
    <n v="13.2842294245083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209125568803586"/>
    <n v="0"/>
    <n v="0"/>
    <n v="0"/>
    <n v="0"/>
    <n v="0"/>
    <m/>
    <m/>
    <m/>
    <m/>
    <m/>
    <n v="137.03722080000006"/>
    <m/>
    <m/>
    <m/>
    <n v="1972.3515527433879"/>
    <m/>
    <m/>
    <m/>
    <m/>
    <m/>
    <m/>
    <m/>
    <m/>
    <m/>
    <m/>
    <m/>
    <m/>
    <n v="3289.6908000000003"/>
    <n v="264.55833600000005"/>
    <m/>
    <m/>
    <m/>
    <m/>
    <n v="-65.076720000000066"/>
    <n v="339.85883999999999"/>
    <n v="30"/>
    <n v="274.74301470096452"/>
    <n v="0"/>
    <n v="0"/>
    <n v="0"/>
    <n v="0"/>
    <n v="0"/>
    <n v="0"/>
    <n v="0"/>
    <n v="0"/>
    <n v="0"/>
    <n v="0"/>
    <n v="378.33311421977737"/>
    <n v="0"/>
    <n v="0"/>
    <n v="0"/>
    <n v="12.730935642862065"/>
    <n v="0"/>
    <n v="-46.719779685357366"/>
    <m/>
    <n v="0"/>
    <n v="0"/>
    <n v="0"/>
    <n v="0"/>
    <n v="-7.2283202443022532"/>
    <n v="-0.84643902810359251"/>
    <n v="0"/>
    <n v="-61.526496203911421"/>
    <m/>
    <m/>
    <m/>
    <n v="0"/>
    <n v="0"/>
    <n v="0"/>
    <n v="-65.076720000000023"/>
    <n v="339.85883999999987"/>
    <n v="0"/>
    <n v="0"/>
    <n v="0"/>
    <n v="0"/>
    <n v="0"/>
    <n v="0"/>
    <n v="0"/>
    <n v="0"/>
    <n v="0"/>
    <n v="0"/>
    <n v="0"/>
    <n v="0"/>
    <n v="0"/>
    <n v="0"/>
    <n v="0"/>
    <n v="315.9580382809940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54"/>
    <s v="Sistema de Compensação"/>
    <s v="Verde"/>
    <s v="A4"/>
    <s v="Rural"/>
    <s v="Agropecuária rural"/>
    <s v="Não se aplica"/>
    <s v="Não se aplica"/>
    <s v="Fora ponta"/>
    <s v="CATIVO"/>
    <x v="9"/>
    <n v="0"/>
    <n v="0"/>
    <n v="1.9550000000000001"/>
    <n v="1.8768"/>
    <n v="1.9550000000000001"/>
    <n v="1.8768"/>
    <m/>
    <n v="95.29"/>
    <n v="159.41"/>
    <m/>
    <n v="497.93849999999998"/>
    <n v="497.93849999999998"/>
    <n v="541.35905000000002"/>
    <n v="0"/>
    <n v="105.40210078404684"/>
    <n v="0"/>
    <n v="0"/>
    <n v="0"/>
    <n v="0"/>
    <n v="0"/>
    <n v="301.5210511741281"/>
    <n v="10.13031585050644"/>
    <n v="0"/>
    <n v="0"/>
    <n v="0"/>
    <n v="0"/>
    <n v="18.721188210700866"/>
    <m/>
    <n v="2.0991487653502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146204371727368"/>
    <n v="0"/>
    <n v="0"/>
    <n v="0"/>
    <n v="0"/>
    <n v="0"/>
    <m/>
    <m/>
    <m/>
    <m/>
    <m/>
    <n v="21.654362000000013"/>
    <m/>
    <m/>
    <m/>
    <n v="311.66725554585548"/>
    <m/>
    <m/>
    <m/>
    <m/>
    <m/>
    <m/>
    <m/>
    <m/>
    <m/>
    <m/>
    <m/>
    <m/>
    <n v="520.59079999999994"/>
    <n v="42.53983999999997"/>
    <m/>
    <m/>
    <m/>
    <m/>
    <n v="-10.283300000000011"/>
    <n v="53.703850000000003"/>
    <n v="30"/>
    <n v="43.414370654735478"/>
    <n v="0"/>
    <n v="0"/>
    <n v="0"/>
    <n v="0"/>
    <n v="0"/>
    <n v="0"/>
    <n v="0"/>
    <n v="0"/>
    <n v="0"/>
    <n v="0"/>
    <n v="59.783481918821906"/>
    <n v="0"/>
    <n v="0"/>
    <n v="0"/>
    <n v="2.0117183302453405"/>
    <n v="0"/>
    <n v="-7.3825710705523591"/>
    <m/>
    <n v="0"/>
    <n v="0"/>
    <n v="0"/>
    <n v="0"/>
    <n v="-1.142205470223967"/>
    <n v="-0.13375269155694491"/>
    <n v="0"/>
    <n v="-9.722300361998613"/>
    <m/>
    <m/>
    <m/>
    <n v="0"/>
    <n v="0"/>
    <n v="0"/>
    <n v="-10.283299999999997"/>
    <n v="53.703849999999989"/>
    <n v="0"/>
    <n v="0"/>
    <n v="0"/>
    <n v="0"/>
    <n v="0"/>
    <n v="0"/>
    <n v="0"/>
    <n v="0"/>
    <n v="0"/>
    <n v="0"/>
    <n v="0"/>
    <n v="0"/>
    <n v="0"/>
    <n v="0"/>
    <n v="0"/>
    <n v="49.92709059483861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55"/>
    <s v="Regular"/>
    <s v="Verde"/>
    <s v="A4"/>
    <s v="Rural"/>
    <s v="Agropecuária rural"/>
    <s v="Não se aplica"/>
    <s v="Não se aplica"/>
    <s v="Não se aplica"/>
    <s v="CATIVO"/>
    <x v="9"/>
    <n v="1141"/>
    <n v="1095.3599999999999"/>
    <n v="0"/>
    <n v="0"/>
    <n v="0"/>
    <n v="0"/>
    <n v="43.29"/>
    <m/>
    <m/>
    <n v="49393.89"/>
    <m/>
    <n v="49393.89"/>
    <n v="38212.090000000004"/>
    <n v="0"/>
    <n v="0"/>
    <n v="0"/>
    <n v="0"/>
    <n v="0"/>
    <n v="27000.609347777758"/>
    <n v="22396.90248608799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8.75"/>
    <n v="440.56"/>
    <n v="261.48"/>
    <n v="42"/>
    <m/>
    <m/>
    <m/>
    <m/>
    <m/>
    <n v="1528.4836000000034"/>
    <m/>
    <m/>
    <m/>
    <n v="0"/>
    <m/>
    <m/>
    <m/>
    <m/>
    <m/>
    <m/>
    <m/>
    <m/>
    <m/>
    <m/>
    <m/>
    <m/>
    <n v="36683.606399999997"/>
    <n v="-10734.558000000005"/>
    <m/>
    <m/>
    <m/>
    <m/>
    <n v="-11181.799999999997"/>
    <n v="0"/>
    <n v="30"/>
    <n v="255.19622568992781"/>
    <n v="0"/>
    <n v="0"/>
    <n v="0"/>
    <n v="0"/>
    <m/>
    <m/>
    <m/>
    <n v="1219.6710613182295"/>
    <n v="0"/>
    <n v="0"/>
    <m/>
    <m/>
    <n v="0"/>
    <n v="0"/>
    <n v="0"/>
    <n v="0"/>
    <n v="0"/>
    <m/>
    <n v="0"/>
    <n v="0"/>
    <m/>
    <n v="0"/>
    <n v="0"/>
    <n v="0"/>
    <n v="0"/>
    <n v="-964.47483562830041"/>
    <m/>
    <m/>
    <n v="22396.902486087994"/>
    <m/>
    <n v="0"/>
    <n v="0"/>
    <n v="-11181.799999999996"/>
    <m/>
    <n v="0"/>
    <m/>
    <n v="-11440.38980946256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56"/>
    <s v="Sistema de Compensação"/>
    <s v="Verde"/>
    <s v="A4"/>
    <s v="Rural"/>
    <s v="Agropecuária rural"/>
    <s v="Não se aplica"/>
    <s v="Não se aplica"/>
    <s v="Não se aplica"/>
    <s v="CATIVO"/>
    <x v="9"/>
    <n v="77"/>
    <n v="73.92"/>
    <n v="0"/>
    <n v="0"/>
    <n v="0"/>
    <n v="0"/>
    <n v="43.29"/>
    <m/>
    <m/>
    <n v="3333.33"/>
    <m/>
    <n v="3333.33"/>
    <n v="2578.73"/>
    <n v="0"/>
    <n v="0"/>
    <n v="0"/>
    <n v="0"/>
    <n v="0"/>
    <n v="1822.127011199726"/>
    <n v="1511.44740703661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.54"/>
    <n v="126.54"/>
    <n v="24.56"/>
    <n v="4"/>
    <m/>
    <m/>
    <m/>
    <m/>
    <m/>
    <n v="103.14919999999995"/>
    <m/>
    <m/>
    <m/>
    <n v="0"/>
    <m/>
    <m/>
    <m/>
    <m/>
    <m/>
    <m/>
    <m/>
    <m/>
    <m/>
    <m/>
    <m/>
    <m/>
    <n v="2475.5808000000002"/>
    <n v="-724.44600000000037"/>
    <m/>
    <m/>
    <m/>
    <m/>
    <n v="-754.5999999999998"/>
    <n v="0"/>
    <n v="30"/>
    <n v="17.221831181529069"/>
    <n v="0"/>
    <n v="0"/>
    <n v="0"/>
    <n v="0"/>
    <m/>
    <m/>
    <m/>
    <n v="82.309090027610637"/>
    <n v="0"/>
    <n v="0"/>
    <m/>
    <m/>
    <n v="0"/>
    <n v="0"/>
    <n v="0"/>
    <n v="0"/>
    <n v="0"/>
    <m/>
    <n v="0"/>
    <n v="0"/>
    <m/>
    <n v="0"/>
    <n v="0"/>
    <n v="0"/>
    <n v="0"/>
    <n v="-65.087258846081625"/>
    <m/>
    <m/>
    <n v="1511.4474070366132"/>
    <m/>
    <n v="0"/>
    <n v="0"/>
    <n v="-754.59999999999991"/>
    <m/>
    <n v="0"/>
    <m/>
    <n v="-772.0508460373508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57"/>
    <s v="Regular"/>
    <s v="Verde"/>
    <s v="A4"/>
    <s v="Rural"/>
    <s v="Agropecuária rural"/>
    <s v="IRRIG./AQUIC. PR"/>
    <s v="Não se aplica"/>
    <s v="Fora ponta"/>
    <s v="CATIVO"/>
    <x v="9"/>
    <n v="0"/>
    <n v="0"/>
    <n v="6.133"/>
    <n v="1.8399000000000001"/>
    <n v="6.133"/>
    <n v="1.8399000000000001"/>
    <m/>
    <n v="95.29"/>
    <n v="159.41"/>
    <m/>
    <n v="1562.0751"/>
    <n v="1562.0751"/>
    <n v="1698.2890299999999"/>
    <n v="0"/>
    <n v="330.65528598903285"/>
    <n v="0"/>
    <n v="0"/>
    <n v="0"/>
    <n v="0"/>
    <n v="0"/>
    <n v="945.89698560149748"/>
    <n v="31.779655811332987"/>
    <n v="0"/>
    <n v="0"/>
    <n v="0"/>
    <n v="0"/>
    <n v="58.729947466101486"/>
    <m/>
    <n v="6.5852068429121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82949944337798"/>
    <n v="0"/>
    <n v="0"/>
    <n v="0"/>
    <n v="0"/>
    <n v="0"/>
    <m/>
    <m/>
    <m/>
    <m/>
    <m/>
    <m/>
    <n v="1188.8023210000001"/>
    <m/>
    <m/>
    <n v="977.7264850448754"/>
    <m/>
    <m/>
    <m/>
    <m/>
    <m/>
    <m/>
    <m/>
    <m/>
    <m/>
    <m/>
    <m/>
    <m/>
    <n v="509.51440000000002"/>
    <n v="40.861870000000067"/>
    <m/>
    <m/>
    <m/>
    <m/>
    <n v="-32.259580000000028"/>
    <n v="168.47351"/>
    <n v="30"/>
    <n v="136.19454487237408"/>
    <n v="0"/>
    <n v="0"/>
    <n v="0"/>
    <n v="0"/>
    <n v="0"/>
    <n v="0"/>
    <n v="0"/>
    <n v="0"/>
    <n v="0"/>
    <n v="0"/>
    <n v="187.54582844405866"/>
    <n v="0"/>
    <n v="0"/>
    <n v="0"/>
    <n v="6.310930188948678"/>
    <n v="0"/>
    <n v="-23.159748529768592"/>
    <m/>
    <n v="0"/>
    <n v="0"/>
    <n v="0"/>
    <n v="0"/>
    <n v="-3.5831949610657716"/>
    <n v="-0.41959348200447266"/>
    <n v="0"/>
    <n v="-30.499676787794112"/>
    <m/>
    <m/>
    <m/>
    <n v="0"/>
    <n v="0"/>
    <n v="0"/>
    <n v="-32.259580000000028"/>
    <n v="168.47350999999992"/>
    <n v="0"/>
    <n v="0"/>
    <n v="0"/>
    <n v="0"/>
    <n v="0"/>
    <n v="0"/>
    <n v="0"/>
    <n v="0"/>
    <n v="0"/>
    <n v="0"/>
    <n v="0"/>
    <n v="0"/>
    <n v="0"/>
    <n v="0"/>
    <n v="0"/>
    <n v="156.6254969913786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59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5.26"/>
    <n v="75.63"/>
    <n v="46.72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660"/>
    <s v="Regular"/>
    <s v="Convencional"/>
    <s v="B2"/>
    <s v="Rural"/>
    <s v="Aquicultura"/>
    <s v="IRRIG./AQUIC."/>
    <s v="Não se aplica"/>
    <s v="Não se aplica"/>
    <s v="CATIVO"/>
    <x v="9"/>
    <n v="0"/>
    <n v="0"/>
    <n v="7.9829999999999997"/>
    <n v="7.9829999999999997"/>
    <n v="7.9829999999999997"/>
    <n v="7.9829999999999997"/>
    <m/>
    <n v="648.44000000000005"/>
    <n v="159.41"/>
    <m/>
    <n v="6449.0665500000005"/>
    <n v="6449.0665500000005"/>
    <n v="4884.15906"/>
    <n v="0"/>
    <n v="494.7085107793435"/>
    <n v="0"/>
    <n v="0"/>
    <n v="0"/>
    <n v="931.17245444972536"/>
    <n v="3333.2696444532357"/>
    <n v="1231.223811520749"/>
    <n v="41.365888201837798"/>
    <n v="0"/>
    <n v="0"/>
    <n v="0"/>
    <n v="0"/>
    <n v="76.445649864974428"/>
    <m/>
    <n v="16.5654884979387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.998529032721976"/>
    <n v="0"/>
    <n v="0"/>
    <n v="0"/>
    <n v="0"/>
    <n v="0"/>
    <m/>
    <m/>
    <m/>
    <m/>
    <m/>
    <n v="586.11186000000009"/>
    <m/>
    <m/>
    <m/>
    <n v="1321.222340553471"/>
    <m/>
    <m/>
    <m/>
    <m/>
    <m/>
    <m/>
    <m/>
    <m/>
    <m/>
    <m/>
    <m/>
    <m/>
    <n v="4296.4319999999998"/>
    <n v="-1378.7925300000006"/>
    <m/>
    <m/>
    <m/>
    <m/>
    <n v="-1784.2005000000004"/>
    <n v="219.29300999999998"/>
    <n v="30"/>
    <n v="137.7388258190017"/>
    <n v="0"/>
    <n v="0"/>
    <n v="0"/>
    <n v="0"/>
    <n v="0"/>
    <n v="0"/>
    <n v="0"/>
    <n v="42.062906105580623"/>
    <n v="0"/>
    <n v="0"/>
    <n v="244.11843281736856"/>
    <n v="0"/>
    <n v="0"/>
    <n v="0"/>
    <n v="17.844277910934792"/>
    <n v="0"/>
    <n v="-34.650360029525871"/>
    <m/>
    <n v="0"/>
    <n v="0"/>
    <n v="0"/>
    <n v="0"/>
    <n v="-4.6640543574413869"/>
    <n v="-1.0555129346372603"/>
    <n v="0"/>
    <n v="-125.91686369327853"/>
    <m/>
    <m/>
    <m/>
    <n v="3333.2696444532357"/>
    <n v="0"/>
    <n v="0"/>
    <n v="-1784.2005000000008"/>
    <n v="219.29301000000009"/>
    <n v="0"/>
    <n v="0"/>
    <n v="-1702.6418763166382"/>
    <n v="0"/>
    <n v="0"/>
    <n v="0"/>
    <n v="0"/>
    <n v="0"/>
    <n v="0"/>
    <n v="0"/>
    <n v="0"/>
    <n v="0"/>
    <n v="0"/>
    <n v="0"/>
    <n v="0"/>
    <n v="234.3345763698132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61"/>
    <s v="Regular"/>
    <s v="Convencional"/>
    <s v="B2"/>
    <s v="Rural"/>
    <s v="Aquicultura"/>
    <s v="IRRIG./AQUIC. PR"/>
    <s v="Não se aplica"/>
    <s v="Não se aplica"/>
    <s v="CATIVO"/>
    <x v="9"/>
    <n v="0"/>
    <n v="0"/>
    <n v="7.8140000000000001"/>
    <n v="3.1255999999999999"/>
    <n v="7.8140000000000001"/>
    <n v="3.1255999999999999"/>
    <m/>
    <n v="648.44000000000005"/>
    <n v="159.41"/>
    <m/>
    <n v="6312.5399000000007"/>
    <n v="6312.5399000000007"/>
    <n v="4780.7614800000001"/>
    <n v="0"/>
    <n v="484.23553842287237"/>
    <n v="0"/>
    <n v="0"/>
    <n v="0"/>
    <n v="911.45954641991159"/>
    <n v="3262.7043720102197"/>
    <n v="1205.1588203962338"/>
    <n v="40.490172918597089"/>
    <n v="0"/>
    <n v="0"/>
    <n v="0"/>
    <n v="0"/>
    <n v="74.827296510699014"/>
    <m/>
    <n v="16.2147973346979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093261413214279"/>
    <n v="0"/>
    <n v="0"/>
    <n v="0"/>
    <n v="0"/>
    <n v="0"/>
    <m/>
    <m/>
    <m/>
    <m/>
    <m/>
    <m/>
    <n v="3097.9384399999999"/>
    <m/>
    <m/>
    <n v="1293.2520818094481"/>
    <m/>
    <m/>
    <m/>
    <m/>
    <m/>
    <m/>
    <m/>
    <m/>
    <m/>
    <m/>
    <m/>
    <m/>
    <n v="1685.1919999999998"/>
    <n v="-536.85829600000056"/>
    <m/>
    <m/>
    <m/>
    <m/>
    <n v="-1746.4290000000005"/>
    <n v="214.65057999999999"/>
    <n v="30"/>
    <n v="134.82289677435483"/>
    <n v="0"/>
    <n v="0"/>
    <n v="0"/>
    <n v="0"/>
    <n v="0"/>
    <n v="0"/>
    <n v="0"/>
    <n v="41.172434962922011"/>
    <n v="0"/>
    <n v="0"/>
    <n v="238.95044895840124"/>
    <n v="0"/>
    <n v="0"/>
    <n v="0"/>
    <n v="17.466514793441618"/>
    <n v="0"/>
    <n v="-33.916812385157812"/>
    <m/>
    <n v="0"/>
    <n v="0"/>
    <n v="0"/>
    <n v="0"/>
    <n v="-4.5653163909616836"/>
    <n v="-1.0331677403551982"/>
    <n v="0"/>
    <n v="-123.25120542393569"/>
    <m/>
    <m/>
    <m/>
    <n v="3262.7043720102197"/>
    <n v="0"/>
    <n v="0"/>
    <n v="-1746.4290000000005"/>
    <n v="214.65057999999999"/>
    <n v="0"/>
    <n v="0"/>
    <n v="-1666.5969712561955"/>
    <n v="0"/>
    <n v="0"/>
    <n v="0"/>
    <n v="0"/>
    <n v="0"/>
    <n v="0"/>
    <n v="0"/>
    <n v="0"/>
    <n v="0"/>
    <n v="0"/>
    <n v="0"/>
    <n v="0"/>
    <n v="229.3737166170262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62"/>
    <s v="Regular"/>
    <s v="Convencional"/>
    <s v="B1"/>
    <s v="Residencial"/>
    <s v="Residencial"/>
    <s v="Não se aplica"/>
    <s v="Não se aplica"/>
    <s v="Não se aplica"/>
    <s v="CATIVO"/>
    <x v="10"/>
    <n v="0"/>
    <n v="0"/>
    <n v="1028.6020000000001"/>
    <n v="1028.6020000000001"/>
    <n v="1028.6020000000001"/>
    <n v="1028.6020000000001"/>
    <m/>
    <n v="648.44000000000005"/>
    <n v="159.41"/>
    <m/>
    <n v="830956.12570000009"/>
    <n v="830956.12570000009"/>
    <n v="629319.27564000001"/>
    <n v="0"/>
    <n v="63742.723738526161"/>
    <n v="0"/>
    <n v="0"/>
    <n v="0"/>
    <n v="119980.69009042923"/>
    <n v="429488.64121556905"/>
    <n v="158642.02367253735"/>
    <n v="5329.955572615153"/>
    <n v="0"/>
    <n v="0"/>
    <n v="0"/>
    <n v="0"/>
    <n v="9849.9496858840575"/>
    <m/>
    <n v="2134.447525987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96.22534888086"/>
    <n v="0"/>
    <n v="222.44"/>
    <n v="1100.1600000000001"/>
    <n v="211368.03"/>
    <n v="6954"/>
    <m/>
    <m/>
    <m/>
    <m/>
    <m/>
    <m/>
    <m/>
    <m/>
    <m/>
    <n v="170238.24902141822"/>
    <m/>
    <m/>
    <m/>
    <m/>
    <m/>
    <m/>
    <m/>
    <m/>
    <m/>
    <m/>
    <m/>
    <m/>
    <n v="629318.05199999991"/>
    <n v="-201638.10370000021"/>
    <m/>
    <m/>
    <m/>
    <m/>
    <n v="-229892.54700000008"/>
    <n v="28255.696940000002"/>
    <n v="31"/>
    <n v="17747.517438942159"/>
    <n v="0"/>
    <n v="0"/>
    <n v="0"/>
    <n v="0"/>
    <n v="0"/>
    <n v="0"/>
    <n v="0"/>
    <n v="5419.7656703009416"/>
    <n v="0"/>
    <n v="0"/>
    <n v="31454.429191132513"/>
    <n v="0"/>
    <n v="0"/>
    <n v="0"/>
    <n v="2299.2183324243197"/>
    <n v="0"/>
    <n v="-4464.6661188889339"/>
    <m/>
    <n v="0"/>
    <n v="0"/>
    <n v="0"/>
    <n v="0"/>
    <n v="-600.95899288148939"/>
    <n v="-136.00184336637312"/>
    <n v="0"/>
    <n v="-16224.268799778743"/>
    <m/>
    <m/>
    <m/>
    <n v="429488.64121556905"/>
    <n v="0"/>
    <n v="0"/>
    <n v="-229892.54700000008"/>
    <n v="28255.696939999994"/>
    <n v="0"/>
    <n v="0"/>
    <n v="-219383.79547326156"/>
    <n v="0"/>
    <n v="0"/>
    <n v="0"/>
    <n v="0"/>
    <n v="0"/>
    <n v="0"/>
    <n v="0"/>
    <n v="0"/>
    <n v="0"/>
    <n v="0"/>
    <n v="0"/>
    <n v="0"/>
    <n v="30193.78854104254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63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5.8999999999999997E-2"/>
    <n v="-5.8999999999999997E-2"/>
    <n v="-5.8999999999999997E-2"/>
    <n v="-5.8999999999999997E-2"/>
    <m/>
    <n v="648.44000000000005"/>
    <n v="159.41"/>
    <m/>
    <n v="-47.663150000000002"/>
    <n v="-47.663150000000002"/>
    <n v="-36.097380000000001"/>
    <n v="0"/>
    <n v="-3.6562447871703951"/>
    <n v="0"/>
    <n v="0"/>
    <n v="0"/>
    <n v="-6.8820211465030434"/>
    <n v="-24.635213456437544"/>
    <n v="-9.0996122860734303"/>
    <n v="-0.30572308704853191"/>
    <n v="0"/>
    <n v="0"/>
    <n v="0"/>
    <n v="0"/>
    <n v="-0.56498726569378566"/>
    <m/>
    <n v="-0.12243064278822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6651526008932227"/>
    <n v="0"/>
    <n v="-0.08"/>
    <n v="-0.37"/>
    <n v="-23.97"/>
    <n v="0"/>
    <m/>
    <m/>
    <m/>
    <m/>
    <m/>
    <m/>
    <m/>
    <m/>
    <m/>
    <n v="-9.7647648869666526"/>
    <m/>
    <m/>
    <m/>
    <m/>
    <m/>
    <m/>
    <m/>
    <m/>
    <m/>
    <m/>
    <m/>
    <m/>
    <n v="-36.709199999999996"/>
    <n v="10.923950000000012"/>
    <m/>
    <m/>
    <m/>
    <m/>
    <n v="13.186500000000002"/>
    <n v="-1.6207299999999998"/>
    <n v="31"/>
    <n v="-1.0179870629238401"/>
    <n v="0"/>
    <n v="0"/>
    <n v="0"/>
    <n v="0"/>
    <n v="0"/>
    <n v="0"/>
    <n v="0"/>
    <n v="-0.31087454092812905"/>
    <n v="0"/>
    <n v="0"/>
    <n v="-1.8042073827163652"/>
    <n v="0"/>
    <n v="0"/>
    <n v="0"/>
    <n v="-0.13188179841477543"/>
    <n v="0"/>
    <n v="0.25609059773794618"/>
    <m/>
    <n v="0"/>
    <n v="0"/>
    <n v="0"/>
    <n v="0"/>
    <n v="3.4470651019546827E-2"/>
    <n v="7.8009849860451591E-3"/>
    <n v="0"/>
    <n v="0.93061442539188699"/>
    <m/>
    <m/>
    <m/>
    <n v="-24.635213456437544"/>
    <n v="0"/>
    <n v="0"/>
    <n v="13.186500000000006"/>
    <n v="-1.62073"/>
    <n v="0"/>
    <n v="0"/>
    <n v="12.583724251870432"/>
    <n v="0"/>
    <n v="0"/>
    <n v="0"/>
    <n v="0"/>
    <n v="0"/>
    <n v="0"/>
    <n v="0"/>
    <n v="0"/>
    <n v="0"/>
    <n v="0"/>
    <n v="0"/>
    <n v="0"/>
    <n v="-1.73189778351734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64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33.11"/>
    <n v="33.11"/>
    <n v="33.11"/>
    <n v="33.11"/>
    <m/>
    <n v="648.44000000000005"/>
    <n v="159.41"/>
    <m/>
    <n v="26747.913500000002"/>
    <n v="26747.913500000002"/>
    <n v="20257.360199999999"/>
    <n v="0"/>
    <n v="2051.8349983595217"/>
    <n v="0"/>
    <n v="0"/>
    <n v="0"/>
    <n v="3862.0969518765387"/>
    <n v="13824.94775496012"/>
    <n v="5106.5790303710382"/>
    <n v="171.56765105384562"/>
    <n v="0"/>
    <n v="0"/>
    <n v="0"/>
    <n v="0"/>
    <n v="317.06319266307196"/>
    <m/>
    <n v="68.706416656238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3.27462060295937"/>
    <n v="0"/>
    <n v="6.47"/>
    <n v="34.799999999999997"/>
    <n v="17400.21"/>
    <n v="322"/>
    <m/>
    <m/>
    <m/>
    <m/>
    <m/>
    <m/>
    <m/>
    <m/>
    <m/>
    <n v="5479.8536509739979"/>
    <m/>
    <m/>
    <m/>
    <m/>
    <m/>
    <m/>
    <m/>
    <m/>
    <m/>
    <m/>
    <m/>
    <m/>
    <n v="20257.360199999999"/>
    <n v="-6490.5832999999984"/>
    <m/>
    <m/>
    <m/>
    <m/>
    <n v="-7400.0850000000019"/>
    <n v="909.5317"/>
    <n v="31"/>
    <n v="571.28053649845242"/>
    <n v="0"/>
    <n v="0"/>
    <n v="0"/>
    <n v="0"/>
    <n v="0"/>
    <n v="0"/>
    <n v="0"/>
    <n v="174.45857712085353"/>
    <n v="0"/>
    <n v="0"/>
    <n v="1012.4967193515067"/>
    <n v="0"/>
    <n v="0"/>
    <n v="0"/>
    <n v="74.010277042596897"/>
    <n v="0"/>
    <n v="-143.71457103565058"/>
    <m/>
    <n v="0"/>
    <n v="0"/>
    <n v="0"/>
    <n v="0"/>
    <n v="-19.344461953511768"/>
    <n v="-4.3778069981009224"/>
    <n v="0"/>
    <n v="-522.24819702924367"/>
    <m/>
    <m/>
    <m/>
    <n v="13824.94775496012"/>
    <n v="0"/>
    <n v="0"/>
    <n v="-7400.0850000000028"/>
    <n v="909.53169999999955"/>
    <n v="0"/>
    <n v="0"/>
    <n v="-7061.8154233801688"/>
    <n v="0"/>
    <n v="0"/>
    <n v="0"/>
    <n v="0"/>
    <n v="0"/>
    <n v="0"/>
    <n v="0"/>
    <n v="0"/>
    <n v="0"/>
    <n v="0"/>
    <n v="0"/>
    <n v="0"/>
    <n v="971.9175527501586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65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47.07"/>
    <n v="47.07"/>
    <n v="47.07"/>
    <n v="47.07"/>
    <m/>
    <n v="547.54"/>
    <n v="159.41"/>
    <m/>
    <n v="33276.136500000001"/>
    <n v="33276.136500000001"/>
    <n v="24373.787400000001"/>
    <n v="0"/>
    <n v="0"/>
    <n v="0"/>
    <n v="0"/>
    <n v="0"/>
    <n v="5490.4531417948865"/>
    <n v="19653.889786347714"/>
    <n v="7259.63983568604"/>
    <n v="243.90484249787113"/>
    <n v="0"/>
    <n v="0"/>
    <n v="0"/>
    <n v="0"/>
    <n v="0"/>
    <m/>
    <n v="97.6747517973164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0.65649023803383"/>
    <n v="0"/>
    <n v="0"/>
    <n v="15.24"/>
    <n v="2540.16"/>
    <n v="119"/>
    <m/>
    <m/>
    <m/>
    <m/>
    <m/>
    <m/>
    <m/>
    <n v="15842.820600000001"/>
    <m/>
    <n v="7790.2963259240742"/>
    <m/>
    <m/>
    <m/>
    <m/>
    <m/>
    <m/>
    <m/>
    <m/>
    <m/>
    <m/>
    <m/>
    <m/>
    <n v="8530.9668000000001"/>
    <n v="-3115.5932999999986"/>
    <m/>
    <m/>
    <m/>
    <m/>
    <n v="-10195.361999999999"/>
    <n v="1293.0128999999999"/>
    <n v="31"/>
    <n v="1136.6860709826797"/>
    <n v="0"/>
    <n v="0"/>
    <n v="0"/>
    <n v="0"/>
    <n v="0"/>
    <n v="0"/>
    <n v="0"/>
    <n v="248.01465494045806"/>
    <n v="0"/>
    <n v="0"/>
    <n v="1439.3905339738876"/>
    <n v="0"/>
    <n v="0"/>
    <n v="0"/>
    <n v="105.214851718364"/>
    <n v="0"/>
    <n v="0"/>
    <m/>
    <n v="0"/>
    <n v="0"/>
    <n v="0"/>
    <n v="0"/>
    <n v="0"/>
    <n v="-6.2235993778499221"/>
    <n v="0"/>
    <n v="-649.71037027217835"/>
    <m/>
    <m/>
    <m/>
    <n v="19653.889786347714"/>
    <n v="0"/>
    <n v="0"/>
    <n v="-10195.362000000001"/>
    <n v="1293.0129000000006"/>
    <n v="0"/>
    <n v="0"/>
    <n v="-10039.25255144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66"/>
    <s v="Sistema de Compensaçã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.11799999999999999"/>
    <n v="0.11799999999999999"/>
    <n v="0.11799999999999999"/>
    <n v="0.11799999999999999"/>
    <m/>
    <n v="547.54"/>
    <n v="159.41"/>
    <m/>
    <n v="83.420099999999991"/>
    <n v="83.420099999999991"/>
    <n v="61.102759999999996"/>
    <n v="0"/>
    <n v="0"/>
    <n v="0"/>
    <n v="0"/>
    <n v="0"/>
    <n v="13.764042293006087"/>
    <n v="49.270426912875088"/>
    <n v="18.199224572146861"/>
    <n v="0.61144617409706381"/>
    <n v="0"/>
    <n v="0"/>
    <n v="0"/>
    <n v="0"/>
    <n v="0"/>
    <m/>
    <n v="0.24486128557644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303052017864454"/>
    <n v="0"/>
    <n v="0"/>
    <n v="0.04"/>
    <n v="8.34"/>
    <n v="0"/>
    <m/>
    <m/>
    <m/>
    <m/>
    <m/>
    <m/>
    <m/>
    <n v="39.716439999999999"/>
    <m/>
    <n v="19.529529773933305"/>
    <m/>
    <m/>
    <m/>
    <m/>
    <m/>
    <m/>
    <m/>
    <m/>
    <m/>
    <m/>
    <m/>
    <m/>
    <n v="21.748799999999999"/>
    <n v="-7.4779400000000038"/>
    <m/>
    <m/>
    <m/>
    <m/>
    <n v="-25.558799999999994"/>
    <n v="3.2414599999999996"/>
    <n v="31"/>
    <n v="2.8495635516455593"/>
    <n v="0"/>
    <n v="0"/>
    <n v="0"/>
    <n v="0"/>
    <n v="0"/>
    <n v="0"/>
    <n v="0"/>
    <n v="0.6217490818562581"/>
    <n v="0"/>
    <n v="0"/>
    <n v="3.6084147654327303"/>
    <n v="0"/>
    <n v="0"/>
    <n v="0"/>
    <n v="0.26376359682955086"/>
    <n v="0"/>
    <n v="0"/>
    <m/>
    <n v="0"/>
    <n v="0"/>
    <n v="0"/>
    <n v="0"/>
    <n v="0"/>
    <n v="-1.5601969972090318E-2"/>
    <n v="0"/>
    <n v="-1.6287619225008934"/>
    <m/>
    <m/>
    <m/>
    <n v="49.270426912875088"/>
    <n v="0"/>
    <n v="0"/>
    <n v="-25.558799999999998"/>
    <n v="3.24146"/>
    <n v="0"/>
    <n v="0"/>
    <n v="-25.167448503740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67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86.97"/>
    <n v="86.97"/>
    <n v="86.97"/>
    <n v="86.97"/>
    <m/>
    <n v="547.54"/>
    <n v="159.41"/>
    <m/>
    <n v="61483.441499999994"/>
    <n v="61483.441499999994"/>
    <n v="45034.805399999997"/>
    <n v="0"/>
    <n v="0"/>
    <n v="0"/>
    <n v="0"/>
    <n v="0"/>
    <n v="10144.565747650335"/>
    <n v="36313.974818752089"/>
    <n v="13413.445432539089"/>
    <n v="450.65655729848845"/>
    <n v="0"/>
    <n v="0"/>
    <n v="0"/>
    <n v="0"/>
    <n v="0"/>
    <m/>
    <n v="180.47106785240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0.48002880819627"/>
    <n v="0"/>
    <n v="9.0299999999999994"/>
    <n v="39.97"/>
    <n v="8869.09"/>
    <n v="499"/>
    <m/>
    <m/>
    <m/>
    <m/>
    <m/>
    <m/>
    <m/>
    <n v="18014.096099999999"/>
    <m/>
    <n v="14393.925461347286"/>
    <m/>
    <m/>
    <m/>
    <m/>
    <m/>
    <m/>
    <m/>
    <m/>
    <m/>
    <m/>
    <m/>
    <m/>
    <n v="27020.709300000002"/>
    <n v="-9869.3855999999942"/>
    <m/>
    <m/>
    <m/>
    <m/>
    <n v="-18837.701999999997"/>
    <n v="2389.0659000000001"/>
    <n v="31"/>
    <n v="2100.2249329374026"/>
    <n v="0"/>
    <n v="0"/>
    <n v="0"/>
    <n v="0"/>
    <n v="0"/>
    <n v="0"/>
    <n v="0"/>
    <n v="458.25014956812447"/>
    <n v="0"/>
    <n v="0"/>
    <n v="2659.5240012685135"/>
    <n v="0"/>
    <n v="0"/>
    <n v="0"/>
    <n v="194.4027120022547"/>
    <n v="0"/>
    <n v="0"/>
    <m/>
    <n v="0"/>
    <n v="0"/>
    <n v="0"/>
    <n v="0"/>
    <n v="0"/>
    <n v="-11.499180749768584"/>
    <n v="0"/>
    <n v="-1200.4527491517179"/>
    <m/>
    <m/>
    <m/>
    <n v="36313.974818752089"/>
    <n v="0"/>
    <n v="0"/>
    <n v="-18837.701999999994"/>
    <n v="2389.0658999999996"/>
    <n v="0"/>
    <n v="0"/>
    <n v="-18549.26268110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68"/>
    <s v="Sistema de Compensaçã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.9E-2"/>
    <n v="1.9E-2"/>
    <n v="1.9E-2"/>
    <n v="1.9E-2"/>
    <m/>
    <n v="547.54"/>
    <n v="159.41"/>
    <m/>
    <n v="13.43205"/>
    <n v="13.43205"/>
    <n v="9.8385800000000003"/>
    <n v="0"/>
    <n v="0"/>
    <n v="0"/>
    <n v="0"/>
    <n v="0"/>
    <n v="2.216244098026404"/>
    <n v="7.9333738249544634"/>
    <n v="2.930383617549071"/>
    <n v="9.8453197524103489E-2"/>
    <n v="0"/>
    <n v="0"/>
    <n v="0"/>
    <n v="0"/>
    <n v="0"/>
    <m/>
    <n v="3.942681716908883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1420168503341069"/>
    <n v="0"/>
    <n v="0"/>
    <n v="0.01"/>
    <n v="22.2"/>
    <n v="0"/>
    <m/>
    <m/>
    <m/>
    <m/>
    <m/>
    <m/>
    <m/>
    <n v="3.9354699999999996"/>
    <m/>
    <n v="3.1445853025824815"/>
    <m/>
    <m/>
    <m/>
    <m/>
    <m/>
    <m/>
    <m/>
    <m/>
    <m/>
    <m/>
    <m/>
    <m/>
    <n v="6.2138"/>
    <n v="-1.8754299999999988"/>
    <m/>
    <m/>
    <m/>
    <m/>
    <n v="-4.1153999999999993"/>
    <n v="0.52193000000000001"/>
    <n v="31"/>
    <n v="0.45882802950225088"/>
    <n v="0"/>
    <n v="0"/>
    <n v="0"/>
    <n v="0"/>
    <n v="0"/>
    <n v="0"/>
    <n v="0"/>
    <n v="0.10011214029888915"/>
    <n v="0"/>
    <n v="0"/>
    <n v="0.58101593680696473"/>
    <n v="0"/>
    <n v="0"/>
    <n v="0"/>
    <n v="4.2470409658995512E-2"/>
    <n v="0"/>
    <n v="0"/>
    <m/>
    <n v="0"/>
    <n v="0"/>
    <n v="0"/>
    <n v="0"/>
    <n v="0"/>
    <n v="-2.5121816056755605E-3"/>
    <n v="0"/>
    <n v="-0.2622582756569235"/>
    <m/>
    <m/>
    <m/>
    <n v="7.9333738249544634"/>
    <n v="0"/>
    <n v="0"/>
    <n v="-4.1153999999999993"/>
    <n v="0.52192999999999978"/>
    <n v="0"/>
    <n v="0"/>
    <n v="-4.0523857760260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69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56.470999999999997"/>
    <n v="56.470999999999997"/>
    <n v="56.470999999999997"/>
    <n v="56.470999999999997"/>
    <m/>
    <n v="547.54"/>
    <n v="159.41"/>
    <m/>
    <n v="39922.173449999995"/>
    <n v="39922.173449999995"/>
    <n v="29241.813219999996"/>
    <n v="0"/>
    <n v="0"/>
    <n v="0"/>
    <n v="0"/>
    <n v="0"/>
    <n v="6587.0273926131076"/>
    <n v="23579.239645737023"/>
    <n v="8709.5628035059781"/>
    <n v="292.61844828334989"/>
    <n v="0"/>
    <n v="0"/>
    <n v="0"/>
    <n v="0"/>
    <n v="0"/>
    <m/>
    <n v="117.182725913453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6.64122923798607"/>
    <n v="0"/>
    <n v="8.36"/>
    <n v="48.96"/>
    <n v="8787.65"/>
    <n v="812"/>
    <m/>
    <m/>
    <m/>
    <m/>
    <m/>
    <m/>
    <m/>
    <n v="2924.6330900000012"/>
    <m/>
    <n v="9346.2040327439645"/>
    <m/>
    <m/>
    <m/>
    <m/>
    <m/>
    <m/>
    <m/>
    <m/>
    <m/>
    <m/>
    <m/>
    <m/>
    <n v="26316.714099999997"/>
    <n v="-9613.5543600000019"/>
    <m/>
    <m/>
    <m/>
    <m/>
    <n v="-12231.618599999998"/>
    <n v="1551.2583699999998"/>
    <n v="31"/>
    <n v="1363.7093502116586"/>
    <n v="0"/>
    <n v="0"/>
    <n v="0"/>
    <n v="0"/>
    <n v="0"/>
    <n v="0"/>
    <n v="0"/>
    <n v="297.54908814834562"/>
    <n v="0"/>
    <n v="0"/>
    <n v="1726.8711035487431"/>
    <n v="0"/>
    <n v="0"/>
    <n v="0"/>
    <n v="126.22876336069123"/>
    <n v="0"/>
    <n v="0"/>
    <m/>
    <n v="0"/>
    <n v="0"/>
    <n v="0"/>
    <n v="0"/>
    <n v="0"/>
    <n v="-7.4666003923212827"/>
    <n v="0"/>
    <n v="-779.47300445379619"/>
    <m/>
    <m/>
    <m/>
    <n v="23579.239645737023"/>
    <n v="0"/>
    <n v="0"/>
    <n v="-12231.618599999998"/>
    <n v="1551.2583700000014"/>
    <n v="0"/>
    <n v="0"/>
    <n v="-12044.33037673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70"/>
    <s v="Sistema de Compensaçã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6.9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671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10.244999999999999"/>
    <n v="10.244999999999999"/>
    <n v="10.244999999999999"/>
    <n v="10.244999999999999"/>
    <m/>
    <n v="547.54"/>
    <n v="159.41"/>
    <m/>
    <n v="7242.7027499999986"/>
    <n v="7242.7027499999986"/>
    <n v="5305.0658999999996"/>
    <n v="0"/>
    <n v="0"/>
    <n v="0"/>
    <n v="0"/>
    <n v="0"/>
    <n v="1195.0221465410793"/>
    <n v="4277.7586756136034"/>
    <n v="1580.0936927258015"/>
    <n v="53.087000454444222"/>
    <n v="0"/>
    <n v="0"/>
    <n v="0"/>
    <n v="0"/>
    <n v="0"/>
    <m/>
    <n v="21.259354836700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.49980332459434"/>
    <n v="0"/>
    <n v="1.83"/>
    <n v="9.27"/>
    <n v="1771.36"/>
    <n v="139"/>
    <m/>
    <m/>
    <m/>
    <m/>
    <m/>
    <m/>
    <m/>
    <m/>
    <m/>
    <n v="1695.5934960503957"/>
    <m/>
    <m/>
    <m/>
    <m/>
    <m/>
    <m/>
    <m/>
    <m/>
    <m/>
    <m/>
    <m/>
    <m/>
    <n v="5307.6549999999997"/>
    <n v="-1935.0777499999995"/>
    <m/>
    <m/>
    <m/>
    <m/>
    <n v="-2219.0669999999996"/>
    <n v="281.43014999999997"/>
    <n v="31"/>
    <n v="247.40490327634507"/>
    <n v="0"/>
    <n v="0"/>
    <n v="0"/>
    <n v="0"/>
    <n v="0"/>
    <n v="0"/>
    <n v="0"/>
    <n v="53.981519861164088"/>
    <n v="0"/>
    <n v="0"/>
    <n v="313.28990908354513"/>
    <n v="0"/>
    <n v="0"/>
    <n v="0"/>
    <n v="22.900491945074137"/>
    <n v="0"/>
    <n v="0"/>
    <m/>
    <n v="0"/>
    <n v="0"/>
    <n v="0"/>
    <n v="0"/>
    <n v="0"/>
    <n v="-1.3545947657971631"/>
    <n v="0"/>
    <n v="-141.4124228476411"/>
    <m/>
    <m/>
    <m/>
    <n v="4277.7586756136034"/>
    <n v="0"/>
    <n v="0"/>
    <n v="-2219.0669999999996"/>
    <n v="281.43015000000014"/>
    <n v="0"/>
    <n v="0"/>
    <n v="-2185.0890671256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72"/>
    <s v="Sistema de Compensaçã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.46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673"/>
    <s v="Regular"/>
    <s v="Convencional"/>
    <s v="B3"/>
    <s v="Industrial"/>
    <s v="Não se aplica"/>
    <s v="Não se aplica"/>
    <s v="Não se aplica"/>
    <s v="Não se aplica"/>
    <s v="CATIVO"/>
    <x v="10"/>
    <n v="0"/>
    <n v="0"/>
    <n v="83.715000000000003"/>
    <n v="83.715000000000003"/>
    <n v="83.715000000000003"/>
    <n v="83.715000000000003"/>
    <m/>
    <n v="648.44000000000005"/>
    <n v="159.41"/>
    <m/>
    <n v="67629.162750000003"/>
    <n v="67629.162750000003"/>
    <n v="51218.511300000006"/>
    <n v="0"/>
    <n v="5187.8395314910113"/>
    <n v="0"/>
    <n v="0"/>
    <n v="0"/>
    <n v="9764.8881403305477"/>
    <n v="34954.862618740153"/>
    <n v="12911.42444963792"/>
    <n v="433.78997003843813"/>
    <n v="0"/>
    <n v="0"/>
    <n v="0"/>
    <n v="0"/>
    <n v="801.6594736873775"/>
    <m/>
    <n v="173.7166315426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3.78389803010407"/>
    <n v="0"/>
    <n v="20.32"/>
    <n v="88.22"/>
    <n v="10630.99"/>
    <n v="85"/>
    <m/>
    <m/>
    <m/>
    <m/>
    <m/>
    <m/>
    <m/>
    <m/>
    <m/>
    <n v="13855.208347668024"/>
    <m/>
    <m/>
    <m/>
    <m/>
    <m/>
    <m/>
    <m/>
    <m/>
    <m/>
    <m/>
    <m/>
    <m/>
    <n v="51221.570399999997"/>
    <n v="-16407.622350000005"/>
    <m/>
    <m/>
    <m/>
    <m/>
    <n v="-18710.302500000005"/>
    <n v="2299.6510499999999"/>
    <n v="31"/>
    <n v="1444.4201181808385"/>
    <n v="0"/>
    <n v="0"/>
    <n v="0"/>
    <n v="0"/>
    <n v="0"/>
    <n v="0"/>
    <n v="0"/>
    <n v="441.09935921692158"/>
    <n v="0"/>
    <n v="0"/>
    <n v="2559.9867973576365"/>
    <n v="0"/>
    <n v="0"/>
    <n v="0"/>
    <n v="187.12686024225297"/>
    <n v="0"/>
    <n v="-363.36651507851093"/>
    <m/>
    <n v="0"/>
    <n v="0"/>
    <n v="0"/>
    <n v="0"/>
    <n v="-48.910348306802689"/>
    <n v="-11.068804374691013"/>
    <n v="0"/>
    <n v="-1320.4472308759632"/>
    <m/>
    <m/>
    <m/>
    <n v="34954.862618740153"/>
    <n v="0"/>
    <n v="0"/>
    <n v="-18710.302500000005"/>
    <n v="2299.6510500000004"/>
    <n v="0"/>
    <n v="0"/>
    <n v="-17855.025012632766"/>
    <n v="0"/>
    <n v="0"/>
    <n v="0"/>
    <n v="0"/>
    <n v="0"/>
    <n v="0"/>
    <n v="0"/>
    <n v="0"/>
    <n v="0"/>
    <n v="0"/>
    <n v="0"/>
    <n v="0"/>
    <n v="2457.386829612791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74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18.504999999999999"/>
    <n v="18.504999999999999"/>
    <n v="18.504999999999999"/>
    <n v="18.504999999999999"/>
    <m/>
    <n v="648.44000000000005"/>
    <n v="159.41"/>
    <m/>
    <n v="14949.26425"/>
    <n v="14949.26425"/>
    <n v="11321.7291"/>
    <n v="0"/>
    <n v="1146.759487908274"/>
    <n v="0"/>
    <n v="0"/>
    <n v="0"/>
    <n v="2158.5051070515055"/>
    <n v="7726.6885595148597"/>
    <n v="2854.0394127760819"/>
    <n v="95.888232641238687"/>
    <n v="0"/>
    <n v="0"/>
    <n v="0"/>
    <n v="0"/>
    <n v="177.20490426548312"/>
    <m/>
    <n v="38.399644827052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8.62116744964553"/>
    <n v="0"/>
    <n v="4.51"/>
    <n v="19.489999999999998"/>
    <n v="4901.37"/>
    <n v="21"/>
    <m/>
    <m/>
    <m/>
    <m/>
    <m/>
    <m/>
    <m/>
    <m/>
    <m/>
    <n v="3062.6605802257272"/>
    <m/>
    <m/>
    <m/>
    <m/>
    <m/>
    <m/>
    <m/>
    <m/>
    <m/>
    <m/>
    <m/>
    <m/>
    <n v="11324.788200000001"/>
    <n v="-3624.50605"/>
    <m/>
    <m/>
    <m/>
    <m/>
    <n v="-4135.8675000000012"/>
    <n v="508.33234999999996"/>
    <n v="31"/>
    <n v="319.28560337975705"/>
    <n v="0"/>
    <n v="0"/>
    <n v="0"/>
    <n v="0"/>
    <n v="0"/>
    <n v="0"/>
    <n v="0"/>
    <n v="97.503955591102113"/>
    <n v="0"/>
    <n v="0"/>
    <n v="565.87894266383591"/>
    <n v="0"/>
    <n v="0"/>
    <n v="0"/>
    <n v="41.363943723142711"/>
    <n v="0"/>
    <n v="-80.321296798994808"/>
    <m/>
    <n v="0"/>
    <n v="0"/>
    <n v="0"/>
    <n v="0"/>
    <n v="-10.811515205368039"/>
    <n v="-2.446732663843477"/>
    <n v="0"/>
    <n v="-291.8816939301164"/>
    <m/>
    <m/>
    <m/>
    <n v="7726.6885595148597"/>
    <n v="0"/>
    <n v="0"/>
    <n v="-4135.8675000000003"/>
    <n v="508.33235000000013"/>
    <n v="0"/>
    <n v="0"/>
    <n v="-3946.810462387497"/>
    <n v="0"/>
    <n v="0"/>
    <n v="0"/>
    <n v="0"/>
    <n v="0"/>
    <n v="0"/>
    <n v="0"/>
    <n v="0"/>
    <n v="0"/>
    <n v="0"/>
    <n v="0"/>
    <n v="0"/>
    <n v="543.1994658303136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75"/>
    <s v="Regular"/>
    <s v="Verde"/>
    <s v="A4"/>
    <s v="Industrial"/>
    <s v="Não se aplica"/>
    <s v="Não se aplica"/>
    <s v="Não se aplica"/>
    <s v="Ponta"/>
    <s v="CATIVO"/>
    <x v="10"/>
    <n v="0"/>
    <n v="0"/>
    <n v="12.613"/>
    <n v="12.613"/>
    <n v="12.613"/>
    <n v="12.613"/>
    <m/>
    <n v="2810.7"/>
    <n v="159.41"/>
    <m/>
    <n v="37461.997429999996"/>
    <n v="37461.997429999996"/>
    <n v="23859.885969999996"/>
    <n v="0"/>
    <n v="680.01877094075837"/>
    <n v="0"/>
    <n v="0"/>
    <n v="0"/>
    <n v="7700.433179386233"/>
    <n v="26548.963747298898"/>
    <n v="1945.3120299024436"/>
    <n v="65.357377914290382"/>
    <n v="0"/>
    <n v="0"/>
    <n v="0"/>
    <n v="0"/>
    <n v="120.7827861389105"/>
    <m/>
    <n v="13.542999170006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459885289308076"/>
    <n v="0"/>
    <n v="0"/>
    <n v="0"/>
    <n v="0"/>
    <n v="0"/>
    <m/>
    <m/>
    <m/>
    <m/>
    <m/>
    <m/>
    <m/>
    <m/>
    <m/>
    <n v="2010.7719151917515"/>
    <m/>
    <m/>
    <m/>
    <m/>
    <m/>
    <m/>
    <m/>
    <m/>
    <m/>
    <m/>
    <m/>
    <m/>
    <n v="23854.210899999998"/>
    <n v="-13607.816530000004"/>
    <m/>
    <m/>
    <m/>
    <m/>
    <n v="-13948.590569999998"/>
    <n v="346.47910999999999"/>
    <n v="31"/>
    <n v="-40.772745897191271"/>
    <n v="0"/>
    <n v="0"/>
    <n v="0"/>
    <n v="0"/>
    <n v="0"/>
    <n v="0"/>
    <n v="0"/>
    <n v="347.84383520904976"/>
    <n v="0"/>
    <n v="0"/>
    <n v="385.70284268138175"/>
    <n v="0"/>
    <n v="0"/>
    <n v="0"/>
    <n v="12.97892751886674"/>
    <n v="0"/>
    <n v="-47.629856221420368"/>
    <m/>
    <n v="0"/>
    <n v="0"/>
    <n v="0"/>
    <n v="0"/>
    <n v="-7.369124089992269"/>
    <n v="-0.86292721156406493"/>
    <n v="0"/>
    <n v="-731.43644378351416"/>
    <m/>
    <m/>
    <m/>
    <n v="26548.963747298898"/>
    <n v="0"/>
    <n v="0"/>
    <n v="-13948.590569999997"/>
    <n v="346.47910999999999"/>
    <n v="0"/>
    <n v="0"/>
    <n v="-13561.272345363459"/>
    <n v="0"/>
    <n v="0"/>
    <n v="0"/>
    <n v="0"/>
    <n v="0"/>
    <n v="0"/>
    <n v="0"/>
    <n v="0"/>
    <n v="0"/>
    <n v="0"/>
    <n v="0"/>
    <n v="0"/>
    <n v="322.1127333364191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76"/>
    <s v="Regular"/>
    <s v="Verde"/>
    <s v="A4"/>
    <s v="Industrial"/>
    <s v="Não se aplica"/>
    <s v="Não se aplica"/>
    <s v="Não se aplica"/>
    <s v="Fora ponta"/>
    <s v="CATIVO"/>
    <x v="10"/>
    <n v="0"/>
    <n v="0"/>
    <n v="489.50599999999997"/>
    <n v="489.50599999999997"/>
    <n v="489.50599999999997"/>
    <n v="489.50599999999997"/>
    <m/>
    <n v="95.29"/>
    <n v="159.41"/>
    <m/>
    <n v="124677.17819999999"/>
    <n v="124677.17819999999"/>
    <n v="135549.10645999998"/>
    <n v="0"/>
    <n v="26391.284269256077"/>
    <n v="0"/>
    <n v="0"/>
    <n v="0"/>
    <n v="0"/>
    <n v="0"/>
    <n v="75496.861215367127"/>
    <n v="2536.4963635386212"/>
    <n v="0"/>
    <n v="0"/>
    <n v="0"/>
    <n v="0"/>
    <n v="4687.5365505203772"/>
    <m/>
    <n v="525.598933775733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40.4746379472003"/>
    <n v="0"/>
    <n v="0"/>
    <n v="0"/>
    <n v="0"/>
    <n v="0"/>
    <m/>
    <m/>
    <m/>
    <m/>
    <m/>
    <m/>
    <m/>
    <m/>
    <m/>
    <n v="78037.335853314333"/>
    <m/>
    <m/>
    <m/>
    <m/>
    <m/>
    <m/>
    <m/>
    <m/>
    <m/>
    <m/>
    <m/>
    <m/>
    <n v="135550.21409999998"/>
    <n v="10873.005899999989"/>
    <m/>
    <m/>
    <m/>
    <m/>
    <n v="-2574.8015600000022"/>
    <n v="13446.729819999999"/>
    <n v="31"/>
    <n v="10870.381034126258"/>
    <n v="0"/>
    <n v="0"/>
    <n v="0"/>
    <n v="0"/>
    <n v="0"/>
    <n v="0"/>
    <n v="0"/>
    <n v="0"/>
    <n v="0"/>
    <n v="0"/>
    <n v="14968.98879803317"/>
    <n v="0"/>
    <n v="0"/>
    <n v="0"/>
    <n v="503.70751558315897"/>
    <n v="0"/>
    <n v="-1848.4976135354482"/>
    <m/>
    <n v="0"/>
    <n v="0"/>
    <n v="0"/>
    <n v="0"/>
    <n v="-285.99305928769991"/>
    <n v="-33.489895157684884"/>
    <n v="0"/>
    <n v="-2434.3347115092033"/>
    <m/>
    <m/>
    <m/>
    <n v="0"/>
    <n v="0"/>
    <n v="0"/>
    <n v="-2574.8015599999999"/>
    <n v="13446.729819999993"/>
    <n v="0"/>
    <n v="0"/>
    <n v="0"/>
    <n v="0"/>
    <n v="0"/>
    <n v="0"/>
    <n v="0"/>
    <n v="0"/>
    <n v="0"/>
    <n v="0"/>
    <n v="0"/>
    <n v="0"/>
    <n v="0"/>
    <n v="0"/>
    <n v="0"/>
    <n v="12501.07949294990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77"/>
    <s v="Regular"/>
    <s v="Verde"/>
    <s v="A4"/>
    <s v="Industrial"/>
    <s v="Não se aplica"/>
    <s v="Não se aplica"/>
    <s v="Não se aplica"/>
    <s v="Não se aplica"/>
    <s v="CATIVO"/>
    <x v="10"/>
    <n v="2130"/>
    <n v="2130"/>
    <n v="0"/>
    <n v="0"/>
    <n v="0"/>
    <n v="0"/>
    <n v="43.29"/>
    <m/>
    <m/>
    <n v="92207.7"/>
    <m/>
    <n v="92207.7"/>
    <n v="71333.7"/>
    <n v="0"/>
    <n v="0"/>
    <n v="0"/>
    <n v="0"/>
    <n v="0"/>
    <n v="50404.292647472939"/>
    <n v="41810.16853231150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3.09"/>
    <n v="395.83"/>
    <n v="46672.52"/>
    <n v="13"/>
    <m/>
    <m/>
    <m/>
    <m/>
    <m/>
    <m/>
    <m/>
    <m/>
    <m/>
    <n v="0"/>
    <m/>
    <m/>
    <m/>
    <m/>
    <m/>
    <m/>
    <m/>
    <m/>
    <m/>
    <m/>
    <m/>
    <m/>
    <n v="71333.7"/>
    <n v="-20874.029999999984"/>
    <m/>
    <m/>
    <m/>
    <m/>
    <n v="-20873.999999999993"/>
    <n v="0"/>
    <n v="31"/>
    <n v="476.39610930722847"/>
    <n v="0"/>
    <n v="0"/>
    <n v="0"/>
    <n v="0"/>
    <m/>
    <m/>
    <m/>
    <n v="2276.861841023514"/>
    <n v="0"/>
    <n v="0"/>
    <m/>
    <m/>
    <n v="0"/>
    <n v="0"/>
    <n v="0"/>
    <n v="0"/>
    <n v="0"/>
    <m/>
    <n v="0"/>
    <n v="0"/>
    <m/>
    <n v="0"/>
    <n v="0"/>
    <n v="0"/>
    <n v="0"/>
    <n v="-1800.4657317162839"/>
    <m/>
    <m/>
    <n v="41810.168532311509"/>
    <m/>
    <n v="0"/>
    <n v="0"/>
    <n v="-20874"/>
    <m/>
    <n v="0"/>
    <m/>
    <n v="-21356.73119557866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78"/>
    <s v="Regular"/>
    <s v="Convencional"/>
    <s v="B3"/>
    <s v="Comercial"/>
    <s v="Não se aplica"/>
    <s v="Não se aplica"/>
    <s v="Não se aplica"/>
    <s v="Não se aplica"/>
    <s v="CATIVO"/>
    <x v="10"/>
    <n v="0"/>
    <n v="0"/>
    <n v="594.18799999999999"/>
    <n v="594.18799999999999"/>
    <n v="594.18799999999999"/>
    <n v="594.18799999999999"/>
    <m/>
    <n v="648.44000000000005"/>
    <n v="159.41"/>
    <m/>
    <n v="480014.7758"/>
    <n v="480014.7758"/>
    <n v="363536.10216000001"/>
    <n v="0"/>
    <n v="36821.979281342421"/>
    <n v="0"/>
    <n v="0"/>
    <n v="0"/>
    <n v="69308.718322005938"/>
    <n v="248100.8171737917"/>
    <n v="91642.041102328803"/>
    <n v="3078.9320279185267"/>
    <n v="0"/>
    <n v="0"/>
    <n v="0"/>
    <n v="0"/>
    <n v="5689.9771767467646"/>
    <m/>
    <n v="1232.99692842455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98.7405698227494"/>
    <n v="0"/>
    <n v="140.43"/>
    <n v="634.14"/>
    <n v="124232.58"/>
    <n v="1511"/>
    <m/>
    <m/>
    <m/>
    <m/>
    <m/>
    <m/>
    <m/>
    <m/>
    <m/>
    <n v="98340.781672151556"/>
    <m/>
    <m/>
    <m/>
    <m/>
    <m/>
    <m/>
    <m/>
    <m/>
    <m/>
    <m/>
    <m/>
    <m/>
    <n v="363537.32580000005"/>
    <n v="-116477.47999999998"/>
    <m/>
    <m/>
    <m/>
    <m/>
    <n v="-132801.01800000004"/>
    <n v="16322.344359999999"/>
    <n v="31"/>
    <n v="10252.130456688057"/>
    <n v="0"/>
    <n v="0"/>
    <n v="0"/>
    <n v="0"/>
    <n v="0"/>
    <n v="0"/>
    <n v="0"/>
    <n v="3130.8122326271696"/>
    <n v="0"/>
    <n v="0"/>
    <n v="18170.141971550373"/>
    <n v="0"/>
    <n v="0"/>
    <n v="0"/>
    <n v="1328.179356550485"/>
    <n v="0"/>
    <n v="-2579.0840693002465"/>
    <m/>
    <n v="0"/>
    <n v="0"/>
    <n v="0"/>
    <n v="0"/>
    <n v="-347.15334216953306"/>
    <n v="-78.563587574376015"/>
    <n v="0"/>
    <n v="-9372.2021049958403"/>
    <m/>
    <m/>
    <m/>
    <n v="248100.8171737917"/>
    <n v="0"/>
    <n v="0"/>
    <n v="-132801.01800000001"/>
    <n v="16322.344360000003"/>
    <n v="0"/>
    <n v="0"/>
    <n v="-126730.4736571252"/>
    <n v="0"/>
    <n v="0"/>
    <n v="0"/>
    <n v="0"/>
    <n v="0"/>
    <n v="0"/>
    <n v="0"/>
    <n v="0"/>
    <n v="0"/>
    <n v="0"/>
    <n v="0"/>
    <n v="0"/>
    <n v="17441.91322360348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79"/>
    <s v="Refaturamento - Regular"/>
    <s v="Convencional"/>
    <s v="B3"/>
    <s v="Comercial"/>
    <s v="Não se aplica"/>
    <s v="Não se aplica"/>
    <s v="Não se aplica"/>
    <s v="Não se aplica"/>
    <s v="CATIVO"/>
    <x v="10"/>
    <n v="0"/>
    <n v="0"/>
    <n v="-0.70599999999999996"/>
    <n v="-0.70599999999999996"/>
    <n v="-0.70599999999999996"/>
    <n v="-0.70599999999999996"/>
    <m/>
    <n v="648.44000000000005"/>
    <n v="159.41"/>
    <m/>
    <n v="-570.34210000000007"/>
    <n v="-570.34210000000007"/>
    <n v="-431.94491999999997"/>
    <n v="0"/>
    <n v="-43.750996944784731"/>
    <n v="0"/>
    <n v="0"/>
    <n v="0"/>
    <n v="-82.350964905612685"/>
    <n v="-294.78746949567636"/>
    <n v="-108.88688599945495"/>
    <n v="-3.6583135501061612"/>
    <n v="0"/>
    <n v="0"/>
    <n v="0"/>
    <n v="0"/>
    <n v="-6.7606950776239438"/>
    <m/>
    <n v="-1.465017522177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9592836649256817"/>
    <n v="0"/>
    <n v="-1.08"/>
    <n v="-5.33"/>
    <n v="-179.35"/>
    <n v="0"/>
    <m/>
    <m/>
    <m/>
    <m/>
    <m/>
    <m/>
    <m/>
    <m/>
    <m/>
    <n v="-116.84616966438062"/>
    <m/>
    <m/>
    <m/>
    <m/>
    <m/>
    <m/>
    <m/>
    <m/>
    <m/>
    <m/>
    <m/>
    <m/>
    <n v="-434.3922"/>
    <n v="135.9199000000001"/>
    <m/>
    <m/>
    <m/>
    <m/>
    <n v="157.79100000000003"/>
    <n v="-19.393819999999998"/>
    <n v="31"/>
    <n v="-12.181336719054798"/>
    <n v="0"/>
    <n v="0"/>
    <n v="0"/>
    <n v="0"/>
    <n v="0"/>
    <n v="0"/>
    <n v="0"/>
    <n v="-3.7199563711060932"/>
    <n v="0"/>
    <n v="0"/>
    <n v="-21.589329020300895"/>
    <n v="0"/>
    <n v="0"/>
    <n v="0"/>
    <n v="-1.5781110115395158"/>
    <n v="0"/>
    <n v="3.0644061356438996"/>
    <m/>
    <n v="0"/>
    <n v="0"/>
    <n v="0"/>
    <n v="0"/>
    <n v="0.41247931558983097"/>
    <n v="9.3347379663523355E-2"/>
    <n v="0"/>
    <n v="11.135826852994445"/>
    <m/>
    <m/>
    <m/>
    <n v="-294.78746949567636"/>
    <n v="0"/>
    <n v="0"/>
    <n v="157.79100000000005"/>
    <n v="-19.393819999999991"/>
    <n v="0"/>
    <n v="0"/>
    <n v="150.57812409865295"/>
    <n v="0"/>
    <n v="0"/>
    <n v="0"/>
    <n v="0"/>
    <n v="0"/>
    <n v="0"/>
    <n v="0"/>
    <n v="0"/>
    <n v="0"/>
    <n v="0"/>
    <n v="0"/>
    <n v="0"/>
    <n v="-20.72406500276689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80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102.41800000000001"/>
    <n v="102.41800000000001"/>
    <n v="102.41800000000001"/>
    <n v="102.41800000000001"/>
    <m/>
    <n v="648.44000000000005"/>
    <n v="159.41"/>
    <m/>
    <n v="82738.381300000023"/>
    <n v="82738.381300000023"/>
    <n v="62661.38076"/>
    <n v="0"/>
    <n v="6346.8691290240267"/>
    <n v="0"/>
    <n v="0"/>
    <n v="0"/>
    <n v="11946.488843772013"/>
    <n v="42764.225284430853"/>
    <n v="15796.001544323197"/>
    <n v="530.70418863282282"/>
    <n v="0"/>
    <n v="0"/>
    <n v="0"/>
    <n v="0"/>
    <n v="980.76043691230757"/>
    <m/>
    <n v="212.52714530651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4.6372725132558"/>
    <n v="0"/>
    <n v="24.65"/>
    <n v="107.93"/>
    <n v="37271.11"/>
    <n v="155"/>
    <m/>
    <m/>
    <m/>
    <m/>
    <m/>
    <m/>
    <m/>
    <m/>
    <m/>
    <n v="16950.638816836454"/>
    <m/>
    <m/>
    <m/>
    <m/>
    <m/>
    <m/>
    <m/>
    <m/>
    <m/>
    <m/>
    <m/>
    <m/>
    <n v="62662.604399999997"/>
    <n v="-20075.806900000011"/>
    <m/>
    <m/>
    <m/>
    <m/>
    <n v="-22890.423000000006"/>
    <n v="2813.4224600000002"/>
    <n v="31"/>
    <n v="1767.1220171276946"/>
    <n v="0"/>
    <n v="0"/>
    <n v="0"/>
    <n v="0"/>
    <n v="0"/>
    <n v="0"/>
    <n v="0"/>
    <n v="539.64658869113737"/>
    <n v="0"/>
    <n v="0"/>
    <n v="3131.9205376787249"/>
    <n v="0"/>
    <n v="0"/>
    <n v="0"/>
    <n v="228.93339033973689"/>
    <n v="0"/>
    <n v="-444.54723456143984"/>
    <m/>
    <n v="0"/>
    <n v="0"/>
    <n v="0"/>
    <n v="0"/>
    <n v="-59.837544679999041"/>
    <n v="-13.541716615267319"/>
    <n v="0"/>
    <n v="-1615.4520037251914"/>
    <m/>
    <m/>
    <m/>
    <n v="42764.225284430853"/>
    <n v="0"/>
    <n v="0"/>
    <n v="-22890.423000000017"/>
    <n v="2813.4224599999998"/>
    <n v="0"/>
    <n v="0"/>
    <n v="-21844.065600475689"/>
    <n v="0"/>
    <n v="0"/>
    <n v="0"/>
    <n v="0"/>
    <n v="0"/>
    <n v="0"/>
    <n v="0"/>
    <n v="0"/>
    <n v="0"/>
    <n v="0"/>
    <n v="0"/>
    <n v="0"/>
    <n v="3006.39842698779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81"/>
    <s v="Regular"/>
    <s v="Verde"/>
    <s v="A4"/>
    <s v="Comercial"/>
    <s v="Não se aplica"/>
    <s v="Não se aplica"/>
    <s v="Não se aplica"/>
    <s v="Ponta"/>
    <s v="CATIVO"/>
    <x v="10"/>
    <n v="0"/>
    <n v="0"/>
    <n v="9.1229999999999993"/>
    <n v="9.1229999999999993"/>
    <n v="9.1229999999999993"/>
    <n v="9.1229999999999993"/>
    <m/>
    <n v="2810.7"/>
    <n v="159.41"/>
    <m/>
    <n v="27096.313529999996"/>
    <n v="27096.313529999996"/>
    <n v="17257.887869999999"/>
    <n v="0"/>
    <n v="491.85849895286918"/>
    <n v="0"/>
    <n v="0"/>
    <n v="0"/>
    <n v="5569.7337584667084"/>
    <n v="19202.901472021553"/>
    <n v="1407.0468285736931"/>
    <n v="47.273080053284005"/>
    <n v="0"/>
    <n v="0"/>
    <n v="0"/>
    <n v="0"/>
    <n v="87.362352964820445"/>
    <m/>
    <n v="9.79566966050674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347223776608068"/>
    <n v="0"/>
    <n v="0"/>
    <n v="0"/>
    <n v="0"/>
    <n v="0"/>
    <m/>
    <m/>
    <m/>
    <m/>
    <m/>
    <m/>
    <m/>
    <m/>
    <m/>
    <n v="1454.3940523503011"/>
    <m/>
    <m/>
    <m/>
    <m/>
    <m/>
    <m/>
    <m/>
    <m/>
    <m/>
    <m/>
    <m/>
    <m/>
    <n v="17252.212799999998"/>
    <n v="-9844.1307299999935"/>
    <m/>
    <m/>
    <m/>
    <m/>
    <n v="-10089.034469999999"/>
    <n v="250.60880999999998"/>
    <n v="31"/>
    <n v="-29.490982384848394"/>
    <n v="0"/>
    <n v="0"/>
    <n v="0"/>
    <n v="0"/>
    <n v="0"/>
    <n v="0"/>
    <n v="0"/>
    <n v="251.59591759392424"/>
    <n v="0"/>
    <n v="0"/>
    <n v="278.97938902578653"/>
    <n v="0"/>
    <n v="0"/>
    <n v="0"/>
    <n v="9.3876758705003809"/>
    <n v="0"/>
    <n v="-34.450739578848697"/>
    <m/>
    <n v="0"/>
    <n v="0"/>
    <n v="0"/>
    <n v="0"/>
    <n v="-5.3300974449377065"/>
    <n v="-0.62415642203274047"/>
    <n v="0"/>
    <n v="-529.0489714292396"/>
    <m/>
    <m/>
    <m/>
    <n v="19202.901472021553"/>
    <n v="0"/>
    <n v="0"/>
    <n v="-10089.034469999999"/>
    <n v="250.60880999999995"/>
    <n v="0"/>
    <n v="0"/>
    <n v="-9808.8866730160025"/>
    <n v="0"/>
    <n v="0"/>
    <n v="0"/>
    <n v="0"/>
    <n v="0"/>
    <n v="0"/>
    <n v="0"/>
    <n v="0"/>
    <n v="0"/>
    <n v="0"/>
    <n v="0"/>
    <n v="0"/>
    <n v="232.984576724661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82"/>
    <s v="Sistema de Compensação"/>
    <s v="Verde"/>
    <s v="A4"/>
    <s v="Comercial"/>
    <s v="Não se aplica"/>
    <s v="Não se aplica"/>
    <s v="Não se aplica"/>
    <s v="Ponta"/>
    <s v="CATIVO"/>
    <x v="10"/>
    <n v="0"/>
    <n v="0"/>
    <n v="6.0629999999999997"/>
    <n v="6.0629999999999997"/>
    <n v="6.0629999999999997"/>
    <n v="6.0629999999999997"/>
    <m/>
    <n v="2810.7"/>
    <n v="159.41"/>
    <m/>
    <n v="18007.77693"/>
    <n v="18007.77693"/>
    <n v="11469.31647"/>
    <n v="0"/>
    <n v="326.88129772566543"/>
    <n v="0"/>
    <n v="0"/>
    <n v="0"/>
    <n v="3701.5560427034588"/>
    <n v="12761.941425503306"/>
    <n v="935.10083543157975"/>
    <n v="31.416933504665234"/>
    <n v="0"/>
    <n v="0"/>
    <n v="0"/>
    <n v="0"/>
    <n v="58.059623591549538"/>
    <m/>
    <n v="6.5100455060454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466208238252189"/>
    <n v="0"/>
    <n v="0"/>
    <n v="0"/>
    <n v="0"/>
    <n v="0"/>
    <m/>
    <m/>
    <m/>
    <m/>
    <m/>
    <m/>
    <m/>
    <m/>
    <m/>
    <n v="966.56704366983195"/>
    <m/>
    <m/>
    <m/>
    <m/>
    <m/>
    <m/>
    <m/>
    <m/>
    <m/>
    <m/>
    <m/>
    <m/>
    <n v="11463.641399999999"/>
    <n v="-6544.1655299999966"/>
    <m/>
    <m/>
    <m/>
    <m/>
    <n v="-6705.0110699999987"/>
    <n v="166.55060999999998"/>
    <n v="31"/>
    <n v="-19.599235580328241"/>
    <n v="0"/>
    <n v="0"/>
    <n v="0"/>
    <n v="0"/>
    <n v="0"/>
    <n v="0"/>
    <n v="0"/>
    <n v="167.20662593137831"/>
    <n v="0"/>
    <n v="0"/>
    <n v="185.40524341371724"/>
    <n v="0"/>
    <n v="0"/>
    <n v="0"/>
    <n v="6.2388993535946291"/>
    <n v="0"/>
    <n v="-22.89541094667976"/>
    <m/>
    <n v="0"/>
    <n v="0"/>
    <n v="0"/>
    <n v="0"/>
    <n v="-3.5422975785002109"/>
    <n v="-0.41480438307404466"/>
    <n v="0"/>
    <n v="-351.59749137076398"/>
    <m/>
    <m/>
    <m/>
    <n v="12761.941425503306"/>
    <n v="0"/>
    <n v="0"/>
    <n v="-6705.0110699999987"/>
    <n v="166.55061000000001"/>
    <n v="0"/>
    <n v="0"/>
    <n v="-6518.829321330265"/>
    <n v="0"/>
    <n v="0"/>
    <n v="0"/>
    <n v="0"/>
    <n v="0"/>
    <n v="0"/>
    <n v="0"/>
    <n v="0"/>
    <n v="0"/>
    <n v="0"/>
    <n v="0"/>
    <n v="0"/>
    <n v="154.8378262283920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83"/>
    <s v="Regular"/>
    <s v="Verde"/>
    <s v="A4"/>
    <s v="Comercial"/>
    <s v="Não se aplica"/>
    <s v="Não se aplica"/>
    <s v="Não se aplica"/>
    <s v="Fora ponta"/>
    <s v="CATIVO"/>
    <x v="10"/>
    <n v="0"/>
    <n v="0"/>
    <n v="149.12100000000001"/>
    <n v="149.12100000000001"/>
    <n v="149.12100000000001"/>
    <n v="149.12100000000001"/>
    <m/>
    <n v="95.29"/>
    <n v="159.41"/>
    <m/>
    <n v="37981.118699999999"/>
    <n v="37981.118699999999"/>
    <n v="41293.096110000006"/>
    <n v="0"/>
    <n v="8039.7271974515852"/>
    <n v="0"/>
    <n v="0"/>
    <n v="0"/>
    <n v="0"/>
    <n v="0"/>
    <n v="22999.038706975527"/>
    <n v="772.70732989430724"/>
    <n v="0"/>
    <n v="0"/>
    <n v="0"/>
    <n v="0"/>
    <n v="1427.9909499580174"/>
    <m/>
    <n v="160.11619592726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3.91925427946649"/>
    <n v="0"/>
    <n v="0"/>
    <n v="0"/>
    <n v="0"/>
    <n v="0"/>
    <m/>
    <m/>
    <m/>
    <m/>
    <m/>
    <m/>
    <m/>
    <m/>
    <m/>
    <n v="23772.957961254993"/>
    <m/>
    <m/>
    <m/>
    <m/>
    <m/>
    <m/>
    <m/>
    <m/>
    <m/>
    <m/>
    <m/>
    <m/>
    <n v="41292.819199999998"/>
    <n v="3311.6704999999929"/>
    <m/>
    <m/>
    <m/>
    <m/>
    <n v="-784.37646000000086"/>
    <n v="4096.3538699999999"/>
    <n v="31"/>
    <n v="3311.5060697722802"/>
    <n v="0"/>
    <n v="0"/>
    <n v="0"/>
    <n v="0"/>
    <n v="0"/>
    <n v="0"/>
    <n v="0"/>
    <n v="0"/>
    <n v="0"/>
    <n v="0"/>
    <n v="4560.0882901363912"/>
    <n v="0"/>
    <n v="0"/>
    <n v="0"/>
    <n v="153.44728855473932"/>
    <n v="0"/>
    <n v="-563.11835325413722"/>
    <m/>
    <n v="0"/>
    <n v="0"/>
    <n v="0"/>
    <n v="0"/>
    <n v="-87.123694079421057"/>
    <n v="-10.202217451490128"/>
    <n v="0"/>
    <n v="-741.58524413380826"/>
    <m/>
    <m/>
    <m/>
    <n v="0"/>
    <n v="0"/>
    <n v="0"/>
    <n v="-784.3764599999995"/>
    <n v="4096.3538700000026"/>
    <n v="0"/>
    <n v="0"/>
    <n v="0"/>
    <n v="0"/>
    <n v="0"/>
    <n v="0"/>
    <n v="0"/>
    <n v="0"/>
    <n v="0"/>
    <n v="0"/>
    <n v="0"/>
    <n v="0"/>
    <n v="0"/>
    <n v="0"/>
    <n v="0"/>
    <n v="3808.275026390245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84"/>
    <s v="Sistema de Compensação"/>
    <s v="Verde"/>
    <s v="A4"/>
    <s v="Comercial"/>
    <s v="Não se aplica"/>
    <s v="Não se aplica"/>
    <s v="Não se aplica"/>
    <s v="Fora ponta"/>
    <s v="CATIVO"/>
    <x v="10"/>
    <n v="0"/>
    <n v="0"/>
    <n v="57.128"/>
    <n v="57.128"/>
    <n v="57.128"/>
    <n v="57.128"/>
    <m/>
    <n v="95.29"/>
    <n v="159.41"/>
    <m/>
    <n v="14550.5016"/>
    <n v="14550.5016"/>
    <n v="15819.314480000001"/>
    <n v="0"/>
    <n v="3080.0057358521881"/>
    <n v="0"/>
    <n v="0"/>
    <n v="0"/>
    <n v="0"/>
    <n v="0"/>
    <n v="8810.8923843864904"/>
    <n v="296.02285621878866"/>
    <n v="0"/>
    <n v="0"/>
    <n v="0"/>
    <n v="0"/>
    <n v="547.0608900771964"/>
    <m/>
    <n v="61.340240750348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6.48714237751466"/>
    <n v="0"/>
    <n v="0"/>
    <n v="0"/>
    <n v="0"/>
    <n v="0"/>
    <m/>
    <m/>
    <m/>
    <m/>
    <m/>
    <m/>
    <m/>
    <m/>
    <m/>
    <n v="9107.3795267640053"/>
    <m/>
    <m/>
    <m/>
    <m/>
    <m/>
    <m/>
    <m/>
    <m/>
    <m/>
    <m/>
    <m/>
    <m/>
    <n v="15819.868300000002"/>
    <n v="1269.3367000000017"/>
    <m/>
    <m/>
    <m/>
    <m/>
    <n v="-300.49328000000031"/>
    <n v="1569.3061599999999"/>
    <n v="31"/>
    <n v="1268.6323103650739"/>
    <n v="0"/>
    <n v="0"/>
    <n v="0"/>
    <n v="0"/>
    <n v="0"/>
    <n v="0"/>
    <n v="0"/>
    <n v="0"/>
    <n v="0"/>
    <n v="0"/>
    <n v="1746.9620230478049"/>
    <n v="0"/>
    <n v="0"/>
    <n v="0"/>
    <n v="58.785393744376336"/>
    <n v="0"/>
    <n v="-215.72967780998215"/>
    <m/>
    <n v="0"/>
    <n v="0"/>
    <n v="0"/>
    <n v="0"/>
    <n v="-33.376938160079135"/>
    <n v="-3.9084520528210547"/>
    <n v="0"/>
    <n v="-284.10003840422337"/>
    <m/>
    <m/>
    <m/>
    <n v="0"/>
    <n v="0"/>
    <n v="0"/>
    <n v="-300.4932800000006"/>
    <n v="1569.3061600000001"/>
    <n v="0"/>
    <n v="0"/>
    <n v="0"/>
    <n v="0"/>
    <n v="0"/>
    <n v="0"/>
    <n v="0"/>
    <n v="0"/>
    <n v="0"/>
    <n v="0"/>
    <n v="0"/>
    <n v="0"/>
    <n v="0"/>
    <n v="0"/>
    <n v="0"/>
    <n v="1458.943647827079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85"/>
    <s v="Regular"/>
    <s v="Verde"/>
    <s v="A4"/>
    <s v="Comercial"/>
    <s v="Não se aplica"/>
    <s v="Não se aplica"/>
    <s v="Não se aplica"/>
    <s v="Não se aplica"/>
    <s v="CATIVO"/>
    <x v="10"/>
    <n v="1490"/>
    <n v="1490"/>
    <n v="0"/>
    <n v="0"/>
    <n v="0"/>
    <n v="0"/>
    <n v="43.29"/>
    <m/>
    <m/>
    <n v="64502.1"/>
    <m/>
    <n v="64502.1"/>
    <n v="49900.100000000006"/>
    <n v="0"/>
    <n v="0"/>
    <n v="0"/>
    <n v="0"/>
    <n v="0"/>
    <n v="35259.34086607262"/>
    <n v="29247.4887855136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.41"/>
    <n v="184.75"/>
    <n v="35029.32"/>
    <n v="12"/>
    <m/>
    <m/>
    <m/>
    <m/>
    <m/>
    <m/>
    <m/>
    <m/>
    <m/>
    <n v="0"/>
    <m/>
    <m/>
    <m/>
    <m/>
    <m/>
    <m/>
    <m/>
    <m/>
    <m/>
    <m/>
    <m/>
    <m/>
    <n v="49900.100000000006"/>
    <n v="-14602.029999999999"/>
    <m/>
    <m/>
    <m/>
    <m/>
    <n v="-14601.999999999996"/>
    <n v="0"/>
    <n v="31"/>
    <n v="333.25361636984599"/>
    <n v="0"/>
    <n v="0"/>
    <n v="0"/>
    <n v="0"/>
    <m/>
    <m/>
    <m/>
    <n v="1592.7343394953205"/>
    <n v="0"/>
    <n v="0"/>
    <m/>
    <m/>
    <n v="0"/>
    <n v="0"/>
    <n v="0"/>
    <n v="0"/>
    <n v="0"/>
    <m/>
    <n v="0"/>
    <n v="0"/>
    <m/>
    <n v="0"/>
    <n v="0"/>
    <n v="0"/>
    <n v="0"/>
    <n v="-1259.4807231254756"/>
    <m/>
    <m/>
    <n v="29247.488785513684"/>
    <m/>
    <n v="0"/>
    <n v="0"/>
    <n v="-14601.999999999993"/>
    <m/>
    <n v="0"/>
    <m/>
    <n v="-14939.685202540946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86"/>
    <s v="Sistema de Compensação"/>
    <s v="Verde"/>
    <s v="A4"/>
    <s v="Comercial"/>
    <s v="Não se aplica"/>
    <s v="Não se aplica"/>
    <s v="Não se aplica"/>
    <s v="Não se aplica"/>
    <s v="CATIVO"/>
    <x v="10"/>
    <n v="1044"/>
    <n v="1044"/>
    <n v="0"/>
    <n v="0"/>
    <n v="0"/>
    <n v="0"/>
    <n v="43.29"/>
    <m/>
    <m/>
    <n v="45194.76"/>
    <m/>
    <n v="45194.76"/>
    <n v="34963.560000000005"/>
    <n v="0"/>
    <n v="0"/>
    <n v="0"/>
    <n v="0"/>
    <n v="0"/>
    <n v="24705.202593409274"/>
    <n v="20492.87133696394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9.86"/>
    <n v="127.08"/>
    <n v="25310.55"/>
    <n v="6"/>
    <m/>
    <m/>
    <m/>
    <m/>
    <m/>
    <m/>
    <m/>
    <m/>
    <m/>
    <n v="0"/>
    <m/>
    <m/>
    <m/>
    <m/>
    <m/>
    <m/>
    <m/>
    <m/>
    <m/>
    <m/>
    <m/>
    <m/>
    <n v="34963.560000000005"/>
    <n v="-10231.230000000003"/>
    <m/>
    <m/>
    <m/>
    <m/>
    <n v="-10231.199999999997"/>
    <n v="0"/>
    <n v="31"/>
    <n v="233.50119160410395"/>
    <n v="0"/>
    <n v="0"/>
    <n v="0"/>
    <n v="0"/>
    <m/>
    <m/>
    <m/>
    <n v="1115.9829868678607"/>
    <n v="0"/>
    <n v="0"/>
    <m/>
    <m/>
    <n v="0"/>
    <n v="0"/>
    <n v="0"/>
    <n v="0"/>
    <n v="0"/>
    <m/>
    <n v="0"/>
    <n v="0"/>
    <m/>
    <n v="0"/>
    <n v="0"/>
    <n v="0"/>
    <n v="0"/>
    <n v="-882.481795263756"/>
    <m/>
    <m/>
    <n v="20492.871336963948"/>
    <m/>
    <n v="0"/>
    <n v="0"/>
    <n v="-10231.199999999997"/>
    <m/>
    <n v="0"/>
    <m/>
    <n v="-10467.80627614278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87"/>
    <s v="Regular"/>
    <s v="Convencional"/>
    <s v="B2"/>
    <s v="Rural"/>
    <s v="Não se aplica"/>
    <s v="Não se aplica"/>
    <s v="Não se aplica"/>
    <s v="Não se aplica"/>
    <s v="CATIVO"/>
    <x v="10"/>
    <n v="0"/>
    <n v="0"/>
    <n v="3471.0740000000001"/>
    <n v="3471.0740000000001"/>
    <n v="3471.0740000000001"/>
    <n v="3471.0740000000001"/>
    <m/>
    <n v="648.44000000000005"/>
    <n v="159.41"/>
    <m/>
    <n v="2804107.1309000002"/>
    <n v="2804107.1309000002"/>
    <n v="2123672.49468"/>
    <n v="0"/>
    <n v="215103.32573529988"/>
    <n v="0"/>
    <n v="0"/>
    <n v="0"/>
    <n v="404881.43506910012"/>
    <n v="1449333.0324252625"/>
    <n v="535346.23078423808"/>
    <n v="17986.228112777895"/>
    <n v="0"/>
    <n v="0"/>
    <n v="0"/>
    <n v="0"/>
    <n v="33239.196750521893"/>
    <m/>
    <n v="7202.81052517778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132.099982929532"/>
    <n v="0"/>
    <n v="697.93"/>
    <n v="3252.87"/>
    <n v="147937.18"/>
    <n v="13099"/>
    <m/>
    <m/>
    <m/>
    <m/>
    <m/>
    <n v="254846.25308000005"/>
    <m/>
    <m/>
    <m/>
    <n v="574478.33076716762"/>
    <m/>
    <m/>
    <m/>
    <m/>
    <m/>
    <m/>
    <m/>
    <m/>
    <m/>
    <m/>
    <m/>
    <m/>
    <n v="1868824.088"/>
    <n v="-598797.15933999978"/>
    <m/>
    <m/>
    <m/>
    <m/>
    <n v="-775785.03900000022"/>
    <n v="95350.402780000004"/>
    <n v="31"/>
    <n v="59889.973329683533"/>
    <n v="0"/>
    <n v="0"/>
    <n v="0"/>
    <n v="0"/>
    <n v="0"/>
    <n v="0"/>
    <n v="0"/>
    <n v="18289.297225043469"/>
    <n v="0"/>
    <n v="0"/>
    <n v="106144.70062296314"/>
    <n v="0"/>
    <n v="0"/>
    <n v="0"/>
    <n v="7758.8386703520009"/>
    <n v="0"/>
    <n v="-15066.26127885835"/>
    <m/>
    <n v="0"/>
    <n v="0"/>
    <n v="0"/>
    <n v="0"/>
    <n v="-2027.9691613054674"/>
    <n v="-458.94569761782532"/>
    <n v="0"/>
    <n v="-54749.687050893539"/>
    <m/>
    <m/>
    <m/>
    <n v="1449333.0324252625"/>
    <n v="0"/>
    <n v="0"/>
    <n v="-775785.03899999987"/>
    <n v="95350.402780000004"/>
    <n v="0"/>
    <n v="0"/>
    <n v="-740322.67921757454"/>
    <n v="0"/>
    <n v="0"/>
    <n v="0"/>
    <n v="0"/>
    <n v="0"/>
    <n v="0"/>
    <n v="0"/>
    <n v="0"/>
    <n v="0"/>
    <n v="0"/>
    <n v="0"/>
    <n v="0"/>
    <n v="101890.5994410964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88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6.0419999999999998"/>
    <n v="-6.0419999999999998"/>
    <n v="-6.0419999999999998"/>
    <n v="-6.0419999999999998"/>
    <m/>
    <n v="648.44000000000005"/>
    <n v="159.41"/>
    <m/>
    <n v="-4881.0297"/>
    <n v="-4881.0297"/>
    <n v="-3696.6164399999998"/>
    <n v="0"/>
    <n v="-374.42425430650047"/>
    <n v="0"/>
    <n v="0"/>
    <n v="0"/>
    <n v="-704.76562317239643"/>
    <n v="-2522.8128763355194"/>
    <n v="-931.86199038060454"/>
    <n v="-31.30811681266491"/>
    <n v="0"/>
    <n v="0"/>
    <n v="0"/>
    <n v="0"/>
    <n v="-57.858526429183954"/>
    <m/>
    <n v="-12.537727859770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8.116135840624608"/>
    <n v="0"/>
    <n v="-7.76"/>
    <n v="-37.24"/>
    <n v="-46.43"/>
    <n v="0"/>
    <m/>
    <m/>
    <m/>
    <m/>
    <m/>
    <n v="-443.60364000000004"/>
    <m/>
    <m/>
    <m/>
    <n v="-999.9781262212291"/>
    <m/>
    <m/>
    <m/>
    <m/>
    <m/>
    <m/>
    <m/>
    <m/>
    <m/>
    <m/>
    <m/>
    <m/>
    <n v="-3251.9359999999997"/>
    <n v="1043.3522199999998"/>
    <m/>
    <m/>
    <m/>
    <m/>
    <n v="1350.3870000000004"/>
    <n v="-165.97373999999999"/>
    <n v="31"/>
    <n v="-104.24877685060756"/>
    <n v="0"/>
    <n v="0"/>
    <n v="0"/>
    <n v="0"/>
    <n v="0"/>
    <n v="0"/>
    <n v="0"/>
    <n v="-31.835660615046663"/>
    <n v="0"/>
    <n v="0"/>
    <n v="-184.7630679046149"/>
    <n v="0"/>
    <n v="0"/>
    <n v="0"/>
    <n v="-13.505590271560564"/>
    <n v="0"/>
    <n v="26.225413415807964"/>
    <m/>
    <n v="0"/>
    <n v="0"/>
    <n v="0"/>
    <n v="0"/>
    <n v="3.530028363730537"/>
    <n v="0.79887375060482668"/>
    <n v="0"/>
    <n v="95.301226410470861"/>
    <m/>
    <m/>
    <m/>
    <n v="-2522.8128763355194"/>
    <n v="0"/>
    <n v="0"/>
    <n v="1350.3870000000006"/>
    <n v="-165.97374000000002"/>
    <n v="0"/>
    <n v="0"/>
    <n v="1288.6586767762906"/>
    <n v="0"/>
    <n v="0"/>
    <n v="0"/>
    <n v="0"/>
    <n v="0"/>
    <n v="0"/>
    <n v="0"/>
    <n v="0"/>
    <n v="0"/>
    <n v="0"/>
    <n v="0"/>
    <n v="0"/>
    <n v="-177.3580747120645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89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134.74799999999999"/>
    <n v="134.74799999999999"/>
    <n v="134.74799999999999"/>
    <n v="134.74799999999999"/>
    <m/>
    <n v="648.44000000000005"/>
    <n v="159.41"/>
    <m/>
    <n v="108856.1718"/>
    <n v="108856.1718"/>
    <n v="82441.521359999984"/>
    <n v="0"/>
    <n v="8350.3673318921428"/>
    <n v="0"/>
    <n v="0"/>
    <n v="0"/>
    <n v="15717.603143203256"/>
    <n v="56263.487166577048"/>
    <n v="20782.280615658008"/>
    <n v="698.23007684094193"/>
    <n v="0"/>
    <n v="0"/>
    <n v="0"/>
    <n v="0"/>
    <n v="1290.3543064018006"/>
    <m/>
    <n v="279.61498736317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9.1183502569486"/>
    <n v="0"/>
    <n v="28.37"/>
    <n v="127.84"/>
    <n v="5634.22"/>
    <n v="522"/>
    <m/>
    <m/>
    <m/>
    <m/>
    <m/>
    <n v="9893.1981600000017"/>
    <m/>
    <m/>
    <m/>
    <n v="22301.398965914956"/>
    <m/>
    <m/>
    <m/>
    <m/>
    <m/>
    <m/>
    <m/>
    <m/>
    <m/>
    <m/>
    <m/>
    <m/>
    <n v="72549.399999999994"/>
    <n v="-23244.330679999985"/>
    <m/>
    <m/>
    <m/>
    <m/>
    <n v="-30116.178000000007"/>
    <n v="3701.5275599999995"/>
    <n v="31"/>
    <n v="2324.9444195739197"/>
    <n v="0"/>
    <n v="0"/>
    <n v="0"/>
    <n v="0"/>
    <n v="0"/>
    <n v="0"/>
    <n v="0"/>
    <n v="709.99529899972003"/>
    <n v="0"/>
    <n v="0"/>
    <n v="4120.5650238349954"/>
    <n v="0"/>
    <n v="0"/>
    <n v="0"/>
    <n v="301.20014530159597"/>
    <n v="0"/>
    <n v="-584.87620108462306"/>
    <m/>
    <n v="0"/>
    <n v="0"/>
    <n v="0"/>
    <n v="0"/>
    <n v="-78.726292942066038"/>
    <n v="-17.816391947451052"/>
    <n v="0"/>
    <n v="-2125.3971625882373"/>
    <m/>
    <m/>
    <m/>
    <n v="56263.487166577048"/>
    <n v="0"/>
    <n v="0"/>
    <n v="-30116.178000000007"/>
    <n v="3701.5275599999986"/>
    <n v="0"/>
    <n v="0"/>
    <n v="-28739.519923576892"/>
    <n v="0"/>
    <n v="0"/>
    <n v="0"/>
    <n v="0"/>
    <n v="0"/>
    <n v="0"/>
    <n v="0"/>
    <n v="0"/>
    <n v="0"/>
    <n v="0"/>
    <n v="0"/>
    <n v="0"/>
    <n v="3955.419703955855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90"/>
    <s v="Regular"/>
    <s v="Verde"/>
    <s v="A4"/>
    <s v="Rural"/>
    <s v="Não se aplica"/>
    <s v="Não se aplica"/>
    <s v="Não se aplica"/>
    <s v="Ponta"/>
    <s v="CATIVO"/>
    <x v="10"/>
    <n v="0"/>
    <n v="0"/>
    <n v="38.723999999999997"/>
    <n v="37.175040000000003"/>
    <n v="38.723999999999997"/>
    <n v="37.175040000000003"/>
    <m/>
    <n v="2810.7"/>
    <n v="159.41"/>
    <m/>
    <n v="115014.53963999997"/>
    <n v="115014.53963999997"/>
    <n v="73253.80356"/>
    <n v="0"/>
    <n v="2087.7703072948489"/>
    <n v="0"/>
    <n v="0"/>
    <n v="0"/>
    <n v="23641.60583830591"/>
    <n v="81509.717922017153"/>
    <n v="5972.4302739984323"/>
    <n v="200.65798004859914"/>
    <n v="0"/>
    <n v="0"/>
    <n v="0"/>
    <n v="0"/>
    <n v="370.82316740213821"/>
    <m/>
    <n v="41.5792515546929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0.97269467558598"/>
    <n v="0"/>
    <n v="0"/>
    <n v="0"/>
    <n v="0"/>
    <n v="0"/>
    <m/>
    <m/>
    <m/>
    <m/>
    <m/>
    <n v="2930.1521423999884"/>
    <m/>
    <m/>
    <m/>
    <n v="6173.4029686740187"/>
    <m/>
    <m/>
    <m/>
    <m/>
    <m/>
    <m/>
    <m/>
    <m/>
    <m/>
    <m/>
    <m/>
    <m/>
    <n v="70333.034199999995"/>
    <n v="-40080.953854399995"/>
    <m/>
    <m/>
    <m/>
    <m/>
    <n v="-42824.484359999995"/>
    <n v="1063.7482799999998"/>
    <n v="31"/>
    <n v="-125.17908603210526"/>
    <n v="0"/>
    <n v="0"/>
    <n v="0"/>
    <n v="0"/>
    <n v="0"/>
    <n v="0"/>
    <n v="0"/>
    <n v="1067.938212529556"/>
    <n v="0"/>
    <n v="0"/>
    <n v="1184.1716387848901"/>
    <n v="0"/>
    <n v="0"/>
    <n v="0"/>
    <n v="39.847458117862175"/>
    <n v="0"/>
    <n v="-146.23155096474147"/>
    <m/>
    <n v="0"/>
    <n v="0"/>
    <n v="0"/>
    <n v="0"/>
    <n v="-22.62443203526999"/>
    <n v="-2.6493295283126059"/>
    <n v="0"/>
    <n v="-2245.6310829360818"/>
    <m/>
    <m/>
    <m/>
    <n v="81509.717922017153"/>
    <n v="0"/>
    <n v="0"/>
    <n v="-42824.484359999988"/>
    <n v="1063.7482799999998"/>
    <n v="0"/>
    <n v="0"/>
    <n v="-41635.353230940651"/>
    <n v="0"/>
    <n v="0"/>
    <n v="0"/>
    <n v="0"/>
    <n v="0"/>
    <n v="0"/>
    <n v="0"/>
    <n v="0"/>
    <n v="0"/>
    <n v="0"/>
    <n v="0"/>
    <n v="0"/>
    <n v="988.9394660841587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91"/>
    <s v="Sistema de Compensação"/>
    <s v="Verde"/>
    <s v="A4"/>
    <s v="Rural"/>
    <s v="Não se aplica"/>
    <s v="Não se aplica"/>
    <s v="Não se aplica"/>
    <s v="Ponta"/>
    <s v="CATIVO"/>
    <x v="10"/>
    <n v="0"/>
    <n v="0"/>
    <n v="1.2609999999999999"/>
    <n v="1.2105600000000001"/>
    <n v="1.2609999999999999"/>
    <n v="1.2105600000000001"/>
    <m/>
    <n v="2810.7"/>
    <n v="159.41"/>
    <m/>
    <n v="3745.3087099999993"/>
    <n v="3745.3087099999993"/>
    <n v="2385.4210899999998"/>
    <n v="0"/>
    <n v="67.985702858661412"/>
    <n v="0"/>
    <n v="0"/>
    <n v="0"/>
    <n v="769.86016326060724"/>
    <n v="2654.2649080586625"/>
    <n v="194.48493377523042"/>
    <n v="6.534183267257605"/>
    <n v="0"/>
    <n v="0"/>
    <n v="0"/>
    <n v="0"/>
    <n v="12.075405797285827"/>
    <m/>
    <n v="1.3539777969855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444315666231256"/>
    <n v="0"/>
    <n v="0"/>
    <n v="0"/>
    <n v="0"/>
    <n v="0"/>
    <m/>
    <m/>
    <m/>
    <m/>
    <m/>
    <n v="95.416843599999652"/>
    <m/>
    <m/>
    <m/>
    <n v="201.02936534185355"/>
    <m/>
    <m/>
    <m/>
    <m/>
    <m/>
    <m/>
    <m/>
    <m/>
    <m/>
    <m/>
    <m/>
    <m/>
    <n v="2288.9449"/>
    <n v="-1306.5814616000011"/>
    <m/>
    <m/>
    <m/>
    <m/>
    <n v="-1394.5272899999998"/>
    <n v="34.639669999999995"/>
    <n v="31"/>
    <n v="-4.0763048106209681"/>
    <n v="0"/>
    <n v="0"/>
    <n v="0"/>
    <n v="0"/>
    <n v="0"/>
    <n v="0"/>
    <n v="0"/>
    <n v="34.776110060938095"/>
    <n v="0"/>
    <n v="0"/>
    <n v="38.56111033229385"/>
    <n v="0"/>
    <n v="0"/>
    <n v="0"/>
    <n v="1.297584048306585"/>
    <n v="0"/>
    <n v="-4.7618527467859479"/>
    <m/>
    <n v="0"/>
    <n v="0"/>
    <n v="0"/>
    <n v="0"/>
    <n v="-0.73673713450251732"/>
    <n v="-8.6272196446704807E-2"/>
    <n v="0"/>
    <n v="-73.126247174424108"/>
    <m/>
    <m/>
    <m/>
    <n v="2654.2649080586625"/>
    <n v="0"/>
    <n v="0"/>
    <n v="-1394.5272899999995"/>
    <n v="34.639669999999995"/>
    <n v="0"/>
    <n v="0"/>
    <n v="-1355.8046798940238"/>
    <n v="0"/>
    <n v="0"/>
    <n v="0"/>
    <n v="0"/>
    <n v="0"/>
    <n v="0"/>
    <n v="0"/>
    <n v="0"/>
    <n v="0"/>
    <n v="0"/>
    <n v="0"/>
    <n v="0"/>
    <n v="32.20361188751483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92"/>
    <s v="Regular"/>
    <s v="Verde"/>
    <s v="A4"/>
    <s v="Rural"/>
    <s v="Não se aplica"/>
    <s v="Não se aplica"/>
    <s v="Não se aplica"/>
    <s v="Fora ponta"/>
    <s v="CATIVO"/>
    <x v="10"/>
    <n v="0"/>
    <n v="0"/>
    <n v="800.053"/>
    <n v="768.05088000000001"/>
    <n v="800.053"/>
    <n v="768.05088000000001"/>
    <m/>
    <n v="95.29"/>
    <n v="159.41"/>
    <m/>
    <n v="203773.49910000002"/>
    <n v="203773.49910000002"/>
    <n v="221542.67622999998"/>
    <n v="0"/>
    <n v="43134.151886741187"/>
    <n v="0"/>
    <n v="0"/>
    <n v="0"/>
    <n v="0"/>
    <n v="0"/>
    <n v="123392.74759847298"/>
    <n v="4145.6724230921882"/>
    <n v="0"/>
    <n v="0"/>
    <n v="0"/>
    <n v="0"/>
    <n v="7661.3518115272936"/>
    <m/>
    <n v="859.0436149180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2.1745504928886"/>
    <n v="0"/>
    <n v="0"/>
    <n v="0"/>
    <n v="0"/>
    <n v="0"/>
    <m/>
    <m/>
    <m/>
    <m/>
    <m/>
    <n v="8861.7070491999984"/>
    <m/>
    <m/>
    <m/>
    <n v="127544.92214896587"/>
    <m/>
    <m/>
    <m/>
    <m/>
    <m/>
    <m/>
    <m/>
    <m/>
    <m/>
    <m/>
    <m/>
    <m/>
    <n v="212680.72549999997"/>
    <n v="17058.136363999947"/>
    <m/>
    <m/>
    <m/>
    <m/>
    <n v="-4208.2787800000042"/>
    <n v="21977.455910000001"/>
    <n v="31"/>
    <n v="17766.648330144759"/>
    <n v="0"/>
    <n v="0"/>
    <n v="0"/>
    <n v="0"/>
    <n v="0"/>
    <n v="0"/>
    <n v="0"/>
    <n v="0"/>
    <n v="0"/>
    <n v="0"/>
    <n v="24465.449646853842"/>
    <n v="0"/>
    <n v="0"/>
    <n v="0"/>
    <n v="823.26408453594559"/>
    <n v="0"/>
    <n v="-3021.2010908995508"/>
    <m/>
    <n v="0"/>
    <n v="0"/>
    <n v="0"/>
    <n v="0"/>
    <n v="-467.42962305324545"/>
    <n v="-54.736185236935398"/>
    <n v="0"/>
    <n v="-3978.698502055282"/>
    <m/>
    <m/>
    <m/>
    <n v="0"/>
    <n v="0"/>
    <n v="0"/>
    <n v="-4208.2787800000078"/>
    <n v="21977.45590999999"/>
    <n v="0"/>
    <n v="0"/>
    <n v="0"/>
    <n v="0"/>
    <n v="0"/>
    <n v="0"/>
    <n v="0"/>
    <n v="0"/>
    <n v="0"/>
    <n v="0"/>
    <n v="0"/>
    <n v="0"/>
    <n v="0"/>
    <n v="0"/>
    <n v="0"/>
    <n v="20431.87652770967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93"/>
    <s v="Sistema de Compensação"/>
    <s v="Verde"/>
    <s v="A4"/>
    <s v="Rural"/>
    <s v="Não se aplica"/>
    <s v="Não se aplica"/>
    <s v="Não se aplica"/>
    <s v="Fora ponta"/>
    <s v="CATIVO"/>
    <x v="10"/>
    <n v="0"/>
    <n v="0"/>
    <n v="35.676000000000002"/>
    <n v="34.248959999999997"/>
    <n v="35.676000000000002"/>
    <n v="34.248959999999997"/>
    <m/>
    <n v="95.29"/>
    <n v="159.41"/>
    <m/>
    <n v="9086.6772000000019"/>
    <n v="9086.6772000000019"/>
    <n v="9879.0411600000007"/>
    <n v="0"/>
    <n v="1923.4400754842227"/>
    <n v="0"/>
    <n v="0"/>
    <n v="0"/>
    <n v="0"/>
    <n v="0"/>
    <n v="5502.3350494568767"/>
    <n v="184.86401446683772"/>
    <n v="0"/>
    <n v="0"/>
    <n v="0"/>
    <n v="0"/>
    <n v="341.63535069307625"/>
    <m/>
    <n v="38.3065122008373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.15395762953739"/>
    <n v="0"/>
    <n v="0"/>
    <n v="0"/>
    <n v="0"/>
    <n v="0"/>
    <m/>
    <m/>
    <m/>
    <m/>
    <m/>
    <n v="395.16164640000147"/>
    <m/>
    <m/>
    <m/>
    <n v="5687.4890070864139"/>
    <m/>
    <m/>
    <m/>
    <m/>
    <m/>
    <m/>
    <m/>
    <m/>
    <m/>
    <m/>
    <m/>
    <m/>
    <n v="9484.1674999999996"/>
    <n v="760.92738799999825"/>
    <m/>
    <m/>
    <m/>
    <m/>
    <n v="-187.65576000000019"/>
    <n v="980.01972000000001"/>
    <n v="31"/>
    <n v="792.25119564109082"/>
    <n v="0"/>
    <n v="0"/>
    <n v="0"/>
    <n v="0"/>
    <n v="0"/>
    <n v="0"/>
    <n v="0"/>
    <n v="0"/>
    <n v="0"/>
    <n v="0"/>
    <n v="1090.9644506065943"/>
    <n v="0"/>
    <n v="0"/>
    <n v="0"/>
    <n v="36.711029744159987"/>
    <n v="0"/>
    <n v="-134.72153734681638"/>
    <m/>
    <n v="0"/>
    <n v="0"/>
    <n v="0"/>
    <n v="0"/>
    <n v="-20.843643148700835"/>
    <n v="-2.4407984777419784"/>
    <n v="0"/>
    <n v="-177.41830573640027"/>
    <m/>
    <m/>
    <m/>
    <n v="0"/>
    <n v="0"/>
    <n v="0"/>
    <n v="-187.65576000000056"/>
    <n v="980.01972000000023"/>
    <n v="0"/>
    <n v="0"/>
    <n v="0"/>
    <n v="0"/>
    <n v="0"/>
    <n v="0"/>
    <n v="0"/>
    <n v="0"/>
    <n v="0"/>
    <n v="0"/>
    <n v="0"/>
    <n v="0"/>
    <n v="0"/>
    <n v="0"/>
    <n v="0"/>
    <n v="911.099173432973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94"/>
    <s v="Regular"/>
    <s v="Verde"/>
    <s v="A4"/>
    <s v="Rural"/>
    <s v="Não se aplica"/>
    <s v="Não se aplica"/>
    <s v="Não se aplica"/>
    <s v="Não se aplica"/>
    <s v="CATIVO"/>
    <x v="10"/>
    <n v="3500"/>
    <n v="3360"/>
    <n v="0"/>
    <n v="0"/>
    <n v="0"/>
    <n v="0"/>
    <n v="43.29"/>
    <m/>
    <m/>
    <n v="151515"/>
    <m/>
    <n v="151515"/>
    <n v="117215"/>
    <n v="0"/>
    <n v="0"/>
    <n v="0"/>
    <n v="0"/>
    <n v="0"/>
    <n v="82823.955054532998"/>
    <n v="68702.1548653006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8.44"/>
    <n v="673.83"/>
    <n v="114.66"/>
    <n v="22"/>
    <m/>
    <m/>
    <m/>
    <m/>
    <m/>
    <n v="4688.6000000000004"/>
    <m/>
    <m/>
    <m/>
    <n v="0"/>
    <m/>
    <m/>
    <m/>
    <m/>
    <m/>
    <m/>
    <m/>
    <m/>
    <m/>
    <m/>
    <m/>
    <m/>
    <n v="112526.40000000001"/>
    <n v="-32928.030000000013"/>
    <m/>
    <m/>
    <m/>
    <m/>
    <n v="-34299.999999999993"/>
    <n v="0"/>
    <n v="31"/>
    <n v="782.81050825132115"/>
    <n v="0"/>
    <n v="0"/>
    <n v="0"/>
    <n v="0"/>
    <m/>
    <m/>
    <m/>
    <n v="3741.3222739823104"/>
    <n v="0"/>
    <n v="0"/>
    <m/>
    <m/>
    <n v="0"/>
    <n v="0"/>
    <n v="0"/>
    <n v="0"/>
    <n v="0"/>
    <m/>
    <n v="0"/>
    <n v="0"/>
    <m/>
    <n v="0"/>
    <n v="0"/>
    <n v="0"/>
    <n v="0"/>
    <n v="-2958.5117657309829"/>
    <m/>
    <m/>
    <n v="68702.154865300603"/>
    <m/>
    <n v="0"/>
    <n v="0"/>
    <n v="-34300"/>
    <m/>
    <n v="0"/>
    <m/>
    <n v="-35093.220274425046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95"/>
    <s v="Sistema de Compensação"/>
    <s v="Verde"/>
    <s v="A4"/>
    <s v="Rural"/>
    <s v="Não se aplica"/>
    <s v="Não se aplica"/>
    <s v="Não se aplica"/>
    <s v="Não se aplica"/>
    <s v="CATIVO"/>
    <x v="10"/>
    <n v="419"/>
    <n v="402.24"/>
    <n v="0"/>
    <n v="0"/>
    <n v="0"/>
    <n v="0"/>
    <n v="43.29"/>
    <m/>
    <m/>
    <n v="18138.509999999998"/>
    <m/>
    <n v="18138.509999999998"/>
    <n v="14032.310000000001"/>
    <n v="0"/>
    <n v="0"/>
    <n v="0"/>
    <n v="0"/>
    <n v="0"/>
    <n v="9915.2106193855216"/>
    <n v="8224.62939673169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.25"/>
    <n v="43.63"/>
    <n v="14.35"/>
    <n v="3"/>
    <m/>
    <m/>
    <m/>
    <m/>
    <m/>
    <n v="561.2923999999997"/>
    <m/>
    <m/>
    <m/>
    <n v="0"/>
    <m/>
    <m/>
    <m/>
    <m/>
    <m/>
    <m/>
    <m/>
    <m/>
    <m/>
    <m/>
    <m/>
    <m/>
    <n v="13471.017600000001"/>
    <n v="-3941.9819999999945"/>
    <m/>
    <m/>
    <m/>
    <m/>
    <n v="-4106.1999999999989"/>
    <n v="0"/>
    <n v="31"/>
    <n v="93.713600844945177"/>
    <n v="0"/>
    <n v="0"/>
    <n v="0"/>
    <n v="0"/>
    <m/>
    <m/>
    <m/>
    <n v="447.88972365673908"/>
    <n v="0"/>
    <n v="0"/>
    <m/>
    <m/>
    <n v="0"/>
    <n v="0"/>
    <n v="0"/>
    <n v="0"/>
    <n v="0"/>
    <m/>
    <n v="0"/>
    <n v="0"/>
    <m/>
    <n v="0"/>
    <n v="0"/>
    <n v="0"/>
    <n v="0"/>
    <n v="-354.17612281179481"/>
    <m/>
    <m/>
    <n v="8224.6293967316997"/>
    <m/>
    <n v="0"/>
    <n v="0"/>
    <n v="-4106.1999999999971"/>
    <m/>
    <n v="0"/>
    <m/>
    <n v="-4201.15979856688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696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260.54000000000002"/>
    <n v="260.54000000000002"/>
    <n v="260.54000000000002"/>
    <n v="260.54000000000002"/>
    <m/>
    <n v="648.44000000000005"/>
    <n v="159.41"/>
    <m/>
    <n v="210477.23900000003"/>
    <n v="210477.23900000003"/>
    <n v="159403.58280000003"/>
    <n v="0"/>
    <n v="16145.729099141947"/>
    <n v="0"/>
    <n v="0"/>
    <n v="0"/>
    <n v="30390.538805252596"/>
    <n v="108787.43243966505"/>
    <n v="40183.270932433421"/>
    <n v="1350.0524254173645"/>
    <n v="0"/>
    <n v="0"/>
    <n v="0"/>
    <n v="0"/>
    <n v="2494.945461082355"/>
    <m/>
    <n v="540.64541817023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37.2687904528857"/>
    <n v="0"/>
    <n v="64.349999999999994"/>
    <n v="281.07"/>
    <n v="51383.7"/>
    <n v="361"/>
    <m/>
    <m/>
    <m/>
    <m/>
    <m/>
    <m/>
    <m/>
    <m/>
    <m/>
    <n v="43120.539722886308"/>
    <m/>
    <m/>
    <m/>
    <m/>
    <m/>
    <m/>
    <m/>
    <m/>
    <m/>
    <m/>
    <m/>
    <m/>
    <n v="159403.58280000003"/>
    <n v="-51073.686200000026"/>
    <m/>
    <m/>
    <m/>
    <m/>
    <n v="-58230.690000000017"/>
    <n v="7157.0338000000002"/>
    <n v="31"/>
    <n v="4495.3618537996372"/>
    <n v="0"/>
    <n v="0"/>
    <n v="0"/>
    <n v="0"/>
    <n v="0"/>
    <n v="0"/>
    <n v="0"/>
    <n v="1372.8008964985565"/>
    <n v="0"/>
    <n v="0"/>
    <n v="7967.2574829308796"/>
    <n v="0"/>
    <n v="0"/>
    <n v="0"/>
    <n v="582.38108066077302"/>
    <n v="0"/>
    <n v="-1130.8787175363468"/>
    <m/>
    <n v="0"/>
    <n v="0"/>
    <n v="0"/>
    <n v="0"/>
    <n v="-152.22005790902949"/>
    <n v="-34.448620818037341"/>
    <n v="0"/>
    <n v="-4109.5302100271565"/>
    <m/>
    <m/>
    <m/>
    <n v="108787.43243966505"/>
    <n v="0"/>
    <n v="0"/>
    <n v="-58230.690000000017"/>
    <n v="7157.0338000000047"/>
    <n v="0"/>
    <n v="0"/>
    <n v="-55568.873162412237"/>
    <n v="0"/>
    <n v="0"/>
    <n v="0"/>
    <n v="0"/>
    <n v="0"/>
    <n v="0"/>
    <n v="0"/>
    <n v="0"/>
    <n v="0"/>
    <n v="0"/>
    <n v="0"/>
    <n v="0"/>
    <n v="7647.943195213722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97"/>
    <s v="Regular"/>
    <s v="Azul"/>
    <s v="A4"/>
    <s v="Poder público"/>
    <s v="Não se aplica"/>
    <s v="Não se aplica"/>
    <s v="Não se aplica"/>
    <s v="Ponta"/>
    <s v="CATIVO"/>
    <x v="10"/>
    <n v="200"/>
    <n v="200"/>
    <n v="7.2880000000000003"/>
    <n v="7.2880000000000003"/>
    <n v="7.2880000000000003"/>
    <n v="7.2880000000000003"/>
    <n v="112.91"/>
    <n v="95.29"/>
    <n v="159.41"/>
    <n v="22582"/>
    <n v="1856.2536"/>
    <n v="24438.2536"/>
    <n v="15446.120079999999"/>
    <n v="0"/>
    <n v="392.92609233459507"/>
    <n v="0"/>
    <n v="0"/>
    <n v="0"/>
    <n v="5077.0827132346003"/>
    <n v="17504.269107723037"/>
    <n v="1124.0334634051383"/>
    <n v="37.764573871350855"/>
    <n v="0"/>
    <n v="0"/>
    <n v="0"/>
    <n v="0"/>
    <n v="69.790291396208644"/>
    <m/>
    <n v="7.82536890121376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823804327953482"/>
    <n v="0"/>
    <n v="0"/>
    <n v="0"/>
    <n v="0"/>
    <n v="0"/>
    <m/>
    <m/>
    <m/>
    <m/>
    <m/>
    <m/>
    <m/>
    <m/>
    <m/>
    <n v="1161.8572677330917"/>
    <m/>
    <m/>
    <m/>
    <m/>
    <m/>
    <m/>
    <m/>
    <m/>
    <m/>
    <m/>
    <m/>
    <m/>
    <n v="15446.6739"/>
    <n v="-8991.6096999999954"/>
    <m/>
    <m/>
    <m/>
    <m/>
    <n v="-9192.3348800000003"/>
    <n v="200.20135999999999"/>
    <n v="31"/>
    <n v="-49.710262130888623"/>
    <n v="0"/>
    <n v="0"/>
    <n v="0"/>
    <n v="0"/>
    <n v="0"/>
    <n v="0"/>
    <n v="0"/>
    <n v="229.34189304735992"/>
    <n v="0"/>
    <n v="0"/>
    <n v="222.86548144469293"/>
    <n v="0"/>
    <n v="0"/>
    <n v="0"/>
    <n v="7.4994389722905623"/>
    <n v="0"/>
    <n v="-27.521318650734315"/>
    <m/>
    <n v="0"/>
    <n v="0"/>
    <n v="0"/>
    <n v="0"/>
    <n v="-4.2580017733975666"/>
    <n v="-0.49861361435652984"/>
    <n v="0"/>
    <n v="-477.1391415567436"/>
    <m/>
    <m/>
    <n v="17504.269107723037"/>
    <n v="0"/>
    <n v="0"/>
    <n v="0"/>
    <n v="-9192.3348800000003"/>
    <n v="200.20136000000002"/>
    <n v="0"/>
    <n v="0"/>
    <n v="-8941.2213160491574"/>
    <n v="0"/>
    <n v="0"/>
    <n v="0"/>
    <n v="0"/>
    <n v="0"/>
    <n v="0"/>
    <n v="0"/>
    <n v="0"/>
    <n v="0"/>
    <n v="0"/>
    <n v="0"/>
    <n v="0"/>
    <n v="186.1220645806567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98"/>
    <s v="Regular"/>
    <s v="Azul"/>
    <s v="A4"/>
    <s v="Poder público"/>
    <s v="Não se aplica"/>
    <s v="Não se aplica"/>
    <s v="Não se aplica"/>
    <s v="Fora ponta"/>
    <s v="CATIVO"/>
    <x v="10"/>
    <n v="230"/>
    <n v="230"/>
    <n v="43.581000000000003"/>
    <n v="43.581000000000003"/>
    <n v="43.581000000000003"/>
    <n v="43.581000000000003"/>
    <n v="43.29"/>
    <n v="95.29"/>
    <n v="159.41"/>
    <n v="9956.6999999999989"/>
    <n v="11100.080700000002"/>
    <n v="21056.780699999999"/>
    <n v="19770.71471"/>
    <n v="0"/>
    <n v="2349.6311786544989"/>
    <n v="0"/>
    <n v="0"/>
    <n v="0"/>
    <n v="5442.71704644074"/>
    <n v="4514.7130340054682"/>
    <n v="6721.5288650740031"/>
    <n v="225.82572638410289"/>
    <n v="0"/>
    <n v="0"/>
    <n v="0"/>
    <n v="0"/>
    <n v="417.33406824069283"/>
    <m/>
    <n v="46.7943745998624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6.17991443695678"/>
    <n v="0"/>
    <n v="0"/>
    <n v="0"/>
    <n v="0"/>
    <n v="0"/>
    <m/>
    <m/>
    <m/>
    <m/>
    <m/>
    <m/>
    <m/>
    <m/>
    <m/>
    <n v="6947.7087795109601"/>
    <m/>
    <m/>
    <m/>
    <m/>
    <m/>
    <m/>
    <m/>
    <m/>
    <m/>
    <m/>
    <m/>
    <m/>
    <n v="19770.4378"/>
    <n v="-1286.3728999999985"/>
    <m/>
    <m/>
    <m/>
    <m/>
    <n v="-2483.2360599999997"/>
    <n v="1197.1700700000001"/>
    <n v="31"/>
    <n v="1019.2380929922256"/>
    <n v="0"/>
    <n v="0"/>
    <n v="0"/>
    <n v="0"/>
    <n v="0"/>
    <n v="0"/>
    <n v="0"/>
    <n v="245.85832086169376"/>
    <n v="0"/>
    <n v="0"/>
    <n v="1332.6976601044398"/>
    <n v="0"/>
    <n v="0"/>
    <n v="0"/>
    <n v="44.845369079499847"/>
    <n v="0"/>
    <n v="-164.57280297991929"/>
    <m/>
    <n v="0"/>
    <n v="0"/>
    <n v="0"/>
    <n v="0"/>
    <n v="-25.462126136997767"/>
    <n v="-2.9816245783852793"/>
    <n v="0"/>
    <n v="-411.14670335810774"/>
    <m/>
    <m/>
    <n v="4514.7130340054682"/>
    <n v="0"/>
    <n v="0"/>
    <n v="0"/>
    <n v="-2483.2360599999993"/>
    <n v="1197.1700700000001"/>
    <n v="0"/>
    <n v="0"/>
    <n v="-2306.1259037479317"/>
    <n v="0"/>
    <n v="0"/>
    <n v="0"/>
    <n v="0"/>
    <n v="0"/>
    <n v="0"/>
    <n v="0"/>
    <n v="0"/>
    <n v="0"/>
    <n v="0"/>
    <n v="0"/>
    <n v="0"/>
    <n v="1112.978278881668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699"/>
    <s v="Regular"/>
    <s v="Azul"/>
    <s v="A4"/>
    <s v="Poder público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.11"/>
    <n v="60"/>
    <n v="9634.5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00"/>
    <s v="Regular"/>
    <s v="Verde"/>
    <s v="A4"/>
    <s v="Poder público"/>
    <s v="Não se aplica"/>
    <s v="Não se aplica"/>
    <s v="Não se aplica"/>
    <s v="Ponta"/>
    <s v="CATIVO"/>
    <x v="10"/>
    <n v="0"/>
    <n v="0"/>
    <n v="0.41799999999999998"/>
    <n v="0.41799999999999998"/>
    <n v="0.41799999999999998"/>
    <n v="0.41799999999999998"/>
    <m/>
    <n v="2810.7"/>
    <n v="159.41"/>
    <m/>
    <n v="1241.5059799999999"/>
    <n v="1241.5059799999999"/>
    <n v="790.72641999999996"/>
    <n v="0"/>
    <n v="22.536101344108221"/>
    <n v="0"/>
    <n v="0"/>
    <n v="0"/>
    <n v="255.19551803563348"/>
    <n v="879.84356191000859"/>
    <n v="64.468439586079555"/>
    <n v="2.165970345530277"/>
    <n v="0"/>
    <n v="0"/>
    <n v="0"/>
    <n v="0"/>
    <n v="4.0027911366102105"/>
    <m/>
    <n v="0.44882055443295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693674820368489"/>
    <n v="0"/>
    <n v="0"/>
    <n v="0"/>
    <n v="0"/>
    <n v="0"/>
    <m/>
    <m/>
    <m/>
    <m/>
    <m/>
    <m/>
    <m/>
    <m/>
    <m/>
    <n v="66.637807068116402"/>
    <m/>
    <m/>
    <m/>
    <m/>
    <m/>
    <m/>
    <m/>
    <m/>
    <m/>
    <m/>
    <m/>
    <m/>
    <n v="794.50979999999993"/>
    <n v="-447.02617999999995"/>
    <m/>
    <m/>
    <m/>
    <m/>
    <n v="-462.26201999999995"/>
    <n v="11.48246"/>
    <n v="31"/>
    <n v="-1.3512255438853344"/>
    <n v="0"/>
    <n v="0"/>
    <n v="0"/>
    <n v="0"/>
    <n v="0"/>
    <n v="0"/>
    <n v="0"/>
    <n v="11.527687553903377"/>
    <n v="0"/>
    <n v="0"/>
    <n v="12.782350609753237"/>
    <n v="0"/>
    <n v="0"/>
    <n v="0"/>
    <n v="0.43012698825706019"/>
    <n v="0"/>
    <n v="-1.578472996159018"/>
    <m/>
    <n v="0"/>
    <n v="0"/>
    <n v="0"/>
    <n v="0"/>
    <n v="-0.24421579874865351"/>
    <n v="-2.8597762184553954E-2"/>
    <n v="0"/>
    <n v="-24.240104138706805"/>
    <m/>
    <m/>
    <m/>
    <n v="879.84356191000859"/>
    <n v="0"/>
    <n v="0"/>
    <n v="-462.26202000000001"/>
    <n v="11.482459999999989"/>
    <n v="0"/>
    <n v="0"/>
    <n v="-449.4261349688357"/>
    <n v="0"/>
    <n v="0"/>
    <n v="0"/>
    <n v="0"/>
    <n v="0"/>
    <n v="0"/>
    <n v="0"/>
    <n v="0"/>
    <n v="0"/>
    <n v="0"/>
    <n v="0"/>
    <n v="0"/>
    <n v="10.67494827040539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01"/>
    <s v="Regular"/>
    <s v="Verde"/>
    <s v="A4"/>
    <s v="Poder público"/>
    <s v="Não se aplica"/>
    <s v="Não se aplica"/>
    <s v="Não se aplica"/>
    <s v="Fora ponta"/>
    <s v="CATIVO"/>
    <x v="10"/>
    <n v="0"/>
    <n v="0"/>
    <n v="4.0430000000000001"/>
    <n v="4.0430000000000001"/>
    <n v="4.0430000000000001"/>
    <n v="4.0430000000000001"/>
    <m/>
    <n v="95.29"/>
    <n v="159.41"/>
    <m/>
    <n v="1029.7521000000002"/>
    <n v="1029.7521000000002"/>
    <n v="1119.5471299999999"/>
    <n v="0"/>
    <n v="217.97477926849174"/>
    <n v="0"/>
    <n v="0"/>
    <n v="0"/>
    <n v="0"/>
    <n v="0"/>
    <n v="623.55478767109969"/>
    <n v="20.949804083681602"/>
    <n v="0"/>
    <n v="0"/>
    <n v="0"/>
    <n v="0"/>
    <n v="38.715991783050434"/>
    <m/>
    <n v="4.34110407074742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982662033193733"/>
    <n v="0"/>
    <n v="0"/>
    <n v="0"/>
    <n v="0"/>
    <n v="0"/>
    <m/>
    <m/>
    <m/>
    <m/>
    <m/>
    <m/>
    <m/>
    <m/>
    <m/>
    <n v="644.53744970429341"/>
    <m/>
    <m/>
    <m/>
    <m/>
    <m/>
    <m/>
    <m/>
    <m/>
    <m/>
    <m/>
    <m/>
    <m/>
    <n v="1118.7164"/>
    <n v="88.934299999999894"/>
    <m/>
    <m/>
    <m/>
    <m/>
    <n v="-21.26618000000002"/>
    <n v="111.06121"/>
    <n v="31"/>
    <n v="89.782250924345362"/>
    <n v="0"/>
    <n v="0"/>
    <n v="0"/>
    <n v="0"/>
    <n v="0"/>
    <n v="0"/>
    <n v="0"/>
    <n v="0"/>
    <n v="0"/>
    <n v="0"/>
    <n v="123.6340753952926"/>
    <n v="0"/>
    <n v="0"/>
    <n v="0"/>
    <n v="4.1602952476633845"/>
    <n v="0"/>
    <n v="-15.26738354897347"/>
    <m/>
    <n v="0"/>
    <n v="0"/>
    <n v="0"/>
    <n v="0"/>
    <n v="-2.3621159673225023"/>
    <n v="-0.27660467108170295"/>
    <n v="0"/>
    <n v="-20.106015531232934"/>
    <m/>
    <m/>
    <m/>
    <n v="0"/>
    <n v="0"/>
    <n v="0"/>
    <n v="-21.26618000000002"/>
    <n v="111.06120999999996"/>
    <n v="0"/>
    <n v="0"/>
    <n v="0"/>
    <n v="0"/>
    <n v="0"/>
    <n v="0"/>
    <n v="0"/>
    <n v="0"/>
    <n v="0"/>
    <n v="0"/>
    <n v="0"/>
    <n v="0"/>
    <n v="0"/>
    <n v="0"/>
    <n v="0"/>
    <n v="103.2507556393516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02"/>
    <s v="Regular"/>
    <s v="Verde"/>
    <s v="A4"/>
    <s v="Poder público"/>
    <s v="Não se aplica"/>
    <s v="Não se aplica"/>
    <s v="Não se aplica"/>
    <s v="Não se aplica"/>
    <s v="CATIVO"/>
    <x v="10"/>
    <n v="45"/>
    <n v="45"/>
    <n v="0"/>
    <n v="0"/>
    <n v="0"/>
    <n v="0"/>
    <n v="43.29"/>
    <m/>
    <m/>
    <n v="1948.05"/>
    <m/>
    <n v="1948.05"/>
    <n v="1507.0500000000002"/>
    <n v="0"/>
    <n v="0"/>
    <n v="0"/>
    <n v="0"/>
    <n v="0"/>
    <n v="1064.8794221297101"/>
    <n v="883.313419696722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.37"/>
    <n v="5.82"/>
    <n v="0"/>
    <n v="1"/>
    <m/>
    <m/>
    <m/>
    <m/>
    <m/>
    <m/>
    <m/>
    <m/>
    <m/>
    <n v="0"/>
    <m/>
    <m/>
    <m/>
    <m/>
    <m/>
    <m/>
    <m/>
    <m/>
    <m/>
    <m/>
    <m/>
    <m/>
    <n v="1507.0500000000002"/>
    <n v="-441.02999999999975"/>
    <m/>
    <m/>
    <m/>
    <m/>
    <n v="-440.99999999999989"/>
    <n v="0"/>
    <n v="31"/>
    <n v="10.064706534659763"/>
    <n v="0"/>
    <n v="0"/>
    <n v="0"/>
    <n v="0"/>
    <m/>
    <m/>
    <m/>
    <n v="48.102714951201051"/>
    <n v="0"/>
    <n v="0"/>
    <m/>
    <m/>
    <n v="0"/>
    <n v="0"/>
    <n v="0"/>
    <n v="0"/>
    <n v="0"/>
    <m/>
    <n v="0"/>
    <n v="0"/>
    <m/>
    <n v="0"/>
    <n v="0"/>
    <n v="0"/>
    <n v="0"/>
    <n v="-38.03800841654121"/>
    <m/>
    <m/>
    <n v="883.31341969672201"/>
    <m/>
    <n v="0"/>
    <n v="0"/>
    <n v="-440.99999999999977"/>
    <m/>
    <n v="0"/>
    <m/>
    <n v="-451.1985463854648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03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526.69899999999996"/>
    <n v="526.69899999999996"/>
    <n v="526.69899999999996"/>
    <n v="526.69899999999996"/>
    <m/>
    <n v="356.64"/>
    <n v="87.68"/>
    <m/>
    <n v="234022.89967999997"/>
    <n v="234022.89967999997"/>
    <n v="177234.21349999998"/>
    <n v="0"/>
    <n v="17951.817970115651"/>
    <n v="0"/>
    <n v="0"/>
    <n v="0"/>
    <n v="33790.076452764413"/>
    <n v="120956.58069085926"/>
    <n v="44678.240344142709"/>
    <n v="1501.0715987111198"/>
    <n v="0"/>
    <n v="0"/>
    <n v="0"/>
    <n v="0"/>
    <n v="2774.0343274492902"/>
    <m/>
    <n v="601.12293930937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65.8367009461558"/>
    <n v="0"/>
    <n v="70.930000000000007"/>
    <n v="302.76"/>
    <n v="44521.15"/>
    <n v="62"/>
    <m/>
    <m/>
    <m/>
    <m/>
    <m/>
    <m/>
    <m/>
    <m/>
    <m/>
    <n v="47944.077045088867"/>
    <m/>
    <m/>
    <m/>
    <m/>
    <m/>
    <m/>
    <m/>
    <m/>
    <m/>
    <m/>
    <m/>
    <m/>
    <n v="177234.55000000002"/>
    <n v="-56788.379679999984"/>
    <m/>
    <m/>
    <m/>
    <m/>
    <n v="-64741.841079999991"/>
    <n v="7953.1548999999959"/>
    <n v="31"/>
    <n v="4998.2207191560592"/>
    <n v="0"/>
    <n v="0"/>
    <n v="0"/>
    <n v="0"/>
    <n v="0"/>
    <n v="0"/>
    <n v="0"/>
    <n v="1526.3647526740533"/>
    <n v="0"/>
    <n v="0"/>
    <n v="8858.4885313242048"/>
    <n v="0"/>
    <n v="0"/>
    <n v="0"/>
    <n v="647.52722438635465"/>
    <n v="0"/>
    <n v="-1257.3807450150816"/>
    <m/>
    <n v="0"/>
    <n v="0"/>
    <n v="0"/>
    <n v="0"/>
    <n v="-169.2476539277859"/>
    <n v="-38.302102460016954"/>
    <n v="0"/>
    <n v="-4569.2292878256703"/>
    <m/>
    <m/>
    <m/>
    <n v="120956.58069085926"/>
    <n v="0"/>
    <n v="0"/>
    <n v="-64741.841079999998"/>
    <n v="7953.1548999999941"/>
    <n v="0"/>
    <n v="0"/>
    <n v="-61784.902353469777"/>
    <n v="0"/>
    <n v="0"/>
    <n v="0"/>
    <n v="0"/>
    <n v="0"/>
    <n v="0"/>
    <n v="0"/>
    <n v="0"/>
    <n v="0"/>
    <n v="0"/>
    <n v="0"/>
    <n v="0"/>
    <n v="8503.455201261696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04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39.252000000000002"/>
    <n v="36.896880000000003"/>
    <n v="39.252000000000002"/>
    <n v="36.896880000000003"/>
    <m/>
    <n v="648.44000000000005"/>
    <n v="159.41"/>
    <m/>
    <n v="31709.728200000001"/>
    <n v="31709.728200000001"/>
    <n v="24015.158640000001"/>
    <n v="0"/>
    <n v="2432.4562777290234"/>
    <n v="0"/>
    <n v="0"/>
    <n v="0"/>
    <n v="4578.527017670127"/>
    <n v="16389.515230374349"/>
    <n v="6053.8640924229549"/>
    <n v="203.39394259032161"/>
    <n v="0"/>
    <n v="0"/>
    <n v="0"/>
    <n v="0"/>
    <n v="375.87932462733016"/>
    <m/>
    <n v="81.451654080056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2.51813373323358"/>
    <n v="0"/>
    <n v="9.24"/>
    <n v="39.54"/>
    <n v="8232.11"/>
    <n v="13"/>
    <m/>
    <m/>
    <m/>
    <m/>
    <n v="1440.9095183999998"/>
    <m/>
    <m/>
    <m/>
    <m/>
    <n v="6496.3822261561882"/>
    <m/>
    <m/>
    <m/>
    <m/>
    <m/>
    <m/>
    <m/>
    <m/>
    <m/>
    <m/>
    <m/>
    <m/>
    <n v="22576.157999999999"/>
    <n v="-7231.0165080000006"/>
    <m/>
    <m/>
    <m/>
    <m/>
    <n v="-8772.8220000000019"/>
    <n v="1078.25244"/>
    <n v="31"/>
    <n v="677.25471515062054"/>
    <n v="0"/>
    <n v="0"/>
    <n v="0"/>
    <n v="0"/>
    <n v="0"/>
    <n v="0"/>
    <n v="0"/>
    <n v="206.82114373747299"/>
    <n v="0"/>
    <n v="0"/>
    <n v="1200.3177658708937"/>
    <n v="0"/>
    <n v="0"/>
    <n v="0"/>
    <n v="87.739395786046828"/>
    <n v="0"/>
    <n v="-170.37403631203188"/>
    <m/>
    <n v="0"/>
    <n v="0"/>
    <n v="0"/>
    <n v="0"/>
    <n v="-22.932915149478845"/>
    <n v="-5.1899027571566876"/>
    <n v="0"/>
    <n v="-619.12673602512461"/>
    <m/>
    <m/>
    <m/>
    <n v="16389.515230374349"/>
    <n v="0"/>
    <n v="0"/>
    <n v="-8772.8220000000001"/>
    <n v="1078.2524400000002"/>
    <n v="0"/>
    <n v="0"/>
    <n v="-8371.8024463460715"/>
    <n v="0"/>
    <n v="0"/>
    <n v="0"/>
    <n v="0"/>
    <n v="0"/>
    <n v="0"/>
    <n v="0"/>
    <n v="0"/>
    <n v="0"/>
    <n v="0"/>
    <n v="0"/>
    <n v="0"/>
    <n v="1152.211047434286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05"/>
    <s v="Regular"/>
    <s v="Azul"/>
    <s v="A4"/>
    <s v="Serviço público"/>
    <s v="Água, esgoto e saneamento"/>
    <s v="Não se aplica"/>
    <s v="Não se aplica"/>
    <s v="Ponta"/>
    <s v="CATIVO"/>
    <x v="10"/>
    <n v="708"/>
    <n v="665.52"/>
    <n v="36.517000000000003"/>
    <n v="34.325980000000001"/>
    <n v="36.517000000000003"/>
    <n v="34.325980000000001"/>
    <n v="112.91"/>
    <n v="95.29"/>
    <n v="159.41"/>
    <n v="79940.28"/>
    <n v="9300.8798999999999"/>
    <n v="89241.159899999999"/>
    <n v="57647.04247"/>
    <n v="0"/>
    <n v="1968.7818487626796"/>
    <n v="0"/>
    <n v="0"/>
    <n v="0"/>
    <n v="17972.872804850485"/>
    <n v="61965.112641339554"/>
    <n v="5632.0430822126018"/>
    <n v="189.22186389408881"/>
    <n v="0"/>
    <n v="0"/>
    <n v="0"/>
    <n v="0"/>
    <n v="349.68881324305039"/>
    <m/>
    <n v="39.209521976622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51864196540581"/>
    <n v="0"/>
    <n v="0"/>
    <n v="0"/>
    <n v="0"/>
    <n v="0"/>
    <m/>
    <m/>
    <m/>
    <m/>
    <n v="3458.8225482000021"/>
    <m/>
    <m/>
    <m/>
    <m/>
    <n v="5821.5617241780074"/>
    <m/>
    <m/>
    <m/>
    <m/>
    <m/>
    <m/>
    <m/>
    <m/>
    <m/>
    <m/>
    <m/>
    <m/>
    <n v="54189.333099999996"/>
    <n v="-29697.387205999992"/>
    <m/>
    <m/>
    <m/>
    <m/>
    <n v="-32597.239419999998"/>
    <n v="1003.1219900000001"/>
    <n v="31"/>
    <n v="62.027027148578782"/>
    <n v="0"/>
    <n v="0"/>
    <n v="0"/>
    <n v="0"/>
    <n v="0"/>
    <n v="0"/>
    <n v="0"/>
    <n v="811.87030138765112"/>
    <n v="0"/>
    <n v="0"/>
    <n v="1116.6820507568391"/>
    <n v="0"/>
    <n v="0"/>
    <n v="0"/>
    <n v="37.576428780342241"/>
    <n v="0"/>
    <n v="-137.89736459506935"/>
    <m/>
    <n v="0"/>
    <n v="0"/>
    <n v="0"/>
    <n v="0"/>
    <n v="-21.334995987809975"/>
    <n v="-2.4983360806061228"/>
    <n v="0"/>
    <n v="-1742.3710571127715"/>
    <m/>
    <m/>
    <n v="61965.112641339554"/>
    <n v="0"/>
    <n v="0"/>
    <n v="0"/>
    <n v="-32597.239420000005"/>
    <n v="1003.1219900000006"/>
    <n v="0"/>
    <n v="0"/>
    <n v="-31651.923458814021"/>
    <n v="0"/>
    <n v="0"/>
    <n v="0"/>
    <n v="0"/>
    <n v="0"/>
    <n v="0"/>
    <n v="0"/>
    <n v="0"/>
    <n v="0"/>
    <n v="0"/>
    <n v="0"/>
    <n v="0"/>
    <n v="932.5767607425686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06"/>
    <s v="Regular"/>
    <s v="Azul"/>
    <s v="A4"/>
    <s v="Serviço público"/>
    <s v="Água, esgoto e saneamento"/>
    <s v="Não se aplica"/>
    <s v="Não se aplica"/>
    <s v="Fora ponta"/>
    <s v="CATIVO"/>
    <x v="10"/>
    <n v="718"/>
    <n v="674.92"/>
    <n v="365.57799999999997"/>
    <n v="343.64332000000002"/>
    <n v="365.57799999999997"/>
    <n v="343.64332000000002"/>
    <n v="43.29"/>
    <n v="95.29"/>
    <n v="159.41"/>
    <n v="31082.22"/>
    <n v="93112.7166"/>
    <n v="124194.9366"/>
    <n v="125278.02398"/>
    <n v="0"/>
    <n v="19709.815447790421"/>
    <n v="0"/>
    <n v="0"/>
    <n v="0"/>
    <n v="16990.742779758486"/>
    <n v="14093.756340938808"/>
    <n v="56383.356954544957"/>
    <n v="1894.3327918140371"/>
    <n v="0"/>
    <n v="0"/>
    <n v="0"/>
    <n v="0"/>
    <n v="3500.7951630136063"/>
    <m/>
    <n v="392.53330298681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7.3038883925051"/>
    <n v="0"/>
    <n v="0"/>
    <n v="0"/>
    <n v="0"/>
    <n v="0"/>
    <m/>
    <m/>
    <m/>
    <m/>
    <n v="7516.6814387999902"/>
    <m/>
    <m/>
    <m/>
    <m/>
    <n v="58280.660842937461"/>
    <m/>
    <m/>
    <m/>
    <m/>
    <m/>
    <m/>
    <m/>
    <m/>
    <m/>
    <m/>
    <m/>
    <m/>
    <n v="117760.42319999999"/>
    <n v="1017.1527959999949"/>
    <m/>
    <m/>
    <m/>
    <m/>
    <n v="-8959.3402800000003"/>
    <n v="10042.427659999999"/>
    <n v="31"/>
    <n v="8278.9198488251859"/>
    <n v="0"/>
    <n v="0"/>
    <n v="0"/>
    <n v="0"/>
    <n v="0"/>
    <n v="0"/>
    <n v="0"/>
    <n v="767.5055407769396"/>
    <n v="0"/>
    <n v="0"/>
    <n v="11179.297060316661"/>
    <n v="0"/>
    <n v="0"/>
    <n v="0"/>
    <n v="376.18412467234339"/>
    <n v="0"/>
    <n v="-1380.5143564349819"/>
    <m/>
    <n v="0"/>
    <n v="0"/>
    <n v="0"/>
    <n v="0"/>
    <n v="-213.58833319362475"/>
    <n v="-25.011274411255727"/>
    <n v="0"/>
    <n v="-2424.9529129009097"/>
    <m/>
    <m/>
    <n v="14093.756340938808"/>
    <n v="0"/>
    <n v="0"/>
    <n v="0"/>
    <n v="-8959.340280000004"/>
    <n v="10042.427660000001"/>
    <n v="0"/>
    <n v="0"/>
    <n v="-7199.1234734391937"/>
    <n v="0"/>
    <n v="0"/>
    <n v="0"/>
    <n v="0"/>
    <n v="0"/>
    <n v="0"/>
    <n v="0"/>
    <n v="0"/>
    <n v="0"/>
    <n v="0"/>
    <n v="0"/>
    <n v="0"/>
    <n v="9336.187174158521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07"/>
    <s v="Regular"/>
    <s v="Azul"/>
    <s v="A4"/>
    <s v="Serviço público"/>
    <s v="Água, esgoto e saneamento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8.91"/>
    <n v="292.93"/>
    <n v="60341.53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08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4.3819999999999997"/>
    <n v="4.3819999999999997"/>
    <n v="4.3819999999999997"/>
    <n v="4.3819999999999997"/>
    <m/>
    <n v="648.44000000000005"/>
    <n v="159.41"/>
    <m/>
    <n v="3539.9987000000001"/>
    <n v="3539.9987000000001"/>
    <n v="2680.9952399999997"/>
    <n v="0"/>
    <n v="271.55363826068935"/>
    <n v="0"/>
    <n v="0"/>
    <n v="0"/>
    <n v="511.13587566061585"/>
    <n v="1829.6865316289714"/>
    <n v="675.83900063684359"/>
    <n v="22.706416397401131"/>
    <n v="0"/>
    <n v="0"/>
    <n v="0"/>
    <n v="0"/>
    <n v="41.962274546952017"/>
    <m/>
    <n v="9.09306909657617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401672832442401"/>
    <n v="0"/>
    <n v="1.06"/>
    <n v="4.5599999999999996"/>
    <n v="895.52"/>
    <n v="5"/>
    <m/>
    <m/>
    <m/>
    <m/>
    <m/>
    <m/>
    <m/>
    <m/>
    <m/>
    <n v="725.24067346928598"/>
    <m/>
    <m/>
    <m/>
    <m/>
    <m/>
    <m/>
    <m/>
    <m/>
    <m/>
    <m/>
    <m/>
    <m/>
    <n v="2679.7716"/>
    <n v="-860.25710000000072"/>
    <m/>
    <m/>
    <m/>
    <m/>
    <n v="-979.37700000000018"/>
    <n v="120.37353999999999"/>
    <n v="31"/>
    <n v="75.607106944615225"/>
    <n v="0"/>
    <n v="0"/>
    <n v="0"/>
    <n v="0"/>
    <n v="0"/>
    <n v="0"/>
    <n v="0"/>
    <n v="23.089020988933271"/>
    <n v="0"/>
    <n v="0"/>
    <n v="134.00062289937478"/>
    <n v="0"/>
    <n v="0"/>
    <n v="0"/>
    <n v="9.795017638195695"/>
    <n v="0"/>
    <n v="-19.020152530299669"/>
    <m/>
    <n v="0"/>
    <n v="0"/>
    <n v="0"/>
    <n v="0"/>
    <n v="-2.560176148604306"/>
    <n v="-0.57938841031949018"/>
    <n v="0"/>
    <n v="-69.117837492665231"/>
    <m/>
    <m/>
    <m/>
    <n v="1829.6865316289714"/>
    <n v="0"/>
    <n v="0"/>
    <n v="-979.37700000000041"/>
    <n v="120.37354000000005"/>
    <n v="0"/>
    <n v="0"/>
    <n v="-934.60813002874954"/>
    <n v="0"/>
    <n v="0"/>
    <n v="0"/>
    <n v="0"/>
    <n v="0"/>
    <n v="0"/>
    <n v="0"/>
    <n v="0"/>
    <n v="0"/>
    <n v="0"/>
    <n v="0"/>
    <n v="0"/>
    <n v="128.6301031758138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09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8"/>
    <n v="3.82"/>
    <n v="292.60000000000002"/>
    <n v="3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10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2"/>
    <n v="0.61"/>
    <n v="53.58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11"/>
    <s v="Regular"/>
    <s v="Convencional"/>
    <s v="B2"/>
    <s v="Rural"/>
    <s v="Agropecuária rural"/>
    <s v="IRRIG./AQUIC."/>
    <s v="Não se aplica"/>
    <s v="Não se aplica"/>
    <s v="CATIVO"/>
    <x v="10"/>
    <n v="0"/>
    <n v="0"/>
    <n v="3.44"/>
    <n v="3.44"/>
    <n v="3.44"/>
    <n v="3.44"/>
    <m/>
    <n v="648.44000000000005"/>
    <n v="159.41"/>
    <m/>
    <n v="2779.0039999999999"/>
    <n v="2779.0039999999999"/>
    <n v="2104.6608000000001"/>
    <n v="0"/>
    <n v="213.17766216722305"/>
    <n v="0"/>
    <n v="0"/>
    <n v="0"/>
    <n v="401.25682616899104"/>
    <n v="1436.3582083075448"/>
    <n v="530.55366549309497"/>
    <n v="17.825210499100844"/>
    <n v="0"/>
    <n v="0"/>
    <n v="0"/>
    <n v="0"/>
    <n v="32.941630406552932"/>
    <m/>
    <n v="7.1383290032455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781778763943834"/>
    <n v="0"/>
    <n v="0"/>
    <n v="0"/>
    <n v="0"/>
    <n v="0"/>
    <m/>
    <m/>
    <m/>
    <m/>
    <m/>
    <n v="252.56480000000005"/>
    <m/>
    <m/>
    <m/>
    <n v="569.33544425703883"/>
    <m/>
    <m/>
    <m/>
    <m/>
    <m/>
    <m/>
    <m/>
    <m/>
    <m/>
    <m/>
    <m/>
    <m/>
    <n v="1852.096"/>
    <n v="-593.4644000000003"/>
    <m/>
    <m/>
    <m/>
    <m/>
    <n v="-768.84000000000015"/>
    <n v="94.496799999999993"/>
    <n v="31"/>
    <n v="59.353821973864569"/>
    <n v="0"/>
    <n v="0"/>
    <n v="0"/>
    <n v="0"/>
    <n v="0"/>
    <n v="0"/>
    <n v="0"/>
    <n v="18.125566454114619"/>
    <n v="0"/>
    <n v="0"/>
    <n v="105.19446434820838"/>
    <n v="0"/>
    <n v="0"/>
    <n v="0"/>
    <n v="7.6893794329970788"/>
    <n v="0"/>
    <n v="-14.931384003703982"/>
    <m/>
    <n v="0"/>
    <n v="0"/>
    <n v="0"/>
    <n v="0"/>
    <n v="-2.009814228936289"/>
    <n v="-0.45483709071178424"/>
    <n v="0"/>
    <n v="-54.259552938103241"/>
    <m/>
    <m/>
    <m/>
    <n v="1436.3582083075448"/>
    <n v="0"/>
    <n v="0"/>
    <n v="-768.84000000000015"/>
    <n v="94.496800000000007"/>
    <n v="0"/>
    <n v="0"/>
    <n v="-733.69510892261485"/>
    <n v="0"/>
    <n v="0"/>
    <n v="0"/>
    <n v="0"/>
    <n v="0"/>
    <n v="0"/>
    <n v="0"/>
    <n v="0"/>
    <n v="0"/>
    <n v="0"/>
    <n v="0"/>
    <n v="0"/>
    <n v="100.9784470389775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12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.505"/>
    <n v="0.505"/>
    <n v="0.505"/>
    <n v="0.505"/>
    <m/>
    <n v="648.44000000000005"/>
    <n v="159.41"/>
    <m/>
    <n v="407.96425000000005"/>
    <n v="407.96425000000005"/>
    <n v="308.96909999999997"/>
    <n v="0"/>
    <n v="31.294976568153384"/>
    <n v="0"/>
    <n v="0"/>
    <n v="0"/>
    <n v="58.905435237017578"/>
    <n v="210.8607253474739"/>
    <n v="77.886511940120045"/>
    <n v="2.6167823552459089"/>
    <n v="0"/>
    <n v="0"/>
    <n v="0"/>
    <n v="0"/>
    <n v="4.8359079521247761"/>
    <m/>
    <n v="1.0479232984415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6932553127301269"/>
    <n v="0"/>
    <n v="0"/>
    <n v="0"/>
    <n v="0"/>
    <n v="0"/>
    <m/>
    <m/>
    <m/>
    <m/>
    <m/>
    <n v="37.077100000000009"/>
    <m/>
    <m/>
    <m/>
    <n v="83.579767252850175"/>
    <m/>
    <m/>
    <m/>
    <m/>
    <m/>
    <m/>
    <m/>
    <m/>
    <m/>
    <m/>
    <m/>
    <m/>
    <n v="274.584"/>
    <n v="-84.455550000000017"/>
    <m/>
    <m/>
    <m/>
    <m/>
    <n v="-112.86750000000004"/>
    <n v="13.872349999999999"/>
    <n v="31"/>
    <n v="8.7132790979075025"/>
    <n v="0"/>
    <n v="0"/>
    <n v="0"/>
    <n v="0"/>
    <n v="0"/>
    <n v="0"/>
    <n v="0"/>
    <n v="2.6608753079441598"/>
    <n v="0"/>
    <n v="0"/>
    <n v="15.442792004606176"/>
    <n v="0"/>
    <n v="0"/>
    <n v="0"/>
    <n v="1.128818783041722"/>
    <n v="0"/>
    <n v="-2.1919618958925895"/>
    <m/>
    <n v="0"/>
    <n v="0"/>
    <n v="0"/>
    <n v="0"/>
    <n v="-0.29504540279442626"/>
    <n v="-6.6771142677165995E-2"/>
    <n v="0"/>
    <n v="-7.9654285563203882"/>
    <m/>
    <m/>
    <m/>
    <n v="210.8607253474739"/>
    <n v="0"/>
    <n v="0"/>
    <n v="-112.86750000000006"/>
    <n v="13.872349999999997"/>
    <n v="0"/>
    <n v="0"/>
    <n v="-107.70814825753506"/>
    <n v="0"/>
    <n v="0"/>
    <n v="0"/>
    <n v="0"/>
    <n v="0"/>
    <n v="0"/>
    <n v="0"/>
    <n v="0"/>
    <n v="0"/>
    <n v="0"/>
    <n v="0"/>
    <n v="0"/>
    <n v="14.82387085891966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13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1.7989999999999999"/>
    <n v="0.71960000000000002"/>
    <n v="1.7989999999999999"/>
    <n v="0.71960000000000002"/>
    <m/>
    <n v="648.44000000000005"/>
    <n v="159.41"/>
    <m/>
    <n v="1453.32215"/>
    <n v="1453.32215"/>
    <n v="1100.66418"/>
    <n v="0"/>
    <n v="111.48448088338205"/>
    <n v="0"/>
    <n v="0"/>
    <n v="0"/>
    <n v="209.84332275523687"/>
    <n v="751.16523742595155"/>
    <n v="277.46105936688303"/>
    <n v="9.3219632813611675"/>
    <n v="0"/>
    <n v="0"/>
    <n v="0"/>
    <n v="0"/>
    <n v="17.227323575985093"/>
    <m/>
    <n v="3.7330970572205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281517440795046"/>
    <n v="0"/>
    <n v="0"/>
    <n v="0"/>
    <n v="0"/>
    <n v="0"/>
    <m/>
    <m/>
    <m/>
    <m/>
    <m/>
    <m/>
    <n v="713.23154"/>
    <m/>
    <m/>
    <n v="297.74257680767806"/>
    <m/>
    <m/>
    <m/>
    <m/>
    <m/>
    <m/>
    <m/>
    <m/>
    <m/>
    <m/>
    <m/>
    <m/>
    <n v="387.64799999999997"/>
    <n v="-123.95283600000005"/>
    <m/>
    <m/>
    <m/>
    <m/>
    <n v="-402.07650000000007"/>
    <n v="49.418529999999997"/>
    <n v="31"/>
    <n v="31.039978410169397"/>
    <n v="0"/>
    <n v="0"/>
    <n v="0"/>
    <n v="0"/>
    <n v="0"/>
    <n v="0"/>
    <n v="0"/>
    <n v="9.479038968300074"/>
    <n v="0"/>
    <n v="0"/>
    <n v="55.013035279775295"/>
    <n v="0"/>
    <n v="0"/>
    <n v="0"/>
    <n v="4.0212772092912026"/>
    <n v="0"/>
    <n v="-7.8085929717044849"/>
    <m/>
    <n v="0"/>
    <n v="0"/>
    <n v="0"/>
    <n v="0"/>
    <n v="-1.0510627319349943"/>
    <n v="-0.23786393203212253"/>
    <n v="0"/>
    <n v="-28.375853411525505"/>
    <m/>
    <m/>
    <m/>
    <n v="751.16523742595155"/>
    <n v="0"/>
    <n v="0"/>
    <n v="-402.07650000000012"/>
    <n v="49.418529999999976"/>
    <n v="0"/>
    <n v="0"/>
    <n v="-383.69694795110013"/>
    <n v="0"/>
    <n v="0"/>
    <n v="0"/>
    <n v="0"/>
    <n v="0"/>
    <n v="0"/>
    <n v="0"/>
    <n v="0"/>
    <n v="0"/>
    <n v="0"/>
    <n v="0"/>
    <n v="0"/>
    <n v="52.80820529741876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14"/>
    <s v="Sistema de Compensação"/>
    <s v="Convencional"/>
    <s v="B2"/>
    <s v="Rural"/>
    <s v="Agropecuária rural"/>
    <s v="IRRIG./AQUIC. PR"/>
    <s v="Não se aplica"/>
    <s v="Não se aplica"/>
    <s v="CATIVO"/>
    <x v="10"/>
    <n v="0"/>
    <n v="0"/>
    <n v="0.29099999999999998"/>
    <n v="0.1164"/>
    <n v="0.29099999999999998"/>
    <n v="0.1164"/>
    <m/>
    <n v="648.44000000000005"/>
    <n v="159.41"/>
    <m/>
    <n v="235.08435"/>
    <n v="235.08435"/>
    <n v="178.03961999999999"/>
    <n v="0"/>
    <n v="18.033342933331948"/>
    <n v="0"/>
    <n v="0"/>
    <n v="0"/>
    <n v="33.943528027667554"/>
    <n v="121.5058833190394"/>
    <n v="44.88113856351471"/>
    <n v="1.5078884462902167"/>
    <n v="0"/>
    <n v="0"/>
    <n v="0"/>
    <n v="0"/>
    <n v="2.7866321070659597"/>
    <m/>
    <n v="0.603852831379202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806679128801322"/>
    <n v="0"/>
    <n v="0"/>
    <n v="0"/>
    <n v="0"/>
    <n v="0"/>
    <m/>
    <m/>
    <m/>
    <m/>
    <m/>
    <m/>
    <n v="115.36985999999999"/>
    <m/>
    <m/>
    <n v="48.161806476394844"/>
    <m/>
    <m/>
    <m/>
    <m/>
    <m/>
    <m/>
    <m/>
    <m/>
    <m/>
    <m/>
    <m/>
    <m/>
    <n v="64.60799999999999"/>
    <n v="-18.171924000000033"/>
    <m/>
    <m/>
    <m/>
    <m/>
    <n v="-65.038500000000013"/>
    <n v="7.9937699999999987"/>
    <n v="31"/>
    <n v="5.0209192425565874"/>
    <n v="0"/>
    <n v="0"/>
    <n v="0"/>
    <n v="0"/>
    <n v="0"/>
    <n v="0"/>
    <n v="0"/>
    <n v="1.5332964645777167"/>
    <n v="0"/>
    <n v="0"/>
    <n v="8.8987177689908918"/>
    <n v="0"/>
    <n v="0"/>
    <n v="0"/>
    <n v="0.65046785319829947"/>
    <n v="0"/>
    <n v="-1.2630909142668187"/>
    <m/>
    <n v="0"/>
    <n v="0"/>
    <n v="0"/>
    <n v="0"/>
    <n v="-0.17001626180827278"/>
    <n v="-3.8476044592188785E-2"/>
    <n v="0"/>
    <n v="-4.5899796235430355"/>
    <m/>
    <m/>
    <m/>
    <n v="121.5058833190394"/>
    <n v="0"/>
    <n v="0"/>
    <n v="-65.038500000000013"/>
    <n v="7.9937699999999978"/>
    <n v="0"/>
    <n v="0"/>
    <n v="-62.065487411767712"/>
    <n v="0"/>
    <n v="0"/>
    <n v="0"/>
    <n v="0"/>
    <n v="0"/>
    <n v="0"/>
    <n v="0"/>
    <n v="0"/>
    <n v="0"/>
    <n v="0"/>
    <n v="0"/>
    <n v="0"/>
    <n v="8.54207211870420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15"/>
    <s v="Regular"/>
    <s v="Verde"/>
    <s v="A4"/>
    <s v="Rural"/>
    <s v="Agropecuária rural"/>
    <s v="Não se aplica"/>
    <s v="Não se aplica"/>
    <s v="Ponta"/>
    <s v="CATIVO"/>
    <x v="10"/>
    <n v="0"/>
    <n v="0"/>
    <n v="1.109"/>
    <n v="1.06464"/>
    <n v="1.109"/>
    <n v="1.06464"/>
    <m/>
    <n v="2810.7"/>
    <n v="159.41"/>
    <m/>
    <n v="3293.8519900000001"/>
    <n v="3293.8519900000001"/>
    <n v="2097.8842100000002"/>
    <n v="0"/>
    <n v="59.790756915349327"/>
    <n v="0"/>
    <n v="0"/>
    <n v="0"/>
    <n v="677.06179306583147"/>
    <n v="2334.3217946368413"/>
    <n v="171.04186483483787"/>
    <n v="5.7465576870647777"/>
    <n v="0"/>
    <n v="0"/>
    <n v="0"/>
    <n v="0"/>
    <n v="10.619845383973022"/>
    <m/>
    <n v="1.19077032264627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7555706640642716"/>
    <n v="0"/>
    <n v="0"/>
    <n v="0"/>
    <n v="0"/>
    <n v="0"/>
    <m/>
    <m/>
    <m/>
    <m/>
    <m/>
    <n v="83.91536839999992"/>
    <m/>
    <m/>
    <m/>
    <n v="176.79743549890213"/>
    <m/>
    <m/>
    <m/>
    <m/>
    <m/>
    <m/>
    <m/>
    <m/>
    <m/>
    <m/>
    <m/>
    <m/>
    <n v="2005.1914000000002"/>
    <n v="-1156.9365104000003"/>
    <m/>
    <m/>
    <m/>
    <m/>
    <n v="-1226.4320099999998"/>
    <n v="30.464229999999997"/>
    <n v="31"/>
    <n v="-3.5849500673896273"/>
    <n v="0"/>
    <n v="0"/>
    <n v="0"/>
    <n v="0"/>
    <n v="0"/>
    <n v="0"/>
    <n v="0"/>
    <n v="30.584223677700493"/>
    <n v="0"/>
    <n v="0"/>
    <n v="33.912982837838115"/>
    <n v="0"/>
    <n v="0"/>
    <n v="0"/>
    <n v="1.1411742343949269"/>
    <n v="0"/>
    <n v="-4.1878625663644797"/>
    <m/>
    <n v="0"/>
    <n v="0"/>
    <n v="0"/>
    <n v="0"/>
    <n v="-0.64793138950300566"/>
    <n v="-7.5873010197775814E-2"/>
    <n v="0"/>
    <n v="-64.311663851258004"/>
    <m/>
    <m/>
    <m/>
    <n v="2334.3217946368413"/>
    <n v="0"/>
    <n v="0"/>
    <n v="-1226.43201"/>
    <n v="30.464230000000015"/>
    <n v="0"/>
    <n v="0"/>
    <n v="-1192.3769944508108"/>
    <n v="0"/>
    <n v="0"/>
    <n v="0"/>
    <n v="0"/>
    <n v="0"/>
    <n v="0"/>
    <n v="0"/>
    <n v="0"/>
    <n v="0"/>
    <n v="0"/>
    <n v="0"/>
    <n v="0"/>
    <n v="28.32181251645832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17"/>
    <s v="Regular"/>
    <s v="Verde"/>
    <s v="A4"/>
    <s v="Rural"/>
    <s v="Agropecuária rural"/>
    <s v="Não se aplica"/>
    <s v="Não se aplica"/>
    <s v="Fora ponta"/>
    <s v="CATIVO"/>
    <x v="10"/>
    <n v="0"/>
    <n v="0"/>
    <n v="7.4210000000000003"/>
    <n v="7.1241599999999998"/>
    <n v="7.4210000000000003"/>
    <n v="7.1241599999999998"/>
    <m/>
    <n v="95.29"/>
    <n v="159.41"/>
    <m/>
    <n v="1890.1287000000002"/>
    <n v="1890.1287000000002"/>
    <n v="2054.94911"/>
    <n v="0"/>
    <n v="400.09667003499317"/>
    <n v="0"/>
    <n v="0"/>
    <n v="0"/>
    <n v="0"/>
    <n v="0"/>
    <n v="1144.5461487279817"/>
    <n v="38.453746254019585"/>
    <n v="0"/>
    <n v="0"/>
    <n v="0"/>
    <n v="0"/>
    <n v="71.063906757857353"/>
    <m/>
    <n v="7.96817544126061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51405761769248"/>
    <n v="0"/>
    <n v="0"/>
    <n v="0"/>
    <n v="0"/>
    <n v="0"/>
    <m/>
    <m/>
    <m/>
    <m/>
    <m/>
    <n v="82.197964400000117"/>
    <m/>
    <m/>
    <m/>
    <n v="1183.0602063456743"/>
    <m/>
    <m/>
    <m/>
    <m/>
    <m/>
    <m/>
    <m/>
    <m/>
    <m/>
    <m/>
    <m/>
    <m/>
    <n v="1971.5991999999999"/>
    <n v="157.0456479999998"/>
    <m/>
    <m/>
    <m/>
    <m/>
    <n v="-39.034460000000038"/>
    <n v="203.85487000000001"/>
    <n v="31"/>
    <n v="164.79695377431813"/>
    <n v="0"/>
    <n v="0"/>
    <n v="0"/>
    <n v="0"/>
    <n v="0"/>
    <n v="0"/>
    <n v="0"/>
    <n v="0"/>
    <n v="0"/>
    <n v="0"/>
    <n v="226.93259300234149"/>
    <n v="0"/>
    <n v="0"/>
    <n v="0"/>
    <n v="7.6362975594632587"/>
    <n v="0"/>
    <n v="-28.023560058603096"/>
    <m/>
    <n v="0"/>
    <n v="0"/>
    <n v="0"/>
    <n v="0"/>
    <n v="-4.3357068002721491"/>
    <n v="-0.50771290232434207"/>
    <n v="0"/>
    <n v="-36.90495702628732"/>
    <m/>
    <m/>
    <m/>
    <n v="0"/>
    <n v="0"/>
    <n v="0"/>
    <n v="-39.034459999999967"/>
    <n v="203.85486999999989"/>
    <n v="0"/>
    <n v="0"/>
    <n v="0"/>
    <n v="0"/>
    <n v="0"/>
    <n v="0"/>
    <n v="0"/>
    <n v="0"/>
    <n v="0"/>
    <n v="0"/>
    <n v="0"/>
    <n v="0"/>
    <n v="0"/>
    <n v="0"/>
    <n v="0"/>
    <n v="189.5186390303311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19"/>
    <s v="Regular"/>
    <s v="Verde"/>
    <s v="A4"/>
    <s v="Rural"/>
    <s v="Agropecuária rural"/>
    <s v="Não se aplica"/>
    <s v="Não se aplica"/>
    <s v="Não se aplica"/>
    <s v="CATIVO"/>
    <x v="10"/>
    <n v="1057"/>
    <n v="1014.72"/>
    <n v="0"/>
    <n v="0"/>
    <n v="0"/>
    <n v="0"/>
    <n v="43.29"/>
    <m/>
    <m/>
    <n v="45757.53"/>
    <m/>
    <n v="45757.53"/>
    <n v="35398.93"/>
    <n v="0"/>
    <n v="0"/>
    <n v="0"/>
    <n v="0"/>
    <n v="0"/>
    <n v="25012.834426468966"/>
    <n v="20748.050769320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.15"/>
    <n v="65.38"/>
    <n v="156.65"/>
    <n v="42"/>
    <m/>
    <m/>
    <m/>
    <m/>
    <m/>
    <n v="1415.9571999999991"/>
    <m/>
    <m/>
    <m/>
    <n v="0"/>
    <m/>
    <m/>
    <m/>
    <m/>
    <m/>
    <m/>
    <m/>
    <m/>
    <m/>
    <m/>
    <m/>
    <m/>
    <n v="33982.972800000003"/>
    <n v="-9944.2860000000001"/>
    <m/>
    <m/>
    <m/>
    <m/>
    <n v="-10358.599999999997"/>
    <n v="0"/>
    <n v="31"/>
    <n v="236.40877349189759"/>
    <n v="0"/>
    <n v="0"/>
    <n v="0"/>
    <n v="0"/>
    <m/>
    <m/>
    <m/>
    <n v="1129.8793267426554"/>
    <n v="0"/>
    <n v="0"/>
    <m/>
    <m/>
    <n v="0"/>
    <n v="0"/>
    <n v="0"/>
    <n v="0"/>
    <n v="0"/>
    <m/>
    <n v="0"/>
    <n v="0"/>
    <m/>
    <n v="0"/>
    <n v="0"/>
    <n v="0"/>
    <n v="0"/>
    <n v="-893.47055325075678"/>
    <m/>
    <m/>
    <n v="20748.05076932078"/>
    <m/>
    <n v="0"/>
    <n v="0"/>
    <n v="-10358.599999999999"/>
    <m/>
    <n v="0"/>
    <m/>
    <n v="-10598.15252287636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20"/>
    <s v="Sistema de Compensação"/>
    <s v="Verde"/>
    <s v="A4"/>
    <s v="Rural"/>
    <s v="Agropecuária rural"/>
    <s v="Não se aplica"/>
    <s v="Não se aplica"/>
    <s v="Não se aplica"/>
    <s v="CATIVO"/>
    <x v="10"/>
    <n v="77"/>
    <n v="73.92"/>
    <n v="0"/>
    <n v="0"/>
    <n v="0"/>
    <n v="0"/>
    <n v="43.29"/>
    <m/>
    <m/>
    <n v="3333.33"/>
    <m/>
    <n v="3333.33"/>
    <n v="2578.73"/>
    <n v="0"/>
    <n v="0"/>
    <n v="0"/>
    <n v="0"/>
    <n v="0"/>
    <n v="1822.127011199726"/>
    <n v="1511.44740703661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82"/>
    <n v="20.58"/>
    <n v="10.94"/>
    <n v="4"/>
    <m/>
    <m/>
    <m/>
    <m/>
    <m/>
    <n v="103.14919999999995"/>
    <m/>
    <m/>
    <m/>
    <n v="0"/>
    <m/>
    <m/>
    <m/>
    <m/>
    <m/>
    <m/>
    <m/>
    <m/>
    <m/>
    <m/>
    <m/>
    <m/>
    <n v="2475.5808000000002"/>
    <n v="-724.44600000000037"/>
    <m/>
    <m/>
    <m/>
    <m/>
    <n v="-754.5999999999998"/>
    <n v="0"/>
    <n v="31"/>
    <n v="17.221831181529069"/>
    <n v="0"/>
    <n v="0"/>
    <n v="0"/>
    <n v="0"/>
    <m/>
    <m/>
    <m/>
    <n v="82.309090027610637"/>
    <n v="0"/>
    <n v="0"/>
    <m/>
    <m/>
    <n v="0"/>
    <n v="0"/>
    <n v="0"/>
    <n v="0"/>
    <n v="0"/>
    <m/>
    <n v="0"/>
    <n v="0"/>
    <m/>
    <n v="0"/>
    <n v="0"/>
    <n v="0"/>
    <n v="0"/>
    <n v="-65.087258846081625"/>
    <m/>
    <m/>
    <n v="1511.4474070366132"/>
    <m/>
    <n v="0"/>
    <n v="0"/>
    <n v="-754.59999999999991"/>
    <m/>
    <n v="0"/>
    <m/>
    <n v="-772.0508460373508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21"/>
    <s v="Regular"/>
    <s v="Verde"/>
    <s v="A4"/>
    <s v="Rural"/>
    <s v="Agropecuária rural"/>
    <s v="IRRIG./AQUIC. PR"/>
    <s v="Não se aplica"/>
    <s v="Fora ponta"/>
    <s v="CATIVO"/>
    <x v="10"/>
    <n v="0"/>
    <n v="0"/>
    <n v="4.5389999999999997"/>
    <n v="1.3616999999999999"/>
    <n v="4.5389999999999997"/>
    <n v="1.3616999999999999"/>
    <m/>
    <n v="95.29"/>
    <n v="159.41"/>
    <m/>
    <n v="1156.0833"/>
    <n v="1156.0833"/>
    <n v="1256.8944899999999"/>
    <n v="0"/>
    <n v="244.7161818203522"/>
    <n v="0"/>
    <n v="0"/>
    <n v="0"/>
    <n v="0"/>
    <n v="0"/>
    <n v="700.05322316080162"/>
    <n v="23.519950713784514"/>
    <n v="0"/>
    <n v="0"/>
    <n v="0"/>
    <n v="0"/>
    <n v="43.465715237018529"/>
    <m/>
    <n v="4.87367582911762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556839715227888"/>
    <n v="0"/>
    <n v="0"/>
    <n v="0"/>
    <n v="0"/>
    <n v="0"/>
    <m/>
    <m/>
    <m/>
    <m/>
    <m/>
    <m/>
    <n v="879.826143"/>
    <m/>
    <m/>
    <n v="723.61006287602947"/>
    <m/>
    <m/>
    <m/>
    <m/>
    <m/>
    <m/>
    <m/>
    <m/>
    <m/>
    <m/>
    <m/>
    <m/>
    <n v="376.5976"/>
    <n v="29.74261000000007"/>
    <m/>
    <m/>
    <m/>
    <m/>
    <n v="-23.875140000000023"/>
    <n v="124.68632999999998"/>
    <n v="31"/>
    <n v="100.79684317229862"/>
    <n v="0"/>
    <n v="0"/>
    <n v="0"/>
    <n v="0"/>
    <n v="0"/>
    <n v="0"/>
    <n v="0"/>
    <n v="0"/>
    <n v="0"/>
    <n v="0"/>
    <n v="138.80164932456921"/>
    <n v="0"/>
    <n v="0"/>
    <n v="0"/>
    <n v="4.6706851667435281"/>
    <n v="0"/>
    <n v="-17.140404137717212"/>
    <m/>
    <n v="0"/>
    <n v="0"/>
    <n v="0"/>
    <n v="0"/>
    <n v="-2.6519031352156404"/>
    <n v="-0.31053885778873269"/>
    <n v="0"/>
    <n v="-22.572645188292427"/>
    <m/>
    <m/>
    <m/>
    <n v="0"/>
    <n v="0"/>
    <n v="0"/>
    <n v="-23.875140000000044"/>
    <n v="124.68633"/>
    <n v="0"/>
    <n v="0"/>
    <n v="0"/>
    <n v="0"/>
    <n v="0"/>
    <n v="0"/>
    <n v="0"/>
    <n v="0"/>
    <n v="0"/>
    <n v="0"/>
    <n v="0"/>
    <n v="0"/>
    <n v="0"/>
    <n v="0"/>
    <n v="0"/>
    <n v="115.9176799027992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23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41"/>
    <n v="5.99"/>
    <n v="39.57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24"/>
    <s v="Regular"/>
    <s v="Convencional"/>
    <s v="B2"/>
    <s v="Rural"/>
    <s v="Aquicultura"/>
    <s v="IRRIG./AQUIC."/>
    <s v="Não se aplica"/>
    <s v="Não se aplica"/>
    <s v="CATIVO"/>
    <x v="10"/>
    <n v="0"/>
    <n v="0"/>
    <n v="4.5650000000000004"/>
    <n v="4.5650000000000004"/>
    <n v="4.5650000000000004"/>
    <n v="4.5650000000000004"/>
    <m/>
    <n v="648.44000000000005"/>
    <n v="159.41"/>
    <m/>
    <n v="3687.8352500000005"/>
    <n v="3687.8352500000005"/>
    <n v="2792.9583000000002"/>
    <n v="0"/>
    <n v="282.89419412598062"/>
    <n v="0"/>
    <n v="0"/>
    <n v="0"/>
    <n v="532.48180565739654"/>
    <n v="1906.0974479430067"/>
    <n v="704.06322179534254"/>
    <n v="23.654676141975393"/>
    <n v="0"/>
    <n v="0"/>
    <n v="0"/>
    <n v="0"/>
    <n v="43.71469267613783"/>
    <m/>
    <n v="9.47281159878371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464773272501048"/>
    <n v="0"/>
    <n v="0"/>
    <n v="0"/>
    <n v="0"/>
    <n v="0"/>
    <m/>
    <m/>
    <m/>
    <m/>
    <m/>
    <n v="335.16230000000007"/>
    <m/>
    <m/>
    <m/>
    <n v="755.52799506784356"/>
    <m/>
    <m/>
    <m/>
    <m/>
    <m/>
    <m/>
    <m/>
    <m/>
    <m/>
    <m/>
    <m/>
    <m/>
    <n v="2460.4880000000003"/>
    <n v="-784.84615000000076"/>
    <m/>
    <m/>
    <m/>
    <m/>
    <n v="-1020.2775000000004"/>
    <n v="125.40055000000001"/>
    <n v="31"/>
    <n v="78.764592241480614"/>
    <n v="0"/>
    <n v="0"/>
    <n v="0"/>
    <n v="0"/>
    <n v="0"/>
    <n v="0"/>
    <n v="0"/>
    <n v="24.053258971812056"/>
    <n v="0"/>
    <n v="0"/>
    <n v="139.5967237644104"/>
    <n v="0"/>
    <n v="0"/>
    <n v="0"/>
    <n v="10.204074741753395"/>
    <n v="0"/>
    <n v="-19.81446743514789"/>
    <m/>
    <n v="0"/>
    <n v="0"/>
    <n v="0"/>
    <n v="0"/>
    <n v="-2.667093591597137"/>
    <n v="-0.6035846857846785"/>
    <n v="0"/>
    <n v="-72.004319523965506"/>
    <m/>
    <m/>
    <m/>
    <n v="1906.0974479430067"/>
    <n v="0"/>
    <n v="0"/>
    <n v="-1020.2775000000004"/>
    <n v="125.40054999999995"/>
    <n v="0"/>
    <n v="0"/>
    <n v="-973.63900355573765"/>
    <n v="0"/>
    <n v="0"/>
    <n v="0"/>
    <n v="0"/>
    <n v="0"/>
    <n v="0"/>
    <n v="0"/>
    <n v="0"/>
    <n v="0"/>
    <n v="0"/>
    <n v="0"/>
    <n v="0"/>
    <n v="134.0019217246896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25"/>
    <s v="Regular"/>
    <s v="Convencional"/>
    <s v="B2"/>
    <s v="Rural"/>
    <s v="Aquicultura"/>
    <s v="IRRIG./AQUIC. PR"/>
    <s v="Não se aplica"/>
    <s v="Não se aplica"/>
    <s v="CATIVO"/>
    <x v="10"/>
    <n v="0"/>
    <n v="0"/>
    <n v="4.5609999999999999"/>
    <n v="1.8244"/>
    <n v="4.5609999999999999"/>
    <n v="1.8244"/>
    <m/>
    <n v="648.44000000000005"/>
    <n v="159.41"/>
    <m/>
    <n v="3684.6038500000004"/>
    <n v="3684.6038500000004"/>
    <n v="2790.5110199999999"/>
    <n v="0"/>
    <n v="282.64631312346057"/>
    <n v="0"/>
    <n v="0"/>
    <n v="0"/>
    <n v="532.01522795254891"/>
    <n v="1904.4272639798583"/>
    <n v="703.44629892849014"/>
    <n v="23.63394915302295"/>
    <n v="0"/>
    <n v="0"/>
    <n v="0"/>
    <n v="0"/>
    <n v="43.676388454734855"/>
    <m/>
    <n v="9.4645112162217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419678180915064"/>
    <n v="0"/>
    <n v="0"/>
    <n v="0"/>
    <n v="0"/>
    <n v="0"/>
    <m/>
    <m/>
    <m/>
    <m/>
    <m/>
    <m/>
    <n v="1808.25406"/>
    <m/>
    <m/>
    <n v="754.86597710940521"/>
    <m/>
    <m/>
    <m/>
    <m/>
    <m/>
    <m/>
    <m/>
    <m/>
    <m/>
    <m/>
    <m/>
    <m/>
    <n v="979.88800000000003"/>
    <n v="-317.12620400000003"/>
    <m/>
    <m/>
    <m/>
    <m/>
    <n v="-1019.3835000000003"/>
    <n v="125.29066999999999"/>
    <n v="31"/>
    <n v="78.695576169417336"/>
    <n v="0"/>
    <n v="0"/>
    <n v="0"/>
    <n v="0"/>
    <n v="0"/>
    <n v="0"/>
    <n v="0"/>
    <n v="24.032182731749003"/>
    <n v="0"/>
    <n v="0"/>
    <n v="139.47440461981932"/>
    <n v="0"/>
    <n v="0"/>
    <n v="0"/>
    <n v="10.19513360287781"/>
    <n v="0"/>
    <n v="-19.79710536072497"/>
    <m/>
    <n v="0"/>
    <n v="0"/>
    <n v="0"/>
    <n v="0"/>
    <n v="-2.664756598307676"/>
    <n v="-0.60305580544664394"/>
    <n v="0"/>
    <n v="-71.941227020549093"/>
    <m/>
    <m/>
    <m/>
    <n v="1904.4272639798583"/>
    <n v="0"/>
    <n v="0"/>
    <n v="-1019.3835000000004"/>
    <n v="125.29066999999998"/>
    <n v="0"/>
    <n v="0"/>
    <n v="-972.7858697081532"/>
    <n v="0"/>
    <n v="0"/>
    <n v="0"/>
    <n v="0"/>
    <n v="0"/>
    <n v="0"/>
    <n v="0"/>
    <n v="0"/>
    <n v="0"/>
    <n v="0"/>
    <n v="0"/>
    <n v="0"/>
    <n v="133.8845049258071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26"/>
    <s v="Regular"/>
    <s v="Convencional"/>
    <s v="B1"/>
    <s v="Residencial"/>
    <s v="Residencial"/>
    <s v="Não se aplica"/>
    <s v="Não se aplica"/>
    <s v="Não se aplica"/>
    <s v="CATIVO"/>
    <x v="11"/>
    <n v="0"/>
    <n v="0"/>
    <n v="1108.6780000000001"/>
    <n v="1108.6780000000001"/>
    <n v="1108.6780000000001"/>
    <n v="1108.6780000000001"/>
    <m/>
    <n v="648.44000000000005"/>
    <n v="159.41"/>
    <m/>
    <n v="895645.52230000007"/>
    <n v="895645.52230000007"/>
    <n v="678311.37396000011"/>
    <n v="0"/>
    <n v="68705.053527974582"/>
    <n v="0"/>
    <n v="0"/>
    <n v="0"/>
    <n v="129321.10916377461"/>
    <n v="462924.05397383502"/>
    <n v="170992.20254405626"/>
    <n v="5744.8891644541063"/>
    <n v="0"/>
    <n v="0"/>
    <n v="0"/>
    <n v="0"/>
    <n v="10616.761894150084"/>
    <m/>
    <n v="2300.6128844942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98.983987340618"/>
    <n v="0"/>
    <n v="1683.48"/>
    <n v="7914.65"/>
    <n v="224768.02"/>
    <n v="6996"/>
    <m/>
    <m/>
    <m/>
    <m/>
    <m/>
    <m/>
    <m/>
    <m/>
    <m/>
    <n v="183491.18653139687"/>
    <m/>
    <m/>
    <m/>
    <m/>
    <m/>
    <m/>
    <m/>
    <m/>
    <m/>
    <m/>
    <m/>
    <m/>
    <n v="678312.59759999998"/>
    <n v="-217332.95470000012"/>
    <m/>
    <m/>
    <m/>
    <m/>
    <n v="-247789.53300000008"/>
    <n v="30455.384660000003"/>
    <n v="30"/>
    <n v="19129.150185564125"/>
    <n v="0"/>
    <n v="0"/>
    <n v="0"/>
    <n v="0"/>
    <n v="0"/>
    <n v="0"/>
    <n v="0"/>
    <n v="5841.690920120629"/>
    <n v="0"/>
    <n v="0"/>
    <n v="33903.136146698555"/>
    <n v="0"/>
    <n v="0"/>
    <n v="0"/>
    <n v="2478.2109915745168"/>
    <n v="0"/>
    <n v="-4812.2374867612016"/>
    <m/>
    <n v="0"/>
    <n v="0"/>
    <n v="0"/>
    <n v="0"/>
    <n v="-647.74326154320443"/>
    <n v="-146.58949885353513"/>
    <n v="0"/>
    <n v="-17487.31762567164"/>
    <m/>
    <m/>
    <m/>
    <n v="462924.05397383502"/>
    <n v="0"/>
    <n v="0"/>
    <n v="-247789.53300000005"/>
    <n v="30455.384660000011"/>
    <n v="0"/>
    <n v="0"/>
    <n v="-236462.68196805436"/>
    <n v="0"/>
    <n v="0"/>
    <n v="0"/>
    <n v="0"/>
    <n v="0"/>
    <n v="0"/>
    <n v="0"/>
    <n v="0"/>
    <n v="0"/>
    <n v="0"/>
    <n v="0"/>
    <n v="0"/>
    <n v="32544.3554378719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27"/>
    <s v="Refaturamento - Regular"/>
    <s v="Convencional"/>
    <s v="B1"/>
    <s v="Residencial"/>
    <s v="Residencial"/>
    <s v="Não se aplica"/>
    <s v="Não se aplica"/>
    <s v="Não se aplica"/>
    <s v="CATIVO"/>
    <x v="11"/>
    <n v="0"/>
    <n v="0"/>
    <n v="-0.79800000000000004"/>
    <n v="-0.79800000000000004"/>
    <n v="-0.79800000000000004"/>
    <n v="-0.79800000000000004"/>
    <m/>
    <n v="648.44000000000005"/>
    <n v="159.41"/>
    <m/>
    <n v="-644.66430000000014"/>
    <n v="-644.66430000000014"/>
    <n v="-488.23236000000003"/>
    <n v="0"/>
    <n v="-49.452260002745355"/>
    <n v="0"/>
    <n v="0"/>
    <n v="0"/>
    <n v="-93.082252117108979"/>
    <n v="-333.20170064808747"/>
    <n v="-123.07611193706099"/>
    <n v="-4.1350342960123472"/>
    <n v="0"/>
    <n v="0"/>
    <n v="0"/>
    <n v="0"/>
    <n v="-7.6416921698922211"/>
    <m/>
    <n v="-1.6559263211017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996470771403251"/>
    <n v="0"/>
    <n v="-0.32"/>
    <n v="-1.43"/>
    <n v="-160.85"/>
    <n v="0"/>
    <m/>
    <m/>
    <m/>
    <m/>
    <m/>
    <m/>
    <m/>
    <m/>
    <m/>
    <n v="-132.07258270846424"/>
    <m/>
    <m/>
    <m/>
    <m/>
    <m/>
    <m/>
    <m/>
    <m/>
    <m/>
    <m/>
    <m/>
    <m/>
    <n v="-489.45600000000002"/>
    <n v="155.17830000000015"/>
    <m/>
    <m/>
    <m/>
    <m/>
    <n v="178.35300000000007"/>
    <n v="-21.921060000000001"/>
    <n v="30"/>
    <n v="-13.768706376495402"/>
    <n v="0"/>
    <n v="0"/>
    <n v="0"/>
    <n v="0"/>
    <n v="0"/>
    <n v="0"/>
    <n v="0"/>
    <n v="-4.2047098925533248"/>
    <n v="0"/>
    <n v="0"/>
    <n v="-24.402669345892534"/>
    <n v="0"/>
    <n v="0"/>
    <n v="0"/>
    <n v="-1.7837572056778104"/>
    <n v="0"/>
    <n v="3.4637338473708681"/>
    <m/>
    <n v="0"/>
    <n v="0"/>
    <n v="0"/>
    <n v="0"/>
    <n v="0.46623016124743"/>
    <n v="0.10551162743837339"/>
    <n v="0"/>
    <n v="12.586954431571625"/>
    <m/>
    <m/>
    <m/>
    <n v="-333.20170064808747"/>
    <n v="0"/>
    <n v="0"/>
    <n v="178.35300000000007"/>
    <n v="-21.921060000000011"/>
    <n v="0"/>
    <n v="0"/>
    <n v="170.20020259309499"/>
    <n v="0"/>
    <n v="0"/>
    <n v="0"/>
    <n v="0"/>
    <n v="0"/>
    <n v="0"/>
    <n v="0"/>
    <n v="0"/>
    <n v="0"/>
    <n v="0"/>
    <n v="0"/>
    <n v="0"/>
    <n v="-23.42465137706513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28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47.94"/>
    <n v="47.94"/>
    <n v="47.94"/>
    <n v="47.94"/>
    <m/>
    <n v="648.44000000000005"/>
    <n v="159.41"/>
    <m/>
    <n v="38728.329000000005"/>
    <n v="38728.329000000005"/>
    <n v="29330.650799999996"/>
    <n v="0"/>
    <n v="2970.8538152025212"/>
    <n v="0"/>
    <n v="0"/>
    <n v="0"/>
    <n v="5591.9337925992531"/>
    <n v="20017.154798332471"/>
    <n v="7393.8205592264449"/>
    <n v="248.41296259502744"/>
    <n v="0"/>
    <n v="0"/>
    <n v="0"/>
    <n v="0"/>
    <n v="459.07609351457774"/>
    <m/>
    <n v="99.4800850045325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0.46467265798469"/>
    <n v="0"/>
    <n v="72.36"/>
    <n v="342.61"/>
    <n v="22044.89"/>
    <n v="348"/>
    <m/>
    <m/>
    <m/>
    <m/>
    <m/>
    <m/>
    <m/>
    <m/>
    <m/>
    <n v="7934.2852318844298"/>
    <m/>
    <m/>
    <m/>
    <m/>
    <m/>
    <m/>
    <m/>
    <m/>
    <m/>
    <m/>
    <m/>
    <m/>
    <n v="29330.650799999996"/>
    <n v="-9397.7082000000082"/>
    <m/>
    <m/>
    <m/>
    <m/>
    <n v="-10714.590000000002"/>
    <n v="1316.9117999999999"/>
    <n v="30"/>
    <n v="827.15762367066418"/>
    <n v="0"/>
    <n v="0"/>
    <n v="0"/>
    <n v="0"/>
    <n v="0"/>
    <n v="0"/>
    <n v="0"/>
    <n v="252.59873715414415"/>
    <n v="0"/>
    <n v="0"/>
    <n v="1465.9949479224151"/>
    <n v="0"/>
    <n v="0"/>
    <n v="0"/>
    <n v="107.15954942380233"/>
    <n v="0"/>
    <n v="-208.08446195859551"/>
    <m/>
    <n v="0"/>
    <n v="0"/>
    <n v="0"/>
    <n v="0"/>
    <n v="-28.008864574187726"/>
    <n v="-6.3386308513729546"/>
    <n v="0"/>
    <n v="-756.16365344554333"/>
    <m/>
    <m/>
    <m/>
    <n v="20017.154798332471"/>
    <n v="0"/>
    <n v="0"/>
    <n v="-10714.590000000004"/>
    <n v="1316.9117999999989"/>
    <n v="0"/>
    <n v="0"/>
    <n v="-10224.809163299466"/>
    <n v="0"/>
    <n v="0"/>
    <n v="0"/>
    <n v="0"/>
    <n v="0"/>
    <n v="0"/>
    <n v="0"/>
    <n v="0"/>
    <n v="0"/>
    <n v="0"/>
    <n v="0"/>
    <n v="0"/>
    <n v="1407.24033460714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29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46.548000000000002"/>
    <n v="46.548000000000002"/>
    <n v="46.548000000000002"/>
    <n v="46.548000000000002"/>
    <m/>
    <n v="547.54"/>
    <n v="159.41"/>
    <m/>
    <n v="32907.1086"/>
    <n v="32907.1086"/>
    <n v="24103.485359999999"/>
    <n v="0"/>
    <n v="0"/>
    <n v="0"/>
    <n v="0"/>
    <n v="0"/>
    <n v="5429.5647513122658"/>
    <n v="19435.930779156861"/>
    <n v="7179.1314015617972"/>
    <n v="241.19997043957736"/>
    <n v="0"/>
    <n v="0"/>
    <n v="0"/>
    <n v="0"/>
    <n v="0"/>
    <m/>
    <n v="96.591551872986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4.77158078606328"/>
    <n v="0"/>
    <n v="15.06"/>
    <n v="90.4"/>
    <n v="2514.5100000000002"/>
    <n v="123"/>
    <m/>
    <m/>
    <m/>
    <m/>
    <m/>
    <m/>
    <m/>
    <n v="15667.125840000001"/>
    <m/>
    <n v="7703.9029823478604"/>
    <m/>
    <m/>
    <m/>
    <m/>
    <m/>
    <m/>
    <m/>
    <m/>
    <m/>
    <m/>
    <m/>
    <m/>
    <n v="8436.7219999999998"/>
    <n v="-3080.6796400000021"/>
    <m/>
    <m/>
    <m/>
    <m/>
    <n v="-10082.296799999998"/>
    <n v="1278.67356"/>
    <n v="30"/>
    <n v="1124.0803745931971"/>
    <n v="0"/>
    <n v="0"/>
    <n v="0"/>
    <n v="0"/>
    <n v="0"/>
    <n v="0"/>
    <n v="0"/>
    <n v="245.26420561224677"/>
    <n v="0"/>
    <n v="0"/>
    <n v="1423.4278856047695"/>
    <n v="0"/>
    <n v="0"/>
    <n v="0"/>
    <n v="104.04803309510112"/>
    <n v="0"/>
    <n v="0"/>
    <m/>
    <n v="0"/>
    <n v="0"/>
    <n v="0"/>
    <n v="0"/>
    <n v="0"/>
    <n v="-6.1545804937360913"/>
    <n v="0"/>
    <n v="-642.50516922518295"/>
    <m/>
    <m/>
    <m/>
    <n v="19435.930779156861"/>
    <n v="0"/>
    <n v="0"/>
    <n v="-10082.296799999998"/>
    <n v="1278.6735600000002"/>
    <n v="0"/>
    <n v="0"/>
    <n v="-9927.918584340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30"/>
    <s v="Sistema de Compensaçã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.15"/>
    <n v="0.15"/>
    <n v="0.15"/>
    <n v="0.15"/>
    <m/>
    <n v="547.54"/>
    <n v="159.41"/>
    <m/>
    <n v="106.04249999999999"/>
    <n v="106.04249999999999"/>
    <n v="77.673000000000002"/>
    <n v="0"/>
    <n v="0"/>
    <n v="0"/>
    <n v="0"/>
    <n v="0"/>
    <n v="17.496663931787399"/>
    <n v="62.631898618061548"/>
    <n v="23.134607506966347"/>
    <n v="0.77726208571660649"/>
    <n v="0"/>
    <n v="0"/>
    <n v="0"/>
    <n v="0"/>
    <n v="0"/>
    <m/>
    <n v="0.311264346071753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910659344742951"/>
    <n v="0"/>
    <n v="0.06"/>
    <n v="0.28999999999999998"/>
    <n v="9.15"/>
    <n v="0"/>
    <m/>
    <m/>
    <m/>
    <m/>
    <m/>
    <m/>
    <m/>
    <n v="50.486999999999995"/>
    <m/>
    <n v="24.825673441440642"/>
    <m/>
    <m/>
    <m/>
    <m/>
    <m/>
    <m/>
    <m/>
    <m/>
    <m/>
    <m/>
    <m/>
    <m/>
    <n v="27.185999999999996"/>
    <n v="-9.9585000000000043"/>
    <m/>
    <m/>
    <m/>
    <m/>
    <n v="-32.489999999999995"/>
    <n v="4.1204999999999998"/>
    <n v="30"/>
    <n v="3.6223265487019773"/>
    <n v="0"/>
    <n v="0"/>
    <n v="0"/>
    <n v="0"/>
    <n v="0"/>
    <n v="0"/>
    <n v="0"/>
    <n v="0.79035900235965073"/>
    <n v="0"/>
    <n v="0"/>
    <n v="4.5869679221602517"/>
    <n v="0"/>
    <n v="0"/>
    <n v="0"/>
    <n v="0.33529270783417497"/>
    <n v="0"/>
    <n v="0"/>
    <m/>
    <n v="0"/>
    <n v="0"/>
    <n v="0"/>
    <n v="0"/>
    <n v="0"/>
    <n v="-1.9833012676385986E-2"/>
    <n v="0"/>
    <n v="-2.0704600709757122"/>
    <m/>
    <m/>
    <m/>
    <n v="62.631898618061548"/>
    <n v="0"/>
    <n v="0"/>
    <n v="-32.489999999999988"/>
    <n v="4.1204999999999998"/>
    <n v="0"/>
    <n v="0"/>
    <n v="-31.992519284416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31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84.332999999999998"/>
    <n v="84.332999999999998"/>
    <n v="84.332999999999998"/>
    <n v="84.332999999999998"/>
    <m/>
    <n v="547.54"/>
    <n v="159.41"/>
    <m/>
    <n v="59619.214349999995"/>
    <n v="59619.214349999995"/>
    <n v="43669.314059999997"/>
    <n v="0"/>
    <n v="0"/>
    <n v="0"/>
    <n v="0"/>
    <n v="0"/>
    <n v="9836.9743957295123"/>
    <n v="35212.906041046568"/>
    <n v="13006.73903256662"/>
    <n v="436.99228983159054"/>
    <n v="0"/>
    <n v="0"/>
    <n v="0"/>
    <n v="0"/>
    <n v="0"/>
    <m/>
    <n v="174.999040648461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0.75108968013819"/>
    <n v="0"/>
    <n v="62.23"/>
    <n v="307.99"/>
    <n v="8691.16"/>
    <n v="525"/>
    <m/>
    <m/>
    <m/>
    <m/>
    <m/>
    <m/>
    <m/>
    <n v="17467.89429"/>
    <m/>
    <n v="13957.490122246758"/>
    <m/>
    <m/>
    <m/>
    <m/>
    <m/>
    <m/>
    <m/>
    <m/>
    <m/>
    <m/>
    <m/>
    <m/>
    <n v="26200.487699999998"/>
    <n v="-9571.0709100000022"/>
    <m/>
    <m/>
    <m/>
    <m/>
    <n v="-18266.527799999996"/>
    <n v="2316.6275099999998"/>
    <n v="30"/>
    <n v="2036.5444322112271"/>
    <n v="0"/>
    <n v="0"/>
    <n v="0"/>
    <n v="0"/>
    <n v="0"/>
    <n v="0"/>
    <n v="0"/>
    <n v="444.3556383066425"/>
    <n v="0"/>
    <n v="0"/>
    <n v="2578.8851051969359"/>
    <n v="0"/>
    <n v="0"/>
    <n v="0"/>
    <n v="188.50826619852978"/>
    <n v="0"/>
    <n v="0"/>
    <m/>
    <n v="0"/>
    <n v="0"/>
    <n v="0"/>
    <n v="0"/>
    <n v="0"/>
    <n v="-11.15051638691773"/>
    <n v="0"/>
    <n v="-1164.0540611039646"/>
    <m/>
    <m/>
    <m/>
    <n v="35212.906041046568"/>
    <n v="0"/>
    <n v="0"/>
    <n v="-18266.527799999996"/>
    <n v="2316.6275100000003"/>
    <n v="0"/>
    <n v="0"/>
    <n v="-17986.834192084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32"/>
    <s v="Refaturamento - 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3.2000000000000001E-2"/>
    <n v="3.2000000000000001E-2"/>
    <n v="3.2000000000000001E-2"/>
    <n v="3.2000000000000001E-2"/>
    <m/>
    <n v="547.54"/>
    <n v="159.41"/>
    <m/>
    <n v="22.622399999999999"/>
    <n v="22.622399999999999"/>
    <n v="16.570239999999998"/>
    <n v="0"/>
    <n v="0"/>
    <n v="0"/>
    <n v="0"/>
    <n v="0"/>
    <n v="3.7326216387813123"/>
    <n v="13.361471705186466"/>
    <n v="4.9353829348194882"/>
    <n v="0.16581591161954273"/>
    <n v="0"/>
    <n v="0"/>
    <n v="0"/>
    <n v="0"/>
    <n v="0"/>
    <m/>
    <n v="6.640306049530751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6076073268784964"/>
    <n v="0"/>
    <n v="0.01"/>
    <n v="0.01"/>
    <n v="3.32"/>
    <n v="0"/>
    <m/>
    <m/>
    <m/>
    <m/>
    <m/>
    <m/>
    <m/>
    <n v="6.6281599999999994"/>
    <m/>
    <n v="5.2961436675073381"/>
    <m/>
    <m/>
    <m/>
    <m/>
    <m/>
    <m/>
    <m/>
    <m/>
    <m/>
    <m/>
    <m/>
    <m/>
    <n v="9.3206999999999987"/>
    <n v="-4.2827400000000004"/>
    <m/>
    <m/>
    <m/>
    <m/>
    <n v="-6.9311999999999987"/>
    <n v="0.87903999999999993"/>
    <n v="30"/>
    <n v="0.77276299705641804"/>
    <n v="0"/>
    <n v="0"/>
    <n v="0"/>
    <n v="0"/>
    <n v="0"/>
    <n v="0"/>
    <n v="0"/>
    <n v="0.16860992050339174"/>
    <n v="0"/>
    <n v="0"/>
    <n v="0.97855315672751964"/>
    <n v="0"/>
    <n v="0"/>
    <n v="0"/>
    <n v="7.1529111004623946E-2"/>
    <n v="0"/>
    <n v="0"/>
    <m/>
    <n v="0"/>
    <n v="0"/>
    <n v="0"/>
    <n v="0"/>
    <n v="0"/>
    <n v="-4.2310427042956747E-3"/>
    <n v="0"/>
    <n v="-0.44169814847481859"/>
    <m/>
    <m/>
    <m/>
    <n v="13.361471705186466"/>
    <n v="0"/>
    <n v="0"/>
    <n v="-6.9312000000000005"/>
    <n v="0.87903999999999982"/>
    <n v="0"/>
    <n v="0"/>
    <n v="-6.8250707806754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33"/>
    <s v="Sistema de Compensaçã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7.0000000000000007E-2"/>
    <n v="7.0000000000000007E-2"/>
    <n v="7.0000000000000007E-2"/>
    <n v="7.0000000000000007E-2"/>
    <m/>
    <n v="547.54"/>
    <n v="159.41"/>
    <m/>
    <n v="49.486500000000007"/>
    <n v="49.486500000000007"/>
    <n v="36.247399999999999"/>
    <n v="0"/>
    <n v="0"/>
    <n v="0"/>
    <n v="0"/>
    <n v="0"/>
    <n v="8.1651098348341211"/>
    <n v="29.228219355095394"/>
    <n v="10.796150169917631"/>
    <n v="0.36272230666774974"/>
    <n v="0"/>
    <n v="0"/>
    <n v="0"/>
    <n v="0"/>
    <n v="0"/>
    <m/>
    <n v="0.14525669483348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8916410275467108"/>
    <n v="0"/>
    <n v="0.05"/>
    <n v="0.26"/>
    <n v="22.55"/>
    <n v="0"/>
    <m/>
    <m/>
    <m/>
    <m/>
    <m/>
    <m/>
    <m/>
    <n v="14.499100000000002"/>
    <m/>
    <n v="11.585314272672303"/>
    <m/>
    <m/>
    <m/>
    <m/>
    <m/>
    <m/>
    <m/>
    <m/>
    <m/>
    <m/>
    <m/>
    <m/>
    <n v="21.748300000000004"/>
    <n v="-7.9736000000000047"/>
    <m/>
    <m/>
    <m/>
    <m/>
    <n v="-15.161999999999999"/>
    <n v="1.9229000000000001"/>
    <n v="30"/>
    <n v="1.6904190560609216"/>
    <n v="0"/>
    <n v="0"/>
    <n v="0"/>
    <n v="0"/>
    <n v="0"/>
    <n v="0"/>
    <n v="0"/>
    <n v="0.36883420110116916"/>
    <n v="0"/>
    <n v="0"/>
    <n v="2.14058503034145"/>
    <n v="0"/>
    <n v="0"/>
    <n v="0"/>
    <n v="0.15646993032261503"/>
    <n v="0"/>
    <n v="0"/>
    <m/>
    <n v="0"/>
    <n v="0"/>
    <n v="0"/>
    <n v="0"/>
    <n v="0"/>
    <n v="-9.255405915646775E-3"/>
    <n v="0"/>
    <n v="-0.9662146997886657"/>
    <m/>
    <m/>
    <m/>
    <n v="29.228219355095394"/>
    <n v="0"/>
    <n v="0"/>
    <n v="-15.162000000000003"/>
    <n v="1.9229000000000003"/>
    <n v="0"/>
    <n v="0"/>
    <n v="-14.929842332727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34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57.936"/>
    <n v="57.936"/>
    <n v="57.936"/>
    <n v="57.936"/>
    <m/>
    <n v="547.54"/>
    <n v="159.41"/>
    <m/>
    <n v="40957.855199999998"/>
    <n v="40957.855199999998"/>
    <n v="30000.419519999999"/>
    <n v="0"/>
    <n v="0"/>
    <n v="0"/>
    <n v="0"/>
    <n v="0"/>
    <n v="6757.9114770135657"/>
    <n v="24190.944522240094"/>
    <n v="8935.5108034906825"/>
    <n v="300.20970798718213"/>
    <n v="0"/>
    <n v="0"/>
    <n v="0"/>
    <n v="0"/>
    <n v="0"/>
    <m/>
    <n v="120.22274102675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3.15730653135176"/>
    <n v="0"/>
    <n v="69.47"/>
    <n v="313.44"/>
    <n v="9123.4500000000007"/>
    <n v="720"/>
    <m/>
    <m/>
    <m/>
    <m/>
    <m/>
    <m/>
    <m/>
    <n v="3000.5054400000008"/>
    <m/>
    <n v="9588.6681100220339"/>
    <m/>
    <m/>
    <m/>
    <m/>
    <m/>
    <m/>
    <m/>
    <m/>
    <m/>
    <m/>
    <m/>
    <m/>
    <n v="27001.778199999997"/>
    <n v="-9860.611160000004"/>
    <m/>
    <m/>
    <m/>
    <m/>
    <n v="-12548.937599999997"/>
    <n v="1591.5019199999999"/>
    <n v="30"/>
    <n v="1399.0874061706454"/>
    <n v="0"/>
    <n v="0"/>
    <n v="0"/>
    <n v="0"/>
    <n v="0"/>
    <n v="0"/>
    <n v="0"/>
    <n v="305.26826107139095"/>
    <n v="0"/>
    <n v="0"/>
    <n v="1771.6704902551755"/>
    <n v="0"/>
    <n v="0"/>
    <n v="0"/>
    <n v="129.50345547387167"/>
    <n v="0"/>
    <n v="0"/>
    <m/>
    <n v="0"/>
    <n v="0"/>
    <n v="0"/>
    <n v="0"/>
    <n v="0"/>
    <n v="-7.660302816127313"/>
    <n v="0"/>
    <n v="-799.69449781365904"/>
    <m/>
    <m/>
    <m/>
    <n v="24190.944522240094"/>
    <n v="0"/>
    <n v="0"/>
    <n v="-12548.937599999997"/>
    <n v="1591.5019199999988"/>
    <n v="0"/>
    <n v="0"/>
    <n v="-12356.790648412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35"/>
    <s v="Refaturamento - 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0.12"/>
    <n v="0.12"/>
    <n v="0.12"/>
    <n v="0.12"/>
    <m/>
    <n v="547.54"/>
    <n v="159.41"/>
    <m/>
    <n v="84.833999999999989"/>
    <n v="84.833999999999989"/>
    <n v="62.138400000000004"/>
    <n v="0"/>
    <n v="0"/>
    <n v="0"/>
    <n v="0"/>
    <n v="0"/>
    <n v="13.99733114542992"/>
    <n v="50.10551889444924"/>
    <n v="18.507686005573078"/>
    <n v="0.62180966857328523"/>
    <n v="0"/>
    <n v="0"/>
    <n v="0"/>
    <n v="0"/>
    <n v="0"/>
    <m/>
    <n v="0.249011476857403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528527475794361"/>
    <n v="0"/>
    <n v="0.02"/>
    <n v="0.1"/>
    <n v="18.68"/>
    <n v="0"/>
    <m/>
    <m/>
    <m/>
    <m/>
    <m/>
    <m/>
    <m/>
    <n v="6.2148000000000021"/>
    <m/>
    <n v="19.860538753152515"/>
    <m/>
    <m/>
    <m/>
    <m/>
    <m/>
    <m/>
    <m/>
    <m/>
    <m/>
    <m/>
    <m/>
    <m/>
    <n v="55.923599999999993"/>
    <n v="-20.457599999999999"/>
    <m/>
    <m/>
    <m/>
    <m/>
    <n v="-25.991999999999994"/>
    <n v="3.2963999999999998"/>
    <n v="30"/>
    <n v="2.8978612389615748"/>
    <n v="0"/>
    <n v="0"/>
    <n v="0"/>
    <n v="0"/>
    <n v="0"/>
    <n v="0"/>
    <n v="0"/>
    <n v="0.63228720188771881"/>
    <n v="0"/>
    <n v="0"/>
    <n v="3.6695743377282"/>
    <n v="0"/>
    <n v="0"/>
    <n v="0"/>
    <n v="0.26823416626733976"/>
    <n v="0"/>
    <n v="0"/>
    <m/>
    <n v="0"/>
    <n v="0"/>
    <n v="0"/>
    <n v="0"/>
    <n v="0"/>
    <n v="-1.5866410141108761E-2"/>
    <n v="0"/>
    <n v="-1.6563680567805696"/>
    <m/>
    <m/>
    <m/>
    <n v="50.10551889444924"/>
    <n v="0"/>
    <n v="0"/>
    <n v="-25.99199999999999"/>
    <n v="3.296400000000002"/>
    <n v="0"/>
    <n v="0"/>
    <n v="-25.59401542753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36"/>
    <s v="Sistema de Compensaçã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3.5999999999999997E-2"/>
    <n v="3.5999999999999997E-2"/>
    <n v="3.5999999999999997E-2"/>
    <n v="3.5999999999999997E-2"/>
    <m/>
    <n v="547.54"/>
    <n v="159.41"/>
    <m/>
    <n v="25.450199999999995"/>
    <n v="25.450199999999995"/>
    <n v="18.64152"/>
    <n v="0"/>
    <n v="0"/>
    <n v="0"/>
    <n v="0"/>
    <n v="0"/>
    <n v="4.1991993436289761"/>
    <n v="15.031655668334771"/>
    <n v="5.5523058016719231"/>
    <n v="0.18654290057198555"/>
    <n v="0"/>
    <n v="0"/>
    <n v="0"/>
    <n v="0"/>
    <n v="0"/>
    <m/>
    <n v="7.470344305722094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0585582427383077"/>
    <n v="0"/>
    <n v="0.04"/>
    <n v="0.2"/>
    <n v="52.81"/>
    <n v="2"/>
    <m/>
    <m/>
    <m/>
    <m/>
    <m/>
    <m/>
    <m/>
    <n v="1.8644400000000005"/>
    <m/>
    <n v="5.9581616259457535"/>
    <m/>
    <m/>
    <m/>
    <m/>
    <m/>
    <m/>
    <m/>
    <m/>
    <m/>
    <m/>
    <m/>
    <m/>
    <n v="18.641199999999998"/>
    <n v="-4.2941600000000051"/>
    <m/>
    <m/>
    <m/>
    <m/>
    <n v="-7.7975999999999983"/>
    <n v="0.98891999999999991"/>
    <n v="30"/>
    <n v="0.8693583716884774"/>
    <n v="0"/>
    <n v="0"/>
    <n v="0"/>
    <n v="0"/>
    <n v="0"/>
    <n v="0"/>
    <n v="0"/>
    <n v="0.18968616056631582"/>
    <n v="0"/>
    <n v="0"/>
    <n v="1.1008723013184607"/>
    <n v="0"/>
    <n v="0"/>
    <n v="0"/>
    <n v="8.0470249880202016E-2"/>
    <n v="0"/>
    <n v="0"/>
    <m/>
    <n v="0"/>
    <n v="0"/>
    <n v="0"/>
    <n v="0"/>
    <n v="0"/>
    <n v="-4.7599230423326366E-3"/>
    <n v="0"/>
    <n v="-0.49691041703417083"/>
    <m/>
    <m/>
    <m/>
    <n v="15.031655668334771"/>
    <n v="0"/>
    <n v="0"/>
    <n v="-7.7975999999999974"/>
    <n v="0.98892000000000024"/>
    <n v="0"/>
    <n v="0"/>
    <n v="-7.6782046282599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37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14.487"/>
    <n v="14.487"/>
    <n v="14.487"/>
    <n v="14.487"/>
    <m/>
    <n v="547.54"/>
    <n v="159.41"/>
    <m/>
    <n v="10241.584649999999"/>
    <n v="10241.584649999999"/>
    <n v="7501.65834"/>
    <n v="0"/>
    <n v="0"/>
    <n v="0"/>
    <n v="0"/>
    <n v="0"/>
    <n v="1689.8278025320271"/>
    <n v="6048.9887685323847"/>
    <n v="2234.3403930228101"/>
    <n v="75.067972238509867"/>
    <n v="0"/>
    <n v="0"/>
    <n v="0"/>
    <n v="0"/>
    <n v="0"/>
    <m/>
    <n v="30.061910543609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3231479515274"/>
    <n v="0"/>
    <n v="19.5"/>
    <n v="87.83"/>
    <n v="2536.04"/>
    <n v="184"/>
    <m/>
    <m/>
    <m/>
    <m/>
    <m/>
    <m/>
    <m/>
    <m/>
    <m/>
    <n v="2397.6635409743376"/>
    <m/>
    <m/>
    <m/>
    <m/>
    <m/>
    <m/>
    <m/>
    <m/>
    <m/>
    <m/>
    <m/>
    <m/>
    <n v="7503.2118"/>
    <n v="-2738.4028499999995"/>
    <m/>
    <m/>
    <m/>
    <m/>
    <n v="-3137.8841999999995"/>
    <n v="397.95788999999996"/>
    <n v="30"/>
    <n v="349.84429807363813"/>
    <n v="0"/>
    <n v="0"/>
    <n v="0"/>
    <n v="0"/>
    <n v="0"/>
    <n v="0"/>
    <n v="0"/>
    <n v="76.332872447894943"/>
    <n v="0"/>
    <n v="0"/>
    <n v="443.00936192223708"/>
    <n v="0"/>
    <n v="0"/>
    <n v="0"/>
    <n v="32.382569722624623"/>
    <n v="0"/>
    <n v="0"/>
    <m/>
    <n v="0"/>
    <n v="0"/>
    <n v="0"/>
    <n v="0"/>
    <n v="0"/>
    <n v="-1.9154723642853568"/>
    <n v="0"/>
    <n v="-199.96503365483426"/>
    <m/>
    <m/>
    <m/>
    <n v="6048.9887685323847"/>
    <n v="0"/>
    <n v="0"/>
    <n v="-3137.8841999999995"/>
    <n v="397.95789000000013"/>
    <n v="0"/>
    <n v="0"/>
    <n v="-3089.8375124889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38"/>
    <s v="Refaturamento - 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1.7999999999999999E-2"/>
    <n v="1.7999999999999999E-2"/>
    <n v="1.7999999999999999E-2"/>
    <n v="1.7999999999999999E-2"/>
    <m/>
    <n v="547.54"/>
    <n v="159.41"/>
    <m/>
    <n v="12.725099999999998"/>
    <n v="12.725099999999998"/>
    <n v="9.3207599999999999"/>
    <n v="0"/>
    <n v="0"/>
    <n v="0"/>
    <n v="0"/>
    <n v="0"/>
    <n v="2.099599671814488"/>
    <n v="7.5158278341673856"/>
    <n v="2.7761529008359616"/>
    <n v="9.3271450285992777E-2"/>
    <n v="0"/>
    <n v="0"/>
    <n v="0"/>
    <n v="0"/>
    <n v="0"/>
    <m/>
    <n v="3.735172152861047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0292791213691538"/>
    <n v="0"/>
    <n v="0"/>
    <n v="0.02"/>
    <n v="3.11"/>
    <n v="0"/>
    <m/>
    <m/>
    <m/>
    <m/>
    <m/>
    <m/>
    <m/>
    <m/>
    <m/>
    <n v="2.9790808129728767"/>
    <m/>
    <m/>
    <m/>
    <m/>
    <m/>
    <m/>
    <m/>
    <m/>
    <m/>
    <m/>
    <m/>
    <m/>
    <n v="10.356400000000001"/>
    <n v="-2.3986999999999963"/>
    <m/>
    <m/>
    <m/>
    <m/>
    <n v="-3.8987999999999992"/>
    <n v="0.49445999999999996"/>
    <n v="30"/>
    <n v="0.4346791858442387"/>
    <n v="0"/>
    <n v="0"/>
    <n v="0"/>
    <n v="0"/>
    <n v="0"/>
    <n v="0"/>
    <n v="0"/>
    <n v="9.484308028315791E-2"/>
    <n v="0"/>
    <n v="0"/>
    <n v="0.55043615065923035"/>
    <n v="0"/>
    <n v="0"/>
    <n v="0"/>
    <n v="4.0235124940101008E-2"/>
    <n v="0"/>
    <n v="0"/>
    <m/>
    <n v="0"/>
    <n v="0"/>
    <n v="0"/>
    <n v="0"/>
    <n v="0"/>
    <n v="-2.3799615211663183E-3"/>
    <n v="0"/>
    <n v="-0.24845520851708541"/>
    <m/>
    <m/>
    <m/>
    <n v="7.5158278341673856"/>
    <n v="0"/>
    <n v="0"/>
    <n v="-3.8987999999999987"/>
    <n v="0.49446000000000012"/>
    <n v="0"/>
    <n v="0"/>
    <n v="-3.8391023141299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39"/>
    <s v="Sistema de Compensaçã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2.96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40"/>
    <s v="Regular"/>
    <s v="Convencional"/>
    <s v="B3"/>
    <s v="Industrial"/>
    <s v="Não se aplica"/>
    <s v="Não se aplica"/>
    <s v="Não se aplica"/>
    <s v="Não se aplica"/>
    <s v="CATIVO"/>
    <x v="11"/>
    <n v="0"/>
    <n v="0"/>
    <n v="96.37"/>
    <n v="96.37"/>
    <n v="96.37"/>
    <n v="96.37"/>
    <m/>
    <n v="648.44000000000005"/>
    <n v="159.41"/>
    <m/>
    <n v="77852.50450000001"/>
    <n v="77852.50450000001"/>
    <n v="58961.093399999998"/>
    <n v="0"/>
    <n v="5972.0730532137459"/>
    <n v="0"/>
    <n v="0"/>
    <n v="0"/>
    <n v="11241.023354042345"/>
    <n v="40238.907132150613"/>
    <n v="14863.214169642313"/>
    <n v="499.36498133672916"/>
    <n v="0"/>
    <n v="0"/>
    <n v="0"/>
    <n v="0"/>
    <n v="922.84445415101914"/>
    <m/>
    <n v="199.976966872899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6.4534940352521"/>
    <n v="0"/>
    <n v="149.05000000000001"/>
    <n v="687.65"/>
    <n v="12247.23"/>
    <n v="86"/>
    <m/>
    <m/>
    <m/>
    <m/>
    <m/>
    <m/>
    <m/>
    <m/>
    <m/>
    <n v="15949.667663677565"/>
    <m/>
    <m/>
    <m/>
    <m/>
    <m/>
    <m/>
    <m/>
    <m/>
    <m/>
    <m/>
    <m/>
    <m/>
    <n v="58961.093399999998"/>
    <n v="-18891.441100000011"/>
    <m/>
    <m/>
    <m/>
    <m/>
    <n v="-21538.695000000007"/>
    <n v="2647.2838999999999"/>
    <n v="30"/>
    <n v="1662.7697161690085"/>
    <n v="0"/>
    <n v="0"/>
    <n v="0"/>
    <n v="0"/>
    <n v="0"/>
    <n v="0"/>
    <n v="0"/>
    <n v="507.77931371599698"/>
    <n v="0"/>
    <n v="0"/>
    <n v="2946.9739910572243"/>
    <n v="0"/>
    <n v="0"/>
    <n v="0"/>
    <n v="215.41438835986287"/>
    <n v="0"/>
    <n v="-418.29577803399752"/>
    <m/>
    <n v="0"/>
    <n v="0"/>
    <n v="0"/>
    <n v="0"/>
    <n v="-56.30401082633432"/>
    <n v="-12.742049544155435"/>
    <n v="0"/>
    <n v="-1520.0561385595956"/>
    <m/>
    <m/>
    <m/>
    <n v="40238.907132150613"/>
    <n v="0"/>
    <n v="0"/>
    <n v="-21538.695000000007"/>
    <n v="2647.2838999999985"/>
    <n v="0"/>
    <n v="0"/>
    <n v="-20554.127222928026"/>
    <n v="0"/>
    <n v="0"/>
    <n v="0"/>
    <n v="0"/>
    <n v="0"/>
    <n v="0"/>
    <n v="0"/>
    <n v="0"/>
    <n v="0"/>
    <n v="0"/>
    <n v="0"/>
    <n v="0"/>
    <n v="2828.864227077402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41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25.858000000000001"/>
    <n v="25.858000000000001"/>
    <n v="25.858000000000001"/>
    <n v="25.858000000000001"/>
    <m/>
    <n v="648.44000000000005"/>
    <n v="159.41"/>
    <m/>
    <n v="20889.385300000002"/>
    <n v="20889.385300000002"/>
    <n v="15820.441559999999"/>
    <n v="0"/>
    <n v="1602.4267407907134"/>
    <n v="0"/>
    <n v="0"/>
    <n v="0"/>
    <n v="3016.1915729877242"/>
    <n v="10796.904229772237"/>
    <n v="3988.0978727675724"/>
    <n v="133.98962008306674"/>
    <n v="0"/>
    <n v="0"/>
    <n v="0"/>
    <n v="0"/>
    <n v="247.61763925949003"/>
    <m/>
    <n v="53.6578230714894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.51721955757546"/>
    <n v="0"/>
    <n v="40"/>
    <n v="184.48"/>
    <n v="5869.46"/>
    <n v="21"/>
    <m/>
    <m/>
    <m/>
    <m/>
    <m/>
    <m/>
    <m/>
    <m/>
    <m/>
    <n v="4279.615092325148"/>
    <m/>
    <m/>
    <m/>
    <m/>
    <m/>
    <m/>
    <m/>
    <m/>
    <m/>
    <m/>
    <m/>
    <m/>
    <n v="15821.665199999999"/>
    <n v="-5067.7500999999975"/>
    <m/>
    <m/>
    <m/>
    <m/>
    <n v="-5779.2630000000017"/>
    <n v="710.31925999999999"/>
    <n v="30"/>
    <n v="446.1543978488935"/>
    <n v="0"/>
    <n v="0"/>
    <n v="0"/>
    <n v="0"/>
    <n v="0"/>
    <n v="0"/>
    <n v="0"/>
    <n v="136.24735388677209"/>
    <n v="0"/>
    <n v="0"/>
    <n v="790.73211020813187"/>
    <n v="0"/>
    <n v="0"/>
    <n v="0"/>
    <n v="57.799992261173998"/>
    <n v="0"/>
    <n v="-112.23713010691222"/>
    <m/>
    <n v="0"/>
    <n v="0"/>
    <n v="0"/>
    <n v="0"/>
    <n v="-15.107493119719351"/>
    <n v="-3.4189469452399237"/>
    <n v="0"/>
    <n v="-407.86148833531212"/>
    <m/>
    <m/>
    <m/>
    <n v="10796.904229772237"/>
    <n v="0"/>
    <n v="0"/>
    <n v="-5779.2630000000026"/>
    <n v="710.3192599999993"/>
    <n v="0"/>
    <n v="0"/>
    <n v="-5515.0837577095863"/>
    <n v="0"/>
    <n v="0"/>
    <n v="0"/>
    <n v="0"/>
    <n v="0"/>
    <n v="0"/>
    <n v="0"/>
    <n v="0"/>
    <n v="0"/>
    <n v="0"/>
    <n v="0"/>
    <n v="0"/>
    <n v="759.0408963761282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42"/>
    <s v="Regular"/>
    <s v="Verde"/>
    <s v="A4"/>
    <s v="Industrial"/>
    <s v="Não se aplica"/>
    <s v="Não se aplica"/>
    <s v="Não se aplica"/>
    <s v="Ponta"/>
    <s v="CATIVO"/>
    <x v="11"/>
    <n v="0"/>
    <n v="0"/>
    <n v="13.241"/>
    <n v="13.241"/>
    <n v="13.241"/>
    <n v="13.241"/>
    <m/>
    <n v="2810.7"/>
    <n v="159.41"/>
    <m/>
    <n v="39327.22651"/>
    <n v="39327.22651"/>
    <n v="25047.867289999998"/>
    <n v="0"/>
    <n v="713.87683707496888"/>
    <n v="0"/>
    <n v="0"/>
    <n v="0"/>
    <n v="8083.8369720330693"/>
    <n v="27870.833979068"/>
    <n v="2042.1689199982761"/>
    <n v="68.611515179823911"/>
    <n v="0"/>
    <n v="0"/>
    <n v="0"/>
    <n v="0"/>
    <n v="126.79654889917654"/>
    <m/>
    <n v="14.2173037350399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719126386722294"/>
    <n v="0"/>
    <n v="0"/>
    <n v="0"/>
    <n v="0"/>
    <n v="0"/>
    <m/>
    <m/>
    <m/>
    <m/>
    <m/>
    <m/>
    <m/>
    <m/>
    <m/>
    <n v="2110.8880463849982"/>
    <m/>
    <m/>
    <m/>
    <m/>
    <m/>
    <m/>
    <m/>
    <m/>
    <m/>
    <m/>
    <m/>
    <m/>
    <n v="25045.975599999998"/>
    <n v="-14281.280910000009"/>
    <m/>
    <m/>
    <m/>
    <m/>
    <n v="-14643.089489999998"/>
    <n v="363.73026999999996"/>
    <n v="30"/>
    <n v="-42.80281681001361"/>
    <n v="0"/>
    <n v="0"/>
    <n v="0"/>
    <n v="0"/>
    <n v="0"/>
    <n v="0"/>
    <n v="0"/>
    <n v="365.16294473979633"/>
    <n v="0"/>
    <n v="0"/>
    <n v="404.90694838215904"/>
    <n v="0"/>
    <n v="0"/>
    <n v="0"/>
    <n v="13.625147013185952"/>
    <n v="0"/>
    <n v="-50.001341966845871"/>
    <m/>
    <n v="0"/>
    <n v="0"/>
    <n v="0"/>
    <n v="0"/>
    <n v="-7.7360320364376065"/>
    <n v="-0.90589227053990307"/>
    <n v="0"/>
    <n v="-767.85459067133206"/>
    <m/>
    <m/>
    <m/>
    <n v="27870.833979068"/>
    <n v="0"/>
    <n v="0"/>
    <n v="-14643.089490000002"/>
    <n v="363.73027000000002"/>
    <n v="0"/>
    <n v="0"/>
    <n v="-14236.486729957785"/>
    <n v="0"/>
    <n v="0"/>
    <n v="0"/>
    <n v="0"/>
    <n v="0"/>
    <n v="0"/>
    <n v="0"/>
    <n v="0"/>
    <n v="0"/>
    <n v="0"/>
    <n v="0"/>
    <n v="0"/>
    <n v="338.1506938957841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43"/>
    <s v="Regular"/>
    <s v="Verde"/>
    <s v="A4"/>
    <s v="Industrial"/>
    <s v="Não se aplica"/>
    <s v="Não se aplica"/>
    <s v="Não se aplica"/>
    <s v="Fora ponta"/>
    <s v="CATIVO"/>
    <x v="11"/>
    <n v="0"/>
    <n v="0"/>
    <n v="448.07400000000001"/>
    <n v="448.07400000000001"/>
    <n v="448.07400000000001"/>
    <n v="448.07400000000001"/>
    <m/>
    <n v="95.29"/>
    <n v="159.41"/>
    <m/>
    <n v="114124.44779999999"/>
    <n v="114124.44779999999"/>
    <n v="124076.17134"/>
    <n v="0"/>
    <n v="24157.514530286957"/>
    <n v="0"/>
    <n v="0"/>
    <n v="0"/>
    <n v="0"/>
    <n v="0"/>
    <n v="69106.774160509594"/>
    <n v="2321.8062119692186"/>
    <n v="0"/>
    <n v="0"/>
    <n v="0"/>
    <n v="0"/>
    <n v="4290.7814252284297"/>
    <m/>
    <n v="481.112012217680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5.4477635076055"/>
    <n v="0"/>
    <n v="0"/>
    <n v="0"/>
    <n v="0"/>
    <n v="0"/>
    <m/>
    <m/>
    <m/>
    <m/>
    <m/>
    <m/>
    <m/>
    <m/>
    <m/>
    <n v="71432.221924017198"/>
    <m/>
    <m/>
    <m/>
    <m/>
    <m/>
    <m/>
    <m/>
    <m/>
    <m/>
    <m/>
    <m/>
    <m/>
    <n v="124075.0637"/>
    <n v="9950.5859000000055"/>
    <m/>
    <m/>
    <m/>
    <m/>
    <n v="-2356.8692400000023"/>
    <n v="12308.592779999999"/>
    <n v="30"/>
    <n v="9950.3072719948395"/>
    <n v="0"/>
    <n v="0"/>
    <n v="0"/>
    <n v="0"/>
    <n v="0"/>
    <n v="0"/>
    <n v="0"/>
    <n v="0"/>
    <n v="0"/>
    <n v="0"/>
    <n v="13702.00709836022"/>
    <n v="0"/>
    <n v="0"/>
    <n v="0"/>
    <n v="461.07349314902876"/>
    <n v="0"/>
    <n v="-1692.0399743563539"/>
    <m/>
    <n v="0"/>
    <n v="0"/>
    <n v="0"/>
    <n v="0"/>
    <n v="-261.78648279546496"/>
    <n v="-30.655295916463729"/>
    <n v="0"/>
    <n v="-2228.2915664461207"/>
    <m/>
    <m/>
    <m/>
    <n v="0"/>
    <n v="0"/>
    <n v="0"/>
    <n v="-2356.86924"/>
    <n v="12308.592780000006"/>
    <n v="0"/>
    <n v="0"/>
    <n v="0"/>
    <n v="0"/>
    <n v="0"/>
    <n v="0"/>
    <n v="0"/>
    <n v="0"/>
    <n v="0"/>
    <n v="0"/>
    <n v="0"/>
    <n v="0"/>
    <n v="0"/>
    <n v="0"/>
    <n v="0"/>
    <n v="11442.98270649192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44"/>
    <s v="Regular"/>
    <s v="Verde"/>
    <s v="A4"/>
    <s v="Industrial"/>
    <s v="Não se aplica"/>
    <s v="Não se aplica"/>
    <s v="Não se aplica"/>
    <s v="Não se aplica"/>
    <s v="CATIVO"/>
    <x v="11"/>
    <n v="2181"/>
    <n v="2181"/>
    <n v="0"/>
    <n v="0"/>
    <n v="0"/>
    <n v="0"/>
    <n v="43.29"/>
    <m/>
    <m/>
    <n v="94415.49"/>
    <m/>
    <n v="94415.49"/>
    <n v="73041.69"/>
    <n v="0"/>
    <n v="0"/>
    <n v="0"/>
    <n v="0"/>
    <n v="0"/>
    <n v="51611.155992553278"/>
    <n v="42811.2570746344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72.80999999999995"/>
    <n v="2634.92"/>
    <n v="45628.17"/>
    <n v="13"/>
    <m/>
    <m/>
    <m/>
    <m/>
    <m/>
    <m/>
    <m/>
    <m/>
    <m/>
    <n v="0"/>
    <m/>
    <m/>
    <m/>
    <m/>
    <m/>
    <m/>
    <m/>
    <m/>
    <m/>
    <m/>
    <m/>
    <m/>
    <n v="73041.69"/>
    <n v="-21373.829999999987"/>
    <m/>
    <m/>
    <m/>
    <m/>
    <n v="-21373.799999999992"/>
    <n v="0"/>
    <n v="30"/>
    <n v="487.8027767131789"/>
    <n v="0"/>
    <n v="0"/>
    <n v="0"/>
    <n v="0"/>
    <m/>
    <m/>
    <m/>
    <n v="2331.3782513015394"/>
    <n v="0"/>
    <n v="0"/>
    <m/>
    <m/>
    <n v="0"/>
    <n v="0"/>
    <n v="0"/>
    <n v="0"/>
    <n v="0"/>
    <m/>
    <n v="0"/>
    <n v="0"/>
    <m/>
    <n v="0"/>
    <n v="0"/>
    <n v="0"/>
    <n v="0"/>
    <n v="-1843.5754745883639"/>
    <m/>
    <m/>
    <n v="42811.257074634457"/>
    <m/>
    <n v="0"/>
    <n v="0"/>
    <n v="-21373.800000000003"/>
    <m/>
    <n v="0"/>
    <m/>
    <n v="-21868.08954814885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45"/>
    <s v="Regular"/>
    <s v="Convencional"/>
    <s v="B3"/>
    <s v="Comercial"/>
    <s v="Não se aplica"/>
    <s v="Não se aplica"/>
    <s v="Não se aplica"/>
    <s v="Não se aplica"/>
    <s v="CATIVO"/>
    <x v="11"/>
    <n v="0"/>
    <n v="0"/>
    <n v="581.04200000000003"/>
    <n v="581.04200000000003"/>
    <n v="581.04200000000003"/>
    <n v="581.04200000000003"/>
    <m/>
    <n v="648.44000000000005"/>
    <n v="159.41"/>
    <m/>
    <n v="469394.77970000007"/>
    <n v="469394.77970000007"/>
    <n v="355493.11644000001"/>
    <n v="0"/>
    <n v="36007.318366560357"/>
    <n v="0"/>
    <n v="0"/>
    <n v="0"/>
    <n v="67775.310695024105"/>
    <n v="242611.75757890483"/>
    <n v="89614.524100418275"/>
    <n v="3010.8127787263234"/>
    <n v="0"/>
    <n v="0"/>
    <n v="0"/>
    <n v="0"/>
    <n v="5564.0903531059093"/>
    <m/>
    <n v="1205.7177211348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50.5355513254226"/>
    <n v="0"/>
    <n v="893.22"/>
    <n v="4147.78"/>
    <n v="120171.37"/>
    <n v="1504"/>
    <m/>
    <m/>
    <m/>
    <m/>
    <m/>
    <m/>
    <m/>
    <m/>
    <m/>
    <n v="96165.059651743693"/>
    <m/>
    <m/>
    <m/>
    <m/>
    <m/>
    <m/>
    <m/>
    <m/>
    <m/>
    <m/>
    <m/>
    <m/>
    <n v="355491.89279999997"/>
    <n v="-113902.91690000013"/>
    <m/>
    <m/>
    <m/>
    <m/>
    <n v="-129862.88700000005"/>
    <n v="15961.223739999999"/>
    <n v="30"/>
    <n v="10025.309135854186"/>
    <n v="0"/>
    <n v="0"/>
    <n v="0"/>
    <n v="0"/>
    <n v="0"/>
    <n v="0"/>
    <n v="0"/>
    <n v="3061.5451696603704"/>
    <n v="0"/>
    <n v="0"/>
    <n v="17768.140102852252"/>
    <n v="0"/>
    <n v="0"/>
    <n v="0"/>
    <n v="1298.7943036358974"/>
    <n v="0"/>
    <n v="-2522.0236117093518"/>
    <m/>
    <n v="0"/>
    <n v="0"/>
    <n v="0"/>
    <n v="0"/>
    <n v="-339.47281372372072"/>
    <n v="-76.825422343417586"/>
    <n v="0"/>
    <n v="-9164.8485925178447"/>
    <m/>
    <m/>
    <m/>
    <n v="242611.75757890483"/>
    <n v="0"/>
    <n v="0"/>
    <n v="-129862.88700000005"/>
    <n v="15961.223740000001"/>
    <n v="0"/>
    <n v="0"/>
    <n v="-123926.64926703899"/>
    <n v="0"/>
    <n v="0"/>
    <n v="0"/>
    <n v="0"/>
    <n v="0"/>
    <n v="0"/>
    <n v="0"/>
    <n v="0"/>
    <n v="0"/>
    <n v="0"/>
    <n v="0"/>
    <n v="0"/>
    <n v="17056.02291407604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46"/>
    <s v="Refaturamento - Regular"/>
    <s v="Convencional"/>
    <s v="B3"/>
    <s v="Comercial"/>
    <s v="Não se aplica"/>
    <s v="Não se aplica"/>
    <s v="Não se aplica"/>
    <s v="Não se aplica"/>
    <s v="CATIVO"/>
    <x v="11"/>
    <n v="0"/>
    <n v="0"/>
    <n v="-5.2690000000000001"/>
    <n v="-5.2690000000000001"/>
    <n v="-5.2690000000000001"/>
    <n v="-5.2690000000000001"/>
    <m/>
    <n v="648.44000000000005"/>
    <n v="159.41"/>
    <m/>
    <n v="-4256.5616500000006"/>
    <n v="-4256.5616500000006"/>
    <n v="-3223.67958"/>
    <n v="0"/>
    <n v="-326.5212505695053"/>
    <n v="0"/>
    <n v="0"/>
    <n v="0"/>
    <n v="-614.59948171058545"/>
    <n v="-2200.0498254571089"/>
    <n v="-812.64164636137127"/>
    <n v="-27.302626197605335"/>
    <n v="0"/>
    <n v="0"/>
    <n v="0"/>
    <n v="0"/>
    <n v="-50.456235643060289"/>
    <m/>
    <n v="-10.9336789296804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9.401509391633738"/>
    <n v="0"/>
    <n v="-5.2"/>
    <n v="-23.82"/>
    <n v="-1261.1099999999999"/>
    <n v="0"/>
    <m/>
    <m/>
    <m/>
    <m/>
    <m/>
    <m/>
    <m/>
    <m/>
    <m/>
    <n v="-872.04315575300507"/>
    <m/>
    <m/>
    <m/>
    <m/>
    <m/>
    <m/>
    <m/>
    <m/>
    <m/>
    <m/>
    <m/>
    <m/>
    <n v="-3224.2913999999996"/>
    <n v="1032.2402500000003"/>
    <m/>
    <m/>
    <m/>
    <m/>
    <n v="1177.6215000000004"/>
    <n v="-144.73943"/>
    <n v="30"/>
    <n v="-90.911420924504"/>
    <n v="0"/>
    <n v="0"/>
    <n v="0"/>
    <n v="0"/>
    <n v="0"/>
    <n v="0"/>
    <n v="0"/>
    <n v="-27.762677222886623"/>
    <n v="0"/>
    <n v="0"/>
    <n v="-161.12489321241571"/>
    <n v="0"/>
    <n v="0"/>
    <n v="0"/>
    <n v="-11.777715183855122"/>
    <n v="0"/>
    <n v="22.87019253358028"/>
    <m/>
    <n v="0"/>
    <n v="0"/>
    <n v="0"/>
    <n v="0"/>
    <n v="3.078404410542241"/>
    <n v="0.69666762527918458"/>
    <n v="0"/>
    <n v="83.108600125251741"/>
    <m/>
    <m/>
    <m/>
    <n v="-2200.0498254571089"/>
    <n v="0"/>
    <n v="0"/>
    <n v="1177.6215000000007"/>
    <n v="-144.73942999999997"/>
    <n v="0"/>
    <n v="0"/>
    <n v="1123.7905607305984"/>
    <n v="0"/>
    <n v="0"/>
    <n v="0"/>
    <n v="0"/>
    <n v="0"/>
    <n v="0"/>
    <n v="0"/>
    <n v="0"/>
    <n v="0"/>
    <n v="0"/>
    <n v="0"/>
    <n v="0"/>
    <n v="-154.667278328015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47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119.923"/>
    <n v="119.923"/>
    <n v="119.923"/>
    <n v="119.923"/>
    <m/>
    <n v="648.44000000000005"/>
    <n v="159.41"/>
    <m/>
    <n v="96879.79555000001"/>
    <n v="96879.79555000001"/>
    <n v="73371.289860000004"/>
    <n v="0"/>
    <n v="7431.6583663022939"/>
    <n v="0"/>
    <n v="0"/>
    <n v="0"/>
    <n v="13988.349524611602"/>
    <n v="50073.367853158641"/>
    <n v="18495.81024038617"/>
    <n v="621.41067403595071"/>
    <n v="0"/>
    <n v="0"/>
    <n v="0"/>
    <n v="0"/>
    <n v="1148.3892858270485"/>
    <m/>
    <n v="248.851694493086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1.984667066406"/>
    <n v="0"/>
    <n v="185.92"/>
    <n v="858.85"/>
    <n v="39969.81"/>
    <n v="153"/>
    <m/>
    <m/>
    <m/>
    <m/>
    <m/>
    <m/>
    <m/>
    <m/>
    <m/>
    <n v="19847.794907452575"/>
    <m/>
    <m/>
    <m/>
    <m/>
    <m/>
    <m/>
    <m/>
    <m/>
    <m/>
    <m/>
    <m/>
    <m/>
    <n v="73369.454400000002"/>
    <n v="-23510.371149999992"/>
    <m/>
    <m/>
    <m/>
    <m/>
    <n v="-26802.790500000006"/>
    <n v="3294.2848100000001"/>
    <n v="30"/>
    <n v="2069.1536024917878"/>
    <n v="0"/>
    <n v="0"/>
    <n v="0"/>
    <n v="0"/>
    <n v="0"/>
    <n v="0"/>
    <n v="0"/>
    <n v="631.88148426650878"/>
    <n v="0"/>
    <n v="0"/>
    <n v="3667.2196941948241"/>
    <n v="0"/>
    <n v="0"/>
    <n v="0"/>
    <n v="268.06204934398488"/>
    <n v="0"/>
    <n v="-520.52801275470665"/>
    <m/>
    <n v="0"/>
    <n v="0"/>
    <n v="0"/>
    <n v="0"/>
    <n v="-70.06481156300174"/>
    <n v="-15.856229194601553"/>
    <n v="0"/>
    <n v="-1891.560571801208"/>
    <m/>
    <m/>
    <m/>
    <n v="50073.367853158641"/>
    <n v="0"/>
    <n v="0"/>
    <n v="-26802.790500000003"/>
    <n v="3294.284810000001"/>
    <n v="0"/>
    <n v="0"/>
    <n v="-25577.592600967084"/>
    <n v="0"/>
    <n v="0"/>
    <n v="0"/>
    <n v="0"/>
    <n v="0"/>
    <n v="0"/>
    <n v="0"/>
    <n v="0"/>
    <n v="0"/>
    <n v="0"/>
    <n v="0"/>
    <n v="0"/>
    <n v="3520.243693097471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48"/>
    <s v="Regular"/>
    <s v="Verde"/>
    <s v="A4"/>
    <s v="Comercial"/>
    <s v="Não se aplica"/>
    <s v="Não se aplica"/>
    <s v="Não se aplica"/>
    <s v="Ponta"/>
    <s v="CATIVO"/>
    <x v="11"/>
    <n v="0"/>
    <n v="0"/>
    <n v="10.268000000000001"/>
    <n v="10.268000000000001"/>
    <n v="10.268000000000001"/>
    <n v="10.268000000000001"/>
    <m/>
    <n v="2810.7"/>
    <n v="159.41"/>
    <m/>
    <n v="30497.089479999999"/>
    <n v="30497.089479999999"/>
    <n v="19423.872919999998"/>
    <n v="0"/>
    <n v="553.59016411795039"/>
    <n v="0"/>
    <n v="0"/>
    <n v="0"/>
    <n v="6268.7741128944617"/>
    <n v="21612.999267205669"/>
    <n v="1583.6409992102033"/>
    <n v="53.206180640920778"/>
    <n v="0"/>
    <n v="0"/>
    <n v="0"/>
    <n v="0"/>
    <n v="98.326936341420208"/>
    <m/>
    <n v="11.0250943849702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289629917594183"/>
    <n v="0"/>
    <n v="0"/>
    <n v="0"/>
    <n v="0"/>
    <n v="0"/>
    <m/>
    <m/>
    <m/>
    <m/>
    <m/>
    <m/>
    <m/>
    <m/>
    <m/>
    <n v="1636.9306291277974"/>
    <m/>
    <m/>
    <m/>
    <m/>
    <m/>
    <m/>
    <m/>
    <m/>
    <m/>
    <m/>
    <m/>
    <m/>
    <n v="19427.656299999999"/>
    <n v="-11069.463179999995"/>
    <m/>
    <m/>
    <m/>
    <m/>
    <n v="-11355.27852"/>
    <n v="282.06196"/>
    <n v="30"/>
    <n v="-33.192305944055988"/>
    <n v="0"/>
    <n v="0"/>
    <n v="0"/>
    <n v="0"/>
    <n v="0"/>
    <n v="0"/>
    <n v="0"/>
    <n v="283.17295646765433"/>
    <n v="0"/>
    <n v="0"/>
    <n v="313.99324416494301"/>
    <n v="0"/>
    <n v="0"/>
    <n v="0"/>
    <n v="10.565894534505958"/>
    <n v="0"/>
    <n v="-38.774547187944563"/>
    <m/>
    <n v="0"/>
    <n v="0"/>
    <n v="0"/>
    <n v="0"/>
    <n v="-5.9990617740458703"/>
    <n v="-0.70249239739473701"/>
    <n v="0"/>
    <n v="-595.4482997517739"/>
    <m/>
    <m/>
    <m/>
    <n v="21612.999267205669"/>
    <n v="0"/>
    <n v="0"/>
    <n v="-11355.27852"/>
    <n v="282.06196000000023"/>
    <n v="0"/>
    <n v="0"/>
    <n v="-11039.970224545468"/>
    <n v="0"/>
    <n v="0"/>
    <n v="0"/>
    <n v="0"/>
    <n v="0"/>
    <n v="0"/>
    <n v="0"/>
    <n v="0"/>
    <n v="0"/>
    <n v="0"/>
    <n v="0"/>
    <n v="0"/>
    <n v="262.2257627763697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49"/>
    <s v="Sistema de Compensação"/>
    <s v="Verde"/>
    <s v="A4"/>
    <s v="Comercial"/>
    <s v="Não se aplica"/>
    <s v="Não se aplica"/>
    <s v="Não se aplica"/>
    <s v="Ponta"/>
    <s v="CATIVO"/>
    <x v="11"/>
    <n v="0"/>
    <n v="0"/>
    <n v="6.3159999999999998"/>
    <n v="6.3159999999999998"/>
    <n v="6.3159999999999998"/>
    <n v="6.3159999999999998"/>
    <m/>
    <n v="2810.7"/>
    <n v="159.41"/>
    <m/>
    <n v="18759.214759999999"/>
    <n v="18759.214759999999"/>
    <n v="11947.91404"/>
    <n v="0"/>
    <n v="340.52156959183623"/>
    <n v="0"/>
    <n v="0"/>
    <n v="0"/>
    <n v="3856.0164878302899"/>
    <n v="13294.478318238313"/>
    <n v="974.12120675999631"/>
    <n v="32.727915555907245"/>
    <n v="0"/>
    <n v="0"/>
    <n v="0"/>
    <n v="0"/>
    <n v="60.482365595287298"/>
    <m/>
    <n v="6.78170005214958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779246451063969"/>
    <n v="0"/>
    <n v="0"/>
    <n v="0"/>
    <n v="0"/>
    <n v="0"/>
    <m/>
    <m/>
    <m/>
    <m/>
    <m/>
    <m/>
    <m/>
    <m/>
    <m/>
    <n v="1006.9004532110603"/>
    <m/>
    <m/>
    <m/>
    <m/>
    <m/>
    <m/>
    <m/>
    <m/>
    <m/>
    <m/>
    <m/>
    <m/>
    <n v="11955.480799999999"/>
    <n v="-6803.7639599999948"/>
    <m/>
    <m/>
    <m/>
    <m/>
    <n v="-6984.8012399999989"/>
    <n v="173.50051999999999"/>
    <n v="30"/>
    <n v="-20.41708262004704"/>
    <n v="0"/>
    <n v="0"/>
    <n v="0"/>
    <n v="0"/>
    <n v="0"/>
    <n v="0"/>
    <n v="0"/>
    <n v="174.18391050347736"/>
    <n v="0"/>
    <n v="0"/>
    <n v="193.14192930909439"/>
    <n v="0"/>
    <n v="0"/>
    <n v="0"/>
    <n v="6.4992393728028475"/>
    <n v="0"/>
    <n v="-23.850802496986546"/>
    <m/>
    <n v="0"/>
    <n v="0"/>
    <n v="0"/>
    <n v="0"/>
    <n v="-3.6901124040586026"/>
    <n v="-0.43211355492259074"/>
    <n v="0"/>
    <n v="-366.26913334945499"/>
    <m/>
    <m/>
    <m/>
    <n v="13294.478318238313"/>
    <n v="0"/>
    <n v="0"/>
    <n v="-6984.8012400000007"/>
    <n v="173.50051999999994"/>
    <n v="0"/>
    <n v="0"/>
    <n v="-6790.8504030219301"/>
    <n v="0"/>
    <n v="0"/>
    <n v="0"/>
    <n v="0"/>
    <n v="0"/>
    <n v="0"/>
    <n v="0"/>
    <n v="0"/>
    <n v="0"/>
    <n v="0"/>
    <n v="0"/>
    <n v="0"/>
    <n v="161.2989791289006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50"/>
    <s v="Regular"/>
    <s v="Verde"/>
    <s v="A4"/>
    <s v="Comercial"/>
    <s v="Não se aplica"/>
    <s v="Não se aplica"/>
    <s v="Não se aplica"/>
    <s v="Fora ponta"/>
    <s v="CATIVO"/>
    <x v="11"/>
    <n v="0"/>
    <n v="0"/>
    <n v="136.65299999999999"/>
    <n v="136.65299999999999"/>
    <n v="136.65299999999999"/>
    <n v="136.65299999999999"/>
    <m/>
    <n v="95.29"/>
    <n v="159.41"/>
    <m/>
    <n v="34805.519099999998"/>
    <n v="34805.519099999998"/>
    <n v="37840.58223"/>
    <n v="0"/>
    <n v="7367.5259736278012"/>
    <n v="0"/>
    <n v="0"/>
    <n v="0"/>
    <n v="0"/>
    <n v="0"/>
    <n v="21076.090130996483"/>
    <n v="708.10130532954281"/>
    <n v="0"/>
    <n v="0"/>
    <n v="0"/>
    <n v="0"/>
    <n v="1308.5966918449642"/>
    <m/>
    <n v="146.72888809790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9.21190077220456"/>
    <n v="0"/>
    <n v="0"/>
    <n v="0"/>
    <n v="0"/>
    <n v="0"/>
    <m/>
    <m/>
    <m/>
    <m/>
    <m/>
    <m/>
    <m/>
    <m/>
    <m/>
    <n v="21785.302031768686"/>
    <m/>
    <m/>
    <m/>
    <m/>
    <m/>
    <m/>
    <m/>
    <m/>
    <m/>
    <m/>
    <m/>
    <m/>
    <n v="37839.751499999998"/>
    <n v="3034.2023999999947"/>
    <m/>
    <m/>
    <m/>
    <m/>
    <n v="-718.79478000000063"/>
    <n v="3753.8579099999997"/>
    <n v="30"/>
    <n v="3034.6311985071879"/>
    <n v="0"/>
    <n v="0"/>
    <n v="0"/>
    <n v="0"/>
    <n v="0"/>
    <n v="0"/>
    <n v="0"/>
    <n v="0"/>
    <n v="0"/>
    <n v="0"/>
    <n v="4178.8195164464305"/>
    <n v="0"/>
    <n v="0"/>
    <n v="0"/>
    <n v="140.61756776624884"/>
    <n v="0"/>
    <n v="-516.03605345482902"/>
    <m/>
    <n v="0"/>
    <n v="0"/>
    <n v="0"/>
    <n v="0"/>
    <n v="-79.839285996171611"/>
    <n v="-9.3492105162819428"/>
    <n v="0"/>
    <n v="-679.58133573820783"/>
    <m/>
    <m/>
    <m/>
    <n v="0"/>
    <n v="0"/>
    <n v="0"/>
    <n v="-718.79478000000017"/>
    <n v="3753.8579099999988"/>
    <n v="0"/>
    <n v="0"/>
    <n v="0"/>
    <n v="0"/>
    <n v="0"/>
    <n v="0"/>
    <n v="0"/>
    <n v="0"/>
    <n v="0"/>
    <n v="0"/>
    <n v="0"/>
    <n v="0"/>
    <n v="0"/>
    <n v="0"/>
    <n v="0"/>
    <n v="3489.865325348583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51"/>
    <s v="Sistema de Compensação"/>
    <s v="Verde"/>
    <s v="A4"/>
    <s v="Comercial"/>
    <s v="Não se aplica"/>
    <s v="Não se aplica"/>
    <s v="Não se aplica"/>
    <s v="Fora ponta"/>
    <s v="CATIVO"/>
    <x v="11"/>
    <n v="0"/>
    <n v="0"/>
    <n v="62.353000000000002"/>
    <n v="62.353000000000002"/>
    <n v="62.353000000000002"/>
    <n v="62.353000000000002"/>
    <m/>
    <n v="95.29"/>
    <n v="159.41"/>
    <m/>
    <n v="15881.309100000002"/>
    <n v="15881.309100000002"/>
    <n v="17266.16923"/>
    <n v="0"/>
    <n v="3361.7070026535412"/>
    <n v="0"/>
    <n v="0"/>
    <n v="0"/>
    <n v="0"/>
    <n v="0"/>
    <n v="9616.7478792124857"/>
    <n v="323.09748553791712"/>
    <n v="0"/>
    <n v="0"/>
    <n v="0"/>
    <n v="0"/>
    <n v="597.09577928482406"/>
    <m/>
    <n v="66.9504976807604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3.60423590297523"/>
    <n v="0"/>
    <n v="0"/>
    <n v="0"/>
    <n v="0"/>
    <n v="0"/>
    <m/>
    <m/>
    <m/>
    <m/>
    <m/>
    <m/>
    <m/>
    <m/>
    <m/>
    <n v="9940.35211511546"/>
    <m/>
    <m/>
    <m/>
    <m/>
    <m/>
    <m/>
    <m/>
    <m/>
    <m/>
    <m/>
    <m/>
    <m/>
    <n v="17265.338500000002"/>
    <n v="1383.9993999999988"/>
    <m/>
    <m/>
    <m/>
    <m/>
    <n v="-327.9767800000003"/>
    <n v="1712.83691"/>
    <n v="30"/>
    <n v="1384.6630452351492"/>
    <n v="0"/>
    <n v="0"/>
    <n v="0"/>
    <n v="0"/>
    <n v="0"/>
    <n v="0"/>
    <n v="0"/>
    <n v="0"/>
    <n v="0"/>
    <n v="0"/>
    <n v="1906.7414056697198"/>
    <n v="0"/>
    <n v="0"/>
    <n v="0"/>
    <n v="64.16198109758966"/>
    <n v="0"/>
    <n v="-235.46059026197008"/>
    <m/>
    <n v="0"/>
    <n v="0"/>
    <n v="0"/>
    <n v="0"/>
    <n v="-36.429635644437326"/>
    <n v="-4.2659240801279736"/>
    <n v="0"/>
    <n v="-310.08419154562631"/>
    <m/>
    <m/>
    <m/>
    <n v="0"/>
    <n v="0"/>
    <n v="0"/>
    <n v="-327.97678000000087"/>
    <n v="1712.83691"/>
    <n v="0"/>
    <n v="0"/>
    <n v="0"/>
    <n v="0"/>
    <n v="0"/>
    <n v="0"/>
    <n v="0"/>
    <n v="0"/>
    <n v="0"/>
    <n v="0"/>
    <n v="0"/>
    <n v="0"/>
    <n v="0"/>
    <n v="0"/>
    <n v="0"/>
    <n v="1592.380501207147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52"/>
    <s v="Regular"/>
    <s v="Verde"/>
    <s v="A4"/>
    <s v="Comercial"/>
    <s v="Não se aplica"/>
    <s v="Não se aplica"/>
    <s v="Não se aplica"/>
    <s v="Não se aplica"/>
    <s v="CATIVO"/>
    <x v="11"/>
    <n v="1436"/>
    <n v="1436"/>
    <n v="0"/>
    <n v="0"/>
    <n v="0"/>
    <n v="0"/>
    <n v="43.29"/>
    <m/>
    <m/>
    <n v="62164.44"/>
    <m/>
    <n v="62164.44"/>
    <n v="48091.64"/>
    <n v="0"/>
    <n v="0"/>
    <n v="0"/>
    <n v="0"/>
    <n v="0"/>
    <n v="33981.485559516972"/>
    <n v="28187.51268187761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7.12"/>
    <n v="1228.8"/>
    <n v="20626.18"/>
    <n v="13"/>
    <m/>
    <m/>
    <m/>
    <m/>
    <m/>
    <m/>
    <m/>
    <m/>
    <m/>
    <n v="0"/>
    <m/>
    <m/>
    <m/>
    <m/>
    <m/>
    <m/>
    <m/>
    <m/>
    <m/>
    <m/>
    <m/>
    <m/>
    <n v="48091.64"/>
    <n v="-14072.830000000009"/>
    <m/>
    <m/>
    <m/>
    <m/>
    <n v="-14072.799999999996"/>
    <n v="0"/>
    <n v="30"/>
    <n v="321.17596852825227"/>
    <n v="0"/>
    <n v="0"/>
    <n v="0"/>
    <n v="0"/>
    <m/>
    <m/>
    <m/>
    <n v="1535.0110815538792"/>
    <n v="0"/>
    <n v="0"/>
    <m/>
    <m/>
    <n v="0"/>
    <n v="0"/>
    <n v="0"/>
    <n v="0"/>
    <n v="0"/>
    <m/>
    <n v="0"/>
    <n v="0"/>
    <m/>
    <n v="0"/>
    <n v="0"/>
    <n v="0"/>
    <n v="0"/>
    <n v="-1213.835113025626"/>
    <m/>
    <m/>
    <n v="28187.512681877615"/>
    <m/>
    <n v="0"/>
    <n v="0"/>
    <n v="-14072.800000000003"/>
    <m/>
    <n v="0"/>
    <m/>
    <n v="-14398.24694687838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53"/>
    <s v="Sistema de Compensação"/>
    <s v="Verde"/>
    <s v="A4"/>
    <s v="Comercial"/>
    <s v="Não se aplica"/>
    <s v="Não se aplica"/>
    <s v="Não se aplica"/>
    <s v="Não se aplica"/>
    <s v="CATIVO"/>
    <x v="11"/>
    <n v="949"/>
    <n v="949"/>
    <n v="0"/>
    <n v="0"/>
    <n v="0"/>
    <n v="0"/>
    <n v="43.29"/>
    <m/>
    <m/>
    <n v="41082.21"/>
    <m/>
    <n v="41082.21"/>
    <n v="31782.010000000002"/>
    <n v="0"/>
    <n v="0"/>
    <n v="0"/>
    <n v="0"/>
    <n v="0"/>
    <n v="22457.123813357663"/>
    <n v="18628.09856204864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4.45"/>
    <n v="802.38"/>
    <n v="14411.38"/>
    <n v="6"/>
    <m/>
    <m/>
    <m/>
    <m/>
    <m/>
    <m/>
    <m/>
    <m/>
    <m/>
    <n v="0"/>
    <m/>
    <m/>
    <m/>
    <m/>
    <m/>
    <m/>
    <m/>
    <m/>
    <m/>
    <m/>
    <m/>
    <m/>
    <n v="31782.010000000002"/>
    <n v="-9300.2300000000032"/>
    <m/>
    <m/>
    <m/>
    <m/>
    <n v="-9300.1999999999971"/>
    <n v="0"/>
    <n v="30"/>
    <n v="212.2534778087138"/>
    <n v="0"/>
    <n v="0"/>
    <n v="0"/>
    <n v="0"/>
    <m/>
    <m/>
    <m/>
    <n v="1014.4328108597729"/>
    <n v="0"/>
    <n v="0"/>
    <m/>
    <m/>
    <n v="0"/>
    <n v="0"/>
    <n v="0"/>
    <n v="0"/>
    <n v="0"/>
    <m/>
    <n v="0"/>
    <n v="0"/>
    <m/>
    <n v="0"/>
    <n v="0"/>
    <n v="0"/>
    <n v="0"/>
    <n v="-802.17933305105794"/>
    <m/>
    <m/>
    <n v="18628.098562048646"/>
    <m/>
    <n v="0"/>
    <n v="0"/>
    <n v="-9300.1999999999971"/>
    <m/>
    <n v="0"/>
    <m/>
    <n v="-9515.27601155124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54"/>
    <s v="Regular"/>
    <s v="Convencional"/>
    <s v="B2"/>
    <s v="Rural"/>
    <s v="Não se aplica"/>
    <s v="Não se aplica"/>
    <s v="Não se aplica"/>
    <s v="Não se aplica"/>
    <s v="CATIVO"/>
    <x v="11"/>
    <n v="0"/>
    <n v="0"/>
    <n v="3547.14"/>
    <n v="3547.14"/>
    <n v="3547.14"/>
    <n v="3547.14"/>
    <m/>
    <n v="648.44000000000005"/>
    <n v="159.41"/>
    <m/>
    <n v="2865557.0490000001"/>
    <n v="2865557.0490000001"/>
    <n v="2170211.1947999997"/>
    <n v="0"/>
    <n v="219817.15481972197"/>
    <n v="0"/>
    <n v="0"/>
    <n v="0"/>
    <n v="413754.10999333567"/>
    <n v="1481094.0857604723"/>
    <n v="547077.94448173745"/>
    <n v="18380.382898192023"/>
    <n v="0"/>
    <n v="0"/>
    <n v="0"/>
    <n v="0"/>
    <n v="33967.608976831441"/>
    <m/>
    <n v="7360.6547501664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989.650792074339"/>
    <n v="0"/>
    <n v="4780.99"/>
    <n v="22257.75"/>
    <n v="144047.85999999999"/>
    <n v="13034"/>
    <m/>
    <m/>
    <m/>
    <m/>
    <m/>
    <n v="260431.01880000005"/>
    <m/>
    <m/>
    <m/>
    <n v="587067.59527381184"/>
    <m/>
    <m/>
    <m/>
    <m/>
    <m/>
    <m/>
    <m/>
    <m/>
    <m/>
    <m/>
    <m/>
    <m/>
    <n v="1909780.176"/>
    <n v="-611917.15139999986"/>
    <m/>
    <m/>
    <m/>
    <m/>
    <n v="-792785.79000000015"/>
    <n v="97439.935799999992"/>
    <n v="30"/>
    <n v="61202.417464062339"/>
    <n v="0"/>
    <n v="0"/>
    <n v="0"/>
    <n v="0"/>
    <n v="0"/>
    <n v="0"/>
    <n v="0"/>
    <n v="18690.093544200063"/>
    <n v="0"/>
    <n v="0"/>
    <n v="108470.78263607668"/>
    <n v="0"/>
    <n v="0"/>
    <n v="0"/>
    <n v="7928.8678377794349"/>
    <n v="0"/>
    <n v="-15396.42716712167"/>
    <m/>
    <n v="0"/>
    <n v="0"/>
    <n v="0"/>
    <n v="0"/>
    <n v="-2072.4105941944981"/>
    <n v="-469.00315056610543"/>
    <n v="0"/>
    <n v="-55949.485642111489"/>
    <m/>
    <m/>
    <m/>
    <n v="1481094.0857604723"/>
    <n v="0"/>
    <n v="0"/>
    <n v="-792785.79"/>
    <n v="97439.935799999977"/>
    <n v="0"/>
    <n v="0"/>
    <n v="-756546.29903016414"/>
    <n v="0"/>
    <n v="0"/>
    <n v="0"/>
    <n v="0"/>
    <n v="0"/>
    <n v="0"/>
    <n v="0"/>
    <n v="0"/>
    <n v="0"/>
    <n v="0"/>
    <n v="0"/>
    <n v="0"/>
    <n v="104123.4559970461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55"/>
    <s v="Refaturamento - Regular"/>
    <s v="Convencional"/>
    <s v="B2"/>
    <s v="Rural"/>
    <s v="Não se aplica"/>
    <s v="Não se aplica"/>
    <s v="Não se aplica"/>
    <s v="Não se aplica"/>
    <s v="CATIVO"/>
    <x v="11"/>
    <n v="0"/>
    <n v="0"/>
    <n v="-3.14"/>
    <n v="-3.14"/>
    <n v="-3.14"/>
    <n v="-3.14"/>
    <m/>
    <n v="648.44000000000005"/>
    <n v="159.41"/>
    <m/>
    <n v="-2536.6490000000003"/>
    <n v="-2536.6490000000003"/>
    <n v="-1921.1148000000001"/>
    <n v="0"/>
    <n v="-194.58658697822105"/>
    <n v="0"/>
    <n v="0"/>
    <n v="0"/>
    <n v="-366.26349830541625"/>
    <n v="-1311.094411071422"/>
    <n v="-484.28445047916227"/>
    <n v="-16.270686327667629"/>
    <n v="0"/>
    <n v="0"/>
    <n v="0"/>
    <n v="0"/>
    <n v="-30.06881380133029"/>
    <m/>
    <n v="-6.5158003111020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5.399646894995243"/>
    <n v="0"/>
    <n v="-4.22"/>
    <n v="-20.86"/>
    <n v="0"/>
    <n v="0"/>
    <m/>
    <m/>
    <m/>
    <m/>
    <m/>
    <n v="-230.53880000000004"/>
    <m/>
    <m/>
    <m/>
    <n v="-519.68409737415755"/>
    <m/>
    <m/>
    <m/>
    <m/>
    <m/>
    <m/>
    <m/>
    <m/>
    <m/>
    <m/>
    <m/>
    <m/>
    <n v="-1690.576"/>
    <n v="541.65139999999974"/>
    <m/>
    <m/>
    <m/>
    <m/>
    <n v="701.79000000000019"/>
    <n v="-86.255799999999994"/>
    <n v="30"/>
    <n v="-54.177616569167412"/>
    <n v="0"/>
    <n v="0"/>
    <n v="0"/>
    <n v="0"/>
    <n v="0"/>
    <n v="0"/>
    <n v="0"/>
    <n v="-16.544848449395317"/>
    <n v="0"/>
    <n v="0"/>
    <n v="-96.020528503887931"/>
    <n v="0"/>
    <n v="0"/>
    <n v="0"/>
    <n v="-7.0187940173287302"/>
    <n v="0"/>
    <n v="13.629228421985601"/>
    <m/>
    <n v="0"/>
    <n v="0"/>
    <n v="0"/>
    <n v="0"/>
    <n v="1.8345397322267267"/>
    <n v="0.41517106535901327"/>
    <n v="0"/>
    <n v="49.527615181873315"/>
    <m/>
    <m/>
    <m/>
    <n v="-1311.094411071422"/>
    <n v="0"/>
    <n v="0"/>
    <n v="701.79000000000019"/>
    <n v="-86.255800000000079"/>
    <n v="0"/>
    <n v="0"/>
    <n v="669.71007035378238"/>
    <n v="0"/>
    <n v="0"/>
    <n v="0"/>
    <n v="0"/>
    <n v="0"/>
    <n v="0"/>
    <n v="0"/>
    <n v="0"/>
    <n v="0"/>
    <n v="0"/>
    <n v="0"/>
    <n v="0"/>
    <n v="-92.17218712278763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56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184.93899999999999"/>
    <n v="184.93899999999999"/>
    <n v="184.93899999999999"/>
    <n v="184.93899999999999"/>
    <m/>
    <n v="648.44000000000005"/>
    <n v="159.41"/>
    <m/>
    <n v="149402.97115"/>
    <n v="149402.97115"/>
    <n v="113149.37897999999"/>
    <n v="0"/>
    <n v="11460.716181262809"/>
    <n v="0"/>
    <n v="0"/>
    <n v="0"/>
    <n v="21572.103539205531"/>
    <n v="77220.537990171229"/>
    <n v="28523.274518205661"/>
    <n v="958.30715246895659"/>
    <n v="0"/>
    <n v="0"/>
    <n v="0"/>
    <n v="0"/>
    <n v="1770.9861005108987"/>
    <m/>
    <n v="383.76611265442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84.9602857049445"/>
    <n v="0"/>
    <n v="253.97"/>
    <n v="1181.03"/>
    <n v="6527.67"/>
    <n v="552"/>
    <m/>
    <m/>
    <m/>
    <m/>
    <m/>
    <n v="13578.221380000003"/>
    <m/>
    <m/>
    <m/>
    <n v="30608.234803910604"/>
    <m/>
    <m/>
    <m/>
    <m/>
    <m/>
    <m/>
    <m/>
    <m/>
    <m/>
    <m/>
    <m/>
    <m/>
    <n v="99571.695999999996"/>
    <n v="-31903.318490000005"/>
    <m/>
    <m/>
    <m/>
    <m/>
    <n v="-41333.866500000011"/>
    <n v="5080.2743299999993"/>
    <n v="30"/>
    <n v="3190.9408377978398"/>
    <n v="0"/>
    <n v="0"/>
    <n v="0"/>
    <n v="0"/>
    <n v="0"/>
    <n v="0"/>
    <n v="0"/>
    <n v="974.45469024927661"/>
    <n v="0"/>
    <n v="0"/>
    <n v="5655.3950703759692"/>
    <n v="0"/>
    <n v="0"/>
    <n v="0"/>
    <n v="413.39132062762974"/>
    <n v="0"/>
    <n v="-802.73117042471313"/>
    <m/>
    <n v="0"/>
    <n v="0"/>
    <n v="0"/>
    <n v="0"/>
    <n v="-108.05030048989761"/>
    <n v="-24.452650209054298"/>
    <n v="0"/>
    <n v="-2917.0661223313591"/>
    <m/>
    <m/>
    <m/>
    <n v="77220.537990171229"/>
    <n v="0"/>
    <n v="0"/>
    <n v="-41333.866500000018"/>
    <n v="5080.2743300000038"/>
    <n v="0"/>
    <n v="0"/>
    <n v="-39444.430159604497"/>
    <n v="0"/>
    <n v="0"/>
    <n v="0"/>
    <n v="0"/>
    <n v="0"/>
    <n v="0"/>
    <n v="0"/>
    <n v="0"/>
    <n v="0"/>
    <n v="0"/>
    <n v="0"/>
    <n v="0"/>
    <n v="5428.736342134146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57"/>
    <s v="Regular"/>
    <s v="Verde"/>
    <s v="A4"/>
    <s v="Rural"/>
    <s v="Não se aplica"/>
    <s v="Não se aplica"/>
    <s v="Não se aplica"/>
    <s v="Ponta"/>
    <s v="CATIVO"/>
    <x v="11"/>
    <n v="0"/>
    <n v="0"/>
    <n v="38.225999999999999"/>
    <n v="36.696959999999997"/>
    <n v="38.225999999999999"/>
    <n v="36.696959999999997"/>
    <m/>
    <n v="2810.7"/>
    <n v="159.41"/>
    <m/>
    <n v="113535.42486"/>
    <n v="113535.42486"/>
    <n v="72311.741939999993"/>
    <n v="0"/>
    <n v="2060.9210765068924"/>
    <n v="0"/>
    <n v="0"/>
    <n v="0"/>
    <n v="23337.569072799342"/>
    <n v="80461.483247779877"/>
    <n v="5895.6233770753042"/>
    <n v="198.07746992402002"/>
    <n v="0"/>
    <n v="0"/>
    <n v="0"/>
    <n v="0"/>
    <n v="366.05429183746867"/>
    <m/>
    <n v="41.0445323295550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.38813724483396"/>
    <n v="0"/>
    <n v="0"/>
    <n v="0"/>
    <n v="0"/>
    <n v="0"/>
    <m/>
    <m/>
    <m/>
    <m/>
    <m/>
    <n v="2892.4696776000037"/>
    <m/>
    <m/>
    <m/>
    <n v="6094.0115143201383"/>
    <m/>
    <m/>
    <m/>
    <m/>
    <m/>
    <m/>
    <m/>
    <m/>
    <m/>
    <m/>
    <m/>
    <m/>
    <n v="69425.023000000001"/>
    <n v="-39569.014865599966"/>
    <m/>
    <m/>
    <m/>
    <m/>
    <n v="-42273.751139999993"/>
    <n v="1050.0682199999999"/>
    <n v="30"/>
    <n v="-123.56925272861554"/>
    <n v="0"/>
    <n v="0"/>
    <n v="0"/>
    <n v="0"/>
    <n v="0"/>
    <n v="0"/>
    <n v="0"/>
    <n v="1054.2042689844748"/>
    <n v="0"/>
    <n v="0"/>
    <n v="1168.9429052833184"/>
    <n v="0"/>
    <n v="0"/>
    <n v="0"/>
    <n v="39.335010174914771"/>
    <n v="0"/>
    <n v="-144.35097787362383"/>
    <m/>
    <n v="0"/>
    <n v="0"/>
    <n v="0"/>
    <n v="0"/>
    <n v="-22.333476370732114"/>
    <n v="-2.6152585102075605"/>
    <n v="0"/>
    <n v="-2216.7517244167616"/>
    <m/>
    <m/>
    <m/>
    <n v="80461.483247779877"/>
    <n v="0"/>
    <n v="0"/>
    <n v="-42273.75114"/>
    <n v="1050.0682200000001"/>
    <n v="0"/>
    <n v="0"/>
    <n v="-41099.912524685918"/>
    <n v="0"/>
    <n v="0"/>
    <n v="0"/>
    <n v="0"/>
    <n v="0"/>
    <n v="0"/>
    <n v="0"/>
    <n v="0"/>
    <n v="0"/>
    <n v="0"/>
    <n v="0"/>
    <n v="0"/>
    <n v="976.2214655131973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58"/>
    <s v="Sistema de Compensação"/>
    <s v="Verde"/>
    <s v="A4"/>
    <s v="Rural"/>
    <s v="Não se aplica"/>
    <s v="Não se aplica"/>
    <s v="Não se aplica"/>
    <s v="Ponta"/>
    <s v="CATIVO"/>
    <x v="11"/>
    <n v="0"/>
    <n v="0"/>
    <n v="2.1110000000000002"/>
    <n v="2.0265599999999999"/>
    <n v="2.1110000000000002"/>
    <n v="2.0265599999999999"/>
    <m/>
    <n v="2810.7"/>
    <n v="159.41"/>
    <m/>
    <n v="6269.9022100000002"/>
    <n v="6269.9022100000002"/>
    <n v="3993.3575900000005"/>
    <n v="0"/>
    <n v="113.81270319955135"/>
    <n v="0"/>
    <n v="0"/>
    <n v="0"/>
    <n v="1288.7984176392879"/>
    <n v="4443.4204765359536"/>
    <n v="325.58104298137312"/>
    <n v="10.938668419651711"/>
    <n v="0"/>
    <n v="0"/>
    <n v="0"/>
    <n v="0"/>
    <n v="20.21505284541664"/>
    <m/>
    <n v="2.2666511732247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955824771721984"/>
    <n v="0"/>
    <n v="0"/>
    <n v="0"/>
    <n v="0"/>
    <n v="0"/>
    <m/>
    <m/>
    <m/>
    <m/>
    <m/>
    <n v="159.73430360000054"/>
    <m/>
    <m/>
    <m/>
    <n v="336.53686775309512"/>
    <m/>
    <m/>
    <m/>
    <m/>
    <m/>
    <m/>
    <m/>
    <m/>
    <m/>
    <m/>
    <m/>
    <m/>
    <n v="3840.1306999999993"/>
    <n v="-2179.0054216000003"/>
    <m/>
    <m/>
    <m/>
    <m/>
    <n v="-2334.53379"/>
    <n v="57.989170000000001"/>
    <n v="30"/>
    <n v="-6.8240122563204295"/>
    <n v="0"/>
    <n v="0"/>
    <n v="0"/>
    <n v="0"/>
    <n v="0"/>
    <n v="0"/>
    <n v="0"/>
    <n v="58.217579967201118"/>
    <n v="0"/>
    <n v="0"/>
    <n v="64.553928557868574"/>
    <n v="0"/>
    <n v="0"/>
    <n v="0"/>
    <n v="2.1722441918915152"/>
    <n v="0"/>
    <n v="-7.9716662557217433"/>
    <m/>
    <n v="0"/>
    <n v="0"/>
    <n v="0"/>
    <n v="0"/>
    <n v="-1.2333482085129361"/>
    <n v="-0.14442554060189838"/>
    <n v="0"/>
    <n v="-122.41832496844515"/>
    <m/>
    <m/>
    <m/>
    <n v="4443.4204765359536"/>
    <n v="0"/>
    <n v="0"/>
    <n v="-2334.53379"/>
    <n v="57.989170000000001"/>
    <n v="0"/>
    <n v="0"/>
    <n v="-2269.7094998067287"/>
    <n v="0"/>
    <n v="0"/>
    <n v="0"/>
    <n v="0"/>
    <n v="0"/>
    <n v="0"/>
    <n v="0"/>
    <n v="0"/>
    <n v="0"/>
    <n v="0"/>
    <n v="0"/>
    <n v="0"/>
    <n v="53.91104258092293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59"/>
    <s v="Regular"/>
    <s v="Verde"/>
    <s v="A4"/>
    <s v="Rural"/>
    <s v="Não se aplica"/>
    <s v="Não se aplica"/>
    <s v="Não se aplica"/>
    <s v="Fora ponta"/>
    <s v="CATIVO"/>
    <x v="11"/>
    <n v="0"/>
    <n v="0"/>
    <n v="815.87199999999996"/>
    <n v="783.23712"/>
    <n v="815.87199999999996"/>
    <n v="783.23712"/>
    <m/>
    <n v="95.29"/>
    <n v="159.41"/>
    <m/>
    <n v="207802.59839999999"/>
    <n v="207802.59839999999"/>
    <n v="225923.11551999999"/>
    <n v="0"/>
    <n v="43987.019320144173"/>
    <n v="0"/>
    <n v="0"/>
    <n v="0"/>
    <n v="0"/>
    <n v="0"/>
    <n v="125832.52330615766"/>
    <n v="4227.6424826518614"/>
    <n v="0"/>
    <n v="0"/>
    <n v="0"/>
    <n v="0"/>
    <n v="7812.8354311206831"/>
    <m/>
    <n v="876.02900331655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4.2731729769575"/>
    <n v="0"/>
    <n v="0"/>
    <n v="0"/>
    <n v="0"/>
    <n v="0"/>
    <m/>
    <m/>
    <m/>
    <m/>
    <m/>
    <n v="9036.9246207999859"/>
    <m/>
    <m/>
    <m/>
    <n v="130066.79647913462"/>
    <m/>
    <m/>
    <m/>
    <m/>
    <m/>
    <m/>
    <m/>
    <m/>
    <m/>
    <m/>
    <m/>
    <m/>
    <n v="216886.98839999997"/>
    <n v="17396.463935999956"/>
    <m/>
    <m/>
    <m/>
    <m/>
    <n v="-4291.4867200000035"/>
    <n v="22412.003839999998"/>
    <n v="30"/>
    <n v="18117.938319601177"/>
    <n v="0"/>
    <n v="0"/>
    <n v="0"/>
    <n v="0"/>
    <n v="0"/>
    <n v="0"/>
    <n v="0"/>
    <n v="0"/>
    <n v="0"/>
    <n v="0"/>
    <n v="24949.19128392484"/>
    <n v="0"/>
    <n v="0"/>
    <n v="0"/>
    <n v="839.54202431402791"/>
    <n v="0"/>
    <n v="-3080.9376084264441"/>
    <m/>
    <n v="0"/>
    <n v="0"/>
    <n v="0"/>
    <n v="0"/>
    <n v="-476.67184726473988"/>
    <n v="-55.818453179512971"/>
    <n v="0"/>
    <n v="-4057.3670797670238"/>
    <m/>
    <m/>
    <m/>
    <n v="0"/>
    <n v="0"/>
    <n v="0"/>
    <n v="-4291.4867200000008"/>
    <n v="22412.003840000005"/>
    <n v="0"/>
    <n v="0"/>
    <n v="0"/>
    <n v="0"/>
    <n v="0"/>
    <n v="0"/>
    <n v="0"/>
    <n v="0"/>
    <n v="0"/>
    <n v="0"/>
    <n v="0"/>
    <n v="0"/>
    <n v="0"/>
    <n v="0"/>
    <n v="0"/>
    <n v="20835.86458199087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60"/>
    <s v="Sistema de Compensação"/>
    <s v="Verde"/>
    <s v="A4"/>
    <s v="Rural"/>
    <s v="Não se aplica"/>
    <s v="Não se aplica"/>
    <s v="Não se aplica"/>
    <s v="Fora ponta"/>
    <s v="CATIVO"/>
    <x v="11"/>
    <n v="0"/>
    <n v="0"/>
    <n v="29.731999999999999"/>
    <n v="28.542719999999999"/>
    <n v="29.731999999999999"/>
    <n v="28.542719999999999"/>
    <m/>
    <n v="95.29"/>
    <n v="159.41"/>
    <m/>
    <n v="7572.7404000000006"/>
    <n v="7572.7404000000006"/>
    <n v="8233.0881200000003"/>
    <n v="0"/>
    <n v="1602.9745578062816"/>
    <n v="0"/>
    <n v="0"/>
    <n v="0"/>
    <n v="0"/>
    <n v="0"/>
    <n v="4585.5876693141563"/>
    <n v="154.06370888350764"/>
    <n v="0"/>
    <n v="0"/>
    <n v="0"/>
    <n v="0"/>
    <n v="284.71527768826502"/>
    <m/>
    <n v="31.924240967465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.30534443999903"/>
    <n v="0"/>
    <n v="0"/>
    <n v="0"/>
    <n v="0"/>
    <n v="0"/>
    <m/>
    <m/>
    <m/>
    <m/>
    <m/>
    <n v="329.32352480000003"/>
    <m/>
    <m/>
    <m/>
    <n v="4739.8930137541556"/>
    <m/>
    <m/>
    <m/>
    <m/>
    <m/>
    <m/>
    <m/>
    <m/>
    <m/>
    <m/>
    <m/>
    <m/>
    <n v="7903.0113999999994"/>
    <n v="633.15061599999899"/>
    <m/>
    <m/>
    <m/>
    <m/>
    <n v="-156.39032000000014"/>
    <n v="816.73803999999996"/>
    <n v="30"/>
    <n v="660.25374337933135"/>
    <n v="0"/>
    <n v="0"/>
    <n v="0"/>
    <n v="0"/>
    <n v="0"/>
    <n v="0"/>
    <n v="0"/>
    <n v="0"/>
    <n v="0"/>
    <n v="0"/>
    <n v="909.19820174445704"/>
    <n v="0"/>
    <n v="0"/>
    <n v="0"/>
    <n v="30.594582810667248"/>
    <n v="0"/>
    <n v="-112.27550029138752"/>
    <m/>
    <n v="0"/>
    <n v="0"/>
    <n v="0"/>
    <n v="0"/>
    <n v="-17.370871120562128"/>
    <n v="-2.0341355628496629"/>
    <n v="0"/>
    <n v="-147.85853420099374"/>
    <m/>
    <m/>
    <m/>
    <n v="0"/>
    <n v="0"/>
    <n v="0"/>
    <n v="-156.39031999999997"/>
    <n v="816.73803999999927"/>
    <n v="0"/>
    <n v="0"/>
    <n v="0"/>
    <n v="0"/>
    <n v="0"/>
    <n v="0"/>
    <n v="0"/>
    <n v="0"/>
    <n v="0"/>
    <n v="0"/>
    <n v="0"/>
    <n v="0"/>
    <n v="0"/>
    <n v="0"/>
    <n v="0"/>
    <n v="759.3003875016581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61"/>
    <s v="Regular"/>
    <s v="Verde"/>
    <s v="A4"/>
    <s v="Rural"/>
    <s v="Não se aplica"/>
    <s v="Não se aplica"/>
    <s v="Não se aplica"/>
    <s v="Não se aplica"/>
    <s v="CATIVO"/>
    <x v="11"/>
    <n v="3578"/>
    <n v="3434.88"/>
    <n v="0"/>
    <n v="0"/>
    <n v="0"/>
    <n v="0"/>
    <n v="43.29"/>
    <m/>
    <m/>
    <n v="154891.62"/>
    <m/>
    <n v="154891.62"/>
    <n v="119827.22"/>
    <n v="0"/>
    <n v="0"/>
    <n v="0"/>
    <n v="0"/>
    <n v="0"/>
    <n v="84669.746052891162"/>
    <n v="70233.231459441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17.59"/>
    <n v="4680.88"/>
    <n v="108.84"/>
    <n v="22"/>
    <m/>
    <m/>
    <m/>
    <m/>
    <m/>
    <n v="4793.0887999999968"/>
    <m/>
    <m/>
    <m/>
    <n v="0"/>
    <m/>
    <m/>
    <m/>
    <m/>
    <m/>
    <m/>
    <m/>
    <m/>
    <m/>
    <m/>
    <m/>
    <m/>
    <n v="115034.1312"/>
    <n v="-33661.854000000021"/>
    <m/>
    <m/>
    <m/>
    <m/>
    <n v="-35064.399999999987"/>
    <n v="0"/>
    <n v="30"/>
    <n v="800.25599957806116"/>
    <n v="0"/>
    <n v="0"/>
    <n v="0"/>
    <n v="0"/>
    <m/>
    <m/>
    <m/>
    <n v="3824.7003132310492"/>
    <n v="0"/>
    <n v="0"/>
    <m/>
    <m/>
    <n v="0"/>
    <n v="0"/>
    <n v="0"/>
    <n v="0"/>
    <n v="0"/>
    <m/>
    <n v="0"/>
    <n v="0"/>
    <m/>
    <n v="0"/>
    <n v="0"/>
    <n v="0"/>
    <n v="0"/>
    <n v="-3024.4443136529876"/>
    <m/>
    <m/>
    <n v="70233.23145944158"/>
    <m/>
    <n v="0"/>
    <n v="0"/>
    <n v="-35064.399999999994"/>
    <m/>
    <n v="0"/>
    <m/>
    <n v="-35875.2977548265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62"/>
    <s v="Sistema de Compensação"/>
    <s v="Verde"/>
    <s v="A4"/>
    <s v="Rural"/>
    <s v="Não se aplica"/>
    <s v="Não se aplica"/>
    <s v="Não se aplica"/>
    <s v="Não se aplica"/>
    <s v="CATIVO"/>
    <x v="11"/>
    <n v="364"/>
    <n v="349.44"/>
    <n v="0"/>
    <n v="0"/>
    <n v="0"/>
    <n v="0"/>
    <n v="43.29"/>
    <m/>
    <m/>
    <n v="15757.56"/>
    <m/>
    <n v="15757.56"/>
    <n v="12190.36"/>
    <n v="0"/>
    <n v="0"/>
    <n v="0"/>
    <n v="0"/>
    <n v="0"/>
    <n v="8613.6913256714324"/>
    <n v="7145.02410599126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9.86"/>
    <n v="275.39"/>
    <n v="16.239999999999998"/>
    <n v="3"/>
    <m/>
    <m/>
    <m/>
    <m/>
    <m/>
    <n v="487.6144000000001"/>
    <m/>
    <m/>
    <m/>
    <n v="0"/>
    <m/>
    <m/>
    <m/>
    <m/>
    <m/>
    <m/>
    <m/>
    <m/>
    <m/>
    <m/>
    <m/>
    <m/>
    <n v="11702.7456"/>
    <n v="-3424.5419999999995"/>
    <m/>
    <m/>
    <m/>
    <m/>
    <n v="-3567.1999999999989"/>
    <n v="0"/>
    <n v="30"/>
    <n v="81.412292858136425"/>
    <n v="0"/>
    <n v="0"/>
    <n v="0"/>
    <n v="0"/>
    <m/>
    <m/>
    <m/>
    <n v="389.09751649415921"/>
    <n v="0"/>
    <n v="0"/>
    <m/>
    <m/>
    <n v="0"/>
    <n v="0"/>
    <n v="0"/>
    <n v="0"/>
    <n v="0"/>
    <m/>
    <n v="0"/>
    <n v="0"/>
    <m/>
    <n v="0"/>
    <n v="0"/>
    <n v="0"/>
    <n v="0"/>
    <n v="-307.68522363602222"/>
    <m/>
    <m/>
    <n v="7145.0241059912623"/>
    <m/>
    <n v="0"/>
    <n v="0"/>
    <n v="-3567.1999999999989"/>
    <m/>
    <n v="0"/>
    <m/>
    <n v="-3649.694908540204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63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289.82100000000003"/>
    <n v="289.82100000000003"/>
    <n v="289.82100000000003"/>
    <n v="289.82100000000003"/>
    <m/>
    <n v="648.44000000000005"/>
    <n v="159.41"/>
    <m/>
    <n v="234131.89485000004"/>
    <n v="234131.89485000004"/>
    <n v="177318.28422"/>
    <n v="0"/>
    <n v="17960.280007839174"/>
    <n v="0"/>
    <n v="0"/>
    <n v="0"/>
    <n v="33806.004249163707"/>
    <n v="121013.59659590146"/>
    <n v="44699.300548509964"/>
    <n v="1501.7791662964844"/>
    <n v="0"/>
    <n v="0"/>
    <n v="0"/>
    <n v="0"/>
    <n v="2775.3419378074354"/>
    <m/>
    <n v="601.406293619078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67.3761346351648"/>
    <n v="0"/>
    <n v="447.68"/>
    <n v="2068.23"/>
    <n v="55548.9"/>
    <n v="362"/>
    <m/>
    <m/>
    <m/>
    <m/>
    <m/>
    <m/>
    <m/>
    <m/>
    <m/>
    <n v="47966.676683145131"/>
    <m/>
    <m/>
    <m/>
    <m/>
    <m/>
    <m/>
    <m/>
    <m/>
    <m/>
    <m/>
    <m/>
    <m/>
    <n v="177317.67239999998"/>
    <n v="-56814.252450000087"/>
    <m/>
    <m/>
    <m/>
    <m/>
    <n v="-64774.993500000026"/>
    <n v="7961.3828700000004"/>
    <n v="30"/>
    <n v="5000.5767553161277"/>
    <n v="0"/>
    <n v="0"/>
    <n v="0"/>
    <n v="0"/>
    <n v="0"/>
    <n v="0"/>
    <n v="0"/>
    <n v="1527.0842428191754"/>
    <n v="0"/>
    <n v="0"/>
    <n v="8862.6642011227086"/>
    <n v="0"/>
    <n v="0"/>
    <n v="0"/>
    <n v="647.83245251472272"/>
    <n v="0"/>
    <n v="-1257.9734428306656"/>
    <m/>
    <n v="0"/>
    <n v="0"/>
    <n v="0"/>
    <n v="0"/>
    <n v="-169.32743303620464"/>
    <n v="-38.320157112552351"/>
    <n v="0"/>
    <n v="-4571.3831081610524"/>
    <m/>
    <m/>
    <m/>
    <n v="121013.59659590146"/>
    <n v="0"/>
    <n v="0"/>
    <n v="-64774.993500000026"/>
    <n v="7961.3828700000013"/>
    <n v="0"/>
    <n v="0"/>
    <n v="-61814.026210192213"/>
    <n v="0"/>
    <n v="0"/>
    <n v="0"/>
    <n v="0"/>
    <n v="0"/>
    <n v="0"/>
    <n v="0"/>
    <n v="0"/>
    <n v="0"/>
    <n v="0"/>
    <n v="0"/>
    <n v="0"/>
    <n v="8507.463517233578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64"/>
    <s v="Regular"/>
    <s v="Azul"/>
    <s v="A4"/>
    <s v="Poder público"/>
    <s v="Não se aplica"/>
    <s v="Não se aplica"/>
    <s v="Não se aplica"/>
    <s v="Ponta"/>
    <s v="CATIVO"/>
    <x v="11"/>
    <n v="200"/>
    <n v="200"/>
    <n v="4.492"/>
    <n v="4.492"/>
    <n v="4.492"/>
    <n v="4.492"/>
    <n v="112.91"/>
    <n v="95.29"/>
    <n v="159.41"/>
    <n v="22582"/>
    <n v="1144.1124"/>
    <n v="23726.112399999998"/>
    <n v="14671.879719999999"/>
    <n v="0"/>
    <n v="242.18221827209123"/>
    <n v="0"/>
    <n v="0"/>
    <n v="0"/>
    <n v="5077.0827132346003"/>
    <n v="17504.269107723037"/>
    <n v="692.8043794752856"/>
    <n v="23.27640859359331"/>
    <n v="0"/>
    <n v="0"/>
    <n v="0"/>
    <n v="0"/>
    <n v="43.01564063553365"/>
    <m/>
    <n v="4.82321036007851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312915620357717"/>
    <n v="0"/>
    <n v="0"/>
    <n v="0"/>
    <n v="0"/>
    <n v="0"/>
    <m/>
    <m/>
    <m/>
    <m/>
    <m/>
    <m/>
    <m/>
    <m/>
    <m/>
    <n v="716.11729509564327"/>
    <m/>
    <m/>
    <m/>
    <m/>
    <m/>
    <m/>
    <m/>
    <m/>
    <m/>
    <m/>
    <m/>
    <m/>
    <n v="14671.325900000002"/>
    <n v="-9054.8164999999917"/>
    <m/>
    <m/>
    <m/>
    <m/>
    <n v="-9177.6279200000008"/>
    <n v="123.39524"/>
    <n v="30"/>
    <n v="-111.80058456088409"/>
    <n v="0"/>
    <n v="0"/>
    <n v="0"/>
    <n v="0"/>
    <n v="0"/>
    <n v="0"/>
    <n v="0"/>
    <n v="229.34189304735992"/>
    <n v="0"/>
    <n v="0"/>
    <n v="137.36439937562568"/>
    <n v="0"/>
    <n v="0"/>
    <n v="0"/>
    <n v="4.6223216058629504"/>
    <n v="0"/>
    <n v="-16.962920331928984"/>
    <m/>
    <n v="0"/>
    <n v="0"/>
    <n v="0"/>
    <n v="0"/>
    <n v="-2.6244434640644769"/>
    <n v="-0.30732331993544548"/>
    <n v="0"/>
    <n v="-463.23451147380337"/>
    <m/>
    <m/>
    <n v="17504.269107723037"/>
    <n v="0"/>
    <n v="0"/>
    <n v="0"/>
    <n v="-9177.627919999999"/>
    <n v="123.39524000000006"/>
    <n v="0"/>
    <n v="0"/>
    <n v="-8941.2213160491574"/>
    <n v="0"/>
    <n v="0"/>
    <n v="0"/>
    <n v="0"/>
    <n v="0"/>
    <n v="0"/>
    <n v="0"/>
    <n v="0"/>
    <n v="0"/>
    <n v="0"/>
    <n v="0"/>
    <n v="0"/>
    <n v="114.7173866762225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65"/>
    <s v="Regular"/>
    <s v="Azul"/>
    <s v="A4"/>
    <s v="Poder público"/>
    <s v="Não se aplica"/>
    <s v="Não se aplica"/>
    <s v="Não se aplica"/>
    <s v="Fora ponta"/>
    <s v="CATIVO"/>
    <x v="11"/>
    <n v="230"/>
    <n v="230"/>
    <n v="27.428999999999998"/>
    <n v="27.428999999999998"/>
    <n v="27.428999999999998"/>
    <n v="27.428999999999998"/>
    <n v="43.29"/>
    <n v="95.29"/>
    <n v="159.41"/>
    <n v="9956.6999999999989"/>
    <n v="6986.166299999999"/>
    <n v="16942.866299999998"/>
    <n v="15298.06439"/>
    <n v="0"/>
    <n v="1478.8103439414938"/>
    <n v="0"/>
    <n v="0"/>
    <n v="0"/>
    <n v="5442.71704644074"/>
    <n v="4514.7130340054682"/>
    <n v="4230.3943287238662"/>
    <n v="142.13014499413867"/>
    <n v="0"/>
    <n v="0"/>
    <n v="0"/>
    <n v="0"/>
    <n v="262.66162221550587"/>
    <m/>
    <n v="29.4514329845489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3530637913606"/>
    <n v="0"/>
    <n v="0"/>
    <n v="0"/>
    <n v="0"/>
    <n v="0"/>
    <m/>
    <m/>
    <m/>
    <m/>
    <m/>
    <m/>
    <m/>
    <m/>
    <m/>
    <n v="4372.7473925152271"/>
    <m/>
    <m/>
    <m/>
    <m/>
    <m/>
    <m/>
    <m/>
    <m/>
    <m/>
    <m/>
    <m/>
    <m/>
    <n v="15298.3413"/>
    <n v="-1644.5549999999967"/>
    <m/>
    <m/>
    <m/>
    <m/>
    <n v="-2398.2765399999998"/>
    <n v="753.47462999999993"/>
    <n v="30"/>
    <n v="660.55322607903145"/>
    <n v="0"/>
    <n v="0"/>
    <n v="0"/>
    <n v="0"/>
    <n v="0"/>
    <n v="0"/>
    <n v="0"/>
    <n v="245.85832086169376"/>
    <n v="0"/>
    <n v="0"/>
    <n v="838.77295424622389"/>
    <n v="0"/>
    <n v="0"/>
    <n v="0"/>
    <n v="28.224768327518888"/>
    <n v="0"/>
    <n v="-103.5787938077649"/>
    <m/>
    <n v="0"/>
    <n v="0"/>
    <n v="0"/>
    <n v="0"/>
    <n v="-16.025347234155049"/>
    <n v="-1.8765742080385905"/>
    <n v="0"/>
    <n v="-330.82210210644445"/>
    <m/>
    <m/>
    <n v="4514.7130340054682"/>
    <n v="0"/>
    <n v="0"/>
    <n v="0"/>
    <n v="-2398.2765399999971"/>
    <n v="753.47462999999971"/>
    <n v="0"/>
    <n v="0"/>
    <n v="-2306.1259037479317"/>
    <n v="0"/>
    <n v="0"/>
    <n v="0"/>
    <n v="0"/>
    <n v="0"/>
    <n v="0"/>
    <n v="0"/>
    <n v="0"/>
    <n v="0"/>
    <n v="0"/>
    <n v="0"/>
    <n v="0"/>
    <n v="700.4860193994006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66"/>
    <s v="Regular"/>
    <s v="Azul"/>
    <s v="A4"/>
    <s v="Poder público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5.989999999999995"/>
    <n v="349.55"/>
    <n v="5174.0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67"/>
    <s v="Regular"/>
    <s v="Verde"/>
    <s v="A4"/>
    <s v="Poder público"/>
    <s v="Não se aplica"/>
    <s v="Não se aplica"/>
    <s v="Não se aplica"/>
    <s v="Ponta"/>
    <s v="CATIVO"/>
    <x v="11"/>
    <n v="0"/>
    <n v="0"/>
    <n v="0.42299999999999999"/>
    <n v="0.42299999999999999"/>
    <n v="0.42299999999999999"/>
    <n v="0.42299999999999999"/>
    <m/>
    <n v="2810.7"/>
    <n v="159.41"/>
    <m/>
    <n v="1256.35653"/>
    <n v="1256.35653"/>
    <n v="800.18486999999993"/>
    <n v="0"/>
    <n v="22.805671934348752"/>
    <n v="0"/>
    <n v="0"/>
    <n v="0"/>
    <n v="258.24809600256691"/>
    <n v="890.36800643046331"/>
    <n v="65.239593169645104"/>
    <n v="2.1918790817208302"/>
    <n v="0"/>
    <n v="0"/>
    <n v="0"/>
    <n v="0"/>
    <n v="4.0506714133639212"/>
    <m/>
    <n v="0.45418922135200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953168538315482"/>
    <n v="0"/>
    <n v="0"/>
    <n v="0"/>
    <n v="0"/>
    <n v="0"/>
    <m/>
    <m/>
    <m/>
    <m/>
    <m/>
    <m/>
    <m/>
    <m/>
    <m/>
    <n v="67.434910023476647"/>
    <m/>
    <m/>
    <m/>
    <m/>
    <m/>
    <m/>
    <m/>
    <m/>
    <m/>
    <m/>
    <m/>
    <m/>
    <n v="794.50979999999993"/>
    <n v="-461.87673000000007"/>
    <m/>
    <m/>
    <m/>
    <m/>
    <n v="-467.79146999999995"/>
    <n v="11.619809999999999"/>
    <n v="30"/>
    <n v="-1.36738852886009"/>
    <n v="0"/>
    <n v="0"/>
    <n v="0"/>
    <n v="0"/>
    <n v="0"/>
    <n v="0"/>
    <n v="0"/>
    <n v="11.665578553351963"/>
    <n v="0"/>
    <n v="0"/>
    <n v="12.93524954049191"/>
    <n v="0"/>
    <n v="0"/>
    <n v="0"/>
    <n v="0.4352720479252068"/>
    <n v="0"/>
    <n v="-1.5973542520939361"/>
    <m/>
    <n v="0"/>
    <n v="0"/>
    <n v="0"/>
    <n v="0"/>
    <n v="-0.24713704036047979"/>
    <n v="-2.893984067958455E-2"/>
    <n v="0"/>
    <n v="-24.530057537495164"/>
    <m/>
    <m/>
    <m/>
    <n v="890.36800643046331"/>
    <n v="0"/>
    <n v="0"/>
    <n v="-467.79147"/>
    <n v="11.619810000000001"/>
    <n v="0"/>
    <n v="0"/>
    <n v="-454.80204567420463"/>
    <n v="0"/>
    <n v="0"/>
    <n v="0"/>
    <n v="0"/>
    <n v="0"/>
    <n v="0"/>
    <n v="0"/>
    <n v="0"/>
    <n v="0"/>
    <n v="0"/>
    <n v="0"/>
    <n v="0"/>
    <n v="10.80263903919014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68"/>
    <s v="Regular"/>
    <s v="Verde"/>
    <s v="A4"/>
    <s v="Poder público"/>
    <s v="Não se aplica"/>
    <s v="Não se aplica"/>
    <s v="Não se aplica"/>
    <s v="Fora ponta"/>
    <s v="CATIVO"/>
    <x v="11"/>
    <n v="0"/>
    <n v="0"/>
    <n v="3.7530000000000001"/>
    <n v="3.7530000000000001"/>
    <n v="3.7530000000000001"/>
    <n v="3.7530000000000001"/>
    <m/>
    <n v="95.29"/>
    <n v="159.41"/>
    <m/>
    <n v="955.88909999999998"/>
    <n v="955.88909999999998"/>
    <n v="1039.24323"/>
    <n v="0"/>
    <n v="202.33968503454108"/>
    <n v="0"/>
    <n v="0"/>
    <n v="0"/>
    <n v="0"/>
    <n v="0"/>
    <n v="578.82787982429807"/>
    <n v="19.447097384629497"/>
    <n v="0"/>
    <n v="0"/>
    <n v="0"/>
    <n v="0"/>
    <n v="35.938935731335221"/>
    <m/>
    <n v="4.02972138944227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477598469101185"/>
    <n v="0"/>
    <n v="0"/>
    <n v="0"/>
    <n v="0"/>
    <n v="0"/>
    <m/>
    <m/>
    <m/>
    <m/>
    <m/>
    <m/>
    <m/>
    <m/>
    <m/>
    <n v="598.30547829339923"/>
    <m/>
    <m/>
    <m/>
    <m/>
    <m/>
    <m/>
    <m/>
    <m/>
    <m/>
    <m/>
    <m/>
    <m/>
    <n v="1038.4124999999999"/>
    <n v="82.493399999999951"/>
    <m/>
    <m/>
    <m/>
    <m/>
    <n v="-19.740780000000019"/>
    <n v="103.09491"/>
    <n v="30"/>
    <n v="83.34226755356633"/>
    <n v="0"/>
    <n v="0"/>
    <n v="0"/>
    <n v="0"/>
    <n v="0"/>
    <n v="0"/>
    <n v="0"/>
    <n v="0"/>
    <n v="0"/>
    <n v="0"/>
    <n v="114.76593741244949"/>
    <n v="0"/>
    <n v="0"/>
    <n v="0"/>
    <n v="3.8618817869108746"/>
    <n v="0"/>
    <n v="-14.172270704748342"/>
    <m/>
    <n v="0"/>
    <n v="0"/>
    <n v="0"/>
    <n v="0"/>
    <n v="-2.1926839538365996"/>
    <n v="-0.25676411836993118"/>
    <n v="0"/>
    <n v="-18.663832868839279"/>
    <m/>
    <m/>
    <m/>
    <n v="0"/>
    <n v="0"/>
    <n v="0"/>
    <n v="-19.740780000000029"/>
    <n v="103.09491000000003"/>
    <n v="0"/>
    <n v="0"/>
    <n v="0"/>
    <n v="0"/>
    <n v="0"/>
    <n v="0"/>
    <n v="0"/>
    <n v="0"/>
    <n v="0"/>
    <n v="0"/>
    <n v="0"/>
    <n v="0"/>
    <n v="0"/>
    <n v="0"/>
    <n v="0"/>
    <n v="95.84469104983597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69"/>
    <s v="Regular"/>
    <s v="Verde"/>
    <s v="A4"/>
    <s v="Poder público"/>
    <s v="Não se aplica"/>
    <s v="Não se aplica"/>
    <s v="Não se aplica"/>
    <s v="Não se aplica"/>
    <s v="CATIVO"/>
    <x v="11"/>
    <n v="45"/>
    <n v="45"/>
    <n v="0"/>
    <n v="0"/>
    <n v="0"/>
    <n v="0"/>
    <n v="43.29"/>
    <m/>
    <m/>
    <n v="1948.05"/>
    <m/>
    <n v="1948.05"/>
    <n v="1507.0500000000002"/>
    <n v="0"/>
    <n v="0"/>
    <n v="0"/>
    <n v="0"/>
    <n v="0"/>
    <n v="1064.8794221297101"/>
    <n v="883.313419696722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.49"/>
    <n v="39.03"/>
    <n v="0"/>
    <n v="1"/>
    <m/>
    <m/>
    <m/>
    <m/>
    <m/>
    <m/>
    <m/>
    <m/>
    <m/>
    <n v="0"/>
    <m/>
    <m/>
    <m/>
    <m/>
    <m/>
    <m/>
    <m/>
    <m/>
    <m/>
    <m/>
    <m/>
    <m/>
    <n v="1507.0500000000002"/>
    <n v="-441.02999999999975"/>
    <m/>
    <m/>
    <m/>
    <m/>
    <n v="-440.99999999999989"/>
    <n v="0"/>
    <n v="30"/>
    <n v="10.064706534659763"/>
    <n v="0"/>
    <n v="0"/>
    <n v="0"/>
    <n v="0"/>
    <m/>
    <m/>
    <m/>
    <n v="48.102714951201051"/>
    <n v="0"/>
    <n v="0"/>
    <m/>
    <m/>
    <n v="0"/>
    <n v="0"/>
    <n v="0"/>
    <n v="0"/>
    <n v="0"/>
    <m/>
    <n v="0"/>
    <n v="0"/>
    <m/>
    <n v="0"/>
    <n v="0"/>
    <n v="0"/>
    <n v="0"/>
    <n v="-38.03800841654121"/>
    <m/>
    <m/>
    <n v="883.31341969672201"/>
    <m/>
    <n v="0"/>
    <n v="0"/>
    <n v="-440.99999999999977"/>
    <m/>
    <n v="0"/>
    <m/>
    <n v="-451.1985463854648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70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511.149"/>
    <n v="511.149"/>
    <n v="511.149"/>
    <n v="511.149"/>
    <m/>
    <n v="356.64"/>
    <n v="87.68"/>
    <m/>
    <n v="227113.72368"/>
    <n v="227113.72368"/>
    <n v="172001.6385"/>
    <n v="0"/>
    <n v="17421.817401602519"/>
    <n v="0"/>
    <n v="0"/>
    <n v="0"/>
    <n v="32792.474997587007"/>
    <n v="117385.51860465281"/>
    <n v="43359.182139453849"/>
    <n v="1456.754705457178"/>
    <n v="0"/>
    <n v="0"/>
    <n v="0"/>
    <n v="0"/>
    <n v="2692.1351140620682"/>
    <m/>
    <n v="583.375683844181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9.4177582488796"/>
    <n v="0"/>
    <n v="435.91"/>
    <n v="2006.12"/>
    <n v="43610.78"/>
    <n v="62"/>
    <m/>
    <m/>
    <m/>
    <m/>
    <m/>
    <m/>
    <m/>
    <m/>
    <m/>
    <n v="46528.599897702727"/>
    <m/>
    <m/>
    <m/>
    <m/>
    <m/>
    <m/>
    <m/>
    <m/>
    <m/>
    <m/>
    <m/>
    <m/>
    <n v="172001.97499999998"/>
    <n v="-55111.778680000047"/>
    <m/>
    <m/>
    <m/>
    <m/>
    <n v="-62830.435079999996"/>
    <n v="7718.3498999999974"/>
    <n v="30"/>
    <n v="4850.6557300771383"/>
    <n v="0"/>
    <n v="0"/>
    <n v="0"/>
    <n v="0"/>
    <n v="0"/>
    <n v="0"/>
    <n v="0"/>
    <n v="1481.3011168895173"/>
    <n v="0"/>
    <n v="0"/>
    <n v="8596.9549102957026"/>
    <n v="0"/>
    <n v="0"/>
    <n v="0"/>
    <n v="628.40995182800998"/>
    <n v="0"/>
    <n v="-1220.2584596395918"/>
    <m/>
    <n v="0"/>
    <n v="0"/>
    <n v="0"/>
    <n v="0"/>
    <n v="-164.25087015075724"/>
    <n v="-37.171290187251543"/>
    <n v="0"/>
    <n v="-4434.3296289584823"/>
    <m/>
    <m/>
    <m/>
    <n v="117385.51860465281"/>
    <n v="0"/>
    <n v="0"/>
    <n v="-62830.435079999981"/>
    <n v="7718.3499000000011"/>
    <n v="0"/>
    <n v="0"/>
    <n v="-59960.795545603331"/>
    <n v="0"/>
    <n v="0"/>
    <n v="0"/>
    <n v="0"/>
    <n v="0"/>
    <n v="0"/>
    <n v="0"/>
    <n v="0"/>
    <n v="0"/>
    <n v="0"/>
    <n v="0"/>
    <n v="0"/>
    <n v="8252.4034081509853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71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40.664999999999999"/>
    <n v="38.225099999999998"/>
    <n v="40.664999999999999"/>
    <n v="38.225099999999998"/>
    <m/>
    <n v="648.44000000000005"/>
    <n v="159.41"/>
    <m/>
    <n v="32851.220249999998"/>
    <n v="32851.220249999998"/>
    <n v="24879.6603"/>
    <n v="0"/>
    <n v="2520.0202418692224"/>
    <n v="0"/>
    <n v="0"/>
    <n v="0"/>
    <n v="4743.3455919075641"/>
    <n v="16979.507715356485"/>
    <n v="6271.7920951385768"/>
    <n v="210.71575143777204"/>
    <n v="0"/>
    <n v="0"/>
    <n v="0"/>
    <n v="0"/>
    <n v="389.41029083792876"/>
    <m/>
    <n v="84.383764220052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8.44797483598137"/>
    <n v="0"/>
    <n v="59.22"/>
    <n v="272.77999999999997"/>
    <n v="8410.8799999999992"/>
    <n v="13"/>
    <m/>
    <m/>
    <m/>
    <m/>
    <n v="1492.7796180000009"/>
    <m/>
    <m/>
    <m/>
    <m/>
    <n v="6730.2400699745585"/>
    <m/>
    <m/>
    <m/>
    <m/>
    <m/>
    <m/>
    <m/>
    <m/>
    <m/>
    <m/>
    <m/>
    <m/>
    <n v="23389.878599999996"/>
    <n v="-7490.298434999997"/>
    <m/>
    <m/>
    <m/>
    <m/>
    <n v="-9088.6275000000023"/>
    <n v="1117.06755"/>
    <n v="30"/>
    <n v="701.63464260674664"/>
    <n v="0"/>
    <n v="0"/>
    <n v="0"/>
    <n v="0"/>
    <n v="0"/>
    <n v="0"/>
    <n v="0"/>
    <n v="214.26632553970103"/>
    <n v="0"/>
    <n v="0"/>
    <n v="1243.5270036976444"/>
    <n v="0"/>
    <n v="0"/>
    <n v="0"/>
    <n v="90.897853093844844"/>
    <n v="0"/>
    <n v="-176.50718910192518"/>
    <m/>
    <n v="0"/>
    <n v="0"/>
    <n v="0"/>
    <n v="0"/>
    <n v="-23.758458028980897"/>
    <n v="-5.3767297365682367"/>
    <n v="0"/>
    <n v="-641.41416285696755"/>
    <m/>
    <m/>
    <m/>
    <n v="16979.507715356485"/>
    <n v="0"/>
    <n v="0"/>
    <n v="-9088.6275000000023"/>
    <n v="1117.0675499999998"/>
    <n v="0"/>
    <n v="0"/>
    <n v="-8673.1719780052717"/>
    <n v="0"/>
    <n v="0"/>
    <n v="0"/>
    <n v="0"/>
    <n v="0"/>
    <n v="0"/>
    <n v="0"/>
    <n v="0"/>
    <n v="0"/>
    <n v="0"/>
    <n v="0"/>
    <n v="0"/>
    <n v="1193.68853163954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72"/>
    <s v="Regular"/>
    <s v="Azul"/>
    <s v="A4"/>
    <s v="Serviço público"/>
    <s v="Água, esgoto e saneamento"/>
    <s v="Não se aplica"/>
    <s v="Não se aplica"/>
    <s v="Ponta"/>
    <s v="CATIVO"/>
    <x v="11"/>
    <n v="708"/>
    <n v="665.52"/>
    <n v="36.845999999999997"/>
    <n v="34.635240000000003"/>
    <n v="36.845999999999997"/>
    <n v="34.635240000000003"/>
    <n v="112.91"/>
    <n v="95.29"/>
    <n v="159.41"/>
    <n v="79940.28"/>
    <n v="9384.6761999999981"/>
    <n v="89324.956200000001"/>
    <n v="57738.145860000004"/>
    <n v="0"/>
    <n v="1986.5195936005061"/>
    <n v="0"/>
    <n v="0"/>
    <n v="0"/>
    <n v="17972.872804850485"/>
    <n v="61965.112641339554"/>
    <n v="5682.7849880112135"/>
    <n v="190.92665873542722"/>
    <n v="0"/>
    <n v="0"/>
    <n v="0"/>
    <n v="0"/>
    <n v="352.83933545344451"/>
    <m/>
    <n v="39.5627802598960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22611062949699"/>
    <n v="0"/>
    <n v="0"/>
    <n v="0"/>
    <n v="0"/>
    <n v="0"/>
    <m/>
    <m/>
    <m/>
    <m/>
    <n v="3464.2887515999996"/>
    <m/>
    <m/>
    <m/>
    <m/>
    <n v="5874.0110986407108"/>
    <m/>
    <m/>
    <m/>
    <m/>
    <m/>
    <m/>
    <m/>
    <m/>
    <m/>
    <m/>
    <m/>
    <m/>
    <n v="54275.175199999998"/>
    <n v="-29690.313627999974"/>
    <m/>
    <m/>
    <m/>
    <m/>
    <n v="-32598.969959999995"/>
    <n v="1012.1596199999999"/>
    <n v="30"/>
    <n v="69.333077248527843"/>
    <n v="0"/>
    <n v="0"/>
    <n v="0"/>
    <n v="0"/>
    <n v="0"/>
    <n v="0"/>
    <n v="0"/>
    <n v="811.87030138765112"/>
    <n v="0"/>
    <n v="0"/>
    <n v="1126.7428003994437"/>
    <n v="0"/>
    <n v="0"/>
    <n v="0"/>
    <n v="37.914973706506288"/>
    <n v="0"/>
    <n v="-139.1397512355868"/>
    <m/>
    <n v="0"/>
    <n v="0"/>
    <n v="0"/>
    <n v="0"/>
    <n v="-21.527213685868162"/>
    <n v="-2.5208448455791341"/>
    <n v="0"/>
    <n v="-1744.0071884780386"/>
    <m/>
    <m/>
    <n v="61965.112641339554"/>
    <n v="0"/>
    <n v="0"/>
    <n v="0"/>
    <n v="-32598.969960000002"/>
    <n v="1012.1596200000004"/>
    <n v="0"/>
    <n v="0"/>
    <n v="-31651.923458814021"/>
    <n v="0"/>
    <n v="0"/>
    <n v="0"/>
    <n v="0"/>
    <n v="0"/>
    <n v="0"/>
    <n v="0"/>
    <n v="0"/>
    <n v="0"/>
    <n v="0"/>
    <n v="0"/>
    <n v="0"/>
    <n v="940.9788133286053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73"/>
    <s v="Regular"/>
    <s v="Azul"/>
    <s v="A4"/>
    <s v="Serviço público"/>
    <s v="Água, esgoto e saneamento"/>
    <s v="Não se aplica"/>
    <s v="Não se aplica"/>
    <s v="Fora ponta"/>
    <s v="CATIVO"/>
    <x v="11"/>
    <n v="718"/>
    <n v="674.92"/>
    <n v="356.12299999999999"/>
    <n v="334.75562000000002"/>
    <n v="356.12299999999999"/>
    <n v="334.75562000000002"/>
    <n v="43.29"/>
    <n v="95.29"/>
    <n v="159.41"/>
    <n v="31082.22"/>
    <n v="90704.528099999996"/>
    <n v="121786.7481"/>
    <n v="122659.83992999999"/>
    <n v="0"/>
    <n v="19200.057461645581"/>
    <n v="0"/>
    <n v="0"/>
    <n v="0"/>
    <n v="16990.742779758486"/>
    <n v="14093.756340938808"/>
    <n v="54925.105528022512"/>
    <n v="1845.3393716777005"/>
    <n v="0"/>
    <n v="0"/>
    <n v="0"/>
    <n v="0"/>
    <n v="3410.2535596723396"/>
    <m/>
    <n v="382.381153842885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48.2336263287291"/>
    <n v="0"/>
    <n v="0"/>
    <n v="0"/>
    <n v="0"/>
    <n v="0"/>
    <m/>
    <m/>
    <m/>
    <m/>
    <n v="7359.5903957999926"/>
    <m/>
    <m/>
    <m/>
    <m/>
    <n v="56773.339154351241"/>
    <m/>
    <m/>
    <m/>
    <m/>
    <m/>
    <m/>
    <m/>
    <m/>
    <m/>
    <m/>
    <m/>
    <m/>
    <n v="115301.4624"/>
    <n v="821.88918600000034"/>
    <m/>
    <m/>
    <m/>
    <m/>
    <n v="-8909.6069800000005"/>
    <n v="9782.6988099999999"/>
    <n v="30"/>
    <n v="8068.9541840985621"/>
    <n v="0"/>
    <n v="0"/>
    <n v="0"/>
    <n v="0"/>
    <n v="0"/>
    <n v="0"/>
    <n v="0"/>
    <n v="767.5055407769396"/>
    <n v="0"/>
    <n v="0"/>
    <n v="10890.165182289827"/>
    <n v="0"/>
    <n v="0"/>
    <n v="0"/>
    <n v="366.45481683987805"/>
    <n v="0"/>
    <n v="-1344.8099014620566"/>
    <m/>
    <n v="0"/>
    <n v="0"/>
    <n v="0"/>
    <n v="0"/>
    <n v="-208.06426530566205"/>
    <n v="-24.364403977152904"/>
    <n v="0"/>
    <n v="-2377.932785063213"/>
    <m/>
    <m/>
    <n v="14093.756340938808"/>
    <n v="0"/>
    <n v="0"/>
    <n v="0"/>
    <n v="-8909.6069800000041"/>
    <n v="9782.6988100000017"/>
    <n v="0"/>
    <n v="0"/>
    <n v="-7199.1234734391937"/>
    <n v="0"/>
    <n v="0"/>
    <n v="0"/>
    <n v="0"/>
    <n v="0"/>
    <n v="0"/>
    <n v="0"/>
    <n v="0"/>
    <n v="0"/>
    <n v="0"/>
    <n v="0"/>
    <n v="0"/>
    <n v="9094.7239303865535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74"/>
    <s v="Regular"/>
    <s v="Azul"/>
    <s v="A4"/>
    <s v="Serviço público"/>
    <s v="Água, esgoto e saneamento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29.96"/>
    <n v="1977.81"/>
    <n v="37006.82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75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4.9539999999999997"/>
    <n v="4.9539999999999997"/>
    <n v="4.9539999999999997"/>
    <n v="4.9539999999999997"/>
    <m/>
    <n v="648.44000000000005"/>
    <n v="159.41"/>
    <m/>
    <n v="4002.0888999999997"/>
    <n v="4002.0888999999997"/>
    <n v="3030.9562799999999"/>
    <n v="0"/>
    <n v="307.0006216210532"/>
    <n v="0"/>
    <n v="0"/>
    <n v="0"/>
    <n v="577.85648745383185"/>
    <n v="2068.5228383591793"/>
    <n v="764.05897059674191"/>
    <n v="25.670375817600458"/>
    <n v="0"/>
    <n v="0"/>
    <n v="0"/>
    <n v="0"/>
    <n v="47.439778207576509"/>
    <m/>
    <n v="10.280023802929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850270929237716"/>
    <n v="0"/>
    <n v="7.67"/>
    <n v="35.35"/>
    <n v="1024.6500000000001"/>
    <n v="5"/>
    <m/>
    <m/>
    <m/>
    <m/>
    <m/>
    <m/>
    <m/>
    <m/>
    <m/>
    <n v="819.90924152597961"/>
    <m/>
    <m/>
    <m/>
    <m/>
    <m/>
    <m/>
    <m/>
    <m/>
    <m/>
    <m/>
    <m/>
    <m/>
    <n v="3028.509"/>
    <n v="-973.60990000000038"/>
    <m/>
    <m/>
    <m/>
    <m/>
    <n v="-1107.2190000000003"/>
    <n v="136.08637999999999"/>
    <n v="30"/>
    <n v="85.476405249571599"/>
    <n v="0"/>
    <n v="0"/>
    <n v="0"/>
    <n v="0"/>
    <n v="0"/>
    <n v="0"/>
    <n v="0"/>
    <n v="26.1029233179313"/>
    <n v="0"/>
    <n v="0"/>
    <n v="151.49226057587919"/>
    <n v="0"/>
    <n v="0"/>
    <n v="0"/>
    <n v="11.073600497403355"/>
    <n v="0"/>
    <n v="-21.502929172776021"/>
    <m/>
    <n v="0"/>
    <n v="0"/>
    <n v="0"/>
    <n v="0"/>
    <n v="-2.8943661889971963"/>
    <n v="-0.65501829865877426"/>
    <n v="0"/>
    <n v="-78.1400654812103"/>
    <m/>
    <m/>
    <m/>
    <n v="2068.5228383591793"/>
    <n v="0"/>
    <n v="0"/>
    <n v="-1107.2190000000001"/>
    <n v="136.08637999999996"/>
    <n v="0"/>
    <n v="0"/>
    <n v="-1056.6062702333238"/>
    <n v="0"/>
    <n v="0"/>
    <n v="0"/>
    <n v="0"/>
    <n v="0"/>
    <n v="0"/>
    <n v="0"/>
    <n v="0"/>
    <n v="0"/>
    <n v="0"/>
    <n v="0"/>
    <n v="0"/>
    <n v="145.4207054160158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76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38"/>
    <n v="25.75"/>
    <n v="298.45999999999998"/>
    <n v="3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77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69"/>
    <n v="3.37"/>
    <n v="45.11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78"/>
    <s v="Regular"/>
    <s v="Convencional"/>
    <s v="B2"/>
    <s v="Rural"/>
    <s v="Agropecuária rural"/>
    <s v="IRRIG./AQUIC."/>
    <s v="Não se aplica"/>
    <s v="Não se aplica"/>
    <s v="CATIVO"/>
    <x v="11"/>
    <n v="0"/>
    <n v="0"/>
    <n v="3.6669999999999998"/>
    <n v="3.6669999999999998"/>
    <n v="3.6669999999999998"/>
    <n v="3.6669999999999998"/>
    <m/>
    <n v="648.44000000000005"/>
    <n v="159.41"/>
    <m/>
    <n v="2962.3859499999999"/>
    <n v="2962.3859499999999"/>
    <n v="2243.54394"/>
    <n v="0"/>
    <n v="227.24490906023456"/>
    <n v="0"/>
    <n v="0"/>
    <n v="0"/>
    <n v="427.73511091909597"/>
    <n v="1531.1411482162114"/>
    <n v="565.56403818697061"/>
    <n v="19.001467122151976"/>
    <n v="0"/>
    <n v="0"/>
    <n v="0"/>
    <n v="0"/>
    <n v="35.115394971171391"/>
    <m/>
    <n v="7.60937571363414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340925211448265"/>
    <n v="0"/>
    <n v="0"/>
    <n v="0"/>
    <n v="0"/>
    <n v="0"/>
    <m/>
    <m/>
    <m/>
    <m/>
    <m/>
    <n v="269.23114000000004"/>
    <m/>
    <m/>
    <m/>
    <n v="606.90496339841889"/>
    <m/>
    <m/>
    <m/>
    <m/>
    <m/>
    <m/>
    <m/>
    <m/>
    <m/>
    <m/>
    <m/>
    <m/>
    <n v="1975.9279999999999"/>
    <n v="-631.00897000000032"/>
    <m/>
    <m/>
    <m/>
    <m/>
    <n v="-819.57450000000017"/>
    <n v="100.73248999999998"/>
    <n v="30"/>
    <n v="63.270484063419417"/>
    <n v="0"/>
    <n v="0"/>
    <n v="0"/>
    <n v="0"/>
    <n v="0"/>
    <n v="0"/>
    <n v="0"/>
    <n v="19.321643077685565"/>
    <n v="0"/>
    <n v="0"/>
    <n v="112.13607580374435"/>
    <n v="0"/>
    <n v="0"/>
    <n v="0"/>
    <n v="8.1967890641861274"/>
    <n v="0"/>
    <n v="-15.916681727204207"/>
    <m/>
    <n v="0"/>
    <n v="0"/>
    <n v="0"/>
    <n v="0"/>
    <n v="-2.1424385981131877"/>
    <n v="-0.48485104989538197"/>
    <n v="0"/>
    <n v="-57.840052506983895"/>
    <m/>
    <m/>
    <m/>
    <n v="1531.1411482162114"/>
    <n v="0"/>
    <n v="0"/>
    <n v="-819.57449999999994"/>
    <n v="100.73248999999998"/>
    <n v="0"/>
    <n v="0"/>
    <n v="-782.11045477303173"/>
    <n v="0"/>
    <n v="0"/>
    <n v="0"/>
    <n v="0"/>
    <n v="0"/>
    <n v="0"/>
    <n v="0"/>
    <n v="0"/>
    <n v="0"/>
    <n v="0"/>
    <n v="0"/>
    <n v="0"/>
    <n v="107.6418503755612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79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.5"/>
    <n v="0.5"/>
    <n v="0.5"/>
    <n v="0.5"/>
    <m/>
    <n v="648.44000000000005"/>
    <n v="159.41"/>
    <m/>
    <n v="403.92500000000001"/>
    <n v="403.92500000000001"/>
    <n v="305.90999999999997"/>
    <n v="0"/>
    <n v="30.985125315003351"/>
    <n v="0"/>
    <n v="0"/>
    <n v="0"/>
    <n v="58.322213105957999"/>
    <n v="208.77299539353851"/>
    <n v="77.115358356554495"/>
    <n v="2.5908736190553552"/>
    <n v="0"/>
    <n v="0"/>
    <n v="0"/>
    <n v="0"/>
    <n v="4.7880276753710653"/>
    <m/>
    <n v="1.0375478202391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6368864482476502"/>
    <n v="0"/>
    <n v="0"/>
    <n v="0"/>
    <n v="0"/>
    <n v="0"/>
    <m/>
    <m/>
    <m/>
    <m/>
    <m/>
    <n v="36.710000000000008"/>
    <m/>
    <m/>
    <m/>
    <n v="82.752244804802146"/>
    <m/>
    <m/>
    <m/>
    <m/>
    <m/>
    <m/>
    <m/>
    <m/>
    <m/>
    <m/>
    <m/>
    <m/>
    <n v="269.2"/>
    <n v="-86.284999999999968"/>
    <m/>
    <m/>
    <m/>
    <m/>
    <n v="-111.75000000000003"/>
    <n v="13.734999999999999"/>
    <n v="30"/>
    <n v="8.627009007829173"/>
    <n v="0"/>
    <n v="0"/>
    <n v="0"/>
    <n v="0"/>
    <n v="0"/>
    <n v="0"/>
    <n v="0"/>
    <n v="2.6345300078655001"/>
    <n v="0"/>
    <n v="0"/>
    <n v="15.289893073867503"/>
    <n v="0"/>
    <n v="0"/>
    <n v="0"/>
    <n v="1.1176423594472498"/>
    <n v="0"/>
    <n v="-2.1702593028639505"/>
    <m/>
    <n v="0"/>
    <n v="0"/>
    <n v="0"/>
    <n v="0"/>
    <n v="-0.29212416118259998"/>
    <n v="-6.6110042254619916E-2"/>
    <n v="0"/>
    <n v="-7.8865629270498898"/>
    <m/>
    <m/>
    <m/>
    <n v="208.77299539353851"/>
    <n v="0"/>
    <n v="0"/>
    <n v="-111.75000000000003"/>
    <n v="13.734999999999999"/>
    <n v="0"/>
    <n v="0"/>
    <n v="-106.6417309480545"/>
    <n v="0"/>
    <n v="0"/>
    <n v="0"/>
    <n v="0"/>
    <n v="0"/>
    <n v="0"/>
    <n v="0"/>
    <n v="0"/>
    <n v="0"/>
    <n v="0"/>
    <n v="0"/>
    <n v="0"/>
    <n v="14.677099860316501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80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1.07"/>
    <n v="0.42799999999999999"/>
    <n v="1.07"/>
    <n v="0.42799999999999999"/>
    <m/>
    <n v="648.44000000000005"/>
    <n v="159.41"/>
    <m/>
    <n v="864.3995000000001"/>
    <n v="864.3995000000001"/>
    <n v="654.64740000000006"/>
    <n v="0"/>
    <n v="66.30816817410718"/>
    <n v="0"/>
    <n v="0"/>
    <n v="0"/>
    <n v="124.80953604675013"/>
    <n v="446.77421014217242"/>
    <n v="165.02686688302663"/>
    <n v="5.54446954477846"/>
    <n v="0"/>
    <n v="0"/>
    <n v="0"/>
    <n v="0"/>
    <n v="10.24637922529408"/>
    <m/>
    <n v="2.22035233531184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062936999249972"/>
    <n v="0"/>
    <n v="0"/>
    <n v="0"/>
    <n v="0"/>
    <n v="0"/>
    <m/>
    <m/>
    <m/>
    <m/>
    <m/>
    <m/>
    <n v="424.21220000000011"/>
    <m/>
    <m/>
    <n v="177.08980388227661"/>
    <m/>
    <m/>
    <m/>
    <m/>
    <m/>
    <m/>
    <m/>
    <m/>
    <m/>
    <m/>
    <m/>
    <m/>
    <n v="231.512"/>
    <n v="-72.78747999999996"/>
    <m/>
    <m/>
    <m/>
    <m/>
    <n v="-239.14500000000007"/>
    <n v="29.392900000000001"/>
    <n v="30"/>
    <n v="18.461799276754391"/>
    <n v="0"/>
    <n v="0"/>
    <n v="0"/>
    <n v="0"/>
    <n v="0"/>
    <n v="0"/>
    <n v="0"/>
    <n v="5.6378942168321799"/>
    <n v="0"/>
    <n v="0"/>
    <n v="32.720371178076448"/>
    <n v="0"/>
    <n v="0"/>
    <n v="0"/>
    <n v="2.3917546492171144"/>
    <n v="0"/>
    <n v="-4.6443549081288609"/>
    <m/>
    <n v="0"/>
    <n v="0"/>
    <n v="0"/>
    <n v="0"/>
    <n v="-0.62514570493076249"/>
    <n v="-0.14147549042488672"/>
    <n v="0"/>
    <n v="-16.877244663886763"/>
    <m/>
    <m/>
    <m/>
    <n v="446.77421014217242"/>
    <n v="0"/>
    <n v="0"/>
    <n v="-239.14500000000004"/>
    <n v="29.392899999999997"/>
    <n v="0"/>
    <n v="0"/>
    <n v="-228.21330422883665"/>
    <n v="0"/>
    <n v="0"/>
    <n v="0"/>
    <n v="0"/>
    <n v="0"/>
    <n v="0"/>
    <n v="0"/>
    <n v="0"/>
    <n v="0"/>
    <n v="0"/>
    <n v="0"/>
    <n v="0"/>
    <n v="31.408993701077314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82"/>
    <s v="Regular"/>
    <s v="Verde"/>
    <s v="A4"/>
    <s v="Rural"/>
    <s v="Agropecuária rural"/>
    <s v="Não se aplica"/>
    <s v="Não se aplica"/>
    <s v="Ponta"/>
    <s v="CATIVO"/>
    <x v="11"/>
    <n v="0"/>
    <n v="0"/>
    <n v="1.1890000000000001"/>
    <n v="1.14144"/>
    <n v="1.1890000000000001"/>
    <n v="1.14144"/>
    <m/>
    <n v="2810.7"/>
    <n v="159.41"/>
    <m/>
    <n v="3531.4607899999996"/>
    <n v="3531.4607899999996"/>
    <n v="2249.2194100000002"/>
    <n v="0"/>
    <n v="64.103886359197801"/>
    <n v="0"/>
    <n v="0"/>
    <n v="0"/>
    <n v="725.90304053676618"/>
    <n v="2502.7129069641155"/>
    <n v="183.3803221718866"/>
    <n v="6.1610974661136346"/>
    <n v="0"/>
    <n v="0"/>
    <n v="0"/>
    <n v="0"/>
    <n v="11.385929812032394"/>
    <m/>
    <n v="1.2766689933511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1707606127794588"/>
    <n v="0"/>
    <n v="0"/>
    <n v="0"/>
    <n v="0"/>
    <n v="0"/>
    <m/>
    <m/>
    <m/>
    <m/>
    <m/>
    <n v="89.968776400000095"/>
    <m/>
    <m/>
    <m/>
    <n v="189.55108278466605"/>
    <m/>
    <m/>
    <m/>
    <m/>
    <m/>
    <m/>
    <m/>
    <m/>
    <m/>
    <m/>
    <m/>
    <m/>
    <n v="2156.5265999999997"/>
    <n v="-1233.7057584000008"/>
    <m/>
    <m/>
    <m/>
    <m/>
    <n v="-1314.9032099999999"/>
    <n v="32.661830000000002"/>
    <n v="30"/>
    <n v="-3.8435578269848065"/>
    <n v="0"/>
    <n v="0"/>
    <n v="0"/>
    <n v="0"/>
    <n v="0"/>
    <n v="0"/>
    <n v="0"/>
    <n v="32.79047966887822"/>
    <n v="0"/>
    <n v="0"/>
    <n v="36.359365729656929"/>
    <n v="0"/>
    <n v="0"/>
    <n v="0"/>
    <n v="1.2234951890852734"/>
    <n v="0"/>
    <n v="-4.4899626613231476"/>
    <m/>
    <n v="0"/>
    <n v="0"/>
    <n v="0"/>
    <n v="0"/>
    <n v="-0.69467125529222251"/>
    <n v="-8.1346266118264898E-2"/>
    <n v="0"/>
    <n v="-68.950918231871754"/>
    <m/>
    <m/>
    <m/>
    <n v="2502.7129069641155"/>
    <n v="0"/>
    <n v="0"/>
    <n v="-1314.9032099999997"/>
    <n v="32.661830000000009"/>
    <n v="0"/>
    <n v="0"/>
    <n v="-1278.3915657367122"/>
    <n v="0"/>
    <n v="0"/>
    <n v="0"/>
    <n v="0"/>
    <n v="0"/>
    <n v="0"/>
    <n v="0"/>
    <n v="0"/>
    <n v="0"/>
    <n v="0"/>
    <n v="0"/>
    <n v="0"/>
    <n v="30.364864817014382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83"/>
    <s v="Refaturamento - Regular"/>
    <s v="Verde"/>
    <s v="A4"/>
    <s v="Rural"/>
    <s v="Agropecuária rural"/>
    <s v="Não se aplica"/>
    <s v="Não se aplica"/>
    <s v="Ponta"/>
    <s v="CATIVO"/>
    <x v="11"/>
    <n v="0"/>
    <n v="0"/>
    <n v="-21.582000000000001"/>
    <n v="-20.718720000000001"/>
    <n v="-21.582000000000001"/>
    <n v="-20.718720000000001"/>
    <m/>
    <n v="2810.7"/>
    <n v="159.41"/>
    <m/>
    <n v="-64100.914019999997"/>
    <n v="-64100.914019999997"/>
    <n v="-40826.453580000001"/>
    <n v="0"/>
    <n v="-1163.5744957142194"/>
    <n v="0"/>
    <n v="0"/>
    <n v="0"/>
    <n v="-13176.147536471393"/>
    <n v="-45427.712328090449"/>
    <n v="-3328.6073281023182"/>
    <n v="-111.83246889290535"/>
    <n v="0"/>
    <n v="0"/>
    <n v="0"/>
    <n v="0"/>
    <n v="-206.67042657971666"/>
    <m/>
    <n v="-23.1733138894066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2.00786841463942"/>
    <n v="0"/>
    <n v="0"/>
    <n v="0"/>
    <n v="0"/>
    <n v="0"/>
    <m/>
    <m/>
    <m/>
    <m/>
    <m/>
    <n v="-1633.0581431999992"/>
    <m/>
    <m/>
    <m/>
    <n v="-3440.6151965169574"/>
    <m/>
    <m/>
    <m/>
    <m/>
    <m/>
    <m/>
    <m/>
    <m/>
    <m/>
    <m/>
    <m/>
    <m/>
    <n v="-39195.816799999993"/>
    <n v="22341.030659199998"/>
    <m/>
    <m/>
    <m/>
    <m/>
    <n v="23867.31798"/>
    <n v="-592.85753999999997"/>
    <n v="30"/>
    <n v="69.765908344819763"/>
    <n v="0"/>
    <n v="0"/>
    <n v="0"/>
    <n v="0"/>
    <n v="0"/>
    <n v="0"/>
    <n v="0"/>
    <n v="-595.1927100199573"/>
    <n v="0"/>
    <n v="0"/>
    <n v="-659.97294464041715"/>
    <n v="0"/>
    <n v="0"/>
    <n v="0"/>
    <n v="-22.2081355515882"/>
    <n v="0"/>
    <n v="81.49905311747375"/>
    <m/>
    <n v="0"/>
    <n v="0"/>
    <n v="0"/>
    <n v="0"/>
    <n v="12.609247293285733"/>
    <n v="1.4765476159498654"/>
    <n v="0"/>
    <n v="1251.5548505300726"/>
    <m/>
    <m/>
    <m/>
    <n v="-45427.712328090449"/>
    <n v="0"/>
    <n v="0"/>
    <n v="23867.31798"/>
    <n v="-592.85753999999997"/>
    <n v="0"/>
    <n v="0"/>
    <n v="23204.5809686541"/>
    <n v="0"/>
    <n v="0"/>
    <n v="0"/>
    <n v="0"/>
    <n v="0"/>
    <n v="0"/>
    <n v="0"/>
    <n v="0"/>
    <n v="0"/>
    <n v="0"/>
    <n v="0"/>
    <n v="0"/>
    <n v="-551.1644343825099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85"/>
    <s v="Regular"/>
    <s v="Verde"/>
    <s v="A4"/>
    <s v="Rural"/>
    <s v="Agropecuária rural"/>
    <s v="Não se aplica"/>
    <s v="Não se aplica"/>
    <s v="Fora ponta"/>
    <s v="CATIVO"/>
    <x v="11"/>
    <n v="0"/>
    <n v="0"/>
    <n v="7.4710000000000001"/>
    <n v="7.1721599999999999"/>
    <n v="7.4710000000000001"/>
    <n v="7.1721599999999999"/>
    <m/>
    <n v="95.29"/>
    <n v="159.41"/>
    <m/>
    <n v="1902.8636999999999"/>
    <n v="1902.8636999999999"/>
    <n v="2068.7946099999999"/>
    <n v="0"/>
    <n v="402.79237593739845"/>
    <n v="0"/>
    <n v="0"/>
    <n v="0"/>
    <n v="0"/>
    <n v="0"/>
    <n v="1152.2576845636372"/>
    <n v="38.712833615925121"/>
    <n v="0"/>
    <n v="0"/>
    <n v="0"/>
    <n v="0"/>
    <n v="71.542709525394457"/>
    <m/>
    <n v="8.0218621104511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773551335639475"/>
    <n v="0"/>
    <n v="0"/>
    <n v="0"/>
    <n v="0"/>
    <n v="0"/>
    <m/>
    <m/>
    <m/>
    <m/>
    <m/>
    <n v="82.751784400000062"/>
    <m/>
    <m/>
    <m/>
    <n v="1191.0312358992767"/>
    <m/>
    <m/>
    <m/>
    <m/>
    <m/>
    <m/>
    <m/>
    <m/>
    <m/>
    <m/>
    <m/>
    <m/>
    <n v="1985.4447"/>
    <n v="158.66554800000017"/>
    <m/>
    <m/>
    <m/>
    <m/>
    <n v="-39.297460000000036"/>
    <n v="205.22836999999998"/>
    <n v="30"/>
    <n v="165.90729573479734"/>
    <n v="0"/>
    <n v="0"/>
    <n v="0"/>
    <n v="0"/>
    <n v="0"/>
    <n v="0"/>
    <n v="0"/>
    <n v="0"/>
    <n v="0"/>
    <n v="0"/>
    <n v="228.46158230972833"/>
    <n v="0"/>
    <n v="0"/>
    <n v="0"/>
    <n v="7.6877481561447212"/>
    <n v="0"/>
    <n v="-28.212372617952269"/>
    <m/>
    <n v="0"/>
    <n v="0"/>
    <n v="0"/>
    <n v="0"/>
    <n v="-4.3649192163904047"/>
    <n v="-0.51113368727464792"/>
    <n v="0"/>
    <n v="-37.153609209458637"/>
    <m/>
    <m/>
    <m/>
    <n v="0"/>
    <n v="0"/>
    <n v="0"/>
    <n v="-39.297460000000001"/>
    <n v="205.22837000000004"/>
    <n v="0"/>
    <n v="0"/>
    <n v="0"/>
    <n v="0"/>
    <n v="0"/>
    <n v="0"/>
    <n v="0"/>
    <n v="0"/>
    <n v="0"/>
    <n v="0"/>
    <n v="0"/>
    <n v="0"/>
    <n v="0"/>
    <n v="0"/>
    <n v="0"/>
    <n v="190.79554671817868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86"/>
    <s v="Refaturamento - Regular"/>
    <s v="Verde"/>
    <s v="A4"/>
    <s v="Rural"/>
    <s v="Agropecuária rural"/>
    <s v="Não se aplica"/>
    <s v="Não se aplica"/>
    <s v="Fora ponta"/>
    <s v="CATIVO"/>
    <x v="11"/>
    <n v="0"/>
    <n v="0"/>
    <n v="21.582000000000001"/>
    <n v="20.718720000000001"/>
    <n v="21.582000000000001"/>
    <n v="20.718720000000001"/>
    <m/>
    <n v="95.29"/>
    <n v="159.41"/>
    <m/>
    <n v="5496.9354000000003"/>
    <n v="5496.9354000000003"/>
    <n v="5976.2716200000004"/>
    <n v="0"/>
    <n v="1163.5744957142194"/>
    <n v="0"/>
    <n v="0"/>
    <n v="0"/>
    <n v="0"/>
    <n v="0"/>
    <n v="3328.6073281023182"/>
    <n v="111.83246889290535"/>
    <n v="0"/>
    <n v="0"/>
    <n v="0"/>
    <n v="0"/>
    <n v="206.67042657971666"/>
    <m/>
    <n v="23.1733138894066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00786841463942"/>
    <n v="0"/>
    <n v="0"/>
    <n v="0"/>
    <n v="0"/>
    <n v="0"/>
    <m/>
    <m/>
    <m/>
    <m/>
    <m/>
    <n v="239.05086479999989"/>
    <m/>
    <m/>
    <m/>
    <n v="3440.6151965169574"/>
    <m/>
    <m/>
    <m/>
    <m/>
    <m/>
    <m/>
    <m/>
    <m/>
    <m/>
    <m/>
    <m/>
    <m/>
    <n v="5737.5751999999993"/>
    <n v="460.48721599999863"/>
    <m/>
    <m/>
    <m/>
    <m/>
    <n v="-113.52132000000012"/>
    <n v="592.85753999999997"/>
    <n v="30"/>
    <n v="479.26800382122656"/>
    <n v="0"/>
    <n v="0"/>
    <n v="0"/>
    <n v="0"/>
    <n v="0"/>
    <n v="0"/>
    <n v="0"/>
    <n v="0"/>
    <n v="0"/>
    <n v="0"/>
    <n v="659.97294464041715"/>
    <n v="0"/>
    <n v="0"/>
    <n v="0"/>
    <n v="22.2081355515882"/>
    <n v="0"/>
    <n v="-81.49905311747375"/>
    <m/>
    <n v="0"/>
    <n v="0"/>
    <n v="0"/>
    <n v="0"/>
    <n v="-12.609247293285733"/>
    <n v="-1.4765476159498654"/>
    <n v="0"/>
    <n v="-107.32822834406858"/>
    <m/>
    <m/>
    <m/>
    <n v="0"/>
    <n v="0"/>
    <n v="0"/>
    <n v="-113.52132000000006"/>
    <n v="592.85753999999997"/>
    <n v="0"/>
    <n v="0"/>
    <n v="0"/>
    <n v="0"/>
    <n v="0"/>
    <n v="0"/>
    <n v="0"/>
    <n v="0"/>
    <n v="0"/>
    <n v="0"/>
    <n v="0"/>
    <n v="0"/>
    <n v="0"/>
    <n v="0"/>
    <n v="0"/>
    <n v="551.16443438250997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88"/>
    <s v="Regular"/>
    <s v="Verde"/>
    <s v="A4"/>
    <s v="Rural"/>
    <s v="Agropecuária rural"/>
    <s v="Não se aplica"/>
    <s v="Não se aplica"/>
    <s v="Não se aplica"/>
    <s v="CATIVO"/>
    <x v="11"/>
    <n v="813"/>
    <n v="780.48"/>
    <n v="0"/>
    <n v="0"/>
    <n v="0"/>
    <n v="0"/>
    <n v="43.29"/>
    <m/>
    <m/>
    <n v="35194.769999999997"/>
    <m/>
    <n v="35194.769999999997"/>
    <n v="27227.370000000003"/>
    <n v="0"/>
    <n v="0"/>
    <n v="0"/>
    <n v="0"/>
    <n v="0"/>
    <n v="19238.821559810094"/>
    <n v="15958.52911585410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7.709999999999994"/>
    <n v="357.95"/>
    <n v="194.76"/>
    <n v="42"/>
    <m/>
    <m/>
    <m/>
    <m/>
    <m/>
    <n v="1089.0947999999994"/>
    <m/>
    <m/>
    <m/>
    <n v="0"/>
    <m/>
    <m/>
    <m/>
    <m/>
    <m/>
    <m/>
    <m/>
    <m/>
    <m/>
    <m/>
    <m/>
    <m/>
    <n v="26138.275200000004"/>
    <n v="-7648.734000000004"/>
    <m/>
    <m/>
    <m/>
    <m/>
    <n v="-7967.3999999999978"/>
    <n v="0"/>
    <n v="30"/>
    <n v="181.83569805951993"/>
    <n v="0"/>
    <n v="0"/>
    <n v="0"/>
    <n v="0"/>
    <m/>
    <m/>
    <m/>
    <n v="869.05571678503111"/>
    <n v="0"/>
    <n v="0"/>
    <m/>
    <m/>
    <n v="0"/>
    <n v="0"/>
    <n v="0"/>
    <n v="0"/>
    <n v="0"/>
    <m/>
    <n v="0"/>
    <n v="0"/>
    <m/>
    <n v="0"/>
    <n v="0"/>
    <n v="0"/>
    <n v="0"/>
    <n v="-687.22001872551118"/>
    <m/>
    <m/>
    <n v="15958.529115854109"/>
    <m/>
    <n v="0"/>
    <n v="0"/>
    <n v="-7967.3999999999942"/>
    <m/>
    <n v="0"/>
    <m/>
    <n v="-8151.6537380307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89"/>
    <s v="Refaturamento - Regular"/>
    <s v="Verde"/>
    <s v="A4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74.540000000000006"/>
    <n v="-352.44"/>
    <n v="-6.04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90"/>
    <s v="Sistema de Compensação"/>
    <s v="Verde"/>
    <s v="A4"/>
    <s v="Rural"/>
    <s v="Agropecuária rural"/>
    <s v="Não se aplica"/>
    <s v="Não se aplica"/>
    <s v="Não se aplica"/>
    <s v="CATIVO"/>
    <x v="11"/>
    <n v="77"/>
    <n v="73.92"/>
    <n v="0"/>
    <n v="0"/>
    <n v="0"/>
    <n v="0"/>
    <n v="43.29"/>
    <m/>
    <m/>
    <n v="3333.33"/>
    <m/>
    <n v="3333.33"/>
    <n v="2578.73"/>
    <n v="0"/>
    <n v="0"/>
    <n v="0"/>
    <n v="0"/>
    <n v="0"/>
    <n v="1822.127011199726"/>
    <n v="1511.44740703661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.34"/>
    <n v="139.55000000000001"/>
    <n v="10.77"/>
    <n v="4"/>
    <m/>
    <m/>
    <m/>
    <m/>
    <m/>
    <n v="103.14919999999995"/>
    <m/>
    <m/>
    <m/>
    <n v="0"/>
    <m/>
    <m/>
    <m/>
    <m/>
    <m/>
    <m/>
    <m/>
    <m/>
    <m/>
    <m/>
    <m/>
    <m/>
    <n v="2475.5808000000002"/>
    <n v="-724.44600000000037"/>
    <m/>
    <m/>
    <m/>
    <m/>
    <n v="-754.5999999999998"/>
    <n v="0"/>
    <n v="30"/>
    <n v="17.221831181529069"/>
    <n v="0"/>
    <n v="0"/>
    <n v="0"/>
    <n v="0"/>
    <m/>
    <m/>
    <m/>
    <n v="82.309090027610637"/>
    <n v="0"/>
    <n v="0"/>
    <m/>
    <m/>
    <n v="0"/>
    <n v="0"/>
    <n v="0"/>
    <n v="0"/>
    <n v="0"/>
    <m/>
    <n v="0"/>
    <n v="0"/>
    <m/>
    <n v="0"/>
    <n v="0"/>
    <n v="0"/>
    <n v="0"/>
    <n v="-65.087258846081625"/>
    <m/>
    <m/>
    <n v="1511.4474070366132"/>
    <m/>
    <n v="0"/>
    <n v="0"/>
    <n v="-754.59999999999991"/>
    <m/>
    <n v="0"/>
    <m/>
    <n v="-772.05084603735088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91"/>
    <s v="Regular"/>
    <s v="Verde"/>
    <s v="A4"/>
    <s v="Rural"/>
    <s v="Agropecuária rural"/>
    <s v="IRRIG./AQUIC. PR"/>
    <s v="Não se aplica"/>
    <s v="Fora ponta"/>
    <s v="CATIVO"/>
    <x v="11"/>
    <n v="0"/>
    <n v="0"/>
    <n v="4.7949999999999999"/>
    <n v="1.4384999999999999"/>
    <n v="4.7949999999999999"/>
    <n v="1.4384999999999999"/>
    <m/>
    <n v="95.29"/>
    <n v="159.41"/>
    <m/>
    <n v="1221.2864999999999"/>
    <n v="1221.2864999999999"/>
    <n v="1327.7834499999999"/>
    <n v="0"/>
    <n v="258.51819604066731"/>
    <n v="0"/>
    <n v="0"/>
    <n v="0"/>
    <n v="0"/>
    <n v="0"/>
    <n v="739.53628663935763"/>
    <n v="24.846478006740856"/>
    <n v="0"/>
    <n v="0"/>
    <n v="0"/>
    <n v="0"/>
    <n v="45.917185406808514"/>
    <m/>
    <n v="5.14855157537321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885447551116485"/>
    <n v="0"/>
    <n v="0"/>
    <n v="0"/>
    <n v="0"/>
    <n v="0"/>
    <m/>
    <m/>
    <m/>
    <m/>
    <m/>
    <m/>
    <n v="929.44841499999995"/>
    <m/>
    <m/>
    <n v="764.42173419047413"/>
    <m/>
    <m/>
    <m/>
    <m/>
    <m/>
    <m/>
    <m/>
    <m/>
    <m/>
    <m/>
    <m/>
    <m/>
    <n v="398.75040000000001"/>
    <n v="32.334450000000061"/>
    <m/>
    <m/>
    <m/>
    <m/>
    <n v="-25.221700000000023"/>
    <n v="131.71865"/>
    <n v="30"/>
    <n v="106.48179400995218"/>
    <n v="0"/>
    <n v="0"/>
    <n v="0"/>
    <n v="0"/>
    <n v="0"/>
    <n v="0"/>
    <n v="0"/>
    <n v="0"/>
    <n v="0"/>
    <n v="0"/>
    <n v="146.63007457838933"/>
    <n v="0"/>
    <n v="0"/>
    <n v="0"/>
    <n v="4.9341122217526383"/>
    <n v="0"/>
    <n v="-18.107124441584943"/>
    <m/>
    <n v="0"/>
    <n v="0"/>
    <n v="0"/>
    <n v="0"/>
    <n v="-2.8014707057411314"/>
    <n v="-0.32805327673429741"/>
    <n v="0"/>
    <n v="-23.845744366129587"/>
    <m/>
    <m/>
    <m/>
    <n v="0"/>
    <n v="0"/>
    <n v="0"/>
    <n v="-25.221699999999998"/>
    <n v="131.71865000000003"/>
    <n v="0"/>
    <n v="0"/>
    <n v="0"/>
    <n v="0"/>
    <n v="0"/>
    <n v="0"/>
    <n v="0"/>
    <n v="0"/>
    <n v="0"/>
    <n v="0"/>
    <n v="0"/>
    <n v="0"/>
    <n v="0"/>
    <n v="0"/>
    <n v="0"/>
    <n v="122.4554472645785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93"/>
    <s v="Regular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34"/>
    <n v="24.73"/>
    <n v="38.03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"/>
    <m/>
    <m/>
    <m/>
    <m/>
    <n v="0"/>
    <m/>
    <m/>
    <m/>
    <m/>
    <n v="0"/>
    <n v="0"/>
    <n v="0"/>
    <n v="0"/>
  </r>
  <r>
    <n v="794"/>
    <s v="Regular"/>
    <s v="Convencional"/>
    <s v="B2"/>
    <s v="Rural"/>
    <s v="Aquicultura"/>
    <s v="IRRIG./AQUIC."/>
    <s v="Não se aplica"/>
    <s v="Não se aplica"/>
    <s v="CATIVO"/>
    <x v="11"/>
    <n v="0"/>
    <n v="0"/>
    <n v="2.7290000000000001"/>
    <n v="2.7290000000000001"/>
    <n v="2.7290000000000001"/>
    <n v="2.7290000000000001"/>
    <m/>
    <n v="648.44000000000005"/>
    <n v="159.41"/>
    <m/>
    <n v="2204.6226500000002"/>
    <n v="2204.6226500000002"/>
    <n v="1669.65678"/>
    <n v="0"/>
    <n v="169.1168139692883"/>
    <n v="0"/>
    <n v="0"/>
    <n v="0"/>
    <n v="318.32263913231878"/>
    <n v="1139.4830088579333"/>
    <n v="420.89562591007444"/>
    <n v="14.140988212804128"/>
    <n v="0"/>
    <n v="0"/>
    <n v="0"/>
    <n v="0"/>
    <n v="26.133055052175276"/>
    <m/>
    <n v="5.6629360028654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766126234535676"/>
    <n v="0"/>
    <n v="0"/>
    <n v="0"/>
    <n v="0"/>
    <n v="0"/>
    <m/>
    <m/>
    <m/>
    <m/>
    <m/>
    <n v="200.36318000000006"/>
    <m/>
    <m/>
    <m/>
    <n v="451.66175214461009"/>
    <m/>
    <m/>
    <m/>
    <m/>
    <m/>
    <m/>
    <m/>
    <m/>
    <m/>
    <m/>
    <m/>
    <m/>
    <n v="1469.8319999999999"/>
    <n v="-470.27139000000011"/>
    <m/>
    <m/>
    <m/>
    <m/>
    <n v="-609.93150000000014"/>
    <n v="74.965630000000004"/>
    <n v="30"/>
    <n v="47.086215164732039"/>
    <n v="0"/>
    <n v="0"/>
    <n v="0"/>
    <n v="0"/>
    <n v="0"/>
    <n v="0"/>
    <n v="0"/>
    <n v="14.379264782929909"/>
    <n v="0"/>
    <n v="0"/>
    <n v="83.452236397168861"/>
    <n v="0"/>
    <n v="0"/>
    <n v="0"/>
    <n v="6.100091997863089"/>
    <n v="0"/>
    <n v="-11.84527527503144"/>
    <m/>
    <n v="0"/>
    <n v="0"/>
    <n v="0"/>
    <n v="0"/>
    <n v="-1.5944136717346318"/>
    <n v="-0.36082861062571503"/>
    <n v="0"/>
    <n v="-43.044860455838297"/>
    <m/>
    <m/>
    <m/>
    <n v="1139.4830088579333"/>
    <n v="0"/>
    <n v="0"/>
    <n v="-609.93150000000014"/>
    <n v="74.965629999999976"/>
    <n v="0"/>
    <n v="0"/>
    <n v="-582.0505675144816"/>
    <n v="0"/>
    <n v="0"/>
    <n v="0"/>
    <n v="0"/>
    <n v="0"/>
    <n v="0"/>
    <n v="0"/>
    <n v="0"/>
    <n v="0"/>
    <n v="0"/>
    <n v="0"/>
    <n v="0"/>
    <n v="80.107611037607469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95"/>
    <s v="Regular"/>
    <s v="Convencional"/>
    <s v="B2"/>
    <s v="Rural"/>
    <s v="Aquicultura"/>
    <s v="IRRIG./AQUIC. PR"/>
    <s v="Não se aplica"/>
    <s v="Não se aplica"/>
    <s v="CATIVO"/>
    <x v="11"/>
    <n v="0"/>
    <n v="0"/>
    <n v="3.0169999999999999"/>
    <n v="1.2068000000000001"/>
    <n v="3.0169999999999999"/>
    <n v="1.2068000000000001"/>
    <m/>
    <n v="648.44000000000005"/>
    <n v="159.41"/>
    <m/>
    <n v="2437.2834499999999"/>
    <n v="2437.2834499999999"/>
    <n v="1845.86094"/>
    <n v="0"/>
    <n v="186.96424615073022"/>
    <n v="0"/>
    <n v="0"/>
    <n v="0"/>
    <n v="351.91623388135054"/>
    <n v="1259.7362542046112"/>
    <n v="465.31407232344981"/>
    <n v="15.633331417380013"/>
    <n v="0"/>
    <n v="0"/>
    <n v="0"/>
    <n v="0"/>
    <n v="28.890958993189006"/>
    <m/>
    <n v="6.26056354732321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012972828726319"/>
    <n v="0"/>
    <n v="0"/>
    <n v="0"/>
    <n v="0"/>
    <n v="0"/>
    <m/>
    <m/>
    <m/>
    <m/>
    <m/>
    <m/>
    <n v="1196.1198199999999"/>
    <m/>
    <m/>
    <n v="499.32704515217614"/>
    <m/>
    <m/>
    <m/>
    <m/>
    <m/>
    <m/>
    <m/>
    <m/>
    <m/>
    <m/>
    <m/>
    <m/>
    <n v="651.46399999999994"/>
    <n v="-206.49218800000006"/>
    <m/>
    <m/>
    <m/>
    <m/>
    <n v="-674.29950000000019"/>
    <n v="82.876989999999992"/>
    <n v="30"/>
    <n v="52.055372353241182"/>
    <n v="0"/>
    <n v="0"/>
    <n v="0"/>
    <n v="0"/>
    <n v="0"/>
    <n v="0"/>
    <n v="0"/>
    <n v="15.896754067460449"/>
    <n v="0"/>
    <n v="0"/>
    <n v="92.259214807716546"/>
    <n v="0"/>
    <n v="0"/>
    <n v="0"/>
    <n v="6.7438539969047042"/>
    <n v="0"/>
    <n v="-13.095344633481091"/>
    <m/>
    <n v="0"/>
    <n v="0"/>
    <n v="0"/>
    <n v="0"/>
    <n v="-1.7626771885758075"/>
    <n v="-0.39890799496437612"/>
    <n v="0"/>
    <n v="-47.587520701819031"/>
    <m/>
    <m/>
    <m/>
    <n v="1259.7362542046112"/>
    <n v="0"/>
    <n v="0"/>
    <n v="-674.29950000000008"/>
    <n v="82.876990000000035"/>
    <n v="0"/>
    <n v="0"/>
    <n v="-643.47620454056073"/>
    <n v="0"/>
    <n v="0"/>
    <n v="0"/>
    <n v="0"/>
    <n v="0"/>
    <n v="0"/>
    <n v="0"/>
    <n v="0"/>
    <n v="0"/>
    <n v="0"/>
    <n v="0"/>
    <n v="0"/>
    <n v="88.561620557149766"/>
    <n v="0"/>
    <n v="0"/>
    <n v="0"/>
    <n v="0"/>
    <n v="0"/>
    <n v="246"/>
    <n v="0"/>
    <n v="0"/>
    <n v="0"/>
    <m/>
    <n v="0"/>
    <m/>
    <m/>
    <m/>
    <m/>
    <n v="0"/>
    <n v="0"/>
    <n v="0"/>
    <n v="0"/>
  </r>
  <r>
    <n v="796"/>
    <s v="Regular"/>
    <s v="Geração"/>
    <s v="A4"/>
    <s v="Não se aplica"/>
    <s v="Não se aplica"/>
    <s v="Não se aplica"/>
    <s v="RIO FORTALEZA"/>
    <s v="Não se aplica"/>
    <s v="GERAÇÃO"/>
    <x v="0"/>
    <n v="880"/>
    <n v="440"/>
    <n v="0"/>
    <n v="0"/>
    <n v="0"/>
    <n v="0"/>
    <n v="13.8"/>
    <m/>
    <m/>
    <n v="12144"/>
    <m/>
    <n v="12144"/>
    <n v="5711.2"/>
    <n v="0"/>
    <n v="0"/>
    <n v="0"/>
    <n v="0"/>
    <n v="0"/>
    <n v="0"/>
    <n v="12126.683914216695"/>
    <m/>
    <m/>
    <m/>
    <n v="0"/>
    <n v="0"/>
    <n v="0"/>
    <n v="0"/>
    <m/>
    <n v="19.8872974264697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47.79"/>
    <n v="0"/>
    <n v="0"/>
    <n v="0"/>
    <m/>
    <m/>
    <n v="2855.6"/>
    <m/>
    <m/>
    <m/>
    <m/>
    <m/>
    <m/>
    <n v="0"/>
    <m/>
    <m/>
    <m/>
    <m/>
    <m/>
    <m/>
    <m/>
    <m/>
    <m/>
    <m/>
    <m/>
    <m/>
    <n v="2855.6"/>
    <n v="-3216.4300000000007"/>
    <m/>
    <m/>
    <m/>
    <m/>
    <n v="-6432.8"/>
    <n v="0"/>
    <n v="31"/>
    <n v="-238.426125310337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671705800424"/>
    <n v="0"/>
    <n v="-237.15895473029497"/>
    <m/>
    <m/>
    <n v="12126.683914216695"/>
    <m/>
    <n v="0"/>
    <n v="0"/>
    <n v="-6432.8"/>
    <m/>
    <n v="0"/>
    <m/>
    <n v="-6194.33830910117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97"/>
    <s v="Regular"/>
    <s v="Geração"/>
    <s v="A4"/>
    <s v="Não se aplica"/>
    <s v="Não se aplica"/>
    <s v="Não se aplica"/>
    <s v="BRAGA"/>
    <s v="Não se aplica"/>
    <s v="GERAÇÃO"/>
    <x v="0"/>
    <n v="520"/>
    <n v="260"/>
    <n v="0"/>
    <n v="0"/>
    <n v="0"/>
    <n v="0"/>
    <n v="13.8"/>
    <m/>
    <m/>
    <n v="7176"/>
    <m/>
    <n v="7176"/>
    <n v="3374.8"/>
    <n v="0"/>
    <n v="0"/>
    <n v="0"/>
    <n v="0"/>
    <n v="0"/>
    <n v="0"/>
    <n v="7165.767767491684"/>
    <m/>
    <m/>
    <m/>
    <n v="0"/>
    <n v="0"/>
    <n v="0"/>
    <n v="0"/>
    <m/>
    <n v="11.7515848429139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.24"/>
    <n v="0"/>
    <n v="0"/>
    <n v="0"/>
    <m/>
    <m/>
    <n v="1687.4"/>
    <m/>
    <m/>
    <m/>
    <m/>
    <m/>
    <m/>
    <n v="0"/>
    <m/>
    <m/>
    <m/>
    <m/>
    <m/>
    <m/>
    <m/>
    <m/>
    <m/>
    <m/>
    <m/>
    <m/>
    <n v="1687.4"/>
    <n v="-1900.6300000000006"/>
    <m/>
    <m/>
    <m/>
    <m/>
    <n v="-3801.2000000000003"/>
    <n v="0"/>
    <n v="31"/>
    <n v="-140.888164956108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74878261547960001"/>
    <n v="0"/>
    <n v="-140.13938234062886"/>
    <m/>
    <m/>
    <n v="7165.767767491684"/>
    <m/>
    <n v="0"/>
    <n v="0"/>
    <n v="-3801.2"/>
    <m/>
    <n v="0"/>
    <m/>
    <n v="-3660.29081901433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98"/>
    <s v="Regular"/>
    <s v="Geração"/>
    <s v="A4"/>
    <s v="Não se aplica"/>
    <s v="Não se aplica"/>
    <s v="Não se aplica"/>
    <s v="LINHA GRANJA VELHA"/>
    <s v="Não se aplica"/>
    <s v="GERAÇÃO"/>
    <x v="0"/>
    <n v="1000"/>
    <n v="500"/>
    <n v="0"/>
    <n v="0"/>
    <n v="0"/>
    <n v="0"/>
    <n v="13.8"/>
    <m/>
    <m/>
    <n v="13800"/>
    <m/>
    <n v="13800"/>
    <n v="6490"/>
    <n v="0"/>
    <n v="0"/>
    <n v="0"/>
    <n v="0"/>
    <n v="0"/>
    <n v="0"/>
    <n v="13780.322629791699"/>
    <m/>
    <m/>
    <m/>
    <n v="0"/>
    <n v="0"/>
    <n v="0"/>
    <n v="0"/>
    <m/>
    <n v="22.5992016209883"/>
    <n v="0"/>
    <n v="0"/>
    <n v="0"/>
    <n v="0"/>
    <m/>
    <m/>
    <n v="0"/>
    <n v="0"/>
    <n v="0"/>
    <m/>
    <m/>
    <n v="0"/>
    <m/>
    <n v="0"/>
    <n v="0"/>
    <n v="0"/>
    <n v="0"/>
    <m/>
    <n v="0"/>
    <n v="0"/>
    <n v="54.31"/>
    <n v="0"/>
    <n v="0"/>
    <n v="0"/>
    <m/>
    <m/>
    <n v="3245"/>
    <m/>
    <m/>
    <m/>
    <m/>
    <m/>
    <m/>
    <n v="0"/>
    <m/>
    <m/>
    <m/>
    <m/>
    <m/>
    <m/>
    <m/>
    <m/>
    <m/>
    <m/>
    <m/>
    <m/>
    <n v="3245"/>
    <n v="-3655.0300000000007"/>
    <m/>
    <m/>
    <m/>
    <m/>
    <n v="-7310.0000000000009"/>
    <n v="0"/>
    <n v="31"/>
    <n v="-270.9387787617470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399665682300018"/>
    <n v="0"/>
    <n v="-269.49881219351704"/>
    <m/>
    <m/>
    <n v="13780.322629791699"/>
    <m/>
    <n v="0"/>
    <n v="0"/>
    <n v="-7310"/>
    <m/>
    <n v="0"/>
    <m/>
    <n v="-7039.02080579678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799"/>
    <s v="Regular"/>
    <s v="Geração"/>
    <s v="A4"/>
    <s v="Não se aplica"/>
    <s v="Não se aplica"/>
    <s v="Não se aplica"/>
    <s v="CARLOS BEVILÁCQUA"/>
    <s v="Não se aplica"/>
    <s v="GERAÇÃO"/>
    <x v="0"/>
    <n v="800"/>
    <n v="400"/>
    <n v="0"/>
    <n v="0"/>
    <n v="0"/>
    <n v="0"/>
    <n v="13.8"/>
    <m/>
    <m/>
    <n v="11040"/>
    <m/>
    <n v="11040"/>
    <n v="5192"/>
    <n v="0"/>
    <n v="0"/>
    <n v="0"/>
    <n v="0"/>
    <n v="0"/>
    <n v="0"/>
    <n v="11024.258103833359"/>
    <m/>
    <m/>
    <m/>
    <n v="0"/>
    <n v="0"/>
    <n v="0"/>
    <n v="0"/>
    <m/>
    <n v="18.0793612967906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.45"/>
    <n v="0"/>
    <n v="0"/>
    <n v="0"/>
    <m/>
    <m/>
    <n v="2596"/>
    <m/>
    <m/>
    <m/>
    <m/>
    <m/>
    <m/>
    <n v="0"/>
    <m/>
    <m/>
    <m/>
    <m/>
    <m/>
    <m/>
    <m/>
    <m/>
    <m/>
    <m/>
    <m/>
    <m/>
    <n v="2596"/>
    <n v="-2924.0300000000007"/>
    <m/>
    <m/>
    <m/>
    <m/>
    <n v="-5848"/>
    <n v="0"/>
    <n v="31"/>
    <n v="-216.7510230093976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1519732545839965"/>
    <n v="0"/>
    <n v="-215.59904975481362"/>
    <m/>
    <m/>
    <n v="11024.258103833359"/>
    <m/>
    <n v="0"/>
    <n v="0"/>
    <n v="-5848"/>
    <m/>
    <n v="0"/>
    <m/>
    <n v="-5631.21664463743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00"/>
    <s v="Regular"/>
    <s v="Geração"/>
    <s v="A4"/>
    <s v="Não se aplica"/>
    <s v="Não se aplica"/>
    <s v="Não se aplica"/>
    <s v="MOINHO"/>
    <s v="Não se aplica"/>
    <s v="GERAÇÃO"/>
    <x v="0"/>
    <n v="270"/>
    <n v="135"/>
    <n v="0"/>
    <n v="0"/>
    <n v="0"/>
    <n v="0"/>
    <n v="13.8"/>
    <m/>
    <m/>
    <n v="3726"/>
    <m/>
    <n v="3726"/>
    <n v="1752.3"/>
    <n v="0"/>
    <n v="0"/>
    <n v="0"/>
    <n v="0"/>
    <n v="0"/>
    <n v="0"/>
    <n v="3720.6871100437588"/>
    <m/>
    <m/>
    <m/>
    <n v="0"/>
    <n v="0"/>
    <n v="0"/>
    <n v="0"/>
    <m/>
    <n v="6.1017844376668409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.66"/>
    <n v="0"/>
    <n v="0"/>
    <n v="0"/>
    <m/>
    <m/>
    <n v="876.15"/>
    <m/>
    <m/>
    <m/>
    <m/>
    <m/>
    <m/>
    <n v="0"/>
    <m/>
    <m/>
    <m/>
    <m/>
    <m/>
    <m/>
    <m/>
    <m/>
    <m/>
    <m/>
    <m/>
    <m/>
    <n v="876.15"/>
    <n v="-986.88"/>
    <m/>
    <m/>
    <m/>
    <m/>
    <n v="-1973.7"/>
    <n v="0"/>
    <n v="31"/>
    <n v="-73.15347026567168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8879097342209956"/>
    <n v="0"/>
    <n v="-72.764679292249596"/>
    <m/>
    <m/>
    <n v="3720.6871100437588"/>
    <m/>
    <n v="0"/>
    <n v="0"/>
    <n v="-1973.7"/>
    <m/>
    <n v="0"/>
    <m/>
    <n v="-1900.53561756513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01"/>
    <s v="Regular"/>
    <s v="Geração"/>
    <s v="A4"/>
    <s v="Não se aplica"/>
    <s v="Não se aplica"/>
    <s v="Não se aplica"/>
    <s v="CASCATA DO BARREIRO"/>
    <s v="Não se aplica"/>
    <s v="GERAÇÃO"/>
    <x v="0"/>
    <n v="280"/>
    <n v="140"/>
    <n v="0"/>
    <n v="0"/>
    <n v="0"/>
    <n v="0"/>
    <n v="13.8"/>
    <m/>
    <m/>
    <n v="3864"/>
    <m/>
    <n v="3864"/>
    <n v="1817.2"/>
    <n v="0"/>
    <n v="0"/>
    <n v="0"/>
    <n v="0"/>
    <n v="0"/>
    <n v="0"/>
    <n v="3858.4903363416761"/>
    <m/>
    <m/>
    <m/>
    <n v="0"/>
    <n v="0"/>
    <n v="0"/>
    <n v="0"/>
    <m/>
    <n v="6.3277764538767238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.2"/>
    <n v="0"/>
    <n v="0"/>
    <n v="0"/>
    <m/>
    <m/>
    <n v="908.6"/>
    <m/>
    <m/>
    <m/>
    <m/>
    <m/>
    <m/>
    <n v="0"/>
    <m/>
    <m/>
    <m/>
    <m/>
    <m/>
    <m/>
    <m/>
    <m/>
    <m/>
    <m/>
    <m/>
    <m/>
    <n v="908.6"/>
    <n v="-1023.43"/>
    <m/>
    <m/>
    <m/>
    <m/>
    <n v="-2046.8000000000002"/>
    <n v="0"/>
    <n v="31"/>
    <n v="-75.86285805328915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0319063910440001"/>
    <n v="0"/>
    <n v="-75.459667414184764"/>
    <m/>
    <m/>
    <n v="3858.4903363416761"/>
    <m/>
    <n v="0"/>
    <n v="0"/>
    <n v="-2046.8"/>
    <m/>
    <n v="0"/>
    <m/>
    <n v="-1970.92582562310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02"/>
    <s v="Regular"/>
    <s v="Geração"/>
    <s v="A4"/>
    <s v="Não se aplica"/>
    <s v="Não se aplica"/>
    <s v="Não se aplica"/>
    <s v="SOLAR BOA VISTA"/>
    <s v="Não se aplica"/>
    <s v="GERAÇÃO"/>
    <x v="0"/>
    <n v="730"/>
    <n v="365"/>
    <n v="0"/>
    <n v="0"/>
    <n v="0"/>
    <n v="0"/>
    <n v="13.8"/>
    <m/>
    <m/>
    <n v="10074"/>
    <m/>
    <n v="10074"/>
    <n v="4737.7"/>
    <n v="0"/>
    <n v="0"/>
    <n v="0"/>
    <n v="0"/>
    <n v="0"/>
    <n v="0"/>
    <n v="10059.635519747941"/>
    <m/>
    <m/>
    <m/>
    <n v="0"/>
    <n v="0"/>
    <n v="0"/>
    <n v="0"/>
    <m/>
    <n v="16.49741718332145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9.65"/>
    <n v="0"/>
    <n v="0"/>
    <n v="0"/>
    <m/>
    <m/>
    <n v="2368.85"/>
    <m/>
    <m/>
    <m/>
    <m/>
    <m/>
    <m/>
    <n v="0"/>
    <m/>
    <m/>
    <m/>
    <m/>
    <m/>
    <m/>
    <m/>
    <m/>
    <m/>
    <m/>
    <m/>
    <m/>
    <n v="2368.85"/>
    <n v="-2668.1800000000007"/>
    <m/>
    <m/>
    <m/>
    <m/>
    <n v="-5336.3"/>
    <n v="0"/>
    <n v="31"/>
    <n v="-197.7853084960753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511755948078978"/>
    <n v="0"/>
    <n v="-196.73413290126743"/>
    <m/>
    <m/>
    <n v="10059.635519747941"/>
    <m/>
    <n v="0"/>
    <n v="0"/>
    <n v="-5336.3"/>
    <m/>
    <n v="0"/>
    <m/>
    <n v="-5138.4851882316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03"/>
    <s v="Regular"/>
    <s v="Geração"/>
    <s v="A4"/>
    <s v="Não se aplica"/>
    <s v="Não se aplica"/>
    <s v="Não se aplica"/>
    <s v="SOLAR SÃO MIGUEL"/>
    <s v="Não se aplica"/>
    <s v="GERAÇÃO"/>
    <x v="0"/>
    <n v="561"/>
    <n v="280.5"/>
    <n v="0"/>
    <n v="0"/>
    <n v="0"/>
    <n v="0"/>
    <n v="13.8"/>
    <m/>
    <m/>
    <n v="7741.8"/>
    <m/>
    <n v="7741.8"/>
    <n v="3640.8900000000003"/>
    <n v="0"/>
    <n v="0"/>
    <n v="0"/>
    <n v="0"/>
    <n v="0"/>
    <n v="0"/>
    <n v="7730.7609953131432"/>
    <m/>
    <m/>
    <m/>
    <n v="0"/>
    <n v="0"/>
    <n v="0"/>
    <n v="0"/>
    <m/>
    <n v="12.67815210937443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.46"/>
    <n v="0"/>
    <n v="0"/>
    <n v="0"/>
    <m/>
    <m/>
    <n v="1820.4450000000002"/>
    <m/>
    <m/>
    <m/>
    <m/>
    <m/>
    <m/>
    <n v="0"/>
    <m/>
    <m/>
    <m/>
    <m/>
    <m/>
    <m/>
    <m/>
    <m/>
    <m/>
    <m/>
    <m/>
    <m/>
    <n v="1820.4450000000002"/>
    <n v="-2050.4850000000006"/>
    <m/>
    <m/>
    <m/>
    <m/>
    <n v="-4100.91"/>
    <n v="0"/>
    <n v="31"/>
    <n v="-151.9966548853400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80782124477702943"/>
    <n v="0"/>
    <n v="-151.18883364056305"/>
    <m/>
    <m/>
    <n v="7730.7609953131432"/>
    <m/>
    <n v="0"/>
    <n v="0"/>
    <n v="-4100.91"/>
    <m/>
    <n v="0"/>
    <m/>
    <n v="-3948.89067205199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04"/>
    <s v="Regular"/>
    <s v="Geração"/>
    <s v="A4"/>
    <s v="Não se aplica"/>
    <s v="Não se aplica"/>
    <s v="Não se aplica"/>
    <s v="SOLAR SÃO GABRIEL"/>
    <s v="Não se aplica"/>
    <s v="GERAÇÃO"/>
    <x v="0"/>
    <n v="379"/>
    <n v="189.5"/>
    <n v="0"/>
    <n v="0"/>
    <n v="0"/>
    <n v="0"/>
    <n v="13.8"/>
    <m/>
    <m/>
    <n v="5230.2"/>
    <m/>
    <n v="5230.2"/>
    <n v="2459.71"/>
    <n v="0"/>
    <n v="0"/>
    <n v="0"/>
    <n v="0"/>
    <n v="0"/>
    <n v="0"/>
    <n v="5222.742276691054"/>
    <m/>
    <m/>
    <m/>
    <n v="0"/>
    <n v="0"/>
    <n v="0"/>
    <n v="0"/>
    <m/>
    <n v="8.565097414354564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58"/>
    <n v="0"/>
    <n v="0"/>
    <n v="0"/>
    <m/>
    <m/>
    <n v="1229.855"/>
    <m/>
    <m/>
    <m/>
    <m/>
    <m/>
    <m/>
    <n v="0"/>
    <m/>
    <m/>
    <m/>
    <m/>
    <m/>
    <m/>
    <m/>
    <m/>
    <m/>
    <m/>
    <m/>
    <m/>
    <n v="1229.855"/>
    <n v="-1385.2750000000005"/>
    <m/>
    <m/>
    <m/>
    <m/>
    <n v="-2770.4900000000002"/>
    <n v="0"/>
    <n v="31"/>
    <n v="-102.685797150702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457473293591697"/>
    <n v="0"/>
    <n v="-102.14004982134294"/>
    <m/>
    <m/>
    <n v="5222.742276691054"/>
    <m/>
    <n v="0"/>
    <n v="0"/>
    <n v="-2770.49"/>
    <m/>
    <n v="0"/>
    <m/>
    <n v="-2667.788885396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05"/>
    <s v="Regular"/>
    <s v="Geração"/>
    <s v="A4"/>
    <s v="Não se aplica"/>
    <s v="Não se aplica"/>
    <s v="Não se aplica"/>
    <s v="SOLAR SÃO RAFAEL"/>
    <s v="Não se aplica"/>
    <s v="GERAÇÃO"/>
    <x v="0"/>
    <n v="718"/>
    <n v="359"/>
    <n v="0"/>
    <n v="0"/>
    <n v="0"/>
    <n v="0"/>
    <n v="13.8"/>
    <m/>
    <m/>
    <n v="9908.4"/>
    <m/>
    <n v="9908.4"/>
    <n v="4659.82"/>
    <n v="0"/>
    <n v="0"/>
    <n v="0"/>
    <n v="0"/>
    <n v="0"/>
    <n v="0"/>
    <n v="9894.2716481904408"/>
    <m/>
    <m/>
    <m/>
    <n v="0"/>
    <n v="0"/>
    <n v="0"/>
    <n v="0"/>
    <m/>
    <n v="16.226226763869597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.99"/>
    <n v="0"/>
    <n v="0"/>
    <n v="0"/>
    <m/>
    <m/>
    <n v="2329.91"/>
    <m/>
    <m/>
    <m/>
    <m/>
    <m/>
    <m/>
    <n v="0"/>
    <m/>
    <m/>
    <m/>
    <m/>
    <m/>
    <m/>
    <m/>
    <m/>
    <m/>
    <m/>
    <m/>
    <m/>
    <n v="2329.91"/>
    <n v="-2624.3200000000006"/>
    <m/>
    <m/>
    <m/>
    <m/>
    <n v="-5248.58"/>
    <n v="0"/>
    <n v="31"/>
    <n v="-194.534043150934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338959959891376"/>
    <n v="0"/>
    <n v="-193.50014715494521"/>
    <m/>
    <m/>
    <n v="9894.2716481904408"/>
    <m/>
    <n v="0"/>
    <n v="0"/>
    <n v="-5248.58"/>
    <m/>
    <n v="0"/>
    <m/>
    <n v="-5054.01693856209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06"/>
    <s v="Regular"/>
    <s v="Geração"/>
    <s v="A4"/>
    <s v="Não se aplica"/>
    <s v="Não se aplica"/>
    <s v="Não se aplica"/>
    <s v="RIO FORTALEZA"/>
    <s v="Não se aplica"/>
    <s v="GERAÇÃO"/>
    <x v="1"/>
    <n v="880"/>
    <n v="440"/>
    <n v="0"/>
    <n v="0"/>
    <n v="0"/>
    <n v="0"/>
    <n v="13.8"/>
    <m/>
    <m/>
    <n v="12144"/>
    <m/>
    <n v="12144"/>
    <n v="5711.2"/>
    <n v="0"/>
    <n v="0"/>
    <n v="0"/>
    <n v="0"/>
    <n v="0"/>
    <n v="0"/>
    <n v="12126.683914216695"/>
    <m/>
    <m/>
    <m/>
    <n v="0"/>
    <n v="0"/>
    <n v="0"/>
    <n v="0"/>
    <m/>
    <n v="19.8872974264697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60.36"/>
    <n v="0"/>
    <n v="0"/>
    <n v="0"/>
    <m/>
    <m/>
    <n v="2855.6"/>
    <m/>
    <m/>
    <m/>
    <m/>
    <m/>
    <m/>
    <n v="0"/>
    <m/>
    <m/>
    <m/>
    <m/>
    <m/>
    <m/>
    <m/>
    <m/>
    <m/>
    <m/>
    <m/>
    <m/>
    <n v="2855.6"/>
    <n v="-3216.4300000000007"/>
    <m/>
    <m/>
    <m/>
    <m/>
    <n v="-6432.8"/>
    <n v="0"/>
    <n v="31"/>
    <n v="-238.426125310337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671705800424"/>
    <n v="0"/>
    <n v="-237.15895473029497"/>
    <m/>
    <m/>
    <n v="12126.683914216695"/>
    <m/>
    <n v="0"/>
    <n v="0"/>
    <n v="-6432.8"/>
    <m/>
    <n v="0"/>
    <m/>
    <n v="-6194.33830910117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07"/>
    <s v="Regular"/>
    <s v="Geração"/>
    <s v="A4"/>
    <s v="Não se aplica"/>
    <s v="Não se aplica"/>
    <s v="Não se aplica"/>
    <s v="BRAGA"/>
    <s v="Não se aplica"/>
    <s v="GERAÇÃO"/>
    <x v="1"/>
    <n v="520"/>
    <n v="260"/>
    <n v="0"/>
    <n v="0"/>
    <n v="0"/>
    <n v="0"/>
    <n v="13.8"/>
    <m/>
    <m/>
    <n v="7176"/>
    <m/>
    <n v="7176"/>
    <n v="3374.8"/>
    <n v="0"/>
    <n v="0"/>
    <n v="0"/>
    <n v="0"/>
    <n v="0"/>
    <n v="0"/>
    <n v="7165.767767491684"/>
    <m/>
    <m/>
    <m/>
    <n v="0"/>
    <n v="0"/>
    <n v="0"/>
    <n v="0"/>
    <m/>
    <n v="11.7515848429139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.659999999999997"/>
    <n v="0"/>
    <n v="0"/>
    <n v="0"/>
    <m/>
    <m/>
    <n v="1687.4"/>
    <m/>
    <m/>
    <m/>
    <m/>
    <m/>
    <m/>
    <n v="0"/>
    <m/>
    <m/>
    <m/>
    <m/>
    <m/>
    <m/>
    <m/>
    <m/>
    <m/>
    <m/>
    <m/>
    <m/>
    <n v="1687.4"/>
    <n v="-1900.6300000000006"/>
    <m/>
    <m/>
    <m/>
    <m/>
    <n v="-3801.2000000000003"/>
    <n v="0"/>
    <n v="31"/>
    <n v="-140.888164956108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74878261547960001"/>
    <n v="0"/>
    <n v="-140.13938234062886"/>
    <m/>
    <m/>
    <n v="7165.767767491684"/>
    <m/>
    <n v="0"/>
    <n v="0"/>
    <n v="-3801.2"/>
    <m/>
    <n v="0"/>
    <m/>
    <n v="-3660.29081901433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08"/>
    <s v="Regular"/>
    <s v="Geração"/>
    <s v="A4"/>
    <s v="Não se aplica"/>
    <s v="Não se aplica"/>
    <s v="Não se aplica"/>
    <s v="LINHA GRANJA VELHA"/>
    <s v="Não se aplica"/>
    <s v="GERAÇÃO"/>
    <x v="1"/>
    <n v="1000"/>
    <n v="500"/>
    <n v="0"/>
    <n v="0"/>
    <n v="0"/>
    <n v="0"/>
    <n v="13.8"/>
    <m/>
    <m/>
    <n v="13800"/>
    <m/>
    <n v="13800"/>
    <n v="6490"/>
    <n v="0"/>
    <n v="0"/>
    <n v="0"/>
    <n v="0"/>
    <n v="0"/>
    <n v="0"/>
    <n v="13780.322629791699"/>
    <m/>
    <m/>
    <m/>
    <n v="0"/>
    <n v="0"/>
    <n v="0"/>
    <n v="0"/>
    <m/>
    <n v="22.5992016209883"/>
    <n v="0"/>
    <n v="0"/>
    <n v="0"/>
    <n v="0"/>
    <m/>
    <m/>
    <n v="0"/>
    <n v="0"/>
    <n v="0"/>
    <m/>
    <m/>
    <n v="0"/>
    <m/>
    <n v="0"/>
    <n v="0"/>
    <n v="0"/>
    <n v="0"/>
    <m/>
    <n v="0"/>
    <n v="0"/>
    <n v="68.58"/>
    <n v="0"/>
    <n v="0"/>
    <n v="0"/>
    <m/>
    <m/>
    <n v="3245"/>
    <m/>
    <m/>
    <m/>
    <m/>
    <m/>
    <m/>
    <n v="0"/>
    <m/>
    <m/>
    <m/>
    <m/>
    <m/>
    <m/>
    <m/>
    <m/>
    <m/>
    <m/>
    <m/>
    <m/>
    <n v="3245"/>
    <n v="-3655.0300000000007"/>
    <m/>
    <m/>
    <m/>
    <m/>
    <n v="-7310.0000000000009"/>
    <n v="0"/>
    <n v="31"/>
    <n v="-270.9387787617470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399665682300018"/>
    <n v="0"/>
    <n v="-269.49881219351704"/>
    <m/>
    <m/>
    <n v="13780.322629791699"/>
    <m/>
    <n v="0"/>
    <n v="0"/>
    <n v="-7310"/>
    <m/>
    <n v="0"/>
    <m/>
    <n v="-7039.02080579678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09"/>
    <s v="Regular"/>
    <s v="Geração"/>
    <s v="A4"/>
    <s v="Não se aplica"/>
    <s v="Não se aplica"/>
    <s v="Não se aplica"/>
    <s v="CARLOS BEVILÁCQUA"/>
    <s v="Não se aplica"/>
    <s v="GERAÇÃO"/>
    <x v="1"/>
    <n v="800"/>
    <n v="400"/>
    <n v="0"/>
    <n v="0"/>
    <n v="0"/>
    <n v="0"/>
    <n v="13.8"/>
    <m/>
    <m/>
    <n v="11040"/>
    <m/>
    <n v="11040"/>
    <n v="5192"/>
    <n v="0"/>
    <n v="0"/>
    <n v="0"/>
    <n v="0"/>
    <n v="0"/>
    <n v="0"/>
    <n v="11024.258103833359"/>
    <m/>
    <m/>
    <m/>
    <n v="0"/>
    <n v="0"/>
    <n v="0"/>
    <n v="0"/>
    <m/>
    <n v="18.0793612967906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54.86"/>
    <n v="0"/>
    <n v="0"/>
    <n v="0"/>
    <m/>
    <m/>
    <n v="2596"/>
    <m/>
    <m/>
    <m/>
    <m/>
    <m/>
    <m/>
    <n v="0"/>
    <m/>
    <m/>
    <m/>
    <m/>
    <m/>
    <m/>
    <m/>
    <m/>
    <m/>
    <m/>
    <m/>
    <m/>
    <n v="2596"/>
    <n v="-2924.0300000000007"/>
    <m/>
    <m/>
    <m/>
    <m/>
    <n v="-5848"/>
    <n v="0"/>
    <n v="31"/>
    <n v="-216.7510230093976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1519732545839965"/>
    <n v="0"/>
    <n v="-215.59904975481362"/>
    <m/>
    <m/>
    <n v="11024.258103833359"/>
    <m/>
    <n v="0"/>
    <n v="0"/>
    <n v="-5848"/>
    <m/>
    <n v="0"/>
    <m/>
    <n v="-5631.21664463743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10"/>
    <s v="Regular"/>
    <s v="Geração"/>
    <s v="A4"/>
    <s v="Não se aplica"/>
    <s v="Não se aplica"/>
    <s v="Não se aplica"/>
    <s v="MOINHO"/>
    <s v="Não se aplica"/>
    <s v="GERAÇÃO"/>
    <x v="1"/>
    <n v="270"/>
    <n v="135"/>
    <n v="0"/>
    <n v="0"/>
    <n v="0"/>
    <n v="0"/>
    <n v="13.8"/>
    <m/>
    <m/>
    <n v="3726"/>
    <m/>
    <n v="3726"/>
    <n v="1752.3"/>
    <n v="0"/>
    <n v="0"/>
    <n v="0"/>
    <n v="0"/>
    <n v="0"/>
    <n v="0"/>
    <n v="3720.6871100437588"/>
    <m/>
    <m/>
    <m/>
    <n v="0"/>
    <n v="0"/>
    <n v="0"/>
    <n v="0"/>
    <m/>
    <n v="6.1017844376668409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510000000000002"/>
    <n v="0"/>
    <n v="0"/>
    <n v="0"/>
    <m/>
    <m/>
    <n v="876.15"/>
    <m/>
    <m/>
    <m/>
    <m/>
    <m/>
    <m/>
    <n v="0"/>
    <m/>
    <m/>
    <m/>
    <m/>
    <m/>
    <m/>
    <m/>
    <m/>
    <m/>
    <m/>
    <m/>
    <m/>
    <n v="876.15"/>
    <n v="-986.88"/>
    <m/>
    <m/>
    <m/>
    <m/>
    <n v="-1973.7"/>
    <n v="0"/>
    <n v="31"/>
    <n v="-73.15347026567168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8879097342209956"/>
    <n v="0"/>
    <n v="-72.764679292249596"/>
    <m/>
    <m/>
    <n v="3720.6871100437588"/>
    <m/>
    <n v="0"/>
    <n v="0"/>
    <n v="-1973.7"/>
    <m/>
    <n v="0"/>
    <m/>
    <n v="-1900.53561756513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11"/>
    <s v="Regular"/>
    <s v="Geração"/>
    <s v="A4"/>
    <s v="Não se aplica"/>
    <s v="Não se aplica"/>
    <s v="Não se aplica"/>
    <s v="CASCATA DO BARREIRO"/>
    <s v="Não se aplica"/>
    <s v="GERAÇÃO"/>
    <x v="1"/>
    <n v="280"/>
    <n v="140"/>
    <n v="0"/>
    <n v="0"/>
    <n v="0"/>
    <n v="0"/>
    <n v="13.8"/>
    <m/>
    <m/>
    <n v="3864"/>
    <m/>
    <n v="3864"/>
    <n v="1817.2"/>
    <n v="0"/>
    <n v="0"/>
    <n v="0"/>
    <n v="0"/>
    <n v="0"/>
    <n v="0"/>
    <n v="3858.4903363416761"/>
    <m/>
    <m/>
    <m/>
    <n v="0"/>
    <n v="0"/>
    <n v="0"/>
    <n v="0"/>
    <m/>
    <n v="6.3277764538767238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.2"/>
    <n v="0"/>
    <n v="0"/>
    <n v="0"/>
    <m/>
    <m/>
    <n v="908.6"/>
    <m/>
    <m/>
    <m/>
    <m/>
    <m/>
    <m/>
    <n v="0"/>
    <m/>
    <m/>
    <m/>
    <m/>
    <m/>
    <m/>
    <m/>
    <m/>
    <m/>
    <m/>
    <m/>
    <m/>
    <n v="908.6"/>
    <n v="-1023.43"/>
    <m/>
    <m/>
    <m/>
    <m/>
    <n v="-2046.8000000000002"/>
    <n v="0"/>
    <n v="31"/>
    <n v="-75.86285805328915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0319063910440001"/>
    <n v="0"/>
    <n v="-75.459667414184764"/>
    <m/>
    <m/>
    <n v="3858.4903363416761"/>
    <m/>
    <n v="0"/>
    <n v="0"/>
    <n v="-2046.8"/>
    <m/>
    <n v="0"/>
    <m/>
    <n v="-1970.92582562310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12"/>
    <s v="Regular"/>
    <s v="Geração"/>
    <s v="A4"/>
    <s v="Não se aplica"/>
    <s v="Não se aplica"/>
    <s v="Não se aplica"/>
    <s v="SOLAR BOA VISTA"/>
    <s v="Não se aplica"/>
    <s v="GERAÇÃO"/>
    <x v="1"/>
    <n v="730"/>
    <n v="365"/>
    <n v="0"/>
    <n v="0"/>
    <n v="0"/>
    <n v="0"/>
    <n v="13.8"/>
    <m/>
    <m/>
    <n v="10074"/>
    <m/>
    <n v="10074"/>
    <n v="4737.7"/>
    <n v="0"/>
    <n v="0"/>
    <n v="0"/>
    <n v="0"/>
    <n v="0"/>
    <n v="0"/>
    <n v="10059.635519747941"/>
    <m/>
    <m/>
    <m/>
    <n v="0"/>
    <n v="0"/>
    <n v="0"/>
    <n v="0"/>
    <m/>
    <n v="16.497417183321456"/>
    <n v="0"/>
    <n v="0"/>
    <n v="0"/>
    <n v="0"/>
    <m/>
    <m/>
    <n v="0"/>
    <n v="0"/>
    <n v="0"/>
    <m/>
    <m/>
    <n v="0"/>
    <m/>
    <n v="0"/>
    <n v="0"/>
    <n v="0"/>
    <n v="0"/>
    <m/>
    <n v="0"/>
    <n v="0"/>
    <n v="50.07"/>
    <n v="0"/>
    <n v="0"/>
    <n v="0"/>
    <m/>
    <m/>
    <n v="2368.85"/>
    <m/>
    <m/>
    <m/>
    <m/>
    <m/>
    <m/>
    <n v="0"/>
    <m/>
    <m/>
    <m/>
    <m/>
    <m/>
    <m/>
    <m/>
    <m/>
    <m/>
    <m/>
    <m/>
    <m/>
    <n v="2368.85"/>
    <n v="-2668.1800000000007"/>
    <m/>
    <m/>
    <m/>
    <m/>
    <n v="-5336.3"/>
    <n v="0"/>
    <n v="31"/>
    <n v="-197.7853084960753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511755948078978"/>
    <n v="0"/>
    <n v="-196.73413290126743"/>
    <m/>
    <m/>
    <n v="10059.635519747941"/>
    <m/>
    <n v="0"/>
    <n v="0"/>
    <n v="-5336.3"/>
    <m/>
    <n v="0"/>
    <m/>
    <n v="-5138.4851882316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13"/>
    <s v="Regular"/>
    <s v="Geração"/>
    <s v="A4"/>
    <s v="Não se aplica"/>
    <s v="Não se aplica"/>
    <s v="Não se aplica"/>
    <s v="SOLAR SÃO MIGUEL"/>
    <s v="Não se aplica"/>
    <s v="GERAÇÃO"/>
    <x v="1"/>
    <n v="561"/>
    <n v="280.5"/>
    <n v="0"/>
    <n v="0"/>
    <n v="0"/>
    <n v="0"/>
    <n v="13.8"/>
    <m/>
    <m/>
    <n v="7741.8"/>
    <m/>
    <n v="7741.8"/>
    <n v="3640.8900000000003"/>
    <n v="0"/>
    <n v="0"/>
    <n v="0"/>
    <n v="0"/>
    <n v="0"/>
    <n v="0"/>
    <n v="7730.7609953131432"/>
    <m/>
    <m/>
    <m/>
    <n v="0"/>
    <n v="0"/>
    <n v="0"/>
    <n v="0"/>
    <m/>
    <n v="12.67815210937443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.47"/>
    <n v="0"/>
    <n v="0"/>
    <n v="0"/>
    <m/>
    <m/>
    <n v="1820.4450000000002"/>
    <m/>
    <m/>
    <m/>
    <m/>
    <m/>
    <m/>
    <n v="0"/>
    <m/>
    <m/>
    <m/>
    <m/>
    <m/>
    <m/>
    <m/>
    <m/>
    <m/>
    <m/>
    <m/>
    <m/>
    <n v="1820.4450000000002"/>
    <n v="-2050.4850000000006"/>
    <m/>
    <m/>
    <m/>
    <m/>
    <n v="-4100.91"/>
    <n v="0"/>
    <n v="31"/>
    <n v="-151.9966548853400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80782124477702943"/>
    <n v="0"/>
    <n v="-151.18883364056305"/>
    <m/>
    <m/>
    <n v="7730.7609953131432"/>
    <m/>
    <n v="0"/>
    <n v="0"/>
    <n v="-4100.91"/>
    <m/>
    <n v="0"/>
    <m/>
    <n v="-3948.89067205199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14"/>
    <s v="Regular"/>
    <s v="Geração"/>
    <s v="A4"/>
    <s v="Não se aplica"/>
    <s v="Não se aplica"/>
    <s v="Não se aplica"/>
    <s v="SOLAR SÃO GABRIEL"/>
    <s v="Não se aplica"/>
    <s v="GERAÇÃO"/>
    <x v="1"/>
    <n v="379"/>
    <n v="189.5"/>
    <n v="0"/>
    <n v="0"/>
    <n v="0"/>
    <n v="0"/>
    <n v="13.8"/>
    <m/>
    <m/>
    <n v="5230.2"/>
    <m/>
    <n v="5230.2"/>
    <n v="2459.71"/>
    <n v="0"/>
    <n v="0"/>
    <n v="0"/>
    <n v="0"/>
    <n v="0"/>
    <n v="0"/>
    <n v="5222.742276691054"/>
    <m/>
    <m/>
    <m/>
    <n v="0"/>
    <n v="0"/>
    <n v="0"/>
    <n v="0"/>
    <m/>
    <n v="8.565097414354564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.99"/>
    <n v="0"/>
    <n v="0"/>
    <n v="0"/>
    <m/>
    <m/>
    <n v="1229.855"/>
    <m/>
    <m/>
    <m/>
    <m/>
    <m/>
    <m/>
    <n v="0"/>
    <m/>
    <m/>
    <m/>
    <m/>
    <m/>
    <m/>
    <m/>
    <m/>
    <m/>
    <m/>
    <m/>
    <m/>
    <n v="1229.855"/>
    <n v="-1385.2750000000005"/>
    <m/>
    <m/>
    <m/>
    <m/>
    <n v="-2770.4900000000002"/>
    <n v="0"/>
    <n v="31"/>
    <n v="-102.685797150702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457473293591697"/>
    <n v="0"/>
    <n v="-102.14004982134294"/>
    <m/>
    <m/>
    <n v="5222.742276691054"/>
    <m/>
    <n v="0"/>
    <n v="0"/>
    <n v="-2770.49"/>
    <m/>
    <n v="0"/>
    <m/>
    <n v="-2667.788885396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15"/>
    <s v="Regular"/>
    <s v="Geração"/>
    <s v="A4"/>
    <s v="Não se aplica"/>
    <s v="Não se aplica"/>
    <s v="Não se aplica"/>
    <s v="SOLAR SÃO RAFAEL"/>
    <s v="Não se aplica"/>
    <s v="GERAÇÃO"/>
    <x v="1"/>
    <n v="718"/>
    <n v="359"/>
    <n v="0"/>
    <n v="0"/>
    <n v="0"/>
    <n v="0"/>
    <n v="13.8"/>
    <m/>
    <m/>
    <n v="9908.4"/>
    <m/>
    <n v="9908.4"/>
    <n v="4659.82"/>
    <n v="0"/>
    <n v="0"/>
    <n v="0"/>
    <n v="0"/>
    <n v="0"/>
    <n v="0"/>
    <n v="9894.2716481904408"/>
    <m/>
    <m/>
    <m/>
    <n v="0"/>
    <n v="0"/>
    <n v="0"/>
    <n v="0"/>
    <m/>
    <n v="16.226226763869597"/>
    <n v="0"/>
    <n v="0"/>
    <n v="0"/>
    <n v="0"/>
    <m/>
    <m/>
    <n v="0"/>
    <n v="0"/>
    <n v="0"/>
    <m/>
    <m/>
    <n v="0"/>
    <m/>
    <n v="0"/>
    <n v="0"/>
    <n v="0"/>
    <n v="0"/>
    <m/>
    <n v="0"/>
    <n v="0"/>
    <n v="49.24"/>
    <n v="0"/>
    <n v="0"/>
    <n v="0"/>
    <m/>
    <m/>
    <n v="2329.91"/>
    <m/>
    <m/>
    <m/>
    <m/>
    <m/>
    <m/>
    <n v="0"/>
    <m/>
    <m/>
    <m/>
    <m/>
    <m/>
    <m/>
    <m/>
    <m/>
    <m/>
    <m/>
    <m/>
    <m/>
    <n v="2329.91"/>
    <n v="-2624.3200000000006"/>
    <m/>
    <m/>
    <m/>
    <m/>
    <n v="-5248.58"/>
    <n v="0"/>
    <n v="31"/>
    <n v="-194.534043150934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338959959891376"/>
    <n v="0"/>
    <n v="-193.50014715494521"/>
    <m/>
    <m/>
    <n v="9894.2716481904408"/>
    <m/>
    <n v="0"/>
    <n v="0"/>
    <n v="-5248.58"/>
    <m/>
    <n v="0"/>
    <m/>
    <n v="-5054.01693856209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16"/>
    <s v="Regular"/>
    <s v="Geração"/>
    <s v="A4"/>
    <s v="Não se aplica"/>
    <s v="Não se aplica"/>
    <s v="Não se aplica"/>
    <s v="RIO FORTALEZA"/>
    <s v="Não se aplica"/>
    <s v="GERAÇÃO"/>
    <x v="2"/>
    <n v="880"/>
    <n v="440"/>
    <n v="0"/>
    <n v="0"/>
    <n v="0"/>
    <n v="0"/>
    <n v="13.8"/>
    <m/>
    <m/>
    <n v="12144"/>
    <m/>
    <n v="12144"/>
    <n v="5711.2"/>
    <n v="0"/>
    <n v="0"/>
    <n v="0"/>
    <n v="0"/>
    <n v="0"/>
    <n v="0"/>
    <n v="12126.683914216695"/>
    <m/>
    <m/>
    <m/>
    <n v="0"/>
    <n v="0"/>
    <n v="0"/>
    <n v="0"/>
    <m/>
    <n v="19.8872974264697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57.67"/>
    <n v="0"/>
    <n v="0"/>
    <n v="0"/>
    <m/>
    <m/>
    <n v="2855.6"/>
    <m/>
    <m/>
    <m/>
    <m/>
    <m/>
    <m/>
    <n v="0"/>
    <m/>
    <m/>
    <m/>
    <m/>
    <m/>
    <m/>
    <m/>
    <m/>
    <m/>
    <m/>
    <m/>
    <m/>
    <n v="2855.6"/>
    <n v="-3216.4300000000007"/>
    <m/>
    <m/>
    <m/>
    <m/>
    <n v="-6432.8"/>
    <n v="0"/>
    <n v="30"/>
    <n v="-238.426125310337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671705800424"/>
    <n v="0"/>
    <n v="-237.15895473029497"/>
    <m/>
    <m/>
    <n v="12126.683914216695"/>
    <m/>
    <n v="0"/>
    <n v="0"/>
    <n v="-6432.8"/>
    <m/>
    <n v="0"/>
    <m/>
    <n v="-6194.33830910117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17"/>
    <s v="Regular"/>
    <s v="Geração"/>
    <s v="A4"/>
    <s v="Não se aplica"/>
    <s v="Não se aplica"/>
    <s v="Não se aplica"/>
    <s v="BRAGA"/>
    <s v="Não se aplica"/>
    <s v="GERAÇÃO"/>
    <x v="2"/>
    <n v="520"/>
    <n v="260"/>
    <n v="0"/>
    <n v="0"/>
    <n v="0"/>
    <n v="0"/>
    <n v="13.8"/>
    <m/>
    <m/>
    <n v="7176"/>
    <m/>
    <n v="7176"/>
    <n v="3374.8"/>
    <n v="0"/>
    <n v="0"/>
    <n v="0"/>
    <n v="0"/>
    <n v="0"/>
    <n v="0"/>
    <n v="7165.767767491684"/>
    <m/>
    <m/>
    <m/>
    <n v="0"/>
    <n v="0"/>
    <n v="0"/>
    <n v="0"/>
    <m/>
    <n v="11.7515848429139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.08"/>
    <n v="0"/>
    <n v="0"/>
    <n v="0"/>
    <m/>
    <m/>
    <n v="1687.4"/>
    <m/>
    <m/>
    <m/>
    <m/>
    <m/>
    <m/>
    <n v="0"/>
    <m/>
    <m/>
    <m/>
    <m/>
    <m/>
    <m/>
    <m/>
    <m/>
    <m/>
    <m/>
    <m/>
    <m/>
    <n v="1687.4"/>
    <n v="-1900.6300000000006"/>
    <m/>
    <m/>
    <m/>
    <m/>
    <n v="-3801.2000000000003"/>
    <n v="0"/>
    <n v="30"/>
    <n v="-140.888164956108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74878261547960001"/>
    <n v="0"/>
    <n v="-140.13938234062886"/>
    <m/>
    <m/>
    <n v="7165.767767491684"/>
    <m/>
    <n v="0"/>
    <n v="0"/>
    <n v="-3801.2"/>
    <m/>
    <n v="0"/>
    <m/>
    <n v="-3660.29081901433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18"/>
    <s v="Regular"/>
    <s v="Geração"/>
    <s v="A4"/>
    <s v="Não se aplica"/>
    <s v="Não se aplica"/>
    <s v="Não se aplica"/>
    <s v="LINHA GRANJA VELHA"/>
    <s v="Não se aplica"/>
    <s v="GERAÇÃO"/>
    <x v="2"/>
    <n v="1000"/>
    <n v="500"/>
    <n v="0"/>
    <n v="0"/>
    <n v="0"/>
    <n v="0"/>
    <n v="13.8"/>
    <m/>
    <m/>
    <n v="13800"/>
    <m/>
    <n v="13800"/>
    <n v="6490"/>
    <n v="0"/>
    <n v="0"/>
    <n v="0"/>
    <n v="0"/>
    <n v="0"/>
    <n v="0"/>
    <n v="13780.322629791699"/>
    <m/>
    <m/>
    <m/>
    <n v="0"/>
    <n v="0"/>
    <n v="0"/>
    <n v="0"/>
    <m/>
    <n v="22.5992016209883"/>
    <n v="0"/>
    <n v="0"/>
    <n v="0"/>
    <n v="0"/>
    <m/>
    <m/>
    <n v="0"/>
    <n v="0"/>
    <n v="0"/>
    <m/>
    <m/>
    <n v="0"/>
    <m/>
    <n v="0"/>
    <n v="0"/>
    <n v="0"/>
    <n v="0"/>
    <m/>
    <n v="0"/>
    <n v="0"/>
    <n v="65.540000000000006"/>
    <n v="0"/>
    <n v="0"/>
    <n v="0"/>
    <m/>
    <m/>
    <n v="3245"/>
    <m/>
    <m/>
    <m/>
    <m/>
    <m/>
    <m/>
    <n v="0"/>
    <m/>
    <m/>
    <m/>
    <m/>
    <m/>
    <m/>
    <m/>
    <m/>
    <m/>
    <m/>
    <m/>
    <m/>
    <n v="3245"/>
    <n v="-3655.0300000000007"/>
    <m/>
    <m/>
    <m/>
    <m/>
    <n v="-7310.0000000000009"/>
    <n v="0"/>
    <n v="30"/>
    <n v="-270.9387787617470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399665682300018"/>
    <n v="0"/>
    <n v="-269.49881219351704"/>
    <m/>
    <m/>
    <n v="13780.322629791699"/>
    <m/>
    <n v="0"/>
    <n v="0"/>
    <n v="-7310"/>
    <m/>
    <n v="0"/>
    <m/>
    <n v="-7039.02080579678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19"/>
    <s v="Regular"/>
    <s v="Geração"/>
    <s v="A4"/>
    <s v="Não se aplica"/>
    <s v="Não se aplica"/>
    <s v="Não se aplica"/>
    <s v="CARLOS BEVILÁCQUA"/>
    <s v="Não se aplica"/>
    <s v="GERAÇÃO"/>
    <x v="2"/>
    <n v="800"/>
    <n v="400"/>
    <n v="0"/>
    <n v="0"/>
    <n v="0"/>
    <n v="0"/>
    <n v="13.8"/>
    <m/>
    <m/>
    <n v="11040"/>
    <m/>
    <n v="11040"/>
    <n v="5192"/>
    <n v="0"/>
    <n v="0"/>
    <n v="0"/>
    <n v="0"/>
    <n v="0"/>
    <n v="0"/>
    <n v="11024.258103833359"/>
    <m/>
    <m/>
    <m/>
    <n v="0"/>
    <n v="0"/>
    <n v="0"/>
    <n v="0"/>
    <m/>
    <n v="18.0793612967906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52.43"/>
    <n v="0"/>
    <n v="0"/>
    <n v="0"/>
    <m/>
    <m/>
    <n v="2596"/>
    <m/>
    <m/>
    <m/>
    <m/>
    <m/>
    <m/>
    <n v="0"/>
    <m/>
    <m/>
    <m/>
    <m/>
    <m/>
    <m/>
    <m/>
    <m/>
    <m/>
    <m/>
    <m/>
    <m/>
    <n v="2596"/>
    <n v="-2924.0300000000007"/>
    <m/>
    <m/>
    <m/>
    <m/>
    <n v="-5848"/>
    <n v="0"/>
    <n v="30"/>
    <n v="-216.7510230093976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1519732545839965"/>
    <n v="0"/>
    <n v="-215.59904975481362"/>
    <m/>
    <m/>
    <n v="11024.258103833359"/>
    <m/>
    <n v="0"/>
    <n v="0"/>
    <n v="-5848"/>
    <m/>
    <n v="0"/>
    <m/>
    <n v="-5631.21664463743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20"/>
    <s v="Regular"/>
    <s v="Geração"/>
    <s v="A4"/>
    <s v="Não se aplica"/>
    <s v="Não se aplica"/>
    <s v="Não se aplica"/>
    <s v="MOINHO"/>
    <s v="Não se aplica"/>
    <s v="GERAÇÃO"/>
    <x v="2"/>
    <n v="270"/>
    <n v="135"/>
    <n v="0"/>
    <n v="0"/>
    <n v="0"/>
    <n v="0"/>
    <n v="13.8"/>
    <m/>
    <m/>
    <n v="3726"/>
    <m/>
    <n v="3726"/>
    <n v="1752.3"/>
    <n v="0"/>
    <n v="0"/>
    <n v="0"/>
    <n v="0"/>
    <n v="0"/>
    <n v="0"/>
    <n v="3720.6871100437588"/>
    <m/>
    <m/>
    <m/>
    <n v="0"/>
    <n v="0"/>
    <n v="0"/>
    <n v="0"/>
    <m/>
    <n v="6.1017844376668409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.690000000000001"/>
    <n v="0"/>
    <n v="0"/>
    <n v="0"/>
    <m/>
    <m/>
    <n v="876.15"/>
    <m/>
    <m/>
    <m/>
    <m/>
    <m/>
    <m/>
    <n v="0"/>
    <m/>
    <m/>
    <m/>
    <m/>
    <m/>
    <m/>
    <m/>
    <m/>
    <m/>
    <m/>
    <m/>
    <m/>
    <n v="876.15"/>
    <n v="-986.88"/>
    <m/>
    <m/>
    <m/>
    <m/>
    <n v="-1973.7"/>
    <n v="0"/>
    <n v="30"/>
    <n v="-73.15347026567168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8879097342209956"/>
    <n v="0"/>
    <n v="-72.764679292249596"/>
    <m/>
    <m/>
    <n v="3720.6871100437588"/>
    <m/>
    <n v="0"/>
    <n v="0"/>
    <n v="-1973.7"/>
    <m/>
    <n v="0"/>
    <m/>
    <n v="-1900.53561756513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21"/>
    <s v="Regular"/>
    <s v="Geração"/>
    <s v="A4"/>
    <s v="Não se aplica"/>
    <s v="Não se aplica"/>
    <s v="Não se aplica"/>
    <s v="CASCATA DO BARREIRO"/>
    <s v="Não se aplica"/>
    <s v="GERAÇÃO"/>
    <x v="2"/>
    <n v="280"/>
    <n v="140"/>
    <n v="0"/>
    <n v="0"/>
    <n v="0"/>
    <n v="0"/>
    <n v="13.8"/>
    <m/>
    <m/>
    <n v="3864"/>
    <m/>
    <n v="3864"/>
    <n v="1817.2"/>
    <n v="0"/>
    <n v="0"/>
    <n v="0"/>
    <n v="0"/>
    <n v="0"/>
    <n v="0"/>
    <n v="3858.4903363416761"/>
    <m/>
    <m/>
    <m/>
    <n v="0"/>
    <n v="0"/>
    <n v="0"/>
    <n v="0"/>
    <m/>
    <n v="6.3277764538767238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350000000000001"/>
    <n v="0"/>
    <n v="0"/>
    <n v="0"/>
    <m/>
    <m/>
    <n v="908.6"/>
    <m/>
    <m/>
    <m/>
    <m/>
    <m/>
    <m/>
    <n v="0"/>
    <m/>
    <m/>
    <m/>
    <m/>
    <m/>
    <m/>
    <m/>
    <m/>
    <m/>
    <m/>
    <m/>
    <m/>
    <n v="908.6"/>
    <n v="-1023.43"/>
    <m/>
    <m/>
    <m/>
    <m/>
    <n v="-2046.8000000000002"/>
    <n v="0"/>
    <n v="30"/>
    <n v="-75.86285805328915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0319063910440001"/>
    <n v="0"/>
    <n v="-75.459667414184764"/>
    <m/>
    <m/>
    <n v="3858.4903363416761"/>
    <m/>
    <n v="0"/>
    <n v="0"/>
    <n v="-2046.8"/>
    <m/>
    <n v="0"/>
    <m/>
    <n v="-1970.92582562310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22"/>
    <s v="Regular"/>
    <s v="Geração"/>
    <s v="A4"/>
    <s v="Não se aplica"/>
    <s v="Não se aplica"/>
    <s v="Não se aplica"/>
    <s v="SOLAR BOA VISTA"/>
    <s v="Não se aplica"/>
    <s v="GERAÇÃO"/>
    <x v="2"/>
    <n v="730"/>
    <n v="365"/>
    <n v="0"/>
    <n v="0"/>
    <n v="0"/>
    <n v="0"/>
    <n v="13.8"/>
    <m/>
    <m/>
    <n v="10074"/>
    <m/>
    <n v="10074"/>
    <n v="4737.7"/>
    <n v="0"/>
    <n v="0"/>
    <n v="0"/>
    <n v="0"/>
    <n v="0"/>
    <n v="0"/>
    <n v="10059.635519747941"/>
    <m/>
    <m/>
    <m/>
    <n v="0"/>
    <n v="0"/>
    <n v="0"/>
    <n v="0"/>
    <m/>
    <n v="16.497417183321456"/>
    <n v="0"/>
    <n v="0"/>
    <n v="0"/>
    <n v="0"/>
    <m/>
    <m/>
    <n v="0"/>
    <n v="0"/>
    <n v="0"/>
    <m/>
    <m/>
    <n v="0"/>
    <m/>
    <n v="0"/>
    <n v="0"/>
    <n v="0"/>
    <n v="0"/>
    <m/>
    <n v="0"/>
    <n v="0"/>
    <n v="47.84"/>
    <n v="0"/>
    <n v="0"/>
    <n v="0"/>
    <m/>
    <m/>
    <n v="2368.85"/>
    <m/>
    <m/>
    <m/>
    <m/>
    <m/>
    <m/>
    <n v="0"/>
    <m/>
    <m/>
    <m/>
    <m/>
    <m/>
    <m/>
    <m/>
    <m/>
    <m/>
    <m/>
    <m/>
    <m/>
    <n v="2368.85"/>
    <n v="-2668.1800000000007"/>
    <m/>
    <m/>
    <m/>
    <m/>
    <n v="-5336.3"/>
    <n v="0"/>
    <n v="30"/>
    <n v="-197.7853084960753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511755948078978"/>
    <n v="0"/>
    <n v="-196.73413290126743"/>
    <m/>
    <m/>
    <n v="10059.635519747941"/>
    <m/>
    <n v="0"/>
    <n v="0"/>
    <n v="-5336.3"/>
    <m/>
    <n v="0"/>
    <m/>
    <n v="-5138.4851882316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23"/>
    <s v="Regular"/>
    <s v="Geração"/>
    <s v="A4"/>
    <s v="Não se aplica"/>
    <s v="Não se aplica"/>
    <s v="Não se aplica"/>
    <s v="SOLAR SÃO MIGUEL"/>
    <s v="Não se aplica"/>
    <s v="GERAÇÃO"/>
    <x v="2"/>
    <n v="561"/>
    <n v="280.5"/>
    <n v="0"/>
    <n v="0"/>
    <n v="0"/>
    <n v="0"/>
    <n v="13.8"/>
    <m/>
    <m/>
    <n v="7741.8"/>
    <m/>
    <n v="7741.8"/>
    <n v="3640.8900000000003"/>
    <n v="0"/>
    <n v="0"/>
    <n v="0"/>
    <n v="0"/>
    <n v="0"/>
    <n v="0"/>
    <n v="7730.7609953131432"/>
    <m/>
    <m/>
    <m/>
    <n v="0"/>
    <n v="0"/>
    <n v="0"/>
    <n v="0"/>
    <m/>
    <n v="12.67815210937443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.770000000000003"/>
    <n v="0"/>
    <n v="0"/>
    <n v="0"/>
    <m/>
    <m/>
    <n v="1820.4450000000002"/>
    <m/>
    <m/>
    <m/>
    <m/>
    <m/>
    <m/>
    <n v="0"/>
    <m/>
    <m/>
    <m/>
    <m/>
    <m/>
    <m/>
    <m/>
    <m/>
    <m/>
    <m/>
    <m/>
    <m/>
    <n v="1820.4450000000002"/>
    <n v="-2050.4850000000006"/>
    <m/>
    <m/>
    <m/>
    <m/>
    <n v="-4100.91"/>
    <n v="0"/>
    <n v="30"/>
    <n v="-151.9966548853400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80782124477702943"/>
    <n v="0"/>
    <n v="-151.18883364056305"/>
    <m/>
    <m/>
    <n v="7730.7609953131432"/>
    <m/>
    <n v="0"/>
    <n v="0"/>
    <n v="-4100.91"/>
    <m/>
    <n v="0"/>
    <m/>
    <n v="-3948.89067205199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24"/>
    <s v="Regular"/>
    <s v="Geração"/>
    <s v="A4"/>
    <s v="Não se aplica"/>
    <s v="Não se aplica"/>
    <s v="Não se aplica"/>
    <s v="SOLAR SÃO GABRIEL"/>
    <s v="Não se aplica"/>
    <s v="GERAÇÃO"/>
    <x v="2"/>
    <n v="379"/>
    <n v="189.5"/>
    <n v="0"/>
    <n v="0"/>
    <n v="0"/>
    <n v="0"/>
    <n v="13.8"/>
    <m/>
    <m/>
    <n v="5230.2"/>
    <m/>
    <n v="5230.2"/>
    <n v="2459.71"/>
    <n v="0"/>
    <n v="0"/>
    <n v="0"/>
    <n v="0"/>
    <n v="0"/>
    <n v="0"/>
    <n v="5222.742276691054"/>
    <m/>
    <m/>
    <m/>
    <n v="0"/>
    <n v="0"/>
    <n v="0"/>
    <n v="0"/>
    <m/>
    <n v="8.565097414354564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.83"/>
    <n v="0"/>
    <n v="0"/>
    <n v="0"/>
    <m/>
    <m/>
    <n v="1229.855"/>
    <m/>
    <m/>
    <m/>
    <m/>
    <m/>
    <m/>
    <n v="0"/>
    <m/>
    <m/>
    <m/>
    <m/>
    <m/>
    <m/>
    <m/>
    <m/>
    <m/>
    <m/>
    <m/>
    <m/>
    <n v="1229.855"/>
    <n v="-1385.2750000000005"/>
    <m/>
    <m/>
    <m/>
    <m/>
    <n v="-2770.4900000000002"/>
    <n v="0"/>
    <n v="30"/>
    <n v="-102.685797150702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457473293591697"/>
    <n v="0"/>
    <n v="-102.14004982134294"/>
    <m/>
    <m/>
    <n v="5222.742276691054"/>
    <m/>
    <n v="0"/>
    <n v="0"/>
    <n v="-2770.49"/>
    <m/>
    <n v="0"/>
    <m/>
    <n v="-2667.788885396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25"/>
    <s v="Regular"/>
    <s v="Geração"/>
    <s v="A4"/>
    <s v="Não se aplica"/>
    <s v="Não se aplica"/>
    <s v="Não se aplica"/>
    <s v="SOLAR SÃO RAFAEL"/>
    <s v="Não se aplica"/>
    <s v="GERAÇÃO"/>
    <x v="2"/>
    <n v="718"/>
    <n v="359"/>
    <n v="0"/>
    <n v="0"/>
    <n v="0"/>
    <n v="0"/>
    <n v="13.8"/>
    <m/>
    <m/>
    <n v="9908.4"/>
    <m/>
    <n v="9908.4"/>
    <n v="4659.82"/>
    <n v="0"/>
    <n v="0"/>
    <n v="0"/>
    <n v="0"/>
    <n v="0"/>
    <n v="0"/>
    <n v="9894.2716481904408"/>
    <m/>
    <m/>
    <m/>
    <n v="0"/>
    <n v="0"/>
    <n v="0"/>
    <n v="0"/>
    <m/>
    <n v="16.226226763869597"/>
    <n v="0"/>
    <n v="0"/>
    <n v="0"/>
    <n v="0"/>
    <m/>
    <m/>
    <n v="0"/>
    <n v="0"/>
    <n v="0"/>
    <m/>
    <m/>
    <n v="0"/>
    <m/>
    <n v="0"/>
    <n v="0"/>
    <n v="0"/>
    <n v="0"/>
    <m/>
    <n v="0"/>
    <n v="0"/>
    <n v="47.06"/>
    <n v="0"/>
    <n v="0"/>
    <n v="0"/>
    <m/>
    <m/>
    <n v="2329.91"/>
    <m/>
    <m/>
    <m/>
    <m/>
    <m/>
    <m/>
    <n v="0"/>
    <m/>
    <m/>
    <m/>
    <m/>
    <m/>
    <m/>
    <m/>
    <m/>
    <m/>
    <m/>
    <m/>
    <m/>
    <n v="2329.91"/>
    <n v="-2624.3200000000006"/>
    <m/>
    <m/>
    <m/>
    <m/>
    <n v="-5248.58"/>
    <n v="0"/>
    <n v="30"/>
    <n v="-194.534043150934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338959959891376"/>
    <n v="0"/>
    <n v="-193.50014715494521"/>
    <m/>
    <m/>
    <n v="9894.2716481904408"/>
    <m/>
    <n v="0"/>
    <n v="0"/>
    <n v="-5248.58"/>
    <m/>
    <n v="0"/>
    <m/>
    <n v="-5054.01693856209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26"/>
    <s v="Regular"/>
    <s v="Geração"/>
    <s v="A4"/>
    <s v="Não se aplica"/>
    <s v="Não se aplica"/>
    <s v="Não se aplica"/>
    <s v="RIO FORTALEZA"/>
    <s v="Não se aplica"/>
    <s v="GERAÇÃO"/>
    <x v="3"/>
    <n v="880"/>
    <n v="440"/>
    <n v="0"/>
    <n v="0"/>
    <n v="0"/>
    <n v="0"/>
    <n v="13.8"/>
    <m/>
    <m/>
    <n v="12144"/>
    <m/>
    <n v="12144"/>
    <n v="5711.2"/>
    <n v="0"/>
    <n v="0"/>
    <n v="0"/>
    <n v="0"/>
    <n v="0"/>
    <n v="0"/>
    <n v="12126.683914216695"/>
    <m/>
    <m/>
    <m/>
    <n v="0"/>
    <n v="0"/>
    <n v="0"/>
    <n v="0"/>
    <m/>
    <n v="19.8872974264697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72.31"/>
    <n v="0"/>
    <n v="0"/>
    <n v="0"/>
    <m/>
    <m/>
    <n v="2855.6"/>
    <m/>
    <m/>
    <m/>
    <m/>
    <m/>
    <m/>
    <n v="0"/>
    <m/>
    <m/>
    <m/>
    <m/>
    <m/>
    <m/>
    <m/>
    <m/>
    <m/>
    <m/>
    <m/>
    <m/>
    <n v="2855.6"/>
    <n v="-3216.4300000000007"/>
    <m/>
    <m/>
    <m/>
    <m/>
    <n v="-6432.8"/>
    <n v="0"/>
    <n v="31"/>
    <n v="-238.426125310337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671705800424"/>
    <n v="0"/>
    <n v="-237.15895473029497"/>
    <m/>
    <m/>
    <n v="12126.683914216695"/>
    <m/>
    <n v="0"/>
    <n v="0"/>
    <n v="-6432.8"/>
    <m/>
    <n v="0"/>
    <m/>
    <n v="-6194.33830910117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27"/>
    <s v="Regular"/>
    <s v="Geração"/>
    <s v="A4"/>
    <s v="Não se aplica"/>
    <s v="Não se aplica"/>
    <s v="Não se aplica"/>
    <s v="BRAGA"/>
    <s v="Não se aplica"/>
    <s v="GERAÇÃO"/>
    <x v="3"/>
    <n v="520"/>
    <n v="260"/>
    <n v="0"/>
    <n v="0"/>
    <n v="0"/>
    <n v="0"/>
    <n v="13.8"/>
    <m/>
    <m/>
    <n v="7176"/>
    <m/>
    <n v="7176"/>
    <n v="3374.8"/>
    <n v="0"/>
    <n v="0"/>
    <n v="0"/>
    <n v="0"/>
    <n v="0"/>
    <n v="0"/>
    <n v="7165.767767491684"/>
    <m/>
    <m/>
    <m/>
    <n v="0"/>
    <n v="0"/>
    <n v="0"/>
    <n v="0"/>
    <m/>
    <n v="11.7515848429139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42.72"/>
    <n v="0"/>
    <n v="0"/>
    <n v="0"/>
    <m/>
    <m/>
    <n v="1687.4"/>
    <m/>
    <m/>
    <m/>
    <m/>
    <m/>
    <m/>
    <n v="0"/>
    <m/>
    <m/>
    <m/>
    <m/>
    <m/>
    <m/>
    <m/>
    <m/>
    <m/>
    <m/>
    <m/>
    <m/>
    <n v="1687.4"/>
    <n v="-1900.6300000000006"/>
    <m/>
    <m/>
    <m/>
    <m/>
    <n v="-3801.2000000000003"/>
    <n v="0"/>
    <n v="31"/>
    <n v="-140.888164956108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74878261547960001"/>
    <n v="0"/>
    <n v="-140.13938234062886"/>
    <m/>
    <m/>
    <n v="7165.767767491684"/>
    <m/>
    <n v="0"/>
    <n v="0"/>
    <n v="-3801.2"/>
    <m/>
    <n v="0"/>
    <m/>
    <n v="-3660.29081901433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28"/>
    <s v="Regular"/>
    <s v="Geração"/>
    <s v="A4"/>
    <s v="Não se aplica"/>
    <s v="Não se aplica"/>
    <s v="Não se aplica"/>
    <s v="LINHA GRANJA VELHA"/>
    <s v="Não se aplica"/>
    <s v="GERAÇÃO"/>
    <x v="3"/>
    <n v="1000"/>
    <n v="500"/>
    <n v="0"/>
    <n v="0"/>
    <n v="0"/>
    <n v="0"/>
    <n v="13.8"/>
    <m/>
    <m/>
    <n v="13800"/>
    <m/>
    <n v="13800"/>
    <n v="6490"/>
    <n v="0"/>
    <n v="0"/>
    <n v="0"/>
    <n v="0"/>
    <n v="0"/>
    <n v="0"/>
    <n v="13780.322629791699"/>
    <m/>
    <m/>
    <m/>
    <n v="0"/>
    <n v="0"/>
    <n v="0"/>
    <n v="0"/>
    <m/>
    <n v="22.5992016209883"/>
    <n v="0"/>
    <n v="0"/>
    <n v="0"/>
    <n v="0"/>
    <m/>
    <m/>
    <n v="0"/>
    <n v="0"/>
    <n v="0"/>
    <m/>
    <m/>
    <n v="0"/>
    <m/>
    <n v="0"/>
    <n v="0"/>
    <n v="0"/>
    <n v="0"/>
    <m/>
    <n v="0"/>
    <n v="0"/>
    <n v="82.17"/>
    <n v="0"/>
    <n v="0"/>
    <n v="0"/>
    <m/>
    <m/>
    <n v="3245"/>
    <m/>
    <m/>
    <m/>
    <m/>
    <m/>
    <m/>
    <n v="0"/>
    <m/>
    <m/>
    <m/>
    <m/>
    <m/>
    <m/>
    <m/>
    <m/>
    <m/>
    <m/>
    <m/>
    <m/>
    <n v="3245"/>
    <n v="-3655.0300000000007"/>
    <m/>
    <m/>
    <m/>
    <m/>
    <n v="-7310.0000000000009"/>
    <n v="0"/>
    <n v="31"/>
    <n v="-270.9387787617470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399665682300018"/>
    <n v="0"/>
    <n v="-269.49881219351704"/>
    <m/>
    <m/>
    <n v="13780.322629791699"/>
    <m/>
    <n v="0"/>
    <n v="0"/>
    <n v="-7310"/>
    <m/>
    <n v="0"/>
    <m/>
    <n v="-7039.02080579678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29"/>
    <s v="Regular"/>
    <s v="Geração"/>
    <s v="A4"/>
    <s v="Não se aplica"/>
    <s v="Não se aplica"/>
    <s v="Não se aplica"/>
    <s v="CARLOS BEVILÁCQUA"/>
    <s v="Não se aplica"/>
    <s v="GERAÇÃO"/>
    <x v="3"/>
    <n v="800"/>
    <n v="400"/>
    <n v="0"/>
    <n v="0"/>
    <n v="0"/>
    <n v="0"/>
    <n v="13.8"/>
    <m/>
    <m/>
    <n v="11040"/>
    <m/>
    <n v="11040"/>
    <n v="5192"/>
    <n v="0"/>
    <n v="0"/>
    <n v="0"/>
    <n v="0"/>
    <n v="0"/>
    <n v="0"/>
    <n v="11024.258103833359"/>
    <m/>
    <m/>
    <m/>
    <n v="0"/>
    <n v="0"/>
    <n v="0"/>
    <n v="0"/>
    <m/>
    <n v="18.0793612967906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65.739999999999995"/>
    <n v="0"/>
    <n v="0"/>
    <n v="0"/>
    <m/>
    <m/>
    <n v="2596"/>
    <m/>
    <m/>
    <m/>
    <m/>
    <m/>
    <m/>
    <n v="0"/>
    <m/>
    <m/>
    <m/>
    <m/>
    <m/>
    <m/>
    <m/>
    <m/>
    <m/>
    <m/>
    <m/>
    <m/>
    <n v="2596"/>
    <n v="-2924.0300000000007"/>
    <m/>
    <m/>
    <m/>
    <m/>
    <n v="-5848"/>
    <n v="0"/>
    <n v="31"/>
    <n v="-216.7510230093976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1519732545839965"/>
    <n v="0"/>
    <n v="-215.59904975481362"/>
    <m/>
    <m/>
    <n v="11024.258103833359"/>
    <m/>
    <n v="0"/>
    <n v="0"/>
    <n v="-5848"/>
    <m/>
    <n v="0"/>
    <m/>
    <n v="-5631.21664463743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30"/>
    <s v="Regular"/>
    <s v="Geração"/>
    <s v="A4"/>
    <s v="Não se aplica"/>
    <s v="Não se aplica"/>
    <s v="Não se aplica"/>
    <s v="MOINHO"/>
    <s v="Não se aplica"/>
    <s v="GERAÇÃO"/>
    <x v="3"/>
    <n v="270"/>
    <n v="135"/>
    <n v="0"/>
    <n v="0"/>
    <n v="0"/>
    <n v="0"/>
    <n v="13.8"/>
    <m/>
    <m/>
    <n v="3726"/>
    <m/>
    <n v="3726"/>
    <n v="1752.3"/>
    <n v="0"/>
    <n v="0"/>
    <n v="0"/>
    <n v="0"/>
    <n v="0"/>
    <n v="0"/>
    <n v="3720.6871100437588"/>
    <m/>
    <m/>
    <m/>
    <n v="0"/>
    <n v="0"/>
    <n v="0"/>
    <n v="0"/>
    <m/>
    <n v="6.1017844376668409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.18"/>
    <n v="0"/>
    <n v="0"/>
    <n v="0"/>
    <m/>
    <m/>
    <n v="876.15"/>
    <m/>
    <m/>
    <m/>
    <m/>
    <m/>
    <m/>
    <n v="0"/>
    <m/>
    <m/>
    <m/>
    <m/>
    <m/>
    <m/>
    <m/>
    <m/>
    <m/>
    <m/>
    <m/>
    <m/>
    <n v="876.15"/>
    <n v="-986.88"/>
    <m/>
    <m/>
    <m/>
    <m/>
    <n v="-1973.7"/>
    <n v="0"/>
    <n v="31"/>
    <n v="-73.15347026567168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8879097342209956"/>
    <n v="0"/>
    <n v="-72.764679292249596"/>
    <m/>
    <m/>
    <n v="3720.6871100437588"/>
    <m/>
    <n v="0"/>
    <n v="0"/>
    <n v="-1973.7"/>
    <m/>
    <n v="0"/>
    <m/>
    <n v="-1900.53561756513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31"/>
    <s v="Regular"/>
    <s v="Geração"/>
    <s v="A4"/>
    <s v="Não se aplica"/>
    <s v="Não se aplica"/>
    <s v="Não se aplica"/>
    <s v="CASCATA DO BARREIRO"/>
    <s v="Não se aplica"/>
    <s v="GERAÇÃO"/>
    <x v="3"/>
    <n v="280"/>
    <n v="140"/>
    <n v="0"/>
    <n v="0"/>
    <n v="0"/>
    <n v="0"/>
    <n v="13.8"/>
    <m/>
    <m/>
    <n v="3864"/>
    <m/>
    <n v="3864"/>
    <n v="1817.2"/>
    <n v="0"/>
    <n v="0"/>
    <n v="0"/>
    <n v="0"/>
    <n v="0"/>
    <n v="0"/>
    <n v="3858.4903363416761"/>
    <m/>
    <m/>
    <m/>
    <n v="0"/>
    <n v="0"/>
    <n v="0"/>
    <n v="0"/>
    <m/>
    <n v="6.3277764538767238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"/>
    <n v="0"/>
    <n v="0"/>
    <n v="0"/>
    <m/>
    <m/>
    <n v="908.6"/>
    <m/>
    <m/>
    <m/>
    <m/>
    <m/>
    <m/>
    <n v="0"/>
    <m/>
    <m/>
    <m/>
    <m/>
    <m/>
    <m/>
    <m/>
    <m/>
    <m/>
    <m/>
    <m/>
    <m/>
    <n v="908.6"/>
    <n v="-1023.43"/>
    <m/>
    <m/>
    <m/>
    <m/>
    <n v="-2046.8000000000002"/>
    <n v="0"/>
    <n v="31"/>
    <n v="-75.86285805328915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0319063910440001"/>
    <n v="0"/>
    <n v="-75.459667414184764"/>
    <m/>
    <m/>
    <n v="3858.4903363416761"/>
    <m/>
    <n v="0"/>
    <n v="0"/>
    <n v="-2046.8"/>
    <m/>
    <n v="0"/>
    <m/>
    <n v="-1970.92582562310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32"/>
    <s v="Regular"/>
    <s v="Geração"/>
    <s v="A4"/>
    <s v="Não se aplica"/>
    <s v="Não se aplica"/>
    <s v="Não se aplica"/>
    <s v="SOLAR BOA VISTA"/>
    <s v="Não se aplica"/>
    <s v="GERAÇÃO"/>
    <x v="3"/>
    <n v="730"/>
    <n v="365"/>
    <n v="0"/>
    <n v="0"/>
    <n v="0"/>
    <n v="0"/>
    <n v="13.8"/>
    <m/>
    <m/>
    <n v="10074"/>
    <m/>
    <n v="10074"/>
    <n v="4737.7"/>
    <n v="0"/>
    <n v="0"/>
    <n v="0"/>
    <n v="0"/>
    <n v="0"/>
    <n v="0"/>
    <n v="10059.635519747941"/>
    <m/>
    <m/>
    <m/>
    <n v="0"/>
    <n v="0"/>
    <n v="0"/>
    <n v="0"/>
    <m/>
    <n v="16.497417183321456"/>
    <n v="0"/>
    <n v="0"/>
    <n v="0"/>
    <n v="0"/>
    <m/>
    <m/>
    <n v="0"/>
    <n v="0"/>
    <n v="0"/>
    <m/>
    <m/>
    <n v="0"/>
    <m/>
    <n v="0"/>
    <n v="0"/>
    <n v="0"/>
    <n v="0"/>
    <m/>
    <n v="0"/>
    <n v="0"/>
    <n v="59.99"/>
    <n v="0"/>
    <n v="0"/>
    <n v="0"/>
    <m/>
    <m/>
    <n v="2368.85"/>
    <m/>
    <m/>
    <m/>
    <m/>
    <m/>
    <m/>
    <n v="0"/>
    <m/>
    <m/>
    <m/>
    <m/>
    <m/>
    <m/>
    <m/>
    <m/>
    <m/>
    <m/>
    <m/>
    <m/>
    <n v="2368.85"/>
    <n v="-2668.1800000000007"/>
    <m/>
    <m/>
    <m/>
    <m/>
    <n v="-5336.3"/>
    <n v="0"/>
    <n v="31"/>
    <n v="-197.7853084960753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511755948078978"/>
    <n v="0"/>
    <n v="-196.73413290126743"/>
    <m/>
    <m/>
    <n v="10059.635519747941"/>
    <m/>
    <n v="0"/>
    <n v="0"/>
    <n v="-5336.3"/>
    <m/>
    <n v="0"/>
    <m/>
    <n v="-5138.4851882316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33"/>
    <s v="Regular"/>
    <s v="Geração"/>
    <s v="A4"/>
    <s v="Não se aplica"/>
    <s v="Não se aplica"/>
    <s v="Não se aplica"/>
    <s v="SOLAR SÃO MIGUEL"/>
    <s v="Não se aplica"/>
    <s v="GERAÇÃO"/>
    <x v="3"/>
    <n v="561"/>
    <n v="280.5"/>
    <n v="0"/>
    <n v="0"/>
    <n v="0"/>
    <n v="0"/>
    <n v="13.8"/>
    <m/>
    <m/>
    <n v="7741.8"/>
    <m/>
    <n v="7741.8"/>
    <n v="3640.8900000000003"/>
    <n v="0"/>
    <n v="0"/>
    <n v="0"/>
    <n v="0"/>
    <n v="0"/>
    <n v="0"/>
    <n v="7730.7609953131432"/>
    <m/>
    <m/>
    <m/>
    <n v="0"/>
    <n v="0"/>
    <n v="0"/>
    <n v="0"/>
    <m/>
    <n v="12.678152109374436"/>
    <n v="0"/>
    <n v="0"/>
    <n v="0"/>
    <n v="0"/>
    <m/>
    <m/>
    <n v="0"/>
    <n v="0"/>
    <n v="0"/>
    <m/>
    <m/>
    <n v="0"/>
    <m/>
    <n v="0"/>
    <n v="0"/>
    <n v="0"/>
    <n v="0"/>
    <m/>
    <n v="0"/>
    <n v="0"/>
    <n v="46.09"/>
    <n v="0"/>
    <n v="0"/>
    <n v="0"/>
    <m/>
    <m/>
    <n v="1820.4450000000002"/>
    <m/>
    <m/>
    <m/>
    <m/>
    <m/>
    <m/>
    <n v="0"/>
    <m/>
    <m/>
    <m/>
    <m/>
    <m/>
    <m/>
    <m/>
    <m/>
    <m/>
    <m/>
    <m/>
    <m/>
    <n v="1820.4450000000002"/>
    <n v="-2050.4850000000006"/>
    <m/>
    <m/>
    <m/>
    <m/>
    <n v="-4100.91"/>
    <n v="0"/>
    <n v="31"/>
    <n v="-151.9966548853400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80782124477702943"/>
    <n v="0"/>
    <n v="-151.18883364056305"/>
    <m/>
    <m/>
    <n v="7730.7609953131432"/>
    <m/>
    <n v="0"/>
    <n v="0"/>
    <n v="-4100.91"/>
    <m/>
    <n v="0"/>
    <m/>
    <n v="-3948.89067205199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34"/>
    <s v="Regular"/>
    <s v="Geração"/>
    <s v="A4"/>
    <s v="Não se aplica"/>
    <s v="Não se aplica"/>
    <s v="Não se aplica"/>
    <s v="SOLAR SÃO GABRIEL"/>
    <s v="Não se aplica"/>
    <s v="GERAÇÃO"/>
    <x v="3"/>
    <n v="379"/>
    <n v="189.5"/>
    <n v="0"/>
    <n v="0"/>
    <n v="0"/>
    <n v="0"/>
    <n v="13.8"/>
    <m/>
    <m/>
    <n v="5230.2"/>
    <m/>
    <n v="5230.2"/>
    <n v="2459.71"/>
    <n v="0"/>
    <n v="0"/>
    <n v="0"/>
    <n v="0"/>
    <n v="0"/>
    <n v="0"/>
    <n v="5222.742276691054"/>
    <m/>
    <m/>
    <m/>
    <n v="0"/>
    <n v="0"/>
    <n v="0"/>
    <n v="0"/>
    <m/>
    <n v="8.565097414354564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1.14"/>
    <n v="0"/>
    <n v="0"/>
    <n v="0"/>
    <m/>
    <m/>
    <n v="1229.855"/>
    <m/>
    <m/>
    <m/>
    <m/>
    <m/>
    <m/>
    <n v="0"/>
    <m/>
    <m/>
    <m/>
    <m/>
    <m/>
    <m/>
    <m/>
    <m/>
    <m/>
    <m/>
    <m/>
    <m/>
    <n v="1229.855"/>
    <n v="-1385.2750000000005"/>
    <m/>
    <m/>
    <m/>
    <m/>
    <n v="-2770.4900000000002"/>
    <n v="0"/>
    <n v="31"/>
    <n v="-102.685797150702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457473293591697"/>
    <n v="0"/>
    <n v="-102.14004982134294"/>
    <m/>
    <m/>
    <n v="5222.742276691054"/>
    <m/>
    <n v="0"/>
    <n v="0"/>
    <n v="-2770.49"/>
    <m/>
    <n v="0"/>
    <m/>
    <n v="-2667.788885396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35"/>
    <s v="Regular"/>
    <s v="Geração"/>
    <s v="A4"/>
    <s v="Não se aplica"/>
    <s v="Não se aplica"/>
    <s v="Não se aplica"/>
    <s v="SOLAR SÃO RAFAEL"/>
    <s v="Não se aplica"/>
    <s v="GERAÇÃO"/>
    <x v="3"/>
    <n v="718"/>
    <n v="359"/>
    <n v="0"/>
    <n v="0"/>
    <n v="0"/>
    <n v="0"/>
    <n v="13.8"/>
    <m/>
    <m/>
    <n v="9908.4"/>
    <m/>
    <n v="9908.4"/>
    <n v="4659.82"/>
    <n v="0"/>
    <n v="0"/>
    <n v="0"/>
    <n v="0"/>
    <n v="0"/>
    <n v="0"/>
    <n v="9894.2716481904408"/>
    <m/>
    <m/>
    <m/>
    <n v="0"/>
    <n v="0"/>
    <n v="0"/>
    <n v="0"/>
    <m/>
    <n v="16.226226763869597"/>
    <n v="0"/>
    <n v="0"/>
    <n v="0"/>
    <n v="0"/>
    <m/>
    <m/>
    <n v="0"/>
    <n v="0"/>
    <n v="0"/>
    <m/>
    <m/>
    <n v="0"/>
    <m/>
    <n v="0"/>
    <n v="0"/>
    <n v="0"/>
    <n v="0"/>
    <m/>
    <n v="0"/>
    <n v="0"/>
    <n v="59"/>
    <n v="0"/>
    <n v="0"/>
    <n v="0"/>
    <m/>
    <m/>
    <n v="2329.91"/>
    <m/>
    <m/>
    <m/>
    <m/>
    <m/>
    <m/>
    <n v="0"/>
    <m/>
    <m/>
    <m/>
    <m/>
    <m/>
    <m/>
    <m/>
    <m/>
    <m/>
    <m/>
    <m/>
    <m/>
    <n v="2329.91"/>
    <n v="-2624.3200000000006"/>
    <m/>
    <m/>
    <m/>
    <m/>
    <n v="-5248.58"/>
    <n v="0"/>
    <n v="31"/>
    <n v="-194.534043150934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338959959891376"/>
    <n v="0"/>
    <n v="-193.50014715494521"/>
    <m/>
    <m/>
    <n v="9894.2716481904408"/>
    <m/>
    <n v="0"/>
    <n v="0"/>
    <n v="-5248.58"/>
    <m/>
    <n v="0"/>
    <m/>
    <n v="-5054.01693856209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36"/>
    <s v="Regular"/>
    <s v="Geração"/>
    <s v="A4"/>
    <s v="Não se aplica"/>
    <s v="Não se aplica"/>
    <s v="Não se aplica"/>
    <s v="RIO FORTALEZA"/>
    <s v="Não se aplica"/>
    <s v="GERAÇÃO"/>
    <x v="4"/>
    <n v="880"/>
    <n v="440"/>
    <n v="0"/>
    <n v="0"/>
    <n v="0"/>
    <n v="0"/>
    <n v="13.8"/>
    <m/>
    <m/>
    <n v="12144"/>
    <m/>
    <n v="12144"/>
    <n v="5711.2"/>
    <n v="0"/>
    <n v="0"/>
    <n v="0"/>
    <n v="0"/>
    <n v="0"/>
    <n v="0"/>
    <n v="12126.683914216695"/>
    <m/>
    <m/>
    <m/>
    <n v="0"/>
    <n v="0"/>
    <n v="0"/>
    <n v="0"/>
    <m/>
    <n v="19.8872974264697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73.81"/>
    <n v="0"/>
    <n v="0"/>
    <n v="0"/>
    <m/>
    <m/>
    <n v="2855.6"/>
    <m/>
    <m/>
    <m/>
    <m/>
    <m/>
    <m/>
    <n v="0"/>
    <m/>
    <m/>
    <m/>
    <m/>
    <m/>
    <m/>
    <m/>
    <m/>
    <m/>
    <m/>
    <m/>
    <m/>
    <n v="2855.6"/>
    <n v="-3216.4300000000007"/>
    <m/>
    <m/>
    <m/>
    <m/>
    <n v="-6432.8"/>
    <n v="0"/>
    <n v="30"/>
    <n v="-238.426125310337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671705800424"/>
    <n v="0"/>
    <n v="-237.15895473029497"/>
    <m/>
    <m/>
    <n v="12126.683914216695"/>
    <m/>
    <n v="0"/>
    <n v="0"/>
    <n v="-6432.8"/>
    <m/>
    <n v="0"/>
    <m/>
    <n v="-6194.33830910117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37"/>
    <s v="Regular"/>
    <s v="Geração"/>
    <s v="A4"/>
    <s v="Não se aplica"/>
    <s v="Não se aplica"/>
    <s v="Não se aplica"/>
    <s v="BRAGA"/>
    <s v="Não se aplica"/>
    <s v="GERAÇÃO"/>
    <x v="4"/>
    <n v="520"/>
    <n v="260"/>
    <n v="0"/>
    <n v="0"/>
    <n v="0"/>
    <n v="0"/>
    <n v="13.8"/>
    <m/>
    <m/>
    <n v="7176"/>
    <m/>
    <n v="7176"/>
    <n v="3374.8"/>
    <n v="0"/>
    <n v="0"/>
    <n v="0"/>
    <n v="0"/>
    <n v="0"/>
    <n v="0"/>
    <n v="7165.767767491684"/>
    <m/>
    <m/>
    <m/>
    <n v="0"/>
    <n v="0"/>
    <n v="0"/>
    <n v="0"/>
    <m/>
    <n v="11.7515848429139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.62"/>
    <n v="0"/>
    <n v="0"/>
    <n v="0"/>
    <m/>
    <m/>
    <n v="1687.4"/>
    <m/>
    <m/>
    <m/>
    <m/>
    <m/>
    <m/>
    <n v="0"/>
    <m/>
    <m/>
    <m/>
    <m/>
    <m/>
    <m/>
    <m/>
    <m/>
    <m/>
    <m/>
    <m/>
    <m/>
    <n v="1687.4"/>
    <n v="-1900.6300000000006"/>
    <m/>
    <m/>
    <m/>
    <m/>
    <n v="-3801.2000000000003"/>
    <n v="0"/>
    <n v="30"/>
    <n v="-140.888164956108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74878261547960001"/>
    <n v="0"/>
    <n v="-140.13938234062886"/>
    <m/>
    <m/>
    <n v="7165.767767491684"/>
    <m/>
    <n v="0"/>
    <n v="0"/>
    <n v="-3801.2"/>
    <m/>
    <n v="0"/>
    <m/>
    <n v="-3660.29081901433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38"/>
    <s v="Regular"/>
    <s v="Geração"/>
    <s v="A4"/>
    <s v="Não se aplica"/>
    <s v="Não se aplica"/>
    <s v="Não se aplica"/>
    <s v="LINHA GRANJA VELHA"/>
    <s v="Não se aplica"/>
    <s v="GERAÇÃO"/>
    <x v="4"/>
    <n v="1000"/>
    <n v="500"/>
    <n v="0"/>
    <n v="0"/>
    <n v="0"/>
    <n v="0"/>
    <n v="13.8"/>
    <m/>
    <m/>
    <n v="13800"/>
    <m/>
    <n v="13800"/>
    <n v="6490"/>
    <n v="0"/>
    <n v="0"/>
    <n v="0"/>
    <n v="0"/>
    <n v="0"/>
    <n v="0"/>
    <n v="13780.322629791699"/>
    <m/>
    <m/>
    <m/>
    <n v="0"/>
    <n v="0"/>
    <n v="0"/>
    <n v="0"/>
    <m/>
    <n v="22.5992016209883"/>
    <n v="0"/>
    <n v="0"/>
    <n v="0"/>
    <n v="0"/>
    <m/>
    <m/>
    <n v="0"/>
    <n v="0"/>
    <n v="0"/>
    <m/>
    <m/>
    <n v="0"/>
    <m/>
    <n v="0"/>
    <n v="0"/>
    <n v="0"/>
    <n v="0"/>
    <m/>
    <n v="0"/>
    <n v="0"/>
    <n v="83.88"/>
    <n v="0"/>
    <n v="0"/>
    <n v="0"/>
    <m/>
    <m/>
    <n v="3245"/>
    <m/>
    <m/>
    <m/>
    <m/>
    <m/>
    <m/>
    <n v="0"/>
    <m/>
    <m/>
    <m/>
    <m/>
    <m/>
    <m/>
    <m/>
    <m/>
    <m/>
    <m/>
    <m/>
    <m/>
    <n v="3245"/>
    <n v="-3655.0300000000007"/>
    <m/>
    <m/>
    <m/>
    <m/>
    <n v="-7310.0000000000009"/>
    <n v="0"/>
    <n v="30"/>
    <n v="-270.9387787617470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399665682300018"/>
    <n v="0"/>
    <n v="-269.49881219351704"/>
    <m/>
    <m/>
    <n v="13780.322629791699"/>
    <m/>
    <n v="0"/>
    <n v="0"/>
    <n v="-7310"/>
    <m/>
    <n v="0"/>
    <m/>
    <n v="-7039.02080579678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39"/>
    <s v="Regular"/>
    <s v="Geração"/>
    <s v="A4"/>
    <s v="Não se aplica"/>
    <s v="Não se aplica"/>
    <s v="Não se aplica"/>
    <s v="CARLOS BEVILÁCQUA"/>
    <s v="Não se aplica"/>
    <s v="GERAÇÃO"/>
    <x v="4"/>
    <n v="800"/>
    <n v="400"/>
    <n v="0"/>
    <n v="0"/>
    <n v="0"/>
    <n v="0"/>
    <n v="13.8"/>
    <m/>
    <m/>
    <n v="11040"/>
    <m/>
    <n v="11040"/>
    <n v="5192"/>
    <n v="0"/>
    <n v="0"/>
    <n v="0"/>
    <n v="0"/>
    <n v="0"/>
    <n v="0"/>
    <n v="11024.258103833359"/>
    <m/>
    <m/>
    <m/>
    <n v="0"/>
    <n v="0"/>
    <n v="0"/>
    <n v="0"/>
    <m/>
    <n v="18.0793612967906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67.11"/>
    <n v="0"/>
    <n v="0"/>
    <n v="0"/>
    <m/>
    <m/>
    <n v="2596"/>
    <m/>
    <m/>
    <m/>
    <m/>
    <m/>
    <m/>
    <n v="0"/>
    <m/>
    <m/>
    <m/>
    <m/>
    <m/>
    <m/>
    <m/>
    <m/>
    <m/>
    <m/>
    <m/>
    <m/>
    <n v="2596"/>
    <n v="-2924.0300000000007"/>
    <m/>
    <m/>
    <m/>
    <m/>
    <n v="-5848"/>
    <n v="0"/>
    <n v="30"/>
    <n v="-216.7510230093976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1519732545839965"/>
    <n v="0"/>
    <n v="-215.59904975481362"/>
    <m/>
    <m/>
    <n v="11024.258103833359"/>
    <m/>
    <n v="0"/>
    <n v="0"/>
    <n v="-5848"/>
    <m/>
    <n v="0"/>
    <m/>
    <n v="-5631.21664463743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40"/>
    <s v="Regular"/>
    <s v="Geração"/>
    <s v="A4"/>
    <s v="Não se aplica"/>
    <s v="Não se aplica"/>
    <s v="Não se aplica"/>
    <s v="MOINHO"/>
    <s v="Não se aplica"/>
    <s v="GERAÇÃO"/>
    <x v="4"/>
    <n v="270"/>
    <n v="135"/>
    <n v="0"/>
    <n v="0"/>
    <n v="0"/>
    <n v="0"/>
    <n v="13.8"/>
    <m/>
    <m/>
    <n v="3726"/>
    <m/>
    <n v="3726"/>
    <n v="1752.3"/>
    <n v="0"/>
    <n v="0"/>
    <n v="0"/>
    <n v="0"/>
    <n v="0"/>
    <n v="0"/>
    <n v="3720.6871100437588"/>
    <m/>
    <m/>
    <m/>
    <n v="0"/>
    <n v="0"/>
    <n v="0"/>
    <n v="0"/>
    <m/>
    <n v="6.1017844376668409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.64"/>
    <n v="0"/>
    <n v="0"/>
    <n v="0"/>
    <m/>
    <m/>
    <n v="876.15"/>
    <m/>
    <m/>
    <m/>
    <m/>
    <m/>
    <m/>
    <n v="0"/>
    <m/>
    <m/>
    <m/>
    <m/>
    <m/>
    <m/>
    <m/>
    <m/>
    <m/>
    <m/>
    <m/>
    <m/>
    <n v="876.15"/>
    <n v="-986.88"/>
    <m/>
    <m/>
    <m/>
    <m/>
    <n v="-1973.7"/>
    <n v="0"/>
    <n v="30"/>
    <n v="-73.15347026567168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8879097342209956"/>
    <n v="0"/>
    <n v="-72.764679292249596"/>
    <m/>
    <m/>
    <n v="3720.6871100437588"/>
    <m/>
    <n v="0"/>
    <n v="0"/>
    <n v="-1973.7"/>
    <m/>
    <n v="0"/>
    <m/>
    <n v="-1900.53561756513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41"/>
    <s v="Regular"/>
    <s v="Geração"/>
    <s v="A4"/>
    <s v="Não se aplica"/>
    <s v="Não se aplica"/>
    <s v="Não se aplica"/>
    <s v="CASCATA DO BARREIRO"/>
    <s v="Não se aplica"/>
    <s v="GERAÇÃO"/>
    <x v="4"/>
    <n v="280"/>
    <n v="140"/>
    <n v="0"/>
    <n v="0"/>
    <n v="0"/>
    <n v="0"/>
    <n v="13.8"/>
    <m/>
    <m/>
    <n v="3864"/>
    <m/>
    <n v="3864"/>
    <n v="1817.2"/>
    <n v="0"/>
    <n v="0"/>
    <n v="0"/>
    <n v="0"/>
    <n v="0"/>
    <n v="0"/>
    <n v="3858.4903363416761"/>
    <m/>
    <m/>
    <m/>
    <n v="0"/>
    <n v="0"/>
    <n v="0"/>
    <n v="0"/>
    <m/>
    <n v="6.3277764538767238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.48"/>
    <n v="0"/>
    <n v="0"/>
    <n v="0"/>
    <m/>
    <m/>
    <n v="908.6"/>
    <m/>
    <m/>
    <m/>
    <m/>
    <m/>
    <m/>
    <n v="0"/>
    <m/>
    <m/>
    <m/>
    <m/>
    <m/>
    <m/>
    <m/>
    <m/>
    <m/>
    <m/>
    <m/>
    <m/>
    <n v="908.6"/>
    <n v="-1023.43"/>
    <m/>
    <m/>
    <m/>
    <m/>
    <n v="-2046.8000000000002"/>
    <n v="0"/>
    <n v="30"/>
    <n v="-75.86285805328915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0319063910440001"/>
    <n v="0"/>
    <n v="-75.459667414184764"/>
    <m/>
    <m/>
    <n v="3858.4903363416761"/>
    <m/>
    <n v="0"/>
    <n v="0"/>
    <n v="-2046.8"/>
    <m/>
    <n v="0"/>
    <m/>
    <n v="-1970.92582562310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42"/>
    <s v="Regular"/>
    <s v="Geração"/>
    <s v="A4"/>
    <s v="Não se aplica"/>
    <s v="Não se aplica"/>
    <s v="Não se aplica"/>
    <s v="SOLAR BOA VISTA"/>
    <s v="Não se aplica"/>
    <s v="GERAÇÃO"/>
    <x v="4"/>
    <n v="730"/>
    <n v="365"/>
    <n v="0"/>
    <n v="0"/>
    <n v="0"/>
    <n v="0"/>
    <n v="13.8"/>
    <m/>
    <m/>
    <n v="10074"/>
    <m/>
    <n v="10074"/>
    <n v="4737.7"/>
    <n v="0"/>
    <n v="0"/>
    <n v="0"/>
    <n v="0"/>
    <n v="0"/>
    <n v="0"/>
    <n v="10059.635519747941"/>
    <m/>
    <m/>
    <m/>
    <n v="0"/>
    <n v="0"/>
    <n v="0"/>
    <n v="0"/>
    <m/>
    <n v="16.497417183321456"/>
    <n v="0"/>
    <n v="0"/>
    <n v="0"/>
    <n v="0"/>
    <m/>
    <m/>
    <n v="0"/>
    <n v="0"/>
    <n v="0"/>
    <m/>
    <m/>
    <n v="0"/>
    <m/>
    <n v="0"/>
    <n v="0"/>
    <n v="0"/>
    <n v="0"/>
    <m/>
    <n v="0"/>
    <n v="0"/>
    <n v="61.23"/>
    <n v="0"/>
    <n v="0"/>
    <n v="0"/>
    <m/>
    <m/>
    <n v="2368.85"/>
    <m/>
    <m/>
    <m/>
    <m/>
    <m/>
    <m/>
    <n v="0"/>
    <m/>
    <m/>
    <m/>
    <m/>
    <m/>
    <m/>
    <m/>
    <m/>
    <m/>
    <m/>
    <m/>
    <m/>
    <n v="2368.85"/>
    <n v="-2668.1800000000007"/>
    <m/>
    <m/>
    <m/>
    <m/>
    <n v="-5336.3"/>
    <n v="0"/>
    <n v="30"/>
    <n v="-197.7853084960753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511755948078978"/>
    <n v="0"/>
    <n v="-196.73413290126743"/>
    <m/>
    <m/>
    <n v="10059.635519747941"/>
    <m/>
    <n v="0"/>
    <n v="0"/>
    <n v="-5336.3"/>
    <m/>
    <n v="0"/>
    <m/>
    <n v="-5138.4851882316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43"/>
    <s v="Regular"/>
    <s v="Geração"/>
    <s v="A4"/>
    <s v="Não se aplica"/>
    <s v="Não se aplica"/>
    <s v="Não se aplica"/>
    <s v="SOLAR SÃO MIGUEL"/>
    <s v="Não se aplica"/>
    <s v="GERAÇÃO"/>
    <x v="4"/>
    <n v="561"/>
    <n v="280.5"/>
    <n v="0"/>
    <n v="0"/>
    <n v="0"/>
    <n v="0"/>
    <n v="13.8"/>
    <m/>
    <m/>
    <n v="7741.8"/>
    <m/>
    <n v="7741.8"/>
    <n v="3640.8900000000003"/>
    <n v="0"/>
    <n v="0"/>
    <n v="0"/>
    <n v="0"/>
    <n v="0"/>
    <n v="0"/>
    <n v="7730.7609953131432"/>
    <m/>
    <m/>
    <m/>
    <n v="0"/>
    <n v="0"/>
    <n v="0"/>
    <n v="0"/>
    <m/>
    <n v="12.678152109374436"/>
    <n v="0"/>
    <n v="0"/>
    <n v="0"/>
    <n v="0"/>
    <m/>
    <m/>
    <n v="0"/>
    <n v="0"/>
    <n v="0"/>
    <m/>
    <m/>
    <n v="0"/>
    <m/>
    <n v="0"/>
    <n v="0"/>
    <n v="0"/>
    <n v="0"/>
    <m/>
    <n v="0"/>
    <n v="0"/>
    <n v="47.06"/>
    <n v="0"/>
    <n v="0"/>
    <n v="0"/>
    <m/>
    <m/>
    <n v="1820.4450000000002"/>
    <m/>
    <m/>
    <m/>
    <m/>
    <m/>
    <m/>
    <n v="0"/>
    <m/>
    <m/>
    <m/>
    <m/>
    <m/>
    <m/>
    <m/>
    <m/>
    <m/>
    <m/>
    <m/>
    <m/>
    <n v="1820.4450000000002"/>
    <n v="-2050.4850000000006"/>
    <m/>
    <m/>
    <m/>
    <m/>
    <n v="-4100.91"/>
    <n v="0"/>
    <n v="30"/>
    <n v="-151.9966548853400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80782124477702943"/>
    <n v="0"/>
    <n v="-151.18883364056305"/>
    <m/>
    <m/>
    <n v="7730.7609953131432"/>
    <m/>
    <n v="0"/>
    <n v="0"/>
    <n v="-4100.91"/>
    <m/>
    <n v="0"/>
    <m/>
    <n v="-3948.89067205199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44"/>
    <s v="Regular"/>
    <s v="Geração"/>
    <s v="A4"/>
    <s v="Não se aplica"/>
    <s v="Não se aplica"/>
    <s v="Não se aplica"/>
    <s v="SOLAR SÃO GABRIEL"/>
    <s v="Não se aplica"/>
    <s v="GERAÇÃO"/>
    <x v="4"/>
    <n v="379"/>
    <n v="189.5"/>
    <n v="0"/>
    <n v="0"/>
    <n v="0"/>
    <n v="0"/>
    <n v="13.8"/>
    <m/>
    <m/>
    <n v="5230.2"/>
    <m/>
    <n v="5230.2"/>
    <n v="2459.71"/>
    <n v="0"/>
    <n v="0"/>
    <n v="0"/>
    <n v="0"/>
    <n v="0"/>
    <n v="0"/>
    <n v="5222.742276691054"/>
    <m/>
    <m/>
    <m/>
    <n v="0"/>
    <n v="0"/>
    <n v="0"/>
    <n v="0"/>
    <m/>
    <n v="8.565097414354564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1.79"/>
    <n v="0"/>
    <n v="0"/>
    <n v="0"/>
    <m/>
    <m/>
    <n v="1229.855"/>
    <m/>
    <m/>
    <m/>
    <m/>
    <m/>
    <m/>
    <n v="0"/>
    <m/>
    <m/>
    <m/>
    <m/>
    <m/>
    <m/>
    <m/>
    <m/>
    <m/>
    <m/>
    <m/>
    <m/>
    <n v="1229.855"/>
    <n v="-1385.2750000000005"/>
    <m/>
    <m/>
    <m/>
    <m/>
    <n v="-2770.4900000000002"/>
    <n v="0"/>
    <n v="30"/>
    <n v="-102.685797150702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457473293591697"/>
    <n v="0"/>
    <n v="-102.14004982134294"/>
    <m/>
    <m/>
    <n v="5222.742276691054"/>
    <m/>
    <n v="0"/>
    <n v="0"/>
    <n v="-2770.49"/>
    <m/>
    <n v="0"/>
    <m/>
    <n v="-2667.788885396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45"/>
    <s v="Regular"/>
    <s v="Geração"/>
    <s v="A4"/>
    <s v="Não se aplica"/>
    <s v="Não se aplica"/>
    <s v="Não se aplica"/>
    <s v="SOLAR SÃO RAFAEL"/>
    <s v="Não se aplica"/>
    <s v="GERAÇÃO"/>
    <x v="4"/>
    <n v="718"/>
    <n v="359"/>
    <n v="0"/>
    <n v="0"/>
    <n v="0"/>
    <n v="0"/>
    <n v="13.8"/>
    <m/>
    <m/>
    <n v="9908.4"/>
    <m/>
    <n v="9908.4"/>
    <n v="4659.82"/>
    <n v="0"/>
    <n v="0"/>
    <n v="0"/>
    <n v="0"/>
    <n v="0"/>
    <n v="0"/>
    <n v="9894.2716481904408"/>
    <m/>
    <m/>
    <m/>
    <n v="0"/>
    <n v="0"/>
    <n v="0"/>
    <n v="0"/>
    <m/>
    <n v="16.226226763869597"/>
    <n v="0"/>
    <n v="0"/>
    <n v="0"/>
    <n v="0"/>
    <m/>
    <m/>
    <n v="0"/>
    <n v="0"/>
    <n v="0"/>
    <m/>
    <m/>
    <n v="0"/>
    <m/>
    <n v="0"/>
    <n v="0"/>
    <n v="0"/>
    <n v="0"/>
    <m/>
    <n v="0"/>
    <n v="0"/>
    <n v="60.23"/>
    <n v="0"/>
    <n v="0"/>
    <n v="0"/>
    <m/>
    <m/>
    <n v="2329.91"/>
    <m/>
    <m/>
    <m/>
    <m/>
    <m/>
    <m/>
    <n v="0"/>
    <m/>
    <m/>
    <m/>
    <m/>
    <m/>
    <m/>
    <m/>
    <m/>
    <m/>
    <m/>
    <m/>
    <m/>
    <n v="2329.91"/>
    <n v="-2624.3200000000006"/>
    <m/>
    <m/>
    <m/>
    <m/>
    <n v="-5248.58"/>
    <n v="0"/>
    <n v="30"/>
    <n v="-194.534043150934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338959959891376"/>
    <n v="0"/>
    <n v="-193.50014715494521"/>
    <m/>
    <m/>
    <n v="9894.2716481904408"/>
    <m/>
    <n v="0"/>
    <n v="0"/>
    <n v="-5248.58"/>
    <m/>
    <n v="0"/>
    <m/>
    <n v="-5054.01693856209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46"/>
    <s v="Regular"/>
    <s v="Geração"/>
    <s v="A4"/>
    <s v="Não se aplica"/>
    <s v="Não se aplica"/>
    <s v="Não se aplica"/>
    <s v="RIO FORTALEZA"/>
    <s v="Não se aplica"/>
    <s v="GERAÇÃO"/>
    <x v="5"/>
    <n v="880"/>
    <n v="440"/>
    <n v="0"/>
    <n v="0"/>
    <n v="0"/>
    <n v="0"/>
    <n v="13.8"/>
    <m/>
    <m/>
    <n v="12144"/>
    <m/>
    <n v="12144"/>
    <n v="5711.2"/>
    <n v="0"/>
    <n v="0"/>
    <n v="0"/>
    <n v="0"/>
    <n v="0"/>
    <n v="0"/>
    <n v="12126.683914216695"/>
    <m/>
    <m/>
    <m/>
    <n v="0"/>
    <n v="0"/>
    <n v="0"/>
    <n v="0"/>
    <m/>
    <n v="19.8872974264697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.43"/>
    <n v="0"/>
    <n v="0"/>
    <n v="0"/>
    <m/>
    <m/>
    <n v="2855.6"/>
    <m/>
    <m/>
    <m/>
    <m/>
    <m/>
    <m/>
    <n v="0"/>
    <m/>
    <m/>
    <m/>
    <m/>
    <m/>
    <m/>
    <m/>
    <m/>
    <m/>
    <m/>
    <m/>
    <m/>
    <n v="2855.6"/>
    <n v="-3216.4300000000007"/>
    <m/>
    <m/>
    <m/>
    <m/>
    <n v="-6432.8"/>
    <n v="0"/>
    <m/>
    <n v="-238.426125310337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671705800424"/>
    <n v="0"/>
    <n v="-237.15895473029497"/>
    <m/>
    <m/>
    <n v="12126.683914216695"/>
    <m/>
    <n v="0"/>
    <n v="0"/>
    <n v="-6432.8"/>
    <m/>
    <n v="0"/>
    <m/>
    <n v="-6194.33830910117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47"/>
    <s v="Regular"/>
    <s v="Geração"/>
    <s v="A4"/>
    <s v="Não se aplica"/>
    <s v="Não se aplica"/>
    <s v="Não se aplica"/>
    <s v="BRAGA"/>
    <s v="Não se aplica"/>
    <s v="GERAÇÃO"/>
    <x v="5"/>
    <n v="520"/>
    <n v="260"/>
    <n v="0"/>
    <n v="0"/>
    <n v="0"/>
    <n v="0"/>
    <n v="13.8"/>
    <m/>
    <m/>
    <n v="7176"/>
    <m/>
    <n v="7176"/>
    <n v="3374.8"/>
    <n v="0"/>
    <n v="0"/>
    <n v="0"/>
    <n v="0"/>
    <n v="0"/>
    <n v="0"/>
    <n v="7165.767767491684"/>
    <m/>
    <m/>
    <m/>
    <n v="0"/>
    <n v="0"/>
    <n v="0"/>
    <n v="0"/>
    <m/>
    <n v="11.7515848429139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.52"/>
    <n v="0"/>
    <n v="0"/>
    <n v="0"/>
    <m/>
    <m/>
    <n v="1687.4"/>
    <m/>
    <m/>
    <m/>
    <m/>
    <m/>
    <m/>
    <n v="0"/>
    <m/>
    <m/>
    <m/>
    <m/>
    <m/>
    <m/>
    <m/>
    <m/>
    <m/>
    <m/>
    <m/>
    <m/>
    <n v="1687.4"/>
    <n v="-1900.6300000000006"/>
    <m/>
    <m/>
    <m/>
    <m/>
    <n v="-3801.2000000000003"/>
    <n v="0"/>
    <m/>
    <n v="-140.888164956108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74878261547960001"/>
    <n v="0"/>
    <n v="-140.13938234062886"/>
    <m/>
    <m/>
    <n v="7165.767767491684"/>
    <m/>
    <n v="0"/>
    <n v="0"/>
    <n v="-3801.2"/>
    <m/>
    <n v="0"/>
    <m/>
    <n v="-3660.29081901433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48"/>
    <s v="Regular"/>
    <s v="Geração"/>
    <s v="A4"/>
    <s v="Não se aplica"/>
    <s v="Não se aplica"/>
    <s v="Não se aplica"/>
    <s v="LINHA GRANJA VELHA"/>
    <s v="Não se aplica"/>
    <s v="GERAÇÃO"/>
    <x v="5"/>
    <n v="1000"/>
    <n v="500"/>
    <n v="0"/>
    <n v="0"/>
    <n v="0"/>
    <n v="0"/>
    <n v="13.8"/>
    <m/>
    <m/>
    <n v="13800"/>
    <m/>
    <n v="13800"/>
    <n v="6490"/>
    <n v="0"/>
    <n v="0"/>
    <n v="0"/>
    <n v="0"/>
    <n v="0"/>
    <n v="0"/>
    <n v="13780.322629791699"/>
    <m/>
    <m/>
    <m/>
    <n v="0"/>
    <n v="0"/>
    <n v="0"/>
    <n v="0"/>
    <m/>
    <n v="22.5992016209883"/>
    <n v="0"/>
    <n v="0"/>
    <n v="0"/>
    <n v="0"/>
    <m/>
    <m/>
    <n v="0"/>
    <n v="0"/>
    <n v="0"/>
    <m/>
    <m/>
    <n v="0"/>
    <m/>
    <n v="0"/>
    <n v="0"/>
    <n v="0"/>
    <n v="0"/>
    <m/>
    <n v="0"/>
    <n v="0"/>
    <n v="41.4"/>
    <n v="0"/>
    <n v="0"/>
    <n v="0"/>
    <m/>
    <m/>
    <n v="3245"/>
    <m/>
    <m/>
    <m/>
    <m/>
    <m/>
    <m/>
    <n v="0"/>
    <m/>
    <m/>
    <m/>
    <m/>
    <m/>
    <m/>
    <m/>
    <m/>
    <m/>
    <m/>
    <m/>
    <m/>
    <n v="3245"/>
    <n v="-3655.0300000000007"/>
    <m/>
    <m/>
    <m/>
    <m/>
    <n v="-7310.0000000000009"/>
    <n v="0"/>
    <m/>
    <n v="-270.9387787617470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399665682300018"/>
    <n v="0"/>
    <n v="-269.49881219351704"/>
    <m/>
    <m/>
    <n v="13780.322629791699"/>
    <m/>
    <n v="0"/>
    <n v="0"/>
    <n v="-7310"/>
    <m/>
    <n v="0"/>
    <m/>
    <n v="-7039.02080579678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49"/>
    <s v="Regular"/>
    <s v="Geração"/>
    <s v="A4"/>
    <s v="Não se aplica"/>
    <s v="Não se aplica"/>
    <s v="Não se aplica"/>
    <s v="CARLOS BEVILÁCQUA"/>
    <s v="Não se aplica"/>
    <s v="GERAÇÃO"/>
    <x v="5"/>
    <n v="800"/>
    <n v="400"/>
    <n v="0"/>
    <n v="0"/>
    <n v="0"/>
    <n v="0"/>
    <n v="13.8"/>
    <m/>
    <m/>
    <n v="11040"/>
    <m/>
    <n v="11040"/>
    <n v="5192"/>
    <n v="0"/>
    <n v="0"/>
    <n v="0"/>
    <n v="0"/>
    <n v="0"/>
    <n v="0"/>
    <n v="11024.258103833359"/>
    <m/>
    <m/>
    <m/>
    <n v="0"/>
    <n v="0"/>
    <n v="0"/>
    <n v="0"/>
    <m/>
    <n v="18.0793612967906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.119999999999997"/>
    <n v="0"/>
    <n v="0"/>
    <n v="0"/>
    <m/>
    <m/>
    <n v="2596"/>
    <m/>
    <m/>
    <m/>
    <m/>
    <m/>
    <m/>
    <n v="0"/>
    <m/>
    <m/>
    <m/>
    <m/>
    <m/>
    <m/>
    <m/>
    <m/>
    <m/>
    <m/>
    <m/>
    <m/>
    <n v="2596"/>
    <n v="-2924.0300000000007"/>
    <m/>
    <m/>
    <m/>
    <m/>
    <n v="-5848"/>
    <n v="0"/>
    <m/>
    <n v="-216.7510230093976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1519732545839965"/>
    <n v="0"/>
    <n v="-215.59904975481362"/>
    <m/>
    <m/>
    <n v="11024.258103833359"/>
    <m/>
    <n v="0"/>
    <n v="0"/>
    <n v="-5848"/>
    <m/>
    <n v="0"/>
    <m/>
    <n v="-5631.21664463743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50"/>
    <s v="Regular"/>
    <s v="Geração"/>
    <s v="A4"/>
    <s v="Não se aplica"/>
    <s v="Não se aplica"/>
    <s v="Não se aplica"/>
    <s v="MOINHO"/>
    <s v="Não se aplica"/>
    <s v="GERAÇÃO"/>
    <x v="5"/>
    <n v="270"/>
    <n v="135"/>
    <n v="0"/>
    <n v="0"/>
    <n v="0"/>
    <n v="0"/>
    <n v="13.8"/>
    <m/>
    <m/>
    <n v="3726"/>
    <m/>
    <n v="3726"/>
    <n v="1752.3"/>
    <n v="0"/>
    <n v="0"/>
    <n v="0"/>
    <n v="0"/>
    <n v="0"/>
    <n v="0"/>
    <n v="3720.6871100437588"/>
    <m/>
    <m/>
    <m/>
    <n v="0"/>
    <n v="0"/>
    <n v="0"/>
    <n v="0"/>
    <m/>
    <n v="6.1017844376668409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.18"/>
    <n v="0"/>
    <n v="0"/>
    <n v="0"/>
    <m/>
    <m/>
    <n v="876.15"/>
    <m/>
    <m/>
    <m/>
    <m/>
    <m/>
    <m/>
    <n v="0"/>
    <m/>
    <m/>
    <m/>
    <m/>
    <m/>
    <m/>
    <m/>
    <m/>
    <m/>
    <m/>
    <m/>
    <m/>
    <n v="876.15"/>
    <n v="-986.88"/>
    <m/>
    <m/>
    <m/>
    <m/>
    <n v="-1973.7"/>
    <n v="0"/>
    <m/>
    <n v="-73.15347026567168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8879097342209956"/>
    <n v="0"/>
    <n v="-72.764679292249596"/>
    <m/>
    <m/>
    <n v="3720.6871100437588"/>
    <m/>
    <n v="0"/>
    <n v="0"/>
    <n v="-1973.7"/>
    <m/>
    <n v="0"/>
    <m/>
    <n v="-1900.53561756513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51"/>
    <s v="Regular"/>
    <s v="Geração"/>
    <s v="A4"/>
    <s v="Não se aplica"/>
    <s v="Não se aplica"/>
    <s v="Não se aplica"/>
    <s v="CASCATA DO BARREIRO"/>
    <s v="Não se aplica"/>
    <s v="GERAÇÃO"/>
    <x v="5"/>
    <n v="280"/>
    <n v="140"/>
    <n v="0"/>
    <n v="0"/>
    <n v="0"/>
    <n v="0"/>
    <n v="13.8"/>
    <m/>
    <m/>
    <n v="3864"/>
    <m/>
    <n v="3864"/>
    <n v="1817.2"/>
    <n v="0"/>
    <n v="0"/>
    <n v="0"/>
    <n v="0"/>
    <n v="0"/>
    <n v="0"/>
    <n v="3858.4903363416761"/>
    <m/>
    <m/>
    <m/>
    <n v="0"/>
    <n v="0"/>
    <n v="0"/>
    <n v="0"/>
    <m/>
    <n v="6.3277764538767238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.59"/>
    <n v="0"/>
    <n v="0"/>
    <n v="0"/>
    <m/>
    <m/>
    <n v="908.6"/>
    <m/>
    <m/>
    <m/>
    <m/>
    <m/>
    <m/>
    <n v="0"/>
    <m/>
    <m/>
    <m/>
    <m/>
    <m/>
    <m/>
    <m/>
    <m/>
    <m/>
    <m/>
    <m/>
    <m/>
    <n v="908.6"/>
    <n v="-1023.43"/>
    <m/>
    <m/>
    <m/>
    <m/>
    <n v="-2046.8000000000002"/>
    <n v="0"/>
    <m/>
    <n v="-75.86285805328915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0319063910440001"/>
    <n v="0"/>
    <n v="-75.459667414184764"/>
    <m/>
    <m/>
    <n v="3858.4903363416761"/>
    <m/>
    <n v="0"/>
    <n v="0"/>
    <n v="-2046.8"/>
    <m/>
    <n v="0"/>
    <m/>
    <n v="-1970.92582562310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52"/>
    <s v="Regular"/>
    <s v="Geração"/>
    <s v="A4"/>
    <s v="Não se aplica"/>
    <s v="Não se aplica"/>
    <s v="Não se aplica"/>
    <s v="SOLAR BOA VISTA"/>
    <s v="Não se aplica"/>
    <s v="GERAÇÃO"/>
    <x v="5"/>
    <n v="730"/>
    <n v="365"/>
    <n v="0"/>
    <n v="0"/>
    <n v="0"/>
    <n v="0"/>
    <n v="13.8"/>
    <m/>
    <m/>
    <n v="10074"/>
    <m/>
    <n v="10074"/>
    <n v="4737.7"/>
    <n v="0"/>
    <n v="0"/>
    <n v="0"/>
    <n v="0"/>
    <n v="0"/>
    <n v="0"/>
    <n v="10059.635519747941"/>
    <m/>
    <m/>
    <m/>
    <n v="0"/>
    <n v="0"/>
    <n v="0"/>
    <n v="0"/>
    <m/>
    <n v="16.49741718332145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.22"/>
    <n v="0"/>
    <n v="0"/>
    <n v="0"/>
    <m/>
    <m/>
    <n v="2368.85"/>
    <m/>
    <m/>
    <m/>
    <m/>
    <m/>
    <m/>
    <n v="0"/>
    <m/>
    <m/>
    <m/>
    <m/>
    <m/>
    <m/>
    <m/>
    <m/>
    <m/>
    <m/>
    <m/>
    <m/>
    <n v="2368.85"/>
    <n v="-2668.1800000000007"/>
    <m/>
    <m/>
    <m/>
    <m/>
    <n v="-5336.3"/>
    <n v="0"/>
    <m/>
    <n v="-197.7853084960753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511755948078978"/>
    <n v="0"/>
    <n v="-196.73413290126743"/>
    <m/>
    <m/>
    <n v="10059.635519747941"/>
    <m/>
    <n v="0"/>
    <n v="0"/>
    <n v="-5336.3"/>
    <m/>
    <n v="0"/>
    <m/>
    <n v="-5138.4851882316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53"/>
    <s v="Regular"/>
    <s v="Geração"/>
    <s v="A4"/>
    <s v="Não se aplica"/>
    <s v="Não se aplica"/>
    <s v="Não se aplica"/>
    <s v="SOLAR SÃO MIGUEL"/>
    <s v="Não se aplica"/>
    <s v="GERAÇÃO"/>
    <x v="5"/>
    <n v="561"/>
    <n v="280.5"/>
    <n v="0"/>
    <n v="0"/>
    <n v="0"/>
    <n v="0"/>
    <n v="13.8"/>
    <m/>
    <m/>
    <n v="7741.8"/>
    <m/>
    <n v="7741.8"/>
    <n v="3640.8900000000003"/>
    <n v="0"/>
    <n v="0"/>
    <n v="0"/>
    <n v="0"/>
    <n v="0"/>
    <n v="0"/>
    <n v="7730.7609953131432"/>
    <m/>
    <m/>
    <m/>
    <n v="0"/>
    <n v="0"/>
    <n v="0"/>
    <n v="0"/>
    <m/>
    <n v="12.67815210937443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.22"/>
    <n v="0"/>
    <n v="0"/>
    <n v="0"/>
    <m/>
    <m/>
    <n v="1820.4450000000002"/>
    <m/>
    <m/>
    <m/>
    <m/>
    <m/>
    <m/>
    <n v="0"/>
    <m/>
    <m/>
    <m/>
    <m/>
    <m/>
    <m/>
    <m/>
    <m/>
    <m/>
    <m/>
    <m/>
    <m/>
    <n v="1820.4450000000002"/>
    <n v="-2050.4850000000006"/>
    <m/>
    <m/>
    <m/>
    <m/>
    <n v="-4100.91"/>
    <n v="0"/>
    <m/>
    <n v="-151.9966548853400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80782124477702943"/>
    <n v="0"/>
    <n v="-151.18883364056305"/>
    <m/>
    <m/>
    <n v="7730.7609953131432"/>
    <m/>
    <n v="0"/>
    <n v="0"/>
    <n v="-4100.91"/>
    <m/>
    <n v="0"/>
    <m/>
    <n v="-3948.89067205199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54"/>
    <s v="Regular"/>
    <s v="Geração"/>
    <s v="A4"/>
    <s v="Não se aplica"/>
    <s v="Não se aplica"/>
    <s v="Não se aplica"/>
    <s v="SOLAR SÃO GABRIEL"/>
    <s v="Não se aplica"/>
    <s v="GERAÇÃO"/>
    <x v="5"/>
    <n v="379"/>
    <n v="189.5"/>
    <n v="0"/>
    <n v="0"/>
    <n v="0"/>
    <n v="0"/>
    <n v="13.8"/>
    <m/>
    <m/>
    <n v="5230.2"/>
    <m/>
    <n v="5230.2"/>
    <n v="2459.71"/>
    <n v="0"/>
    <n v="0"/>
    <n v="0"/>
    <n v="0"/>
    <n v="0"/>
    <n v="0"/>
    <n v="5222.742276691054"/>
    <m/>
    <m/>
    <m/>
    <n v="0"/>
    <n v="0"/>
    <n v="0"/>
    <n v="0"/>
    <m/>
    <n v="8.5650974143545646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.69"/>
    <n v="0"/>
    <n v="0"/>
    <n v="0"/>
    <m/>
    <m/>
    <n v="1229.855"/>
    <m/>
    <m/>
    <m/>
    <m/>
    <m/>
    <m/>
    <n v="0"/>
    <m/>
    <m/>
    <m/>
    <m/>
    <m/>
    <m/>
    <m/>
    <m/>
    <m/>
    <m/>
    <m/>
    <m/>
    <n v="1229.855"/>
    <n v="-1385.2750000000005"/>
    <m/>
    <m/>
    <m/>
    <m/>
    <n v="-2770.4900000000002"/>
    <n v="0"/>
    <m/>
    <n v="-102.685797150702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457473293591697"/>
    <n v="0"/>
    <n v="-102.14004982134294"/>
    <m/>
    <m/>
    <n v="5222.742276691054"/>
    <m/>
    <n v="0"/>
    <n v="0"/>
    <n v="-2770.49"/>
    <m/>
    <n v="0"/>
    <m/>
    <n v="-2667.788885396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55"/>
    <s v="Regular"/>
    <s v="Geração"/>
    <s v="A4"/>
    <s v="Não se aplica"/>
    <s v="Não se aplica"/>
    <s v="Não se aplica"/>
    <s v="SOLAR SÃO RAFAEL"/>
    <s v="Não se aplica"/>
    <s v="GERAÇÃO"/>
    <x v="5"/>
    <n v="718"/>
    <n v="359"/>
    <n v="0"/>
    <n v="0"/>
    <n v="0"/>
    <n v="0"/>
    <n v="13.8"/>
    <m/>
    <m/>
    <n v="9908.4"/>
    <m/>
    <n v="9908.4"/>
    <n v="4659.82"/>
    <n v="0"/>
    <n v="0"/>
    <n v="0"/>
    <n v="0"/>
    <n v="0"/>
    <n v="0"/>
    <n v="9894.2716481904408"/>
    <m/>
    <m/>
    <m/>
    <n v="0"/>
    <n v="0"/>
    <n v="0"/>
    <n v="0"/>
    <m/>
    <n v="16.226226763869597"/>
    <n v="0"/>
    <n v="0"/>
    <n v="0"/>
    <n v="0"/>
    <m/>
    <m/>
    <n v="0"/>
    <n v="0"/>
    <n v="0"/>
    <m/>
    <m/>
    <n v="0"/>
    <m/>
    <n v="0"/>
    <n v="0"/>
    <n v="0"/>
    <n v="0"/>
    <m/>
    <n v="0"/>
    <n v="0"/>
    <n v="29.73"/>
    <n v="0"/>
    <n v="0"/>
    <n v="0"/>
    <m/>
    <m/>
    <n v="2329.91"/>
    <m/>
    <m/>
    <m/>
    <m/>
    <m/>
    <m/>
    <n v="0"/>
    <m/>
    <m/>
    <m/>
    <m/>
    <m/>
    <m/>
    <m/>
    <m/>
    <m/>
    <m/>
    <m/>
    <m/>
    <n v="2329.91"/>
    <n v="-2624.3200000000006"/>
    <m/>
    <m/>
    <m/>
    <m/>
    <n v="-5248.58"/>
    <n v="0"/>
    <m/>
    <n v="-194.534043150934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338959959891376"/>
    <n v="0"/>
    <n v="-193.50014715494521"/>
    <m/>
    <m/>
    <n v="9894.2716481904408"/>
    <m/>
    <n v="0"/>
    <n v="0"/>
    <n v="-5248.58"/>
    <m/>
    <n v="0"/>
    <m/>
    <n v="-5054.01693856209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56"/>
    <s v="Regular"/>
    <s v="Geração"/>
    <s v="A4"/>
    <s v="Não se aplica"/>
    <s v="Não se aplica"/>
    <s v="Não se aplica"/>
    <s v="RIO FORTALEZA"/>
    <s v="Não se aplica"/>
    <s v="GERAÇÃO"/>
    <x v="6"/>
    <n v="880"/>
    <n v="440"/>
    <n v="0"/>
    <n v="0"/>
    <n v="0"/>
    <n v="0"/>
    <n v="13.8"/>
    <m/>
    <m/>
    <n v="12144"/>
    <m/>
    <n v="12144"/>
    <n v="5711.2"/>
    <n v="0"/>
    <n v="0"/>
    <n v="0"/>
    <n v="0"/>
    <n v="0"/>
    <n v="0"/>
    <n v="12126.683914216695"/>
    <m/>
    <m/>
    <m/>
    <n v="0"/>
    <n v="0"/>
    <n v="0"/>
    <n v="0"/>
    <m/>
    <n v="19.8872974264697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9.73"/>
    <n v="0"/>
    <n v="0"/>
    <n v="0"/>
    <m/>
    <m/>
    <n v="2855.6"/>
    <m/>
    <m/>
    <m/>
    <m/>
    <m/>
    <m/>
    <n v="0"/>
    <m/>
    <m/>
    <m/>
    <m/>
    <m/>
    <m/>
    <m/>
    <m/>
    <m/>
    <m/>
    <m/>
    <m/>
    <n v="2855.6"/>
    <n v="-3216.4300000000007"/>
    <m/>
    <m/>
    <m/>
    <m/>
    <n v="-6432.8"/>
    <n v="0"/>
    <n v="31"/>
    <n v="-238.426125310337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671705800424"/>
    <n v="0"/>
    <n v="-237.15895473029497"/>
    <m/>
    <m/>
    <n v="12126.683914216695"/>
    <m/>
    <n v="0"/>
    <n v="0"/>
    <n v="-6432.8"/>
    <m/>
    <n v="0"/>
    <m/>
    <n v="-6194.33830910117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57"/>
    <s v="Regular"/>
    <s v="Geração"/>
    <s v="A4"/>
    <s v="Não se aplica"/>
    <s v="Não se aplica"/>
    <s v="Não se aplica"/>
    <s v="BRAGA"/>
    <s v="Não se aplica"/>
    <s v="GERAÇÃO"/>
    <x v="6"/>
    <n v="520"/>
    <n v="260"/>
    <n v="0"/>
    <n v="0"/>
    <n v="0"/>
    <n v="0"/>
    <n v="13.8"/>
    <m/>
    <m/>
    <n v="7176"/>
    <m/>
    <n v="7176"/>
    <n v="3374.8"/>
    <n v="0"/>
    <n v="0"/>
    <n v="0"/>
    <n v="0"/>
    <n v="0"/>
    <n v="0"/>
    <n v="7165.767767491684"/>
    <m/>
    <m/>
    <m/>
    <n v="0"/>
    <n v="0"/>
    <n v="0"/>
    <n v="0"/>
    <m/>
    <n v="11.7515848429139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5.75"/>
    <n v="0"/>
    <n v="0"/>
    <n v="0"/>
    <m/>
    <m/>
    <n v="1687.4"/>
    <m/>
    <m/>
    <m/>
    <m/>
    <m/>
    <m/>
    <n v="0"/>
    <m/>
    <m/>
    <m/>
    <m/>
    <m/>
    <m/>
    <m/>
    <m/>
    <m/>
    <m/>
    <m/>
    <m/>
    <n v="1687.4"/>
    <n v="-1900.6300000000006"/>
    <m/>
    <m/>
    <m/>
    <m/>
    <n v="-3801.2000000000003"/>
    <n v="0"/>
    <n v="31"/>
    <n v="-140.888164956108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74878261547960001"/>
    <n v="0"/>
    <n v="-140.13938234062886"/>
    <m/>
    <m/>
    <n v="7165.767767491684"/>
    <m/>
    <n v="0"/>
    <n v="0"/>
    <n v="-3801.2"/>
    <m/>
    <n v="0"/>
    <m/>
    <n v="-3660.29081901433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58"/>
    <s v="Regular"/>
    <s v="Geração"/>
    <s v="A4"/>
    <s v="Não se aplica"/>
    <s v="Não se aplica"/>
    <s v="Não se aplica"/>
    <s v="LINHA GRANJA VELHA"/>
    <s v="Não se aplica"/>
    <s v="GERAÇÃO"/>
    <x v="6"/>
    <n v="1000"/>
    <n v="500"/>
    <n v="0"/>
    <n v="0"/>
    <n v="0"/>
    <n v="0"/>
    <n v="13.8"/>
    <m/>
    <m/>
    <n v="13800"/>
    <m/>
    <n v="13800"/>
    <n v="6490"/>
    <n v="0"/>
    <n v="0"/>
    <n v="0"/>
    <n v="0"/>
    <n v="0"/>
    <n v="0"/>
    <n v="13780.322629791699"/>
    <m/>
    <m/>
    <m/>
    <n v="0"/>
    <n v="0"/>
    <n v="0"/>
    <n v="0"/>
    <m/>
    <n v="22.5992016209883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.07"/>
    <n v="0"/>
    <n v="0"/>
    <n v="0"/>
    <m/>
    <m/>
    <n v="3245"/>
    <m/>
    <m/>
    <m/>
    <m/>
    <m/>
    <m/>
    <n v="0"/>
    <m/>
    <m/>
    <m/>
    <m/>
    <m/>
    <m/>
    <m/>
    <m/>
    <m/>
    <m/>
    <m/>
    <m/>
    <n v="3245"/>
    <n v="-3655.0300000000007"/>
    <m/>
    <m/>
    <m/>
    <m/>
    <n v="-7310.0000000000009"/>
    <n v="0"/>
    <n v="31"/>
    <n v="-270.9387787617470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399665682300018"/>
    <n v="0"/>
    <n v="-269.49881219351704"/>
    <m/>
    <m/>
    <n v="13780.322629791699"/>
    <m/>
    <n v="0"/>
    <n v="0"/>
    <n v="-7310"/>
    <m/>
    <n v="0"/>
    <m/>
    <n v="-7039.02080579678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59"/>
    <s v="Regular"/>
    <s v="Geração"/>
    <s v="A4"/>
    <s v="Não se aplica"/>
    <s v="Não se aplica"/>
    <s v="Não se aplica"/>
    <s v="CARLOS BEVILÁCQUA"/>
    <s v="Não se aplica"/>
    <s v="GERAÇÃO"/>
    <x v="6"/>
    <n v="800"/>
    <n v="400"/>
    <n v="0"/>
    <n v="0"/>
    <n v="0"/>
    <n v="0"/>
    <n v="13.8"/>
    <m/>
    <m/>
    <n v="11040"/>
    <m/>
    <n v="11040"/>
    <n v="5192"/>
    <n v="0"/>
    <n v="0"/>
    <n v="0"/>
    <n v="0"/>
    <n v="0"/>
    <n v="0"/>
    <n v="11024.258103833359"/>
    <m/>
    <m/>
    <m/>
    <n v="0"/>
    <n v="0"/>
    <n v="0"/>
    <n v="0"/>
    <m/>
    <n v="18.0793612967906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8.85"/>
    <n v="0"/>
    <n v="0"/>
    <n v="0"/>
    <m/>
    <m/>
    <n v="2596"/>
    <m/>
    <m/>
    <m/>
    <m/>
    <m/>
    <m/>
    <n v="0"/>
    <m/>
    <m/>
    <m/>
    <m/>
    <m/>
    <m/>
    <m/>
    <m/>
    <m/>
    <m/>
    <m/>
    <m/>
    <n v="2596"/>
    <n v="-2924.0300000000007"/>
    <m/>
    <m/>
    <m/>
    <m/>
    <n v="-5848"/>
    <n v="0"/>
    <n v="31"/>
    <n v="-216.7510230093976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1519732545839965"/>
    <n v="0"/>
    <n v="-215.59904975481362"/>
    <m/>
    <m/>
    <n v="11024.258103833359"/>
    <m/>
    <n v="0"/>
    <n v="0"/>
    <n v="-5848"/>
    <m/>
    <n v="0"/>
    <m/>
    <n v="-5631.21664463743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60"/>
    <s v="Regular"/>
    <s v="Geração"/>
    <s v="A4"/>
    <s v="Não se aplica"/>
    <s v="Não se aplica"/>
    <s v="Não se aplica"/>
    <s v="MOINHO"/>
    <s v="Não se aplica"/>
    <s v="GERAÇÃO"/>
    <x v="6"/>
    <n v="270"/>
    <n v="135"/>
    <n v="0"/>
    <n v="0"/>
    <n v="0"/>
    <n v="0"/>
    <n v="13.8"/>
    <m/>
    <m/>
    <n v="3726"/>
    <m/>
    <n v="3726"/>
    <n v="1752.3"/>
    <n v="0"/>
    <n v="0"/>
    <n v="0"/>
    <n v="0"/>
    <n v="0"/>
    <n v="0"/>
    <n v="3720.6871100437588"/>
    <m/>
    <m/>
    <m/>
    <n v="0"/>
    <n v="0"/>
    <n v="0"/>
    <n v="0"/>
    <m/>
    <n v="6.1017844376668409"/>
    <n v="0"/>
    <n v="0"/>
    <n v="0"/>
    <n v="0"/>
    <m/>
    <m/>
    <n v="0"/>
    <n v="0"/>
    <n v="0"/>
    <m/>
    <m/>
    <n v="0"/>
    <m/>
    <n v="0"/>
    <n v="0"/>
    <n v="0"/>
    <n v="0"/>
    <m/>
    <n v="0"/>
    <n v="0"/>
    <n v="2.98"/>
    <n v="0"/>
    <n v="0"/>
    <n v="0"/>
    <m/>
    <m/>
    <n v="876.15"/>
    <m/>
    <m/>
    <m/>
    <m/>
    <m/>
    <m/>
    <n v="0"/>
    <m/>
    <m/>
    <m/>
    <m/>
    <m/>
    <m/>
    <m/>
    <m/>
    <m/>
    <m/>
    <m/>
    <m/>
    <n v="876.15"/>
    <n v="-986.88"/>
    <m/>
    <m/>
    <m/>
    <m/>
    <n v="-1973.7"/>
    <n v="0"/>
    <n v="31"/>
    <n v="-73.15347026567168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8879097342209956"/>
    <n v="0"/>
    <n v="-72.764679292249596"/>
    <m/>
    <m/>
    <n v="3720.6871100437588"/>
    <m/>
    <n v="0"/>
    <n v="0"/>
    <n v="-1973.7"/>
    <m/>
    <n v="0"/>
    <m/>
    <n v="-1900.53561756513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61"/>
    <s v="Regular"/>
    <s v="Geração"/>
    <s v="A4"/>
    <s v="Não se aplica"/>
    <s v="Não se aplica"/>
    <s v="Não se aplica"/>
    <s v="CASCATA DO BARREIRO"/>
    <s v="Não se aplica"/>
    <s v="GERAÇÃO"/>
    <x v="6"/>
    <n v="280"/>
    <n v="140"/>
    <n v="0"/>
    <n v="0"/>
    <n v="0"/>
    <n v="0"/>
    <n v="13.8"/>
    <m/>
    <m/>
    <n v="3864"/>
    <m/>
    <n v="3864"/>
    <n v="1817.2"/>
    <n v="0"/>
    <n v="0"/>
    <n v="0"/>
    <n v="0"/>
    <n v="0"/>
    <n v="0"/>
    <n v="3858.4903363416761"/>
    <m/>
    <m/>
    <m/>
    <n v="0"/>
    <n v="0"/>
    <n v="0"/>
    <n v="0"/>
    <m/>
    <n v="6.3277764538767238"/>
    <n v="0"/>
    <n v="0"/>
    <n v="0"/>
    <n v="0"/>
    <m/>
    <m/>
    <n v="0"/>
    <n v="0"/>
    <n v="0"/>
    <m/>
    <m/>
    <n v="0"/>
    <m/>
    <n v="0"/>
    <n v="0"/>
    <n v="0"/>
    <n v="0"/>
    <m/>
    <n v="0"/>
    <n v="0"/>
    <n v="3.09"/>
    <n v="0"/>
    <n v="0"/>
    <n v="0"/>
    <m/>
    <m/>
    <n v="908.6"/>
    <m/>
    <m/>
    <m/>
    <m/>
    <m/>
    <m/>
    <n v="0"/>
    <m/>
    <m/>
    <m/>
    <m/>
    <m/>
    <m/>
    <m/>
    <m/>
    <m/>
    <m/>
    <m/>
    <m/>
    <n v="908.6"/>
    <n v="-1023.43"/>
    <m/>
    <m/>
    <m/>
    <m/>
    <n v="-2046.8000000000002"/>
    <n v="0"/>
    <n v="31"/>
    <n v="-75.86285805328915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0319063910440001"/>
    <n v="0"/>
    <n v="-75.459667414184764"/>
    <m/>
    <m/>
    <n v="3858.4903363416761"/>
    <m/>
    <n v="0"/>
    <n v="0"/>
    <n v="-2046.8"/>
    <m/>
    <n v="0"/>
    <m/>
    <n v="-1970.92582562310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62"/>
    <s v="Regular"/>
    <s v="Geração"/>
    <s v="A4"/>
    <s v="Não se aplica"/>
    <s v="Não se aplica"/>
    <s v="Não se aplica"/>
    <s v="SOLAR BOA VISTA"/>
    <s v="Não se aplica"/>
    <s v="GERAÇÃO"/>
    <x v="6"/>
    <n v="730"/>
    <n v="365"/>
    <n v="0"/>
    <n v="0"/>
    <n v="0"/>
    <n v="0"/>
    <n v="13.8"/>
    <m/>
    <m/>
    <n v="10074"/>
    <m/>
    <n v="10074"/>
    <n v="4737.7"/>
    <n v="0"/>
    <n v="0"/>
    <n v="0"/>
    <n v="0"/>
    <n v="0"/>
    <n v="0"/>
    <n v="10059.635519747941"/>
    <m/>
    <m/>
    <m/>
    <n v="0"/>
    <n v="0"/>
    <n v="0"/>
    <n v="0"/>
    <m/>
    <n v="16.497417183321456"/>
    <n v="0"/>
    <n v="0"/>
    <n v="0"/>
    <n v="0"/>
    <m/>
    <m/>
    <n v="0"/>
    <n v="0"/>
    <n v="0"/>
    <m/>
    <m/>
    <n v="0"/>
    <m/>
    <n v="0"/>
    <n v="0"/>
    <n v="0"/>
    <n v="0"/>
    <m/>
    <n v="0"/>
    <n v="0"/>
    <n v="8.07"/>
    <n v="0"/>
    <n v="0"/>
    <n v="0"/>
    <m/>
    <m/>
    <n v="2368.85"/>
    <m/>
    <m/>
    <m/>
    <m/>
    <m/>
    <m/>
    <n v="0"/>
    <m/>
    <m/>
    <m/>
    <m/>
    <m/>
    <m/>
    <m/>
    <m/>
    <m/>
    <m/>
    <m/>
    <m/>
    <n v="2368.85"/>
    <n v="-2668.1800000000007"/>
    <m/>
    <m/>
    <m/>
    <m/>
    <n v="-5336.3"/>
    <n v="0"/>
    <n v="31"/>
    <n v="-197.7853084960753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511755948078978"/>
    <n v="0"/>
    <n v="-196.73413290126743"/>
    <m/>
    <m/>
    <n v="10059.635519747941"/>
    <m/>
    <n v="0"/>
    <n v="0"/>
    <n v="-5336.3"/>
    <m/>
    <n v="0"/>
    <m/>
    <n v="-5138.4851882316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63"/>
    <s v="Regular"/>
    <s v="Geração"/>
    <s v="A4"/>
    <s v="Não se aplica"/>
    <s v="Não se aplica"/>
    <s v="Não se aplica"/>
    <s v="SOLAR SÃO MIGUEL"/>
    <s v="Não se aplica"/>
    <s v="GERAÇÃO"/>
    <x v="6"/>
    <n v="561"/>
    <n v="280.5"/>
    <n v="0"/>
    <n v="0"/>
    <n v="0"/>
    <n v="0"/>
    <n v="13.8"/>
    <m/>
    <m/>
    <n v="7741.8"/>
    <m/>
    <n v="7741.8"/>
    <n v="3640.8900000000003"/>
    <n v="0"/>
    <n v="0"/>
    <n v="0"/>
    <n v="0"/>
    <n v="0"/>
    <n v="0"/>
    <n v="7730.7609953131432"/>
    <m/>
    <m/>
    <m/>
    <n v="0"/>
    <n v="0"/>
    <n v="0"/>
    <n v="0"/>
    <m/>
    <n v="12.678152109374436"/>
    <n v="0"/>
    <n v="0"/>
    <n v="0"/>
    <n v="0"/>
    <m/>
    <m/>
    <n v="0"/>
    <n v="0"/>
    <n v="0"/>
    <m/>
    <m/>
    <n v="0"/>
    <m/>
    <n v="0"/>
    <n v="0"/>
    <n v="0"/>
    <n v="0"/>
    <m/>
    <n v="0"/>
    <n v="0"/>
    <n v="6.2"/>
    <n v="0"/>
    <n v="0"/>
    <n v="0"/>
    <m/>
    <m/>
    <n v="1820.4450000000002"/>
    <m/>
    <m/>
    <m/>
    <m/>
    <m/>
    <m/>
    <n v="0"/>
    <m/>
    <m/>
    <m/>
    <m/>
    <m/>
    <m/>
    <m/>
    <m/>
    <m/>
    <m/>
    <m/>
    <m/>
    <n v="1820.4450000000002"/>
    <n v="-2050.4850000000006"/>
    <m/>
    <m/>
    <m/>
    <m/>
    <n v="-4100.91"/>
    <n v="0"/>
    <n v="31"/>
    <n v="-151.9966548853400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80782124477702943"/>
    <n v="0"/>
    <n v="-151.18883364056305"/>
    <m/>
    <m/>
    <n v="7730.7609953131432"/>
    <m/>
    <n v="0"/>
    <n v="0"/>
    <n v="-4100.91"/>
    <m/>
    <n v="0"/>
    <m/>
    <n v="-3948.89067205199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64"/>
    <s v="Regular"/>
    <s v="Geração"/>
    <s v="A4"/>
    <s v="Não se aplica"/>
    <s v="Não se aplica"/>
    <s v="Não se aplica"/>
    <s v="SOLAR SÃO GABRIEL"/>
    <s v="Não se aplica"/>
    <s v="GERAÇÃO"/>
    <x v="6"/>
    <n v="379"/>
    <n v="189.5"/>
    <n v="0"/>
    <n v="0"/>
    <n v="0"/>
    <n v="0"/>
    <n v="13.8"/>
    <m/>
    <m/>
    <n v="5230.2"/>
    <m/>
    <n v="5230.2"/>
    <n v="2459.71"/>
    <n v="0"/>
    <n v="0"/>
    <n v="0"/>
    <n v="0"/>
    <n v="0"/>
    <n v="0"/>
    <n v="5222.742276691054"/>
    <m/>
    <m/>
    <m/>
    <n v="0"/>
    <n v="0"/>
    <n v="0"/>
    <n v="0"/>
    <m/>
    <n v="8.5650974143545646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1900000000000004"/>
    <n v="0"/>
    <n v="0"/>
    <n v="0"/>
    <m/>
    <m/>
    <n v="1229.855"/>
    <m/>
    <m/>
    <m/>
    <m/>
    <m/>
    <m/>
    <n v="0"/>
    <m/>
    <m/>
    <m/>
    <m/>
    <m/>
    <m/>
    <m/>
    <m/>
    <m/>
    <m/>
    <m/>
    <m/>
    <n v="1229.855"/>
    <n v="-1385.2750000000005"/>
    <m/>
    <m/>
    <m/>
    <m/>
    <n v="-2770.4900000000002"/>
    <n v="0"/>
    <n v="31"/>
    <n v="-102.685797150702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457473293591697"/>
    <n v="0"/>
    <n v="-102.14004982134294"/>
    <m/>
    <m/>
    <n v="5222.742276691054"/>
    <m/>
    <n v="0"/>
    <n v="0"/>
    <n v="-2770.49"/>
    <m/>
    <n v="0"/>
    <m/>
    <n v="-2667.788885396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65"/>
    <s v="Regular"/>
    <s v="Geração"/>
    <s v="A4"/>
    <s v="Não se aplica"/>
    <s v="Não se aplica"/>
    <s v="Não se aplica"/>
    <s v="SOLAR SÃO RAFAEL"/>
    <s v="Não se aplica"/>
    <s v="GERAÇÃO"/>
    <x v="6"/>
    <n v="718"/>
    <n v="359"/>
    <n v="0"/>
    <n v="0"/>
    <n v="0"/>
    <n v="0"/>
    <n v="13.8"/>
    <m/>
    <m/>
    <n v="9908.4"/>
    <m/>
    <n v="9908.4"/>
    <n v="4659.82"/>
    <n v="0"/>
    <n v="0"/>
    <n v="0"/>
    <n v="0"/>
    <n v="0"/>
    <n v="0"/>
    <n v="9894.2716481904408"/>
    <m/>
    <m/>
    <m/>
    <n v="0"/>
    <n v="0"/>
    <n v="0"/>
    <n v="0"/>
    <m/>
    <n v="16.226226763869597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94"/>
    <n v="0"/>
    <n v="0"/>
    <n v="0"/>
    <m/>
    <m/>
    <n v="2329.91"/>
    <m/>
    <m/>
    <m/>
    <m/>
    <m/>
    <m/>
    <n v="0"/>
    <m/>
    <m/>
    <m/>
    <m/>
    <m/>
    <m/>
    <m/>
    <m/>
    <m/>
    <m/>
    <m/>
    <m/>
    <n v="2329.91"/>
    <n v="-2624.3200000000006"/>
    <m/>
    <m/>
    <m/>
    <m/>
    <n v="-5248.58"/>
    <n v="0"/>
    <n v="31"/>
    <n v="-194.534043150934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338959959891376"/>
    <n v="0"/>
    <n v="-193.50014715494521"/>
    <m/>
    <m/>
    <n v="9894.2716481904408"/>
    <m/>
    <n v="0"/>
    <n v="0"/>
    <n v="-5248.58"/>
    <m/>
    <n v="0"/>
    <m/>
    <n v="-5054.01693856209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66"/>
    <s v="Regular"/>
    <s v="Geração"/>
    <s v="A4"/>
    <s v="Não se aplica"/>
    <s v="Não se aplica"/>
    <s v="Não se aplica"/>
    <s v="RIO FORTALEZA"/>
    <s v="Não se aplica"/>
    <s v="GERAÇÃO"/>
    <x v="7"/>
    <n v="880"/>
    <n v="440"/>
    <n v="0"/>
    <n v="0"/>
    <n v="0"/>
    <n v="0"/>
    <n v="13.8"/>
    <m/>
    <m/>
    <n v="12144"/>
    <m/>
    <n v="12144"/>
    <n v="5711.2"/>
    <n v="0"/>
    <n v="0"/>
    <n v="0"/>
    <n v="0"/>
    <n v="0"/>
    <n v="0"/>
    <n v="12126.683914216695"/>
    <m/>
    <m/>
    <m/>
    <n v="0"/>
    <n v="0"/>
    <n v="0"/>
    <n v="0"/>
    <m/>
    <n v="19.8872974264697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.47"/>
    <n v="0"/>
    <n v="0"/>
    <n v="0"/>
    <m/>
    <m/>
    <n v="2855.6"/>
    <m/>
    <m/>
    <m/>
    <m/>
    <m/>
    <m/>
    <n v="0"/>
    <m/>
    <m/>
    <m/>
    <m/>
    <m/>
    <m/>
    <m/>
    <m/>
    <m/>
    <m/>
    <m/>
    <m/>
    <n v="2855.6"/>
    <n v="-3216.4300000000007"/>
    <m/>
    <m/>
    <m/>
    <m/>
    <n v="-6432.8"/>
    <n v="0"/>
    <n v="29"/>
    <n v="-238.426125310337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671705800424"/>
    <n v="0"/>
    <n v="-237.15895473029497"/>
    <m/>
    <m/>
    <n v="12126.683914216695"/>
    <m/>
    <n v="0"/>
    <n v="0"/>
    <n v="-6432.8"/>
    <m/>
    <n v="0"/>
    <m/>
    <n v="-6194.33830910117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67"/>
    <s v="Regular"/>
    <s v="Geração"/>
    <s v="A4"/>
    <s v="Não se aplica"/>
    <s v="Não se aplica"/>
    <s v="Não se aplica"/>
    <s v="BRAGA"/>
    <s v="Não se aplica"/>
    <s v="GERAÇÃO"/>
    <x v="7"/>
    <n v="520"/>
    <n v="260"/>
    <n v="0"/>
    <n v="0"/>
    <n v="0"/>
    <n v="0"/>
    <n v="13.8"/>
    <m/>
    <m/>
    <n v="7176"/>
    <m/>
    <n v="7176"/>
    <n v="3374.8"/>
    <n v="0"/>
    <n v="0"/>
    <n v="0"/>
    <n v="0"/>
    <n v="0"/>
    <n v="0"/>
    <n v="7165.767767491684"/>
    <m/>
    <m/>
    <m/>
    <n v="0"/>
    <n v="0"/>
    <n v="0"/>
    <n v="0"/>
    <m/>
    <n v="11.7515848429139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.46"/>
    <n v="0"/>
    <n v="0"/>
    <n v="0"/>
    <m/>
    <m/>
    <n v="1687.4"/>
    <m/>
    <m/>
    <m/>
    <m/>
    <m/>
    <m/>
    <n v="0"/>
    <m/>
    <m/>
    <m/>
    <m/>
    <m/>
    <m/>
    <m/>
    <m/>
    <m/>
    <m/>
    <m/>
    <m/>
    <n v="1687.4"/>
    <n v="-1900.6300000000006"/>
    <m/>
    <m/>
    <m/>
    <m/>
    <n v="-3801.2000000000003"/>
    <n v="0"/>
    <n v="29"/>
    <n v="-140.888164956108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74878261547960001"/>
    <n v="0"/>
    <n v="-140.13938234062886"/>
    <m/>
    <m/>
    <n v="7165.767767491684"/>
    <m/>
    <n v="0"/>
    <n v="0"/>
    <n v="-3801.2"/>
    <m/>
    <n v="0"/>
    <m/>
    <n v="-3660.29081901433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68"/>
    <s v="Regular"/>
    <s v="Geração"/>
    <s v="A4"/>
    <s v="Não se aplica"/>
    <s v="Não se aplica"/>
    <s v="Não se aplica"/>
    <s v="LINHA GRANJA VELHA"/>
    <s v="Não se aplica"/>
    <s v="GERAÇÃO"/>
    <x v="7"/>
    <n v="1000"/>
    <n v="500"/>
    <n v="0"/>
    <n v="0"/>
    <n v="0"/>
    <n v="0"/>
    <n v="13.8"/>
    <m/>
    <m/>
    <n v="13800"/>
    <m/>
    <n v="13800"/>
    <n v="6490"/>
    <n v="0"/>
    <n v="0"/>
    <n v="0"/>
    <n v="0"/>
    <n v="0"/>
    <n v="0"/>
    <n v="13780.322629791699"/>
    <m/>
    <m/>
    <m/>
    <n v="0"/>
    <n v="0"/>
    <n v="0"/>
    <n v="0"/>
    <m/>
    <n v="22.5992016209883"/>
    <n v="0"/>
    <n v="0"/>
    <n v="0"/>
    <n v="0"/>
    <m/>
    <m/>
    <n v="0"/>
    <n v="0"/>
    <n v="0"/>
    <m/>
    <m/>
    <n v="0"/>
    <m/>
    <n v="0"/>
    <n v="0"/>
    <n v="0"/>
    <n v="0"/>
    <m/>
    <n v="0"/>
    <n v="0"/>
    <n v="27.81"/>
    <n v="0"/>
    <n v="0"/>
    <n v="0"/>
    <m/>
    <m/>
    <n v="3245"/>
    <m/>
    <m/>
    <m/>
    <m/>
    <m/>
    <m/>
    <n v="0"/>
    <m/>
    <m/>
    <m/>
    <m/>
    <m/>
    <m/>
    <m/>
    <m/>
    <m/>
    <m/>
    <m/>
    <m/>
    <n v="3245"/>
    <n v="-3655.0300000000007"/>
    <m/>
    <m/>
    <m/>
    <m/>
    <n v="-7310.0000000000009"/>
    <n v="0"/>
    <n v="29"/>
    <n v="-270.9387787617470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399665682300018"/>
    <n v="0"/>
    <n v="-269.49881219351704"/>
    <m/>
    <m/>
    <n v="13780.322629791699"/>
    <m/>
    <n v="0"/>
    <n v="0"/>
    <n v="-7310"/>
    <m/>
    <n v="0"/>
    <m/>
    <n v="-7039.02080579678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69"/>
    <s v="Regular"/>
    <s v="Geração"/>
    <s v="A4"/>
    <s v="Não se aplica"/>
    <s v="Não se aplica"/>
    <s v="Não se aplica"/>
    <s v="CARLOS BEVILÁCQUA"/>
    <s v="Não se aplica"/>
    <s v="GERAÇÃO"/>
    <x v="7"/>
    <n v="800"/>
    <n v="400"/>
    <n v="0"/>
    <n v="0"/>
    <n v="0"/>
    <n v="0"/>
    <n v="13.8"/>
    <m/>
    <m/>
    <n v="11040"/>
    <m/>
    <n v="11040"/>
    <n v="5192"/>
    <n v="0"/>
    <n v="0"/>
    <n v="0"/>
    <n v="0"/>
    <n v="0"/>
    <n v="0"/>
    <n v="11024.258103833359"/>
    <m/>
    <m/>
    <m/>
    <n v="0"/>
    <n v="0"/>
    <n v="0"/>
    <n v="0"/>
    <m/>
    <n v="18.0793612967906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.25"/>
    <n v="0"/>
    <n v="0"/>
    <n v="0"/>
    <m/>
    <m/>
    <n v="2596"/>
    <m/>
    <m/>
    <m/>
    <m/>
    <m/>
    <m/>
    <n v="0"/>
    <m/>
    <m/>
    <m/>
    <m/>
    <m/>
    <m/>
    <m/>
    <m/>
    <m/>
    <m/>
    <m/>
    <m/>
    <n v="2596"/>
    <n v="-2924.0300000000007"/>
    <m/>
    <m/>
    <m/>
    <m/>
    <n v="-5848"/>
    <n v="0"/>
    <n v="29"/>
    <n v="-216.7510230093976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1519732545839965"/>
    <n v="0"/>
    <n v="-215.59904975481362"/>
    <m/>
    <m/>
    <n v="11024.258103833359"/>
    <m/>
    <n v="0"/>
    <n v="0"/>
    <n v="-5848"/>
    <m/>
    <n v="0"/>
    <m/>
    <n v="-5631.21664463743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70"/>
    <s v="Regular"/>
    <s v="Geração"/>
    <s v="A4"/>
    <s v="Não se aplica"/>
    <s v="Não se aplica"/>
    <s v="Não se aplica"/>
    <s v="MOINHO"/>
    <s v="Não se aplica"/>
    <s v="GERAÇÃO"/>
    <x v="7"/>
    <n v="270"/>
    <n v="135"/>
    <n v="0"/>
    <n v="0"/>
    <n v="0"/>
    <n v="0"/>
    <n v="13.8"/>
    <m/>
    <m/>
    <n v="3726"/>
    <m/>
    <n v="3726"/>
    <n v="1752.3"/>
    <n v="0"/>
    <n v="0"/>
    <n v="0"/>
    <n v="0"/>
    <n v="0"/>
    <n v="0"/>
    <n v="3720.6871100437588"/>
    <m/>
    <m/>
    <m/>
    <n v="0"/>
    <n v="0"/>
    <n v="0"/>
    <n v="0"/>
    <m/>
    <n v="6.1017844376668409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51"/>
    <n v="0"/>
    <n v="0"/>
    <n v="0"/>
    <m/>
    <m/>
    <n v="876.15"/>
    <m/>
    <m/>
    <m/>
    <m/>
    <m/>
    <m/>
    <n v="0"/>
    <m/>
    <m/>
    <m/>
    <m/>
    <m/>
    <m/>
    <m/>
    <m/>
    <m/>
    <m/>
    <m/>
    <m/>
    <n v="876.15"/>
    <n v="-986.88"/>
    <m/>
    <m/>
    <m/>
    <m/>
    <n v="-1973.7"/>
    <n v="0"/>
    <n v="29"/>
    <n v="-73.15347026567168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8879097342209956"/>
    <n v="0"/>
    <n v="-72.764679292249596"/>
    <m/>
    <m/>
    <n v="3720.6871100437588"/>
    <m/>
    <n v="0"/>
    <n v="0"/>
    <n v="-1973.7"/>
    <m/>
    <n v="0"/>
    <m/>
    <n v="-1900.53561756513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71"/>
    <s v="Regular"/>
    <s v="Geração"/>
    <s v="A4"/>
    <s v="Não se aplica"/>
    <s v="Não se aplica"/>
    <s v="Não se aplica"/>
    <s v="CASCATA DO BARREIRO"/>
    <s v="Não se aplica"/>
    <s v="GERAÇÃO"/>
    <x v="7"/>
    <n v="280"/>
    <n v="140"/>
    <n v="0"/>
    <n v="0"/>
    <n v="0"/>
    <n v="0"/>
    <n v="13.8"/>
    <m/>
    <m/>
    <n v="3864"/>
    <m/>
    <n v="3864"/>
    <n v="1817.2"/>
    <n v="0"/>
    <n v="0"/>
    <n v="0"/>
    <n v="0"/>
    <n v="0"/>
    <n v="0"/>
    <n v="3858.4903363416761"/>
    <m/>
    <m/>
    <m/>
    <n v="0"/>
    <n v="0"/>
    <n v="0"/>
    <n v="0"/>
    <m/>
    <n v="6.3277764538767238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78"/>
    <n v="0"/>
    <n v="0"/>
    <n v="0"/>
    <m/>
    <m/>
    <n v="908.6"/>
    <m/>
    <m/>
    <m/>
    <m/>
    <m/>
    <m/>
    <n v="0"/>
    <m/>
    <m/>
    <m/>
    <m/>
    <m/>
    <m/>
    <m/>
    <m/>
    <m/>
    <m/>
    <m/>
    <m/>
    <n v="908.6"/>
    <n v="-1023.43"/>
    <m/>
    <m/>
    <m/>
    <m/>
    <n v="-2046.8000000000002"/>
    <n v="0"/>
    <n v="29"/>
    <n v="-75.86285805328915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0319063910440001"/>
    <n v="0"/>
    <n v="-75.459667414184764"/>
    <m/>
    <m/>
    <n v="3858.4903363416761"/>
    <m/>
    <n v="0"/>
    <n v="0"/>
    <n v="-2046.8"/>
    <m/>
    <n v="0"/>
    <m/>
    <n v="-1970.92582562310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72"/>
    <s v="Regular"/>
    <s v="Geração"/>
    <s v="A4"/>
    <s v="Não se aplica"/>
    <s v="Não se aplica"/>
    <s v="Não se aplica"/>
    <s v="SOLAR BOA VISTA"/>
    <s v="Não se aplica"/>
    <s v="GERAÇÃO"/>
    <x v="7"/>
    <n v="730"/>
    <n v="365"/>
    <n v="0"/>
    <n v="0"/>
    <n v="0"/>
    <n v="0"/>
    <n v="13.8"/>
    <m/>
    <m/>
    <n v="10074"/>
    <m/>
    <n v="10074"/>
    <n v="4737.7"/>
    <n v="0"/>
    <n v="0"/>
    <n v="0"/>
    <n v="0"/>
    <n v="0"/>
    <n v="0"/>
    <n v="10059.635519747941"/>
    <m/>
    <m/>
    <m/>
    <n v="0"/>
    <n v="0"/>
    <n v="0"/>
    <n v="0"/>
    <m/>
    <n v="16.49741718332145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3"/>
    <n v="0"/>
    <n v="0"/>
    <n v="0"/>
    <m/>
    <m/>
    <n v="2368.85"/>
    <m/>
    <m/>
    <m/>
    <m/>
    <m/>
    <m/>
    <n v="0"/>
    <m/>
    <m/>
    <m/>
    <m/>
    <m/>
    <m/>
    <m/>
    <m/>
    <m/>
    <m/>
    <m/>
    <m/>
    <n v="2368.85"/>
    <n v="-2668.1800000000007"/>
    <m/>
    <m/>
    <m/>
    <m/>
    <n v="-5336.3"/>
    <n v="0"/>
    <n v="29"/>
    <n v="-197.7853084960753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511755948078978"/>
    <n v="0"/>
    <n v="-196.73413290126743"/>
    <m/>
    <m/>
    <n v="10059.635519747941"/>
    <m/>
    <n v="0"/>
    <n v="0"/>
    <n v="-5336.3"/>
    <m/>
    <n v="0"/>
    <m/>
    <n v="-5138.4851882316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73"/>
    <s v="Regular"/>
    <s v="Geração"/>
    <s v="A4"/>
    <s v="Não se aplica"/>
    <s v="Não se aplica"/>
    <s v="Não se aplica"/>
    <s v="SOLAR SÃO MIGUEL"/>
    <s v="Não se aplica"/>
    <s v="GERAÇÃO"/>
    <x v="7"/>
    <n v="561"/>
    <n v="280.5"/>
    <n v="0"/>
    <n v="0"/>
    <n v="0"/>
    <n v="0"/>
    <n v="13.8"/>
    <m/>
    <m/>
    <n v="7741.8"/>
    <m/>
    <n v="7741.8"/>
    <n v="3640.8900000000003"/>
    <n v="0"/>
    <n v="0"/>
    <n v="0"/>
    <n v="0"/>
    <n v="0"/>
    <n v="0"/>
    <n v="7730.7609953131432"/>
    <m/>
    <m/>
    <m/>
    <n v="0"/>
    <n v="0"/>
    <n v="0"/>
    <n v="0"/>
    <m/>
    <n v="12.678152109374436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.6"/>
    <n v="0"/>
    <n v="0"/>
    <n v="0"/>
    <m/>
    <m/>
    <n v="1820.4450000000002"/>
    <m/>
    <m/>
    <m/>
    <m/>
    <m/>
    <m/>
    <n v="0"/>
    <m/>
    <m/>
    <m/>
    <m/>
    <m/>
    <m/>
    <m/>
    <m/>
    <m/>
    <m/>
    <m/>
    <m/>
    <n v="1820.4450000000002"/>
    <n v="-2050.4850000000006"/>
    <m/>
    <m/>
    <m/>
    <m/>
    <n v="-4100.91"/>
    <n v="0"/>
    <n v="29"/>
    <n v="-151.9966548853400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80782124477702943"/>
    <n v="0"/>
    <n v="-151.18883364056305"/>
    <m/>
    <m/>
    <n v="7730.7609953131432"/>
    <m/>
    <n v="0"/>
    <n v="0"/>
    <n v="-4100.91"/>
    <m/>
    <n v="0"/>
    <m/>
    <n v="-3948.89067205199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74"/>
    <s v="Regular"/>
    <s v="Geração"/>
    <s v="A4"/>
    <s v="Não se aplica"/>
    <s v="Não se aplica"/>
    <s v="Não se aplica"/>
    <s v="SOLAR SÃO GABRIEL"/>
    <s v="Não se aplica"/>
    <s v="GERAÇÃO"/>
    <x v="7"/>
    <n v="379"/>
    <n v="189.5"/>
    <n v="0"/>
    <n v="0"/>
    <n v="0"/>
    <n v="0"/>
    <n v="13.8"/>
    <m/>
    <m/>
    <n v="5230.2"/>
    <m/>
    <n v="5230.2"/>
    <n v="2459.71"/>
    <n v="0"/>
    <n v="0"/>
    <n v="0"/>
    <n v="0"/>
    <n v="0"/>
    <n v="0"/>
    <n v="5222.742276691054"/>
    <m/>
    <m/>
    <m/>
    <n v="0"/>
    <n v="0"/>
    <n v="0"/>
    <n v="0"/>
    <m/>
    <n v="8.5650974143545646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.54"/>
    <n v="0"/>
    <n v="0"/>
    <n v="0"/>
    <m/>
    <m/>
    <n v="1229.855"/>
    <m/>
    <m/>
    <m/>
    <m/>
    <m/>
    <m/>
    <n v="0"/>
    <m/>
    <m/>
    <m/>
    <m/>
    <m/>
    <m/>
    <m/>
    <m/>
    <m/>
    <m/>
    <m/>
    <m/>
    <n v="1229.855"/>
    <n v="-1385.2750000000005"/>
    <m/>
    <m/>
    <m/>
    <m/>
    <n v="-2770.4900000000002"/>
    <n v="0"/>
    <n v="29"/>
    <n v="-102.685797150702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457473293591697"/>
    <n v="0"/>
    <n v="-102.14004982134294"/>
    <m/>
    <m/>
    <n v="5222.742276691054"/>
    <m/>
    <n v="0"/>
    <n v="0"/>
    <n v="-2770.49"/>
    <m/>
    <n v="0"/>
    <m/>
    <n v="-2667.788885396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75"/>
    <s v="Regular"/>
    <s v="Geração"/>
    <s v="A4"/>
    <s v="Não se aplica"/>
    <s v="Não se aplica"/>
    <s v="Não se aplica"/>
    <s v="SOLAR SÃO RAFAEL"/>
    <s v="Não se aplica"/>
    <s v="GERAÇÃO"/>
    <x v="7"/>
    <n v="718"/>
    <n v="359"/>
    <n v="0"/>
    <n v="0"/>
    <n v="0"/>
    <n v="0"/>
    <n v="13.8"/>
    <m/>
    <m/>
    <n v="9908.4"/>
    <m/>
    <n v="9908.4"/>
    <n v="4659.82"/>
    <n v="0"/>
    <n v="0"/>
    <n v="0"/>
    <n v="0"/>
    <n v="0"/>
    <n v="0"/>
    <n v="9894.2716481904408"/>
    <m/>
    <m/>
    <m/>
    <n v="0"/>
    <n v="0"/>
    <n v="0"/>
    <n v="0"/>
    <m/>
    <n v="16.22622676386959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.96"/>
    <n v="0"/>
    <n v="0"/>
    <n v="0"/>
    <m/>
    <m/>
    <n v="2329.91"/>
    <m/>
    <m/>
    <m/>
    <m/>
    <m/>
    <m/>
    <n v="0"/>
    <m/>
    <m/>
    <m/>
    <m/>
    <m/>
    <m/>
    <m/>
    <m/>
    <m/>
    <m/>
    <m/>
    <m/>
    <n v="2329.91"/>
    <n v="-2624.3200000000006"/>
    <m/>
    <m/>
    <m/>
    <m/>
    <n v="-5248.58"/>
    <n v="0"/>
    <n v="29"/>
    <n v="-194.534043150934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338959959891376"/>
    <n v="0"/>
    <n v="-193.50014715494521"/>
    <m/>
    <m/>
    <n v="9894.2716481904408"/>
    <m/>
    <n v="0"/>
    <n v="0"/>
    <n v="-5248.58"/>
    <m/>
    <n v="0"/>
    <m/>
    <n v="-5054.01693856209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76"/>
    <s v="Regular"/>
    <s v="Geração"/>
    <s v="A4"/>
    <s v="Não se aplica"/>
    <s v="Não se aplica"/>
    <s v="Não se aplica"/>
    <s v="RIO FORTALEZA"/>
    <s v="Não se aplica"/>
    <s v="GERAÇÃO"/>
    <x v="8"/>
    <n v="880"/>
    <n v="440"/>
    <n v="0"/>
    <n v="0"/>
    <n v="0"/>
    <n v="0"/>
    <n v="13.8"/>
    <m/>
    <m/>
    <n v="12144"/>
    <m/>
    <n v="12144"/>
    <n v="5711.2"/>
    <n v="0"/>
    <n v="0"/>
    <n v="0"/>
    <n v="0"/>
    <n v="0"/>
    <n v="0"/>
    <n v="12126.683914216695"/>
    <m/>
    <m/>
    <m/>
    <n v="0"/>
    <n v="0"/>
    <n v="0"/>
    <n v="0"/>
    <m/>
    <n v="19.8872974264697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.47"/>
    <n v="0"/>
    <n v="0"/>
    <n v="0"/>
    <m/>
    <m/>
    <n v="2855.6"/>
    <m/>
    <m/>
    <m/>
    <m/>
    <m/>
    <m/>
    <n v="0"/>
    <m/>
    <m/>
    <m/>
    <m/>
    <m/>
    <m/>
    <m/>
    <m/>
    <m/>
    <m/>
    <m/>
    <m/>
    <n v="2855.6"/>
    <n v="-3216.4300000000007"/>
    <m/>
    <m/>
    <m/>
    <m/>
    <n v="-6432.8"/>
    <n v="0"/>
    <n v="31"/>
    <n v="-238.426125310337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671705800424"/>
    <n v="0"/>
    <n v="-237.15895473029497"/>
    <m/>
    <m/>
    <n v="12126.683914216695"/>
    <m/>
    <n v="0"/>
    <n v="0"/>
    <n v="-6432.8"/>
    <m/>
    <n v="0"/>
    <m/>
    <n v="-6194.33830910117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77"/>
    <s v="Regular"/>
    <s v="Geração"/>
    <s v="A4"/>
    <s v="Não se aplica"/>
    <s v="Não se aplica"/>
    <s v="Não se aplica"/>
    <s v="BRAGA"/>
    <s v="Não se aplica"/>
    <s v="GERAÇÃO"/>
    <x v="8"/>
    <n v="520"/>
    <n v="260"/>
    <n v="0"/>
    <n v="0"/>
    <n v="0"/>
    <n v="0"/>
    <n v="13.8"/>
    <m/>
    <m/>
    <n v="7176"/>
    <m/>
    <n v="7176"/>
    <n v="3374.8"/>
    <n v="0"/>
    <n v="0"/>
    <n v="0"/>
    <n v="0"/>
    <n v="0"/>
    <n v="0"/>
    <n v="7165.767767491684"/>
    <m/>
    <m/>
    <m/>
    <n v="0"/>
    <n v="0"/>
    <n v="0"/>
    <n v="0"/>
    <m/>
    <n v="11.7515848429139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.46"/>
    <n v="0"/>
    <n v="0"/>
    <n v="0"/>
    <m/>
    <m/>
    <n v="1687.4"/>
    <m/>
    <m/>
    <m/>
    <m/>
    <m/>
    <m/>
    <n v="0"/>
    <m/>
    <m/>
    <m/>
    <m/>
    <m/>
    <m/>
    <m/>
    <m/>
    <m/>
    <m/>
    <m/>
    <m/>
    <n v="1687.4"/>
    <n v="-1900.6300000000006"/>
    <m/>
    <m/>
    <m/>
    <m/>
    <n v="-3801.2000000000003"/>
    <n v="0"/>
    <n v="31"/>
    <n v="-140.888164956108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74878261547960001"/>
    <n v="0"/>
    <n v="-140.13938234062886"/>
    <m/>
    <m/>
    <n v="7165.767767491684"/>
    <m/>
    <n v="0"/>
    <n v="0"/>
    <n v="-3801.2"/>
    <m/>
    <n v="0"/>
    <m/>
    <n v="-3660.29081901433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78"/>
    <s v="Regular"/>
    <s v="Geração"/>
    <s v="A4"/>
    <s v="Não se aplica"/>
    <s v="Não se aplica"/>
    <s v="Não se aplica"/>
    <s v="LINHA GRANJA VELHA"/>
    <s v="Não se aplica"/>
    <s v="GERAÇÃO"/>
    <x v="8"/>
    <n v="1000"/>
    <n v="500"/>
    <n v="0"/>
    <n v="0"/>
    <n v="0"/>
    <n v="0"/>
    <n v="13.8"/>
    <m/>
    <m/>
    <n v="13800"/>
    <m/>
    <n v="13800"/>
    <n v="6490"/>
    <n v="0"/>
    <n v="0"/>
    <n v="0"/>
    <n v="0"/>
    <n v="0"/>
    <n v="0"/>
    <n v="13780.322629791699"/>
    <m/>
    <m/>
    <m/>
    <n v="0"/>
    <n v="0"/>
    <n v="0"/>
    <n v="0"/>
    <m/>
    <n v="22.5992016209883"/>
    <n v="0"/>
    <n v="0"/>
    <n v="0"/>
    <n v="0"/>
    <m/>
    <m/>
    <n v="0"/>
    <n v="0"/>
    <n v="0"/>
    <m/>
    <m/>
    <n v="0"/>
    <m/>
    <n v="0"/>
    <n v="0"/>
    <n v="0"/>
    <n v="0"/>
    <m/>
    <n v="0"/>
    <n v="0"/>
    <n v="27.81"/>
    <n v="0"/>
    <n v="0"/>
    <n v="0"/>
    <m/>
    <m/>
    <n v="3245"/>
    <m/>
    <m/>
    <m/>
    <m/>
    <m/>
    <m/>
    <n v="0"/>
    <m/>
    <m/>
    <m/>
    <m/>
    <m/>
    <m/>
    <m/>
    <m/>
    <m/>
    <m/>
    <m/>
    <m/>
    <n v="3245"/>
    <n v="-3655.0300000000007"/>
    <m/>
    <m/>
    <m/>
    <m/>
    <n v="-7310.0000000000009"/>
    <n v="0"/>
    <n v="31"/>
    <n v="-270.9387787617470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399665682300018"/>
    <n v="0"/>
    <n v="-269.49881219351704"/>
    <m/>
    <m/>
    <n v="13780.322629791699"/>
    <m/>
    <n v="0"/>
    <n v="0"/>
    <n v="-7310"/>
    <m/>
    <n v="0"/>
    <m/>
    <n v="-7039.02080579678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79"/>
    <s v="Regular"/>
    <s v="Geração"/>
    <s v="A4"/>
    <s v="Não se aplica"/>
    <s v="Não se aplica"/>
    <s v="Não se aplica"/>
    <s v="CARLOS BEVILÁCQUA"/>
    <s v="Não se aplica"/>
    <s v="GERAÇÃO"/>
    <x v="8"/>
    <n v="800"/>
    <n v="400"/>
    <n v="0"/>
    <n v="0"/>
    <n v="0"/>
    <n v="0"/>
    <n v="13.8"/>
    <m/>
    <m/>
    <n v="11040"/>
    <m/>
    <n v="11040"/>
    <n v="5192"/>
    <n v="0"/>
    <n v="0"/>
    <n v="0"/>
    <n v="0"/>
    <n v="0"/>
    <n v="0"/>
    <n v="11024.258103833359"/>
    <m/>
    <m/>
    <m/>
    <n v="0"/>
    <n v="0"/>
    <n v="0"/>
    <n v="0"/>
    <m/>
    <n v="18.0793612967906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.25"/>
    <n v="0"/>
    <n v="0"/>
    <n v="0"/>
    <m/>
    <m/>
    <n v="2596"/>
    <m/>
    <m/>
    <m/>
    <m/>
    <m/>
    <m/>
    <n v="0"/>
    <m/>
    <m/>
    <m/>
    <m/>
    <m/>
    <m/>
    <m/>
    <m/>
    <m/>
    <m/>
    <m/>
    <m/>
    <n v="2596"/>
    <n v="-2924.0300000000007"/>
    <m/>
    <m/>
    <m/>
    <m/>
    <n v="-5848"/>
    <n v="0"/>
    <n v="31"/>
    <n v="-216.7510230093976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1519732545839965"/>
    <n v="0"/>
    <n v="-215.59904975481362"/>
    <m/>
    <m/>
    <n v="11024.258103833359"/>
    <m/>
    <n v="0"/>
    <n v="0"/>
    <n v="-5848"/>
    <m/>
    <n v="0"/>
    <m/>
    <n v="-5631.21664463743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80"/>
    <s v="Regular"/>
    <s v="Geração"/>
    <s v="A4"/>
    <s v="Não se aplica"/>
    <s v="Não se aplica"/>
    <s v="Não se aplica"/>
    <s v="MOINHO"/>
    <s v="Não se aplica"/>
    <s v="GERAÇÃO"/>
    <x v="8"/>
    <n v="270"/>
    <n v="135"/>
    <n v="0"/>
    <n v="0"/>
    <n v="0"/>
    <n v="0"/>
    <n v="13.8"/>
    <m/>
    <m/>
    <n v="3726"/>
    <m/>
    <n v="3726"/>
    <n v="1752.3"/>
    <n v="0"/>
    <n v="0"/>
    <n v="0"/>
    <n v="0"/>
    <n v="0"/>
    <n v="0"/>
    <n v="3720.6871100437588"/>
    <m/>
    <m/>
    <m/>
    <n v="0"/>
    <n v="0"/>
    <n v="0"/>
    <n v="0"/>
    <m/>
    <n v="6.1017844376668409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51"/>
    <n v="0"/>
    <n v="0"/>
    <n v="0"/>
    <m/>
    <m/>
    <n v="876.15"/>
    <m/>
    <m/>
    <m/>
    <m/>
    <m/>
    <m/>
    <n v="0"/>
    <m/>
    <m/>
    <m/>
    <m/>
    <m/>
    <m/>
    <m/>
    <m/>
    <m/>
    <m/>
    <m/>
    <m/>
    <n v="876.15"/>
    <n v="-986.88"/>
    <m/>
    <m/>
    <m/>
    <m/>
    <n v="-1973.7"/>
    <n v="0"/>
    <n v="31"/>
    <n v="-73.15347026567168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8879097342209956"/>
    <n v="0"/>
    <n v="-72.764679292249596"/>
    <m/>
    <m/>
    <n v="3720.6871100437588"/>
    <m/>
    <n v="0"/>
    <n v="0"/>
    <n v="-1973.7"/>
    <m/>
    <n v="0"/>
    <m/>
    <n v="-1900.53561756513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81"/>
    <s v="Regular"/>
    <s v="Geração"/>
    <s v="A4"/>
    <s v="Não se aplica"/>
    <s v="Não se aplica"/>
    <s v="Não se aplica"/>
    <s v="CASCATA DO BARREIRO"/>
    <s v="Não se aplica"/>
    <s v="GERAÇÃO"/>
    <x v="8"/>
    <n v="280"/>
    <n v="140"/>
    <n v="0"/>
    <n v="0"/>
    <n v="0"/>
    <n v="0"/>
    <n v="13.8"/>
    <m/>
    <m/>
    <n v="3864"/>
    <m/>
    <n v="3864"/>
    <n v="1817.2"/>
    <n v="0"/>
    <n v="0"/>
    <n v="0"/>
    <n v="0"/>
    <n v="0"/>
    <n v="0"/>
    <n v="3858.4903363416761"/>
    <m/>
    <m/>
    <m/>
    <n v="0"/>
    <n v="0"/>
    <n v="0"/>
    <n v="0"/>
    <m/>
    <n v="6.3277764538767238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78"/>
    <n v="0"/>
    <n v="0"/>
    <n v="0"/>
    <m/>
    <m/>
    <n v="908.6"/>
    <m/>
    <m/>
    <m/>
    <m/>
    <m/>
    <m/>
    <n v="0"/>
    <m/>
    <m/>
    <m/>
    <m/>
    <m/>
    <m/>
    <m/>
    <m/>
    <m/>
    <m/>
    <m/>
    <m/>
    <n v="908.6"/>
    <n v="-1023.43"/>
    <m/>
    <m/>
    <m/>
    <m/>
    <n v="-2046.8000000000002"/>
    <n v="0"/>
    <n v="31"/>
    <n v="-75.86285805328915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0319063910440001"/>
    <n v="0"/>
    <n v="-75.459667414184764"/>
    <m/>
    <m/>
    <n v="3858.4903363416761"/>
    <m/>
    <n v="0"/>
    <n v="0"/>
    <n v="-2046.8"/>
    <m/>
    <n v="0"/>
    <m/>
    <n v="-1970.92582562310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82"/>
    <s v="Regular"/>
    <s v="Geração"/>
    <s v="A4"/>
    <s v="Não se aplica"/>
    <s v="Não se aplica"/>
    <s v="Não se aplica"/>
    <s v="SOLAR BOA VISTA"/>
    <s v="Não se aplica"/>
    <s v="GERAÇÃO"/>
    <x v="8"/>
    <n v="730"/>
    <n v="365"/>
    <n v="0"/>
    <n v="0"/>
    <n v="0"/>
    <n v="0"/>
    <n v="13.8"/>
    <m/>
    <m/>
    <n v="10074"/>
    <m/>
    <n v="10074"/>
    <n v="4737.7"/>
    <n v="0"/>
    <n v="0"/>
    <n v="0"/>
    <n v="0"/>
    <n v="0"/>
    <n v="0"/>
    <n v="10059.635519747941"/>
    <m/>
    <m/>
    <m/>
    <n v="0"/>
    <n v="0"/>
    <n v="0"/>
    <n v="0"/>
    <m/>
    <n v="16.49741718332145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3"/>
    <n v="0"/>
    <n v="0"/>
    <n v="0"/>
    <m/>
    <m/>
    <n v="2368.85"/>
    <m/>
    <m/>
    <m/>
    <m/>
    <m/>
    <m/>
    <n v="0"/>
    <m/>
    <m/>
    <m/>
    <m/>
    <m/>
    <m/>
    <m/>
    <m/>
    <m/>
    <m/>
    <m/>
    <m/>
    <n v="2368.85"/>
    <n v="-2668.1800000000007"/>
    <m/>
    <m/>
    <m/>
    <m/>
    <n v="-5336.3"/>
    <n v="0"/>
    <n v="31"/>
    <n v="-197.7853084960753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511755948078978"/>
    <n v="0"/>
    <n v="-196.73413290126743"/>
    <m/>
    <m/>
    <n v="10059.635519747941"/>
    <m/>
    <n v="0"/>
    <n v="0"/>
    <n v="-5336.3"/>
    <m/>
    <n v="0"/>
    <m/>
    <n v="-5138.4851882316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83"/>
    <s v="Regular"/>
    <s v="Geração"/>
    <s v="A4"/>
    <s v="Não se aplica"/>
    <s v="Não se aplica"/>
    <s v="Não se aplica"/>
    <s v="SOLAR SÃO MIGUEL"/>
    <s v="Não se aplica"/>
    <s v="GERAÇÃO"/>
    <x v="8"/>
    <n v="561"/>
    <n v="280.5"/>
    <n v="0"/>
    <n v="0"/>
    <n v="0"/>
    <n v="0"/>
    <n v="13.8"/>
    <m/>
    <m/>
    <n v="7741.8"/>
    <m/>
    <n v="7741.8"/>
    <n v="3640.8900000000003"/>
    <n v="0"/>
    <n v="0"/>
    <n v="0"/>
    <n v="0"/>
    <n v="0"/>
    <n v="0"/>
    <n v="7730.7609953131432"/>
    <m/>
    <m/>
    <m/>
    <n v="0"/>
    <n v="0"/>
    <n v="0"/>
    <n v="0"/>
    <m/>
    <n v="12.678152109374436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.6"/>
    <n v="0"/>
    <n v="0"/>
    <n v="0"/>
    <m/>
    <m/>
    <n v="1820.4450000000002"/>
    <m/>
    <m/>
    <m/>
    <m/>
    <m/>
    <m/>
    <n v="0"/>
    <m/>
    <m/>
    <m/>
    <m/>
    <m/>
    <m/>
    <m/>
    <m/>
    <m/>
    <m/>
    <m/>
    <m/>
    <n v="1820.4450000000002"/>
    <n v="-2050.4850000000006"/>
    <m/>
    <m/>
    <m/>
    <m/>
    <n v="-4100.91"/>
    <n v="0"/>
    <n v="31"/>
    <n v="-151.9966548853400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80782124477702943"/>
    <n v="0"/>
    <n v="-151.18883364056305"/>
    <m/>
    <m/>
    <n v="7730.7609953131432"/>
    <m/>
    <n v="0"/>
    <n v="0"/>
    <n v="-4100.91"/>
    <m/>
    <n v="0"/>
    <m/>
    <n v="-3948.89067205199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84"/>
    <s v="Regular"/>
    <s v="Geração"/>
    <s v="A4"/>
    <s v="Não se aplica"/>
    <s v="Não se aplica"/>
    <s v="Não se aplica"/>
    <s v="SOLAR SÃO GABRIEL"/>
    <s v="Não se aplica"/>
    <s v="GERAÇÃO"/>
    <x v="8"/>
    <n v="379"/>
    <n v="189.5"/>
    <n v="0"/>
    <n v="0"/>
    <n v="0"/>
    <n v="0"/>
    <n v="13.8"/>
    <m/>
    <m/>
    <n v="5230.2"/>
    <m/>
    <n v="5230.2"/>
    <n v="2459.71"/>
    <n v="0"/>
    <n v="0"/>
    <n v="0"/>
    <n v="0"/>
    <n v="0"/>
    <n v="0"/>
    <n v="5222.742276691054"/>
    <m/>
    <m/>
    <m/>
    <n v="0"/>
    <n v="0"/>
    <n v="0"/>
    <n v="0"/>
    <m/>
    <n v="8.5650974143545646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.54"/>
    <n v="0"/>
    <n v="0"/>
    <n v="0"/>
    <m/>
    <m/>
    <n v="1229.855"/>
    <m/>
    <m/>
    <m/>
    <m/>
    <m/>
    <m/>
    <n v="0"/>
    <m/>
    <m/>
    <m/>
    <m/>
    <m/>
    <m/>
    <m/>
    <m/>
    <m/>
    <m/>
    <m/>
    <m/>
    <n v="1229.855"/>
    <n v="-1385.2750000000005"/>
    <m/>
    <m/>
    <m/>
    <m/>
    <n v="-2770.4900000000002"/>
    <n v="0"/>
    <n v="31"/>
    <n v="-102.685797150702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457473293591697"/>
    <n v="0"/>
    <n v="-102.14004982134294"/>
    <m/>
    <m/>
    <n v="5222.742276691054"/>
    <m/>
    <n v="0"/>
    <n v="0"/>
    <n v="-2770.49"/>
    <m/>
    <n v="0"/>
    <m/>
    <n v="-2667.788885396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85"/>
    <s v="Regular"/>
    <s v="Geração"/>
    <s v="A4"/>
    <s v="Não se aplica"/>
    <s v="Não se aplica"/>
    <s v="Não se aplica"/>
    <s v="SOLAR SÃO RAFAEL"/>
    <s v="Não se aplica"/>
    <s v="GERAÇÃO"/>
    <x v="8"/>
    <n v="718"/>
    <n v="359"/>
    <n v="0"/>
    <n v="0"/>
    <n v="0"/>
    <n v="0"/>
    <n v="13.8"/>
    <m/>
    <m/>
    <n v="9908.4"/>
    <m/>
    <n v="9908.4"/>
    <n v="4659.82"/>
    <n v="0"/>
    <n v="0"/>
    <n v="0"/>
    <n v="0"/>
    <n v="0"/>
    <n v="0"/>
    <n v="9894.2716481904408"/>
    <m/>
    <m/>
    <m/>
    <n v="0"/>
    <n v="0"/>
    <n v="0"/>
    <n v="0"/>
    <m/>
    <n v="16.22622676386959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.96"/>
    <n v="0"/>
    <n v="0"/>
    <n v="0"/>
    <m/>
    <m/>
    <n v="2329.91"/>
    <m/>
    <m/>
    <m/>
    <m/>
    <m/>
    <m/>
    <n v="0"/>
    <m/>
    <m/>
    <m/>
    <m/>
    <m/>
    <m/>
    <m/>
    <m/>
    <m/>
    <m/>
    <m/>
    <m/>
    <n v="2329.91"/>
    <n v="-2624.3200000000006"/>
    <m/>
    <m/>
    <m/>
    <m/>
    <n v="-5248.58"/>
    <n v="0"/>
    <n v="31"/>
    <n v="-194.534043150934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338959959891376"/>
    <n v="0"/>
    <n v="-193.50014715494521"/>
    <m/>
    <m/>
    <n v="9894.2716481904408"/>
    <m/>
    <n v="0"/>
    <n v="0"/>
    <n v="-5248.58"/>
    <m/>
    <n v="0"/>
    <m/>
    <n v="-5054.01693856209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86"/>
    <s v="Regular"/>
    <s v="Geração"/>
    <s v="A4"/>
    <s v="Não se aplica"/>
    <s v="Não se aplica"/>
    <s v="Não se aplica"/>
    <s v="RIO FORTALEZA"/>
    <s v="Não se aplica"/>
    <s v="GERAÇÃO"/>
    <x v="9"/>
    <n v="880"/>
    <n v="440"/>
    <n v="0"/>
    <n v="0"/>
    <n v="0"/>
    <n v="0"/>
    <n v="13.8"/>
    <m/>
    <m/>
    <n v="12144"/>
    <m/>
    <n v="12144"/>
    <n v="5711.2"/>
    <n v="0"/>
    <n v="0"/>
    <n v="0"/>
    <n v="0"/>
    <n v="0"/>
    <n v="0"/>
    <n v="12126.683914216695"/>
    <m/>
    <m/>
    <m/>
    <n v="0"/>
    <n v="0"/>
    <n v="0"/>
    <n v="0"/>
    <m/>
    <n v="19.8872974264697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.380000000000003"/>
    <n v="0"/>
    <n v="0"/>
    <n v="0"/>
    <m/>
    <m/>
    <n v="2855.6"/>
    <m/>
    <m/>
    <m/>
    <m/>
    <m/>
    <m/>
    <n v="0"/>
    <m/>
    <m/>
    <m/>
    <m/>
    <m/>
    <m/>
    <m/>
    <m/>
    <m/>
    <m/>
    <m/>
    <m/>
    <n v="2855.6"/>
    <n v="-3216.4300000000007"/>
    <m/>
    <m/>
    <m/>
    <m/>
    <n v="-6432.8"/>
    <n v="0"/>
    <n v="30"/>
    <n v="-238.426125310337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671705800424"/>
    <n v="0"/>
    <n v="-237.15895473029497"/>
    <m/>
    <m/>
    <n v="12126.683914216695"/>
    <m/>
    <n v="0"/>
    <n v="0"/>
    <n v="-6432.8"/>
    <m/>
    <n v="0"/>
    <m/>
    <n v="-6194.33830910117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87"/>
    <s v="Regular"/>
    <s v="Geração"/>
    <s v="A4"/>
    <s v="Não se aplica"/>
    <s v="Não se aplica"/>
    <s v="Não se aplica"/>
    <s v="BRAGA"/>
    <s v="Não se aplica"/>
    <s v="GERAÇÃO"/>
    <x v="9"/>
    <n v="520"/>
    <n v="260"/>
    <n v="0"/>
    <n v="0"/>
    <n v="0"/>
    <n v="0"/>
    <n v="13.8"/>
    <m/>
    <m/>
    <n v="7176"/>
    <m/>
    <n v="7176"/>
    <n v="3374.8"/>
    <n v="0"/>
    <n v="0"/>
    <n v="0"/>
    <n v="0"/>
    <n v="0"/>
    <n v="0"/>
    <n v="7165.767767491684"/>
    <m/>
    <m/>
    <m/>
    <n v="0"/>
    <n v="0"/>
    <n v="0"/>
    <n v="0"/>
    <m/>
    <n v="11.7515848429139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309999999999999"/>
    <n v="0"/>
    <n v="0"/>
    <n v="0"/>
    <m/>
    <m/>
    <n v="1687.4"/>
    <m/>
    <m/>
    <m/>
    <m/>
    <m/>
    <m/>
    <n v="0"/>
    <m/>
    <m/>
    <m/>
    <m/>
    <m/>
    <m/>
    <m/>
    <m/>
    <m/>
    <m/>
    <m/>
    <m/>
    <n v="1687.4"/>
    <n v="-1900.6300000000006"/>
    <m/>
    <m/>
    <m/>
    <m/>
    <n v="-3801.2000000000003"/>
    <n v="0"/>
    <n v="30"/>
    <n v="-140.888164956108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74878261547960001"/>
    <n v="0"/>
    <n v="-140.13938234062886"/>
    <m/>
    <m/>
    <n v="7165.767767491684"/>
    <m/>
    <n v="0"/>
    <n v="0"/>
    <n v="-3801.2"/>
    <m/>
    <n v="0"/>
    <m/>
    <n v="-3660.29081901433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88"/>
    <s v="Regular"/>
    <s v="Geração"/>
    <s v="A4"/>
    <s v="Não se aplica"/>
    <s v="Não se aplica"/>
    <s v="Não se aplica"/>
    <s v="LINHA GRANJA VELHA"/>
    <s v="Não se aplica"/>
    <s v="GERAÇÃO"/>
    <x v="9"/>
    <n v="1000"/>
    <n v="500"/>
    <n v="0"/>
    <n v="0"/>
    <n v="0"/>
    <n v="0"/>
    <n v="13.8"/>
    <m/>
    <m/>
    <n v="13800"/>
    <m/>
    <n v="13800"/>
    <n v="6490"/>
    <n v="0"/>
    <n v="0"/>
    <n v="0"/>
    <n v="0"/>
    <n v="0"/>
    <n v="0"/>
    <n v="13780.322629791699"/>
    <m/>
    <m/>
    <m/>
    <n v="0"/>
    <n v="0"/>
    <n v="0"/>
    <n v="0"/>
    <m/>
    <n v="22.5992016209883"/>
    <n v="0"/>
    <n v="0"/>
    <n v="0"/>
    <n v="0"/>
    <m/>
    <m/>
    <n v="0"/>
    <n v="0"/>
    <n v="0"/>
    <m/>
    <m/>
    <n v="0"/>
    <m/>
    <n v="0"/>
    <n v="0"/>
    <n v="0"/>
    <n v="0"/>
    <m/>
    <n v="0"/>
    <n v="0"/>
    <n v="39.07"/>
    <n v="0"/>
    <n v="0"/>
    <n v="0"/>
    <m/>
    <m/>
    <n v="3245"/>
    <m/>
    <m/>
    <m/>
    <m/>
    <m/>
    <m/>
    <n v="0"/>
    <m/>
    <m/>
    <m/>
    <m/>
    <m/>
    <m/>
    <m/>
    <m/>
    <m/>
    <m/>
    <m/>
    <m/>
    <n v="3245"/>
    <n v="-3655.0300000000007"/>
    <m/>
    <m/>
    <m/>
    <m/>
    <n v="-7310.0000000000009"/>
    <n v="0"/>
    <n v="30"/>
    <n v="-270.9387787617470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399665682300018"/>
    <n v="0"/>
    <n v="-269.49881219351704"/>
    <m/>
    <m/>
    <n v="13780.322629791699"/>
    <m/>
    <n v="0"/>
    <n v="0"/>
    <n v="-7310"/>
    <m/>
    <n v="0"/>
    <m/>
    <n v="-7039.02080579678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89"/>
    <s v="Regular"/>
    <s v="Geração"/>
    <s v="A4"/>
    <s v="Não se aplica"/>
    <s v="Não se aplica"/>
    <s v="Não se aplica"/>
    <s v="CARLOS BEVILÁCQUA"/>
    <s v="Não se aplica"/>
    <s v="GERAÇÃO"/>
    <x v="9"/>
    <n v="800"/>
    <n v="400"/>
    <n v="0"/>
    <n v="0"/>
    <n v="0"/>
    <n v="0"/>
    <n v="13.8"/>
    <m/>
    <m/>
    <n v="11040"/>
    <m/>
    <n v="11040"/>
    <n v="5192"/>
    <n v="0"/>
    <n v="0"/>
    <n v="0"/>
    <n v="0"/>
    <n v="0"/>
    <n v="0"/>
    <n v="11024.258103833359"/>
    <m/>
    <m/>
    <m/>
    <n v="0"/>
    <n v="0"/>
    <n v="0"/>
    <n v="0"/>
    <m/>
    <n v="18.0793612967906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31.26"/>
    <n v="0"/>
    <n v="0"/>
    <n v="0"/>
    <m/>
    <m/>
    <n v="2596"/>
    <m/>
    <m/>
    <m/>
    <m/>
    <m/>
    <m/>
    <n v="0"/>
    <m/>
    <m/>
    <m/>
    <m/>
    <m/>
    <m/>
    <m/>
    <m/>
    <m/>
    <m/>
    <m/>
    <m/>
    <n v="2596"/>
    <n v="-2924.0300000000007"/>
    <m/>
    <m/>
    <m/>
    <m/>
    <n v="-5848"/>
    <n v="0"/>
    <n v="30"/>
    <n v="-216.7510230093976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1519732545839965"/>
    <n v="0"/>
    <n v="-215.59904975481362"/>
    <m/>
    <m/>
    <n v="11024.258103833359"/>
    <m/>
    <n v="0"/>
    <n v="0"/>
    <n v="-5848"/>
    <m/>
    <n v="0"/>
    <m/>
    <n v="-5631.21664463743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90"/>
    <s v="Regular"/>
    <s v="Geração"/>
    <s v="A4"/>
    <s v="Não se aplica"/>
    <s v="Não se aplica"/>
    <s v="Não se aplica"/>
    <s v="MOINHO"/>
    <s v="Não se aplica"/>
    <s v="GERAÇÃO"/>
    <x v="9"/>
    <n v="270"/>
    <n v="135"/>
    <n v="0"/>
    <n v="0"/>
    <n v="0"/>
    <n v="0"/>
    <n v="13.8"/>
    <m/>
    <m/>
    <n v="3726"/>
    <m/>
    <n v="3726"/>
    <n v="1752.3"/>
    <n v="0"/>
    <n v="0"/>
    <n v="0"/>
    <n v="0"/>
    <n v="0"/>
    <n v="0"/>
    <n v="3720.6871100437588"/>
    <m/>
    <m/>
    <m/>
    <n v="0"/>
    <n v="0"/>
    <n v="0"/>
    <n v="0"/>
    <m/>
    <n v="6.1017844376668409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.55"/>
    <n v="0"/>
    <n v="0"/>
    <n v="0"/>
    <m/>
    <m/>
    <n v="876.15"/>
    <m/>
    <m/>
    <m/>
    <m/>
    <m/>
    <m/>
    <n v="0"/>
    <m/>
    <m/>
    <m/>
    <m/>
    <m/>
    <m/>
    <m/>
    <m/>
    <m/>
    <m/>
    <m/>
    <m/>
    <n v="876.15"/>
    <n v="-986.88"/>
    <m/>
    <m/>
    <m/>
    <m/>
    <n v="-1973.7"/>
    <n v="0"/>
    <n v="30"/>
    <n v="-73.15347026567168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8879097342209956"/>
    <n v="0"/>
    <n v="-72.764679292249596"/>
    <m/>
    <m/>
    <n v="3720.6871100437588"/>
    <m/>
    <n v="0"/>
    <n v="0"/>
    <n v="-1973.7"/>
    <m/>
    <n v="0"/>
    <m/>
    <n v="-1900.53561756513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91"/>
    <s v="Regular"/>
    <s v="Geração"/>
    <s v="A4"/>
    <s v="Não se aplica"/>
    <s v="Não se aplica"/>
    <s v="Não se aplica"/>
    <s v="CASCATA DO BARREIRO"/>
    <s v="Não se aplica"/>
    <s v="GERAÇÃO"/>
    <x v="9"/>
    <n v="280"/>
    <n v="140"/>
    <n v="0"/>
    <n v="0"/>
    <n v="0"/>
    <n v="0"/>
    <n v="13.8"/>
    <m/>
    <m/>
    <n v="3864"/>
    <m/>
    <n v="3864"/>
    <n v="1817.2"/>
    <n v="0"/>
    <n v="0"/>
    <n v="0"/>
    <n v="0"/>
    <n v="0"/>
    <n v="0"/>
    <n v="3858.4903363416761"/>
    <m/>
    <m/>
    <m/>
    <n v="0"/>
    <n v="0"/>
    <n v="0"/>
    <n v="0"/>
    <m/>
    <n v="6.3277764538767238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.93"/>
    <n v="0"/>
    <n v="0"/>
    <n v="0"/>
    <m/>
    <m/>
    <n v="908.6"/>
    <m/>
    <m/>
    <m/>
    <m/>
    <m/>
    <m/>
    <n v="0"/>
    <m/>
    <m/>
    <m/>
    <m/>
    <m/>
    <m/>
    <m/>
    <m/>
    <m/>
    <m/>
    <m/>
    <m/>
    <n v="908.6"/>
    <n v="-1023.43"/>
    <m/>
    <m/>
    <m/>
    <m/>
    <n v="-2046.8000000000002"/>
    <n v="0"/>
    <n v="30"/>
    <n v="-75.86285805328915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0319063910440001"/>
    <n v="0"/>
    <n v="-75.459667414184764"/>
    <m/>
    <m/>
    <n v="3858.4903363416761"/>
    <m/>
    <n v="0"/>
    <n v="0"/>
    <n v="-2046.8"/>
    <m/>
    <n v="0"/>
    <m/>
    <n v="-1970.92582562310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92"/>
    <s v="Regular"/>
    <s v="Geração"/>
    <s v="A4"/>
    <s v="Não se aplica"/>
    <s v="Não se aplica"/>
    <s v="Não se aplica"/>
    <s v="SOLAR BOA VISTA"/>
    <s v="Não se aplica"/>
    <s v="GERAÇÃO"/>
    <x v="9"/>
    <n v="730"/>
    <n v="365"/>
    <n v="0"/>
    <n v="0"/>
    <n v="0"/>
    <n v="0"/>
    <n v="13.8"/>
    <m/>
    <m/>
    <n v="10074"/>
    <m/>
    <n v="10074"/>
    <n v="4737.7"/>
    <n v="0"/>
    <n v="0"/>
    <n v="0"/>
    <n v="0"/>
    <n v="0"/>
    <n v="0"/>
    <n v="10059.635519747941"/>
    <m/>
    <m/>
    <m/>
    <n v="0"/>
    <n v="0"/>
    <n v="0"/>
    <n v="0"/>
    <m/>
    <n v="16.49741718332145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.52"/>
    <n v="0"/>
    <n v="0"/>
    <n v="0"/>
    <m/>
    <m/>
    <n v="2368.85"/>
    <m/>
    <m/>
    <m/>
    <m/>
    <m/>
    <m/>
    <n v="0"/>
    <m/>
    <m/>
    <m/>
    <m/>
    <m/>
    <m/>
    <m/>
    <m/>
    <m/>
    <m/>
    <m/>
    <m/>
    <n v="2368.85"/>
    <n v="-2668.1800000000007"/>
    <m/>
    <m/>
    <m/>
    <m/>
    <n v="-5336.3"/>
    <n v="0"/>
    <n v="30"/>
    <n v="-197.7853084960753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511755948078978"/>
    <n v="0"/>
    <n v="-196.73413290126743"/>
    <m/>
    <m/>
    <n v="10059.635519747941"/>
    <m/>
    <n v="0"/>
    <n v="0"/>
    <n v="-5336.3"/>
    <m/>
    <n v="0"/>
    <m/>
    <n v="-5138.4851882316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93"/>
    <s v="Regular"/>
    <s v="Geração"/>
    <s v="A4"/>
    <s v="Não se aplica"/>
    <s v="Não se aplica"/>
    <s v="Não se aplica"/>
    <s v="SOLAR SÃO MIGUEL"/>
    <s v="Não se aplica"/>
    <s v="GERAÇÃO"/>
    <x v="9"/>
    <n v="561"/>
    <n v="280.5"/>
    <n v="0"/>
    <n v="0"/>
    <n v="0"/>
    <n v="0"/>
    <n v="13.8"/>
    <m/>
    <m/>
    <n v="7741.8"/>
    <m/>
    <n v="7741.8"/>
    <n v="3640.8900000000003"/>
    <n v="0"/>
    <n v="0"/>
    <n v="0"/>
    <n v="0"/>
    <n v="0"/>
    <n v="0"/>
    <n v="7730.7609953131432"/>
    <m/>
    <m/>
    <m/>
    <n v="0"/>
    <n v="0"/>
    <n v="0"/>
    <n v="0"/>
    <m/>
    <n v="12.67815210937443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.92"/>
    <n v="0"/>
    <n v="0"/>
    <n v="0"/>
    <m/>
    <m/>
    <n v="1820.4450000000002"/>
    <m/>
    <m/>
    <m/>
    <m/>
    <m/>
    <m/>
    <n v="0"/>
    <m/>
    <m/>
    <m/>
    <m/>
    <m/>
    <m/>
    <m/>
    <m/>
    <m/>
    <m/>
    <m/>
    <m/>
    <n v="1820.4450000000002"/>
    <n v="-2050.4850000000006"/>
    <m/>
    <m/>
    <m/>
    <m/>
    <n v="-4100.91"/>
    <n v="0"/>
    <n v="30"/>
    <n v="-151.9966548853400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80782124477702943"/>
    <n v="0"/>
    <n v="-151.18883364056305"/>
    <m/>
    <m/>
    <n v="7730.7609953131432"/>
    <m/>
    <n v="0"/>
    <n v="0"/>
    <n v="-4100.91"/>
    <m/>
    <n v="0"/>
    <m/>
    <n v="-3948.89067205199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94"/>
    <s v="Regular"/>
    <s v="Geração"/>
    <s v="A4"/>
    <s v="Não se aplica"/>
    <s v="Não se aplica"/>
    <s v="Não se aplica"/>
    <s v="SOLAR SÃO GABRIEL"/>
    <s v="Não se aplica"/>
    <s v="GERAÇÃO"/>
    <x v="9"/>
    <n v="379"/>
    <n v="189.5"/>
    <n v="0"/>
    <n v="0"/>
    <n v="0"/>
    <n v="0"/>
    <n v="13.8"/>
    <m/>
    <m/>
    <n v="5230.2"/>
    <m/>
    <n v="5230.2"/>
    <n v="2459.71"/>
    <n v="0"/>
    <n v="0"/>
    <n v="0"/>
    <n v="0"/>
    <n v="0"/>
    <n v="0"/>
    <n v="5222.742276691054"/>
    <m/>
    <m/>
    <m/>
    <n v="0"/>
    <n v="0"/>
    <n v="0"/>
    <n v="0"/>
    <m/>
    <n v="8.5650974143545646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.8"/>
    <n v="0"/>
    <n v="0"/>
    <n v="0"/>
    <m/>
    <m/>
    <n v="1229.855"/>
    <m/>
    <m/>
    <m/>
    <m/>
    <m/>
    <m/>
    <n v="0"/>
    <m/>
    <m/>
    <m/>
    <m/>
    <m/>
    <m/>
    <m/>
    <m/>
    <m/>
    <m/>
    <m/>
    <m/>
    <n v="1229.855"/>
    <n v="-1385.2750000000005"/>
    <m/>
    <m/>
    <m/>
    <m/>
    <n v="-2770.4900000000002"/>
    <n v="0"/>
    <n v="30"/>
    <n v="-102.685797150702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457473293591697"/>
    <n v="0"/>
    <n v="-102.14004982134294"/>
    <m/>
    <m/>
    <n v="5222.742276691054"/>
    <m/>
    <n v="0"/>
    <n v="0"/>
    <n v="-2770.49"/>
    <m/>
    <n v="0"/>
    <m/>
    <n v="-2667.788885396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95"/>
    <s v="Regular"/>
    <s v="Geração"/>
    <s v="A4"/>
    <s v="Não se aplica"/>
    <s v="Não se aplica"/>
    <s v="Não se aplica"/>
    <s v="SOLAR SÃO RAFAEL"/>
    <s v="Não se aplica"/>
    <s v="GERAÇÃO"/>
    <x v="9"/>
    <n v="718"/>
    <n v="359"/>
    <n v="0"/>
    <n v="0"/>
    <n v="0"/>
    <n v="0"/>
    <n v="13.8"/>
    <m/>
    <m/>
    <n v="9908.4"/>
    <m/>
    <n v="9908.4"/>
    <n v="4659.82"/>
    <n v="0"/>
    <n v="0"/>
    <n v="0"/>
    <n v="0"/>
    <n v="0"/>
    <n v="0"/>
    <n v="9894.2716481904408"/>
    <m/>
    <m/>
    <m/>
    <n v="0"/>
    <n v="0"/>
    <n v="0"/>
    <n v="0"/>
    <m/>
    <n v="16.226226763869597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.05"/>
    <n v="0"/>
    <n v="0"/>
    <n v="0"/>
    <m/>
    <m/>
    <n v="2329.91"/>
    <m/>
    <m/>
    <m/>
    <m/>
    <m/>
    <m/>
    <n v="0"/>
    <m/>
    <m/>
    <m/>
    <m/>
    <m/>
    <m/>
    <m/>
    <m/>
    <m/>
    <m/>
    <m/>
    <m/>
    <n v="2329.91"/>
    <n v="-2624.3200000000006"/>
    <m/>
    <m/>
    <m/>
    <m/>
    <n v="-5248.58"/>
    <n v="0"/>
    <n v="30"/>
    <n v="-194.534043150934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338959959891376"/>
    <n v="0"/>
    <n v="-193.50014715494521"/>
    <m/>
    <m/>
    <n v="9894.2716481904408"/>
    <m/>
    <n v="0"/>
    <n v="0"/>
    <n v="-5248.58"/>
    <m/>
    <n v="0"/>
    <m/>
    <n v="-5054.01693856209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96"/>
    <s v="Regular"/>
    <s v="Geração"/>
    <s v="A4"/>
    <s v="Não se aplica"/>
    <s v="Não se aplica"/>
    <s v="Não se aplica"/>
    <s v="RIO FORTALEZA"/>
    <s v="Não se aplica"/>
    <s v="GERAÇÃO"/>
    <x v="10"/>
    <n v="880"/>
    <n v="440"/>
    <n v="0"/>
    <n v="0"/>
    <n v="0"/>
    <n v="0"/>
    <n v="13.8"/>
    <m/>
    <m/>
    <n v="12144"/>
    <m/>
    <n v="12144"/>
    <n v="5711.2"/>
    <n v="0"/>
    <n v="0"/>
    <n v="0"/>
    <n v="0"/>
    <n v="0"/>
    <n v="0"/>
    <n v="12126.683914216695"/>
    <m/>
    <m/>
    <m/>
    <n v="0"/>
    <n v="0"/>
    <n v="0"/>
    <n v="0"/>
    <m/>
    <n v="19.8872974264697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6"/>
    <n v="0"/>
    <n v="0"/>
    <n v="0"/>
    <m/>
    <m/>
    <n v="2855.6"/>
    <m/>
    <m/>
    <m/>
    <m/>
    <m/>
    <m/>
    <n v="0"/>
    <m/>
    <m/>
    <m/>
    <m/>
    <m/>
    <m/>
    <m/>
    <m/>
    <m/>
    <m/>
    <m/>
    <m/>
    <n v="2855.6"/>
    <n v="-3216.4300000000007"/>
    <m/>
    <m/>
    <m/>
    <m/>
    <n v="-6432.8"/>
    <n v="0"/>
    <n v="31"/>
    <n v="-238.426125310337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671705800424"/>
    <n v="0"/>
    <n v="-237.15895473029497"/>
    <m/>
    <m/>
    <n v="12126.683914216695"/>
    <m/>
    <n v="0"/>
    <n v="0"/>
    <n v="-6432.8"/>
    <m/>
    <n v="0"/>
    <m/>
    <n v="-6194.33830910117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97"/>
    <s v="Regular"/>
    <s v="Geração"/>
    <s v="A4"/>
    <s v="Não se aplica"/>
    <s v="Não se aplica"/>
    <s v="Não se aplica"/>
    <s v="BRAGA"/>
    <s v="Não se aplica"/>
    <s v="GERAÇÃO"/>
    <x v="10"/>
    <n v="520"/>
    <n v="260"/>
    <n v="0"/>
    <n v="0"/>
    <n v="0"/>
    <n v="0"/>
    <n v="13.8"/>
    <m/>
    <m/>
    <n v="7176"/>
    <m/>
    <n v="7176"/>
    <n v="3374.8"/>
    <n v="0"/>
    <n v="0"/>
    <n v="0"/>
    <n v="0"/>
    <n v="0"/>
    <n v="0"/>
    <n v="7165.767767491684"/>
    <m/>
    <m/>
    <m/>
    <n v="0"/>
    <n v="0"/>
    <n v="0"/>
    <n v="0"/>
    <m/>
    <n v="11.7515848429139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.54"/>
    <n v="0"/>
    <n v="0"/>
    <n v="0"/>
    <m/>
    <m/>
    <n v="1687.4"/>
    <m/>
    <m/>
    <m/>
    <m/>
    <m/>
    <m/>
    <n v="0"/>
    <m/>
    <m/>
    <m/>
    <m/>
    <m/>
    <m/>
    <m/>
    <m/>
    <m/>
    <m/>
    <m/>
    <m/>
    <n v="1687.4"/>
    <n v="-1900.6300000000006"/>
    <m/>
    <m/>
    <m/>
    <m/>
    <n v="-3801.2000000000003"/>
    <n v="0"/>
    <n v="31"/>
    <n v="-140.888164956108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74878261547960001"/>
    <n v="0"/>
    <n v="-140.13938234062886"/>
    <m/>
    <m/>
    <n v="7165.767767491684"/>
    <m/>
    <n v="0"/>
    <n v="0"/>
    <n v="-3801.2"/>
    <m/>
    <n v="0"/>
    <m/>
    <n v="-3660.29081901433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98"/>
    <s v="Regular"/>
    <s v="Geração"/>
    <s v="A4"/>
    <s v="Não se aplica"/>
    <s v="Não se aplica"/>
    <s v="Não se aplica"/>
    <s v="LINHA GRANJA VELHA"/>
    <s v="Não se aplica"/>
    <s v="GERAÇÃO"/>
    <x v="10"/>
    <n v="1000"/>
    <n v="500"/>
    <n v="0"/>
    <n v="0"/>
    <n v="0"/>
    <n v="0"/>
    <n v="13.8"/>
    <m/>
    <m/>
    <n v="13800"/>
    <m/>
    <n v="13800"/>
    <n v="6490"/>
    <n v="0"/>
    <n v="0"/>
    <n v="0"/>
    <n v="0"/>
    <n v="0"/>
    <n v="0"/>
    <n v="13780.322629791699"/>
    <m/>
    <m/>
    <m/>
    <n v="0"/>
    <n v="0"/>
    <n v="0"/>
    <n v="0"/>
    <m/>
    <n v="22.5992016209883"/>
    <n v="0"/>
    <n v="0"/>
    <n v="0"/>
    <n v="0"/>
    <m/>
    <m/>
    <n v="0"/>
    <n v="0"/>
    <n v="0"/>
    <m/>
    <m/>
    <n v="0"/>
    <m/>
    <n v="0"/>
    <n v="0"/>
    <n v="0"/>
    <n v="0"/>
    <m/>
    <n v="0"/>
    <n v="0"/>
    <n v="6.82"/>
    <n v="0"/>
    <n v="0"/>
    <n v="0"/>
    <m/>
    <m/>
    <n v="3245"/>
    <m/>
    <m/>
    <m/>
    <m/>
    <m/>
    <m/>
    <n v="0"/>
    <m/>
    <m/>
    <m/>
    <m/>
    <m/>
    <m/>
    <m/>
    <m/>
    <m/>
    <m/>
    <m/>
    <m/>
    <n v="3245"/>
    <n v="-3655.0300000000007"/>
    <m/>
    <m/>
    <m/>
    <m/>
    <n v="-7310.0000000000009"/>
    <n v="0"/>
    <n v="31"/>
    <n v="-270.9387787617470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399665682300018"/>
    <n v="0"/>
    <n v="-269.49881219351704"/>
    <m/>
    <m/>
    <n v="13780.322629791699"/>
    <m/>
    <n v="0"/>
    <n v="0"/>
    <n v="-7310"/>
    <m/>
    <n v="0"/>
    <m/>
    <n v="-7039.02080579678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899"/>
    <s v="Regular"/>
    <s v="Geração"/>
    <s v="A4"/>
    <s v="Não se aplica"/>
    <s v="Não se aplica"/>
    <s v="Não se aplica"/>
    <s v="CARLOS BEVILÁCQUA"/>
    <s v="Não se aplica"/>
    <s v="GERAÇÃO"/>
    <x v="10"/>
    <n v="800"/>
    <n v="400"/>
    <n v="0"/>
    <n v="0"/>
    <n v="0"/>
    <n v="0"/>
    <n v="13.8"/>
    <m/>
    <m/>
    <n v="11040"/>
    <m/>
    <n v="11040"/>
    <n v="5192"/>
    <n v="0"/>
    <n v="0"/>
    <n v="0"/>
    <n v="0"/>
    <n v="0"/>
    <n v="0"/>
    <n v="11024.258103833359"/>
    <m/>
    <m/>
    <m/>
    <n v="0"/>
    <n v="0"/>
    <n v="0"/>
    <n v="0"/>
    <m/>
    <n v="18.0793612967906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5.46"/>
    <n v="0"/>
    <n v="0"/>
    <n v="0"/>
    <m/>
    <m/>
    <n v="2596"/>
    <m/>
    <m/>
    <m/>
    <m/>
    <m/>
    <m/>
    <n v="0"/>
    <m/>
    <m/>
    <m/>
    <m/>
    <m/>
    <m/>
    <m/>
    <m/>
    <m/>
    <m/>
    <m/>
    <m/>
    <n v="2596"/>
    <n v="-2924.0300000000007"/>
    <m/>
    <m/>
    <m/>
    <m/>
    <n v="-5848"/>
    <n v="0"/>
    <n v="31"/>
    <n v="-216.7510230093976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1519732545839965"/>
    <n v="0"/>
    <n v="-215.59904975481362"/>
    <m/>
    <m/>
    <n v="11024.258103833359"/>
    <m/>
    <n v="0"/>
    <n v="0"/>
    <n v="-5848"/>
    <m/>
    <n v="0"/>
    <m/>
    <n v="-5631.21664463743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00"/>
    <s v="Regular"/>
    <s v="Geração"/>
    <s v="A4"/>
    <s v="Não se aplica"/>
    <s v="Não se aplica"/>
    <s v="Não se aplica"/>
    <s v="MOINHO"/>
    <s v="Não se aplica"/>
    <s v="GERAÇÃO"/>
    <x v="10"/>
    <n v="270"/>
    <n v="135"/>
    <n v="0"/>
    <n v="0"/>
    <n v="0"/>
    <n v="0"/>
    <n v="13.8"/>
    <m/>
    <m/>
    <n v="3726"/>
    <m/>
    <n v="3726"/>
    <n v="1752.3"/>
    <n v="0"/>
    <n v="0"/>
    <n v="0"/>
    <n v="0"/>
    <n v="0"/>
    <n v="0"/>
    <n v="3720.6871100437588"/>
    <m/>
    <m/>
    <m/>
    <n v="0"/>
    <n v="0"/>
    <n v="0"/>
    <n v="0"/>
    <m/>
    <n v="6.1017844376668409"/>
    <n v="0"/>
    <n v="0"/>
    <n v="0"/>
    <n v="0"/>
    <m/>
    <m/>
    <n v="0"/>
    <n v="0"/>
    <n v="0"/>
    <m/>
    <m/>
    <n v="0"/>
    <m/>
    <n v="0"/>
    <n v="0"/>
    <n v="0"/>
    <n v="0"/>
    <m/>
    <n v="0"/>
    <n v="0"/>
    <n v="1.84"/>
    <n v="0"/>
    <n v="0"/>
    <n v="0"/>
    <m/>
    <m/>
    <n v="876.15"/>
    <m/>
    <m/>
    <m/>
    <m/>
    <m/>
    <m/>
    <n v="0"/>
    <m/>
    <m/>
    <m/>
    <m/>
    <m/>
    <m/>
    <m/>
    <m/>
    <m/>
    <m/>
    <m/>
    <m/>
    <n v="876.15"/>
    <n v="-986.88"/>
    <m/>
    <m/>
    <m/>
    <m/>
    <n v="-1973.7"/>
    <n v="0"/>
    <n v="31"/>
    <n v="-73.15347026567168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8879097342209956"/>
    <n v="0"/>
    <n v="-72.764679292249596"/>
    <m/>
    <m/>
    <n v="3720.6871100437588"/>
    <m/>
    <n v="0"/>
    <n v="0"/>
    <n v="-1973.7"/>
    <m/>
    <n v="0"/>
    <m/>
    <n v="-1900.53561756513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01"/>
    <s v="Regular"/>
    <s v="Geração"/>
    <s v="A4"/>
    <s v="Não se aplica"/>
    <s v="Não se aplica"/>
    <s v="Não se aplica"/>
    <s v="CASCATA DO BARREIRO"/>
    <s v="Não se aplica"/>
    <s v="GERAÇÃO"/>
    <x v="10"/>
    <n v="280"/>
    <n v="140"/>
    <n v="0"/>
    <n v="0"/>
    <n v="0"/>
    <n v="0"/>
    <n v="13.8"/>
    <m/>
    <m/>
    <n v="3864"/>
    <m/>
    <n v="3864"/>
    <n v="1817.2"/>
    <n v="0"/>
    <n v="0"/>
    <n v="0"/>
    <n v="0"/>
    <n v="0"/>
    <n v="0"/>
    <n v="3858.4903363416761"/>
    <m/>
    <m/>
    <m/>
    <n v="0"/>
    <n v="0"/>
    <n v="0"/>
    <n v="0"/>
    <m/>
    <n v="6.3277764538767238"/>
    <n v="0"/>
    <n v="0"/>
    <n v="0"/>
    <n v="0"/>
    <m/>
    <m/>
    <n v="0"/>
    <n v="0"/>
    <n v="0"/>
    <m/>
    <m/>
    <n v="0"/>
    <m/>
    <n v="0"/>
    <n v="0"/>
    <n v="0"/>
    <n v="0"/>
    <m/>
    <n v="0"/>
    <n v="0"/>
    <n v="1.91"/>
    <n v="0"/>
    <n v="0"/>
    <n v="0"/>
    <m/>
    <m/>
    <n v="908.6"/>
    <m/>
    <m/>
    <m/>
    <m/>
    <m/>
    <m/>
    <n v="0"/>
    <m/>
    <m/>
    <m/>
    <m/>
    <m/>
    <m/>
    <m/>
    <m/>
    <m/>
    <m/>
    <m/>
    <m/>
    <n v="908.6"/>
    <n v="-1023.43"/>
    <m/>
    <m/>
    <m/>
    <m/>
    <n v="-2046.8000000000002"/>
    <n v="0"/>
    <n v="31"/>
    <n v="-75.86285805328915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0319063910440001"/>
    <n v="0"/>
    <n v="-75.459667414184764"/>
    <m/>
    <m/>
    <n v="3858.4903363416761"/>
    <m/>
    <n v="0"/>
    <n v="0"/>
    <n v="-2046.8"/>
    <m/>
    <n v="0"/>
    <m/>
    <n v="-1970.92582562310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02"/>
    <s v="Regular"/>
    <s v="Geração"/>
    <s v="A4"/>
    <s v="Não se aplica"/>
    <s v="Não se aplica"/>
    <s v="Não se aplica"/>
    <s v="SOLAR BOA VISTA"/>
    <s v="Não se aplica"/>
    <s v="GERAÇÃO"/>
    <x v="10"/>
    <n v="730"/>
    <n v="365"/>
    <n v="0"/>
    <n v="0"/>
    <n v="0"/>
    <n v="0"/>
    <n v="13.8"/>
    <m/>
    <m/>
    <n v="10074"/>
    <m/>
    <n v="10074"/>
    <n v="4737.7"/>
    <n v="0"/>
    <n v="0"/>
    <n v="0"/>
    <n v="0"/>
    <n v="0"/>
    <n v="0"/>
    <n v="10059.635519747941"/>
    <m/>
    <m/>
    <m/>
    <n v="0"/>
    <n v="0"/>
    <n v="0"/>
    <n v="0"/>
    <m/>
    <n v="16.497417183321456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9800000000000004"/>
    <n v="0"/>
    <n v="0"/>
    <n v="0"/>
    <m/>
    <m/>
    <n v="2368.85"/>
    <m/>
    <m/>
    <m/>
    <m/>
    <m/>
    <m/>
    <n v="0"/>
    <m/>
    <m/>
    <m/>
    <m/>
    <m/>
    <m/>
    <m/>
    <m/>
    <m/>
    <m/>
    <m/>
    <m/>
    <n v="2368.85"/>
    <n v="-2668.1800000000007"/>
    <m/>
    <m/>
    <m/>
    <m/>
    <n v="-5336.3"/>
    <n v="0"/>
    <n v="31"/>
    <n v="-197.7853084960753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511755948078978"/>
    <n v="0"/>
    <n v="-196.73413290126743"/>
    <m/>
    <m/>
    <n v="10059.635519747941"/>
    <m/>
    <n v="0"/>
    <n v="0"/>
    <n v="-5336.3"/>
    <m/>
    <n v="0"/>
    <m/>
    <n v="-5138.4851882316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03"/>
    <s v="Regular"/>
    <s v="Geração"/>
    <s v="A4"/>
    <s v="Não se aplica"/>
    <s v="Não se aplica"/>
    <s v="Não se aplica"/>
    <s v="SOLAR SÃO MIGUEL"/>
    <s v="Não se aplica"/>
    <s v="GERAÇÃO"/>
    <x v="10"/>
    <n v="561"/>
    <n v="280.5"/>
    <n v="0"/>
    <n v="0"/>
    <n v="0"/>
    <n v="0"/>
    <n v="13.8"/>
    <m/>
    <m/>
    <n v="7741.8"/>
    <m/>
    <n v="7741.8"/>
    <n v="3640.8900000000003"/>
    <n v="0"/>
    <n v="0"/>
    <n v="0"/>
    <n v="0"/>
    <n v="0"/>
    <n v="0"/>
    <n v="7730.7609953131432"/>
    <m/>
    <m/>
    <m/>
    <n v="0"/>
    <n v="0"/>
    <n v="0"/>
    <n v="0"/>
    <m/>
    <n v="12.67815210937443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.82"/>
    <n v="0"/>
    <n v="0"/>
    <n v="0"/>
    <m/>
    <m/>
    <n v="1820.4450000000002"/>
    <m/>
    <m/>
    <m/>
    <m/>
    <m/>
    <m/>
    <n v="0"/>
    <m/>
    <m/>
    <m/>
    <m/>
    <m/>
    <m/>
    <m/>
    <m/>
    <m/>
    <m/>
    <m/>
    <m/>
    <n v="1820.4450000000002"/>
    <n v="-2050.4850000000006"/>
    <m/>
    <m/>
    <m/>
    <m/>
    <n v="-4100.91"/>
    <n v="0"/>
    <n v="31"/>
    <n v="-151.9966548853400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80782124477702943"/>
    <n v="0"/>
    <n v="-151.18883364056305"/>
    <m/>
    <m/>
    <n v="7730.7609953131432"/>
    <m/>
    <n v="0"/>
    <n v="0"/>
    <n v="-4100.91"/>
    <m/>
    <n v="0"/>
    <m/>
    <n v="-3948.89067205199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04"/>
    <s v="Regular"/>
    <s v="Geração"/>
    <s v="A4"/>
    <s v="Não se aplica"/>
    <s v="Não se aplica"/>
    <s v="Não se aplica"/>
    <s v="SOLAR SÃO GABRIEL"/>
    <s v="Não se aplica"/>
    <s v="GERAÇÃO"/>
    <x v="10"/>
    <n v="379"/>
    <n v="189.5"/>
    <n v="0"/>
    <n v="0"/>
    <n v="0"/>
    <n v="0"/>
    <n v="13.8"/>
    <m/>
    <m/>
    <n v="5230.2"/>
    <m/>
    <n v="5230.2"/>
    <n v="2459.71"/>
    <n v="0"/>
    <n v="0"/>
    <n v="0"/>
    <n v="0"/>
    <n v="0"/>
    <n v="0"/>
    <n v="5222.742276691054"/>
    <m/>
    <m/>
    <m/>
    <n v="0"/>
    <n v="0"/>
    <n v="0"/>
    <n v="0"/>
    <m/>
    <n v="8.565097414354564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.58"/>
    <n v="0"/>
    <n v="0"/>
    <n v="0"/>
    <m/>
    <m/>
    <n v="1229.855"/>
    <m/>
    <m/>
    <m/>
    <m/>
    <m/>
    <m/>
    <n v="0"/>
    <m/>
    <m/>
    <m/>
    <m/>
    <m/>
    <m/>
    <m/>
    <m/>
    <m/>
    <m/>
    <m/>
    <m/>
    <n v="1229.855"/>
    <n v="-1385.2750000000005"/>
    <m/>
    <m/>
    <m/>
    <m/>
    <n v="-2770.4900000000002"/>
    <n v="0"/>
    <n v="31"/>
    <n v="-102.685797150702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457473293591697"/>
    <n v="0"/>
    <n v="-102.14004982134294"/>
    <m/>
    <m/>
    <n v="5222.742276691054"/>
    <m/>
    <n v="0"/>
    <n v="0"/>
    <n v="-2770.49"/>
    <m/>
    <n v="0"/>
    <m/>
    <n v="-2667.788885396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05"/>
    <s v="Regular"/>
    <s v="Geração"/>
    <s v="A4"/>
    <s v="Não se aplica"/>
    <s v="Não se aplica"/>
    <s v="Não se aplica"/>
    <s v="SOLAR SÃO RAFAEL"/>
    <s v="Não se aplica"/>
    <s v="GERAÇÃO"/>
    <x v="10"/>
    <n v="718"/>
    <n v="359"/>
    <n v="0"/>
    <n v="0"/>
    <n v="0"/>
    <n v="0"/>
    <n v="13.8"/>
    <m/>
    <m/>
    <n v="9908.4"/>
    <m/>
    <n v="9908.4"/>
    <n v="4659.82"/>
    <n v="0"/>
    <n v="0"/>
    <n v="0"/>
    <n v="0"/>
    <n v="0"/>
    <n v="0"/>
    <n v="9894.2716481904408"/>
    <m/>
    <m/>
    <m/>
    <n v="0"/>
    <n v="0"/>
    <n v="0"/>
    <n v="0"/>
    <m/>
    <n v="16.226226763869597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9000000000000004"/>
    <n v="0"/>
    <n v="0"/>
    <n v="0"/>
    <m/>
    <m/>
    <n v="2329.91"/>
    <m/>
    <m/>
    <m/>
    <m/>
    <m/>
    <m/>
    <n v="0"/>
    <m/>
    <m/>
    <m/>
    <m/>
    <m/>
    <m/>
    <m/>
    <m/>
    <m/>
    <m/>
    <m/>
    <m/>
    <n v="2329.91"/>
    <n v="-2624.3200000000006"/>
    <m/>
    <m/>
    <m/>
    <m/>
    <n v="-5248.58"/>
    <n v="0"/>
    <n v="31"/>
    <n v="-194.534043150934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338959959891376"/>
    <n v="0"/>
    <n v="-193.50014715494521"/>
    <m/>
    <m/>
    <n v="9894.2716481904408"/>
    <m/>
    <n v="0"/>
    <n v="0"/>
    <n v="-5248.58"/>
    <m/>
    <n v="0"/>
    <m/>
    <n v="-5054.01693856209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06"/>
    <s v="PROJETADO"/>
    <s v="Geração"/>
    <s v="A4"/>
    <s v="Não se aplica"/>
    <s v="Não se aplica"/>
    <s v="Não se aplica"/>
    <s v="RIO FORTALEZA"/>
    <s v="Não se aplica"/>
    <s v="GERAÇÃO"/>
    <x v="11"/>
    <n v="880"/>
    <n v="440"/>
    <n v="0"/>
    <n v="0"/>
    <n v="0"/>
    <n v="0"/>
    <n v="13.8"/>
    <m/>
    <m/>
    <n v="12144"/>
    <m/>
    <n v="12144"/>
    <n v="5711.2"/>
    <n v="0"/>
    <n v="0"/>
    <n v="0"/>
    <n v="0"/>
    <n v="0"/>
    <n v="0"/>
    <n v="12126.683914216695"/>
    <m/>
    <m/>
    <m/>
    <n v="0"/>
    <n v="0"/>
    <n v="0"/>
    <n v="0"/>
    <m/>
    <n v="19.887297426469704"/>
    <n v="0"/>
    <n v="0"/>
    <n v="0"/>
    <n v="0"/>
    <m/>
    <m/>
    <n v="0"/>
    <n v="0"/>
    <n v="0"/>
    <m/>
    <m/>
    <n v="0"/>
    <m/>
    <n v="0"/>
    <n v="0"/>
    <n v="0"/>
    <n v="0"/>
    <m/>
    <n v="0"/>
    <n v="0"/>
    <n v="6"/>
    <n v="0"/>
    <n v="0"/>
    <n v="0"/>
    <m/>
    <m/>
    <n v="2855.6"/>
    <m/>
    <m/>
    <m/>
    <m/>
    <m/>
    <m/>
    <n v="0"/>
    <m/>
    <m/>
    <m/>
    <m/>
    <m/>
    <m/>
    <m/>
    <m/>
    <m/>
    <m/>
    <m/>
    <m/>
    <n v="2855.6"/>
    <n v="-3216.4300000000007"/>
    <m/>
    <m/>
    <m/>
    <m/>
    <n v="-6432.8"/>
    <n v="0"/>
    <n v="30"/>
    <n v="-238.426125310337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671705800424"/>
    <n v="0"/>
    <n v="-237.15895473029497"/>
    <m/>
    <m/>
    <n v="12126.683914216695"/>
    <m/>
    <n v="0"/>
    <n v="0"/>
    <n v="-6432.8"/>
    <m/>
    <n v="0"/>
    <m/>
    <n v="-6194.338309101174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07"/>
    <s v="PROJETADO"/>
    <s v="Geração"/>
    <s v="A4"/>
    <s v="Não se aplica"/>
    <s v="Não se aplica"/>
    <s v="Não se aplica"/>
    <s v="BRAGA"/>
    <s v="Não se aplica"/>
    <s v="GERAÇÃO"/>
    <x v="11"/>
    <n v="520"/>
    <n v="260"/>
    <n v="0"/>
    <n v="0"/>
    <n v="0"/>
    <n v="0"/>
    <n v="13.8"/>
    <m/>
    <m/>
    <n v="7176"/>
    <m/>
    <n v="7176"/>
    <n v="3374.8"/>
    <n v="0"/>
    <n v="0"/>
    <n v="0"/>
    <n v="0"/>
    <n v="0"/>
    <n v="0"/>
    <n v="7165.767767491684"/>
    <m/>
    <m/>
    <m/>
    <n v="0"/>
    <n v="0"/>
    <n v="0"/>
    <n v="0"/>
    <m/>
    <n v="11.7515848429139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.54"/>
    <n v="0"/>
    <n v="0"/>
    <n v="0"/>
    <m/>
    <m/>
    <n v="1687.4"/>
    <m/>
    <m/>
    <m/>
    <m/>
    <m/>
    <m/>
    <n v="0"/>
    <m/>
    <m/>
    <m/>
    <m/>
    <m/>
    <m/>
    <m/>
    <m/>
    <m/>
    <m/>
    <m/>
    <m/>
    <n v="1687.4"/>
    <n v="-1900.6300000000006"/>
    <m/>
    <m/>
    <m/>
    <m/>
    <n v="-3801.2000000000003"/>
    <n v="0"/>
    <n v="30"/>
    <n v="-140.888164956108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74878261547960001"/>
    <n v="0"/>
    <n v="-140.13938234062886"/>
    <m/>
    <m/>
    <n v="7165.767767491684"/>
    <m/>
    <n v="0"/>
    <n v="0"/>
    <n v="-3801.2"/>
    <m/>
    <n v="0"/>
    <m/>
    <n v="-3660.290819014331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08"/>
    <s v="PROJETADO"/>
    <s v="Geração"/>
    <s v="A4"/>
    <s v="Não se aplica"/>
    <s v="Não se aplica"/>
    <s v="Não se aplica"/>
    <s v="LINHA GRANJA VELHA"/>
    <s v="Não se aplica"/>
    <s v="GERAÇÃO"/>
    <x v="11"/>
    <n v="1000"/>
    <n v="500"/>
    <n v="0"/>
    <n v="0"/>
    <n v="0"/>
    <n v="0"/>
    <n v="13.8"/>
    <m/>
    <m/>
    <n v="13800"/>
    <m/>
    <n v="13800"/>
    <n v="6490"/>
    <n v="0"/>
    <n v="0"/>
    <n v="0"/>
    <n v="0"/>
    <n v="0"/>
    <n v="0"/>
    <n v="13780.322629791699"/>
    <m/>
    <m/>
    <m/>
    <n v="0"/>
    <n v="0"/>
    <n v="0"/>
    <n v="0"/>
    <m/>
    <n v="22.5992016209883"/>
    <n v="0"/>
    <n v="0"/>
    <n v="0"/>
    <n v="0"/>
    <m/>
    <m/>
    <n v="0"/>
    <n v="0"/>
    <n v="0"/>
    <m/>
    <m/>
    <n v="0"/>
    <m/>
    <n v="0"/>
    <n v="0"/>
    <n v="0"/>
    <n v="0"/>
    <m/>
    <n v="0"/>
    <n v="0"/>
    <n v="6.82"/>
    <n v="0"/>
    <n v="0"/>
    <n v="0"/>
    <m/>
    <m/>
    <n v="3245"/>
    <m/>
    <m/>
    <m/>
    <m/>
    <m/>
    <m/>
    <n v="0"/>
    <m/>
    <m/>
    <m/>
    <m/>
    <m/>
    <m/>
    <m/>
    <m/>
    <m/>
    <m/>
    <m/>
    <m/>
    <n v="3245"/>
    <n v="-3655.0300000000007"/>
    <m/>
    <m/>
    <m/>
    <m/>
    <n v="-7310.0000000000009"/>
    <n v="0"/>
    <n v="30"/>
    <n v="-270.9387787617470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399665682300018"/>
    <n v="0"/>
    <n v="-269.49881219351704"/>
    <m/>
    <m/>
    <n v="13780.322629791699"/>
    <m/>
    <n v="0"/>
    <n v="0"/>
    <n v="-7310"/>
    <m/>
    <n v="0"/>
    <m/>
    <n v="-7039.020805796789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09"/>
    <s v="PROJETADO"/>
    <s v="Geração"/>
    <s v="A4"/>
    <s v="Não se aplica"/>
    <s v="Não se aplica"/>
    <s v="Não se aplica"/>
    <s v="CARLOS BEVILÁCQUA"/>
    <s v="Não se aplica"/>
    <s v="GERAÇÃO"/>
    <x v="11"/>
    <n v="800"/>
    <n v="400"/>
    <n v="0"/>
    <n v="0"/>
    <n v="0"/>
    <n v="0"/>
    <n v="13.8"/>
    <m/>
    <m/>
    <n v="11040"/>
    <m/>
    <n v="11040"/>
    <n v="5192"/>
    <n v="0"/>
    <n v="0"/>
    <n v="0"/>
    <n v="0"/>
    <n v="0"/>
    <n v="0"/>
    <n v="11024.258103833359"/>
    <m/>
    <m/>
    <m/>
    <n v="0"/>
    <n v="0"/>
    <n v="0"/>
    <n v="0"/>
    <m/>
    <n v="18.079361296790637"/>
    <n v="0"/>
    <n v="0"/>
    <n v="0"/>
    <n v="0"/>
    <m/>
    <m/>
    <n v="0"/>
    <n v="0"/>
    <n v="0"/>
    <m/>
    <m/>
    <n v="0"/>
    <m/>
    <n v="0"/>
    <n v="0"/>
    <n v="0"/>
    <n v="0"/>
    <m/>
    <n v="0"/>
    <n v="0"/>
    <n v="5.46"/>
    <n v="0"/>
    <n v="0"/>
    <n v="0"/>
    <m/>
    <m/>
    <n v="2596"/>
    <m/>
    <m/>
    <m/>
    <m/>
    <m/>
    <m/>
    <n v="0"/>
    <m/>
    <m/>
    <m/>
    <m/>
    <m/>
    <m/>
    <m/>
    <m/>
    <m/>
    <m/>
    <m/>
    <m/>
    <n v="2596"/>
    <n v="-2924.0300000000007"/>
    <m/>
    <m/>
    <m/>
    <m/>
    <n v="-5848"/>
    <n v="0"/>
    <n v="30"/>
    <n v="-216.7510230093976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1519732545839965"/>
    <n v="0"/>
    <n v="-215.59904975481362"/>
    <m/>
    <m/>
    <n v="11024.258103833359"/>
    <m/>
    <n v="0"/>
    <n v="0"/>
    <n v="-5848"/>
    <m/>
    <n v="0"/>
    <m/>
    <n v="-5631.2166446374313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10"/>
    <s v="PROJETADO"/>
    <s v="Geração"/>
    <s v="A4"/>
    <s v="Não se aplica"/>
    <s v="Não se aplica"/>
    <s v="Não se aplica"/>
    <s v="MOINHO"/>
    <s v="Não se aplica"/>
    <s v="GERAÇÃO"/>
    <x v="11"/>
    <n v="270"/>
    <n v="135"/>
    <n v="0"/>
    <n v="0"/>
    <n v="0"/>
    <n v="0"/>
    <n v="13.8"/>
    <m/>
    <m/>
    <n v="3726"/>
    <m/>
    <n v="3726"/>
    <n v="1752.3"/>
    <n v="0"/>
    <n v="0"/>
    <n v="0"/>
    <n v="0"/>
    <n v="0"/>
    <n v="0"/>
    <n v="3720.6871100437588"/>
    <m/>
    <m/>
    <m/>
    <n v="0"/>
    <n v="0"/>
    <n v="0"/>
    <n v="0"/>
    <m/>
    <n v="6.1017844376668409"/>
    <n v="0"/>
    <n v="0"/>
    <n v="0"/>
    <n v="0"/>
    <m/>
    <m/>
    <n v="0"/>
    <n v="0"/>
    <n v="0"/>
    <m/>
    <m/>
    <n v="0"/>
    <m/>
    <n v="0"/>
    <n v="0"/>
    <n v="0"/>
    <n v="0"/>
    <m/>
    <n v="0"/>
    <n v="0"/>
    <n v="1.84"/>
    <n v="0"/>
    <n v="0"/>
    <n v="0"/>
    <m/>
    <m/>
    <n v="876.15"/>
    <m/>
    <m/>
    <m/>
    <m/>
    <m/>
    <m/>
    <n v="0"/>
    <m/>
    <m/>
    <m/>
    <m/>
    <m/>
    <m/>
    <m/>
    <m/>
    <m/>
    <m/>
    <m/>
    <m/>
    <n v="876.15"/>
    <n v="-986.88"/>
    <m/>
    <m/>
    <m/>
    <m/>
    <n v="-1973.7"/>
    <n v="0"/>
    <n v="30"/>
    <n v="-73.15347026567168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8879097342209956"/>
    <n v="0"/>
    <n v="-72.764679292249596"/>
    <m/>
    <m/>
    <n v="3720.6871100437588"/>
    <m/>
    <n v="0"/>
    <n v="0"/>
    <n v="-1973.7"/>
    <m/>
    <n v="0"/>
    <m/>
    <n v="-1900.5356175651332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11"/>
    <s v="PROJETADO"/>
    <s v="Geração"/>
    <s v="A4"/>
    <s v="Não se aplica"/>
    <s v="Não se aplica"/>
    <s v="Não se aplica"/>
    <s v="CASCATA DO BARREIRO"/>
    <s v="Não se aplica"/>
    <s v="GERAÇÃO"/>
    <x v="11"/>
    <n v="280"/>
    <n v="140"/>
    <n v="0"/>
    <n v="0"/>
    <n v="0"/>
    <n v="0"/>
    <n v="13.8"/>
    <m/>
    <m/>
    <n v="3864"/>
    <m/>
    <n v="3864"/>
    <n v="1817.2"/>
    <n v="0"/>
    <n v="0"/>
    <n v="0"/>
    <n v="0"/>
    <n v="0"/>
    <n v="0"/>
    <n v="3858.4903363416761"/>
    <m/>
    <m/>
    <m/>
    <n v="0"/>
    <n v="0"/>
    <n v="0"/>
    <n v="0"/>
    <m/>
    <n v="6.3277764538767238"/>
    <n v="0"/>
    <n v="0"/>
    <n v="0"/>
    <n v="0"/>
    <m/>
    <m/>
    <n v="0"/>
    <n v="0"/>
    <n v="0"/>
    <m/>
    <m/>
    <n v="0"/>
    <m/>
    <n v="0"/>
    <n v="0"/>
    <n v="0"/>
    <n v="0"/>
    <m/>
    <n v="0"/>
    <n v="0"/>
    <n v="1.91"/>
    <n v="0"/>
    <n v="0"/>
    <n v="0"/>
    <m/>
    <m/>
    <n v="908.6"/>
    <m/>
    <m/>
    <m/>
    <m/>
    <m/>
    <m/>
    <n v="0"/>
    <m/>
    <m/>
    <m/>
    <m/>
    <m/>
    <m/>
    <m/>
    <m/>
    <m/>
    <m/>
    <m/>
    <m/>
    <n v="908.6"/>
    <n v="-1023.43"/>
    <m/>
    <m/>
    <m/>
    <m/>
    <n v="-2046.8000000000002"/>
    <n v="0"/>
    <n v="30"/>
    <n v="-75.862858053289159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0319063910440001"/>
    <n v="0"/>
    <n v="-75.459667414184764"/>
    <m/>
    <m/>
    <n v="3858.4903363416761"/>
    <m/>
    <n v="0"/>
    <n v="0"/>
    <n v="-2046.8"/>
    <m/>
    <n v="0"/>
    <m/>
    <n v="-1970.9258256231014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12"/>
    <s v="PROJETADO"/>
    <s v="Geração"/>
    <s v="A4"/>
    <s v="Não se aplica"/>
    <s v="Não se aplica"/>
    <s v="Não se aplica"/>
    <s v="SOLAR BOA VISTA"/>
    <s v="Não se aplica"/>
    <s v="GERAÇÃO"/>
    <x v="11"/>
    <n v="730"/>
    <n v="365"/>
    <n v="0"/>
    <n v="0"/>
    <n v="0"/>
    <n v="0"/>
    <n v="13.8"/>
    <m/>
    <m/>
    <n v="10074"/>
    <m/>
    <n v="10074"/>
    <n v="4737.7"/>
    <n v="0"/>
    <n v="0"/>
    <n v="0"/>
    <n v="0"/>
    <n v="0"/>
    <n v="0"/>
    <n v="10059.635519747941"/>
    <m/>
    <m/>
    <m/>
    <n v="0"/>
    <n v="0"/>
    <n v="0"/>
    <n v="0"/>
    <m/>
    <n v="16.497417183321456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9800000000000004"/>
    <n v="0"/>
    <n v="0"/>
    <n v="0"/>
    <m/>
    <m/>
    <n v="2368.85"/>
    <m/>
    <m/>
    <m/>
    <m/>
    <m/>
    <m/>
    <n v="0"/>
    <m/>
    <m/>
    <m/>
    <m/>
    <m/>
    <m/>
    <m/>
    <m/>
    <m/>
    <m/>
    <m/>
    <m/>
    <n v="2368.85"/>
    <n v="-2668.1800000000007"/>
    <m/>
    <m/>
    <m/>
    <m/>
    <n v="-5336.3"/>
    <n v="0"/>
    <n v="30"/>
    <n v="-197.7853084960753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511755948078978"/>
    <n v="0"/>
    <n v="-196.73413290126743"/>
    <m/>
    <m/>
    <n v="10059.635519747941"/>
    <m/>
    <n v="0"/>
    <n v="0"/>
    <n v="-5336.3"/>
    <m/>
    <n v="0"/>
    <m/>
    <n v="-5138.4851882316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13"/>
    <s v="PROJETADO"/>
    <s v="Geração"/>
    <s v="A4"/>
    <s v="Não se aplica"/>
    <s v="Não se aplica"/>
    <s v="Não se aplica"/>
    <s v="SOLAR SÃO MIGUEL"/>
    <s v="Não se aplica"/>
    <s v="GERAÇÃO"/>
    <x v="11"/>
    <n v="561"/>
    <n v="280.5"/>
    <n v="0"/>
    <n v="0"/>
    <n v="0"/>
    <n v="0"/>
    <n v="13.8"/>
    <m/>
    <m/>
    <n v="7741.8"/>
    <m/>
    <n v="7741.8"/>
    <n v="3640.8900000000003"/>
    <n v="0"/>
    <n v="0"/>
    <n v="0"/>
    <n v="0"/>
    <n v="0"/>
    <n v="0"/>
    <n v="7730.7609953131432"/>
    <m/>
    <m/>
    <m/>
    <n v="0"/>
    <n v="0"/>
    <n v="0"/>
    <n v="0"/>
    <m/>
    <n v="12.678152109374436"/>
    <n v="0"/>
    <n v="0"/>
    <n v="0"/>
    <n v="0"/>
    <m/>
    <m/>
    <n v="0"/>
    <n v="0"/>
    <n v="0"/>
    <m/>
    <m/>
    <n v="0"/>
    <m/>
    <n v="0"/>
    <n v="0"/>
    <n v="0"/>
    <n v="0"/>
    <m/>
    <n v="0"/>
    <n v="0"/>
    <n v="3.82"/>
    <n v="0"/>
    <n v="0"/>
    <n v="0"/>
    <m/>
    <m/>
    <n v="1820.4450000000002"/>
    <m/>
    <m/>
    <m/>
    <m/>
    <m/>
    <m/>
    <n v="0"/>
    <m/>
    <m/>
    <m/>
    <m/>
    <m/>
    <m/>
    <m/>
    <m/>
    <m/>
    <m/>
    <m/>
    <m/>
    <n v="1820.4450000000002"/>
    <n v="-2050.4850000000006"/>
    <m/>
    <m/>
    <m/>
    <m/>
    <n v="-4100.91"/>
    <n v="0"/>
    <n v="30"/>
    <n v="-151.9966548853400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80782124477702943"/>
    <n v="0"/>
    <n v="-151.18883364056305"/>
    <m/>
    <m/>
    <n v="7730.7609953131432"/>
    <m/>
    <n v="0"/>
    <n v="0"/>
    <n v="-4100.91"/>
    <m/>
    <n v="0"/>
    <m/>
    <n v="-3948.890672051999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14"/>
    <s v="PROJETADO"/>
    <s v="Geração"/>
    <s v="A4"/>
    <s v="Não se aplica"/>
    <s v="Não se aplica"/>
    <s v="Não se aplica"/>
    <s v="SOLAR SÃO GABRIEL"/>
    <s v="Não se aplica"/>
    <s v="GERAÇÃO"/>
    <x v="11"/>
    <n v="379"/>
    <n v="189.5"/>
    <n v="0"/>
    <n v="0"/>
    <n v="0"/>
    <n v="0"/>
    <n v="13.8"/>
    <m/>
    <m/>
    <n v="5230.2"/>
    <m/>
    <n v="5230.2"/>
    <n v="2459.71"/>
    <n v="0"/>
    <n v="0"/>
    <n v="0"/>
    <n v="0"/>
    <n v="0"/>
    <n v="0"/>
    <n v="5222.742276691054"/>
    <m/>
    <m/>
    <m/>
    <n v="0"/>
    <n v="0"/>
    <n v="0"/>
    <n v="0"/>
    <m/>
    <n v="8.5650974143545646"/>
    <n v="0"/>
    <n v="0"/>
    <n v="0"/>
    <n v="0"/>
    <m/>
    <m/>
    <n v="0"/>
    <n v="0"/>
    <n v="0"/>
    <m/>
    <m/>
    <n v="0"/>
    <m/>
    <n v="0"/>
    <n v="0"/>
    <n v="0"/>
    <n v="0"/>
    <m/>
    <n v="0"/>
    <n v="0"/>
    <n v="2.58"/>
    <n v="0"/>
    <n v="0"/>
    <n v="0"/>
    <m/>
    <m/>
    <n v="1229.855"/>
    <m/>
    <m/>
    <m/>
    <m/>
    <m/>
    <m/>
    <n v="0"/>
    <m/>
    <m/>
    <m/>
    <m/>
    <m/>
    <m/>
    <m/>
    <m/>
    <m/>
    <m/>
    <m/>
    <m/>
    <n v="1229.855"/>
    <n v="-1385.2750000000005"/>
    <m/>
    <m/>
    <m/>
    <m/>
    <n v="-2770.4900000000002"/>
    <n v="0"/>
    <n v="30"/>
    <n v="-102.685797150702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457473293591697"/>
    <n v="0"/>
    <n v="-102.14004982134294"/>
    <m/>
    <m/>
    <n v="5222.742276691054"/>
    <m/>
    <n v="0"/>
    <n v="0"/>
    <n v="-2770.49"/>
    <m/>
    <n v="0"/>
    <m/>
    <n v="-2667.7888853969835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  <r>
    <n v="915"/>
    <s v="PROJETADO"/>
    <s v="Geração"/>
    <s v="A4"/>
    <s v="Não se aplica"/>
    <s v="Não se aplica"/>
    <s v="Não se aplica"/>
    <s v="SOLAR SÃO RAFAEL"/>
    <s v="Não se aplica"/>
    <s v="GERAÇÃO"/>
    <x v="11"/>
    <n v="718"/>
    <n v="359"/>
    <n v="0"/>
    <n v="0"/>
    <n v="0"/>
    <n v="0"/>
    <n v="13.8"/>
    <m/>
    <m/>
    <n v="9908.4"/>
    <m/>
    <n v="9908.4"/>
    <n v="4659.82"/>
    <n v="0"/>
    <n v="0"/>
    <n v="0"/>
    <n v="0"/>
    <n v="0"/>
    <n v="0"/>
    <n v="9894.2716481904408"/>
    <m/>
    <m/>
    <m/>
    <n v="0"/>
    <n v="0"/>
    <n v="0"/>
    <n v="0"/>
    <m/>
    <n v="16.226226763869597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9000000000000004"/>
    <n v="0"/>
    <n v="0"/>
    <n v="0"/>
    <m/>
    <m/>
    <n v="2329.91"/>
    <m/>
    <m/>
    <m/>
    <m/>
    <m/>
    <m/>
    <n v="0"/>
    <m/>
    <m/>
    <m/>
    <m/>
    <m/>
    <m/>
    <m/>
    <m/>
    <m/>
    <m/>
    <m/>
    <m/>
    <n v="2329.91"/>
    <n v="-2624.3200000000006"/>
    <m/>
    <m/>
    <m/>
    <m/>
    <n v="-5248.58"/>
    <n v="0"/>
    <n v="30"/>
    <n v="-194.534043150934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0338959959891376"/>
    <n v="0"/>
    <n v="-193.50014715494521"/>
    <m/>
    <m/>
    <n v="9894.2716481904408"/>
    <m/>
    <n v="0"/>
    <n v="0"/>
    <n v="-5248.58"/>
    <m/>
    <n v="0"/>
    <m/>
    <n v="-5054.0169385620957"/>
    <m/>
    <n v="0"/>
    <n v="0"/>
    <m/>
    <n v="0"/>
    <n v="0"/>
    <n v="0"/>
    <n v="0"/>
    <n v="0"/>
    <m/>
    <m/>
    <n v="0"/>
    <n v="0"/>
    <m/>
    <n v="0"/>
    <m/>
    <n v="0"/>
    <m/>
    <n v="246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D46" firstHeaderRow="0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4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TUSD_E" fld="13" baseField="0" baseItem="0" numFmtId="167"/>
    <dataField name="Soma de TE_E" fld="15" baseField="0" baseItem="0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2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24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77" dataDxfId="576">
  <autoFilter ref="AA5:AE7" xr:uid="{B3DE7FE8-5926-4E44-9EDC-9655DE4A4B67}"/>
  <tableColumns count="5">
    <tableColumn id="1" xr3:uid="{1315B14B-5316-4DE2-9050-0B99168CC239}" name="Cotas" dataDxfId="575"/>
    <tableColumn id="2" xr3:uid="{00C64702-8D8C-4EE8-B854-0E39030818B6}" name="Valor da &quot;Cota&quot;" dataDxfId="574"/>
    <tableColumn id="3" xr3:uid="{63BFFE80-8EC9-4566-842F-9FD193C67815}" name="Ano" dataDxfId="573"/>
    <tableColumn id="4" xr3:uid="{7B5A7EF8-5CB6-4557-B7D2-1C4857462594}" name="Custo Médio da Cota" dataDxfId="572"/>
    <tableColumn id="5" xr3:uid="{D3F4B71D-C886-4718-A85E-FA54E9F8D838}" name="Energia MWh" dataDxfId="571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70" dataDxfId="569" headerRowCellStyle="Normal 5" dataCellStyle="Normal 5">
  <autoFilter ref="AA21:AG23" xr:uid="{8109BFC4-5B84-4531-A319-ED0D5E86A4C5}"/>
  <tableColumns count="7">
    <tableColumn id="1" xr3:uid="{59A03A63-2F04-4649-A4AF-9B891D5BEBED}" name="Leilão" dataDxfId="568" dataCellStyle="Normal 5"/>
    <tableColumn id="2" xr3:uid="{1B8E1FA7-1B1E-42CD-98A0-C36F374D9818}" name="Produto" dataDxfId="567" dataCellStyle="Normal 5"/>
    <tableColumn id="3" xr3:uid="{3C5EB2AC-0FA8-44FB-8B3B-4F205233DD96}" name="Modalidade" dataDxfId="566" dataCellStyle="Normal 5"/>
    <tableColumn id="4" xr3:uid="{C358BA83-832A-4936-8DD9-2979DA133039}" name="Fonte" dataDxfId="565" dataCellStyle="Normal 5"/>
    <tableColumn id="5" xr3:uid="{9CA52279-BDEC-44E2-A60F-C256B4A0590B}" name="Montante" dataDxfId="564" dataCellStyle="Normal 5"/>
    <tableColumn id="6" xr3:uid="{4C1D6705-AC4A-482B-AC5B-B0F755A722F2}" name="Data Base" dataDxfId="563" dataCellStyle="Vírgula"/>
    <tableColumn id="7" xr3:uid="{3DEA0CF9-631C-4B3F-B4AC-928E92F0AB84}" name="Custo Base" dataDxfId="562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1" dataDxfId="560">
  <autoFilter ref="AA10:AD11" xr:uid="{3C49DBE7-062C-4416-B6BA-09DB0F685AD5}"/>
  <tableColumns count="4">
    <tableColumn id="1" xr3:uid="{6F9C1B42-695A-4B8B-B63F-DA108D710421}" name="GSF previsto" dataDxfId="559" dataCellStyle="Normal 5"/>
    <tableColumn id="2" xr3:uid="{4D1DBAC9-9D60-4D51-A973-81AD2081E4F6}" name="PLD" dataDxfId="558" dataCellStyle="Normal 5"/>
    <tableColumn id="3" xr3:uid="{0DCF2C66-C111-4FF7-BEB4-BFD00E93A10A}" name="MWm repactuado" dataDxfId="557" dataCellStyle="Normal 5"/>
    <tableColumn id="4" xr3:uid="{030AED12-E9C5-474F-937C-742184A44EF8}" name="Fator de rateio" dataDxfId="556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5" dataDxfId="554">
  <autoFilter ref="AI5:AJ20" xr:uid="{C3573309-01D4-4FAA-88C4-46F0CAA1CC27}"/>
  <tableColumns count="2">
    <tableColumn id="1" xr3:uid="{56AC757E-E114-458B-A041-461374D0BA5F}" name="Data" dataDxfId="553"/>
    <tableColumn id="2" xr3:uid="{578DAC09-D952-4F72-9444-614F5761412A}" name="Valor Pis/Cofins Transmissora" dataDxfId="552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1"/>
    <tableColumn id="2" xr3:uid="{AAB31625-7790-4B9A-AC2F-62007C1AB8C0}" name="Valor" dataDxfId="550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49">
  <autoFilter ref="B70:D77" xr:uid="{2E07311B-F74E-449E-81FD-B2BBBED3E4B3}"/>
  <tableColumns count="3">
    <tableColumn id="1" xr3:uid="{34D06310-1B0F-4D68-8C00-ED68EED3BDEB}" name="Encargo" dataDxfId="548"/>
    <tableColumn id="2" xr3:uid="{9D37526B-68DA-4918-8BA1-31EFC93C676E}" name="Valor" dataDxfId="547" dataCellStyle="Vírgula"/>
    <tableColumn id="3" xr3:uid="{62B99FEA-2637-4880-B5A6-705D0DFDF64C}" name="DSP" dataDxfId="546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5">
  <autoFilter ref="AA15:AB16" xr:uid="{1246E986-5AFA-4E40-BCC4-649D094A68F9}"/>
  <tableColumns count="2">
    <tableColumn id="1" xr3:uid="{D4D96454-0BF2-4CE9-B9F7-0CF391A2F556}" name="Proinfa" dataDxfId="544"/>
    <tableColumn id="2" xr3:uid="{62B09719-28BC-4F30-8705-5FB3C24A0D07}" name="MWh" dataDxfId="543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2" dataDxfId="541">
  <autoFilter ref="AO5:AQ9" xr:uid="{1A968768-5E00-4725-815D-7B925098B780}"/>
  <tableColumns count="3">
    <tableColumn id="1" xr3:uid="{FC8C62E6-3A06-4479-B5D7-11BDBC46D611}" name="Conta Escassez" dataDxfId="540"/>
    <tableColumn id="2" xr3:uid="{55A5FC57-FA17-4C65-B2C8-0C51598692AE}" name="Valor" dataDxfId="539"/>
    <tableColumn id="3" xr3:uid="{C90C9243-AD2A-42D1-9D06-640F7A17A24B}" name="Legislacao" dataDxfId="538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37" dataDxfId="536">
  <autoFilter ref="AI24:AK45" xr:uid="{63306B16-ABC6-4C4A-8A31-BA4561D3E91F}"/>
  <tableColumns count="3">
    <tableColumn id="1" xr3:uid="{E80EBDF5-704B-4864-987B-30FABD11C257}" name="Grupo_TARIFA" dataDxfId="535"/>
    <tableColumn id="2" xr3:uid="{C48FAF4C-2500-4FE3-A576-CC56F4BB20F4}" name="Detalhe_Grupo_TARIFA" dataDxfId="534"/>
    <tableColumn id="3" xr3:uid="{C451D982-3266-4B86-86BB-DCF98A1C0BC5}" name="valor" dataDxfId="533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2" dataDxfId="531">
  <autoFilter ref="AM24:AP31" xr:uid="{5E07B889-3CC1-4EB8-A2FA-27865F10E9FF}"/>
  <tableColumns count="4">
    <tableColumn id="1" xr3:uid="{A684CBA1-85F2-4F6F-9549-132415395C97}" name="Grupo Tarifa" dataDxfId="530"/>
    <tableColumn id="2" xr3:uid="{601A6100-10DA-47B4-AC85-55E7B31A99AC}" name="Detalhe Grupo" dataDxfId="529"/>
    <tableColumn id="3" xr3:uid="{C6D6A904-43B1-4BB1-8721-FC3B084DEB3F}" name="Det3" dataDxfId="528"/>
    <tableColumn id="4" xr3:uid="{49E46CEE-1005-4E4F-AD52-B5C103AA28C0}" name="Valor" dataDxfId="527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6" tableBorderDxfId="525">
  <autoFilter ref="AA26:AB30" xr:uid="{ED60079D-08D5-46B4-B1E6-28428B2FF85A}"/>
  <tableColumns count="2">
    <tableColumn id="1" xr3:uid="{C7D3432F-090C-4D89-8F9B-66E323363124}" name="Dados de perda" dataDxfId="524"/>
    <tableColumn id="2" xr3:uid="{7924BC5A-340A-47DE-8986-F75E2F948A7A}" name="Valor" dataDxfId="523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2"/>
    <tableColumn id="2" xr3:uid="{00000000-0010-0000-1600-000002000000}" name="NomPessoaSuprida" dataDxfId="521"/>
    <tableColumn id="3" xr3:uid="{00000000-0010-0000-1600-000003000000}" name="IdeAgenteSupridora" dataDxfId="520"/>
    <tableColumn id="4" xr3:uid="{00000000-0010-0000-1600-000004000000}" name="NomPessoaSupridora" dataDxfId="519"/>
    <tableColumn id="5" xr3:uid="{00000000-0010-0000-1600-000005000000}" name="DescSubGrupoSgt" dataDxfId="518"/>
    <tableColumn id="6" xr3:uid="{00000000-0010-0000-1600-000006000000}" name="MesAno"/>
    <tableColumn id="7" xr3:uid="{00000000-0010-0000-1600-000007000000}" name="Descricao" dataDxfId="517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6" dataDxfId="514" headerRowBorderDxfId="515" tableBorderDxfId="513">
  <autoFilter ref="A9:AN61" xr:uid="{00000000-0009-0000-0100-00001A000000}">
    <filterColumn colId="0">
      <filters>
        <filter val="Creluz"/>
      </filters>
    </filterColumn>
  </autoFilter>
  <tableColumns count="40">
    <tableColumn id="1" xr3:uid="{00000000-0010-0000-0000-000001000000}" name="Sigla" dataDxfId="512"/>
    <tableColumn id="2" xr3:uid="{00000000-0010-0000-0000-000002000000}" name="NomeSAMP" dataDxfId="511"/>
    <tableColumn id="3" xr3:uid="{00000000-0010-0000-0000-000003000000}" name="SARI" dataDxfId="510"/>
    <tableColumn id="4" xr3:uid="{00000000-0010-0000-0000-000004000000}" name="Área" dataDxfId="509"/>
    <tableColumn id="5" xr3:uid="{00000000-0010-0000-0000-000005000000}" name="Tipo de Contrato" dataDxfId="508"/>
    <tableColumn id="6" xr3:uid="{00000000-0010-0000-0000-000006000000}" name="Sede" dataDxfId="507"/>
    <tableColumn id="7" xr3:uid="{00000000-0010-0000-0000-000007000000}" name="UF" dataDxfId="506"/>
    <tableColumn id="8" xr3:uid="{00000000-0010-0000-0000-000008000000}" name="WACC ERD" dataDxfId="505"/>
    <tableColumn id="9" xr3:uid="{00000000-0010-0000-0000-000009000000}" name="Supridora 1" dataDxfId="504"/>
    <tableColumn id="33" xr3:uid="{00000000-0010-0000-0000-000021000000}" name="idsreagsupridora 1" dataDxfId="503"/>
    <tableColumn id="10" xr3:uid="{00000000-0010-0000-0000-00000A000000}" name="Supridora 2" dataDxfId="502"/>
    <tableColumn id="35" xr3:uid="{00000000-0010-0000-0000-000023000000}" name="idsreagsupridora2" dataDxfId="501"/>
    <tableColumn id="11" xr3:uid="{00000000-0010-0000-0000-00000B000000}" name="Desconto Tusd" dataDxfId="500"/>
    <tableColumn id="12" xr3:uid="{00000000-0010-0000-0000-00000C000000}" name="Proinfa MWh" dataDxfId="499"/>
    <tableColumn id="36" xr3:uid="{00000000-0010-0000-0000-000024000000}" name="REH Proinfa" dataDxfId="498"/>
    <tableColumn id="13" xr3:uid="{00000000-0010-0000-0000-00000D000000}" name="Beta" dataDxfId="497"/>
    <tableColumn id="14" xr3:uid="{00000000-0010-0000-0000-00000E000000}" name="Limite PB" dataDxfId="496" dataCellStyle="Vírgula"/>
    <tableColumn id="31" xr3:uid="{00000000-0010-0000-0000-00001F000000}" name="Data Base Limite PB" dataDxfId="495" dataCellStyle="Vírgula"/>
    <tableColumn id="30" xr3:uid="{00000000-0010-0000-0000-00001E000000}" name="Despacho limite Parcela B" dataDxfId="494" dataCellStyle="Vírgula"/>
    <tableColumn id="15" xr3:uid="{00000000-0010-0000-0000-00000F000000}" name="Contrato Permissão" dataDxfId="493"/>
    <tableColumn id="16" xr3:uid="{00000000-0010-0000-0000-000010000000}" name="Data Contrato" dataDxfId="492"/>
    <tableColumn id="17" xr3:uid="{00000000-0010-0000-0000-000011000000}" name="Próxima Revisão" dataDxfId="491"/>
    <tableColumn id="19" xr3:uid="{00000000-0010-0000-0000-000013000000}" name="Última REH" dataDxfId="490"/>
    <tableColumn id="20" xr3:uid="{00000000-0010-0000-0000-000014000000}" name="Data última REH " dataDxfId="489"/>
    <tableColumn id="21" xr3:uid="{00000000-0010-0000-0000-000015000000}" name="Pd" dataDxfId="488"/>
    <tableColumn id="22" xr3:uid="{00000000-0010-0000-0000-000016000000}" name="T" dataDxfId="487"/>
    <tableColumn id="26" xr3:uid="{00000000-0010-0000-0000-00001A000000}" name="Supridora para calculo da subvenção" dataDxfId="486"/>
    <tableColumn id="24" xr3:uid="{00000000-0010-0000-0000-000018000000}" name="Densidade Cooperativa" dataDxfId="485" dataCellStyle="Vírgula"/>
    <tableColumn id="25" xr3:uid="{00000000-0010-0000-0000-000019000000}" name="Densidade Principal Supridora" dataDxfId="484"/>
    <tableColumn id="27" xr3:uid="{00000000-0010-0000-0000-00001B000000}" name="Subvenção Anual (R$)" dataDxfId="483"/>
    <tableColumn id="28" xr3:uid="{00000000-0010-0000-0000-00001C000000}" name="Data Referência Subvenção" dataDxfId="482"/>
    <tableColumn id="39" xr3:uid="{3093CAC3-54C5-4BCF-9CB8-B8E3D611B57C}" name="Data de aniversarioda supridora" dataDxfId="481"/>
    <tableColumn id="23" xr3:uid="{00000000-0010-0000-0000-000017000000}" name="Geração Própria" dataDxfId="480"/>
    <tableColumn id="29" xr3:uid="{00000000-0010-0000-0000-00001D000000}" name="Data de referência da Geração Própria" dataDxfId="479"/>
    <tableColumn id="18" xr3:uid="{00000000-0010-0000-0000-000012000000}" name="Data da RTE" dataDxfId="478"/>
    <tableColumn id="32" xr3:uid="{00000000-0010-0000-0000-000020000000}" name="Data original" dataDxfId="477"/>
    <tableColumn id="34" xr3:uid="{00000000-0010-0000-0000-000022000000}" name="Regularização" dataDxfId="476"/>
    <tableColumn id="37" xr3:uid="{00000000-0010-0000-0000-000025000000}" name="vigência das tarifas" dataDxfId="475"/>
    <tableColumn id="38" xr3:uid="{00000000-0010-0000-0000-000026000000}" name="TUSD 2019" dataDxfId="474"/>
    <tableColumn id="40" xr3:uid="{00724FE7-7DEC-42A0-9F57-47D4901A2437}" name="CDE Conta covid" dataDxfId="473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2">
  <autoFilter ref="A68:N150" xr:uid="{00000000-0009-0000-0100-00001B000000}">
    <filterColumn colId="0">
      <filters>
        <filter val="Creluz"/>
      </filters>
    </filterColumn>
  </autoFilter>
  <tableColumns count="14">
    <tableColumn id="1" xr3:uid="{00000000-0010-0000-0100-000001000000}" name="Permissionária" dataDxfId="471"/>
    <tableColumn id="2" xr3:uid="{00000000-0010-0000-0100-000002000000}" name="Supridora" dataDxfId="470"/>
    <tableColumn id="11" xr3:uid="{00000000-0010-0000-0100-00000B000000}" name="idsreag supridora" dataDxfId="469"/>
    <tableColumn id="13" xr3:uid="{00000000-0010-0000-0100-00000D000000}" name="codsariSUP" dataDxfId="468"/>
    <tableColumn id="3" xr3:uid="{00000000-0010-0000-0100-000003000000}" name="Classe" dataDxfId="467"/>
    <tableColumn id="12" xr3:uid="{00000000-0010-0000-0100-00000C000000}" name="chave" dataDxfId="466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5" dataCellStyle="Porcentagem"/>
    <tableColumn id="5" xr3:uid="{00000000-0010-0000-0100-000005000000}" name="2016" dataDxfId="464" dataCellStyle="Porcentagem"/>
    <tableColumn id="6" xr3:uid="{00000000-0010-0000-0100-000006000000}" name="2017" dataDxfId="463" dataCellStyle="Porcentagem"/>
    <tableColumn id="7" xr3:uid="{00000000-0010-0000-0100-000007000000}" name="2018" dataDxfId="462"/>
    <tableColumn id="8" xr3:uid="{00000000-0010-0000-0100-000008000000}" name="2019"/>
    <tableColumn id="9" xr3:uid="{00000000-0010-0000-0100-000009000000}" name="2020" dataDxfId="461"/>
    <tableColumn id="10" xr3:uid="{00000000-0010-0000-0100-00000A000000}" name="2021" dataDxfId="460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>
    <filterColumn colId="1">
      <filters>
        <filter val="Creluz"/>
        <filter val="RGE"/>
      </filters>
    </filterColumn>
  </autoFilter>
  <tableColumns count="14">
    <tableColumn id="1" xr3:uid="{00000000-0010-0000-0200-000001000000}" name="Tipo" dataDxfId="459"/>
    <tableColumn id="2" xr3:uid="{00000000-0010-0000-0200-000002000000}" name="Sigla" dataDxfId="458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7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0" totalsRowShown="0" headerRowDxfId="442" dataDxfId="441">
  <autoFilter ref="E43:E100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40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4" dataDxfId="413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10" dataDxfId="409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07" dataDxfId="406" tableBorderDxfId="405" headerRowCellStyle="Normal 54 2" dataCellStyle="Year 2 6">
  <autoFilter ref="BS287:BS294" xr:uid="{00000000-0009-0000-0100-000013000000}"/>
  <tableColumns count="1">
    <tableColumn id="1" xr3:uid="{00000000-0010-0000-0D00-000001000000}" name="Colunas1" dataDxfId="404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3" dataDxfId="401" headerRowBorderDxfId="402" tableBorderDxfId="400" totalsRowBorderDxfId="399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397" dataDxfId="396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IF(BU297=0,0,1)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3" dataDxfId="391" headerRowBorderDxfId="392" tableBorderDxfId="390" totalsRowBorderDxfId="389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884" totalsRowShown="0" headerRowDxfId="383" dataDxfId="382" totalsRowDxfId="381">
  <autoFilter ref="A2:FI884" xr:uid="{00000000-0009-0000-0100-00000D000000}"/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88" totalsRowShown="0">
  <autoFilter ref="A1:Q288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9</v>
      </c>
    </row>
    <row r="2" spans="1:15">
      <c r="A2">
        <v>252</v>
      </c>
      <c r="B2" s="989">
        <v>43922</v>
      </c>
      <c r="C2" s="233"/>
      <c r="D2" s="233"/>
      <c r="E2" s="233"/>
      <c r="F2" s="233"/>
      <c r="G2" s="233"/>
      <c r="H2" s="233"/>
      <c r="I2" s="990"/>
    </row>
    <row r="3" spans="1:15">
      <c r="A3">
        <v>255</v>
      </c>
      <c r="B3" s="989">
        <v>43922</v>
      </c>
      <c r="C3" s="233"/>
      <c r="D3" s="233"/>
      <c r="E3" s="233"/>
      <c r="F3" s="233"/>
      <c r="G3" s="233"/>
      <c r="H3" s="233"/>
      <c r="I3" s="990"/>
    </row>
    <row r="4" spans="1:15">
      <c r="A4">
        <v>206</v>
      </c>
      <c r="B4" s="989">
        <v>43922</v>
      </c>
      <c r="C4" s="233"/>
      <c r="D4" s="233"/>
      <c r="E4" s="233"/>
      <c r="F4" s="233"/>
      <c r="G4" s="233"/>
      <c r="H4" s="233"/>
      <c r="I4" s="990"/>
    </row>
    <row r="5" spans="1:15">
      <c r="A5">
        <v>256</v>
      </c>
      <c r="B5" s="989">
        <v>43922</v>
      </c>
      <c r="C5" s="233"/>
      <c r="D5" s="233"/>
      <c r="E5" s="233"/>
      <c r="F5" s="233"/>
      <c r="G5" s="233"/>
      <c r="H5" s="233"/>
      <c r="I5" s="990"/>
      <c r="J5" s="233">
        <v>4154376.2782662762</v>
      </c>
    </row>
    <row r="6" spans="1:15">
      <c r="A6">
        <v>203</v>
      </c>
      <c r="B6" s="989">
        <v>43952</v>
      </c>
      <c r="C6" s="233"/>
      <c r="D6" s="233"/>
      <c r="E6" s="233"/>
      <c r="F6" s="233"/>
      <c r="G6" s="233"/>
      <c r="H6" s="233"/>
      <c r="I6" s="990"/>
      <c r="J6" s="233"/>
    </row>
    <row r="7" spans="1:15">
      <c r="A7">
        <v>211</v>
      </c>
      <c r="B7" s="989">
        <v>43952</v>
      </c>
      <c r="C7" s="233"/>
      <c r="D7" s="233"/>
      <c r="E7" s="233"/>
      <c r="F7" s="233"/>
      <c r="G7" s="233"/>
      <c r="H7" s="233"/>
      <c r="I7" s="990"/>
      <c r="J7" s="233">
        <v>18046086.986190885</v>
      </c>
      <c r="N7" s="233"/>
      <c r="O7" s="990"/>
    </row>
    <row r="8" spans="1:15">
      <c r="A8">
        <v>254</v>
      </c>
      <c r="B8" s="989">
        <v>43952</v>
      </c>
      <c r="C8" s="233"/>
      <c r="D8" s="233"/>
      <c r="E8" s="233"/>
      <c r="F8" s="233"/>
      <c r="G8" s="233"/>
      <c r="H8" s="233"/>
      <c r="I8" s="990"/>
      <c r="N8" s="233"/>
      <c r="O8" s="990"/>
    </row>
    <row r="9" spans="1:15">
      <c r="A9">
        <v>210</v>
      </c>
      <c r="B9" s="989">
        <v>43952</v>
      </c>
      <c r="C9" s="233"/>
      <c r="D9" s="233"/>
      <c r="E9" s="233"/>
      <c r="F9" s="233"/>
      <c r="G9" s="233"/>
      <c r="H9" s="233"/>
      <c r="I9" s="990"/>
      <c r="N9" s="233"/>
      <c r="O9" s="990"/>
    </row>
    <row r="10" spans="1:15">
      <c r="A10">
        <v>258</v>
      </c>
      <c r="B10" s="989">
        <v>44013</v>
      </c>
      <c r="C10" s="233"/>
      <c r="D10" s="233"/>
      <c r="E10" s="233"/>
      <c r="F10" s="233"/>
      <c r="G10" s="233"/>
      <c r="H10" s="233"/>
      <c r="I10" s="990"/>
    </row>
    <row r="11" spans="1:15">
      <c r="A11">
        <v>247</v>
      </c>
      <c r="B11" s="989">
        <v>44013</v>
      </c>
      <c r="C11" s="233"/>
      <c r="D11" s="233"/>
      <c r="E11" s="233"/>
      <c r="F11" s="233"/>
      <c r="G11" s="233"/>
      <c r="H11" s="233"/>
      <c r="I11" s="990"/>
    </row>
    <row r="12" spans="1:15">
      <c r="A12">
        <v>248</v>
      </c>
      <c r="B12" s="989">
        <v>44013</v>
      </c>
      <c r="C12" s="233"/>
      <c r="D12" s="233"/>
      <c r="E12" s="233"/>
      <c r="F12" s="233"/>
      <c r="G12" s="233"/>
      <c r="H12" s="233"/>
      <c r="I12" s="991"/>
    </row>
    <row r="13" spans="1:15">
      <c r="A13">
        <v>209</v>
      </c>
      <c r="B13" s="989">
        <v>44013</v>
      </c>
      <c r="C13" s="233"/>
      <c r="D13" s="233"/>
      <c r="E13" s="233"/>
      <c r="F13" s="233"/>
      <c r="G13" s="233"/>
      <c r="H13" s="233"/>
      <c r="I13" s="990"/>
    </row>
    <row r="14" spans="1:15">
      <c r="A14">
        <v>207</v>
      </c>
      <c r="B14" s="989">
        <v>44013</v>
      </c>
      <c r="C14" s="233"/>
      <c r="D14" s="233"/>
      <c r="E14" s="233"/>
      <c r="F14" s="233"/>
      <c r="G14" s="233"/>
      <c r="H14" s="233"/>
      <c r="I14" s="990"/>
    </row>
    <row r="15" spans="1:15">
      <c r="A15">
        <v>249</v>
      </c>
      <c r="B15" s="989">
        <v>44013</v>
      </c>
      <c r="C15" s="233"/>
      <c r="D15" s="233"/>
      <c r="E15" s="233"/>
      <c r="F15" s="233"/>
      <c r="G15" s="233"/>
      <c r="H15" s="233"/>
      <c r="I15" s="990"/>
    </row>
    <row r="16" spans="1:15">
      <c r="A16">
        <v>237</v>
      </c>
      <c r="B16" s="989">
        <v>44013</v>
      </c>
      <c r="C16" s="233"/>
      <c r="D16" s="233"/>
      <c r="E16" s="233"/>
      <c r="F16" s="233"/>
      <c r="G16" s="233"/>
      <c r="H16" s="233"/>
      <c r="I16" s="991"/>
    </row>
    <row r="17" spans="1:10">
      <c r="A17">
        <v>246</v>
      </c>
      <c r="B17" s="989">
        <v>44013</v>
      </c>
      <c r="C17" s="233"/>
      <c r="D17" s="233"/>
      <c r="E17" s="233"/>
      <c r="F17" s="233"/>
      <c r="G17" s="233"/>
      <c r="H17" s="233"/>
      <c r="I17" s="990"/>
    </row>
    <row r="18" spans="1:10">
      <c r="A18">
        <v>238</v>
      </c>
      <c r="B18" s="989">
        <v>44013</v>
      </c>
      <c r="C18" s="233"/>
      <c r="D18" s="233"/>
      <c r="E18" s="233"/>
      <c r="F18" s="233"/>
      <c r="G18" s="233"/>
      <c r="H18" s="233"/>
      <c r="I18" s="990"/>
    </row>
    <row r="19" spans="1:10">
      <c r="A19">
        <v>240</v>
      </c>
      <c r="B19" s="989">
        <v>44013</v>
      </c>
      <c r="C19" s="233"/>
      <c r="D19" s="233"/>
      <c r="E19" s="233"/>
      <c r="F19" s="233"/>
      <c r="G19" s="233"/>
      <c r="H19" s="233"/>
      <c r="I19" s="990"/>
      <c r="J19" s="233">
        <v>81721407.839354143</v>
      </c>
    </row>
    <row r="20" spans="1:10">
      <c r="A20">
        <v>242</v>
      </c>
      <c r="B20" s="989">
        <v>44013</v>
      </c>
      <c r="C20" s="233"/>
      <c r="D20" s="233"/>
      <c r="E20" s="233"/>
      <c r="F20" s="233"/>
      <c r="G20" s="233"/>
      <c r="H20" s="233"/>
      <c r="I20" s="990"/>
    </row>
    <row r="21" spans="1:10">
      <c r="A21">
        <v>245</v>
      </c>
      <c r="B21" s="989">
        <v>44013</v>
      </c>
      <c r="C21" s="233"/>
      <c r="D21" s="233"/>
      <c r="E21" s="233"/>
      <c r="F21" s="233"/>
      <c r="G21" s="233"/>
      <c r="H21" s="233"/>
      <c r="I21" s="990"/>
    </row>
    <row r="22" spans="1:10">
      <c r="A22">
        <v>257</v>
      </c>
      <c r="B22" s="989">
        <v>44013</v>
      </c>
      <c r="C22" s="233"/>
      <c r="D22" s="233"/>
      <c r="E22" s="233"/>
      <c r="F22" s="233"/>
      <c r="G22" s="233"/>
      <c r="H22" s="233"/>
      <c r="I22" s="990"/>
    </row>
    <row r="23" spans="1:10">
      <c r="A23">
        <v>239</v>
      </c>
      <c r="B23" s="989">
        <v>44013</v>
      </c>
      <c r="C23" s="233"/>
      <c r="D23" s="233"/>
      <c r="E23" s="233"/>
      <c r="F23" s="233"/>
      <c r="G23" s="233"/>
      <c r="H23" s="233"/>
      <c r="I23" s="990"/>
    </row>
    <row r="24" spans="1:10">
      <c r="A24">
        <v>232</v>
      </c>
      <c r="B24" s="989">
        <v>44075</v>
      </c>
      <c r="C24" s="233"/>
      <c r="D24" s="233"/>
      <c r="E24" s="233"/>
      <c r="F24" s="233"/>
      <c r="G24" s="233"/>
      <c r="H24" s="233"/>
      <c r="I24" s="990"/>
    </row>
    <row r="25" spans="1:10">
      <c r="A25">
        <v>222</v>
      </c>
      <c r="B25" s="989">
        <v>44075</v>
      </c>
      <c r="C25" s="233"/>
      <c r="D25" s="233"/>
      <c r="E25" s="233"/>
      <c r="F25" s="233"/>
      <c r="G25" s="233"/>
      <c r="H25" s="233"/>
      <c r="I25" s="990"/>
    </row>
    <row r="26" spans="1:10">
      <c r="A26">
        <v>202</v>
      </c>
      <c r="B26" s="989">
        <v>44075</v>
      </c>
      <c r="C26" s="233"/>
      <c r="D26" s="233"/>
      <c r="E26" s="233"/>
      <c r="F26" s="233"/>
      <c r="G26" s="233"/>
      <c r="H26" s="233"/>
      <c r="I26" s="990"/>
    </row>
    <row r="27" spans="1:10">
      <c r="A27">
        <v>260</v>
      </c>
      <c r="B27" s="989">
        <v>44075</v>
      </c>
      <c r="C27" s="233"/>
      <c r="D27" s="233"/>
      <c r="E27" s="233"/>
      <c r="F27" s="233"/>
      <c r="G27" s="233"/>
      <c r="H27" s="233"/>
      <c r="I27" s="990"/>
    </row>
    <row r="28" spans="1:10">
      <c r="A28">
        <v>230</v>
      </c>
      <c r="B28" s="989">
        <v>44075</v>
      </c>
      <c r="C28" s="233"/>
      <c r="D28" s="233"/>
      <c r="E28" s="233"/>
      <c r="F28" s="233"/>
      <c r="G28" s="233"/>
      <c r="H28" s="233"/>
      <c r="I28" s="990"/>
    </row>
    <row r="29" spans="1:10">
      <c r="A29">
        <v>221</v>
      </c>
      <c r="B29" s="989">
        <v>44075</v>
      </c>
      <c r="C29" s="233"/>
      <c r="D29" s="233"/>
      <c r="E29" s="233"/>
      <c r="F29" s="233"/>
      <c r="G29" s="233"/>
      <c r="H29" s="233"/>
      <c r="I29" s="990"/>
    </row>
    <row r="30" spans="1:10">
      <c r="A30">
        <v>218</v>
      </c>
      <c r="B30" s="989">
        <v>44075</v>
      </c>
      <c r="C30" s="233"/>
      <c r="D30" s="233"/>
      <c r="E30" s="233"/>
      <c r="F30" s="233"/>
      <c r="G30" s="233"/>
      <c r="H30" s="233"/>
      <c r="I30" s="990"/>
    </row>
    <row r="31" spans="1:10">
      <c r="A31">
        <v>261</v>
      </c>
      <c r="B31" s="989">
        <v>44075</v>
      </c>
      <c r="C31" s="233"/>
      <c r="D31" s="233"/>
      <c r="E31" s="233"/>
      <c r="F31" s="233"/>
      <c r="G31" s="233"/>
      <c r="H31" s="233"/>
      <c r="I31" s="990"/>
    </row>
    <row r="32" spans="1:10">
      <c r="A32">
        <v>262</v>
      </c>
      <c r="B32" s="989">
        <v>44075</v>
      </c>
      <c r="C32" s="233"/>
      <c r="D32" s="233"/>
      <c r="E32" s="233"/>
      <c r="F32" s="233"/>
      <c r="G32" s="233"/>
      <c r="H32" s="233"/>
      <c r="I32" s="990"/>
    </row>
    <row r="33" spans="1:9">
      <c r="A33">
        <v>227</v>
      </c>
      <c r="B33" s="989">
        <v>44075</v>
      </c>
      <c r="C33" s="233"/>
      <c r="D33" s="233"/>
      <c r="E33" s="233"/>
      <c r="F33" s="233"/>
      <c r="G33" s="233"/>
      <c r="H33" s="233"/>
      <c r="I33" s="990"/>
    </row>
    <row r="34" spans="1:9">
      <c r="A34">
        <v>231</v>
      </c>
      <c r="B34" s="989">
        <v>44075</v>
      </c>
      <c r="C34" s="233"/>
      <c r="D34" s="233"/>
      <c r="E34" s="233"/>
      <c r="F34" s="233"/>
      <c r="G34" s="233"/>
      <c r="H34" s="233"/>
      <c r="I34" s="990"/>
    </row>
    <row r="35" spans="1:9">
      <c r="A35">
        <v>216</v>
      </c>
      <c r="B35" s="989">
        <v>44075</v>
      </c>
      <c r="C35" s="233"/>
      <c r="D35" s="233"/>
      <c r="E35" s="233"/>
      <c r="F35" s="233"/>
      <c r="G35" s="233"/>
      <c r="H35" s="233"/>
      <c r="I35" s="990"/>
    </row>
    <row r="36" spans="1:9">
      <c r="A36">
        <v>229</v>
      </c>
      <c r="B36" s="989">
        <v>44075</v>
      </c>
      <c r="C36" s="233"/>
      <c r="D36" s="233"/>
      <c r="E36" s="233"/>
      <c r="F36" s="233"/>
      <c r="G36" s="233"/>
      <c r="H36" s="233"/>
      <c r="I36" s="990"/>
    </row>
    <row r="37" spans="1:9">
      <c r="A37">
        <v>215</v>
      </c>
      <c r="B37" s="989">
        <v>44075</v>
      </c>
      <c r="C37" s="233"/>
      <c r="D37" s="233"/>
      <c r="E37" s="233"/>
      <c r="F37" s="233"/>
      <c r="G37" s="233"/>
      <c r="H37" s="233"/>
      <c r="I37" s="990"/>
    </row>
    <row r="38" spans="1:9">
      <c r="A38">
        <v>224</v>
      </c>
      <c r="B38" s="989">
        <v>44075</v>
      </c>
      <c r="C38" s="233"/>
      <c r="D38" s="233"/>
      <c r="E38" s="233"/>
      <c r="F38" s="233"/>
      <c r="G38" s="233"/>
      <c r="H38" s="233"/>
      <c r="I38" s="990"/>
    </row>
    <row r="39" spans="1:9">
      <c r="A39">
        <v>226</v>
      </c>
      <c r="B39" s="989">
        <v>44075</v>
      </c>
      <c r="C39" s="233"/>
      <c r="D39" s="233"/>
      <c r="E39" s="233"/>
      <c r="F39" s="233"/>
      <c r="G39" s="233"/>
      <c r="H39" s="233"/>
      <c r="I39" s="990"/>
    </row>
    <row r="40" spans="1:9">
      <c r="A40">
        <v>234</v>
      </c>
      <c r="B40" s="989">
        <v>44075</v>
      </c>
      <c r="C40" s="233"/>
      <c r="D40" s="233"/>
      <c r="E40" s="233"/>
      <c r="F40" s="233"/>
      <c r="G40" s="233"/>
      <c r="H40" s="233"/>
      <c r="I40" s="990"/>
    </row>
    <row r="41" spans="1:9">
      <c r="A41">
        <v>223</v>
      </c>
      <c r="B41" s="989">
        <v>44075</v>
      </c>
      <c r="C41" s="233"/>
      <c r="D41" s="233"/>
      <c r="E41" s="233"/>
      <c r="F41" s="233"/>
      <c r="G41" s="233"/>
      <c r="H41" s="233"/>
      <c r="I41" s="990"/>
    </row>
    <row r="42" spans="1:9">
      <c r="A42">
        <v>225</v>
      </c>
      <c r="B42" s="989">
        <v>44075</v>
      </c>
      <c r="C42" s="233"/>
      <c r="D42" s="233"/>
      <c r="E42" s="233"/>
      <c r="F42" s="233"/>
      <c r="G42" s="233"/>
      <c r="H42" s="233"/>
      <c r="I42" s="990"/>
    </row>
    <row r="43" spans="1:9">
      <c r="A43">
        <v>228</v>
      </c>
      <c r="B43" s="989">
        <v>44075</v>
      </c>
      <c r="C43" s="233"/>
      <c r="D43" s="233"/>
      <c r="E43" s="233"/>
      <c r="F43" s="233"/>
      <c r="G43" s="233"/>
      <c r="H43" s="233"/>
      <c r="I43" s="990"/>
    </row>
    <row r="44" spans="1:9">
      <c r="A44">
        <v>220</v>
      </c>
      <c r="B44" s="989">
        <v>44075</v>
      </c>
      <c r="C44" s="233"/>
      <c r="D44" s="233"/>
      <c r="E44" s="233"/>
      <c r="F44" s="233"/>
      <c r="G44" s="233"/>
      <c r="H44" s="233"/>
      <c r="I44" s="990"/>
    </row>
    <row r="45" spans="1:9">
      <c r="A45">
        <v>201</v>
      </c>
      <c r="B45" s="989">
        <v>44136</v>
      </c>
      <c r="C45" s="233"/>
      <c r="D45" s="233"/>
      <c r="E45" s="233"/>
      <c r="F45" s="233"/>
      <c r="G45" s="233"/>
      <c r="H45" s="233"/>
      <c r="I45" s="990"/>
    </row>
    <row r="46" spans="1:9">
      <c r="A46">
        <v>213</v>
      </c>
      <c r="B46" s="989">
        <v>44136</v>
      </c>
      <c r="C46" s="233"/>
      <c r="D46" s="233"/>
      <c r="E46" s="233"/>
      <c r="F46" s="233"/>
      <c r="G46" s="233"/>
      <c r="H46" s="233"/>
      <c r="I46" s="990"/>
    </row>
    <row r="47" spans="1:9">
      <c r="A47">
        <v>219</v>
      </c>
      <c r="B47" s="989">
        <v>44136</v>
      </c>
      <c r="C47" s="233"/>
      <c r="D47" s="233"/>
      <c r="E47" s="233"/>
      <c r="F47" s="233"/>
      <c r="G47" s="233"/>
      <c r="H47" s="233"/>
      <c r="I47" s="990"/>
    </row>
    <row r="48" spans="1:9">
      <c r="A48">
        <v>205</v>
      </c>
      <c r="B48" s="989">
        <v>44136</v>
      </c>
      <c r="C48" s="233"/>
      <c r="D48" s="233"/>
      <c r="E48" s="233"/>
      <c r="F48" s="233"/>
      <c r="G48" s="233"/>
      <c r="H48" s="233"/>
      <c r="I48" s="990"/>
    </row>
    <row r="49" spans="1:10">
      <c r="A49">
        <v>208</v>
      </c>
      <c r="B49" s="989">
        <v>44136</v>
      </c>
      <c r="C49" s="233"/>
      <c r="D49" s="233"/>
      <c r="E49" s="233"/>
      <c r="F49" s="233"/>
      <c r="G49" s="233"/>
      <c r="H49" s="233"/>
      <c r="I49" s="990"/>
    </row>
    <row r="50" spans="1:10">
      <c r="A50">
        <v>263</v>
      </c>
      <c r="B50" s="989">
        <v>44166</v>
      </c>
      <c r="C50" s="233"/>
      <c r="D50" s="233"/>
      <c r="F50" s="233"/>
      <c r="G50" s="233"/>
      <c r="H50" s="233"/>
      <c r="I50" s="990"/>
      <c r="J50" s="233">
        <v>5389974.3136365721</v>
      </c>
    </row>
    <row r="51" spans="1:10">
      <c r="A51">
        <v>217</v>
      </c>
      <c r="B51" s="989">
        <v>44166</v>
      </c>
      <c r="C51" s="233"/>
      <c r="D51" s="233"/>
      <c r="E51" s="233"/>
      <c r="F51" s="233"/>
      <c r="G51" s="233"/>
      <c r="H51" s="233"/>
      <c r="I51" s="990"/>
      <c r="J51" s="233"/>
    </row>
    <row r="52" spans="1:10">
      <c r="A52">
        <v>264</v>
      </c>
      <c r="B52" s="989">
        <v>44166</v>
      </c>
      <c r="C52" s="233"/>
      <c r="D52" s="233"/>
      <c r="F52" s="233"/>
      <c r="G52" s="233"/>
      <c r="H52" s="233"/>
      <c r="I52" s="990"/>
      <c r="J52" s="233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zoomScale="106" zoomScaleNormal="106" workbookViewId="0">
      <selection activeCell="F5" sqref="F5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1:43" ht="24.75" customHeight="1">
      <c r="B1" s="1014" t="s">
        <v>10</v>
      </c>
      <c r="C1" s="1015"/>
      <c r="D1" s="1015"/>
      <c r="E1" s="1016" t="s">
        <v>11</v>
      </c>
      <c r="F1" s="1017">
        <f ca="1">LnkTXTIRTEco</f>
        <v>0.16800000000000001</v>
      </c>
    </row>
    <row r="2" spans="1:43" ht="28.5" customHeight="1">
      <c r="B2" s="138" t="str">
        <f>CAPA!C9</f>
        <v>Creluz</v>
      </c>
      <c r="C2" s="70"/>
      <c r="D2" s="70"/>
      <c r="E2" s="84" t="s">
        <v>12</v>
      </c>
      <c r="F2" s="85">
        <f ca="1">LnkTXTIRTTotal</f>
        <v>-5.8700000000000002E-2</v>
      </c>
      <c r="M2" s="86"/>
      <c r="N2" s="87"/>
      <c r="AA2" s="889"/>
      <c r="AB2" s="988"/>
      <c r="AC2" s="889"/>
      <c r="AD2" s="889"/>
    </row>
    <row r="3" spans="1:43" ht="21" customHeight="1">
      <c r="B3" s="1018" t="s">
        <v>13</v>
      </c>
      <c r="C3" s="815"/>
      <c r="I3" s="1018" t="s">
        <v>14</v>
      </c>
    </row>
    <row r="4" spans="1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43" ht="16.5" customHeight="1">
      <c r="B5" s="1019" t="s">
        <v>15</v>
      </c>
      <c r="C5" s="1020">
        <v>113678.54399999999</v>
      </c>
      <c r="D5" s="1754" t="s">
        <v>16</v>
      </c>
      <c r="E5" s="91"/>
      <c r="F5" s="72"/>
      <c r="G5" s="72"/>
      <c r="H5" s="72" t="s">
        <v>17</v>
      </c>
      <c r="I5" s="491" t="s">
        <v>18</v>
      </c>
      <c r="J5" s="491" t="s">
        <v>19</v>
      </c>
      <c r="K5" s="491"/>
      <c r="L5" s="491" t="s">
        <v>20</v>
      </c>
      <c r="M5" s="491" t="s">
        <v>21</v>
      </c>
      <c r="N5" s="491" t="s">
        <v>22</v>
      </c>
      <c r="O5" s="491"/>
      <c r="P5" s="491"/>
      <c r="Q5" s="491" t="s">
        <v>23</v>
      </c>
      <c r="R5" s="491" t="s">
        <v>24</v>
      </c>
      <c r="S5" s="814" t="s">
        <v>25</v>
      </c>
      <c r="T5" s="491" t="s">
        <v>26</v>
      </c>
      <c r="U5" s="71" t="s">
        <v>27</v>
      </c>
      <c r="V5" s="814" t="s">
        <v>28</v>
      </c>
      <c r="AA5" s="68" t="s">
        <v>29</v>
      </c>
      <c r="AB5" s="68" t="s">
        <v>30</v>
      </c>
      <c r="AC5" s="68" t="s">
        <v>18</v>
      </c>
      <c r="AD5" s="889" t="s">
        <v>31</v>
      </c>
      <c r="AE5" s="889" t="s">
        <v>32</v>
      </c>
      <c r="AI5" s="953" t="s">
        <v>33</v>
      </c>
      <c r="AJ5" s="953" t="s">
        <v>34</v>
      </c>
      <c r="AL5" s="969" t="s">
        <v>35</v>
      </c>
      <c r="AM5" s="969" t="s">
        <v>36</v>
      </c>
      <c r="AO5" s="889" t="s">
        <v>37</v>
      </c>
      <c r="AP5" s="889" t="s">
        <v>36</v>
      </c>
      <c r="AQ5" s="889" t="s">
        <v>38</v>
      </c>
    </row>
    <row r="6" spans="1:43" ht="16.5">
      <c r="B6" s="94"/>
      <c r="C6" s="89"/>
      <c r="D6" s="1755"/>
      <c r="E6" s="91"/>
      <c r="F6" s="72"/>
      <c r="G6" s="72"/>
      <c r="H6" s="68" t="str">
        <f>CONCATENATE(W6,J6,L6,O6)</f>
        <v>396A4Não se aplicaEnergia</v>
      </c>
      <c r="I6" s="1021">
        <v>2022</v>
      </c>
      <c r="J6" s="1022" t="s">
        <v>650</v>
      </c>
      <c r="K6" s="1022" t="s">
        <v>881</v>
      </c>
      <c r="L6" s="1022" t="s">
        <v>97</v>
      </c>
      <c r="M6" s="1022" t="s">
        <v>1922</v>
      </c>
      <c r="N6" s="1022">
        <v>598</v>
      </c>
      <c r="O6" s="1022" t="s">
        <v>160</v>
      </c>
      <c r="P6" s="1022" t="s">
        <v>882</v>
      </c>
      <c r="Q6" s="1023">
        <v>44734</v>
      </c>
      <c r="R6" s="1023">
        <v>44732</v>
      </c>
      <c r="S6" s="516" t="s">
        <v>2288</v>
      </c>
      <c r="T6" s="1023" t="s">
        <v>2289</v>
      </c>
      <c r="U6" s="1022">
        <v>11.36</v>
      </c>
      <c r="V6" s="1022">
        <v>167</v>
      </c>
      <c r="W6" s="68">
        <f>VLOOKUP(V6,DescontosTE[[#All],[idsreag supridora]:[codsariSUP]],2,FALSE)</f>
        <v>396</v>
      </c>
      <c r="AA6" s="890" t="s">
        <v>1295</v>
      </c>
      <c r="AB6" s="891">
        <v>2.7684875700538123E-4</v>
      </c>
      <c r="AC6" s="890">
        <v>2022</v>
      </c>
      <c r="AD6" s="890">
        <v>349.15</v>
      </c>
      <c r="AE6" s="890">
        <v>3703.7152314003015</v>
      </c>
      <c r="AI6" s="967"/>
      <c r="AJ6" s="968"/>
      <c r="AL6" s="970" t="s">
        <v>2297</v>
      </c>
      <c r="AM6" s="971">
        <v>0</v>
      </c>
      <c r="AO6" s="1551" t="s">
        <v>39</v>
      </c>
      <c r="AP6" s="1552">
        <v>-196790.32</v>
      </c>
      <c r="AQ6" s="1552"/>
    </row>
    <row r="7" spans="1:43" ht="16.5">
      <c r="B7" s="1024" t="s">
        <v>40</v>
      </c>
      <c r="C7" s="1025">
        <v>0</v>
      </c>
      <c r="D7" s="1755"/>
      <c r="E7" s="72"/>
      <c r="F7" s="72"/>
      <c r="G7" s="72"/>
      <c r="H7" s="68" t="str">
        <f t="shared" ref="H7:H30" si="0">CONCATENATE(W7,J7,L7,O7)</f>
        <v>396A4Fora pontaPotência</v>
      </c>
      <c r="I7" s="514">
        <v>2022</v>
      </c>
      <c r="J7" s="515" t="s">
        <v>650</v>
      </c>
      <c r="K7" s="515" t="s">
        <v>881</v>
      </c>
      <c r="L7" s="515" t="s">
        <v>2290</v>
      </c>
      <c r="M7" s="515" t="s">
        <v>1922</v>
      </c>
      <c r="N7" s="515">
        <v>598</v>
      </c>
      <c r="O7" s="515" t="s">
        <v>1388</v>
      </c>
      <c r="P7" s="515" t="s">
        <v>882</v>
      </c>
      <c r="Q7" s="516">
        <v>44734</v>
      </c>
      <c r="R7" s="516">
        <v>44732</v>
      </c>
      <c r="S7" s="516" t="s">
        <v>2288</v>
      </c>
      <c r="T7" s="516" t="s">
        <v>2289</v>
      </c>
      <c r="U7" s="515">
        <v>19.98</v>
      </c>
      <c r="V7" s="515">
        <v>167</v>
      </c>
      <c r="W7" s="68">
        <f>VLOOKUP(V7,DescontosTE[[#All],[idsreag supridora]:[codsariSUP]],2,FALSE)</f>
        <v>396</v>
      </c>
      <c r="AA7" s="890"/>
      <c r="AB7" s="891"/>
      <c r="AC7" s="890"/>
      <c r="AD7" s="890"/>
      <c r="AE7" s="890"/>
      <c r="AI7" s="967"/>
      <c r="AJ7" s="968"/>
      <c r="AL7" s="970" t="s">
        <v>2298</v>
      </c>
      <c r="AM7" s="971">
        <v>0</v>
      </c>
      <c r="AO7" s="1551" t="s">
        <v>41</v>
      </c>
      <c r="AP7" s="1552">
        <v>-697993.13</v>
      </c>
      <c r="AQ7" s="1552"/>
    </row>
    <row r="8" spans="1:43" ht="16.5">
      <c r="B8" s="94" t="s">
        <v>42</v>
      </c>
      <c r="C8" s="120">
        <v>0</v>
      </c>
      <c r="D8" s="1755"/>
      <c r="E8" s="72"/>
      <c r="F8" s="72"/>
      <c r="G8" s="72"/>
      <c r="H8" s="68" t="str">
        <f t="shared" si="0"/>
        <v>396A2Não se aplicaEnergia</v>
      </c>
      <c r="I8" s="514">
        <v>2022</v>
      </c>
      <c r="J8" s="515" t="s">
        <v>655</v>
      </c>
      <c r="K8" s="515" t="s">
        <v>881</v>
      </c>
      <c r="L8" s="515" t="s">
        <v>97</v>
      </c>
      <c r="M8" s="515" t="s">
        <v>1922</v>
      </c>
      <c r="N8" s="515">
        <v>598</v>
      </c>
      <c r="O8" s="515" t="s">
        <v>160</v>
      </c>
      <c r="P8" s="515" t="s">
        <v>882</v>
      </c>
      <c r="Q8" s="516">
        <v>44734</v>
      </c>
      <c r="R8" s="516">
        <v>44732</v>
      </c>
      <c r="S8" s="516" t="s">
        <v>2288</v>
      </c>
      <c r="T8" s="516" t="s">
        <v>2289</v>
      </c>
      <c r="U8" s="515">
        <v>3.86</v>
      </c>
      <c r="V8" s="515">
        <v>167</v>
      </c>
      <c r="W8" s="68">
        <f>VLOOKUP(V8,DescontosTE[[#All],[idsreag supridora]:[codsariSUP]],2,FALSE)</f>
        <v>396</v>
      </c>
      <c r="AI8" s="967"/>
      <c r="AJ8" s="968"/>
      <c r="AL8" s="970" t="s">
        <v>2299</v>
      </c>
      <c r="AM8" s="971">
        <v>0</v>
      </c>
      <c r="AO8" s="1551" t="s">
        <v>43</v>
      </c>
      <c r="AP8" s="1552">
        <v>0</v>
      </c>
      <c r="AQ8" s="1552"/>
    </row>
    <row r="9" spans="1:43" ht="16.5">
      <c r="A9" s="1676"/>
      <c r="B9" s="94" t="s">
        <v>44</v>
      </c>
      <c r="C9" s="120">
        <v>203539.88646929699</v>
      </c>
      <c r="D9" s="1755"/>
      <c r="E9" s="72"/>
      <c r="F9" s="72"/>
      <c r="G9" s="72"/>
      <c r="H9" s="68" t="str">
        <f t="shared" si="0"/>
        <v>396A2PontaPotência</v>
      </c>
      <c r="I9" s="514">
        <v>2022</v>
      </c>
      <c r="J9" s="515" t="s">
        <v>655</v>
      </c>
      <c r="K9" s="515" t="s">
        <v>881</v>
      </c>
      <c r="L9" s="515" t="s">
        <v>1025</v>
      </c>
      <c r="M9" s="515" t="s">
        <v>1922</v>
      </c>
      <c r="N9" s="515">
        <v>598</v>
      </c>
      <c r="O9" s="515" t="s">
        <v>1388</v>
      </c>
      <c r="P9" s="515" t="s">
        <v>882</v>
      </c>
      <c r="Q9" s="516">
        <v>44734</v>
      </c>
      <c r="R9" s="516">
        <v>44732</v>
      </c>
      <c r="S9" s="516" t="s">
        <v>2288</v>
      </c>
      <c r="T9" s="516" t="s">
        <v>2289</v>
      </c>
      <c r="U9" s="515">
        <v>12.37</v>
      </c>
      <c r="V9" s="515">
        <v>167</v>
      </c>
      <c r="W9" s="68">
        <f>VLOOKUP(V9,DescontosTE[[#All],[idsreag supridora]:[codsariSUP]],2,FALSE)</f>
        <v>396</v>
      </c>
      <c r="AI9" s="967"/>
      <c r="AJ9" s="968"/>
      <c r="AL9" s="970" t="s">
        <v>2300</v>
      </c>
      <c r="AM9" s="971"/>
      <c r="AO9" s="1551"/>
      <c r="AP9" s="1552"/>
      <c r="AQ9" s="1552" t="s">
        <v>45</v>
      </c>
    </row>
    <row r="10" spans="1:43" ht="16.5">
      <c r="A10" s="863"/>
      <c r="B10" s="94" t="s">
        <v>46</v>
      </c>
      <c r="C10" s="120">
        <v>6566019.7076599896</v>
      </c>
      <c r="D10" s="1755"/>
      <c r="E10" s="72"/>
      <c r="H10" s="68" t="str">
        <f t="shared" si="0"/>
        <v>396A2Fora pontaPotência</v>
      </c>
      <c r="I10" s="514">
        <v>2022</v>
      </c>
      <c r="J10" s="515" t="s">
        <v>655</v>
      </c>
      <c r="K10" s="515" t="s">
        <v>881</v>
      </c>
      <c r="L10" s="515" t="s">
        <v>2290</v>
      </c>
      <c r="M10" s="515" t="s">
        <v>1922</v>
      </c>
      <c r="N10" s="515">
        <v>598</v>
      </c>
      <c r="O10" s="515" t="s">
        <v>1388</v>
      </c>
      <c r="P10" s="515" t="s">
        <v>882</v>
      </c>
      <c r="Q10" s="516">
        <v>44734</v>
      </c>
      <c r="R10" s="516">
        <v>44732</v>
      </c>
      <c r="S10" s="516" t="s">
        <v>2288</v>
      </c>
      <c r="T10" s="516" t="s">
        <v>2289</v>
      </c>
      <c r="U10" s="515">
        <v>12.22</v>
      </c>
      <c r="V10" s="515">
        <v>167</v>
      </c>
      <c r="W10" s="68">
        <f>VLOOKUP(V10,DescontosTE[[#All],[idsreag supridora]:[codsariSUP]],2,FALSE)</f>
        <v>396</v>
      </c>
      <c r="AA10" s="68" t="s">
        <v>47</v>
      </c>
      <c r="AB10" s="68" t="s">
        <v>48</v>
      </c>
      <c r="AC10" s="68" t="s">
        <v>49</v>
      </c>
      <c r="AD10" s="895" t="s">
        <v>50</v>
      </c>
      <c r="AI10" s="967"/>
      <c r="AJ10" s="968"/>
      <c r="AL10" s="970" t="s">
        <v>2301</v>
      </c>
      <c r="AM10" s="971">
        <v>0</v>
      </c>
    </row>
    <row r="11" spans="1:43" ht="16.5">
      <c r="A11" s="1676"/>
      <c r="B11" s="94" t="s">
        <v>51</v>
      </c>
      <c r="C11" s="120">
        <v>573456.61083333299</v>
      </c>
      <c r="D11" s="1755"/>
      <c r="H11" s="68" t="str">
        <f t="shared" si="0"/>
        <v>396A4PontaPotência</v>
      </c>
      <c r="I11" s="514">
        <v>2022</v>
      </c>
      <c r="J11" s="515" t="s">
        <v>650</v>
      </c>
      <c r="K11" s="515" t="s">
        <v>881</v>
      </c>
      <c r="L11" s="515" t="s">
        <v>1025</v>
      </c>
      <c r="M11" s="515" t="s">
        <v>1922</v>
      </c>
      <c r="N11" s="515">
        <v>598</v>
      </c>
      <c r="O11" s="515" t="s">
        <v>1388</v>
      </c>
      <c r="P11" s="515" t="s">
        <v>882</v>
      </c>
      <c r="Q11" s="516">
        <v>44734</v>
      </c>
      <c r="R11" s="516">
        <v>44732</v>
      </c>
      <c r="S11" s="516" t="s">
        <v>2288</v>
      </c>
      <c r="T11" s="516" t="s">
        <v>2289</v>
      </c>
      <c r="U11" s="515">
        <v>26.9</v>
      </c>
      <c r="V11" s="515">
        <v>167</v>
      </c>
      <c r="W11" s="68">
        <f>VLOOKUP(V11,DescontosTE[[#All],[idsreag supridora]:[codsariSUP]],2,FALSE)</f>
        <v>396</v>
      </c>
      <c r="AA11" s="890">
        <v>0.87480000000000002</v>
      </c>
      <c r="AB11" s="891">
        <v>169.95</v>
      </c>
      <c r="AC11" s="890">
        <v>14739.74</v>
      </c>
      <c r="AD11" s="890">
        <v>3.59565E-4</v>
      </c>
      <c r="AI11" s="967"/>
      <c r="AJ11" s="968"/>
      <c r="AL11" s="970" t="s">
        <v>2302</v>
      </c>
      <c r="AM11" s="971">
        <v>0</v>
      </c>
    </row>
    <row r="12" spans="1:43" ht="16.5">
      <c r="B12" s="94" t="s">
        <v>52</v>
      </c>
      <c r="C12" s="120">
        <v>1049131.55116</v>
      </c>
      <c r="D12" s="1755"/>
      <c r="H12" s="68" t="e">
        <f t="shared" si="0"/>
        <v>#N/A</v>
      </c>
      <c r="I12" s="514"/>
      <c r="J12" s="515"/>
      <c r="K12" s="515"/>
      <c r="L12" s="515"/>
      <c r="M12" s="515"/>
      <c r="N12" s="515"/>
      <c r="O12" s="515"/>
      <c r="P12" s="515"/>
      <c r="Q12" s="516"/>
      <c r="R12" s="516"/>
      <c r="S12" s="516"/>
      <c r="T12" s="516"/>
      <c r="U12" s="515"/>
      <c r="V12" s="515"/>
      <c r="W12" s="68" t="e">
        <f>VLOOKUP(V12,DescontosTE[[#All],[idsreag supridora]:[codsariSUP]],2,FALSE)</f>
        <v>#N/A</v>
      </c>
      <c r="AI12" s="967"/>
      <c r="AJ12" s="968"/>
      <c r="AL12" s="970" t="s">
        <v>2303</v>
      </c>
      <c r="AM12" s="971">
        <v>0</v>
      </c>
    </row>
    <row r="13" spans="1:43" ht="16.5">
      <c r="B13" s="94" t="s">
        <v>53</v>
      </c>
      <c r="C13" s="120">
        <v>0</v>
      </c>
      <c r="D13" s="1755"/>
      <c r="H13" s="68" t="e">
        <f t="shared" si="0"/>
        <v>#N/A</v>
      </c>
      <c r="I13" s="514"/>
      <c r="J13" s="515"/>
      <c r="K13" s="515"/>
      <c r="L13" s="515"/>
      <c r="M13" s="515"/>
      <c r="N13" s="515"/>
      <c r="O13" s="515"/>
      <c r="P13" s="515"/>
      <c r="Q13" s="516"/>
      <c r="R13" s="516"/>
      <c r="S13" s="516"/>
      <c r="T13" s="516"/>
      <c r="U13" s="515"/>
      <c r="V13" s="515"/>
      <c r="W13" s="68" t="e">
        <f>VLOOKUP(V13,DescontosTE[[#All],[idsreag supridora]:[codsariSUP]],2,FALSE)</f>
        <v>#N/A</v>
      </c>
      <c r="AI13" s="967"/>
      <c r="AJ13" s="968"/>
      <c r="AL13" s="970" t="s">
        <v>2304</v>
      </c>
      <c r="AM13" s="971">
        <v>0</v>
      </c>
    </row>
    <row r="14" spans="1:43" ht="16.5">
      <c r="B14" s="94" t="s">
        <v>54</v>
      </c>
      <c r="C14" s="120">
        <v>0</v>
      </c>
      <c r="D14" s="1755"/>
      <c r="H14" s="68" t="e">
        <f t="shared" si="0"/>
        <v>#N/A</v>
      </c>
      <c r="I14" s="514"/>
      <c r="J14" s="515"/>
      <c r="K14" s="515"/>
      <c r="L14" s="515"/>
      <c r="M14" s="515"/>
      <c r="N14" s="515"/>
      <c r="O14" s="515"/>
      <c r="P14" s="515"/>
      <c r="Q14" s="516"/>
      <c r="R14" s="516"/>
      <c r="S14" s="516"/>
      <c r="T14" s="516"/>
      <c r="U14" s="515"/>
      <c r="V14" s="515"/>
      <c r="W14" s="68" t="e">
        <f>VLOOKUP(V14,DescontosTE[[#All],[idsreag supridora]:[codsariSUP]],2,FALSE)</f>
        <v>#N/A</v>
      </c>
      <c r="AA14" s="826"/>
      <c r="AB14" s="826"/>
      <c r="AC14" s="826"/>
      <c r="AI14" s="967"/>
      <c r="AJ14" s="968"/>
      <c r="AL14" s="970" t="s">
        <v>2305</v>
      </c>
      <c r="AM14" s="971">
        <v>0</v>
      </c>
    </row>
    <row r="15" spans="1:43" ht="16.5">
      <c r="A15" s="863"/>
      <c r="B15" s="1026" t="s">
        <v>55</v>
      </c>
      <c r="C15" s="1027">
        <v>3110206.1377647002</v>
      </c>
      <c r="D15" s="1755"/>
      <c r="F15" s="93"/>
      <c r="H15" s="68" t="e">
        <f t="shared" si="0"/>
        <v>#N/A</v>
      </c>
      <c r="I15" s="514"/>
      <c r="J15" s="515"/>
      <c r="K15" s="515"/>
      <c r="L15" s="515"/>
      <c r="M15" s="515"/>
      <c r="N15" s="515"/>
      <c r="O15" s="515"/>
      <c r="P15" s="515"/>
      <c r="Q15" s="516"/>
      <c r="R15" s="516"/>
      <c r="S15" s="516"/>
      <c r="T15" s="516"/>
      <c r="U15" s="515"/>
      <c r="V15" s="515"/>
      <c r="W15" s="68" t="e">
        <f>VLOOKUP(V15,DescontosTE[[#All],[idsreag supridora]:[codsariSUP]],2,FALSE)</f>
        <v>#N/A</v>
      </c>
      <c r="AA15" s="973" t="s">
        <v>56</v>
      </c>
      <c r="AB15" s="973" t="s">
        <v>57</v>
      </c>
      <c r="AC15" s="826"/>
      <c r="AI15" s="967"/>
      <c r="AJ15" s="968"/>
      <c r="AL15" s="970"/>
      <c r="AM15" s="971"/>
    </row>
    <row r="16" spans="1:43" ht="16.5">
      <c r="D16" s="1755"/>
      <c r="F16" s="93"/>
      <c r="H16" s="68" t="e">
        <f t="shared" si="0"/>
        <v>#N/A</v>
      </c>
      <c r="I16" s="514"/>
      <c r="J16" s="515"/>
      <c r="K16" s="515"/>
      <c r="L16" s="515"/>
      <c r="M16" s="515"/>
      <c r="N16" s="515"/>
      <c r="O16" s="515"/>
      <c r="P16" s="515"/>
      <c r="Q16" s="516"/>
      <c r="R16" s="516"/>
      <c r="S16" s="516"/>
      <c r="T16" s="516"/>
      <c r="U16" s="515"/>
      <c r="V16" s="515"/>
      <c r="W16" s="68" t="e">
        <f>VLOOKUP(V16,DescontosTE[[#All],[idsreag supridora]:[codsariSUP]],2,FALSE)</f>
        <v>#N/A</v>
      </c>
      <c r="AA16" s="890">
        <v>2022</v>
      </c>
      <c r="AB16" s="891">
        <v>2068.1152777892089</v>
      </c>
      <c r="AC16" s="889"/>
      <c r="AI16" s="967"/>
      <c r="AJ16" s="968"/>
      <c r="AL16" s="970"/>
      <c r="AM16" s="971"/>
    </row>
    <row r="17" spans="1:42" ht="16.5">
      <c r="B17" s="1019" t="s">
        <v>58</v>
      </c>
      <c r="C17" s="1028"/>
      <c r="D17" s="1755"/>
      <c r="F17" s="93"/>
      <c r="H17" s="68" t="e">
        <f t="shared" si="0"/>
        <v>#N/A</v>
      </c>
      <c r="I17" s="514"/>
      <c r="J17" s="515"/>
      <c r="K17" s="515"/>
      <c r="L17" s="515"/>
      <c r="M17" s="515"/>
      <c r="N17" s="515"/>
      <c r="O17" s="515"/>
      <c r="P17" s="515"/>
      <c r="Q17" s="516"/>
      <c r="R17" s="516"/>
      <c r="S17" s="516"/>
      <c r="T17" s="516"/>
      <c r="U17" s="515"/>
      <c r="V17" s="515"/>
      <c r="W17" s="68" t="e">
        <f>VLOOKUP(V17,DescontosTE[[#All],[idsreag supridora]:[codsariSUP]],2,FALSE)</f>
        <v>#N/A</v>
      </c>
      <c r="AI17" s="967"/>
      <c r="AJ17" s="968"/>
      <c r="AL17" s="896"/>
      <c r="AM17" s="891"/>
    </row>
    <row r="18" spans="1:42" ht="16.5">
      <c r="B18" s="94" t="s">
        <v>59</v>
      </c>
      <c r="C18" s="120">
        <v>0</v>
      </c>
      <c r="D18" s="1755"/>
      <c r="F18" s="93"/>
      <c r="H18" s="68" t="e">
        <f t="shared" si="0"/>
        <v>#N/A</v>
      </c>
      <c r="I18" s="514"/>
      <c r="J18" s="515"/>
      <c r="K18" s="515"/>
      <c r="L18" s="515"/>
      <c r="M18" s="515"/>
      <c r="N18" s="515"/>
      <c r="O18" s="515"/>
      <c r="P18" s="515"/>
      <c r="Q18" s="516"/>
      <c r="R18" s="516"/>
      <c r="S18" s="516"/>
      <c r="T18" s="516"/>
      <c r="U18" s="515"/>
      <c r="V18" s="515"/>
      <c r="W18" s="68" t="e">
        <f>VLOOKUP(V18,DescontosTE[[#All],[idsreag supridora]:[codsariSUP]],2,FALSE)</f>
        <v>#N/A</v>
      </c>
      <c r="AI18" s="967"/>
      <c r="AJ18" s="968"/>
      <c r="AL18" s="896"/>
      <c r="AM18" s="891"/>
    </row>
    <row r="19" spans="1:42" ht="16.5">
      <c r="B19" s="94" t="s">
        <v>60</v>
      </c>
      <c r="C19" s="120">
        <v>0</v>
      </c>
      <c r="D19" s="1755"/>
      <c r="F19" s="93"/>
      <c r="H19" s="68" t="e">
        <f t="shared" si="0"/>
        <v>#N/A</v>
      </c>
      <c r="I19" s="514"/>
      <c r="J19" s="515"/>
      <c r="K19" s="515"/>
      <c r="L19" s="515"/>
      <c r="M19" s="515"/>
      <c r="N19" s="515"/>
      <c r="O19" s="515"/>
      <c r="P19" s="515"/>
      <c r="Q19" s="516"/>
      <c r="R19" s="516"/>
      <c r="S19" s="516"/>
      <c r="T19" s="516"/>
      <c r="U19" s="515"/>
      <c r="V19" s="515"/>
      <c r="W19" s="68" t="e">
        <f>VLOOKUP(V19,DescontosTE[[#All],[idsreag supridora]:[codsariSUP]],2,FALSE)</f>
        <v>#N/A</v>
      </c>
      <c r="AI19" s="967"/>
      <c r="AJ19" s="968"/>
    </row>
    <row r="20" spans="1:42" ht="16.5">
      <c r="B20" s="94" t="s">
        <v>61</v>
      </c>
      <c r="C20" s="120"/>
      <c r="D20" s="1755"/>
      <c r="F20" s="93"/>
      <c r="H20" s="68" t="e">
        <f t="shared" si="0"/>
        <v>#N/A</v>
      </c>
      <c r="I20" s="514"/>
      <c r="J20" s="515"/>
      <c r="K20" s="515"/>
      <c r="L20" s="515"/>
      <c r="M20" s="515"/>
      <c r="N20" s="515"/>
      <c r="O20" s="515"/>
      <c r="P20" s="515"/>
      <c r="Q20" s="516"/>
      <c r="R20" s="516"/>
      <c r="S20" s="516"/>
      <c r="T20" s="516"/>
      <c r="U20" s="515"/>
      <c r="V20" s="515"/>
      <c r="W20" s="68" t="e">
        <f>VLOOKUP(V20,DescontosTE[[#All],[idsreag supridora]:[codsariSUP]],2,FALSE)</f>
        <v>#N/A</v>
      </c>
      <c r="AA20" s="892" t="s">
        <v>62</v>
      </c>
      <c r="AB20" s="892"/>
      <c r="AC20" s="893"/>
      <c r="AD20" s="893"/>
      <c r="AE20" s="893"/>
      <c r="AF20" s="893"/>
      <c r="AG20" s="894"/>
      <c r="AI20" s="896"/>
      <c r="AJ20" s="891"/>
    </row>
    <row r="21" spans="1:42" ht="16.5">
      <c r="B21" s="94" t="s">
        <v>63</v>
      </c>
      <c r="C21" s="120"/>
      <c r="D21" s="1755"/>
      <c r="F21" s="93"/>
      <c r="H21" s="68" t="e">
        <f t="shared" si="0"/>
        <v>#N/A</v>
      </c>
      <c r="I21" s="514"/>
      <c r="J21" s="515"/>
      <c r="K21" s="515"/>
      <c r="L21" s="515"/>
      <c r="M21" s="515"/>
      <c r="N21" s="515"/>
      <c r="O21" s="515"/>
      <c r="P21" s="515"/>
      <c r="Q21" s="516"/>
      <c r="R21" s="516"/>
      <c r="S21" s="516"/>
      <c r="T21" s="516"/>
      <c r="U21" s="515"/>
      <c r="V21" s="515"/>
      <c r="W21" s="68" t="e">
        <f>VLOOKUP(V21,DescontosTE[[#All],[idsreag supridora]:[codsariSUP]],2,FALSE)</f>
        <v>#N/A</v>
      </c>
      <c r="AA21" s="68" t="s">
        <v>64</v>
      </c>
      <c r="AB21" s="68" t="s">
        <v>65</v>
      </c>
      <c r="AC21" s="68" t="s">
        <v>66</v>
      </c>
      <c r="AD21" s="68" t="s">
        <v>67</v>
      </c>
      <c r="AE21" s="68" t="s">
        <v>68</v>
      </c>
      <c r="AF21" s="68" t="s">
        <v>69</v>
      </c>
      <c r="AG21" s="68" t="s">
        <v>70</v>
      </c>
    </row>
    <row r="22" spans="1:42" ht="16.5">
      <c r="B22" s="94" t="s">
        <v>71</v>
      </c>
      <c r="C22" s="120"/>
      <c r="D22" s="1755"/>
      <c r="H22" s="68" t="e">
        <f t="shared" si="0"/>
        <v>#N/A</v>
      </c>
      <c r="I22" s="514"/>
      <c r="J22" s="515"/>
      <c r="K22" s="515"/>
      <c r="L22" s="515"/>
      <c r="M22" s="515"/>
      <c r="N22" s="515"/>
      <c r="O22" s="515"/>
      <c r="P22" s="515"/>
      <c r="Q22" s="516"/>
      <c r="R22" s="516"/>
      <c r="S22" s="516"/>
      <c r="T22" s="516"/>
      <c r="U22" s="515"/>
      <c r="V22" s="515"/>
      <c r="W22" s="68" t="e">
        <f>VLOOKUP(V22,DescontosTE[[#All],[idsreag supridora]:[codsariSUP]],2,FALSE)</f>
        <v>#N/A</v>
      </c>
      <c r="AA22" s="890" t="s">
        <v>1296</v>
      </c>
      <c r="AB22" s="891"/>
      <c r="AC22" s="890"/>
      <c r="AD22" s="890"/>
      <c r="AE22" s="891">
        <v>12602.631705785965</v>
      </c>
      <c r="AF22" s="896">
        <v>44713</v>
      </c>
      <c r="AG22" s="890">
        <v>152.33265813814194</v>
      </c>
    </row>
    <row r="23" spans="1:42" ht="16.5">
      <c r="B23" s="94" t="s">
        <v>72</v>
      </c>
      <c r="C23" s="120"/>
      <c r="D23" s="1755"/>
      <c r="F23" s="93"/>
      <c r="H23" s="68" t="e">
        <f t="shared" si="0"/>
        <v>#N/A</v>
      </c>
      <c r="I23" s="514"/>
      <c r="J23" s="515"/>
      <c r="K23" s="515"/>
      <c r="L23" s="515"/>
      <c r="M23" s="515"/>
      <c r="N23" s="515"/>
      <c r="O23" s="515"/>
      <c r="P23" s="515"/>
      <c r="Q23" s="516"/>
      <c r="R23" s="516"/>
      <c r="S23" s="516"/>
      <c r="T23" s="516"/>
      <c r="U23" s="515"/>
      <c r="V23" s="515"/>
      <c r="W23" s="68" t="e">
        <f>VLOOKUP(V23,DescontosTE[[#All],[idsreag supridora]:[codsariSUP]],2,FALSE)</f>
        <v>#N/A</v>
      </c>
      <c r="AA23" s="890" t="s">
        <v>1296</v>
      </c>
      <c r="AB23" s="891"/>
      <c r="AC23" s="890"/>
      <c r="AD23" s="890"/>
      <c r="AE23" s="891">
        <v>16003.443926819604</v>
      </c>
      <c r="AF23" s="890">
        <v>44713</v>
      </c>
      <c r="AG23" s="890">
        <v>139.94993916249666</v>
      </c>
      <c r="AI23" s="889" t="s">
        <v>73</v>
      </c>
      <c r="AM23" s="889" t="s">
        <v>74</v>
      </c>
    </row>
    <row r="24" spans="1:42" ht="16.5">
      <c r="B24" s="94" t="s">
        <v>75</v>
      </c>
      <c r="C24" s="120">
        <v>0</v>
      </c>
      <c r="D24" s="1755"/>
      <c r="F24" s="93"/>
      <c r="H24" s="68" t="e">
        <f t="shared" si="0"/>
        <v>#N/A</v>
      </c>
      <c r="I24" s="514"/>
      <c r="J24" s="515"/>
      <c r="K24" s="515"/>
      <c r="L24" s="515"/>
      <c r="M24" s="515"/>
      <c r="N24" s="515"/>
      <c r="O24" s="515"/>
      <c r="P24" s="515"/>
      <c r="Q24" s="516"/>
      <c r="R24" s="516"/>
      <c r="S24" s="516"/>
      <c r="T24" s="516"/>
      <c r="U24" s="515"/>
      <c r="V24" s="515"/>
      <c r="W24" s="68" t="e">
        <f>VLOOKUP(V24,DescontosTE[[#All],[idsreag supridora]:[codsariSUP]],2,FALSE)</f>
        <v>#N/A</v>
      </c>
      <c r="AI24" s="68" t="s">
        <v>76</v>
      </c>
      <c r="AJ24" s="68" t="s">
        <v>77</v>
      </c>
      <c r="AK24" s="68" t="s">
        <v>78</v>
      </c>
      <c r="AM24" s="68" t="s">
        <v>79</v>
      </c>
      <c r="AN24" s="68" t="s">
        <v>80</v>
      </c>
      <c r="AO24" s="68" t="s">
        <v>81</v>
      </c>
      <c r="AP24" s="68" t="s">
        <v>36</v>
      </c>
    </row>
    <row r="25" spans="1:42" ht="16.5">
      <c r="A25" s="1682"/>
      <c r="B25" s="94" t="s">
        <v>82</v>
      </c>
      <c r="C25" s="120">
        <v>14389026.7771657</v>
      </c>
      <c r="D25" s="1755"/>
      <c r="H25" s="68" t="e">
        <f t="shared" si="0"/>
        <v>#N/A</v>
      </c>
      <c r="I25" s="514"/>
      <c r="J25" s="515"/>
      <c r="K25" s="515"/>
      <c r="L25" s="515"/>
      <c r="M25" s="515"/>
      <c r="N25" s="515"/>
      <c r="O25" s="515"/>
      <c r="P25" s="515"/>
      <c r="Q25" s="516"/>
      <c r="R25" s="516"/>
      <c r="S25" s="516"/>
      <c r="T25" s="516"/>
      <c r="U25" s="515"/>
      <c r="V25" s="515"/>
      <c r="W25" s="68" t="e">
        <f>VLOOKUP(V25,DescontosTE[[#All],[idsreag supridora]:[codsariSUP]],2,FALSE)</f>
        <v>#N/A</v>
      </c>
      <c r="AD25" s="889"/>
      <c r="AE25" s="988"/>
      <c r="AF25" s="889"/>
      <c r="AG25" s="889"/>
      <c r="AI25" s="261" t="s">
        <v>83</v>
      </c>
      <c r="AJ25" s="261" t="s">
        <v>46</v>
      </c>
      <c r="AK25" s="69">
        <v>-459896.97341767099</v>
      </c>
      <c r="AM25" s="1555" t="s">
        <v>84</v>
      </c>
      <c r="AN25" s="1555"/>
      <c r="AO25" s="1555" t="s">
        <v>85</v>
      </c>
      <c r="AP25" s="1554">
        <v>-3031163.0177308498</v>
      </c>
    </row>
    <row r="26" spans="1:42" ht="16.5">
      <c r="B26" s="1019" t="s">
        <v>86</v>
      </c>
      <c r="C26" s="1029">
        <v>41629263.509999998</v>
      </c>
      <c r="D26" s="1755"/>
      <c r="H26" s="68" t="e">
        <f t="shared" si="0"/>
        <v>#N/A</v>
      </c>
      <c r="I26" s="514"/>
      <c r="J26" s="515"/>
      <c r="K26" s="515"/>
      <c r="L26" s="515"/>
      <c r="M26" s="515"/>
      <c r="N26" s="515"/>
      <c r="O26" s="515"/>
      <c r="P26" s="515"/>
      <c r="Q26" s="516"/>
      <c r="R26" s="516"/>
      <c r="S26" s="516"/>
      <c r="T26" s="516"/>
      <c r="U26" s="515"/>
      <c r="V26" s="515"/>
      <c r="W26" s="68" t="e">
        <f>VLOOKUP(V26,DescontosTE[[#All],[idsreag supridora]:[codsariSUP]],2,FALSE)</f>
        <v>#N/A</v>
      </c>
      <c r="AA26" s="973" t="s">
        <v>87</v>
      </c>
      <c r="AB26" s="973" t="s">
        <v>36</v>
      </c>
      <c r="AD26" s="889"/>
      <c r="AE26" s="988"/>
      <c r="AF26" s="889"/>
      <c r="AG26" s="889"/>
      <c r="AI26" s="261" t="s">
        <v>83</v>
      </c>
      <c r="AJ26" s="261" t="s">
        <v>52</v>
      </c>
      <c r="AK26" s="69">
        <v>-64008.960501479502</v>
      </c>
      <c r="AM26" s="1555"/>
      <c r="AN26" s="1555"/>
      <c r="AO26" s="1555"/>
      <c r="AP26" s="1554"/>
    </row>
    <row r="27" spans="1:42" ht="16.5">
      <c r="C27" s="69"/>
      <c r="D27" s="1755"/>
      <c r="H27" s="68" t="e">
        <f t="shared" si="0"/>
        <v>#N/A</v>
      </c>
      <c r="I27" s="514"/>
      <c r="J27" s="515"/>
      <c r="K27" s="515"/>
      <c r="L27" s="515"/>
      <c r="M27" s="515"/>
      <c r="N27" s="515"/>
      <c r="O27" s="515"/>
      <c r="P27" s="515"/>
      <c r="Q27" s="516"/>
      <c r="R27" s="516"/>
      <c r="S27" s="516"/>
      <c r="T27" s="516"/>
      <c r="U27" s="515"/>
      <c r="V27" s="515"/>
      <c r="W27" s="68" t="e">
        <f>VLOOKUP(V27,DescontosTE[[#All],[idsreag supridora]:[codsariSUP]],2,FALSE)</f>
        <v>#N/A</v>
      </c>
      <c r="AA27" s="890" t="s">
        <v>88</v>
      </c>
      <c r="AB27" s="891">
        <v>3785.1051428571432</v>
      </c>
      <c r="AI27" s="261" t="s">
        <v>83</v>
      </c>
      <c r="AJ27" s="261" t="s">
        <v>44</v>
      </c>
      <c r="AK27" s="69">
        <v>-12969.070179227399</v>
      </c>
      <c r="AM27" s="1555"/>
      <c r="AN27" s="1555"/>
      <c r="AO27" s="1555"/>
      <c r="AP27" s="1554"/>
    </row>
    <row r="28" spans="1:42" ht="16.5">
      <c r="B28" s="1018" t="s">
        <v>89</v>
      </c>
      <c r="C28" s="1030"/>
      <c r="D28" s="1755"/>
      <c r="H28" s="68" t="e">
        <f t="shared" si="0"/>
        <v>#N/A</v>
      </c>
      <c r="I28" s="514"/>
      <c r="J28" s="515"/>
      <c r="K28" s="515"/>
      <c r="L28" s="515"/>
      <c r="M28" s="515"/>
      <c r="N28" s="515"/>
      <c r="O28" s="515"/>
      <c r="P28" s="515"/>
      <c r="Q28" s="516"/>
      <c r="R28" s="516"/>
      <c r="S28" s="516"/>
      <c r="T28" s="516"/>
      <c r="U28" s="515"/>
      <c r="V28" s="515"/>
      <c r="W28" s="68" t="e">
        <f>VLOOKUP(V28,DescontosTE[[#All],[idsreag supridora]:[codsariSUP]],2,FALSE)</f>
        <v>#N/A</v>
      </c>
      <c r="AA28" s="890" t="s">
        <v>90</v>
      </c>
      <c r="AB28" s="891">
        <v>0</v>
      </c>
      <c r="AI28" s="261" t="s">
        <v>91</v>
      </c>
      <c r="AJ28" s="261" t="s">
        <v>92</v>
      </c>
      <c r="AK28" s="69">
        <v>3598161.1362162698</v>
      </c>
      <c r="AM28" s="1555"/>
      <c r="AN28" s="1555"/>
      <c r="AO28" s="1555"/>
      <c r="AP28" s="1554"/>
    </row>
    <row r="29" spans="1:42" ht="18" customHeight="1">
      <c r="D29" s="1755"/>
      <c r="H29" s="68" t="e">
        <f t="shared" si="0"/>
        <v>#N/A</v>
      </c>
      <c r="I29" s="514"/>
      <c r="J29" s="515"/>
      <c r="K29" s="515"/>
      <c r="L29" s="515"/>
      <c r="M29" s="515"/>
      <c r="N29" s="515"/>
      <c r="O29" s="515"/>
      <c r="P29" s="515"/>
      <c r="Q29" s="516"/>
      <c r="R29" s="516"/>
      <c r="S29" s="516"/>
      <c r="T29" s="516"/>
      <c r="U29" s="515"/>
      <c r="V29" s="515"/>
      <c r="W29" s="68" t="e">
        <f>VLOOKUP(V29,DescontosTE[[#All],[idsreag supridora]:[codsariSUP]],2,FALSE)</f>
        <v>#N/A</v>
      </c>
      <c r="AA29" s="890"/>
      <c r="AB29" s="891"/>
      <c r="AI29" s="261" t="s">
        <v>93</v>
      </c>
      <c r="AJ29" s="261" t="s">
        <v>94</v>
      </c>
      <c r="AK29" s="69">
        <v>649980.87023126299</v>
      </c>
      <c r="AM29" s="1555"/>
      <c r="AN29" s="1555"/>
      <c r="AO29" s="1555"/>
      <c r="AP29" s="1554"/>
    </row>
    <row r="30" spans="1:42" ht="16.5">
      <c r="B30" s="1031"/>
      <c r="C30" s="1032"/>
      <c r="D30" s="1755"/>
      <c r="H30" s="68" t="e">
        <f t="shared" si="0"/>
        <v>#N/A</v>
      </c>
      <c r="I30" s="514"/>
      <c r="J30" s="515"/>
      <c r="K30" s="515"/>
      <c r="L30" s="515"/>
      <c r="M30" s="515"/>
      <c r="N30" s="515"/>
      <c r="O30" s="515"/>
      <c r="P30" s="515"/>
      <c r="Q30" s="516"/>
      <c r="R30" s="516"/>
      <c r="S30" s="516"/>
      <c r="T30" s="516"/>
      <c r="U30" s="515"/>
      <c r="V30" s="515"/>
      <c r="W30" s="68" t="e">
        <f>VLOOKUP(V30,DescontosTE[[#All],[idsreag supridora]:[codsariSUP]],2,FALSE)</f>
        <v>#N/A</v>
      </c>
      <c r="AA30" s="890"/>
      <c r="AB30" s="891"/>
      <c r="AI30" s="261" t="s">
        <v>84</v>
      </c>
      <c r="AJ30" s="261"/>
      <c r="AK30" s="69">
        <v>-21264324.490007684</v>
      </c>
      <c r="AM30" s="1555"/>
      <c r="AN30" s="1555"/>
      <c r="AO30" s="1555"/>
      <c r="AP30" s="1554"/>
    </row>
    <row r="31" spans="1:42">
      <c r="A31" s="1682"/>
      <c r="B31" s="679" t="s">
        <v>95</v>
      </c>
      <c r="C31" s="680">
        <v>5.9458041541695102E-2</v>
      </c>
      <c r="D31" s="1756"/>
      <c r="AI31" s="261" t="s">
        <v>96</v>
      </c>
      <c r="AJ31" s="261" t="s">
        <v>97</v>
      </c>
      <c r="AK31" s="69">
        <v>2509075.10092666</v>
      </c>
      <c r="AM31" s="1555"/>
      <c r="AN31" s="1555"/>
      <c r="AO31" s="1555"/>
      <c r="AP31" s="1554"/>
    </row>
    <row r="32" spans="1:42">
      <c r="B32" s="1033" t="s">
        <v>98</v>
      </c>
      <c r="C32" s="1034">
        <v>0.76946233409201359</v>
      </c>
      <c r="D32" s="90" t="s">
        <v>99</v>
      </c>
      <c r="AI32" s="261" t="s">
        <v>96</v>
      </c>
      <c r="AJ32" s="261" t="s">
        <v>100</v>
      </c>
      <c r="AK32" s="69">
        <v>-1672650.62</v>
      </c>
    </row>
    <row r="33" spans="1:37">
      <c r="D33" s="90"/>
      <c r="AI33" s="261"/>
      <c r="AJ33" s="261"/>
      <c r="AK33" s="69"/>
    </row>
    <row r="34" spans="1:37">
      <c r="B34" s="1018"/>
      <c r="C34" s="1030"/>
      <c r="AI34" s="261"/>
      <c r="AJ34" s="261"/>
      <c r="AK34" s="69"/>
    </row>
    <row r="35" spans="1:37">
      <c r="B35" s="1031" t="s">
        <v>46</v>
      </c>
      <c r="C35" s="1035">
        <v>5850211.1751000006</v>
      </c>
      <c r="AI35" s="261"/>
      <c r="AJ35" s="261"/>
      <c r="AK35" s="69"/>
    </row>
    <row r="36" spans="1:37">
      <c r="B36" s="679" t="s">
        <v>52</v>
      </c>
      <c r="C36" s="88">
        <v>777108.61866000004</v>
      </c>
      <c r="AI36" s="261"/>
      <c r="AJ36" s="261"/>
      <c r="AK36" s="69"/>
    </row>
    <row r="37" spans="1:37">
      <c r="B37" s="1033" t="s">
        <v>44</v>
      </c>
      <c r="C37" s="1036">
        <v>190073.95056153982</v>
      </c>
      <c r="AI37" s="261"/>
      <c r="AJ37" s="261"/>
      <c r="AK37" s="69"/>
    </row>
    <row r="38" spans="1:37">
      <c r="AI38" s="261"/>
      <c r="AJ38" s="261"/>
      <c r="AK38" s="69"/>
    </row>
    <row r="39" spans="1:37">
      <c r="D39" s="90"/>
      <c r="AI39" s="261"/>
      <c r="AJ39" s="261"/>
      <c r="AK39" s="69"/>
    </row>
    <row r="40" spans="1:37" ht="16.5">
      <c r="B40" s="1033"/>
      <c r="C40" s="72"/>
      <c r="D40" s="9"/>
      <c r="E40" s="9" t="s">
        <v>101</v>
      </c>
      <c r="F40" s="9"/>
      <c r="AI40" s="261"/>
      <c r="AJ40" s="261"/>
      <c r="AK40" s="69"/>
    </row>
    <row r="41" spans="1:37" ht="16.5">
      <c r="A41" s="1037">
        <f>DATE(YEAR(B41),MONTH(B41),1)</f>
        <v>44409</v>
      </c>
      <c r="B41" s="1023">
        <v>44413</v>
      </c>
      <c r="C41" s="540">
        <v>0</v>
      </c>
      <c r="D41" s="9" t="b">
        <f ca="1">BD!E41&gt;=CAPA!$L$73</f>
        <v>0</v>
      </c>
      <c r="E41" s="234">
        <f>Indexador!L34</f>
        <v>0</v>
      </c>
      <c r="F41" s="490">
        <f>CAPA!B63</f>
        <v>44287</v>
      </c>
      <c r="AI41" s="261"/>
      <c r="AJ41" s="261"/>
      <c r="AK41" s="69"/>
    </row>
    <row r="42" spans="1:37" ht="16.5">
      <c r="A42" s="1037">
        <f t="shared" ref="A42:A57" si="1">DATE(YEAR(B42),MONTH(B42),1)</f>
        <v>44440</v>
      </c>
      <c r="B42" s="516">
        <v>44447</v>
      </c>
      <c r="C42" s="540">
        <v>0</v>
      </c>
      <c r="D42" s="9" t="b">
        <f ca="1">BD!E42&gt;=CAPA!$L$73</f>
        <v>0</v>
      </c>
      <c r="E42" s="234">
        <f>Indexador!L35</f>
        <v>0</v>
      </c>
      <c r="F42" s="490">
        <f>CAPA!B64</f>
        <v>44317</v>
      </c>
      <c r="I42" s="814" t="s">
        <v>18</v>
      </c>
      <c r="J42" s="814" t="s">
        <v>19</v>
      </c>
      <c r="K42" s="814"/>
      <c r="L42" s="814" t="s">
        <v>20</v>
      </c>
      <c r="M42" s="814" t="s">
        <v>21</v>
      </c>
      <c r="N42" s="814" t="s">
        <v>22</v>
      </c>
      <c r="O42" s="814" t="s">
        <v>23</v>
      </c>
      <c r="P42" s="814" t="s">
        <v>24</v>
      </c>
      <c r="Q42" s="814" t="s">
        <v>25</v>
      </c>
      <c r="R42" s="814" t="s">
        <v>26</v>
      </c>
      <c r="S42" s="815" t="s">
        <v>27</v>
      </c>
      <c r="T42" s="814" t="s">
        <v>28</v>
      </c>
      <c r="AI42" s="261"/>
      <c r="AJ42" s="261"/>
      <c r="AK42" s="69"/>
    </row>
    <row r="43" spans="1:37" ht="16.5">
      <c r="A43" s="1037">
        <f t="shared" si="1"/>
        <v>44470</v>
      </c>
      <c r="B43" s="516">
        <v>44476</v>
      </c>
      <c r="C43" s="540">
        <v>474099.04</v>
      </c>
      <c r="D43" s="9" t="b">
        <f ca="1">BD!E43&gt;=CAPA!$L$73</f>
        <v>0</v>
      </c>
      <c r="E43" s="234">
        <f>Indexador!L36</f>
        <v>0</v>
      </c>
      <c r="F43" s="490">
        <f>CAPA!B65</f>
        <v>44348</v>
      </c>
      <c r="H43" s="68" t="str">
        <f>CONCATENATE(U43,J43)</f>
        <v>396A2</v>
      </c>
      <c r="I43" s="514">
        <v>2022</v>
      </c>
      <c r="J43" s="515" t="s">
        <v>655</v>
      </c>
      <c r="K43" s="515" t="s">
        <v>2291</v>
      </c>
      <c r="L43" s="515" t="s">
        <v>97</v>
      </c>
      <c r="M43" s="515" t="s">
        <v>1922</v>
      </c>
      <c r="N43" s="515">
        <v>598</v>
      </c>
      <c r="O43" s="516">
        <v>44734</v>
      </c>
      <c r="P43" s="516">
        <v>44732</v>
      </c>
      <c r="Q43" s="516" t="s">
        <v>2288</v>
      </c>
      <c r="R43" s="516" t="s">
        <v>2289</v>
      </c>
      <c r="S43" s="515">
        <v>273.92</v>
      </c>
      <c r="T43" s="515">
        <v>167</v>
      </c>
      <c r="U43" s="68">
        <f>VLOOKUP(T43,DescontosTE[[#All],[idsreag supridora]:[codsariSUP]],2,FALSE)</f>
        <v>396</v>
      </c>
      <c r="AI43" s="261"/>
      <c r="AJ43" s="261"/>
      <c r="AK43" s="69"/>
    </row>
    <row r="44" spans="1:37" ht="16.5">
      <c r="A44" s="1037">
        <f t="shared" si="1"/>
        <v>44501</v>
      </c>
      <c r="B44" s="516">
        <v>44509</v>
      </c>
      <c r="C44" s="540">
        <v>962838.87600000005</v>
      </c>
      <c r="D44" s="9" t="b">
        <f ca="1">BD!E44&gt;=CAPA!$L$73</f>
        <v>0</v>
      </c>
      <c r="E44" s="234">
        <f>Indexador!L37</f>
        <v>0</v>
      </c>
      <c r="F44" s="490">
        <f>CAPA!B66</f>
        <v>44378</v>
      </c>
      <c r="H44" s="68" t="str">
        <f t="shared" ref="H44:H59" si="2">CONCATENATE(U44,J44)</f>
        <v>396A4</v>
      </c>
      <c r="I44" s="514">
        <v>2022</v>
      </c>
      <c r="J44" s="515" t="s">
        <v>650</v>
      </c>
      <c r="K44" s="515" t="s">
        <v>2291</v>
      </c>
      <c r="L44" s="515" t="s">
        <v>97</v>
      </c>
      <c r="M44" s="515" t="s">
        <v>1922</v>
      </c>
      <c r="N44" s="515">
        <v>598</v>
      </c>
      <c r="O44" s="516">
        <v>44734</v>
      </c>
      <c r="P44" s="516">
        <v>44732</v>
      </c>
      <c r="Q44" s="516" t="s">
        <v>2288</v>
      </c>
      <c r="R44" s="516" t="s">
        <v>2289</v>
      </c>
      <c r="S44" s="515">
        <v>273.92</v>
      </c>
      <c r="T44" s="515">
        <v>167</v>
      </c>
      <c r="U44" s="68">
        <f>VLOOKUP(T44,DescontosTE[[#All],[idsreag supridora]:[codsariSUP]],2,FALSE)</f>
        <v>396</v>
      </c>
      <c r="AI44" s="261"/>
      <c r="AJ44" s="261"/>
      <c r="AK44" s="69"/>
    </row>
    <row r="45" spans="1:37" ht="16.5">
      <c r="A45" s="1037">
        <f t="shared" si="1"/>
        <v>44531</v>
      </c>
      <c r="B45" s="516">
        <v>44538</v>
      </c>
      <c r="C45" s="540">
        <v>368852.24890000001</v>
      </c>
      <c r="D45" s="9" t="b">
        <f ca="1">BD!E45&gt;=CAPA!$L$73</f>
        <v>0</v>
      </c>
      <c r="E45" s="234">
        <f>Indexador!L38</f>
        <v>0</v>
      </c>
      <c r="F45" s="490">
        <f>CAPA!B67</f>
        <v>44409</v>
      </c>
      <c r="H45" s="68" t="e">
        <f t="shared" si="2"/>
        <v>#N/A</v>
      </c>
      <c r="I45" s="514"/>
      <c r="J45" s="515"/>
      <c r="K45" s="515"/>
      <c r="L45" s="515"/>
      <c r="M45" s="515"/>
      <c r="N45" s="515"/>
      <c r="O45" s="516"/>
      <c r="P45" s="516"/>
      <c r="Q45" s="516"/>
      <c r="R45" s="516"/>
      <c r="S45" s="515"/>
      <c r="T45" s="515"/>
      <c r="U45" s="68" t="e">
        <f>VLOOKUP(T45,DescontosTE[[#All],[idsreag supridora]:[codsariSUP]],2,FALSE)</f>
        <v>#N/A</v>
      </c>
      <c r="AI45" s="261"/>
      <c r="AJ45" s="261"/>
      <c r="AK45" s="69"/>
    </row>
    <row r="46" spans="1:37" ht="16.5">
      <c r="A46" s="1037">
        <f t="shared" si="1"/>
        <v>44562</v>
      </c>
      <c r="B46" s="516">
        <v>44566</v>
      </c>
      <c r="C46" s="540">
        <v>0</v>
      </c>
      <c r="D46" s="9" t="b">
        <f ca="1">BD!E46&gt;=CAPA!$L$73</f>
        <v>0</v>
      </c>
      <c r="E46" s="234">
        <f>Indexador!L39</f>
        <v>0</v>
      </c>
      <c r="F46" s="490">
        <f>CAPA!B68</f>
        <v>44440</v>
      </c>
      <c r="H46" s="68" t="e">
        <f t="shared" si="2"/>
        <v>#N/A</v>
      </c>
      <c r="I46" s="514"/>
      <c r="J46" s="515"/>
      <c r="K46" s="515"/>
      <c r="L46" s="515"/>
      <c r="M46" s="515"/>
      <c r="N46" s="515"/>
      <c r="O46" s="516"/>
      <c r="P46" s="516"/>
      <c r="Q46" s="516"/>
      <c r="R46" s="516"/>
      <c r="S46" s="515"/>
      <c r="T46" s="515"/>
      <c r="U46" s="68" t="e">
        <f>VLOOKUP(T46,DescontosTE[[#All],[idsreag supridora]:[codsariSUP]],2,FALSE)</f>
        <v>#N/A</v>
      </c>
    </row>
    <row r="47" spans="1:37" ht="16.5">
      <c r="A47" s="1037">
        <f t="shared" si="1"/>
        <v>44593</v>
      </c>
      <c r="B47" s="516">
        <v>44599</v>
      </c>
      <c r="C47" s="540">
        <v>0</v>
      </c>
      <c r="D47" s="9" t="b">
        <f ca="1">BD!E47&gt;=CAPA!$L$73</f>
        <v>0</v>
      </c>
      <c r="E47" s="234">
        <f>Indexador!L40</f>
        <v>0</v>
      </c>
      <c r="F47" s="490">
        <f>CAPA!B69</f>
        <v>44470</v>
      </c>
      <c r="H47" s="68" t="e">
        <f t="shared" si="2"/>
        <v>#N/A</v>
      </c>
      <c r="I47" s="514"/>
      <c r="J47" s="515"/>
      <c r="K47" s="515"/>
      <c r="L47" s="515"/>
      <c r="M47" s="515"/>
      <c r="N47" s="515"/>
      <c r="O47" s="516"/>
      <c r="P47" s="516"/>
      <c r="Q47" s="516"/>
      <c r="R47" s="516"/>
      <c r="S47" s="515"/>
      <c r="T47" s="515"/>
      <c r="U47" s="68" t="e">
        <f>VLOOKUP(T47,DescontosTE[[#All],[idsreag supridora]:[codsariSUP]],2,FALSE)</f>
        <v>#N/A</v>
      </c>
    </row>
    <row r="48" spans="1:37" ht="16.5">
      <c r="A48" s="1037">
        <f t="shared" si="1"/>
        <v>44621</v>
      </c>
      <c r="B48" s="516">
        <v>44629</v>
      </c>
      <c r="C48" s="540">
        <v>0</v>
      </c>
      <c r="D48" s="9" t="b">
        <f ca="1">BD!E48&gt;=CAPA!$L$73</f>
        <v>0</v>
      </c>
      <c r="E48" s="234">
        <f>Indexador!L41</f>
        <v>0</v>
      </c>
      <c r="F48" s="490">
        <f>CAPA!B70</f>
        <v>44501</v>
      </c>
      <c r="H48" s="68" t="e">
        <f t="shared" si="2"/>
        <v>#N/A</v>
      </c>
      <c r="I48" s="514"/>
      <c r="J48" s="515"/>
      <c r="K48" s="515"/>
      <c r="L48" s="515"/>
      <c r="M48" s="515"/>
      <c r="N48" s="515"/>
      <c r="O48" s="516"/>
      <c r="P48" s="516"/>
      <c r="Q48" s="516"/>
      <c r="R48" s="516"/>
      <c r="S48" s="515"/>
      <c r="T48" s="515"/>
      <c r="U48" s="68" t="e">
        <f>VLOOKUP(T48,DescontosTE[[#All],[idsreag supridora]:[codsariSUP]],2,FALSE)</f>
        <v>#N/A</v>
      </c>
    </row>
    <row r="49" spans="1:21" ht="16.5">
      <c r="A49" s="1037">
        <f t="shared" si="1"/>
        <v>44652</v>
      </c>
      <c r="B49" s="516">
        <v>44657</v>
      </c>
      <c r="C49" s="540">
        <v>0</v>
      </c>
      <c r="D49" s="9" t="b">
        <f ca="1">BD!E49&gt;=CAPA!$L$73</f>
        <v>0</v>
      </c>
      <c r="E49" s="234">
        <f>Indexador!L42</f>
        <v>0</v>
      </c>
      <c r="F49" s="490">
        <f>CAPA!B71</f>
        <v>44531</v>
      </c>
      <c r="H49" s="68" t="e">
        <f t="shared" si="2"/>
        <v>#N/A</v>
      </c>
      <c r="I49" s="514"/>
      <c r="J49" s="515"/>
      <c r="K49" s="515"/>
      <c r="L49" s="515"/>
      <c r="M49" s="515"/>
      <c r="N49" s="515"/>
      <c r="O49" s="515"/>
      <c r="P49" s="515"/>
      <c r="Q49" s="516"/>
      <c r="R49" s="516"/>
      <c r="S49" s="516"/>
      <c r="T49" s="515"/>
      <c r="U49" s="68" t="e">
        <f>VLOOKUP(T49,DescontosTE[[#All],[idsreag supridora]:[codsariSUP]],2,FALSE)</f>
        <v>#N/A</v>
      </c>
    </row>
    <row r="50" spans="1:21" ht="16.5">
      <c r="A50" s="1037">
        <f t="shared" si="1"/>
        <v>44682</v>
      </c>
      <c r="B50" s="516">
        <v>44691</v>
      </c>
      <c r="C50" s="540">
        <v>0</v>
      </c>
      <c r="D50" s="9" t="b">
        <f ca="1">BD!E50&gt;=CAPA!$L$73</f>
        <v>0</v>
      </c>
      <c r="E50" s="234">
        <f>Indexador!L43</f>
        <v>0</v>
      </c>
      <c r="F50" s="490">
        <f>CAPA!B72</f>
        <v>44562</v>
      </c>
      <c r="H50" s="68" t="e">
        <f t="shared" si="2"/>
        <v>#N/A</v>
      </c>
      <c r="I50" s="514"/>
      <c r="J50" s="515"/>
      <c r="K50" s="515"/>
      <c r="L50" s="515"/>
      <c r="M50" s="515"/>
      <c r="N50" s="515"/>
      <c r="O50" s="515"/>
      <c r="P50" s="515"/>
      <c r="Q50" s="516"/>
      <c r="R50" s="516"/>
      <c r="S50" s="516"/>
      <c r="T50" s="515"/>
      <c r="U50" s="68" t="e">
        <f>VLOOKUP(T50,DescontosTE[[#All],[idsreag supridora]:[codsariSUP]],2,FALSE)</f>
        <v>#N/A</v>
      </c>
    </row>
    <row r="51" spans="1:21" ht="16.5">
      <c r="A51" s="1037">
        <f t="shared" si="1"/>
        <v>44713</v>
      </c>
      <c r="B51" s="516">
        <v>44718</v>
      </c>
      <c r="C51" s="540">
        <v>848429.15590000001</v>
      </c>
      <c r="D51" s="9" t="b">
        <f ca="1">BD!E51&gt;=CAPA!$L$73</f>
        <v>0</v>
      </c>
      <c r="E51" s="234">
        <f>Indexador!L44</f>
        <v>0</v>
      </c>
      <c r="F51" s="490">
        <f>CAPA!B73</f>
        <v>44593</v>
      </c>
      <c r="H51" s="68" t="e">
        <f t="shared" si="2"/>
        <v>#N/A</v>
      </c>
      <c r="I51" s="514"/>
      <c r="J51" s="515"/>
      <c r="K51" s="515"/>
      <c r="L51" s="515"/>
      <c r="M51" s="515"/>
      <c r="N51" s="515"/>
      <c r="O51" s="515"/>
      <c r="P51" s="515"/>
      <c r="Q51" s="516"/>
      <c r="R51" s="516"/>
      <c r="S51" s="516"/>
      <c r="T51" s="515"/>
      <c r="U51" s="68" t="e">
        <f>VLOOKUP(T51,DescontosTE[[#All],[idsreag supridora]:[codsariSUP]],2,FALSE)</f>
        <v>#N/A</v>
      </c>
    </row>
    <row r="52" spans="1:21" ht="16.5">
      <c r="A52" s="1037">
        <f t="shared" si="1"/>
        <v>44743</v>
      </c>
      <c r="B52" s="516">
        <v>44749</v>
      </c>
      <c r="C52" s="540">
        <v>0</v>
      </c>
      <c r="D52" s="9" t="b">
        <f ca="1">BD!E52&gt;=CAPA!$L$73</f>
        <v>0</v>
      </c>
      <c r="E52" s="234">
        <f>Indexador!L45</f>
        <v>0</v>
      </c>
      <c r="F52" s="490">
        <f>CAPA!B74</f>
        <v>44621</v>
      </c>
      <c r="H52" s="68" t="e">
        <f t="shared" si="2"/>
        <v>#N/A</v>
      </c>
      <c r="I52" s="514"/>
      <c r="J52" s="515"/>
      <c r="K52" s="515"/>
      <c r="L52" s="515"/>
      <c r="M52" s="515"/>
      <c r="N52" s="515"/>
      <c r="O52" s="515"/>
      <c r="P52" s="515"/>
      <c r="Q52" s="516"/>
      <c r="R52" s="516"/>
      <c r="S52" s="516"/>
      <c r="T52" s="515"/>
      <c r="U52" s="68" t="e">
        <f>VLOOKUP(T52,DescontosTE[[#All],[idsreag supridora]:[codsariSUP]],2,FALSE)</f>
        <v>#N/A</v>
      </c>
    </row>
    <row r="53" spans="1:21" ht="16.5">
      <c r="A53" s="1037">
        <f t="shared" si="1"/>
        <v>1</v>
      </c>
      <c r="B53" s="516"/>
      <c r="C53" s="540"/>
      <c r="D53" s="9" t="b">
        <f ca="1">BD!E53&gt;=CAPA!$L$73</f>
        <v>0</v>
      </c>
      <c r="E53" s="234">
        <f>Indexador!L46</f>
        <v>0</v>
      </c>
      <c r="F53" s="490">
        <f>CAPA!B75</f>
        <v>44652</v>
      </c>
      <c r="H53" s="68" t="e">
        <f t="shared" si="2"/>
        <v>#N/A</v>
      </c>
      <c r="I53" s="514"/>
      <c r="J53" s="515"/>
      <c r="K53" s="515"/>
      <c r="L53" s="515"/>
      <c r="M53" s="515"/>
      <c r="N53" s="515"/>
      <c r="O53" s="515"/>
      <c r="P53" s="515"/>
      <c r="Q53" s="516"/>
      <c r="R53" s="516"/>
      <c r="S53" s="516"/>
      <c r="T53" s="515"/>
      <c r="U53" s="68" t="e">
        <f>VLOOKUP(T53,DescontosTE[[#All],[idsreag supridora]:[codsariSUP]],2,FALSE)</f>
        <v>#N/A</v>
      </c>
    </row>
    <row r="54" spans="1:21" ht="16.5">
      <c r="A54" s="1037">
        <f t="shared" si="1"/>
        <v>1</v>
      </c>
      <c r="B54" s="516"/>
      <c r="C54" s="540"/>
      <c r="D54" s="9" t="b">
        <f ca="1">BD!E54&gt;=CAPA!$L$73</f>
        <v>0</v>
      </c>
      <c r="E54" s="234">
        <f>Indexador!L47</f>
        <v>0</v>
      </c>
      <c r="F54" s="490">
        <f>CAPA!B76</f>
        <v>44682</v>
      </c>
      <c r="H54" s="68" t="e">
        <f t="shared" si="2"/>
        <v>#N/A</v>
      </c>
      <c r="I54" s="514"/>
      <c r="J54" s="515"/>
      <c r="K54" s="515"/>
      <c r="L54" s="515"/>
      <c r="M54" s="515"/>
      <c r="N54" s="515"/>
      <c r="O54" s="515"/>
      <c r="P54" s="515"/>
      <c r="Q54" s="516"/>
      <c r="R54" s="516"/>
      <c r="S54" s="516"/>
      <c r="T54" s="515"/>
      <c r="U54" s="68" t="e">
        <f>VLOOKUP(T54,DescontosTE[[#All],[idsreag supridora]:[codsariSUP]],2,FALSE)</f>
        <v>#N/A</v>
      </c>
    </row>
    <row r="55" spans="1:21" ht="16.5">
      <c r="A55" s="1037">
        <f t="shared" si="1"/>
        <v>1</v>
      </c>
      <c r="B55" s="516"/>
      <c r="C55" s="540"/>
      <c r="D55" s="9" t="b">
        <f ca="1">BD!E55&gt;=CAPA!$L$73</f>
        <v>0</v>
      </c>
      <c r="E55" s="234">
        <f>Indexador!L48</f>
        <v>0</v>
      </c>
      <c r="F55" s="490">
        <f>CAPA!B77</f>
        <v>44713</v>
      </c>
      <c r="H55" s="68" t="e">
        <f t="shared" si="2"/>
        <v>#N/A</v>
      </c>
      <c r="I55" s="514"/>
      <c r="J55" s="515"/>
      <c r="K55" s="515"/>
      <c r="L55" s="515"/>
      <c r="M55" s="515"/>
      <c r="N55" s="515"/>
      <c r="O55" s="515"/>
      <c r="P55" s="515"/>
      <c r="Q55" s="516"/>
      <c r="R55" s="516"/>
      <c r="S55" s="516"/>
      <c r="T55" s="515"/>
      <c r="U55" s="68" t="e">
        <f>VLOOKUP(T55,DescontosTE[[#All],[idsreag supridora]:[codsariSUP]],2,FALSE)</f>
        <v>#N/A</v>
      </c>
    </row>
    <row r="56" spans="1:21" ht="16.5">
      <c r="A56" s="1037">
        <f t="shared" si="1"/>
        <v>1</v>
      </c>
      <c r="B56" s="516"/>
      <c r="C56" s="540"/>
      <c r="D56" s="9"/>
      <c r="E56" s="234"/>
      <c r="F56" s="490"/>
      <c r="H56" s="68" t="e">
        <f t="shared" si="2"/>
        <v>#N/A</v>
      </c>
      <c r="I56" s="514"/>
      <c r="J56" s="515"/>
      <c r="K56" s="515"/>
      <c r="L56" s="515"/>
      <c r="M56" s="515"/>
      <c r="N56" s="515"/>
      <c r="O56" s="515"/>
      <c r="P56" s="515"/>
      <c r="Q56" s="516"/>
      <c r="R56" s="516"/>
      <c r="S56" s="516"/>
      <c r="T56" s="515"/>
      <c r="U56" s="68" t="e">
        <f>VLOOKUP(T56,DescontosTE[[#All],[idsreag supridora]:[codsariSUP]],2,FALSE)</f>
        <v>#N/A</v>
      </c>
    </row>
    <row r="57" spans="1:21" ht="16.5">
      <c r="A57" s="1037">
        <f t="shared" si="1"/>
        <v>1</v>
      </c>
      <c r="B57" s="1038"/>
      <c r="C57" s="846"/>
      <c r="D57" s="17"/>
      <c r="H57" s="68" t="e">
        <f t="shared" si="2"/>
        <v>#N/A</v>
      </c>
      <c r="I57" s="514"/>
      <c r="J57" s="515"/>
      <c r="K57" s="515"/>
      <c r="L57" s="515"/>
      <c r="M57" s="515"/>
      <c r="N57" s="515"/>
      <c r="O57" s="515"/>
      <c r="P57" s="515"/>
      <c r="Q57" s="516"/>
      <c r="R57" s="516"/>
      <c r="S57" s="516"/>
      <c r="T57" s="515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4"/>
      <c r="J58" s="515"/>
      <c r="K58" s="515"/>
      <c r="L58" s="515"/>
      <c r="M58" s="515"/>
      <c r="N58" s="515"/>
      <c r="O58" s="515"/>
      <c r="P58" s="515"/>
      <c r="Q58" s="516"/>
      <c r="R58" s="516"/>
      <c r="S58" s="516"/>
      <c r="T58" s="515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39"/>
      <c r="J59" s="1040"/>
      <c r="K59" s="1040"/>
      <c r="L59" s="1040"/>
      <c r="M59" s="1040"/>
      <c r="N59" s="1040"/>
      <c r="O59" s="1040"/>
      <c r="P59" s="1040"/>
      <c r="Q59" s="1038"/>
      <c r="R59" s="1038"/>
      <c r="S59" s="1038"/>
      <c r="T59" s="1040"/>
      <c r="U59" s="68" t="e">
        <f>VLOOKUP(T59,DescontosTE[[#All],[idsreag supridora]:[codsariSUP]],2,FALSE)</f>
        <v>#N/A</v>
      </c>
    </row>
    <row r="60" spans="1:21">
      <c r="B60" s="1033" t="s">
        <v>102</v>
      </c>
      <c r="C60" s="72"/>
    </row>
    <row r="61" spans="1:21" ht="16.5">
      <c r="B61" s="1041" t="s">
        <v>103</v>
      </c>
      <c r="C61" s="847">
        <v>0</v>
      </c>
      <c r="D61" s="68">
        <v>0</v>
      </c>
    </row>
    <row r="62" spans="1:21" ht="16.5">
      <c r="B62" s="712" t="s">
        <v>104</v>
      </c>
      <c r="C62" s="540">
        <v>19732.650000000001</v>
      </c>
      <c r="D62" s="69">
        <v>0</v>
      </c>
    </row>
    <row r="63" spans="1:21" ht="16.5">
      <c r="B63" s="712" t="s">
        <v>105</v>
      </c>
      <c r="C63" s="540">
        <v>0</v>
      </c>
      <c r="D63" s="69">
        <v>0</v>
      </c>
    </row>
    <row r="64" spans="1:21" ht="16.5">
      <c r="B64" s="712" t="s">
        <v>106</v>
      </c>
      <c r="C64" s="540">
        <v>12692.25</v>
      </c>
      <c r="D64" s="69">
        <v>0</v>
      </c>
    </row>
    <row r="65" spans="2:4" ht="16.5">
      <c r="B65" s="712" t="s">
        <v>107</v>
      </c>
      <c r="C65" s="540">
        <v>334642.78000000003</v>
      </c>
      <c r="D65" s="69">
        <v>0</v>
      </c>
    </row>
    <row r="66" spans="2:4" ht="16.5">
      <c r="B66" s="1042" t="s">
        <v>108</v>
      </c>
      <c r="C66" s="846">
        <v>53316.67</v>
      </c>
      <c r="D66" s="69">
        <v>0</v>
      </c>
    </row>
    <row r="70" spans="2:4">
      <c r="B70" s="973" t="s">
        <v>109</v>
      </c>
      <c r="C70" s="973" t="s">
        <v>36</v>
      </c>
      <c r="D70" s="973" t="s">
        <v>110</v>
      </c>
    </row>
    <row r="71" spans="2:4">
      <c r="B71" s="890" t="s">
        <v>54</v>
      </c>
      <c r="C71" s="1553"/>
      <c r="D71" s="891"/>
    </row>
    <row r="72" spans="2:4">
      <c r="B72" s="890" t="s">
        <v>111</v>
      </c>
      <c r="C72" s="1553">
        <v>2838376.3960085167</v>
      </c>
      <c r="D72" s="891" t="s">
        <v>2285</v>
      </c>
    </row>
    <row r="73" spans="2:4">
      <c r="B73" s="890" t="s">
        <v>112</v>
      </c>
      <c r="C73" s="1553">
        <v>2788818.9886930156</v>
      </c>
      <c r="D73" s="891" t="s">
        <v>2285</v>
      </c>
    </row>
    <row r="74" spans="2:4">
      <c r="B74" s="890" t="s">
        <v>113</v>
      </c>
      <c r="C74" s="1553">
        <v>-1710000</v>
      </c>
      <c r="D74" s="891" t="s">
        <v>2286</v>
      </c>
    </row>
    <row r="75" spans="2:4">
      <c r="B75" s="890" t="s">
        <v>114</v>
      </c>
      <c r="C75" s="1553">
        <v>3110206.1377646979</v>
      </c>
      <c r="D75" s="891" t="s">
        <v>2287</v>
      </c>
    </row>
    <row r="76" spans="2:4">
      <c r="B76" s="890" t="s">
        <v>115</v>
      </c>
      <c r="C76" s="1553">
        <v>1</v>
      </c>
      <c r="D76" s="891"/>
    </row>
    <row r="77" spans="2:4">
      <c r="B77" s="890" t="s">
        <v>116</v>
      </c>
      <c r="C77" s="1553">
        <v>0</v>
      </c>
      <c r="D77" s="891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8" t="s">
        <v>117</v>
      </c>
      <c r="C2" s="378" t="s">
        <v>118</v>
      </c>
      <c r="D2" s="378" t="s">
        <v>119</v>
      </c>
      <c r="E2" s="378" t="s">
        <v>120</v>
      </c>
      <c r="F2" s="378" t="s">
        <v>121</v>
      </c>
      <c r="G2" s="378" t="s">
        <v>122</v>
      </c>
      <c r="H2" s="378" t="s">
        <v>123</v>
      </c>
      <c r="I2" s="378" t="s">
        <v>124</v>
      </c>
      <c r="J2" s="378" t="s">
        <v>125</v>
      </c>
      <c r="K2" s="378" t="s">
        <v>126</v>
      </c>
      <c r="L2" s="378" t="s">
        <v>127</v>
      </c>
      <c r="M2" s="378" t="s">
        <v>128</v>
      </c>
      <c r="N2" s="378" t="s">
        <v>129</v>
      </c>
      <c r="O2" s="378" t="s">
        <v>130</v>
      </c>
      <c r="P2" s="378" t="s">
        <v>131</v>
      </c>
      <c r="Q2" s="378" t="s">
        <v>132</v>
      </c>
      <c r="R2" s="378" t="s">
        <v>133</v>
      </c>
      <c r="S2" s="378" t="s">
        <v>134</v>
      </c>
      <c r="T2" s="378" t="s">
        <v>135</v>
      </c>
    </row>
    <row r="3" spans="2:20">
      <c r="B3" s="379"/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</row>
    <row r="4" spans="2:20">
      <c r="B4" s="379"/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  <c r="O4" s="379"/>
      <c r="P4" s="379"/>
      <c r="Q4" s="379"/>
      <c r="R4" s="379"/>
      <c r="S4" s="379"/>
      <c r="T4" s="379"/>
    </row>
    <row r="5" spans="2:20">
      <c r="B5" s="379"/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  <c r="O5" s="379"/>
      <c r="P5" s="379"/>
      <c r="Q5" s="379"/>
      <c r="R5" s="379"/>
      <c r="S5" s="379"/>
      <c r="T5" s="379"/>
    </row>
    <row r="6" spans="2:20">
      <c r="B6" s="379"/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  <c r="O6" s="379"/>
      <c r="P6" s="379"/>
      <c r="Q6" s="379"/>
      <c r="R6" s="379"/>
      <c r="S6" s="379"/>
      <c r="T6" s="379"/>
    </row>
    <row r="7" spans="2:20">
      <c r="B7" s="379"/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  <c r="O7" s="379"/>
      <c r="P7" s="379"/>
      <c r="Q7" s="379"/>
      <c r="R7" s="379"/>
      <c r="S7" s="379"/>
      <c r="T7" s="379"/>
    </row>
    <row r="8" spans="2:20">
      <c r="B8" s="379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  <c r="O8" s="379"/>
      <c r="P8" s="379"/>
      <c r="Q8" s="379"/>
      <c r="R8" s="379"/>
      <c r="S8" s="379"/>
      <c r="T8" s="379"/>
    </row>
    <row r="9" spans="2:20"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  <c r="O9" s="379"/>
      <c r="P9" s="379"/>
      <c r="Q9" s="379"/>
      <c r="R9" s="379"/>
      <c r="S9" s="379"/>
      <c r="T9" s="379"/>
    </row>
    <row r="10" spans="2:20">
      <c r="B10" s="379"/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79"/>
      <c r="P10" s="379"/>
      <c r="Q10" s="379"/>
      <c r="R10" s="379"/>
      <c r="S10" s="379"/>
      <c r="T10" s="379"/>
    </row>
    <row r="11" spans="2:20">
      <c r="B11" s="379"/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  <c r="O11" s="379"/>
      <c r="P11" s="379"/>
      <c r="Q11" s="379"/>
      <c r="R11" s="379"/>
      <c r="S11" s="379"/>
      <c r="T11" s="379"/>
    </row>
    <row r="12" spans="2:20"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  <c r="P12" s="379"/>
      <c r="Q12" s="379"/>
      <c r="R12" s="379"/>
      <c r="S12" s="379"/>
      <c r="T12" s="379"/>
    </row>
    <row r="13" spans="2:20"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379"/>
      <c r="Q13" s="379"/>
      <c r="R13" s="379"/>
      <c r="S13" s="379"/>
      <c r="T13" s="379"/>
    </row>
    <row r="14" spans="2:20"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379"/>
      <c r="Q14" s="379"/>
      <c r="R14" s="379"/>
      <c r="S14" s="379"/>
      <c r="T14" s="379"/>
    </row>
    <row r="15" spans="2:20"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79"/>
      <c r="P15" s="379"/>
      <c r="Q15" s="379"/>
      <c r="R15" s="379"/>
      <c r="S15" s="379"/>
      <c r="T15" s="379"/>
    </row>
    <row r="16" spans="2:20">
      <c r="B16" s="379"/>
      <c r="C16" s="379"/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  <c r="O16" s="379"/>
      <c r="P16" s="379"/>
      <c r="Q16" s="379"/>
      <c r="R16" s="379"/>
      <c r="S16" s="379"/>
      <c r="T16" s="379"/>
    </row>
    <row r="17" spans="2:20">
      <c r="B17" s="379"/>
      <c r="C17" s="379"/>
      <c r="D17" s="379"/>
      <c r="E17" s="379"/>
      <c r="F17" s="379"/>
      <c r="G17" s="379"/>
      <c r="H17" s="379"/>
      <c r="I17" s="379"/>
      <c r="J17" s="379"/>
      <c r="K17" s="379"/>
      <c r="L17" s="379"/>
      <c r="M17" s="379"/>
      <c r="N17" s="379"/>
      <c r="O17" s="379"/>
      <c r="P17" s="379"/>
      <c r="Q17" s="379"/>
      <c r="R17" s="379"/>
      <c r="S17" s="379"/>
      <c r="T17" s="379"/>
    </row>
    <row r="18" spans="2:20">
      <c r="B18" s="379"/>
      <c r="C18" s="379"/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  <c r="O18" s="379"/>
      <c r="P18" s="379"/>
      <c r="Q18" s="379"/>
      <c r="R18" s="379"/>
      <c r="S18" s="379"/>
      <c r="T18" s="379"/>
    </row>
    <row r="19" spans="2:20">
      <c r="B19" s="379"/>
      <c r="C19" s="379"/>
      <c r="D19" s="379"/>
      <c r="E19" s="379"/>
      <c r="F19" s="379"/>
      <c r="G19" s="379"/>
      <c r="H19" s="379"/>
      <c r="I19" s="379"/>
      <c r="J19" s="379"/>
      <c r="K19" s="379"/>
      <c r="L19" s="379"/>
      <c r="M19" s="379"/>
      <c r="N19" s="379"/>
      <c r="O19" s="379"/>
      <c r="P19" s="379"/>
      <c r="Q19" s="379"/>
      <c r="R19" s="379"/>
      <c r="S19" s="379"/>
      <c r="T19" s="379"/>
    </row>
    <row r="20" spans="2:20">
      <c r="B20" s="379"/>
      <c r="C20" s="379"/>
      <c r="D20" s="379"/>
      <c r="E20" s="379"/>
      <c r="F20" s="379"/>
      <c r="G20" s="379"/>
      <c r="H20" s="379"/>
      <c r="I20" s="379"/>
      <c r="J20" s="379"/>
      <c r="K20" s="379"/>
      <c r="L20" s="379"/>
      <c r="M20" s="379"/>
      <c r="N20" s="379"/>
      <c r="O20" s="379"/>
      <c r="P20" s="379"/>
      <c r="Q20" s="379"/>
      <c r="R20" s="379"/>
      <c r="S20" s="379"/>
      <c r="T20" s="379"/>
    </row>
    <row r="21" spans="2:20">
      <c r="B21" s="379"/>
      <c r="C21" s="379"/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  <c r="O21" s="379"/>
      <c r="P21" s="379"/>
      <c r="Q21" s="379"/>
      <c r="R21" s="379"/>
      <c r="S21" s="379"/>
      <c r="T21" s="379"/>
    </row>
    <row r="22" spans="2:20"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  <c r="O22" s="379"/>
      <c r="P22" s="379"/>
      <c r="Q22" s="379"/>
      <c r="R22" s="379"/>
      <c r="S22" s="379"/>
      <c r="T22" s="379"/>
    </row>
    <row r="23" spans="2:20"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  <c r="O23" s="379"/>
      <c r="P23" s="379"/>
      <c r="Q23" s="379"/>
      <c r="R23" s="379"/>
      <c r="S23" s="379"/>
      <c r="T23" s="379"/>
    </row>
    <row r="24" spans="2:20"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379"/>
      <c r="Q24" s="379"/>
      <c r="R24" s="379"/>
      <c r="S24" s="379"/>
      <c r="T24" s="379"/>
    </row>
    <row r="25" spans="2:20"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  <c r="P25" s="379"/>
      <c r="Q25" s="379"/>
      <c r="R25" s="379"/>
      <c r="S25" s="379"/>
      <c r="T25" s="379"/>
    </row>
    <row r="26" spans="2:20"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  <c r="O26" s="379"/>
      <c r="P26" s="379"/>
      <c r="Q26" s="379"/>
      <c r="R26" s="379"/>
      <c r="S26" s="379"/>
      <c r="T26" s="379"/>
    </row>
    <row r="27" spans="2:20"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  <c r="O27" s="379"/>
      <c r="P27" s="379"/>
      <c r="Q27" s="379"/>
      <c r="R27" s="379"/>
      <c r="S27" s="379"/>
      <c r="T27" s="379"/>
    </row>
    <row r="28" spans="2:20">
      <c r="B28" s="379"/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  <c r="O28" s="379"/>
      <c r="P28" s="379"/>
      <c r="Q28" s="379"/>
      <c r="R28" s="379"/>
      <c r="S28" s="379"/>
      <c r="T28" s="379"/>
    </row>
    <row r="29" spans="2:20">
      <c r="B29" s="379"/>
      <c r="C29" s="379"/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  <c r="O29" s="379"/>
      <c r="P29" s="379"/>
      <c r="Q29" s="379"/>
      <c r="R29" s="379"/>
      <c r="S29" s="379"/>
      <c r="T29" s="379"/>
    </row>
    <row r="30" spans="2:20">
      <c r="B30" s="379"/>
      <c r="C30" s="379"/>
      <c r="D30" s="379"/>
      <c r="E30" s="379"/>
      <c r="F30" s="379"/>
      <c r="G30" s="379"/>
      <c r="H30" s="379"/>
      <c r="I30" s="379"/>
      <c r="J30" s="379"/>
      <c r="K30" s="379"/>
      <c r="L30" s="379"/>
      <c r="M30" s="379"/>
      <c r="N30" s="379"/>
      <c r="O30" s="379"/>
      <c r="P30" s="379"/>
      <c r="Q30" s="379"/>
      <c r="R30" s="379"/>
      <c r="S30" s="379"/>
      <c r="T30" s="379"/>
    </row>
    <row r="31" spans="2:20">
      <c r="B31" s="379"/>
      <c r="C31" s="379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  <c r="O31" s="379"/>
      <c r="P31" s="379"/>
      <c r="Q31" s="379"/>
      <c r="R31" s="379"/>
      <c r="S31" s="379"/>
      <c r="T31" s="379"/>
    </row>
    <row r="32" spans="2:20"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  <c r="O32" s="379"/>
      <c r="P32" s="379"/>
      <c r="Q32" s="379"/>
      <c r="R32" s="379"/>
      <c r="S32" s="379"/>
      <c r="T32" s="379"/>
    </row>
    <row r="33" spans="2:20">
      <c r="B33" s="379"/>
      <c r="C33" s="379"/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  <c r="O33" s="379"/>
      <c r="P33" s="379"/>
      <c r="Q33" s="379"/>
      <c r="R33" s="379"/>
      <c r="S33" s="379"/>
      <c r="T33" s="379"/>
    </row>
    <row r="34" spans="2:20">
      <c r="B34" s="379"/>
      <c r="C34" s="379"/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  <c r="O34" s="379"/>
      <c r="P34" s="379"/>
      <c r="Q34" s="379"/>
      <c r="R34" s="379"/>
      <c r="S34" s="379"/>
      <c r="T34" s="379"/>
    </row>
    <row r="35" spans="2:20">
      <c r="B35" s="379"/>
      <c r="C35" s="379"/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  <c r="O35" s="379"/>
      <c r="P35" s="379"/>
      <c r="Q35" s="379"/>
      <c r="R35" s="379"/>
      <c r="S35" s="379"/>
      <c r="T35" s="379"/>
    </row>
    <row r="36" spans="2:20">
      <c r="B36" s="379"/>
      <c r="C36" s="379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  <c r="O36" s="379"/>
      <c r="P36" s="379"/>
      <c r="Q36" s="379"/>
      <c r="R36" s="379"/>
      <c r="S36" s="379"/>
      <c r="T36" s="379"/>
    </row>
    <row r="37" spans="2:20">
      <c r="B37" s="379"/>
      <c r="C37" s="379"/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  <c r="O37" s="379"/>
      <c r="P37" s="379"/>
      <c r="Q37" s="379"/>
      <c r="R37" s="379"/>
      <c r="S37" s="379"/>
      <c r="T37" s="379"/>
    </row>
    <row r="38" spans="2:20">
      <c r="B38" s="379"/>
      <c r="C38" s="379"/>
      <c r="D38" s="379"/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379"/>
      <c r="Q38" s="379"/>
      <c r="R38" s="379"/>
      <c r="S38" s="379"/>
      <c r="T38" s="379"/>
    </row>
    <row r="39" spans="2:20">
      <c r="B39" s="379"/>
      <c r="C39" s="379"/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379"/>
      <c r="P39" s="379"/>
      <c r="Q39" s="379"/>
      <c r="R39" s="379"/>
      <c r="S39" s="379"/>
      <c r="T39" s="379"/>
    </row>
    <row r="40" spans="2:20">
      <c r="B40" s="379"/>
      <c r="C40" s="379"/>
      <c r="D40" s="379"/>
      <c r="E40" s="379"/>
      <c r="F40" s="379"/>
      <c r="G40" s="379"/>
      <c r="H40" s="379"/>
      <c r="I40" s="379"/>
      <c r="J40" s="379"/>
      <c r="K40" s="379"/>
      <c r="L40" s="379"/>
      <c r="M40" s="379"/>
      <c r="N40" s="379"/>
      <c r="O40" s="379"/>
      <c r="P40" s="379"/>
      <c r="Q40" s="379"/>
      <c r="R40" s="379"/>
      <c r="S40" s="379"/>
      <c r="T40" s="379"/>
    </row>
    <row r="41" spans="2:20">
      <c r="B41" s="379"/>
      <c r="C41" s="379"/>
      <c r="D41" s="379"/>
      <c r="E41" s="379"/>
      <c r="F41" s="379"/>
      <c r="G41" s="379"/>
      <c r="H41" s="379"/>
      <c r="I41" s="379"/>
      <c r="J41" s="379"/>
      <c r="K41" s="379"/>
      <c r="L41" s="379"/>
      <c r="M41" s="379"/>
      <c r="N41" s="379"/>
      <c r="O41" s="379"/>
      <c r="P41" s="379"/>
      <c r="Q41" s="379"/>
      <c r="R41" s="379"/>
      <c r="S41" s="379"/>
      <c r="T41" s="379"/>
    </row>
    <row r="42" spans="2:20">
      <c r="B42" s="379"/>
      <c r="C42" s="379"/>
      <c r="D42" s="379"/>
      <c r="E42" s="379"/>
      <c r="F42" s="379"/>
      <c r="G42" s="379"/>
      <c r="H42" s="379"/>
      <c r="I42" s="379"/>
      <c r="J42" s="379"/>
      <c r="K42" s="379"/>
      <c r="L42" s="379"/>
      <c r="M42" s="379"/>
      <c r="N42" s="379"/>
      <c r="O42" s="379"/>
      <c r="P42" s="379"/>
      <c r="Q42" s="379"/>
      <c r="R42" s="379"/>
      <c r="S42" s="379"/>
      <c r="T42" s="379"/>
    </row>
    <row r="43" spans="2:20">
      <c r="B43" s="379"/>
      <c r="C43" s="379"/>
      <c r="D43" s="379"/>
      <c r="E43" s="379"/>
      <c r="F43" s="379"/>
      <c r="G43" s="379"/>
      <c r="H43" s="379"/>
      <c r="I43" s="379"/>
      <c r="J43" s="379"/>
      <c r="K43" s="379"/>
      <c r="L43" s="379"/>
      <c r="M43" s="379"/>
      <c r="N43" s="379"/>
      <c r="O43" s="379"/>
      <c r="P43" s="379"/>
      <c r="Q43" s="379"/>
      <c r="R43" s="379"/>
      <c r="S43" s="379"/>
      <c r="T43" s="379"/>
    </row>
    <row r="44" spans="2:20">
      <c r="B44" s="379"/>
      <c r="C44" s="379"/>
      <c r="D44" s="379"/>
      <c r="E44" s="379"/>
      <c r="F44" s="379"/>
      <c r="G44" s="379"/>
      <c r="H44" s="379"/>
      <c r="I44" s="379"/>
      <c r="J44" s="379"/>
      <c r="K44" s="379"/>
      <c r="L44" s="379"/>
      <c r="M44" s="379"/>
      <c r="N44" s="379"/>
      <c r="O44" s="379"/>
      <c r="P44" s="379"/>
      <c r="Q44" s="379"/>
      <c r="R44" s="379"/>
      <c r="S44" s="379"/>
      <c r="T44" s="379"/>
    </row>
    <row r="45" spans="2:20">
      <c r="B45" s="379"/>
      <c r="C45" s="379"/>
      <c r="D45" s="379"/>
      <c r="E45" s="379"/>
      <c r="F45" s="379"/>
      <c r="G45" s="379"/>
      <c r="H45" s="379"/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</row>
    <row r="46" spans="2:20">
      <c r="B46" s="379"/>
      <c r="C46" s="379"/>
      <c r="D46" s="379"/>
      <c r="E46" s="379"/>
      <c r="F46" s="379"/>
      <c r="G46" s="379"/>
      <c r="H46" s="379"/>
      <c r="I46" s="379"/>
      <c r="J46" s="379"/>
      <c r="K46" s="379"/>
      <c r="L46" s="379"/>
      <c r="M46" s="379"/>
      <c r="N46" s="379"/>
      <c r="O46" s="379"/>
      <c r="P46" s="379"/>
      <c r="Q46" s="379"/>
      <c r="R46" s="379"/>
      <c r="S46" s="379"/>
      <c r="T46" s="379"/>
    </row>
    <row r="47" spans="2:20">
      <c r="B47" s="379"/>
      <c r="C47" s="379"/>
      <c r="D47" s="379"/>
      <c r="E47" s="379"/>
      <c r="F47" s="379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Q47" s="379"/>
      <c r="R47" s="379"/>
      <c r="S47" s="379"/>
      <c r="T47" s="379"/>
    </row>
    <row r="48" spans="2:20">
      <c r="B48" s="379"/>
      <c r="C48" s="379"/>
      <c r="D48" s="379"/>
      <c r="E48" s="379"/>
      <c r="F48" s="379"/>
      <c r="G48" s="379"/>
      <c r="H48" s="379"/>
      <c r="I48" s="379"/>
      <c r="J48" s="379"/>
      <c r="K48" s="379"/>
      <c r="L48" s="379"/>
      <c r="M48" s="379"/>
      <c r="N48" s="379"/>
      <c r="O48" s="379"/>
      <c r="P48" s="379"/>
      <c r="Q48" s="379"/>
      <c r="R48" s="379"/>
      <c r="S48" s="379"/>
      <c r="T48" s="379"/>
    </row>
    <row r="49" spans="2:20">
      <c r="B49" s="379"/>
      <c r="C49" s="379"/>
      <c r="D49" s="379"/>
      <c r="E49" s="379"/>
      <c r="F49" s="379"/>
      <c r="G49" s="379"/>
      <c r="H49" s="379"/>
      <c r="I49" s="379"/>
      <c r="J49" s="379"/>
      <c r="K49" s="379"/>
      <c r="L49" s="379"/>
      <c r="M49" s="379"/>
      <c r="N49" s="379"/>
      <c r="O49" s="379"/>
      <c r="P49" s="379"/>
      <c r="Q49" s="379"/>
      <c r="R49" s="379"/>
      <c r="S49" s="379"/>
      <c r="T49" s="379"/>
    </row>
    <row r="50" spans="2:20">
      <c r="B50" s="379"/>
      <c r="C50" s="379"/>
      <c r="D50" s="379"/>
      <c r="E50" s="379"/>
      <c r="F50" s="379"/>
      <c r="G50" s="379"/>
      <c r="H50" s="379"/>
      <c r="I50" s="379"/>
      <c r="J50" s="379"/>
      <c r="K50" s="379"/>
      <c r="L50" s="379"/>
      <c r="M50" s="379"/>
      <c r="N50" s="379"/>
      <c r="O50" s="379"/>
      <c r="P50" s="379"/>
      <c r="Q50" s="379"/>
      <c r="R50" s="379"/>
      <c r="S50" s="379"/>
      <c r="T50" s="379"/>
    </row>
    <row r="51" spans="2:20">
      <c r="B51" s="379"/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</row>
    <row r="52" spans="2:20">
      <c r="B52" s="379"/>
      <c r="C52" s="379"/>
      <c r="D52" s="379"/>
      <c r="E52" s="379"/>
      <c r="F52" s="379"/>
      <c r="G52" s="379"/>
      <c r="H52" s="379"/>
      <c r="I52" s="379"/>
      <c r="J52" s="379"/>
      <c r="K52" s="379"/>
      <c r="L52" s="379"/>
      <c r="M52" s="379"/>
      <c r="N52" s="379"/>
      <c r="O52" s="379"/>
      <c r="P52" s="379"/>
      <c r="Q52" s="379"/>
      <c r="R52" s="379"/>
      <c r="S52" s="379"/>
      <c r="T52" s="379"/>
    </row>
    <row r="53" spans="2:20">
      <c r="B53" s="379"/>
      <c r="C53" s="379"/>
      <c r="D53" s="379"/>
      <c r="E53" s="379"/>
      <c r="F53" s="379"/>
      <c r="G53" s="379"/>
      <c r="H53" s="379"/>
      <c r="I53" s="379"/>
      <c r="J53" s="379"/>
      <c r="K53" s="379"/>
      <c r="L53" s="379"/>
      <c r="M53" s="379"/>
      <c r="N53" s="379"/>
      <c r="O53" s="379"/>
      <c r="P53" s="379"/>
      <c r="Q53" s="379"/>
      <c r="R53" s="379"/>
      <c r="S53" s="379"/>
      <c r="T53" s="379"/>
    </row>
    <row r="54" spans="2:20">
      <c r="B54" s="379"/>
      <c r="C54" s="379"/>
      <c r="D54" s="379"/>
      <c r="E54" s="379"/>
      <c r="F54" s="379"/>
      <c r="G54" s="379"/>
      <c r="H54" s="379"/>
      <c r="I54" s="379"/>
      <c r="J54" s="379"/>
      <c r="K54" s="379"/>
      <c r="L54" s="379"/>
      <c r="M54" s="379"/>
      <c r="N54" s="379"/>
      <c r="O54" s="379"/>
      <c r="P54" s="379"/>
      <c r="Q54" s="379"/>
      <c r="R54" s="379"/>
      <c r="S54" s="379"/>
      <c r="T54" s="379"/>
    </row>
    <row r="55" spans="2:20">
      <c r="B55" s="379"/>
      <c r="C55" s="379"/>
      <c r="D55" s="379"/>
      <c r="E55" s="379"/>
      <c r="F55" s="379"/>
      <c r="G55" s="379"/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9"/>
    </row>
    <row r="56" spans="2:20">
      <c r="B56" s="379"/>
      <c r="C56" s="379"/>
      <c r="D56" s="379"/>
      <c r="E56" s="379"/>
      <c r="F56" s="379"/>
      <c r="G56" s="379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9"/>
    </row>
    <row r="57" spans="2:20">
      <c r="B57" s="379"/>
      <c r="C57" s="379"/>
      <c r="D57" s="379"/>
      <c r="E57" s="379"/>
      <c r="F57" s="379"/>
      <c r="G57" s="379"/>
      <c r="H57" s="379"/>
      <c r="I57" s="379"/>
      <c r="J57" s="379"/>
      <c r="K57" s="379"/>
      <c r="L57" s="379"/>
      <c r="M57" s="379"/>
      <c r="N57" s="379"/>
      <c r="O57" s="379"/>
      <c r="P57" s="379"/>
      <c r="Q57" s="379"/>
      <c r="R57" s="379"/>
      <c r="S57" s="379"/>
      <c r="T57" s="379"/>
    </row>
    <row r="58" spans="2:20">
      <c r="B58" s="379"/>
      <c r="C58" s="379"/>
      <c r="D58" s="379"/>
      <c r="E58" s="379"/>
      <c r="F58" s="379"/>
      <c r="G58" s="379"/>
      <c r="H58" s="379"/>
      <c r="I58" s="379"/>
      <c r="J58" s="379"/>
      <c r="K58" s="379"/>
      <c r="L58" s="379"/>
      <c r="M58" s="379"/>
      <c r="N58" s="379"/>
      <c r="O58" s="379"/>
      <c r="P58" s="379"/>
      <c r="Q58" s="379"/>
      <c r="R58" s="379"/>
      <c r="S58" s="379"/>
      <c r="T58" s="379"/>
    </row>
    <row r="59" spans="2:20">
      <c r="B59" s="379"/>
      <c r="C59" s="379"/>
      <c r="D59" s="379"/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</row>
    <row r="60" spans="2:20">
      <c r="B60" s="379"/>
      <c r="C60" s="379"/>
      <c r="D60" s="379"/>
      <c r="E60" s="379"/>
      <c r="F60" s="379"/>
      <c r="G60" s="379"/>
      <c r="H60" s="379"/>
      <c r="I60" s="379"/>
      <c r="J60" s="379"/>
      <c r="K60" s="379"/>
      <c r="L60" s="379"/>
      <c r="M60" s="379"/>
      <c r="N60" s="379"/>
      <c r="O60" s="379"/>
      <c r="P60" s="379"/>
      <c r="Q60" s="379"/>
      <c r="R60" s="379"/>
      <c r="S60" s="379"/>
      <c r="T60" s="379"/>
    </row>
    <row r="61" spans="2:20">
      <c r="B61" s="379"/>
      <c r="C61" s="379"/>
      <c r="D61" s="379"/>
      <c r="E61" s="379"/>
      <c r="F61" s="379"/>
      <c r="G61" s="379"/>
      <c r="H61" s="379"/>
      <c r="I61" s="379"/>
      <c r="J61" s="379"/>
      <c r="K61" s="379"/>
      <c r="L61" s="379"/>
      <c r="M61" s="379"/>
      <c r="N61" s="379"/>
      <c r="O61" s="379"/>
      <c r="P61" s="379"/>
      <c r="Q61" s="379"/>
      <c r="R61" s="379"/>
      <c r="S61" s="379"/>
      <c r="T61" s="379"/>
    </row>
    <row r="62" spans="2:20">
      <c r="B62" s="379"/>
      <c r="C62" s="379"/>
      <c r="D62" s="379"/>
      <c r="E62" s="379"/>
      <c r="F62" s="379"/>
      <c r="G62" s="379"/>
      <c r="H62" s="379"/>
      <c r="I62" s="379"/>
      <c r="J62" s="379"/>
      <c r="K62" s="379"/>
      <c r="L62" s="379"/>
      <c r="M62" s="379"/>
      <c r="N62" s="379"/>
      <c r="O62" s="379"/>
      <c r="P62" s="379"/>
      <c r="Q62" s="379"/>
      <c r="R62" s="379"/>
      <c r="S62" s="379"/>
      <c r="T62" s="379"/>
    </row>
    <row r="63" spans="2:20">
      <c r="B63" s="379"/>
      <c r="C63" s="379"/>
      <c r="D63" s="379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79"/>
      <c r="P63" s="379"/>
      <c r="Q63" s="379"/>
      <c r="R63" s="379"/>
      <c r="S63" s="379"/>
      <c r="T63" s="379"/>
    </row>
    <row r="64" spans="2:20">
      <c r="B64" s="379"/>
      <c r="C64" s="379"/>
      <c r="D64" s="379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79"/>
      <c r="P64" s="379"/>
      <c r="Q64" s="379"/>
      <c r="R64" s="379"/>
      <c r="S64" s="379"/>
      <c r="T64" s="379"/>
    </row>
    <row r="65" spans="2:20">
      <c r="B65" s="379"/>
      <c r="C65" s="379"/>
      <c r="D65" s="379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79"/>
      <c r="P65" s="379"/>
      <c r="Q65" s="379"/>
      <c r="R65" s="379"/>
      <c r="S65" s="379"/>
      <c r="T65" s="379"/>
    </row>
    <row r="66" spans="2:20">
      <c r="B66" s="379"/>
      <c r="C66" s="379"/>
      <c r="D66" s="379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79"/>
      <c r="P66" s="379"/>
      <c r="Q66" s="379"/>
      <c r="R66" s="379"/>
      <c r="S66" s="379"/>
      <c r="T66" s="379"/>
    </row>
    <row r="67" spans="2:20">
      <c r="B67" s="379"/>
      <c r="C67" s="379"/>
      <c r="D67" s="379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79"/>
      <c r="P67" s="379"/>
      <c r="Q67" s="379"/>
      <c r="R67" s="379"/>
      <c r="S67" s="379"/>
      <c r="T67" s="379"/>
    </row>
    <row r="68" spans="2:20">
      <c r="B68" s="379"/>
      <c r="C68" s="379"/>
      <c r="D68" s="379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79"/>
      <c r="P68" s="379"/>
      <c r="Q68" s="379"/>
      <c r="R68" s="379"/>
      <c r="S68" s="379"/>
      <c r="T68" s="379"/>
    </row>
    <row r="69" spans="2:20">
      <c r="B69" s="379"/>
      <c r="C69" s="379"/>
      <c r="D69" s="379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79"/>
      <c r="P69" s="379"/>
      <c r="Q69" s="379"/>
      <c r="R69" s="379"/>
      <c r="S69" s="379"/>
      <c r="T69" s="379"/>
    </row>
    <row r="70" spans="2:20">
      <c r="B70" s="379"/>
      <c r="C70" s="379"/>
      <c r="D70" s="379"/>
      <c r="E70" s="379"/>
      <c r="F70" s="379"/>
      <c r="G70" s="379"/>
      <c r="H70" s="379"/>
      <c r="I70" s="379"/>
      <c r="J70" s="379"/>
      <c r="K70" s="379"/>
      <c r="L70" s="379"/>
      <c r="M70" s="379"/>
      <c r="N70" s="379"/>
      <c r="O70" s="379"/>
      <c r="P70" s="379"/>
      <c r="Q70" s="379"/>
      <c r="R70" s="379"/>
      <c r="S70" s="379"/>
      <c r="T70" s="379"/>
    </row>
    <row r="71" spans="2:20">
      <c r="B71" s="379"/>
      <c r="C71" s="379"/>
      <c r="D71" s="379"/>
      <c r="E71" s="379"/>
      <c r="F71" s="379"/>
      <c r="G71" s="379"/>
      <c r="H71" s="379"/>
      <c r="I71" s="379"/>
      <c r="J71" s="379"/>
      <c r="K71" s="379"/>
      <c r="L71" s="379"/>
      <c r="M71" s="379"/>
      <c r="N71" s="379"/>
      <c r="O71" s="379"/>
      <c r="P71" s="379"/>
      <c r="Q71" s="379"/>
      <c r="R71" s="379"/>
      <c r="S71" s="379"/>
      <c r="T71" s="379"/>
    </row>
    <row r="72" spans="2:20">
      <c r="B72" s="379"/>
      <c r="C72" s="379"/>
      <c r="D72" s="379"/>
      <c r="E72" s="379"/>
      <c r="F72" s="379"/>
      <c r="G72" s="379"/>
      <c r="H72" s="379"/>
      <c r="I72" s="379"/>
      <c r="J72" s="379"/>
      <c r="K72" s="379"/>
      <c r="L72" s="379"/>
      <c r="M72" s="379"/>
      <c r="N72" s="379"/>
      <c r="O72" s="379"/>
      <c r="P72" s="379"/>
      <c r="Q72" s="379"/>
      <c r="R72" s="379"/>
      <c r="S72" s="379"/>
      <c r="T72" s="379"/>
    </row>
    <row r="73" spans="2:20">
      <c r="B73" s="379"/>
      <c r="C73" s="379"/>
      <c r="D73" s="379"/>
      <c r="E73" s="379"/>
      <c r="F73" s="379"/>
      <c r="G73" s="379"/>
      <c r="H73" s="379"/>
      <c r="I73" s="379"/>
      <c r="J73" s="379"/>
      <c r="K73" s="379"/>
      <c r="L73" s="379"/>
      <c r="M73" s="379"/>
      <c r="N73" s="379"/>
      <c r="O73" s="379"/>
      <c r="P73" s="379"/>
      <c r="Q73" s="379"/>
      <c r="R73" s="379"/>
      <c r="S73" s="379"/>
      <c r="T73" s="379"/>
    </row>
    <row r="74" spans="2:20">
      <c r="B74" s="379"/>
      <c r="C74" s="379"/>
      <c r="D74" s="379"/>
      <c r="E74" s="379"/>
      <c r="F74" s="379"/>
      <c r="G74" s="379"/>
      <c r="H74" s="379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</row>
    <row r="75" spans="2:20">
      <c r="B75" s="379"/>
      <c r="C75" s="379"/>
      <c r="D75" s="379"/>
      <c r="E75" s="379"/>
      <c r="F75" s="379"/>
      <c r="G75" s="379"/>
      <c r="H75" s="379"/>
      <c r="I75" s="379"/>
      <c r="J75" s="379"/>
      <c r="K75" s="379"/>
      <c r="L75" s="379"/>
      <c r="M75" s="379"/>
      <c r="N75" s="379"/>
      <c r="O75" s="379"/>
      <c r="P75" s="379"/>
      <c r="Q75" s="379"/>
      <c r="R75" s="379"/>
      <c r="S75" s="379"/>
      <c r="T75" s="379"/>
    </row>
    <row r="76" spans="2:20">
      <c r="B76" s="379"/>
      <c r="C76" s="379"/>
      <c r="D76" s="379"/>
      <c r="E76" s="379"/>
      <c r="F76" s="379"/>
      <c r="G76" s="379"/>
      <c r="H76" s="379"/>
      <c r="I76" s="379"/>
      <c r="J76" s="379"/>
      <c r="K76" s="379"/>
      <c r="L76" s="379"/>
      <c r="M76" s="379"/>
      <c r="N76" s="379"/>
      <c r="O76" s="379"/>
      <c r="P76" s="379"/>
      <c r="Q76" s="379"/>
      <c r="R76" s="379"/>
      <c r="S76" s="379"/>
      <c r="T76" s="379"/>
    </row>
    <row r="77" spans="2:20">
      <c r="B77" s="379"/>
      <c r="C77" s="379"/>
      <c r="D77" s="379"/>
      <c r="E77" s="379"/>
      <c r="F77" s="379"/>
      <c r="G77" s="379"/>
      <c r="H77" s="379"/>
      <c r="I77" s="379"/>
      <c r="J77" s="379"/>
      <c r="K77" s="379"/>
      <c r="L77" s="379"/>
      <c r="M77" s="379"/>
      <c r="N77" s="379"/>
      <c r="O77" s="379"/>
      <c r="P77" s="379"/>
      <c r="Q77" s="379"/>
      <c r="R77" s="379"/>
      <c r="S77" s="379"/>
      <c r="T77" s="379"/>
    </row>
    <row r="78" spans="2:20">
      <c r="B78" s="379"/>
      <c r="C78" s="379"/>
      <c r="D78" s="379"/>
      <c r="E78" s="379"/>
      <c r="F78" s="379"/>
      <c r="G78" s="379"/>
      <c r="H78" s="379"/>
      <c r="I78" s="379"/>
      <c r="J78" s="379"/>
      <c r="K78" s="379"/>
      <c r="L78" s="379"/>
      <c r="M78" s="379"/>
      <c r="N78" s="379"/>
      <c r="O78" s="379"/>
      <c r="P78" s="379"/>
      <c r="Q78" s="379"/>
      <c r="R78" s="379"/>
      <c r="S78" s="379"/>
      <c r="T78" s="379"/>
    </row>
    <row r="79" spans="2:20">
      <c r="B79" s="379"/>
      <c r="C79" s="379"/>
      <c r="D79" s="379"/>
      <c r="E79" s="379"/>
      <c r="F79" s="379"/>
      <c r="G79" s="379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79"/>
    </row>
    <row r="80" spans="2:20">
      <c r="B80" s="379"/>
      <c r="C80" s="379"/>
      <c r="D80" s="379"/>
      <c r="E80" s="379"/>
      <c r="F80" s="379"/>
      <c r="G80" s="379"/>
      <c r="H80" s="379"/>
      <c r="I80" s="379"/>
      <c r="J80" s="379"/>
      <c r="K80" s="379"/>
      <c r="L80" s="379"/>
      <c r="M80" s="379"/>
      <c r="N80" s="379"/>
      <c r="O80" s="379"/>
      <c r="P80" s="379"/>
      <c r="Q80" s="379"/>
      <c r="R80" s="379"/>
      <c r="S80" s="379"/>
      <c r="T80" s="379"/>
    </row>
    <row r="81" spans="2:20">
      <c r="B81" s="379"/>
      <c r="C81" s="379"/>
      <c r="D81" s="379"/>
      <c r="E81" s="379"/>
      <c r="F81" s="379"/>
      <c r="G81" s="379"/>
      <c r="H81" s="379"/>
      <c r="I81" s="379"/>
      <c r="J81" s="379"/>
      <c r="K81" s="379"/>
      <c r="L81" s="379"/>
      <c r="M81" s="379"/>
      <c r="N81" s="379"/>
      <c r="O81" s="379"/>
      <c r="P81" s="379"/>
      <c r="Q81" s="379"/>
      <c r="R81" s="379"/>
      <c r="S81" s="379"/>
      <c r="T81" s="379"/>
    </row>
    <row r="82" spans="2:20">
      <c r="B82" s="379"/>
      <c r="C82" s="379"/>
      <c r="D82" s="379"/>
      <c r="E82" s="379"/>
      <c r="F82" s="379"/>
      <c r="G82" s="379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79"/>
    </row>
    <row r="83" spans="2:20">
      <c r="B83" s="379"/>
      <c r="C83" s="379"/>
      <c r="D83" s="379"/>
      <c r="E83" s="379"/>
      <c r="F83" s="379"/>
      <c r="G83" s="379"/>
      <c r="H83" s="379"/>
      <c r="I83" s="379"/>
      <c r="J83" s="379"/>
      <c r="K83" s="379"/>
      <c r="L83" s="379"/>
      <c r="M83" s="379"/>
      <c r="N83" s="379"/>
      <c r="O83" s="379"/>
      <c r="P83" s="379"/>
      <c r="Q83" s="379"/>
      <c r="R83" s="379"/>
      <c r="S83" s="379"/>
      <c r="T83" s="379"/>
    </row>
    <row r="84" spans="2:20">
      <c r="B84" s="379"/>
      <c r="C84" s="379"/>
      <c r="D84" s="379"/>
      <c r="E84" s="379"/>
      <c r="F84" s="379"/>
      <c r="G84" s="379"/>
      <c r="H84" s="379"/>
      <c r="I84" s="379"/>
      <c r="J84" s="379"/>
      <c r="K84" s="379"/>
      <c r="L84" s="379"/>
      <c r="M84" s="379"/>
      <c r="N84" s="379"/>
      <c r="O84" s="379"/>
      <c r="P84" s="379"/>
      <c r="Q84" s="379"/>
      <c r="R84" s="379"/>
      <c r="S84" s="379"/>
      <c r="T84" s="379"/>
    </row>
    <row r="85" spans="2:20">
      <c r="B85" s="379"/>
      <c r="C85" s="379"/>
      <c r="D85" s="379"/>
      <c r="E85" s="379"/>
      <c r="F85" s="379"/>
      <c r="G85" s="379"/>
      <c r="H85" s="379"/>
      <c r="I85" s="379"/>
      <c r="J85" s="379"/>
      <c r="K85" s="379"/>
      <c r="L85" s="379"/>
      <c r="M85" s="379"/>
      <c r="N85" s="379"/>
      <c r="O85" s="379"/>
      <c r="P85" s="379"/>
      <c r="Q85" s="379"/>
      <c r="R85" s="379"/>
      <c r="S85" s="379"/>
      <c r="T85" s="379"/>
    </row>
    <row r="86" spans="2:20">
      <c r="B86" s="379"/>
      <c r="C86" s="379"/>
      <c r="D86" s="379"/>
      <c r="E86" s="379"/>
      <c r="F86" s="379"/>
      <c r="G86" s="379"/>
      <c r="H86" s="379"/>
      <c r="I86" s="379"/>
      <c r="J86" s="379"/>
      <c r="K86" s="379"/>
      <c r="L86" s="379"/>
      <c r="M86" s="379"/>
      <c r="N86" s="379"/>
      <c r="O86" s="379"/>
      <c r="P86" s="379"/>
      <c r="Q86" s="379"/>
      <c r="R86" s="379"/>
      <c r="S86" s="379"/>
      <c r="T86" s="379"/>
    </row>
    <row r="87" spans="2:20">
      <c r="B87" s="379"/>
      <c r="C87" s="379"/>
      <c r="D87" s="379"/>
      <c r="E87" s="379"/>
      <c r="F87" s="379"/>
      <c r="G87" s="379"/>
      <c r="H87" s="379"/>
      <c r="I87" s="379"/>
      <c r="J87" s="379"/>
      <c r="K87" s="379"/>
      <c r="L87" s="379"/>
      <c r="M87" s="379"/>
      <c r="N87" s="379"/>
      <c r="O87" s="379"/>
      <c r="P87" s="379"/>
      <c r="Q87" s="379"/>
      <c r="R87" s="379"/>
      <c r="S87" s="379"/>
      <c r="T87" s="379"/>
    </row>
    <row r="88" spans="2:20">
      <c r="B88" s="379"/>
      <c r="C88" s="379"/>
      <c r="D88" s="379"/>
      <c r="E88" s="379"/>
      <c r="F88" s="379"/>
      <c r="G88" s="379"/>
      <c r="H88" s="379"/>
      <c r="I88" s="379"/>
      <c r="J88" s="379"/>
      <c r="K88" s="379"/>
      <c r="L88" s="379"/>
      <c r="M88" s="379"/>
      <c r="N88" s="379"/>
      <c r="O88" s="379"/>
      <c r="P88" s="379"/>
      <c r="Q88" s="379"/>
      <c r="R88" s="379"/>
      <c r="S88" s="379"/>
      <c r="T88" s="379"/>
    </row>
    <row r="89" spans="2:20">
      <c r="B89" s="379"/>
      <c r="C89" s="379"/>
      <c r="D89" s="379"/>
      <c r="E89" s="379"/>
      <c r="F89" s="379"/>
      <c r="G89" s="379"/>
      <c r="H89" s="379"/>
      <c r="I89" s="379"/>
      <c r="J89" s="379"/>
      <c r="K89" s="379"/>
      <c r="L89" s="379"/>
      <c r="M89" s="379"/>
      <c r="N89" s="379"/>
      <c r="O89" s="379"/>
      <c r="P89" s="379"/>
      <c r="Q89" s="379"/>
      <c r="R89" s="379"/>
      <c r="S89" s="379"/>
      <c r="T89" s="379"/>
    </row>
    <row r="90" spans="2:20">
      <c r="B90" s="379"/>
      <c r="C90" s="379"/>
      <c r="D90" s="379"/>
      <c r="E90" s="379"/>
      <c r="F90" s="379"/>
      <c r="G90" s="379"/>
      <c r="H90" s="379"/>
      <c r="I90" s="379"/>
      <c r="J90" s="379"/>
      <c r="K90" s="379"/>
      <c r="L90" s="379"/>
      <c r="M90" s="379"/>
      <c r="N90" s="379"/>
      <c r="O90" s="379"/>
      <c r="P90" s="379"/>
      <c r="Q90" s="379"/>
      <c r="R90" s="379"/>
      <c r="S90" s="379"/>
      <c r="T90" s="379"/>
    </row>
    <row r="91" spans="2:20">
      <c r="B91" s="379"/>
      <c r="C91" s="379"/>
      <c r="D91" s="379"/>
      <c r="E91" s="379"/>
      <c r="F91" s="379"/>
      <c r="G91" s="379"/>
      <c r="H91" s="379"/>
      <c r="I91" s="379"/>
      <c r="J91" s="379"/>
      <c r="K91" s="379"/>
      <c r="L91" s="379"/>
      <c r="M91" s="379"/>
      <c r="N91" s="379"/>
      <c r="O91" s="379"/>
      <c r="P91" s="379"/>
      <c r="Q91" s="379"/>
      <c r="R91" s="379"/>
      <c r="S91" s="379"/>
      <c r="T91" s="379"/>
    </row>
    <row r="92" spans="2:20">
      <c r="B92" s="379"/>
      <c r="C92" s="379"/>
      <c r="D92" s="379"/>
      <c r="E92" s="379"/>
      <c r="F92" s="379"/>
      <c r="G92" s="379"/>
      <c r="H92" s="379"/>
      <c r="I92" s="379"/>
      <c r="J92" s="379"/>
      <c r="K92" s="379"/>
      <c r="L92" s="379"/>
      <c r="M92" s="379"/>
      <c r="N92" s="379"/>
      <c r="O92" s="379"/>
      <c r="P92" s="379"/>
      <c r="Q92" s="379"/>
      <c r="R92" s="379"/>
      <c r="S92" s="379"/>
      <c r="T92" s="379"/>
    </row>
    <row r="93" spans="2:20">
      <c r="B93" s="379"/>
      <c r="C93" s="379"/>
      <c r="D93" s="379"/>
      <c r="E93" s="379"/>
      <c r="F93" s="379"/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</row>
    <row r="94" spans="2:20">
      <c r="B94" s="379"/>
      <c r="C94" s="379"/>
      <c r="D94" s="379"/>
      <c r="E94" s="379"/>
      <c r="F94" s="379"/>
      <c r="G94" s="379"/>
      <c r="H94" s="379"/>
      <c r="I94" s="379"/>
      <c r="J94" s="379"/>
      <c r="K94" s="379"/>
      <c r="L94" s="379"/>
      <c r="M94" s="379"/>
      <c r="N94" s="379"/>
      <c r="O94" s="379"/>
      <c r="P94" s="379"/>
      <c r="Q94" s="379"/>
      <c r="R94" s="379"/>
      <c r="S94" s="379"/>
      <c r="T94" s="379"/>
    </row>
    <row r="95" spans="2:20">
      <c r="B95" s="379"/>
      <c r="C95" s="379"/>
      <c r="D95" s="379"/>
      <c r="E95" s="379"/>
      <c r="F95" s="379"/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</row>
    <row r="96" spans="2:20">
      <c r="B96" s="379"/>
      <c r="C96" s="379"/>
      <c r="D96" s="379"/>
      <c r="E96" s="379"/>
      <c r="F96" s="379"/>
      <c r="G96" s="379"/>
      <c r="H96" s="379"/>
      <c r="I96" s="379"/>
      <c r="J96" s="379"/>
      <c r="K96" s="379"/>
      <c r="L96" s="379"/>
      <c r="M96" s="379"/>
      <c r="N96" s="379"/>
      <c r="O96" s="379"/>
      <c r="P96" s="379"/>
      <c r="Q96" s="379"/>
      <c r="R96" s="379"/>
      <c r="S96" s="379"/>
      <c r="T96" s="379"/>
    </row>
    <row r="97" spans="2:20">
      <c r="B97" s="379"/>
      <c r="C97" s="379"/>
      <c r="D97" s="379"/>
      <c r="E97" s="379"/>
      <c r="F97" s="379"/>
      <c r="G97" s="379"/>
      <c r="H97" s="379"/>
      <c r="I97" s="379"/>
      <c r="J97" s="379"/>
      <c r="K97" s="379"/>
      <c r="L97" s="379"/>
      <c r="M97" s="379"/>
      <c r="N97" s="379"/>
      <c r="O97" s="379"/>
      <c r="P97" s="379"/>
      <c r="Q97" s="379"/>
      <c r="R97" s="379"/>
      <c r="S97" s="379"/>
      <c r="T97" s="379"/>
    </row>
    <row r="98" spans="2:20">
      <c r="B98" s="379"/>
      <c r="C98" s="379"/>
      <c r="D98" s="379"/>
      <c r="E98" s="379"/>
      <c r="F98" s="379"/>
      <c r="G98" s="379"/>
      <c r="H98" s="379"/>
      <c r="I98" s="379"/>
      <c r="J98" s="379"/>
      <c r="K98" s="379"/>
      <c r="L98" s="379"/>
      <c r="M98" s="379"/>
      <c r="N98" s="379"/>
      <c r="O98" s="379"/>
      <c r="P98" s="379"/>
      <c r="Q98" s="379"/>
      <c r="R98" s="379"/>
      <c r="S98" s="379"/>
      <c r="T98" s="379"/>
    </row>
    <row r="99" spans="2:20">
      <c r="B99" s="379"/>
      <c r="C99" s="379"/>
      <c r="D99" s="379"/>
      <c r="E99" s="379"/>
      <c r="F99" s="379"/>
      <c r="G99" s="379"/>
      <c r="H99" s="379"/>
      <c r="I99" s="379"/>
      <c r="J99" s="379"/>
      <c r="K99" s="379"/>
      <c r="L99" s="379"/>
      <c r="M99" s="379"/>
      <c r="N99" s="379"/>
      <c r="O99" s="379"/>
      <c r="P99" s="379"/>
      <c r="Q99" s="379"/>
      <c r="R99" s="379"/>
      <c r="S99" s="379"/>
      <c r="T99" s="379"/>
    </row>
    <row r="100" spans="2:20">
      <c r="B100" s="379"/>
      <c r="C100" s="379"/>
      <c r="D100" s="379"/>
      <c r="E100" s="379"/>
      <c r="F100" s="379"/>
      <c r="G100" s="379"/>
      <c r="H100" s="379"/>
      <c r="I100" s="379"/>
      <c r="J100" s="379"/>
      <c r="K100" s="379"/>
      <c r="L100" s="379"/>
      <c r="M100" s="379"/>
      <c r="N100" s="379"/>
      <c r="O100" s="379"/>
      <c r="P100" s="379"/>
      <c r="Q100" s="379"/>
      <c r="R100" s="379"/>
      <c r="S100" s="379"/>
      <c r="T100" s="379"/>
    </row>
    <row r="101" spans="2:20">
      <c r="B101" s="379"/>
      <c r="C101" s="379"/>
      <c r="D101" s="379"/>
      <c r="E101" s="379"/>
      <c r="F101" s="379"/>
      <c r="G101" s="379"/>
      <c r="H101" s="379"/>
      <c r="I101" s="379"/>
      <c r="J101" s="379"/>
      <c r="K101" s="379"/>
      <c r="L101" s="379"/>
      <c r="M101" s="379"/>
      <c r="N101" s="379"/>
      <c r="O101" s="379"/>
      <c r="P101" s="379"/>
      <c r="Q101" s="379"/>
      <c r="R101" s="379"/>
      <c r="S101" s="379"/>
      <c r="T101" s="379"/>
    </row>
    <row r="102" spans="2:20">
      <c r="B102" s="379"/>
      <c r="C102" s="379"/>
      <c r="D102" s="379"/>
      <c r="E102" s="379"/>
      <c r="F102" s="379"/>
      <c r="G102" s="379"/>
      <c r="H102" s="379"/>
      <c r="I102" s="379"/>
      <c r="J102" s="379"/>
      <c r="K102" s="379"/>
      <c r="L102" s="379"/>
      <c r="M102" s="379"/>
      <c r="N102" s="379"/>
      <c r="O102" s="379"/>
      <c r="P102" s="379"/>
      <c r="Q102" s="379"/>
      <c r="R102" s="379"/>
      <c r="S102" s="379"/>
      <c r="T102" s="379"/>
    </row>
    <row r="103" spans="2:20">
      <c r="B103" s="379"/>
      <c r="C103" s="379"/>
      <c r="D103" s="379"/>
      <c r="E103" s="379"/>
      <c r="F103" s="379"/>
      <c r="G103" s="379"/>
      <c r="H103" s="379"/>
      <c r="I103" s="379"/>
      <c r="J103" s="379"/>
      <c r="K103" s="379"/>
      <c r="L103" s="379"/>
      <c r="M103" s="379"/>
      <c r="N103" s="379"/>
      <c r="O103" s="379"/>
      <c r="P103" s="379"/>
      <c r="Q103" s="379"/>
      <c r="R103" s="379"/>
      <c r="S103" s="379"/>
      <c r="T103" s="379"/>
    </row>
    <row r="104" spans="2:20">
      <c r="B104" s="379"/>
      <c r="C104" s="379"/>
      <c r="D104" s="379"/>
      <c r="E104" s="379"/>
      <c r="F104" s="379"/>
      <c r="G104" s="379"/>
      <c r="H104" s="379"/>
      <c r="I104" s="379"/>
      <c r="J104" s="379"/>
      <c r="K104" s="379"/>
      <c r="L104" s="379"/>
      <c r="M104" s="379"/>
      <c r="N104" s="379"/>
      <c r="O104" s="379"/>
      <c r="P104" s="379"/>
      <c r="Q104" s="379"/>
      <c r="R104" s="379"/>
      <c r="S104" s="379"/>
      <c r="T104" s="379"/>
    </row>
    <row r="105" spans="2:20">
      <c r="B105" s="379"/>
      <c r="C105" s="379"/>
      <c r="D105" s="379"/>
      <c r="E105" s="379"/>
      <c r="F105" s="379"/>
      <c r="G105" s="379"/>
      <c r="H105" s="379"/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</row>
    <row r="106" spans="2:20">
      <c r="B106" s="379"/>
      <c r="C106" s="379"/>
      <c r="D106" s="379"/>
      <c r="E106" s="379"/>
      <c r="F106" s="379"/>
      <c r="G106" s="379"/>
      <c r="H106" s="379"/>
      <c r="I106" s="379"/>
      <c r="J106" s="379"/>
      <c r="K106" s="379"/>
      <c r="L106" s="379"/>
      <c r="M106" s="379"/>
      <c r="N106" s="379"/>
      <c r="O106" s="379"/>
      <c r="P106" s="379"/>
      <c r="Q106" s="379"/>
      <c r="R106" s="379"/>
      <c r="S106" s="379"/>
      <c r="T106" s="379"/>
    </row>
    <row r="107" spans="2:20">
      <c r="B107" s="379"/>
      <c r="C107" s="379"/>
      <c r="D107" s="379"/>
      <c r="E107" s="379"/>
      <c r="F107" s="379"/>
      <c r="G107" s="379"/>
      <c r="H107" s="379"/>
      <c r="I107" s="379"/>
      <c r="J107" s="379"/>
      <c r="K107" s="379"/>
      <c r="L107" s="379"/>
      <c r="M107" s="379"/>
      <c r="N107" s="379"/>
      <c r="O107" s="379"/>
      <c r="P107" s="379"/>
      <c r="Q107" s="379"/>
      <c r="R107" s="379"/>
      <c r="S107" s="379"/>
      <c r="T107" s="379"/>
    </row>
    <row r="108" spans="2:20">
      <c r="B108" s="379"/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379"/>
      <c r="S108" s="379"/>
      <c r="T108" s="379"/>
    </row>
    <row r="109" spans="2:20">
      <c r="B109" s="379"/>
      <c r="C109" s="379"/>
      <c r="D109" s="379"/>
      <c r="E109" s="379"/>
      <c r="F109" s="379"/>
      <c r="G109" s="379"/>
      <c r="H109" s="379"/>
      <c r="I109" s="379"/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</row>
    <row r="110" spans="2:20">
      <c r="B110" s="379"/>
      <c r="C110" s="379"/>
      <c r="D110" s="379"/>
      <c r="E110" s="379"/>
      <c r="F110" s="379"/>
      <c r="G110" s="379"/>
      <c r="H110" s="379"/>
      <c r="I110" s="379"/>
      <c r="J110" s="379"/>
      <c r="K110" s="379"/>
      <c r="L110" s="379"/>
      <c r="M110" s="379"/>
      <c r="N110" s="379"/>
      <c r="O110" s="379"/>
      <c r="P110" s="379"/>
      <c r="Q110" s="379"/>
      <c r="R110" s="379"/>
      <c r="S110" s="379"/>
      <c r="T110" s="379"/>
    </row>
    <row r="111" spans="2:20">
      <c r="B111" s="379"/>
      <c r="C111" s="379"/>
      <c r="D111" s="379"/>
      <c r="E111" s="379"/>
      <c r="F111" s="379"/>
      <c r="G111" s="379"/>
      <c r="H111" s="379"/>
      <c r="I111" s="379"/>
      <c r="J111" s="379"/>
      <c r="K111" s="379"/>
      <c r="L111" s="379"/>
      <c r="M111" s="379"/>
      <c r="N111" s="379"/>
      <c r="O111" s="379"/>
      <c r="P111" s="379"/>
      <c r="Q111" s="379"/>
      <c r="R111" s="379"/>
      <c r="S111" s="379"/>
      <c r="T111" s="379"/>
    </row>
    <row r="112" spans="2:20">
      <c r="B112" s="379"/>
      <c r="C112" s="379"/>
      <c r="D112" s="379"/>
      <c r="E112" s="379"/>
      <c r="F112" s="379"/>
      <c r="G112" s="379"/>
      <c r="H112" s="379"/>
      <c r="I112" s="379"/>
      <c r="J112" s="379"/>
      <c r="K112" s="379"/>
      <c r="L112" s="379"/>
      <c r="M112" s="379"/>
      <c r="N112" s="379"/>
      <c r="O112" s="379"/>
      <c r="P112" s="379"/>
      <c r="Q112" s="379"/>
      <c r="R112" s="379"/>
      <c r="S112" s="379"/>
      <c r="T112" s="379"/>
    </row>
    <row r="113" spans="2:20">
      <c r="B113" s="379"/>
      <c r="C113" s="379"/>
      <c r="D113" s="379"/>
      <c r="E113" s="379"/>
      <c r="F113" s="379"/>
      <c r="G113" s="379"/>
      <c r="H113" s="379"/>
      <c r="I113" s="379"/>
      <c r="J113" s="379"/>
      <c r="K113" s="379"/>
      <c r="L113" s="379"/>
      <c r="M113" s="379"/>
      <c r="N113" s="379"/>
      <c r="O113" s="379"/>
      <c r="P113" s="379"/>
      <c r="Q113" s="379"/>
      <c r="R113" s="379"/>
      <c r="S113" s="379"/>
      <c r="T113" s="379"/>
    </row>
    <row r="114" spans="2:20">
      <c r="B114" s="379"/>
      <c r="C114" s="379"/>
      <c r="D114" s="379"/>
      <c r="E114" s="379"/>
      <c r="F114" s="379"/>
      <c r="G114" s="379"/>
      <c r="H114" s="379"/>
      <c r="I114" s="379"/>
      <c r="J114" s="379"/>
      <c r="K114" s="379"/>
      <c r="L114" s="379"/>
      <c r="M114" s="379"/>
      <c r="N114" s="379"/>
      <c r="O114" s="379"/>
      <c r="P114" s="379"/>
      <c r="Q114" s="379"/>
      <c r="R114" s="379"/>
      <c r="S114" s="379"/>
      <c r="T114" s="379"/>
    </row>
    <row r="115" spans="2:20">
      <c r="B115" s="379"/>
      <c r="C115" s="379"/>
      <c r="D115" s="379"/>
      <c r="E115" s="379"/>
      <c r="F115" s="379"/>
      <c r="G115" s="379"/>
      <c r="H115" s="379"/>
      <c r="I115" s="379"/>
      <c r="J115" s="379"/>
      <c r="K115" s="379"/>
      <c r="L115" s="379"/>
      <c r="M115" s="379"/>
      <c r="N115" s="379"/>
      <c r="O115" s="379"/>
      <c r="P115" s="379"/>
      <c r="Q115" s="379"/>
      <c r="R115" s="379"/>
      <c r="S115" s="379"/>
      <c r="T115" s="379"/>
    </row>
    <row r="116" spans="2:20">
      <c r="B116" s="379"/>
      <c r="C116" s="379"/>
      <c r="D116" s="379"/>
      <c r="E116" s="379"/>
      <c r="F116" s="379"/>
      <c r="G116" s="379"/>
      <c r="H116" s="379"/>
      <c r="I116" s="379"/>
      <c r="J116" s="379"/>
      <c r="K116" s="379"/>
      <c r="L116" s="379"/>
      <c r="M116" s="379"/>
      <c r="N116" s="379"/>
      <c r="O116" s="379"/>
      <c r="P116" s="379"/>
      <c r="Q116" s="379"/>
      <c r="R116" s="379"/>
      <c r="S116" s="379"/>
      <c r="T116" s="379"/>
    </row>
    <row r="117" spans="2:20">
      <c r="B117" s="379"/>
      <c r="C117" s="379"/>
      <c r="D117" s="379"/>
      <c r="E117" s="379"/>
      <c r="F117" s="379"/>
      <c r="G117" s="379"/>
      <c r="H117" s="379"/>
      <c r="I117" s="379"/>
      <c r="J117" s="379"/>
      <c r="K117" s="379"/>
      <c r="L117" s="379"/>
      <c r="M117" s="379"/>
      <c r="N117" s="379"/>
      <c r="O117" s="379"/>
      <c r="P117" s="379"/>
      <c r="Q117" s="379"/>
      <c r="R117" s="379"/>
      <c r="S117" s="379"/>
      <c r="T117" s="379"/>
    </row>
    <row r="118" spans="2:20">
      <c r="B118" s="379"/>
      <c r="C118" s="379"/>
      <c r="D118" s="379"/>
      <c r="E118" s="379"/>
      <c r="F118" s="379"/>
      <c r="G118" s="379"/>
      <c r="H118" s="379"/>
      <c r="I118" s="379"/>
      <c r="J118" s="379"/>
      <c r="K118" s="379"/>
      <c r="L118" s="379"/>
      <c r="M118" s="379"/>
      <c r="N118" s="379"/>
      <c r="O118" s="379"/>
      <c r="P118" s="379"/>
      <c r="Q118" s="379"/>
      <c r="R118" s="379"/>
      <c r="S118" s="379"/>
      <c r="T118" s="379"/>
    </row>
    <row r="119" spans="2:20">
      <c r="B119" s="379"/>
      <c r="C119" s="379"/>
      <c r="D119" s="379"/>
      <c r="E119" s="379"/>
      <c r="F119" s="379"/>
      <c r="G119" s="379"/>
      <c r="H119" s="379"/>
      <c r="I119" s="379"/>
      <c r="J119" s="379"/>
      <c r="K119" s="379"/>
      <c r="L119" s="379"/>
      <c r="M119" s="379"/>
      <c r="N119" s="379"/>
      <c r="O119" s="379"/>
      <c r="P119" s="379"/>
      <c r="Q119" s="379"/>
      <c r="R119" s="379"/>
      <c r="S119" s="379"/>
      <c r="T119" s="379"/>
    </row>
    <row r="120" spans="2:20">
      <c r="B120" s="379"/>
      <c r="C120" s="379"/>
      <c r="D120" s="379"/>
      <c r="E120" s="379"/>
      <c r="F120" s="379"/>
      <c r="G120" s="379"/>
      <c r="H120" s="379"/>
      <c r="I120" s="379"/>
      <c r="J120" s="379"/>
      <c r="K120" s="379"/>
      <c r="L120" s="379"/>
      <c r="M120" s="379"/>
      <c r="N120" s="379"/>
      <c r="O120" s="379"/>
      <c r="P120" s="379"/>
      <c r="Q120" s="379"/>
      <c r="R120" s="379"/>
      <c r="S120" s="379"/>
      <c r="T120" s="379"/>
    </row>
    <row r="121" spans="2:20">
      <c r="B121" s="379"/>
      <c r="C121" s="379"/>
      <c r="D121" s="379"/>
      <c r="E121" s="379"/>
      <c r="F121" s="379"/>
      <c r="G121" s="379"/>
      <c r="H121" s="379"/>
      <c r="I121" s="379"/>
      <c r="J121" s="379"/>
      <c r="K121" s="379"/>
      <c r="L121" s="379"/>
      <c r="M121" s="379"/>
      <c r="N121" s="379"/>
      <c r="O121" s="379"/>
      <c r="P121" s="379"/>
      <c r="Q121" s="379"/>
      <c r="R121" s="379"/>
      <c r="S121" s="379"/>
      <c r="T121" s="379"/>
    </row>
    <row r="122" spans="2:20">
      <c r="B122" s="379"/>
      <c r="C122" s="379"/>
      <c r="D122" s="379"/>
      <c r="E122" s="379"/>
      <c r="F122" s="379"/>
      <c r="G122" s="379"/>
      <c r="H122" s="379"/>
      <c r="I122" s="379"/>
      <c r="J122" s="379"/>
      <c r="K122" s="379"/>
      <c r="L122" s="379"/>
      <c r="M122" s="379"/>
      <c r="N122" s="379"/>
      <c r="O122" s="379"/>
      <c r="P122" s="379"/>
      <c r="Q122" s="379"/>
      <c r="R122" s="379"/>
      <c r="S122" s="379"/>
      <c r="T122" s="379"/>
    </row>
    <row r="123" spans="2:20">
      <c r="B123" s="379"/>
      <c r="C123" s="379"/>
      <c r="D123" s="379"/>
      <c r="E123" s="379"/>
      <c r="F123" s="379"/>
      <c r="G123" s="379"/>
      <c r="H123" s="379"/>
      <c r="I123" s="379"/>
      <c r="J123" s="379"/>
      <c r="K123" s="379"/>
      <c r="L123" s="379"/>
      <c r="M123" s="379"/>
      <c r="N123" s="379"/>
      <c r="O123" s="379"/>
      <c r="P123" s="379"/>
      <c r="Q123" s="379"/>
      <c r="R123" s="379"/>
      <c r="S123" s="379"/>
      <c r="T123" s="379"/>
    </row>
    <row r="124" spans="2:20">
      <c r="B124" s="379"/>
      <c r="C124" s="379"/>
      <c r="D124" s="379"/>
      <c r="E124" s="379"/>
      <c r="F124" s="379"/>
      <c r="G124" s="379"/>
      <c r="H124" s="379"/>
      <c r="I124" s="379"/>
      <c r="J124" s="379"/>
      <c r="K124" s="379"/>
      <c r="L124" s="379"/>
      <c r="M124" s="379"/>
      <c r="N124" s="379"/>
      <c r="O124" s="379"/>
      <c r="P124" s="379"/>
      <c r="Q124" s="379"/>
      <c r="R124" s="379"/>
      <c r="S124" s="379"/>
      <c r="T124" s="379"/>
    </row>
    <row r="125" spans="2:20">
      <c r="B125" s="379"/>
      <c r="C125" s="379"/>
      <c r="D125" s="379"/>
      <c r="E125" s="379"/>
      <c r="F125" s="379"/>
      <c r="G125" s="379"/>
      <c r="H125" s="379"/>
      <c r="I125" s="379"/>
      <c r="J125" s="379"/>
      <c r="K125" s="379"/>
      <c r="L125" s="379"/>
      <c r="M125" s="379"/>
      <c r="N125" s="379"/>
      <c r="O125" s="379"/>
      <c r="P125" s="379"/>
      <c r="Q125" s="379"/>
      <c r="R125" s="379"/>
      <c r="S125" s="379"/>
      <c r="T125" s="379"/>
    </row>
    <row r="126" spans="2:20">
      <c r="B126" s="379"/>
      <c r="C126" s="379"/>
      <c r="D126" s="379"/>
      <c r="E126" s="379"/>
      <c r="F126" s="379"/>
      <c r="G126" s="379"/>
      <c r="H126" s="379"/>
      <c r="I126" s="379"/>
      <c r="J126" s="379"/>
      <c r="K126" s="379"/>
      <c r="L126" s="379"/>
      <c r="M126" s="379"/>
      <c r="N126" s="379"/>
      <c r="O126" s="379"/>
      <c r="P126" s="379"/>
      <c r="Q126" s="379"/>
      <c r="R126" s="379"/>
      <c r="S126" s="379"/>
      <c r="T126" s="379"/>
    </row>
    <row r="127" spans="2:20">
      <c r="B127" s="379"/>
      <c r="C127" s="379"/>
      <c r="D127" s="379"/>
      <c r="E127" s="379"/>
      <c r="F127" s="379"/>
      <c r="G127" s="379"/>
      <c r="H127" s="379"/>
      <c r="I127" s="379"/>
      <c r="J127" s="379"/>
      <c r="K127" s="379"/>
      <c r="L127" s="379"/>
      <c r="M127" s="379"/>
      <c r="N127" s="379"/>
      <c r="O127" s="379"/>
      <c r="P127" s="379"/>
      <c r="Q127" s="379"/>
      <c r="R127" s="379"/>
      <c r="S127" s="379"/>
      <c r="T127" s="379"/>
    </row>
    <row r="128" spans="2:20">
      <c r="B128" s="379"/>
      <c r="C128" s="379"/>
      <c r="D128" s="379"/>
      <c r="E128" s="379"/>
      <c r="F128" s="379"/>
      <c r="G128" s="379"/>
      <c r="H128" s="379"/>
      <c r="I128" s="379"/>
      <c r="J128" s="379"/>
      <c r="K128" s="379"/>
      <c r="L128" s="379"/>
      <c r="M128" s="379"/>
      <c r="N128" s="379"/>
      <c r="O128" s="379"/>
      <c r="P128" s="379"/>
      <c r="Q128" s="379"/>
      <c r="R128" s="379"/>
      <c r="S128" s="379"/>
      <c r="T128" s="379"/>
    </row>
    <row r="129" spans="2:20">
      <c r="B129" s="379"/>
      <c r="C129" s="379"/>
      <c r="D129" s="379"/>
      <c r="E129" s="379"/>
      <c r="F129" s="379"/>
      <c r="G129" s="379"/>
      <c r="H129" s="379"/>
      <c r="I129" s="379"/>
      <c r="J129" s="379"/>
      <c r="K129" s="379"/>
      <c r="L129" s="379"/>
      <c r="M129" s="379"/>
      <c r="N129" s="379"/>
      <c r="O129" s="379"/>
      <c r="P129" s="379"/>
      <c r="Q129" s="379"/>
      <c r="R129" s="379"/>
      <c r="S129" s="379"/>
      <c r="T129" s="379"/>
    </row>
    <row r="130" spans="2:20">
      <c r="B130" s="379"/>
      <c r="C130" s="379"/>
      <c r="D130" s="379"/>
      <c r="E130" s="379"/>
      <c r="F130" s="379"/>
      <c r="G130" s="379"/>
      <c r="H130" s="379"/>
      <c r="I130" s="379"/>
      <c r="J130" s="379"/>
      <c r="K130" s="379"/>
      <c r="L130" s="379"/>
      <c r="M130" s="379"/>
      <c r="N130" s="379"/>
      <c r="O130" s="379"/>
      <c r="P130" s="379"/>
      <c r="Q130" s="379"/>
      <c r="R130" s="379"/>
      <c r="S130" s="379"/>
      <c r="T130" s="379"/>
    </row>
    <row r="131" spans="2:20">
      <c r="B131" s="379"/>
      <c r="C131" s="379"/>
      <c r="D131" s="379"/>
      <c r="E131" s="379"/>
      <c r="F131" s="379"/>
      <c r="G131" s="379"/>
      <c r="H131" s="379"/>
      <c r="I131" s="379"/>
      <c r="J131" s="379"/>
      <c r="K131" s="379"/>
      <c r="L131" s="379"/>
      <c r="M131" s="379"/>
      <c r="N131" s="379"/>
      <c r="O131" s="379"/>
      <c r="P131" s="379"/>
      <c r="Q131" s="379"/>
      <c r="R131" s="379"/>
      <c r="S131" s="379"/>
      <c r="T131" s="379"/>
    </row>
    <row r="132" spans="2:20">
      <c r="B132" s="379"/>
      <c r="C132" s="379"/>
      <c r="D132" s="379"/>
      <c r="E132" s="379"/>
      <c r="F132" s="379"/>
      <c r="G132" s="379"/>
      <c r="H132" s="379"/>
      <c r="I132" s="379"/>
      <c r="J132" s="379"/>
      <c r="K132" s="379"/>
      <c r="L132" s="379"/>
      <c r="M132" s="379"/>
      <c r="N132" s="379"/>
      <c r="O132" s="379"/>
      <c r="P132" s="379"/>
      <c r="Q132" s="379"/>
      <c r="R132" s="379"/>
      <c r="S132" s="379"/>
      <c r="T132" s="379"/>
    </row>
    <row r="133" spans="2:20">
      <c r="B133" s="379"/>
      <c r="C133" s="379"/>
      <c r="D133" s="379"/>
      <c r="E133" s="379"/>
      <c r="F133" s="379"/>
      <c r="G133" s="379"/>
      <c r="H133" s="379"/>
      <c r="I133" s="379"/>
      <c r="J133" s="379"/>
      <c r="K133" s="379"/>
      <c r="L133" s="379"/>
      <c r="M133" s="379"/>
      <c r="N133" s="379"/>
      <c r="O133" s="379"/>
      <c r="P133" s="379"/>
      <c r="Q133" s="379"/>
      <c r="R133" s="379"/>
      <c r="S133" s="379"/>
      <c r="T133" s="379"/>
    </row>
    <row r="134" spans="2:20">
      <c r="B134" s="379"/>
      <c r="C134" s="379"/>
      <c r="D134" s="379"/>
      <c r="E134" s="379"/>
      <c r="F134" s="379"/>
      <c r="G134" s="379"/>
      <c r="H134" s="379"/>
      <c r="I134" s="379"/>
      <c r="J134" s="379"/>
      <c r="K134" s="379"/>
      <c r="L134" s="379"/>
      <c r="M134" s="379"/>
      <c r="N134" s="379"/>
      <c r="O134" s="379"/>
      <c r="P134" s="379"/>
      <c r="Q134" s="379"/>
      <c r="R134" s="379"/>
      <c r="S134" s="379"/>
      <c r="T134" s="379"/>
    </row>
    <row r="135" spans="2:20">
      <c r="B135" s="379"/>
      <c r="C135" s="379"/>
      <c r="D135" s="379"/>
      <c r="E135" s="379"/>
      <c r="F135" s="379"/>
      <c r="G135" s="379"/>
      <c r="H135" s="379"/>
      <c r="I135" s="379"/>
      <c r="J135" s="379"/>
      <c r="K135" s="379"/>
      <c r="L135" s="379"/>
      <c r="M135" s="379"/>
      <c r="N135" s="379"/>
      <c r="O135" s="379"/>
      <c r="P135" s="379"/>
      <c r="Q135" s="379"/>
      <c r="R135" s="379"/>
      <c r="S135" s="379"/>
      <c r="T135" s="379"/>
    </row>
    <row r="136" spans="2:20">
      <c r="B136" s="379"/>
      <c r="C136" s="379"/>
      <c r="D136" s="379"/>
      <c r="E136" s="379"/>
      <c r="F136" s="379"/>
      <c r="G136" s="379"/>
      <c r="H136" s="379"/>
      <c r="I136" s="379"/>
      <c r="J136" s="379"/>
      <c r="K136" s="379"/>
      <c r="L136" s="379"/>
      <c r="M136" s="379"/>
      <c r="N136" s="379"/>
      <c r="O136" s="379"/>
      <c r="P136" s="379"/>
      <c r="Q136" s="379"/>
      <c r="R136" s="379"/>
      <c r="S136" s="379"/>
      <c r="T136" s="379"/>
    </row>
    <row r="137" spans="2:20"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79"/>
      <c r="O137" s="379"/>
      <c r="P137" s="379"/>
      <c r="Q137" s="379"/>
      <c r="R137" s="379"/>
      <c r="S137" s="379"/>
      <c r="T137" s="379"/>
    </row>
    <row r="138" spans="2:20">
      <c r="B138" s="379"/>
      <c r="C138" s="379"/>
      <c r="D138" s="379"/>
      <c r="E138" s="379"/>
      <c r="F138" s="379"/>
      <c r="G138" s="379"/>
      <c r="H138" s="379"/>
      <c r="I138" s="379"/>
      <c r="J138" s="379"/>
      <c r="K138" s="379"/>
      <c r="L138" s="379"/>
      <c r="M138" s="379"/>
      <c r="N138" s="379"/>
      <c r="O138" s="379"/>
      <c r="P138" s="379"/>
      <c r="Q138" s="379"/>
      <c r="R138" s="379"/>
      <c r="S138" s="379"/>
      <c r="T138" s="379"/>
    </row>
    <row r="139" spans="2:20">
      <c r="B139" s="379"/>
      <c r="C139" s="379"/>
      <c r="D139" s="379"/>
      <c r="E139" s="379"/>
      <c r="F139" s="379"/>
      <c r="G139" s="379"/>
      <c r="H139" s="379"/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</row>
    <row r="140" spans="2:20">
      <c r="B140" s="379"/>
      <c r="C140" s="379"/>
      <c r="D140" s="379"/>
      <c r="E140" s="379"/>
      <c r="F140" s="379"/>
      <c r="G140" s="379"/>
      <c r="H140" s="379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</row>
    <row r="141" spans="2:20">
      <c r="B141" s="379"/>
      <c r="C141" s="379"/>
      <c r="D141" s="379"/>
      <c r="E141" s="379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</row>
    <row r="142" spans="2:20">
      <c r="B142" s="379"/>
      <c r="C142" s="379"/>
      <c r="D142" s="379"/>
      <c r="E142" s="379"/>
      <c r="F142" s="379"/>
      <c r="G142" s="379"/>
      <c r="H142" s="379"/>
      <c r="I142" s="379"/>
      <c r="J142" s="379"/>
      <c r="K142" s="379"/>
      <c r="L142" s="379"/>
      <c r="M142" s="379"/>
      <c r="N142" s="379"/>
      <c r="O142" s="379"/>
      <c r="P142" s="379"/>
      <c r="Q142" s="379"/>
      <c r="R142" s="379"/>
      <c r="S142" s="379"/>
      <c r="T142" s="379"/>
    </row>
    <row r="143" spans="2:20">
      <c r="B143" s="379"/>
      <c r="C143" s="379"/>
      <c r="D143" s="379"/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379"/>
      <c r="Q143" s="379"/>
      <c r="R143" s="379"/>
      <c r="S143" s="379"/>
      <c r="T143" s="379"/>
    </row>
    <row r="144" spans="2:20">
      <c r="B144" s="379"/>
      <c r="C144" s="379"/>
      <c r="D144" s="379"/>
      <c r="E144" s="379"/>
      <c r="F144" s="379"/>
      <c r="G144" s="379"/>
      <c r="H144" s="379"/>
      <c r="I144" s="379"/>
      <c r="J144" s="379"/>
      <c r="K144" s="379"/>
      <c r="L144" s="379"/>
      <c r="M144" s="379"/>
      <c r="N144" s="379"/>
      <c r="O144" s="379"/>
      <c r="P144" s="379"/>
      <c r="Q144" s="379"/>
      <c r="R144" s="379"/>
      <c r="S144" s="379"/>
      <c r="T144" s="379"/>
    </row>
    <row r="145" spans="2:20">
      <c r="B145" s="379"/>
      <c r="C145" s="379"/>
      <c r="D145" s="379"/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79"/>
      <c r="P145" s="379"/>
      <c r="Q145" s="379"/>
      <c r="R145" s="379"/>
      <c r="S145" s="379"/>
      <c r="T145" s="379"/>
    </row>
    <row r="146" spans="2:20"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  <c r="O146" s="379"/>
      <c r="P146" s="379"/>
      <c r="Q146" s="379"/>
      <c r="R146" s="379"/>
      <c r="S146" s="379"/>
      <c r="T146" s="379"/>
    </row>
    <row r="147" spans="2:20"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  <c r="O147" s="379"/>
      <c r="P147" s="379"/>
      <c r="Q147" s="379"/>
      <c r="R147" s="379"/>
      <c r="S147" s="379"/>
      <c r="T147" s="379"/>
    </row>
    <row r="148" spans="2:20"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  <c r="O148" s="379"/>
      <c r="P148" s="379"/>
      <c r="Q148" s="379"/>
      <c r="R148" s="379"/>
      <c r="S148" s="379"/>
      <c r="T148" s="379"/>
    </row>
    <row r="149" spans="2:20"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  <c r="O149" s="379"/>
      <c r="P149" s="379"/>
      <c r="Q149" s="379"/>
      <c r="R149" s="379"/>
      <c r="S149" s="379"/>
      <c r="T149" s="379"/>
    </row>
    <row r="150" spans="2:20"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  <c r="O150" s="379"/>
      <c r="P150" s="379"/>
      <c r="Q150" s="379"/>
      <c r="R150" s="379"/>
      <c r="S150" s="379"/>
      <c r="T150" s="379"/>
    </row>
    <row r="151" spans="2:20"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  <c r="O151" s="379"/>
      <c r="P151" s="379"/>
      <c r="Q151" s="379"/>
      <c r="R151" s="379"/>
      <c r="S151" s="379"/>
      <c r="T151" s="379"/>
    </row>
    <row r="152" spans="2:20"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  <c r="O152" s="379"/>
      <c r="P152" s="379"/>
      <c r="Q152" s="379"/>
      <c r="R152" s="379"/>
      <c r="S152" s="379"/>
      <c r="T152" s="379"/>
    </row>
    <row r="153" spans="2:20"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  <c r="O153" s="379"/>
      <c r="P153" s="379"/>
      <c r="Q153" s="379"/>
      <c r="R153" s="379"/>
      <c r="S153" s="379"/>
      <c r="T153" s="379"/>
    </row>
    <row r="154" spans="2:20"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  <c r="O154" s="379"/>
      <c r="P154" s="379"/>
      <c r="Q154" s="379"/>
      <c r="R154" s="379"/>
      <c r="S154" s="379"/>
      <c r="T154" s="379"/>
    </row>
    <row r="155" spans="2:20">
      <c r="B155" s="379"/>
      <c r="C155" s="379"/>
      <c r="D155" s="379"/>
      <c r="E155" s="379"/>
      <c r="F155" s="379"/>
      <c r="G155" s="379"/>
      <c r="H155" s="379"/>
      <c r="I155" s="379"/>
      <c r="J155" s="379"/>
      <c r="K155" s="379"/>
      <c r="L155" s="379"/>
      <c r="M155" s="379"/>
      <c r="N155" s="379"/>
      <c r="O155" s="379"/>
      <c r="P155" s="379"/>
      <c r="Q155" s="379"/>
      <c r="R155" s="379"/>
      <c r="S155" s="379"/>
      <c r="T155" s="379"/>
    </row>
    <row r="156" spans="2:20">
      <c r="B156" s="379"/>
      <c r="C156" s="379"/>
      <c r="D156" s="379"/>
      <c r="E156" s="379"/>
      <c r="F156" s="379"/>
      <c r="G156" s="379"/>
      <c r="H156" s="379"/>
      <c r="I156" s="379"/>
      <c r="J156" s="379"/>
      <c r="K156" s="379"/>
      <c r="L156" s="379"/>
      <c r="M156" s="379"/>
      <c r="N156" s="379"/>
      <c r="O156" s="379"/>
      <c r="P156" s="379"/>
      <c r="Q156" s="379"/>
      <c r="R156" s="379"/>
      <c r="S156" s="379"/>
      <c r="T156" s="379"/>
    </row>
    <row r="157" spans="2:20">
      <c r="B157" s="379"/>
      <c r="C157" s="379"/>
      <c r="D157" s="379"/>
      <c r="E157" s="379"/>
      <c r="F157" s="379"/>
      <c r="G157" s="379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79"/>
    </row>
    <row r="158" spans="2:20">
      <c r="B158" s="379"/>
      <c r="C158" s="379"/>
      <c r="D158" s="379"/>
      <c r="E158" s="379"/>
      <c r="F158" s="379"/>
      <c r="G158" s="379"/>
      <c r="H158" s="379"/>
      <c r="I158" s="379"/>
      <c r="J158" s="379"/>
      <c r="K158" s="379"/>
      <c r="L158" s="379"/>
      <c r="M158" s="379"/>
      <c r="N158" s="379"/>
      <c r="O158" s="379"/>
      <c r="P158" s="379"/>
      <c r="Q158" s="379"/>
      <c r="R158" s="379"/>
      <c r="S158" s="379"/>
      <c r="T158" s="379"/>
    </row>
    <row r="159" spans="2:20">
      <c r="B159" s="379"/>
      <c r="C159" s="379"/>
      <c r="D159" s="379"/>
      <c r="E159" s="379"/>
      <c r="F159" s="379"/>
      <c r="G159" s="379"/>
      <c r="H159" s="379"/>
      <c r="I159" s="379"/>
      <c r="J159" s="379"/>
      <c r="K159" s="379"/>
      <c r="L159" s="379"/>
      <c r="M159" s="379"/>
      <c r="N159" s="379"/>
      <c r="O159" s="379"/>
      <c r="P159" s="379"/>
      <c r="Q159" s="379"/>
      <c r="R159" s="379"/>
      <c r="S159" s="379"/>
      <c r="T159" s="379"/>
    </row>
    <row r="160" spans="2:20">
      <c r="B160" s="379"/>
      <c r="C160" s="379"/>
      <c r="D160" s="379"/>
      <c r="E160" s="379"/>
      <c r="F160" s="379"/>
      <c r="G160" s="379"/>
      <c r="H160" s="379"/>
      <c r="I160" s="379"/>
      <c r="J160" s="379"/>
      <c r="K160" s="379"/>
      <c r="L160" s="379"/>
      <c r="M160" s="379"/>
      <c r="N160" s="379"/>
      <c r="O160" s="379"/>
      <c r="P160" s="379"/>
      <c r="Q160" s="379"/>
      <c r="R160" s="379"/>
      <c r="S160" s="379"/>
      <c r="T160" s="379"/>
    </row>
    <row r="161" spans="2:20">
      <c r="B161" s="379"/>
      <c r="C161" s="379"/>
      <c r="D161" s="379"/>
      <c r="E161" s="379"/>
      <c r="F161" s="379"/>
      <c r="G161" s="379"/>
      <c r="H161" s="379"/>
      <c r="I161" s="379"/>
      <c r="J161" s="379"/>
      <c r="K161" s="379"/>
      <c r="L161" s="379"/>
      <c r="M161" s="379"/>
      <c r="N161" s="379"/>
      <c r="O161" s="379"/>
      <c r="P161" s="379"/>
      <c r="Q161" s="379"/>
      <c r="R161" s="379"/>
      <c r="S161" s="379"/>
      <c r="T161" s="379"/>
    </row>
    <row r="162" spans="2:20">
      <c r="B162" s="379"/>
      <c r="C162" s="379"/>
      <c r="D162" s="379"/>
      <c r="E162" s="379"/>
      <c r="F162" s="379"/>
      <c r="G162" s="379"/>
      <c r="H162" s="379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</row>
    <row r="163" spans="2:20">
      <c r="B163" s="379"/>
      <c r="C163" s="379"/>
      <c r="D163" s="379"/>
      <c r="E163" s="379"/>
      <c r="F163" s="379"/>
      <c r="G163" s="379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</row>
    <row r="164" spans="2:20">
      <c r="B164" s="379"/>
      <c r="C164" s="379"/>
      <c r="D164" s="379"/>
      <c r="E164" s="379"/>
      <c r="F164" s="379"/>
      <c r="G164" s="379"/>
      <c r="H164" s="379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</row>
    <row r="165" spans="2:20">
      <c r="B165" s="379"/>
      <c r="C165" s="379"/>
      <c r="D165" s="379"/>
      <c r="E165" s="379"/>
      <c r="F165" s="379"/>
      <c r="G165" s="379"/>
      <c r="H165" s="379"/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</row>
    <row r="166" spans="2:20">
      <c r="B166" s="379"/>
      <c r="C166" s="379"/>
      <c r="D166" s="379"/>
      <c r="E166" s="379"/>
      <c r="F166" s="379"/>
      <c r="G166" s="379"/>
      <c r="H166" s="379"/>
      <c r="I166" s="379"/>
      <c r="J166" s="379"/>
      <c r="K166" s="379"/>
      <c r="L166" s="379"/>
      <c r="M166" s="379"/>
      <c r="N166" s="379"/>
      <c r="O166" s="379"/>
      <c r="P166" s="379"/>
      <c r="Q166" s="379"/>
      <c r="R166" s="379"/>
      <c r="S166" s="379"/>
      <c r="T166" s="379"/>
    </row>
    <row r="167" spans="2:20">
      <c r="B167" s="379"/>
      <c r="C167" s="379"/>
      <c r="D167" s="379"/>
      <c r="E167" s="379"/>
      <c r="F167" s="379"/>
      <c r="G167" s="379"/>
      <c r="H167" s="379"/>
      <c r="I167" s="379"/>
      <c r="J167" s="379"/>
      <c r="K167" s="379"/>
      <c r="L167" s="379"/>
      <c r="M167" s="379"/>
      <c r="N167" s="379"/>
      <c r="O167" s="379"/>
      <c r="P167" s="379"/>
      <c r="Q167" s="379"/>
      <c r="R167" s="379"/>
      <c r="S167" s="379"/>
      <c r="T167" s="379"/>
    </row>
    <row r="168" spans="2:20">
      <c r="B168" s="379"/>
      <c r="C168" s="379"/>
      <c r="D168" s="379"/>
      <c r="E168" s="379"/>
      <c r="F168" s="379"/>
      <c r="G168" s="379"/>
      <c r="H168" s="379"/>
      <c r="I168" s="379"/>
      <c r="J168" s="379"/>
      <c r="K168" s="379"/>
      <c r="L168" s="379"/>
      <c r="M168" s="379"/>
      <c r="N168" s="379"/>
      <c r="O168" s="379"/>
      <c r="P168" s="379"/>
      <c r="Q168" s="379"/>
      <c r="R168" s="379"/>
      <c r="S168" s="379"/>
      <c r="T168" s="379"/>
    </row>
    <row r="169" spans="2:20">
      <c r="B169" s="379"/>
      <c r="C169" s="379"/>
      <c r="D169" s="379"/>
      <c r="E169" s="379"/>
      <c r="F169" s="379"/>
      <c r="G169" s="379"/>
      <c r="H169" s="379"/>
      <c r="I169" s="379"/>
      <c r="J169" s="379"/>
      <c r="K169" s="379"/>
      <c r="L169" s="379"/>
      <c r="M169" s="379"/>
      <c r="N169" s="379"/>
      <c r="O169" s="379"/>
      <c r="P169" s="379"/>
      <c r="Q169" s="379"/>
      <c r="R169" s="379"/>
      <c r="S169" s="379"/>
      <c r="T169" s="379"/>
    </row>
    <row r="170" spans="2:20">
      <c r="B170" s="379"/>
      <c r="C170" s="379"/>
      <c r="D170" s="379"/>
      <c r="E170" s="379"/>
      <c r="F170" s="379"/>
      <c r="G170" s="379"/>
      <c r="H170" s="379"/>
      <c r="I170" s="379"/>
      <c r="J170" s="379"/>
      <c r="K170" s="379"/>
      <c r="L170" s="379"/>
      <c r="M170" s="379"/>
      <c r="N170" s="379"/>
      <c r="O170" s="379"/>
      <c r="P170" s="379"/>
      <c r="Q170" s="379"/>
      <c r="R170" s="379"/>
      <c r="S170" s="379"/>
      <c r="T170" s="379"/>
    </row>
    <row r="171" spans="2:20">
      <c r="B171" s="379"/>
      <c r="C171" s="379"/>
      <c r="D171" s="379"/>
      <c r="E171" s="379"/>
      <c r="F171" s="379"/>
      <c r="G171" s="379"/>
      <c r="H171" s="379"/>
      <c r="I171" s="379"/>
      <c r="J171" s="379"/>
      <c r="K171" s="379"/>
      <c r="L171" s="379"/>
      <c r="M171" s="379"/>
      <c r="N171" s="379"/>
      <c r="O171" s="379"/>
      <c r="P171" s="379"/>
      <c r="Q171" s="379"/>
      <c r="R171" s="379"/>
      <c r="S171" s="379"/>
      <c r="T171" s="379"/>
    </row>
    <row r="172" spans="2:20">
      <c r="B172" s="379"/>
      <c r="C172" s="379"/>
      <c r="D172" s="379"/>
      <c r="E172" s="379"/>
      <c r="F172" s="379"/>
      <c r="G172" s="379"/>
      <c r="H172" s="379"/>
      <c r="I172" s="379"/>
      <c r="J172" s="379"/>
      <c r="K172" s="379"/>
      <c r="L172" s="379"/>
      <c r="M172" s="379"/>
      <c r="N172" s="379"/>
      <c r="O172" s="379"/>
      <c r="P172" s="379"/>
      <c r="Q172" s="379"/>
      <c r="R172" s="379"/>
      <c r="S172" s="379"/>
      <c r="T172" s="379"/>
    </row>
    <row r="173" spans="2:20">
      <c r="B173" s="379"/>
      <c r="C173" s="379"/>
      <c r="D173" s="379"/>
      <c r="E173" s="379"/>
      <c r="F173" s="379"/>
      <c r="G173" s="379"/>
      <c r="H173" s="379"/>
      <c r="I173" s="379"/>
      <c r="J173" s="379"/>
      <c r="K173" s="379"/>
      <c r="L173" s="379"/>
      <c r="M173" s="379"/>
      <c r="N173" s="379"/>
      <c r="O173" s="379"/>
      <c r="P173" s="379"/>
      <c r="Q173" s="379"/>
      <c r="R173" s="379"/>
      <c r="S173" s="379"/>
      <c r="T173" s="379"/>
    </row>
    <row r="174" spans="2:20">
      <c r="B174" s="379"/>
      <c r="C174" s="379"/>
      <c r="D174" s="379"/>
      <c r="E174" s="379"/>
      <c r="F174" s="379"/>
      <c r="G174" s="379"/>
      <c r="H174" s="379"/>
      <c r="I174" s="379"/>
      <c r="J174" s="379"/>
      <c r="K174" s="379"/>
      <c r="L174" s="379"/>
      <c r="M174" s="379"/>
      <c r="N174" s="379"/>
      <c r="O174" s="379"/>
      <c r="P174" s="379"/>
      <c r="Q174" s="379"/>
      <c r="R174" s="379"/>
      <c r="S174" s="379"/>
      <c r="T174" s="379"/>
    </row>
    <row r="175" spans="2:20">
      <c r="B175" s="379"/>
      <c r="C175" s="379"/>
      <c r="D175" s="379"/>
      <c r="E175" s="379"/>
      <c r="F175" s="379"/>
      <c r="G175" s="379"/>
      <c r="H175" s="379"/>
      <c r="I175" s="379"/>
      <c r="J175" s="379"/>
      <c r="K175" s="379"/>
      <c r="L175" s="379"/>
      <c r="M175" s="379"/>
      <c r="N175" s="379"/>
      <c r="O175" s="379"/>
      <c r="P175" s="379"/>
      <c r="Q175" s="379"/>
      <c r="R175" s="379"/>
      <c r="S175" s="379"/>
      <c r="T175" s="379"/>
    </row>
    <row r="176" spans="2:20">
      <c r="B176" s="379"/>
      <c r="C176" s="379"/>
      <c r="D176" s="379"/>
      <c r="E176" s="379"/>
      <c r="F176" s="379"/>
      <c r="G176" s="379"/>
      <c r="H176" s="379"/>
      <c r="I176" s="379"/>
      <c r="J176" s="379"/>
      <c r="K176" s="379"/>
      <c r="L176" s="379"/>
      <c r="M176" s="379"/>
      <c r="N176" s="379"/>
      <c r="O176" s="379"/>
      <c r="P176" s="379"/>
      <c r="Q176" s="379"/>
      <c r="R176" s="379"/>
      <c r="S176" s="379"/>
      <c r="T176" s="379"/>
    </row>
    <row r="177" spans="2:20">
      <c r="B177" s="379"/>
      <c r="C177" s="379"/>
      <c r="D177" s="379"/>
      <c r="E177" s="379"/>
      <c r="F177" s="379"/>
      <c r="G177" s="379"/>
      <c r="H177" s="379"/>
      <c r="I177" s="379"/>
      <c r="J177" s="379"/>
      <c r="K177" s="379"/>
      <c r="L177" s="379"/>
      <c r="M177" s="379"/>
      <c r="N177" s="379"/>
      <c r="O177" s="379"/>
      <c r="P177" s="379"/>
      <c r="Q177" s="379"/>
      <c r="R177" s="379"/>
      <c r="S177" s="379"/>
      <c r="T177" s="379"/>
    </row>
    <row r="178" spans="2:20">
      <c r="B178" s="379"/>
      <c r="C178" s="379"/>
      <c r="D178" s="379"/>
      <c r="E178" s="379"/>
      <c r="F178" s="379"/>
      <c r="G178" s="379"/>
      <c r="H178" s="379"/>
      <c r="I178" s="379"/>
      <c r="J178" s="379"/>
      <c r="K178" s="379"/>
      <c r="L178" s="379"/>
      <c r="M178" s="379"/>
      <c r="N178" s="379"/>
      <c r="O178" s="379"/>
      <c r="P178" s="379"/>
      <c r="Q178" s="379"/>
      <c r="R178" s="379"/>
      <c r="S178" s="379"/>
      <c r="T178" s="379"/>
    </row>
    <row r="179" spans="2:20">
      <c r="B179" s="379"/>
      <c r="C179" s="379"/>
      <c r="D179" s="379"/>
      <c r="E179" s="379"/>
      <c r="F179" s="379"/>
      <c r="G179" s="379"/>
      <c r="H179" s="379"/>
      <c r="I179" s="379"/>
      <c r="J179" s="379"/>
      <c r="K179" s="379"/>
      <c r="L179" s="379"/>
      <c r="M179" s="379"/>
      <c r="N179" s="379"/>
      <c r="O179" s="379"/>
      <c r="P179" s="379"/>
      <c r="Q179" s="379"/>
      <c r="R179" s="379"/>
      <c r="S179" s="379"/>
      <c r="T179" s="379"/>
    </row>
    <row r="180" spans="2:20">
      <c r="B180" s="379"/>
      <c r="C180" s="379"/>
      <c r="D180" s="379"/>
      <c r="E180" s="379"/>
      <c r="F180" s="379"/>
      <c r="G180" s="379"/>
      <c r="H180" s="379"/>
      <c r="I180" s="379"/>
      <c r="J180" s="379"/>
      <c r="K180" s="379"/>
      <c r="L180" s="379"/>
      <c r="M180" s="379"/>
      <c r="N180" s="379"/>
      <c r="O180" s="379"/>
      <c r="P180" s="379"/>
      <c r="Q180" s="379"/>
      <c r="R180" s="379"/>
      <c r="S180" s="379"/>
      <c r="T180" s="379"/>
    </row>
    <row r="181" spans="2:20">
      <c r="B181" s="379"/>
      <c r="C181" s="379"/>
      <c r="D181" s="379"/>
      <c r="E181" s="379"/>
      <c r="F181" s="379"/>
      <c r="G181" s="379"/>
      <c r="H181" s="379"/>
      <c r="I181" s="379"/>
      <c r="J181" s="379"/>
      <c r="K181" s="379"/>
      <c r="L181" s="379"/>
      <c r="M181" s="379"/>
      <c r="N181" s="379"/>
      <c r="O181" s="379"/>
      <c r="P181" s="379"/>
      <c r="Q181" s="379"/>
      <c r="R181" s="379"/>
      <c r="S181" s="379"/>
      <c r="T181" s="379"/>
    </row>
    <row r="182" spans="2:20">
      <c r="B182" s="379"/>
      <c r="C182" s="379"/>
      <c r="D182" s="379"/>
      <c r="E182" s="379"/>
      <c r="F182" s="379"/>
      <c r="G182" s="379"/>
      <c r="H182" s="379"/>
      <c r="I182" s="379"/>
      <c r="J182" s="379"/>
      <c r="K182" s="379"/>
      <c r="L182" s="379"/>
      <c r="M182" s="379"/>
      <c r="N182" s="379"/>
      <c r="O182" s="379"/>
      <c r="P182" s="379"/>
      <c r="Q182" s="379"/>
      <c r="R182" s="379"/>
      <c r="S182" s="379"/>
      <c r="T182" s="379"/>
    </row>
    <row r="183" spans="2:20">
      <c r="B183" s="379"/>
      <c r="C183" s="379"/>
      <c r="D183" s="379"/>
      <c r="E183" s="379"/>
      <c r="F183" s="379"/>
      <c r="G183" s="379"/>
      <c r="H183" s="379"/>
      <c r="I183" s="379"/>
      <c r="J183" s="379"/>
      <c r="K183" s="379"/>
      <c r="L183" s="379"/>
      <c r="M183" s="379"/>
      <c r="N183" s="379"/>
      <c r="O183" s="379"/>
      <c r="P183" s="379"/>
      <c r="Q183" s="379"/>
      <c r="R183" s="379"/>
      <c r="S183" s="379"/>
      <c r="T183" s="379"/>
    </row>
    <row r="184" spans="2:20">
      <c r="B184" s="379"/>
      <c r="C184" s="379"/>
      <c r="D184" s="379"/>
      <c r="E184" s="379"/>
      <c r="F184" s="379"/>
      <c r="G184" s="379"/>
      <c r="H184" s="379"/>
      <c r="I184" s="379"/>
      <c r="J184" s="379"/>
      <c r="K184" s="379"/>
      <c r="L184" s="379"/>
      <c r="M184" s="379"/>
      <c r="N184" s="379"/>
      <c r="O184" s="379"/>
      <c r="P184" s="379"/>
      <c r="Q184" s="379"/>
      <c r="R184" s="379"/>
      <c r="S184" s="379"/>
      <c r="T184" s="379"/>
    </row>
    <row r="185" spans="2:20">
      <c r="B185" s="379"/>
      <c r="C185" s="379"/>
      <c r="D185" s="379"/>
      <c r="E185" s="379"/>
      <c r="F185" s="379"/>
      <c r="G185" s="379"/>
      <c r="H185" s="379"/>
      <c r="I185" s="379"/>
      <c r="J185" s="379"/>
      <c r="K185" s="379"/>
      <c r="L185" s="379"/>
      <c r="M185" s="379"/>
      <c r="N185" s="379"/>
      <c r="O185" s="379"/>
      <c r="P185" s="379"/>
      <c r="Q185" s="379"/>
      <c r="R185" s="379"/>
      <c r="S185" s="379"/>
      <c r="T185" s="379"/>
    </row>
    <row r="186" spans="2:20">
      <c r="B186" s="379"/>
      <c r="C186" s="379"/>
      <c r="D186" s="379"/>
      <c r="E186" s="379"/>
      <c r="F186" s="379"/>
      <c r="G186" s="379"/>
      <c r="H186" s="379"/>
      <c r="I186" s="379"/>
      <c r="J186" s="379"/>
      <c r="K186" s="379"/>
      <c r="L186" s="379"/>
      <c r="M186" s="379"/>
      <c r="N186" s="379"/>
      <c r="O186" s="379"/>
      <c r="P186" s="379"/>
      <c r="Q186" s="379"/>
      <c r="R186" s="379"/>
      <c r="S186" s="379"/>
      <c r="T186" s="379"/>
    </row>
    <row r="187" spans="2:20">
      <c r="B187" s="379"/>
      <c r="C187" s="379"/>
      <c r="D187" s="379"/>
      <c r="E187" s="379"/>
      <c r="F187" s="379"/>
      <c r="G187" s="379"/>
      <c r="H187" s="379"/>
      <c r="I187" s="379"/>
      <c r="J187" s="379"/>
      <c r="K187" s="379"/>
      <c r="L187" s="379"/>
      <c r="M187" s="379"/>
      <c r="N187" s="379"/>
      <c r="O187" s="379"/>
      <c r="P187" s="379"/>
      <c r="Q187" s="379"/>
      <c r="R187" s="379"/>
      <c r="S187" s="379"/>
      <c r="T187" s="379"/>
    </row>
    <row r="188" spans="2:20">
      <c r="B188" s="379"/>
      <c r="C188" s="379"/>
      <c r="D188" s="379"/>
      <c r="E188" s="379"/>
      <c r="F188" s="379"/>
      <c r="G188" s="379"/>
      <c r="H188" s="379"/>
      <c r="I188" s="379"/>
      <c r="J188" s="379"/>
      <c r="K188" s="379"/>
      <c r="L188" s="379"/>
      <c r="M188" s="379"/>
      <c r="N188" s="379"/>
      <c r="O188" s="379"/>
      <c r="P188" s="379"/>
      <c r="Q188" s="379"/>
      <c r="R188" s="379"/>
      <c r="S188" s="379"/>
      <c r="T188" s="379"/>
    </row>
    <row r="189" spans="2:20">
      <c r="B189" s="379"/>
      <c r="C189" s="379"/>
      <c r="D189" s="379"/>
      <c r="E189" s="379"/>
      <c r="F189" s="379"/>
      <c r="G189" s="379"/>
      <c r="H189" s="379"/>
      <c r="I189" s="379"/>
      <c r="J189" s="379"/>
      <c r="K189" s="379"/>
      <c r="L189" s="379"/>
      <c r="M189" s="379"/>
      <c r="N189" s="379"/>
      <c r="O189" s="379"/>
      <c r="P189" s="379"/>
      <c r="Q189" s="379"/>
      <c r="R189" s="379"/>
      <c r="S189" s="379"/>
      <c r="T189" s="379"/>
    </row>
    <row r="190" spans="2:20">
      <c r="B190" s="379"/>
      <c r="C190" s="379"/>
      <c r="D190" s="379"/>
      <c r="E190" s="379"/>
      <c r="F190" s="379"/>
      <c r="G190" s="379"/>
      <c r="H190" s="379"/>
      <c r="I190" s="379"/>
      <c r="J190" s="379"/>
      <c r="K190" s="379"/>
      <c r="L190" s="379"/>
      <c r="M190" s="379"/>
      <c r="N190" s="379"/>
      <c r="O190" s="379"/>
      <c r="P190" s="379"/>
      <c r="Q190" s="379"/>
      <c r="R190" s="379"/>
      <c r="S190" s="379"/>
      <c r="T190" s="379"/>
    </row>
    <row r="191" spans="2:20">
      <c r="B191" s="379"/>
      <c r="C191" s="379"/>
      <c r="D191" s="379"/>
      <c r="E191" s="379"/>
      <c r="F191" s="379"/>
      <c r="G191" s="379"/>
      <c r="H191" s="379"/>
      <c r="I191" s="379"/>
      <c r="J191" s="379"/>
      <c r="K191" s="379"/>
      <c r="L191" s="379"/>
      <c r="M191" s="379"/>
      <c r="N191" s="379"/>
      <c r="O191" s="379"/>
      <c r="P191" s="379"/>
      <c r="Q191" s="379"/>
      <c r="R191" s="379"/>
      <c r="S191" s="379"/>
      <c r="T191" s="379"/>
    </row>
    <row r="192" spans="2:20">
      <c r="B192" s="379"/>
      <c r="C192" s="379"/>
      <c r="D192" s="379"/>
      <c r="E192" s="379"/>
      <c r="F192" s="379"/>
      <c r="G192" s="379"/>
      <c r="H192" s="379"/>
      <c r="I192" s="379"/>
      <c r="J192" s="379"/>
      <c r="K192" s="379"/>
      <c r="L192" s="379"/>
      <c r="M192" s="379"/>
      <c r="N192" s="379"/>
      <c r="O192" s="379"/>
      <c r="P192" s="379"/>
      <c r="Q192" s="379"/>
      <c r="R192" s="379"/>
      <c r="S192" s="379"/>
      <c r="T192" s="379"/>
    </row>
    <row r="193" spans="2:20">
      <c r="B193" s="379"/>
      <c r="C193" s="379"/>
      <c r="D193" s="379"/>
      <c r="E193" s="379"/>
      <c r="F193" s="379"/>
      <c r="G193" s="379"/>
      <c r="H193" s="379"/>
      <c r="I193" s="379"/>
      <c r="J193" s="379"/>
      <c r="K193" s="379"/>
      <c r="L193" s="379"/>
      <c r="M193" s="379"/>
      <c r="N193" s="379"/>
      <c r="O193" s="379"/>
      <c r="P193" s="379"/>
      <c r="Q193" s="379"/>
      <c r="R193" s="379"/>
      <c r="S193" s="379"/>
      <c r="T193" s="379"/>
    </row>
    <row r="194" spans="2:20">
      <c r="B194" s="379"/>
      <c r="C194" s="379"/>
      <c r="D194" s="379"/>
      <c r="E194" s="379"/>
      <c r="F194" s="379"/>
      <c r="G194" s="379"/>
      <c r="H194" s="379"/>
      <c r="I194" s="379"/>
      <c r="J194" s="379"/>
      <c r="K194" s="379"/>
      <c r="L194" s="379"/>
      <c r="M194" s="379"/>
      <c r="N194" s="379"/>
      <c r="O194" s="379"/>
      <c r="P194" s="379"/>
      <c r="Q194" s="379"/>
      <c r="R194" s="379"/>
      <c r="S194" s="379"/>
      <c r="T194" s="379"/>
    </row>
    <row r="195" spans="2:20">
      <c r="B195" s="379"/>
      <c r="C195" s="379"/>
      <c r="D195" s="379"/>
      <c r="E195" s="379"/>
      <c r="F195" s="379"/>
      <c r="G195" s="379"/>
      <c r="H195" s="379"/>
      <c r="I195" s="379"/>
      <c r="J195" s="379"/>
      <c r="K195" s="379"/>
      <c r="L195" s="379"/>
      <c r="M195" s="379"/>
      <c r="N195" s="379"/>
      <c r="O195" s="379"/>
      <c r="P195" s="379"/>
      <c r="Q195" s="379"/>
      <c r="R195" s="379"/>
      <c r="S195" s="379"/>
      <c r="T195" s="379"/>
    </row>
    <row r="196" spans="2:20">
      <c r="B196" s="379"/>
      <c r="C196" s="379"/>
      <c r="D196" s="379"/>
      <c r="E196" s="379"/>
      <c r="F196" s="379"/>
      <c r="G196" s="379"/>
      <c r="H196" s="379"/>
      <c r="I196" s="379"/>
      <c r="J196" s="379"/>
      <c r="K196" s="379"/>
      <c r="L196" s="379"/>
      <c r="M196" s="379"/>
      <c r="N196" s="379"/>
      <c r="O196" s="379"/>
      <c r="P196" s="379"/>
      <c r="Q196" s="379"/>
      <c r="R196" s="379"/>
      <c r="S196" s="379"/>
      <c r="T196" s="379"/>
    </row>
    <row r="197" spans="2:20">
      <c r="B197" s="379"/>
      <c r="C197" s="379"/>
      <c r="D197" s="379"/>
      <c r="E197" s="379"/>
      <c r="F197" s="379"/>
      <c r="G197" s="379"/>
      <c r="H197" s="379"/>
      <c r="I197" s="379"/>
      <c r="J197" s="379"/>
      <c r="K197" s="379"/>
      <c r="L197" s="379"/>
      <c r="M197" s="379"/>
      <c r="N197" s="379"/>
      <c r="O197" s="379"/>
      <c r="P197" s="379"/>
      <c r="Q197" s="379"/>
      <c r="R197" s="379"/>
      <c r="S197" s="379"/>
      <c r="T197" s="379"/>
    </row>
    <row r="198" spans="2:20">
      <c r="B198" s="379"/>
      <c r="C198" s="379"/>
      <c r="D198" s="379"/>
      <c r="E198" s="379"/>
      <c r="F198" s="379"/>
      <c r="G198" s="379"/>
      <c r="H198" s="379"/>
      <c r="I198" s="379"/>
      <c r="J198" s="379"/>
      <c r="K198" s="379"/>
      <c r="L198" s="379"/>
      <c r="M198" s="379"/>
      <c r="N198" s="379"/>
      <c r="O198" s="379"/>
      <c r="P198" s="379"/>
      <c r="Q198" s="379"/>
      <c r="R198" s="379"/>
      <c r="S198" s="379"/>
      <c r="T198" s="379"/>
    </row>
    <row r="199" spans="2:20">
      <c r="B199" s="379"/>
      <c r="C199" s="379"/>
      <c r="D199" s="379"/>
      <c r="E199" s="379"/>
      <c r="F199" s="379"/>
      <c r="G199" s="379"/>
      <c r="H199" s="379"/>
      <c r="I199" s="379"/>
      <c r="J199" s="379"/>
      <c r="K199" s="379"/>
      <c r="L199" s="379"/>
      <c r="M199" s="379"/>
      <c r="N199" s="379"/>
      <c r="O199" s="379"/>
      <c r="P199" s="379"/>
      <c r="Q199" s="379"/>
      <c r="R199" s="379"/>
      <c r="S199" s="379"/>
      <c r="T199" s="379"/>
    </row>
    <row r="200" spans="2:20">
      <c r="B200" s="379"/>
      <c r="C200" s="379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79"/>
      <c r="T200" s="379"/>
    </row>
    <row r="201" spans="2:20">
      <c r="B201" s="379"/>
      <c r="C201" s="379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79"/>
      <c r="T201" s="379"/>
    </row>
    <row r="202" spans="2:20">
      <c r="B202" s="379"/>
      <c r="C202" s="379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79"/>
      <c r="T202" s="379"/>
    </row>
    <row r="203" spans="2:20">
      <c r="B203" s="379"/>
      <c r="C203" s="379"/>
      <c r="D203" s="379"/>
      <c r="E203" s="379"/>
      <c r="F203" s="379"/>
      <c r="G203" s="379"/>
      <c r="H203" s="379"/>
      <c r="I203" s="379"/>
      <c r="J203" s="379"/>
      <c r="K203" s="379"/>
      <c r="L203" s="379"/>
      <c r="M203" s="379"/>
      <c r="N203" s="379"/>
      <c r="O203" s="379"/>
      <c r="P203" s="379"/>
      <c r="Q203" s="379"/>
      <c r="R203" s="379"/>
      <c r="S203" s="379"/>
      <c r="T203" s="379"/>
    </row>
    <row r="204" spans="2:20">
      <c r="B204" s="379"/>
      <c r="C204" s="379"/>
      <c r="D204" s="379"/>
      <c r="E204" s="379"/>
      <c r="F204" s="379"/>
      <c r="G204" s="379"/>
      <c r="H204" s="379"/>
      <c r="I204" s="379"/>
      <c r="J204" s="379"/>
      <c r="K204" s="379"/>
      <c r="L204" s="379"/>
      <c r="M204" s="379"/>
      <c r="N204" s="379"/>
      <c r="O204" s="379"/>
      <c r="P204" s="379"/>
      <c r="Q204" s="379"/>
      <c r="R204" s="379"/>
      <c r="S204" s="379"/>
      <c r="T204" s="379"/>
    </row>
    <row r="205" spans="2:20">
      <c r="B205" s="379"/>
      <c r="C205" s="379"/>
      <c r="D205" s="379"/>
      <c r="E205" s="379"/>
      <c r="F205" s="379"/>
      <c r="G205" s="379"/>
      <c r="H205" s="379"/>
      <c r="I205" s="379"/>
      <c r="J205" s="379"/>
      <c r="K205" s="379"/>
      <c r="L205" s="379"/>
      <c r="M205" s="379"/>
      <c r="N205" s="379"/>
      <c r="O205" s="379"/>
      <c r="P205" s="379"/>
      <c r="Q205" s="379"/>
      <c r="R205" s="379"/>
      <c r="S205" s="379"/>
      <c r="T205" s="379"/>
    </row>
    <row r="206" spans="2:20">
      <c r="B206" s="379"/>
      <c r="C206" s="379"/>
      <c r="D206" s="379"/>
      <c r="E206" s="379"/>
      <c r="F206" s="379"/>
      <c r="G206" s="379"/>
      <c r="H206" s="379"/>
      <c r="I206" s="379"/>
      <c r="J206" s="379"/>
      <c r="K206" s="379"/>
      <c r="L206" s="379"/>
      <c r="M206" s="379"/>
      <c r="N206" s="379"/>
      <c r="O206" s="379"/>
      <c r="P206" s="379"/>
      <c r="Q206" s="379"/>
      <c r="R206" s="379"/>
      <c r="S206" s="379"/>
      <c r="T206" s="379"/>
    </row>
    <row r="207" spans="2:20">
      <c r="B207" s="379"/>
      <c r="C207" s="379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79"/>
      <c r="T207" s="379"/>
    </row>
    <row r="208" spans="2:20">
      <c r="B208" s="379"/>
      <c r="C208" s="379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79"/>
      <c r="T208" s="379"/>
    </row>
    <row r="209" spans="2:20">
      <c r="B209" s="379"/>
      <c r="C209" s="379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79"/>
      <c r="T209" s="379"/>
    </row>
    <row r="210" spans="2:20">
      <c r="B210" s="379"/>
      <c r="C210" s="379"/>
      <c r="D210" s="379"/>
      <c r="E210" s="379"/>
      <c r="F210" s="379"/>
      <c r="G210" s="379"/>
      <c r="H210" s="379"/>
      <c r="I210" s="379"/>
      <c r="J210" s="379"/>
      <c r="K210" s="379"/>
      <c r="L210" s="379"/>
      <c r="M210" s="379"/>
      <c r="N210" s="379"/>
      <c r="O210" s="379"/>
      <c r="P210" s="379"/>
      <c r="Q210" s="379"/>
      <c r="R210" s="379"/>
      <c r="S210" s="379"/>
      <c r="T210" s="379"/>
    </row>
    <row r="211" spans="2:20">
      <c r="B211" s="379"/>
      <c r="C211" s="379"/>
      <c r="D211" s="379"/>
      <c r="E211" s="379"/>
      <c r="F211" s="379"/>
      <c r="G211" s="379"/>
      <c r="H211" s="379"/>
      <c r="I211" s="379"/>
      <c r="J211" s="379"/>
      <c r="K211" s="379"/>
      <c r="L211" s="379"/>
      <c r="M211" s="379"/>
      <c r="N211" s="379"/>
      <c r="O211" s="379"/>
      <c r="P211" s="379"/>
      <c r="Q211" s="379"/>
      <c r="R211" s="379"/>
      <c r="S211" s="379"/>
      <c r="T211" s="379"/>
    </row>
    <row r="212" spans="2:20">
      <c r="B212" s="379"/>
      <c r="C212" s="379"/>
      <c r="D212" s="379"/>
      <c r="E212" s="379"/>
      <c r="F212" s="379"/>
      <c r="G212" s="379"/>
      <c r="H212" s="379"/>
      <c r="I212" s="379"/>
      <c r="J212" s="379"/>
      <c r="K212" s="379"/>
      <c r="L212" s="379"/>
      <c r="M212" s="379"/>
      <c r="N212" s="379"/>
      <c r="O212" s="379"/>
      <c r="P212" s="379"/>
      <c r="Q212" s="379"/>
      <c r="R212" s="379"/>
      <c r="S212" s="379"/>
      <c r="T212" s="379"/>
    </row>
    <row r="213" spans="2:20">
      <c r="B213" s="379"/>
      <c r="C213" s="379"/>
      <c r="D213" s="379"/>
      <c r="E213" s="379"/>
      <c r="F213" s="379"/>
      <c r="G213" s="379"/>
      <c r="H213" s="379"/>
      <c r="I213" s="379"/>
      <c r="J213" s="379"/>
      <c r="K213" s="379"/>
      <c r="L213" s="379"/>
      <c r="M213" s="379"/>
      <c r="N213" s="379"/>
      <c r="O213" s="379"/>
      <c r="P213" s="379"/>
      <c r="Q213" s="379"/>
      <c r="R213" s="379"/>
      <c r="S213" s="379"/>
      <c r="T213" s="379"/>
    </row>
    <row r="214" spans="2:20">
      <c r="B214" s="379"/>
      <c r="C214" s="379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79"/>
      <c r="T214" s="379"/>
    </row>
    <row r="215" spans="2:20">
      <c r="B215" s="379"/>
      <c r="C215" s="379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79"/>
      <c r="T215" s="379"/>
    </row>
    <row r="216" spans="2:20">
      <c r="B216" s="379"/>
      <c r="C216" s="379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79"/>
      <c r="T216" s="379"/>
    </row>
    <row r="217" spans="2:20">
      <c r="B217" s="379"/>
      <c r="C217" s="379"/>
      <c r="D217" s="379"/>
      <c r="E217" s="379"/>
      <c r="F217" s="379"/>
      <c r="G217" s="379"/>
      <c r="H217" s="379"/>
      <c r="I217" s="379"/>
      <c r="J217" s="379"/>
      <c r="K217" s="379"/>
      <c r="L217" s="379"/>
      <c r="M217" s="379"/>
      <c r="N217" s="379"/>
      <c r="O217" s="379"/>
      <c r="P217" s="379"/>
      <c r="Q217" s="379"/>
      <c r="R217" s="379"/>
      <c r="S217" s="379"/>
      <c r="T217" s="379"/>
    </row>
    <row r="218" spans="2:20">
      <c r="B218" s="379"/>
      <c r="C218" s="379"/>
      <c r="D218" s="379"/>
      <c r="E218" s="379"/>
      <c r="F218" s="379"/>
      <c r="G218" s="379"/>
      <c r="H218" s="379"/>
      <c r="I218" s="379"/>
      <c r="J218" s="379"/>
      <c r="K218" s="379"/>
      <c r="L218" s="379"/>
      <c r="M218" s="379"/>
      <c r="N218" s="379"/>
      <c r="O218" s="379"/>
      <c r="P218" s="379"/>
      <c r="Q218" s="379"/>
      <c r="R218" s="379"/>
      <c r="S218" s="379"/>
      <c r="T218" s="379"/>
    </row>
    <row r="219" spans="2:20">
      <c r="B219" s="379"/>
      <c r="C219" s="379"/>
      <c r="D219" s="379"/>
      <c r="E219" s="379"/>
      <c r="F219" s="379"/>
      <c r="G219" s="379"/>
      <c r="H219" s="379"/>
      <c r="I219" s="379"/>
      <c r="J219" s="379"/>
      <c r="K219" s="379"/>
      <c r="L219" s="379"/>
      <c r="M219" s="379"/>
      <c r="N219" s="379"/>
      <c r="O219" s="379"/>
      <c r="P219" s="379"/>
      <c r="Q219" s="379"/>
      <c r="R219" s="379"/>
      <c r="S219" s="379"/>
      <c r="T219" s="379"/>
    </row>
    <row r="220" spans="2:20">
      <c r="B220" s="379"/>
      <c r="C220" s="379"/>
      <c r="D220" s="379"/>
      <c r="E220" s="379"/>
      <c r="F220" s="379"/>
      <c r="G220" s="379"/>
      <c r="H220" s="379"/>
      <c r="I220" s="379"/>
      <c r="J220" s="379"/>
      <c r="K220" s="379"/>
      <c r="L220" s="379"/>
      <c r="M220" s="379"/>
      <c r="N220" s="379"/>
      <c r="O220" s="379"/>
      <c r="P220" s="379"/>
      <c r="Q220" s="379"/>
      <c r="R220" s="379"/>
      <c r="S220" s="379"/>
      <c r="T220" s="379"/>
    </row>
    <row r="221" spans="2:20">
      <c r="B221" s="379"/>
      <c r="C221" s="379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79"/>
      <c r="T221" s="379"/>
    </row>
    <row r="222" spans="2:20">
      <c r="B222" s="379"/>
      <c r="C222" s="379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79"/>
      <c r="T222" s="379"/>
    </row>
    <row r="223" spans="2:20">
      <c r="B223" s="379"/>
      <c r="C223" s="379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79"/>
      <c r="T223" s="379"/>
    </row>
    <row r="224" spans="2:20">
      <c r="B224" s="379"/>
      <c r="C224" s="379"/>
      <c r="D224" s="379"/>
      <c r="E224" s="379"/>
      <c r="F224" s="379"/>
      <c r="G224" s="379"/>
      <c r="H224" s="379"/>
      <c r="I224" s="379"/>
      <c r="J224" s="379"/>
      <c r="K224" s="379"/>
      <c r="L224" s="379"/>
      <c r="M224" s="379"/>
      <c r="N224" s="379"/>
      <c r="O224" s="379"/>
      <c r="P224" s="379"/>
      <c r="Q224" s="379"/>
      <c r="R224" s="379"/>
      <c r="S224" s="379"/>
      <c r="T224" s="379"/>
    </row>
    <row r="225" spans="2:20">
      <c r="B225" s="379"/>
      <c r="C225" s="379"/>
      <c r="D225" s="379"/>
      <c r="E225" s="379"/>
      <c r="F225" s="379"/>
      <c r="G225" s="379"/>
      <c r="H225" s="379"/>
      <c r="I225" s="379"/>
      <c r="J225" s="379"/>
      <c r="K225" s="379"/>
      <c r="L225" s="379"/>
      <c r="M225" s="379"/>
      <c r="N225" s="379"/>
      <c r="O225" s="379"/>
      <c r="P225" s="379"/>
      <c r="Q225" s="379"/>
      <c r="R225" s="379"/>
      <c r="S225" s="379"/>
      <c r="T225" s="379"/>
    </row>
    <row r="226" spans="2:20">
      <c r="B226" s="379"/>
      <c r="C226" s="379"/>
      <c r="D226" s="379"/>
      <c r="E226" s="379"/>
      <c r="F226" s="379"/>
      <c r="G226" s="379"/>
      <c r="H226" s="379"/>
      <c r="I226" s="379"/>
      <c r="J226" s="379"/>
      <c r="K226" s="379"/>
      <c r="L226" s="379"/>
      <c r="M226" s="379"/>
      <c r="N226" s="379"/>
      <c r="O226" s="379"/>
      <c r="P226" s="379"/>
      <c r="Q226" s="379"/>
      <c r="R226" s="379"/>
      <c r="S226" s="379"/>
      <c r="T226" s="379"/>
    </row>
    <row r="227" spans="2:20">
      <c r="B227" s="379"/>
      <c r="C227" s="379"/>
      <c r="D227" s="379"/>
      <c r="E227" s="379"/>
      <c r="F227" s="379"/>
      <c r="G227" s="379"/>
      <c r="H227" s="379"/>
      <c r="I227" s="379"/>
      <c r="J227" s="379"/>
      <c r="K227" s="379"/>
      <c r="L227" s="379"/>
      <c r="M227" s="379"/>
      <c r="N227" s="379"/>
      <c r="O227" s="379"/>
      <c r="P227" s="379"/>
      <c r="Q227" s="379"/>
      <c r="R227" s="379"/>
      <c r="S227" s="379"/>
      <c r="T227" s="379"/>
    </row>
    <row r="228" spans="2:20">
      <c r="B228" s="379"/>
      <c r="C228" s="379"/>
      <c r="D228" s="379"/>
      <c r="E228" s="379"/>
      <c r="F228" s="379"/>
      <c r="G228" s="379"/>
      <c r="H228" s="379"/>
      <c r="I228" s="379"/>
      <c r="J228" s="379"/>
      <c r="K228" s="379"/>
      <c r="L228" s="379"/>
      <c r="M228" s="379"/>
      <c r="N228" s="379"/>
      <c r="O228" s="379"/>
      <c r="P228" s="379"/>
      <c r="Q228" s="379"/>
      <c r="R228" s="379"/>
      <c r="S228" s="379"/>
      <c r="T228" s="379"/>
    </row>
    <row r="229" spans="2:20">
      <c r="B229" s="379"/>
      <c r="C229" s="379"/>
      <c r="D229" s="379"/>
      <c r="E229" s="379"/>
      <c r="F229" s="379"/>
      <c r="G229" s="379"/>
      <c r="H229" s="379"/>
      <c r="I229" s="379"/>
      <c r="J229" s="379"/>
      <c r="K229" s="379"/>
      <c r="L229" s="379"/>
      <c r="M229" s="379"/>
      <c r="N229" s="379"/>
      <c r="O229" s="379"/>
      <c r="P229" s="379"/>
      <c r="Q229" s="379"/>
      <c r="R229" s="379"/>
      <c r="S229" s="379"/>
      <c r="T229" s="379"/>
    </row>
    <row r="230" spans="2:20">
      <c r="B230" s="379"/>
      <c r="C230" s="379"/>
      <c r="D230" s="379"/>
      <c r="E230" s="379"/>
      <c r="F230" s="379"/>
      <c r="G230" s="379"/>
      <c r="H230" s="379"/>
      <c r="I230" s="379"/>
      <c r="J230" s="379"/>
      <c r="K230" s="379"/>
      <c r="L230" s="379"/>
      <c r="M230" s="379"/>
      <c r="N230" s="379"/>
      <c r="O230" s="379"/>
      <c r="P230" s="379"/>
      <c r="Q230" s="379"/>
      <c r="R230" s="379"/>
      <c r="S230" s="379"/>
      <c r="T230" s="379"/>
    </row>
    <row r="231" spans="2:20">
      <c r="B231" s="379"/>
      <c r="C231" s="379"/>
      <c r="D231" s="379"/>
      <c r="E231" s="379"/>
      <c r="F231" s="379"/>
      <c r="G231" s="379"/>
      <c r="H231" s="379"/>
      <c r="I231" s="379"/>
      <c r="J231" s="379"/>
      <c r="K231" s="379"/>
      <c r="L231" s="379"/>
      <c r="M231" s="379"/>
      <c r="N231" s="379"/>
      <c r="O231" s="379"/>
      <c r="P231" s="379"/>
      <c r="Q231" s="379"/>
      <c r="R231" s="379"/>
      <c r="S231" s="379"/>
      <c r="T231" s="379"/>
    </row>
    <row r="232" spans="2:20">
      <c r="B232" s="379"/>
      <c r="C232" s="379"/>
      <c r="D232" s="379"/>
      <c r="E232" s="379"/>
      <c r="F232" s="379"/>
      <c r="G232" s="379"/>
      <c r="H232" s="379"/>
      <c r="I232" s="379"/>
      <c r="J232" s="379"/>
      <c r="K232" s="379"/>
      <c r="L232" s="379"/>
      <c r="M232" s="379"/>
      <c r="N232" s="379"/>
      <c r="O232" s="379"/>
      <c r="P232" s="379"/>
      <c r="Q232" s="379"/>
      <c r="R232" s="379"/>
      <c r="S232" s="379"/>
      <c r="T232" s="379"/>
    </row>
    <row r="233" spans="2:20">
      <c r="B233" s="379"/>
      <c r="C233" s="379"/>
      <c r="D233" s="379"/>
      <c r="E233" s="379"/>
      <c r="F233" s="379"/>
      <c r="G233" s="379"/>
      <c r="H233" s="379"/>
      <c r="I233" s="379"/>
      <c r="J233" s="379"/>
      <c r="K233" s="379"/>
      <c r="L233" s="379"/>
      <c r="M233" s="379"/>
      <c r="N233" s="379"/>
      <c r="O233" s="379"/>
      <c r="P233" s="379"/>
      <c r="Q233" s="379"/>
      <c r="R233" s="379"/>
      <c r="S233" s="379"/>
      <c r="T233" s="379"/>
    </row>
    <row r="234" spans="2:20">
      <c r="B234" s="379"/>
      <c r="C234" s="379"/>
      <c r="D234" s="379"/>
      <c r="E234" s="379"/>
      <c r="F234" s="379"/>
      <c r="G234" s="379"/>
      <c r="H234" s="379"/>
      <c r="I234" s="379"/>
      <c r="J234" s="379"/>
      <c r="K234" s="379"/>
      <c r="L234" s="379"/>
      <c r="M234" s="379"/>
      <c r="N234" s="379"/>
      <c r="O234" s="379"/>
      <c r="P234" s="379"/>
      <c r="Q234" s="379"/>
      <c r="R234" s="379"/>
      <c r="S234" s="379"/>
      <c r="T234" s="379"/>
    </row>
    <row r="235" spans="2:20">
      <c r="B235" s="379"/>
      <c r="C235" s="379"/>
      <c r="D235" s="379"/>
      <c r="E235" s="379"/>
      <c r="F235" s="379"/>
      <c r="G235" s="379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79"/>
    </row>
    <row r="236" spans="2:20">
      <c r="B236" s="379"/>
      <c r="C236" s="379"/>
      <c r="D236" s="379"/>
      <c r="E236" s="379"/>
      <c r="F236" s="379"/>
      <c r="G236" s="379"/>
      <c r="H236" s="379"/>
      <c r="I236" s="379"/>
      <c r="J236" s="379"/>
      <c r="K236" s="379"/>
      <c r="L236" s="379"/>
      <c r="M236" s="379"/>
      <c r="N236" s="379"/>
      <c r="O236" s="379"/>
      <c r="P236" s="379"/>
      <c r="Q236" s="379"/>
      <c r="R236" s="379"/>
      <c r="S236" s="379"/>
      <c r="T236" s="379"/>
    </row>
    <row r="237" spans="2:20">
      <c r="B237" s="379"/>
      <c r="C237" s="379"/>
      <c r="D237" s="379"/>
      <c r="E237" s="379"/>
      <c r="F237" s="379"/>
      <c r="G237" s="379"/>
      <c r="H237" s="379"/>
      <c r="I237" s="379"/>
      <c r="J237" s="379"/>
      <c r="K237" s="379"/>
      <c r="L237" s="379"/>
      <c r="M237" s="379"/>
      <c r="N237" s="379"/>
      <c r="O237" s="379"/>
      <c r="P237" s="379"/>
      <c r="Q237" s="379"/>
      <c r="R237" s="379"/>
      <c r="S237" s="379"/>
      <c r="T237" s="379"/>
    </row>
    <row r="238" spans="2:20">
      <c r="B238" s="379"/>
      <c r="C238" s="379"/>
      <c r="D238" s="379"/>
      <c r="E238" s="379"/>
      <c r="F238" s="379"/>
      <c r="G238" s="379"/>
      <c r="H238" s="379"/>
      <c r="I238" s="379"/>
      <c r="J238" s="379"/>
      <c r="K238" s="379"/>
      <c r="L238" s="379"/>
      <c r="M238" s="379"/>
      <c r="N238" s="379"/>
      <c r="O238" s="379"/>
      <c r="P238" s="379"/>
      <c r="Q238" s="379"/>
      <c r="R238" s="379"/>
      <c r="S238" s="379"/>
      <c r="T238" s="379"/>
    </row>
    <row r="239" spans="2:20">
      <c r="B239" s="379"/>
      <c r="C239" s="379"/>
      <c r="D239" s="379"/>
      <c r="E239" s="379"/>
      <c r="F239" s="379"/>
      <c r="G239" s="379"/>
      <c r="H239" s="379"/>
      <c r="I239" s="379"/>
      <c r="J239" s="379"/>
      <c r="K239" s="379"/>
      <c r="L239" s="379"/>
      <c r="M239" s="379"/>
      <c r="N239" s="379"/>
      <c r="O239" s="379"/>
      <c r="P239" s="379"/>
      <c r="Q239" s="379"/>
      <c r="R239" s="379"/>
      <c r="S239" s="379"/>
      <c r="T239" s="379"/>
    </row>
    <row r="240" spans="2:20">
      <c r="B240" s="379"/>
      <c r="C240" s="379"/>
      <c r="D240" s="379"/>
      <c r="E240" s="379"/>
      <c r="F240" s="379"/>
      <c r="G240" s="379"/>
      <c r="H240" s="379"/>
      <c r="I240" s="379"/>
      <c r="J240" s="379"/>
      <c r="K240" s="379"/>
      <c r="L240" s="379"/>
      <c r="M240" s="379"/>
      <c r="N240" s="379"/>
      <c r="O240" s="379"/>
      <c r="P240" s="379"/>
      <c r="Q240" s="379"/>
      <c r="R240" s="379"/>
      <c r="S240" s="379"/>
      <c r="T240" s="379"/>
    </row>
    <row r="241" spans="2:20">
      <c r="B241" s="379"/>
      <c r="C241" s="379"/>
      <c r="D241" s="379"/>
      <c r="E241" s="379"/>
      <c r="F241" s="379"/>
      <c r="G241" s="379"/>
      <c r="H241" s="379"/>
      <c r="I241" s="379"/>
      <c r="J241" s="379"/>
      <c r="K241" s="379"/>
      <c r="L241" s="379"/>
      <c r="M241" s="379"/>
      <c r="N241" s="379"/>
      <c r="O241" s="379"/>
      <c r="P241" s="379"/>
      <c r="Q241" s="379"/>
      <c r="R241" s="379"/>
      <c r="S241" s="379"/>
      <c r="T241" s="379"/>
    </row>
    <row r="242" spans="2:20">
      <c r="B242" s="379"/>
      <c r="C242" s="379"/>
      <c r="D242" s="379"/>
      <c r="E242" s="379"/>
      <c r="F242" s="379"/>
      <c r="G242" s="379"/>
      <c r="H242" s="379"/>
      <c r="I242" s="379"/>
      <c r="J242" s="379"/>
      <c r="K242" s="379"/>
      <c r="L242" s="379"/>
      <c r="M242" s="379"/>
      <c r="N242" s="379"/>
      <c r="O242" s="379"/>
      <c r="P242" s="379"/>
      <c r="Q242" s="379"/>
      <c r="R242" s="379"/>
      <c r="S242" s="379"/>
      <c r="T242" s="379"/>
    </row>
    <row r="243" spans="2:20">
      <c r="B243" s="379"/>
      <c r="C243" s="379"/>
      <c r="D243" s="379"/>
      <c r="E243" s="379"/>
      <c r="F243" s="379"/>
      <c r="G243" s="379"/>
      <c r="H243" s="379"/>
      <c r="I243" s="379"/>
      <c r="J243" s="379"/>
      <c r="K243" s="379"/>
      <c r="L243" s="379"/>
      <c r="M243" s="379"/>
      <c r="N243" s="379"/>
      <c r="O243" s="379"/>
      <c r="P243" s="379"/>
      <c r="Q243" s="379"/>
      <c r="R243" s="379"/>
      <c r="S243" s="379"/>
      <c r="T243" s="379"/>
    </row>
    <row r="244" spans="2:20">
      <c r="B244" s="379"/>
      <c r="C244" s="379"/>
      <c r="D244" s="379"/>
      <c r="E244" s="379"/>
      <c r="F244" s="379"/>
      <c r="G244" s="379"/>
      <c r="H244" s="379"/>
      <c r="I244" s="379"/>
      <c r="J244" s="379"/>
      <c r="K244" s="379"/>
      <c r="L244" s="379"/>
      <c r="M244" s="379"/>
      <c r="N244" s="379"/>
      <c r="O244" s="379"/>
      <c r="P244" s="379"/>
      <c r="Q244" s="379"/>
      <c r="R244" s="379"/>
      <c r="S244" s="379"/>
      <c r="T244" s="379"/>
    </row>
    <row r="245" spans="2:20">
      <c r="B245" s="379"/>
      <c r="C245" s="379"/>
      <c r="D245" s="379"/>
      <c r="E245" s="379"/>
      <c r="F245" s="379"/>
      <c r="G245" s="379"/>
      <c r="H245" s="379"/>
      <c r="I245" s="379"/>
      <c r="J245" s="379"/>
      <c r="K245" s="379"/>
      <c r="L245" s="379"/>
      <c r="M245" s="379"/>
      <c r="N245" s="379"/>
      <c r="O245" s="379"/>
      <c r="P245" s="379"/>
      <c r="Q245" s="379"/>
      <c r="R245" s="379"/>
      <c r="S245" s="379"/>
      <c r="T245" s="379"/>
    </row>
    <row r="246" spans="2:20">
      <c r="B246" s="379"/>
      <c r="C246" s="379"/>
      <c r="D246" s="379"/>
      <c r="E246" s="379"/>
      <c r="F246" s="379"/>
      <c r="G246" s="379"/>
      <c r="H246" s="379"/>
      <c r="I246" s="379"/>
      <c r="J246" s="379"/>
      <c r="K246" s="379"/>
      <c r="L246" s="379"/>
      <c r="M246" s="379"/>
      <c r="N246" s="379"/>
      <c r="O246" s="379"/>
      <c r="P246" s="379"/>
      <c r="Q246" s="379"/>
      <c r="R246" s="379"/>
      <c r="S246" s="379"/>
      <c r="T246" s="379"/>
    </row>
    <row r="247" spans="2:20">
      <c r="B247" s="379"/>
      <c r="C247" s="379"/>
      <c r="D247" s="379"/>
      <c r="E247" s="379"/>
      <c r="F247" s="379"/>
      <c r="G247" s="379"/>
      <c r="H247" s="379"/>
      <c r="I247" s="379"/>
      <c r="J247" s="379"/>
      <c r="K247" s="379"/>
      <c r="L247" s="379"/>
      <c r="M247" s="379"/>
      <c r="N247" s="379"/>
      <c r="O247" s="379"/>
      <c r="P247" s="379"/>
      <c r="Q247" s="379"/>
      <c r="R247" s="379"/>
      <c r="S247" s="379"/>
      <c r="T247" s="379"/>
    </row>
    <row r="248" spans="2:20">
      <c r="B248" s="379"/>
      <c r="C248" s="379"/>
      <c r="D248" s="379"/>
      <c r="E248" s="379"/>
      <c r="F248" s="379"/>
      <c r="G248" s="379"/>
      <c r="H248" s="379"/>
      <c r="I248" s="379"/>
      <c r="J248" s="379"/>
      <c r="K248" s="379"/>
      <c r="L248" s="379"/>
      <c r="M248" s="379"/>
      <c r="N248" s="379"/>
      <c r="O248" s="379"/>
      <c r="P248" s="379"/>
      <c r="Q248" s="379"/>
      <c r="R248" s="379"/>
      <c r="S248" s="379"/>
      <c r="T248" s="379"/>
    </row>
    <row r="249" spans="2:20">
      <c r="B249" s="379"/>
      <c r="C249" s="379"/>
      <c r="D249" s="379"/>
      <c r="E249" s="379"/>
      <c r="F249" s="379"/>
      <c r="G249" s="379"/>
      <c r="H249" s="379"/>
      <c r="I249" s="379"/>
      <c r="J249" s="379"/>
      <c r="K249" s="379"/>
      <c r="L249" s="379"/>
      <c r="M249" s="379"/>
      <c r="N249" s="379"/>
      <c r="O249" s="379"/>
      <c r="P249" s="379"/>
      <c r="Q249" s="379"/>
      <c r="R249" s="379"/>
      <c r="S249" s="379"/>
      <c r="T249" s="379"/>
    </row>
    <row r="250" spans="2:20">
      <c r="B250" s="379"/>
      <c r="C250" s="379"/>
      <c r="D250" s="379"/>
      <c r="E250" s="379"/>
      <c r="F250" s="379"/>
      <c r="G250" s="379"/>
      <c r="H250" s="379"/>
      <c r="I250" s="379"/>
      <c r="J250" s="379"/>
      <c r="K250" s="379"/>
      <c r="L250" s="379"/>
      <c r="M250" s="379"/>
      <c r="N250" s="379"/>
      <c r="O250" s="379"/>
      <c r="P250" s="379"/>
      <c r="Q250" s="379"/>
      <c r="R250" s="379"/>
      <c r="S250" s="379"/>
      <c r="T250" s="379"/>
    </row>
    <row r="251" spans="2:20">
      <c r="B251" s="379"/>
      <c r="C251" s="379"/>
      <c r="D251" s="379"/>
      <c r="E251" s="379"/>
      <c r="F251" s="379"/>
      <c r="G251" s="379"/>
      <c r="H251" s="379"/>
      <c r="I251" s="379"/>
      <c r="J251" s="379"/>
      <c r="K251" s="379"/>
      <c r="L251" s="379"/>
      <c r="M251" s="379"/>
      <c r="N251" s="379"/>
      <c r="O251" s="379"/>
      <c r="P251" s="379"/>
      <c r="Q251" s="379"/>
      <c r="R251" s="379"/>
      <c r="S251" s="379"/>
      <c r="T251" s="379"/>
    </row>
    <row r="252" spans="2:20">
      <c r="B252" s="379"/>
      <c r="C252" s="379"/>
      <c r="D252" s="379"/>
      <c r="E252" s="379"/>
      <c r="F252" s="379"/>
      <c r="G252" s="379"/>
      <c r="H252" s="379"/>
      <c r="I252" s="379"/>
      <c r="J252" s="379"/>
      <c r="K252" s="379"/>
      <c r="L252" s="379"/>
      <c r="M252" s="379"/>
      <c r="N252" s="379"/>
      <c r="O252" s="379"/>
      <c r="P252" s="379"/>
      <c r="Q252" s="379"/>
      <c r="R252" s="379"/>
      <c r="S252" s="379"/>
      <c r="T252" s="379"/>
    </row>
    <row r="253" spans="2:20">
      <c r="B253" s="379"/>
      <c r="C253" s="379"/>
      <c r="D253" s="379"/>
      <c r="E253" s="379"/>
      <c r="F253" s="379"/>
      <c r="G253" s="379"/>
      <c r="H253" s="379"/>
      <c r="I253" s="379"/>
      <c r="J253" s="379"/>
      <c r="K253" s="379"/>
      <c r="L253" s="379"/>
      <c r="M253" s="379"/>
      <c r="N253" s="379"/>
      <c r="O253" s="379"/>
      <c r="P253" s="379"/>
      <c r="Q253" s="379"/>
      <c r="R253" s="379"/>
      <c r="S253" s="379"/>
      <c r="T253" s="379"/>
    </row>
    <row r="254" spans="2:20">
      <c r="B254" s="379"/>
      <c r="C254" s="379"/>
      <c r="D254" s="379"/>
      <c r="E254" s="379"/>
      <c r="F254" s="379"/>
      <c r="G254" s="379"/>
      <c r="H254" s="379"/>
      <c r="I254" s="379"/>
      <c r="J254" s="379"/>
      <c r="K254" s="379"/>
      <c r="L254" s="379"/>
      <c r="M254" s="379"/>
      <c r="N254" s="379"/>
      <c r="O254" s="379"/>
      <c r="P254" s="379"/>
      <c r="Q254" s="379"/>
      <c r="R254" s="379"/>
      <c r="S254" s="379"/>
      <c r="T254" s="379"/>
    </row>
    <row r="255" spans="2:20">
      <c r="B255" s="379"/>
      <c r="C255" s="379"/>
      <c r="D255" s="379"/>
      <c r="E255" s="379"/>
      <c r="F255" s="379"/>
      <c r="G255" s="379"/>
      <c r="H255" s="379"/>
      <c r="I255" s="379"/>
      <c r="J255" s="379"/>
      <c r="K255" s="379"/>
      <c r="L255" s="379"/>
      <c r="M255" s="379"/>
      <c r="N255" s="379"/>
      <c r="O255" s="379"/>
      <c r="P255" s="379"/>
      <c r="Q255" s="379"/>
      <c r="R255" s="379"/>
      <c r="S255" s="379"/>
      <c r="T255" s="379"/>
    </row>
    <row r="256" spans="2:20">
      <c r="B256" s="379"/>
      <c r="C256" s="379"/>
      <c r="D256" s="379"/>
      <c r="E256" s="379"/>
      <c r="F256" s="379"/>
      <c r="G256" s="379"/>
      <c r="H256" s="379"/>
      <c r="I256" s="379"/>
      <c r="J256" s="379"/>
      <c r="K256" s="379"/>
      <c r="L256" s="379"/>
      <c r="M256" s="379"/>
      <c r="N256" s="379"/>
      <c r="O256" s="379"/>
      <c r="P256" s="379"/>
      <c r="Q256" s="379"/>
      <c r="R256" s="379"/>
      <c r="S256" s="379"/>
      <c r="T256" s="379"/>
    </row>
    <row r="257" spans="2:20">
      <c r="B257" s="379"/>
      <c r="C257" s="379"/>
      <c r="D257" s="379"/>
      <c r="E257" s="379"/>
      <c r="F257" s="379"/>
      <c r="G257" s="379"/>
      <c r="H257" s="379"/>
      <c r="I257" s="379"/>
      <c r="J257" s="379"/>
      <c r="K257" s="379"/>
      <c r="L257" s="379"/>
      <c r="M257" s="379"/>
      <c r="N257" s="379"/>
      <c r="O257" s="379"/>
      <c r="P257" s="379"/>
      <c r="Q257" s="379"/>
      <c r="R257" s="379"/>
      <c r="S257" s="379"/>
      <c r="T257" s="379"/>
    </row>
    <row r="258" spans="2:20">
      <c r="B258" s="379"/>
      <c r="C258" s="379"/>
      <c r="D258" s="379"/>
      <c r="E258" s="379"/>
      <c r="F258" s="379"/>
      <c r="G258" s="379"/>
      <c r="H258" s="379"/>
      <c r="I258" s="379"/>
      <c r="J258" s="379"/>
      <c r="K258" s="379"/>
      <c r="L258" s="379"/>
      <c r="M258" s="379"/>
      <c r="N258" s="379"/>
      <c r="O258" s="379"/>
      <c r="P258" s="379"/>
      <c r="Q258" s="379"/>
      <c r="R258" s="379"/>
      <c r="S258" s="379"/>
      <c r="T258" s="379"/>
    </row>
    <row r="259" spans="2:20">
      <c r="B259" s="379"/>
      <c r="C259" s="379"/>
      <c r="D259" s="379"/>
      <c r="E259" s="379"/>
      <c r="F259" s="379"/>
      <c r="G259" s="379"/>
      <c r="H259" s="379"/>
      <c r="I259" s="379"/>
      <c r="J259" s="379"/>
      <c r="K259" s="379"/>
      <c r="L259" s="379"/>
      <c r="M259" s="379"/>
      <c r="N259" s="379"/>
      <c r="O259" s="379"/>
      <c r="P259" s="379"/>
      <c r="Q259" s="379"/>
      <c r="R259" s="379"/>
      <c r="S259" s="379"/>
      <c r="T259" s="379"/>
    </row>
    <row r="260" spans="2:20">
      <c r="B260" s="379"/>
      <c r="C260" s="379"/>
      <c r="D260" s="379"/>
      <c r="E260" s="379"/>
      <c r="F260" s="379"/>
      <c r="G260" s="379"/>
      <c r="H260" s="379"/>
      <c r="I260" s="379"/>
      <c r="J260" s="379"/>
      <c r="K260" s="379"/>
      <c r="L260" s="379"/>
      <c r="M260" s="379"/>
      <c r="N260" s="379"/>
      <c r="O260" s="379"/>
      <c r="P260" s="379"/>
      <c r="Q260" s="379"/>
      <c r="R260" s="379"/>
      <c r="S260" s="379"/>
      <c r="T260" s="379"/>
    </row>
    <row r="261" spans="2:20">
      <c r="B261" s="379"/>
      <c r="C261" s="379"/>
      <c r="D261" s="379"/>
      <c r="E261" s="379"/>
      <c r="F261" s="379"/>
      <c r="G261" s="379"/>
      <c r="H261" s="379"/>
      <c r="I261" s="379"/>
      <c r="J261" s="379"/>
      <c r="K261" s="379"/>
      <c r="L261" s="379"/>
      <c r="M261" s="379"/>
      <c r="N261" s="379"/>
      <c r="O261" s="379"/>
      <c r="P261" s="379"/>
      <c r="Q261" s="379"/>
      <c r="R261" s="379"/>
      <c r="S261" s="379"/>
      <c r="T261" s="379"/>
    </row>
    <row r="262" spans="2:20">
      <c r="B262" s="379"/>
      <c r="C262" s="379"/>
      <c r="D262" s="379"/>
      <c r="E262" s="379"/>
      <c r="F262" s="379"/>
      <c r="G262" s="379"/>
      <c r="H262" s="379"/>
      <c r="I262" s="379"/>
      <c r="J262" s="379"/>
      <c r="K262" s="379"/>
      <c r="L262" s="379"/>
      <c r="M262" s="379"/>
      <c r="N262" s="379"/>
      <c r="O262" s="379"/>
      <c r="P262" s="379"/>
      <c r="Q262" s="379"/>
      <c r="R262" s="379"/>
      <c r="S262" s="379"/>
      <c r="T262" s="379"/>
    </row>
    <row r="263" spans="2:20">
      <c r="B263" s="379"/>
      <c r="C263" s="379"/>
      <c r="D263" s="379"/>
      <c r="E263" s="379"/>
      <c r="F263" s="379"/>
      <c r="G263" s="379"/>
      <c r="H263" s="379"/>
      <c r="I263" s="379"/>
      <c r="J263" s="379"/>
      <c r="K263" s="379"/>
      <c r="L263" s="379"/>
      <c r="M263" s="379"/>
      <c r="N263" s="379"/>
      <c r="O263" s="379"/>
      <c r="P263" s="379"/>
      <c r="Q263" s="379"/>
      <c r="R263" s="379"/>
      <c r="S263" s="379"/>
      <c r="T263" s="379"/>
    </row>
    <row r="264" spans="2:20">
      <c r="B264" s="379"/>
      <c r="C264" s="379"/>
      <c r="D264" s="379"/>
      <c r="E264" s="379"/>
      <c r="F264" s="379"/>
      <c r="G264" s="379"/>
      <c r="H264" s="379"/>
      <c r="I264" s="379"/>
      <c r="J264" s="379"/>
      <c r="K264" s="379"/>
      <c r="L264" s="379"/>
      <c r="M264" s="379"/>
      <c r="N264" s="379"/>
      <c r="O264" s="379"/>
      <c r="P264" s="379"/>
      <c r="Q264" s="379"/>
      <c r="R264" s="379"/>
      <c r="S264" s="379"/>
      <c r="T264" s="379"/>
    </row>
    <row r="265" spans="2:20">
      <c r="B265" s="379"/>
      <c r="C265" s="379"/>
      <c r="D265" s="379"/>
      <c r="E265" s="379"/>
      <c r="F265" s="379"/>
      <c r="G265" s="379"/>
      <c r="H265" s="379"/>
      <c r="I265" s="379"/>
      <c r="J265" s="379"/>
      <c r="K265" s="379"/>
      <c r="L265" s="379"/>
      <c r="M265" s="379"/>
      <c r="N265" s="379"/>
      <c r="O265" s="379"/>
      <c r="P265" s="379"/>
      <c r="Q265" s="379"/>
      <c r="R265" s="379"/>
      <c r="S265" s="379"/>
      <c r="T265" s="379"/>
    </row>
    <row r="266" spans="2:20">
      <c r="B266" s="379"/>
      <c r="C266" s="379"/>
      <c r="D266" s="379"/>
      <c r="E266" s="379"/>
      <c r="F266" s="379"/>
      <c r="G266" s="379"/>
      <c r="H266" s="379"/>
      <c r="I266" s="379"/>
      <c r="J266" s="379"/>
      <c r="K266" s="379"/>
      <c r="L266" s="379"/>
      <c r="M266" s="379"/>
      <c r="N266" s="379"/>
      <c r="O266" s="379"/>
      <c r="P266" s="379"/>
      <c r="Q266" s="379"/>
      <c r="R266" s="379"/>
      <c r="S266" s="379"/>
      <c r="T266" s="379"/>
    </row>
    <row r="267" spans="2:20">
      <c r="B267" s="379"/>
      <c r="C267" s="379"/>
      <c r="D267" s="379"/>
      <c r="E267" s="379"/>
      <c r="F267" s="379"/>
      <c r="G267" s="379"/>
      <c r="H267" s="379"/>
      <c r="I267" s="379"/>
      <c r="J267" s="379"/>
      <c r="K267" s="379"/>
      <c r="L267" s="379"/>
      <c r="M267" s="379"/>
      <c r="N267" s="379"/>
      <c r="O267" s="379"/>
      <c r="P267" s="379"/>
      <c r="Q267" s="379"/>
      <c r="R267" s="379"/>
      <c r="S267" s="379"/>
      <c r="T267" s="379"/>
    </row>
    <row r="268" spans="2:20">
      <c r="B268" s="379"/>
      <c r="C268" s="379"/>
      <c r="D268" s="379"/>
      <c r="E268" s="379"/>
      <c r="F268" s="379"/>
      <c r="G268" s="379"/>
      <c r="H268" s="379"/>
      <c r="I268" s="379"/>
      <c r="J268" s="379"/>
      <c r="K268" s="379"/>
      <c r="L268" s="379"/>
      <c r="M268" s="379"/>
      <c r="N268" s="379"/>
      <c r="O268" s="379"/>
      <c r="P268" s="379"/>
      <c r="Q268" s="379"/>
      <c r="R268" s="379"/>
      <c r="S268" s="379"/>
      <c r="T268" s="379"/>
    </row>
    <row r="269" spans="2:20">
      <c r="B269" s="379"/>
      <c r="C269" s="379"/>
      <c r="D269" s="379"/>
      <c r="E269" s="379"/>
      <c r="F269" s="379"/>
      <c r="G269" s="379"/>
      <c r="H269" s="379"/>
      <c r="I269" s="379"/>
      <c r="J269" s="379"/>
      <c r="K269" s="379"/>
      <c r="L269" s="379"/>
      <c r="M269" s="379"/>
      <c r="N269" s="379"/>
      <c r="O269" s="379"/>
      <c r="P269" s="379"/>
      <c r="Q269" s="379"/>
      <c r="R269" s="379"/>
      <c r="S269" s="379"/>
      <c r="T269" s="379"/>
    </row>
    <row r="270" spans="2:20">
      <c r="B270" s="379"/>
      <c r="C270" s="379"/>
      <c r="D270" s="379"/>
      <c r="E270" s="379"/>
      <c r="F270" s="379"/>
      <c r="G270" s="379"/>
      <c r="H270" s="379"/>
      <c r="I270" s="379"/>
      <c r="J270" s="379"/>
      <c r="K270" s="379"/>
      <c r="L270" s="379"/>
      <c r="M270" s="379"/>
      <c r="N270" s="379"/>
      <c r="O270" s="379"/>
      <c r="P270" s="379"/>
      <c r="Q270" s="379"/>
      <c r="R270" s="379"/>
      <c r="S270" s="379"/>
      <c r="T270" s="379"/>
    </row>
    <row r="271" spans="2:20">
      <c r="B271" s="379"/>
      <c r="C271" s="379"/>
      <c r="D271" s="379"/>
      <c r="E271" s="379"/>
      <c r="F271" s="379"/>
      <c r="G271" s="379"/>
      <c r="H271" s="379"/>
      <c r="I271" s="379"/>
      <c r="J271" s="379"/>
      <c r="K271" s="379"/>
      <c r="L271" s="379"/>
      <c r="M271" s="379"/>
      <c r="N271" s="379"/>
      <c r="O271" s="379"/>
      <c r="P271" s="379"/>
      <c r="Q271" s="379"/>
      <c r="R271" s="379"/>
      <c r="S271" s="379"/>
      <c r="T271" s="379"/>
    </row>
    <row r="272" spans="2:20">
      <c r="B272" s="379"/>
      <c r="C272" s="379"/>
      <c r="D272" s="379"/>
      <c r="E272" s="379"/>
      <c r="F272" s="379"/>
      <c r="G272" s="379"/>
      <c r="H272" s="379"/>
      <c r="I272" s="379"/>
      <c r="J272" s="379"/>
      <c r="K272" s="379"/>
      <c r="L272" s="379"/>
      <c r="M272" s="379"/>
      <c r="N272" s="379"/>
      <c r="O272" s="379"/>
      <c r="P272" s="379"/>
      <c r="Q272" s="379"/>
      <c r="R272" s="379"/>
      <c r="S272" s="379"/>
      <c r="T272" s="379"/>
    </row>
    <row r="273" spans="2:20">
      <c r="B273" s="379"/>
      <c r="C273" s="379"/>
      <c r="D273" s="379"/>
      <c r="E273" s="379"/>
      <c r="F273" s="379"/>
      <c r="G273" s="379"/>
      <c r="H273" s="379"/>
      <c r="I273" s="379"/>
      <c r="J273" s="379"/>
      <c r="K273" s="379"/>
      <c r="L273" s="379"/>
      <c r="M273" s="379"/>
      <c r="N273" s="379"/>
      <c r="O273" s="379"/>
      <c r="P273" s="379"/>
      <c r="Q273" s="379"/>
      <c r="R273" s="379"/>
      <c r="S273" s="379"/>
      <c r="T273" s="379"/>
    </row>
    <row r="274" spans="2:20">
      <c r="B274" s="379"/>
      <c r="C274" s="379"/>
      <c r="D274" s="379"/>
      <c r="E274" s="379"/>
      <c r="F274" s="379"/>
      <c r="G274" s="379"/>
      <c r="H274" s="379"/>
      <c r="I274" s="379"/>
      <c r="J274" s="379"/>
      <c r="K274" s="379"/>
      <c r="L274" s="379"/>
      <c r="M274" s="379"/>
      <c r="N274" s="379"/>
      <c r="O274" s="379"/>
      <c r="P274" s="379"/>
      <c r="Q274" s="379"/>
      <c r="R274" s="379"/>
      <c r="S274" s="379"/>
      <c r="T274" s="379"/>
    </row>
    <row r="275" spans="2:20">
      <c r="B275" s="379"/>
      <c r="C275" s="379"/>
      <c r="D275" s="379"/>
      <c r="E275" s="379"/>
      <c r="F275" s="379"/>
      <c r="G275" s="379"/>
      <c r="H275" s="379"/>
      <c r="I275" s="379"/>
      <c r="J275" s="379"/>
      <c r="K275" s="379"/>
      <c r="L275" s="379"/>
      <c r="M275" s="379"/>
      <c r="N275" s="379"/>
      <c r="O275" s="379"/>
      <c r="P275" s="379"/>
      <c r="Q275" s="379"/>
      <c r="R275" s="379"/>
      <c r="S275" s="379"/>
      <c r="T275" s="379"/>
    </row>
    <row r="276" spans="2:20">
      <c r="B276" s="379"/>
      <c r="C276" s="379"/>
      <c r="D276" s="379"/>
      <c r="E276" s="379"/>
      <c r="F276" s="379"/>
      <c r="G276" s="379"/>
      <c r="H276" s="379"/>
      <c r="I276" s="379"/>
      <c r="J276" s="379"/>
      <c r="K276" s="379"/>
      <c r="L276" s="379"/>
      <c r="M276" s="379"/>
      <c r="N276" s="379"/>
      <c r="O276" s="379"/>
      <c r="P276" s="379"/>
      <c r="Q276" s="379"/>
      <c r="R276" s="379"/>
      <c r="S276" s="379"/>
      <c r="T276" s="379"/>
    </row>
    <row r="277" spans="2:20">
      <c r="B277" s="379"/>
      <c r="C277" s="379"/>
      <c r="D277" s="379"/>
      <c r="E277" s="379"/>
      <c r="F277" s="379"/>
      <c r="G277" s="379"/>
      <c r="H277" s="379"/>
      <c r="I277" s="379"/>
      <c r="J277" s="379"/>
      <c r="K277" s="379"/>
      <c r="L277" s="379"/>
      <c r="M277" s="379"/>
      <c r="N277" s="379"/>
      <c r="O277" s="379"/>
      <c r="P277" s="379"/>
      <c r="Q277" s="379"/>
      <c r="R277" s="379"/>
      <c r="S277" s="379"/>
      <c r="T277" s="379"/>
    </row>
    <row r="278" spans="2:20">
      <c r="B278" s="379"/>
      <c r="C278" s="379"/>
      <c r="D278" s="379"/>
      <c r="E278" s="379"/>
      <c r="F278" s="379"/>
      <c r="G278" s="379"/>
      <c r="H278" s="379"/>
      <c r="I278" s="379"/>
      <c r="J278" s="379"/>
      <c r="K278" s="379"/>
      <c r="L278" s="379"/>
      <c r="M278" s="379"/>
      <c r="N278" s="379"/>
      <c r="O278" s="379"/>
      <c r="P278" s="379"/>
      <c r="Q278" s="379"/>
      <c r="R278" s="379"/>
      <c r="S278" s="379"/>
      <c r="T278" s="379"/>
    </row>
    <row r="279" spans="2:20">
      <c r="B279" s="379"/>
      <c r="C279" s="379"/>
      <c r="D279" s="379"/>
      <c r="E279" s="379"/>
      <c r="F279" s="379"/>
      <c r="G279" s="379"/>
      <c r="H279" s="379"/>
      <c r="I279" s="379"/>
      <c r="J279" s="379"/>
      <c r="K279" s="379"/>
      <c r="L279" s="379"/>
      <c r="M279" s="379"/>
      <c r="N279" s="379"/>
      <c r="O279" s="379"/>
      <c r="P279" s="379"/>
      <c r="Q279" s="379"/>
      <c r="R279" s="379"/>
      <c r="S279" s="379"/>
      <c r="T279" s="379"/>
    </row>
    <row r="280" spans="2:20">
      <c r="B280" s="379"/>
      <c r="C280" s="379"/>
      <c r="D280" s="379"/>
      <c r="E280" s="379"/>
      <c r="F280" s="379"/>
      <c r="G280" s="379"/>
      <c r="H280" s="379"/>
      <c r="I280" s="379"/>
      <c r="J280" s="379"/>
      <c r="K280" s="379"/>
      <c r="L280" s="379"/>
      <c r="M280" s="379"/>
      <c r="N280" s="379"/>
      <c r="O280" s="379"/>
      <c r="P280" s="379"/>
      <c r="Q280" s="379"/>
      <c r="R280" s="379"/>
      <c r="S280" s="379"/>
      <c r="T280" s="379"/>
    </row>
    <row r="281" spans="2:20">
      <c r="B281" s="379"/>
      <c r="C281" s="379"/>
      <c r="D281" s="379"/>
      <c r="E281" s="379"/>
      <c r="F281" s="379"/>
      <c r="G281" s="379"/>
      <c r="H281" s="379"/>
      <c r="I281" s="379"/>
      <c r="J281" s="379"/>
      <c r="K281" s="379"/>
      <c r="L281" s="379"/>
      <c r="M281" s="379"/>
      <c r="N281" s="379"/>
      <c r="O281" s="379"/>
      <c r="P281" s="379"/>
      <c r="Q281" s="379"/>
      <c r="R281" s="379"/>
      <c r="S281" s="379"/>
      <c r="T281" s="379"/>
    </row>
    <row r="282" spans="2:20">
      <c r="B282" s="379"/>
      <c r="C282" s="379"/>
      <c r="D282" s="379"/>
      <c r="E282" s="379"/>
      <c r="F282" s="379"/>
      <c r="G282" s="379"/>
      <c r="H282" s="379"/>
      <c r="I282" s="379"/>
      <c r="J282" s="379"/>
      <c r="K282" s="379"/>
      <c r="L282" s="379"/>
      <c r="M282" s="379"/>
      <c r="N282" s="379"/>
      <c r="O282" s="379"/>
      <c r="P282" s="379"/>
      <c r="Q282" s="379"/>
      <c r="R282" s="379"/>
      <c r="S282" s="379"/>
      <c r="T282" s="379"/>
    </row>
    <row r="283" spans="2:20">
      <c r="B283" s="379"/>
      <c r="C283" s="379"/>
      <c r="D283" s="379"/>
      <c r="E283" s="379"/>
      <c r="F283" s="379"/>
      <c r="G283" s="379"/>
      <c r="H283" s="379"/>
      <c r="I283" s="379"/>
      <c r="J283" s="379"/>
      <c r="K283" s="379"/>
      <c r="L283" s="379"/>
      <c r="M283" s="379"/>
      <c r="N283" s="379"/>
      <c r="O283" s="379"/>
      <c r="P283" s="379"/>
      <c r="Q283" s="379"/>
      <c r="R283" s="379"/>
      <c r="S283" s="379"/>
      <c r="T283" s="379"/>
    </row>
    <row r="284" spans="2:20">
      <c r="B284" s="379"/>
      <c r="C284" s="379"/>
      <c r="D284" s="379"/>
      <c r="E284" s="379"/>
      <c r="F284" s="379"/>
      <c r="G284" s="379"/>
      <c r="H284" s="379"/>
      <c r="I284" s="379"/>
      <c r="J284" s="379"/>
      <c r="K284" s="379"/>
      <c r="L284" s="379"/>
      <c r="M284" s="379"/>
      <c r="N284" s="379"/>
      <c r="O284" s="379"/>
      <c r="P284" s="379"/>
      <c r="Q284" s="379"/>
      <c r="R284" s="379"/>
      <c r="S284" s="379"/>
      <c r="T284" s="379"/>
    </row>
    <row r="285" spans="2:20">
      <c r="B285" s="379"/>
      <c r="C285" s="379"/>
      <c r="D285" s="379"/>
      <c r="E285" s="379"/>
      <c r="F285" s="379"/>
      <c r="G285" s="379"/>
      <c r="H285" s="379"/>
      <c r="I285" s="379"/>
      <c r="J285" s="379"/>
      <c r="K285" s="379"/>
      <c r="L285" s="379"/>
      <c r="M285" s="379"/>
      <c r="N285" s="379"/>
      <c r="O285" s="379"/>
      <c r="P285" s="379"/>
      <c r="Q285" s="379"/>
      <c r="R285" s="379"/>
      <c r="S285" s="379"/>
      <c r="T285" s="379"/>
    </row>
    <row r="286" spans="2:20">
      <c r="B286" s="379"/>
      <c r="C286" s="379"/>
      <c r="D286" s="379"/>
      <c r="E286" s="379"/>
      <c r="F286" s="379"/>
      <c r="G286" s="379"/>
      <c r="H286" s="379"/>
      <c r="I286" s="379"/>
      <c r="J286" s="379"/>
      <c r="K286" s="379"/>
      <c r="L286" s="379"/>
      <c r="M286" s="379"/>
      <c r="N286" s="379"/>
      <c r="O286" s="379"/>
      <c r="P286" s="379"/>
      <c r="Q286" s="379"/>
      <c r="R286" s="379"/>
      <c r="S286" s="379"/>
      <c r="T286" s="379"/>
    </row>
    <row r="287" spans="2:20">
      <c r="B287" s="379"/>
      <c r="C287" s="379"/>
      <c r="D287" s="379"/>
      <c r="E287" s="379"/>
      <c r="F287" s="379"/>
      <c r="G287" s="379"/>
      <c r="H287" s="379"/>
      <c r="I287" s="379"/>
      <c r="J287" s="379"/>
      <c r="K287" s="379"/>
      <c r="L287" s="379"/>
      <c r="M287" s="379"/>
      <c r="N287" s="379"/>
      <c r="O287" s="379"/>
      <c r="P287" s="379"/>
      <c r="Q287" s="379"/>
      <c r="R287" s="379"/>
      <c r="S287" s="379"/>
      <c r="T287" s="379"/>
    </row>
    <row r="288" spans="2:20">
      <c r="B288" s="379"/>
      <c r="C288" s="379"/>
      <c r="D288" s="379"/>
      <c r="E288" s="379"/>
      <c r="F288" s="379"/>
      <c r="G288" s="379"/>
      <c r="H288" s="379"/>
      <c r="I288" s="379"/>
      <c r="J288" s="379"/>
      <c r="K288" s="379"/>
      <c r="L288" s="379"/>
      <c r="M288" s="379"/>
      <c r="N288" s="379"/>
      <c r="O288" s="379"/>
      <c r="P288" s="379"/>
      <c r="Q288" s="379"/>
      <c r="R288" s="379"/>
      <c r="S288" s="379"/>
      <c r="T288" s="379"/>
    </row>
    <row r="289" spans="2:20">
      <c r="B289" s="379"/>
      <c r="C289" s="379"/>
      <c r="D289" s="379"/>
      <c r="E289" s="379"/>
      <c r="F289" s="379"/>
      <c r="G289" s="379"/>
      <c r="H289" s="379"/>
      <c r="I289" s="379"/>
      <c r="J289" s="379"/>
      <c r="K289" s="379"/>
      <c r="L289" s="379"/>
      <c r="M289" s="379"/>
      <c r="N289" s="379"/>
      <c r="O289" s="379"/>
      <c r="P289" s="379"/>
      <c r="Q289" s="379"/>
      <c r="R289" s="379"/>
      <c r="S289" s="379"/>
      <c r="T289" s="379"/>
    </row>
    <row r="290" spans="2:20">
      <c r="B290" s="379"/>
      <c r="C290" s="379"/>
      <c r="D290" s="379"/>
      <c r="E290" s="379"/>
      <c r="F290" s="379"/>
      <c r="G290" s="379"/>
      <c r="H290" s="379"/>
      <c r="I290" s="379"/>
      <c r="J290" s="379"/>
      <c r="K290" s="379"/>
      <c r="L290" s="379"/>
      <c r="M290" s="379"/>
      <c r="N290" s="379"/>
      <c r="O290" s="379"/>
      <c r="P290" s="379"/>
      <c r="Q290" s="379"/>
      <c r="R290" s="379"/>
      <c r="S290" s="379"/>
      <c r="T290" s="379"/>
    </row>
    <row r="291" spans="2:20">
      <c r="B291" s="379"/>
      <c r="C291" s="379"/>
      <c r="D291" s="379"/>
      <c r="E291" s="379"/>
      <c r="F291" s="379"/>
      <c r="G291" s="379"/>
      <c r="H291" s="379"/>
      <c r="I291" s="379"/>
      <c r="J291" s="379"/>
      <c r="K291" s="379"/>
      <c r="L291" s="379"/>
      <c r="M291" s="379"/>
      <c r="N291" s="379"/>
      <c r="O291" s="379"/>
      <c r="P291" s="379"/>
      <c r="Q291" s="379"/>
      <c r="R291" s="379"/>
      <c r="S291" s="379"/>
      <c r="T291" s="379"/>
    </row>
    <row r="292" spans="2:20">
      <c r="B292" s="379"/>
      <c r="C292" s="379"/>
      <c r="D292" s="379"/>
      <c r="E292" s="379"/>
      <c r="F292" s="379"/>
      <c r="G292" s="379"/>
      <c r="H292" s="379"/>
      <c r="I292" s="379"/>
      <c r="J292" s="379"/>
      <c r="K292" s="379"/>
      <c r="L292" s="379"/>
      <c r="M292" s="379"/>
      <c r="N292" s="379"/>
      <c r="O292" s="379"/>
      <c r="P292" s="379"/>
      <c r="Q292" s="379"/>
      <c r="R292" s="379"/>
      <c r="S292" s="379"/>
      <c r="T292" s="379"/>
    </row>
    <row r="293" spans="2:20">
      <c r="B293" s="379"/>
      <c r="C293" s="379"/>
      <c r="D293" s="379"/>
      <c r="E293" s="379"/>
      <c r="F293" s="379"/>
      <c r="G293" s="379"/>
      <c r="H293" s="379"/>
      <c r="I293" s="379"/>
      <c r="J293" s="379"/>
      <c r="K293" s="379"/>
      <c r="L293" s="379"/>
      <c r="M293" s="379"/>
      <c r="N293" s="379"/>
      <c r="O293" s="379"/>
      <c r="P293" s="379"/>
      <c r="Q293" s="379"/>
      <c r="R293" s="379"/>
      <c r="S293" s="379"/>
      <c r="T293" s="379"/>
    </row>
    <row r="294" spans="2:20">
      <c r="B294" s="379"/>
      <c r="C294" s="379"/>
      <c r="D294" s="379"/>
      <c r="E294" s="379"/>
      <c r="F294" s="379"/>
      <c r="G294" s="379"/>
      <c r="H294" s="379"/>
      <c r="I294" s="379"/>
      <c r="J294" s="379"/>
      <c r="K294" s="379"/>
      <c r="L294" s="379"/>
      <c r="M294" s="379"/>
      <c r="N294" s="379"/>
      <c r="O294" s="379"/>
      <c r="P294" s="379"/>
      <c r="Q294" s="379"/>
      <c r="R294" s="379"/>
      <c r="S294" s="379"/>
      <c r="T294" s="379"/>
    </row>
    <row r="295" spans="2:20">
      <c r="B295" s="379"/>
      <c r="C295" s="379"/>
      <c r="D295" s="379"/>
      <c r="E295" s="379"/>
      <c r="F295" s="379"/>
      <c r="G295" s="379"/>
      <c r="H295" s="379"/>
      <c r="I295" s="379"/>
      <c r="J295" s="379"/>
      <c r="K295" s="379"/>
      <c r="L295" s="379"/>
      <c r="M295" s="379"/>
      <c r="N295" s="379"/>
      <c r="O295" s="379"/>
      <c r="P295" s="379"/>
      <c r="Q295" s="379"/>
      <c r="R295" s="379"/>
      <c r="S295" s="379"/>
      <c r="T295" s="379"/>
    </row>
    <row r="296" spans="2:20">
      <c r="B296" s="379"/>
      <c r="C296" s="379"/>
      <c r="D296" s="379"/>
      <c r="E296" s="379"/>
      <c r="F296" s="379"/>
      <c r="G296" s="379"/>
      <c r="H296" s="379"/>
      <c r="I296" s="379"/>
      <c r="J296" s="379"/>
      <c r="K296" s="379"/>
      <c r="L296" s="379"/>
      <c r="M296" s="379"/>
      <c r="N296" s="379"/>
      <c r="O296" s="379"/>
      <c r="P296" s="379"/>
      <c r="Q296" s="379"/>
      <c r="R296" s="379"/>
      <c r="S296" s="379"/>
      <c r="T296" s="379"/>
    </row>
    <row r="297" spans="2:20">
      <c r="B297" s="379"/>
      <c r="C297" s="379"/>
      <c r="D297" s="379"/>
      <c r="E297" s="379"/>
      <c r="F297" s="379"/>
      <c r="G297" s="379"/>
      <c r="H297" s="379"/>
      <c r="I297" s="379"/>
      <c r="J297" s="379"/>
      <c r="K297" s="379"/>
      <c r="L297" s="379"/>
      <c r="M297" s="379"/>
      <c r="N297" s="379"/>
      <c r="O297" s="379"/>
      <c r="P297" s="379"/>
      <c r="Q297" s="379"/>
      <c r="R297" s="379"/>
      <c r="S297" s="379"/>
      <c r="T297" s="379"/>
    </row>
    <row r="298" spans="2:20">
      <c r="B298" s="379"/>
      <c r="C298" s="379"/>
      <c r="D298" s="379"/>
      <c r="E298" s="379"/>
      <c r="F298" s="379"/>
      <c r="G298" s="379"/>
      <c r="H298" s="379"/>
      <c r="I298" s="379"/>
      <c r="J298" s="379"/>
      <c r="K298" s="379"/>
      <c r="L298" s="379"/>
      <c r="M298" s="379"/>
      <c r="N298" s="379"/>
      <c r="O298" s="379"/>
      <c r="P298" s="379"/>
      <c r="Q298" s="379"/>
      <c r="R298" s="379"/>
      <c r="S298" s="379"/>
      <c r="T298" s="379"/>
    </row>
    <row r="299" spans="2:20">
      <c r="B299" s="379"/>
      <c r="C299" s="379"/>
      <c r="D299" s="379"/>
      <c r="E299" s="379"/>
      <c r="F299" s="379"/>
      <c r="G299" s="379"/>
      <c r="H299" s="379"/>
      <c r="I299" s="379"/>
      <c r="J299" s="379"/>
      <c r="K299" s="379"/>
      <c r="L299" s="379"/>
      <c r="M299" s="379"/>
      <c r="N299" s="379"/>
      <c r="O299" s="379"/>
      <c r="P299" s="379"/>
      <c r="Q299" s="379"/>
      <c r="R299" s="379"/>
      <c r="S299" s="379"/>
      <c r="T299" s="379"/>
    </row>
    <row r="300" spans="2:20">
      <c r="B300" s="379"/>
      <c r="C300" s="379"/>
      <c r="D300" s="379"/>
      <c r="E300" s="379"/>
      <c r="F300" s="379"/>
      <c r="G300" s="379"/>
      <c r="H300" s="379"/>
      <c r="I300" s="379"/>
      <c r="J300" s="379"/>
      <c r="K300" s="379"/>
      <c r="L300" s="379"/>
      <c r="M300" s="379"/>
      <c r="N300" s="379"/>
      <c r="O300" s="379"/>
      <c r="P300" s="379"/>
      <c r="Q300" s="379"/>
      <c r="R300" s="379"/>
      <c r="S300" s="379"/>
      <c r="T300" s="379"/>
    </row>
    <row r="301" spans="2:20">
      <c r="B301" s="379"/>
      <c r="C301" s="379"/>
      <c r="D301" s="379"/>
      <c r="E301" s="379"/>
      <c r="F301" s="379"/>
      <c r="G301" s="379"/>
      <c r="H301" s="379"/>
      <c r="I301" s="379"/>
      <c r="J301" s="379"/>
      <c r="K301" s="379"/>
      <c r="L301" s="379"/>
      <c r="M301" s="379"/>
      <c r="N301" s="379"/>
      <c r="O301" s="379"/>
      <c r="P301" s="379"/>
      <c r="Q301" s="379"/>
      <c r="R301" s="379"/>
      <c r="S301" s="379"/>
      <c r="T301" s="379"/>
    </row>
    <row r="302" spans="2:20">
      <c r="B302" s="380"/>
      <c r="C302" s="380"/>
      <c r="D302" s="380"/>
      <c r="G302" s="380"/>
      <c r="H302" s="380"/>
      <c r="I302" s="380"/>
      <c r="M302" s="381"/>
      <c r="S302" s="380"/>
      <c r="T302" s="380"/>
    </row>
    <row r="303" spans="2:20" ht="115.5">
      <c r="B303" s="382" t="s">
        <v>136</v>
      </c>
      <c r="C303" s="382" t="s">
        <v>137</v>
      </c>
      <c r="D303" s="382" t="s">
        <v>138</v>
      </c>
      <c r="E303" s="382" t="s">
        <v>139</v>
      </c>
      <c r="F303" s="382" t="s">
        <v>140</v>
      </c>
      <c r="G303" s="382" t="s">
        <v>141</v>
      </c>
      <c r="H303" s="382" t="s">
        <v>142</v>
      </c>
      <c r="I303" s="382" t="s">
        <v>143</v>
      </c>
      <c r="J303" s="382" t="s">
        <v>144</v>
      </c>
      <c r="K303" s="383"/>
      <c r="L303" s="383"/>
      <c r="M303" s="384"/>
      <c r="N303" s="383"/>
      <c r="O303" s="383"/>
      <c r="P303" s="383"/>
      <c r="Q303" s="383"/>
      <c r="R303" s="383"/>
      <c r="S303" s="385"/>
      <c r="T303" s="385"/>
    </row>
    <row r="304" spans="2:20">
      <c r="B304" s="379"/>
      <c r="C304" s="379"/>
      <c r="D304" s="379"/>
      <c r="E304" s="379"/>
      <c r="F304" s="379"/>
      <c r="G304" s="379"/>
      <c r="H304" s="379"/>
      <c r="I304" s="379"/>
      <c r="J304" s="379"/>
      <c r="M304" s="381"/>
      <c r="S304" s="380"/>
      <c r="T304" s="380"/>
    </row>
    <row r="305" spans="2:20">
      <c r="B305" s="379"/>
      <c r="C305" s="379"/>
      <c r="D305" s="379"/>
      <c r="E305" s="379"/>
      <c r="F305" s="379"/>
      <c r="G305" s="379"/>
      <c r="H305" s="379"/>
      <c r="I305" s="379"/>
      <c r="J305" s="379"/>
      <c r="M305" s="381"/>
      <c r="S305" s="380"/>
      <c r="T305" s="380"/>
    </row>
    <row r="306" spans="2:20">
      <c r="B306" s="379"/>
      <c r="C306" s="379"/>
      <c r="D306" s="379"/>
      <c r="E306" s="379"/>
      <c r="F306" s="379"/>
      <c r="G306" s="379"/>
      <c r="H306" s="379"/>
      <c r="I306" s="379"/>
      <c r="J306" s="379"/>
      <c r="M306" s="381"/>
      <c r="S306" s="380"/>
      <c r="T306" s="380"/>
    </row>
    <row r="307" spans="2:20">
      <c r="B307" s="379"/>
      <c r="C307" s="379"/>
      <c r="D307" s="379"/>
      <c r="E307" s="379"/>
      <c r="F307" s="379"/>
      <c r="G307" s="379"/>
      <c r="H307" s="379"/>
      <c r="I307" s="379"/>
      <c r="J307" s="379"/>
      <c r="M307" s="381"/>
      <c r="S307" s="380"/>
      <c r="T307" s="380"/>
    </row>
    <row r="308" spans="2:20">
      <c r="B308" s="379"/>
      <c r="C308" s="379"/>
      <c r="D308" s="379"/>
      <c r="E308" s="379"/>
      <c r="F308" s="379"/>
      <c r="G308" s="379"/>
      <c r="H308" s="379"/>
      <c r="I308" s="379"/>
      <c r="J308" s="379"/>
      <c r="M308" s="381"/>
      <c r="S308" s="380"/>
      <c r="T308" s="380"/>
    </row>
    <row r="309" spans="2:20">
      <c r="B309" s="379"/>
      <c r="C309" s="379"/>
      <c r="D309" s="379"/>
      <c r="E309" s="379"/>
      <c r="F309" s="379"/>
      <c r="G309" s="379"/>
      <c r="H309" s="379"/>
      <c r="I309" s="379"/>
      <c r="J309" s="379"/>
      <c r="M309" s="381"/>
      <c r="S309" s="380"/>
      <c r="T309" s="380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 filterMode="1"/>
  <dimension ref="A1:AH497"/>
  <sheetViews>
    <sheetView zoomScaleNormal="100" workbookViewId="0">
      <selection activeCell="H7" sqref="H7"/>
    </sheetView>
  </sheetViews>
  <sheetFormatPr defaultColWidth="9.140625" defaultRowHeight="15.75"/>
  <cols>
    <col min="1" max="1" width="18.28515625" style="869" bestFit="1" customWidth="1"/>
    <col min="2" max="2" width="71.42578125" style="869" bestFit="1" customWidth="1"/>
    <col min="3" max="3" width="9.5703125" style="869" customWidth="1"/>
    <col min="4" max="4" width="15.42578125" style="869" customWidth="1"/>
    <col min="5" max="5" width="8.85546875" style="869" customWidth="1"/>
    <col min="6" max="6" width="19.42578125" style="869" customWidth="1"/>
    <col min="7" max="7" width="17.7109375" style="869" customWidth="1"/>
    <col min="8" max="8" width="16.5703125" style="869" customWidth="1"/>
    <col min="9" max="10" width="12.7109375" style="869" customWidth="1"/>
    <col min="11" max="11" width="13.28515625" style="869" customWidth="1"/>
    <col min="12" max="13" width="12.7109375" style="869" customWidth="1"/>
    <col min="14" max="14" width="15.85546875" style="869" customWidth="1"/>
    <col min="15" max="16" width="12.7109375" style="869" customWidth="1"/>
    <col min="17" max="17" width="12" style="869" customWidth="1"/>
    <col min="18" max="18" width="12.7109375" style="869" customWidth="1"/>
    <col min="19" max="19" width="14.28515625" style="869" customWidth="1"/>
    <col min="20" max="20" width="12.7109375" style="869" customWidth="1"/>
    <col min="21" max="21" width="12" style="869" customWidth="1"/>
    <col min="22" max="22" width="16.85546875" style="869" customWidth="1"/>
    <col min="23" max="24" width="12.7109375" style="869" customWidth="1"/>
    <col min="25" max="25" width="12" style="869" customWidth="1"/>
    <col min="26" max="26" width="10.5703125" style="869" customWidth="1"/>
    <col min="27" max="27" width="10.5703125" style="869" bestFit="1" customWidth="1"/>
    <col min="28" max="28" width="9.85546875" style="869" bestFit="1" customWidth="1"/>
    <col min="29" max="29" width="12" style="869" bestFit="1" customWidth="1"/>
    <col min="30" max="30" width="13.28515625" style="870" bestFit="1" customWidth="1"/>
    <col min="31" max="31" width="11.7109375" style="869" bestFit="1" customWidth="1"/>
    <col min="32" max="32" width="12.7109375" style="869" bestFit="1" customWidth="1"/>
    <col min="33" max="34" width="10.5703125" style="869" bestFit="1" customWidth="1"/>
    <col min="35" max="16384" width="9.140625" style="869"/>
  </cols>
  <sheetData>
    <row r="1" spans="1:34">
      <c r="A1" t="s">
        <v>145</v>
      </c>
      <c r="B1" t="s">
        <v>146</v>
      </c>
      <c r="C1" t="s">
        <v>147</v>
      </c>
      <c r="D1" t="s">
        <v>148</v>
      </c>
      <c r="E1" s="233" t="s">
        <v>149</v>
      </c>
      <c r="F1" s="233" t="s">
        <v>84</v>
      </c>
      <c r="G1" s="234" t="s">
        <v>150</v>
      </c>
      <c r="H1" s="233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56</v>
      </c>
      <c r="T1" t="s">
        <v>162</v>
      </c>
      <c r="U1" t="s">
        <v>163</v>
      </c>
      <c r="V1" t="s">
        <v>164</v>
      </c>
      <c r="W1" t="s">
        <v>46</v>
      </c>
      <c r="X1" t="s">
        <v>165</v>
      </c>
      <c r="Y1" t="s">
        <v>166</v>
      </c>
      <c r="Z1" t="s">
        <v>167</v>
      </c>
      <c r="AA1" t="s">
        <v>168</v>
      </c>
      <c r="AB1" t="s">
        <v>169</v>
      </c>
      <c r="AC1" t="s">
        <v>170</v>
      </c>
      <c r="AD1" t="s">
        <v>171</v>
      </c>
      <c r="AE1" t="s">
        <v>172</v>
      </c>
      <c r="AF1" t="s">
        <v>173</v>
      </c>
      <c r="AG1" t="s">
        <v>174</v>
      </c>
      <c r="AH1" s="869" t="s">
        <v>175</v>
      </c>
    </row>
    <row r="2" spans="1:34">
      <c r="A2">
        <v>1</v>
      </c>
      <c r="B2">
        <v>598</v>
      </c>
      <c r="C2" t="s">
        <v>213</v>
      </c>
      <c r="D2">
        <v>246</v>
      </c>
      <c r="E2" s="233">
        <v>0</v>
      </c>
      <c r="F2" s="233">
        <v>2600000</v>
      </c>
      <c r="G2" s="233">
        <v>0</v>
      </c>
      <c r="H2" s="233">
        <v>0</v>
      </c>
      <c r="I2" s="876">
        <v>44043</v>
      </c>
      <c r="J2" t="s">
        <v>177</v>
      </c>
      <c r="K2" t="s">
        <v>177</v>
      </c>
      <c r="L2" t="s">
        <v>177</v>
      </c>
      <c r="M2" t="s">
        <v>177</v>
      </c>
      <c r="N2" t="s">
        <v>177</v>
      </c>
      <c r="O2" t="s">
        <v>177</v>
      </c>
      <c r="P2" t="s">
        <v>177</v>
      </c>
      <c r="Q2" t="s">
        <v>177</v>
      </c>
      <c r="R2" t="s">
        <v>177</v>
      </c>
      <c r="S2" t="s">
        <v>177</v>
      </c>
      <c r="T2" t="s">
        <v>177</v>
      </c>
      <c r="U2" t="s">
        <v>177</v>
      </c>
      <c r="V2" t="s">
        <v>177</v>
      </c>
      <c r="W2" t="s">
        <v>177</v>
      </c>
      <c r="X2" t="s">
        <v>177</v>
      </c>
      <c r="Y2" t="s">
        <v>177</v>
      </c>
      <c r="Z2" t="s">
        <v>177</v>
      </c>
      <c r="AA2" t="s">
        <v>177</v>
      </c>
      <c r="AB2" t="s">
        <v>177</v>
      </c>
      <c r="AC2" t="s">
        <v>177</v>
      </c>
      <c r="AD2" t="s">
        <v>177</v>
      </c>
      <c r="AE2" t="s">
        <v>177</v>
      </c>
      <c r="AF2" t="s">
        <v>177</v>
      </c>
      <c r="AG2" t="s">
        <v>177</v>
      </c>
      <c r="AH2" s="871">
        <f t="shared" ref="AH2:AH33" si="0">DATE(YEAR(I2),MONTH(I2),1)</f>
        <v>44013</v>
      </c>
    </row>
    <row r="3" spans="1:34">
      <c r="A3">
        <v>2</v>
      </c>
      <c r="B3">
        <v>598</v>
      </c>
      <c r="C3" t="s">
        <v>213</v>
      </c>
      <c r="D3">
        <v>246</v>
      </c>
      <c r="E3" s="233">
        <v>0</v>
      </c>
      <c r="F3" s="233">
        <v>2400000</v>
      </c>
      <c r="G3" s="233" t="s">
        <v>177</v>
      </c>
      <c r="H3" s="233" t="s">
        <v>177</v>
      </c>
      <c r="I3" s="876">
        <v>44055</v>
      </c>
      <c r="J3" t="s">
        <v>177</v>
      </c>
      <c r="K3" t="s">
        <v>177</v>
      </c>
      <c r="L3" t="s">
        <v>177</v>
      </c>
      <c r="M3" t="s">
        <v>177</v>
      </c>
      <c r="N3" t="s">
        <v>177</v>
      </c>
      <c r="O3" t="s">
        <v>177</v>
      </c>
      <c r="P3" t="s">
        <v>177</v>
      </c>
      <c r="Q3" t="s">
        <v>177</v>
      </c>
      <c r="R3" t="s">
        <v>177</v>
      </c>
      <c r="S3" t="s">
        <v>177</v>
      </c>
      <c r="T3" t="s">
        <v>177</v>
      </c>
      <c r="U3" t="s">
        <v>177</v>
      </c>
      <c r="V3" t="s">
        <v>177</v>
      </c>
      <c r="W3" t="s">
        <v>177</v>
      </c>
      <c r="X3" t="s">
        <v>177</v>
      </c>
      <c r="Y3" t="s">
        <v>177</v>
      </c>
      <c r="Z3" t="s">
        <v>177</v>
      </c>
      <c r="AA3" t="s">
        <v>177</v>
      </c>
      <c r="AB3" t="s">
        <v>177</v>
      </c>
      <c r="AC3" t="s">
        <v>177</v>
      </c>
      <c r="AD3" t="s">
        <v>177</v>
      </c>
      <c r="AE3" t="s">
        <v>177</v>
      </c>
      <c r="AF3" t="s">
        <v>177</v>
      </c>
      <c r="AG3" t="s">
        <v>177</v>
      </c>
      <c r="AH3" s="871">
        <f t="shared" si="0"/>
        <v>44044</v>
      </c>
    </row>
    <row r="4" spans="1:34">
      <c r="A4">
        <v>3</v>
      </c>
      <c r="B4">
        <v>598</v>
      </c>
      <c r="C4" t="s">
        <v>213</v>
      </c>
      <c r="D4">
        <v>246</v>
      </c>
      <c r="E4" s="233">
        <v>0</v>
      </c>
      <c r="F4" s="233">
        <v>2000000</v>
      </c>
      <c r="G4" s="233" t="s">
        <v>177</v>
      </c>
      <c r="H4" s="233" t="s">
        <v>177</v>
      </c>
      <c r="I4" s="876">
        <v>44088</v>
      </c>
      <c r="J4" t="s">
        <v>177</v>
      </c>
      <c r="K4" t="s">
        <v>177</v>
      </c>
      <c r="L4" t="s">
        <v>177</v>
      </c>
      <c r="M4" t="s">
        <v>177</v>
      </c>
      <c r="N4" t="s">
        <v>177</v>
      </c>
      <c r="O4" t="s">
        <v>177</v>
      </c>
      <c r="P4" t="s">
        <v>177</v>
      </c>
      <c r="Q4" t="s">
        <v>177</v>
      </c>
      <c r="R4" t="s">
        <v>177</v>
      </c>
      <c r="S4" t="s">
        <v>177</v>
      </c>
      <c r="T4" t="s">
        <v>177</v>
      </c>
      <c r="U4" t="s">
        <v>177</v>
      </c>
      <c r="V4" t="s">
        <v>177</v>
      </c>
      <c r="W4" t="s">
        <v>177</v>
      </c>
      <c r="X4" t="s">
        <v>177</v>
      </c>
      <c r="Y4" t="s">
        <v>177</v>
      </c>
      <c r="Z4" t="s">
        <v>177</v>
      </c>
      <c r="AA4" t="s">
        <v>177</v>
      </c>
      <c r="AB4" t="s">
        <v>177</v>
      </c>
      <c r="AC4" t="s">
        <v>177</v>
      </c>
      <c r="AD4" t="s">
        <v>177</v>
      </c>
      <c r="AE4" t="s">
        <v>177</v>
      </c>
      <c r="AF4" t="s">
        <v>177</v>
      </c>
      <c r="AG4" t="s">
        <v>177</v>
      </c>
      <c r="AH4" s="871">
        <f t="shared" si="0"/>
        <v>44075</v>
      </c>
    </row>
    <row r="5" spans="1:34">
      <c r="A5">
        <v>4</v>
      </c>
      <c r="B5">
        <v>598</v>
      </c>
      <c r="C5" t="s">
        <v>213</v>
      </c>
      <c r="D5">
        <v>246</v>
      </c>
      <c r="E5" s="233">
        <v>0</v>
      </c>
      <c r="F5" s="233">
        <v>975736</v>
      </c>
      <c r="G5" s="233" t="s">
        <v>177</v>
      </c>
      <c r="H5" s="233" t="s">
        <v>177</v>
      </c>
      <c r="I5" s="876">
        <v>44117</v>
      </c>
      <c r="J5" t="s">
        <v>177</v>
      </c>
      <c r="K5" t="s">
        <v>177</v>
      </c>
      <c r="L5" t="s">
        <v>177</v>
      </c>
      <c r="M5" t="s">
        <v>177</v>
      </c>
      <c r="N5" t="s">
        <v>177</v>
      </c>
      <c r="O5" t="s">
        <v>177</v>
      </c>
      <c r="P5" t="s">
        <v>177</v>
      </c>
      <c r="Q5" t="s">
        <v>177</v>
      </c>
      <c r="R5" t="s">
        <v>177</v>
      </c>
      <c r="S5" t="s">
        <v>177</v>
      </c>
      <c r="T5" t="s">
        <v>177</v>
      </c>
      <c r="U5" t="s">
        <v>177</v>
      </c>
      <c r="V5" t="s">
        <v>177</v>
      </c>
      <c r="W5" t="s">
        <v>177</v>
      </c>
      <c r="X5" t="s">
        <v>177</v>
      </c>
      <c r="Y5" t="s">
        <v>177</v>
      </c>
      <c r="Z5" t="s">
        <v>177</v>
      </c>
      <c r="AA5" t="s">
        <v>177</v>
      </c>
      <c r="AB5" t="s">
        <v>177</v>
      </c>
      <c r="AC5" t="s">
        <v>177</v>
      </c>
      <c r="AD5" t="s">
        <v>177</v>
      </c>
      <c r="AE5" t="s">
        <v>177</v>
      </c>
      <c r="AF5" t="s">
        <v>177</v>
      </c>
      <c r="AG5" t="s">
        <v>177</v>
      </c>
      <c r="AH5" s="871">
        <f t="shared" si="0"/>
        <v>44105</v>
      </c>
    </row>
    <row r="6" spans="1:34">
      <c r="A6">
        <v>5</v>
      </c>
      <c r="B6">
        <v>598</v>
      </c>
      <c r="C6" t="s">
        <v>213</v>
      </c>
      <c r="D6">
        <v>246</v>
      </c>
      <c r="E6" s="233">
        <v>0</v>
      </c>
      <c r="F6" s="233">
        <v>0</v>
      </c>
      <c r="G6" s="233" t="s">
        <v>177</v>
      </c>
      <c r="H6" s="233" t="s">
        <v>177</v>
      </c>
      <c r="I6" s="876">
        <v>44147</v>
      </c>
      <c r="J6" t="s">
        <v>177</v>
      </c>
      <c r="K6" t="s">
        <v>177</v>
      </c>
      <c r="L6" t="s">
        <v>177</v>
      </c>
      <c r="M6" t="s">
        <v>177</v>
      </c>
      <c r="N6" t="s">
        <v>177</v>
      </c>
      <c r="O6" t="s">
        <v>177</v>
      </c>
      <c r="P6" t="s">
        <v>177</v>
      </c>
      <c r="Q6" t="s">
        <v>177</v>
      </c>
      <c r="R6" t="s">
        <v>177</v>
      </c>
      <c r="S6" t="s">
        <v>177</v>
      </c>
      <c r="T6" t="s">
        <v>177</v>
      </c>
      <c r="U6" t="s">
        <v>177</v>
      </c>
      <c r="V6" t="s">
        <v>177</v>
      </c>
      <c r="W6" t="s">
        <v>177</v>
      </c>
      <c r="X6" t="s">
        <v>177</v>
      </c>
      <c r="Y6" t="s">
        <v>177</v>
      </c>
      <c r="Z6" t="s">
        <v>177</v>
      </c>
      <c r="AA6" t="s">
        <v>177</v>
      </c>
      <c r="AB6" t="s">
        <v>177</v>
      </c>
      <c r="AC6" t="s">
        <v>177</v>
      </c>
      <c r="AD6" t="s">
        <v>177</v>
      </c>
      <c r="AE6" t="s">
        <v>177</v>
      </c>
      <c r="AF6" t="s">
        <v>177</v>
      </c>
      <c r="AG6" t="s">
        <v>177</v>
      </c>
      <c r="AH6" s="871">
        <f t="shared" si="0"/>
        <v>44136</v>
      </c>
    </row>
    <row r="7" spans="1:34">
      <c r="A7">
        <v>6</v>
      </c>
      <c r="B7">
        <v>598</v>
      </c>
      <c r="C7" t="s">
        <v>213</v>
      </c>
      <c r="D7">
        <v>246</v>
      </c>
      <c r="E7" s="233">
        <v>0</v>
      </c>
      <c r="F7" s="233">
        <v>0</v>
      </c>
      <c r="G7" s="233" t="s">
        <v>177</v>
      </c>
      <c r="H7" s="233" t="s">
        <v>177</v>
      </c>
      <c r="I7" s="876">
        <v>44179</v>
      </c>
      <c r="J7" t="s">
        <v>177</v>
      </c>
      <c r="K7" t="s">
        <v>177</v>
      </c>
      <c r="L7" t="s">
        <v>177</v>
      </c>
      <c r="M7" t="s">
        <v>177</v>
      </c>
      <c r="N7" t="s">
        <v>177</v>
      </c>
      <c r="O7" t="s">
        <v>177</v>
      </c>
      <c r="P7" t="s">
        <v>177</v>
      </c>
      <c r="Q7" t="s">
        <v>177</v>
      </c>
      <c r="R7" t="s">
        <v>177</v>
      </c>
      <c r="S7" t="s">
        <v>177</v>
      </c>
      <c r="T7" t="s">
        <v>177</v>
      </c>
      <c r="U7" t="s">
        <v>177</v>
      </c>
      <c r="V7" t="s">
        <v>177</v>
      </c>
      <c r="W7" t="s">
        <v>177</v>
      </c>
      <c r="X7" t="s">
        <v>177</v>
      </c>
      <c r="Y7" t="s">
        <v>177</v>
      </c>
      <c r="Z7" t="s">
        <v>177</v>
      </c>
      <c r="AA7" t="s">
        <v>177</v>
      </c>
      <c r="AB7" t="s">
        <v>177</v>
      </c>
      <c r="AC7" t="s">
        <v>177</v>
      </c>
      <c r="AD7" t="s">
        <v>177</v>
      </c>
      <c r="AE7" t="s">
        <v>177</v>
      </c>
      <c r="AF7" t="s">
        <v>177</v>
      </c>
      <c r="AG7" t="s">
        <v>177</v>
      </c>
      <c r="AH7" s="871">
        <f t="shared" si="0"/>
        <v>44166</v>
      </c>
    </row>
    <row r="8" spans="1:34">
      <c r="A8">
        <v>7</v>
      </c>
      <c r="B8">
        <v>598</v>
      </c>
      <c r="C8" t="s">
        <v>213</v>
      </c>
      <c r="D8">
        <v>246</v>
      </c>
      <c r="E8" s="233">
        <v>0</v>
      </c>
      <c r="F8" s="233">
        <v>0</v>
      </c>
      <c r="G8" s="233" t="s">
        <v>177</v>
      </c>
      <c r="H8" s="233" t="s">
        <v>177</v>
      </c>
      <c r="I8" s="876">
        <v>44193</v>
      </c>
      <c r="J8" t="s">
        <v>177</v>
      </c>
      <c r="K8" t="s">
        <v>177</v>
      </c>
      <c r="L8" t="s">
        <v>177</v>
      </c>
      <c r="M8" t="s">
        <v>177</v>
      </c>
      <c r="N8" t="s">
        <v>177</v>
      </c>
      <c r="O8" t="s">
        <v>177</v>
      </c>
      <c r="P8" t="s">
        <v>177</v>
      </c>
      <c r="Q8" t="s">
        <v>177</v>
      </c>
      <c r="R8" t="s">
        <v>177</v>
      </c>
      <c r="S8" t="s">
        <v>177</v>
      </c>
      <c r="T8" t="s">
        <v>177</v>
      </c>
      <c r="U8" t="s">
        <v>177</v>
      </c>
      <c r="V8" t="s">
        <v>177</v>
      </c>
      <c r="W8" t="s">
        <v>177</v>
      </c>
      <c r="X8" t="s">
        <v>177</v>
      </c>
      <c r="Y8" t="s">
        <v>177</v>
      </c>
      <c r="Z8" t="s">
        <v>177</v>
      </c>
      <c r="AA8" t="s">
        <v>177</v>
      </c>
      <c r="AB8" t="s">
        <v>177</v>
      </c>
      <c r="AC8" t="s">
        <v>177</v>
      </c>
      <c r="AD8" t="s">
        <v>177</v>
      </c>
      <c r="AE8" t="s">
        <v>177</v>
      </c>
      <c r="AF8" t="s">
        <v>177</v>
      </c>
      <c r="AG8" t="s">
        <v>177</v>
      </c>
      <c r="AH8" s="871">
        <f t="shared" si="0"/>
        <v>44166</v>
      </c>
    </row>
    <row r="9" spans="1:34">
      <c r="A9">
        <v>8</v>
      </c>
      <c r="B9">
        <v>598</v>
      </c>
      <c r="C9" t="s">
        <v>213</v>
      </c>
      <c r="D9">
        <v>246</v>
      </c>
      <c r="E9" s="233">
        <v>0</v>
      </c>
      <c r="F9" s="233">
        <v>0</v>
      </c>
      <c r="G9" s="233" t="s">
        <v>177</v>
      </c>
      <c r="H9" s="233" t="s">
        <v>177</v>
      </c>
      <c r="I9" s="876">
        <v>44208</v>
      </c>
      <c r="J9" t="s">
        <v>177</v>
      </c>
      <c r="K9" t="s">
        <v>177</v>
      </c>
      <c r="L9" t="s">
        <v>177</v>
      </c>
      <c r="M9" t="s">
        <v>177</v>
      </c>
      <c r="N9" t="s">
        <v>177</v>
      </c>
      <c r="O9" t="s">
        <v>177</v>
      </c>
      <c r="P9" t="s">
        <v>177</v>
      </c>
      <c r="Q9" t="s">
        <v>177</v>
      </c>
      <c r="R9" t="s">
        <v>177</v>
      </c>
      <c r="S9" t="s">
        <v>177</v>
      </c>
      <c r="T9" t="s">
        <v>177</v>
      </c>
      <c r="U9" t="s">
        <v>177</v>
      </c>
      <c r="V9" t="s">
        <v>177</v>
      </c>
      <c r="W9" t="s">
        <v>177</v>
      </c>
      <c r="X9" t="s">
        <v>177</v>
      </c>
      <c r="Y9" t="s">
        <v>177</v>
      </c>
      <c r="Z9" t="s">
        <v>177</v>
      </c>
      <c r="AA9" t="s">
        <v>177</v>
      </c>
      <c r="AB9" t="s">
        <v>177</v>
      </c>
      <c r="AC9" t="s">
        <v>177</v>
      </c>
      <c r="AD9" t="s">
        <v>177</v>
      </c>
      <c r="AE9" t="s">
        <v>177</v>
      </c>
      <c r="AF9" t="s">
        <v>177</v>
      </c>
      <c r="AG9" t="s">
        <v>177</v>
      </c>
      <c r="AH9" s="871">
        <f t="shared" si="0"/>
        <v>44197</v>
      </c>
    </row>
    <row r="10" spans="1:34" hidden="1">
      <c r="A10">
        <v>1</v>
      </c>
      <c r="B10">
        <v>2763</v>
      </c>
      <c r="C10" t="s">
        <v>214</v>
      </c>
      <c r="D10">
        <v>237</v>
      </c>
      <c r="E10" s="233">
        <v>0</v>
      </c>
      <c r="F10" s="233">
        <v>0</v>
      </c>
      <c r="G10" s="233">
        <v>0</v>
      </c>
      <c r="H10" s="233">
        <v>0</v>
      </c>
      <c r="I10" s="876">
        <v>44043</v>
      </c>
      <c r="J10" t="s">
        <v>177</v>
      </c>
      <c r="K10" t="s">
        <v>177</v>
      </c>
      <c r="L10" t="s">
        <v>177</v>
      </c>
      <c r="M10" t="s">
        <v>177</v>
      </c>
      <c r="N10" t="s">
        <v>177</v>
      </c>
      <c r="O10" t="s">
        <v>177</v>
      </c>
      <c r="P10" t="s">
        <v>177</v>
      </c>
      <c r="Q10" t="s">
        <v>177</v>
      </c>
      <c r="R10" t="s">
        <v>177</v>
      </c>
      <c r="S10" t="s">
        <v>177</v>
      </c>
      <c r="T10" t="s">
        <v>177</v>
      </c>
      <c r="U10" t="s">
        <v>177</v>
      </c>
      <c r="V10" t="s">
        <v>177</v>
      </c>
      <c r="W10" t="s">
        <v>177</v>
      </c>
      <c r="X10" t="s">
        <v>177</v>
      </c>
      <c r="Y10" t="s">
        <v>177</v>
      </c>
      <c r="Z10" t="s">
        <v>177</v>
      </c>
      <c r="AA10" t="s">
        <v>177</v>
      </c>
      <c r="AB10" t="s">
        <v>177</v>
      </c>
      <c r="AC10" t="s">
        <v>177</v>
      </c>
      <c r="AD10" t="s">
        <v>177</v>
      </c>
      <c r="AE10" t="s">
        <v>177</v>
      </c>
      <c r="AF10" t="s">
        <v>177</v>
      </c>
      <c r="AG10" t="s">
        <v>177</v>
      </c>
      <c r="AH10" s="871">
        <f t="shared" si="0"/>
        <v>44013</v>
      </c>
    </row>
    <row r="11" spans="1:34" hidden="1">
      <c r="A11">
        <v>2</v>
      </c>
      <c r="B11">
        <v>2763</v>
      </c>
      <c r="C11" t="s">
        <v>214</v>
      </c>
      <c r="D11">
        <v>237</v>
      </c>
      <c r="E11" s="233">
        <v>0</v>
      </c>
      <c r="F11" s="233">
        <v>960532</v>
      </c>
      <c r="G11" s="233" t="s">
        <v>177</v>
      </c>
      <c r="H11" s="233" t="s">
        <v>177</v>
      </c>
      <c r="I11" s="876">
        <v>44055</v>
      </c>
      <c r="J11" t="s">
        <v>177</v>
      </c>
      <c r="K11" t="s">
        <v>177</v>
      </c>
      <c r="L11" t="s">
        <v>177</v>
      </c>
      <c r="M11" t="s">
        <v>177</v>
      </c>
      <c r="N11" t="s">
        <v>177</v>
      </c>
      <c r="O11" t="s">
        <v>177</v>
      </c>
      <c r="P11" t="s">
        <v>177</v>
      </c>
      <c r="Q11" t="s">
        <v>177</v>
      </c>
      <c r="R11" t="s">
        <v>177</v>
      </c>
      <c r="S11" t="s">
        <v>177</v>
      </c>
      <c r="T11" t="s">
        <v>177</v>
      </c>
      <c r="U11" t="s">
        <v>177</v>
      </c>
      <c r="V11" t="s">
        <v>177</v>
      </c>
      <c r="W11" t="s">
        <v>177</v>
      </c>
      <c r="X11" t="s">
        <v>177</v>
      </c>
      <c r="Y11" t="s">
        <v>177</v>
      </c>
      <c r="Z11" t="s">
        <v>177</v>
      </c>
      <c r="AA11" t="s">
        <v>177</v>
      </c>
      <c r="AB11" t="s">
        <v>177</v>
      </c>
      <c r="AC11" t="s">
        <v>177</v>
      </c>
      <c r="AD11" t="s">
        <v>177</v>
      </c>
      <c r="AE11" t="s">
        <v>177</v>
      </c>
      <c r="AF11" t="s">
        <v>177</v>
      </c>
      <c r="AG11" t="s">
        <v>177</v>
      </c>
      <c r="AH11" s="871">
        <f t="shared" si="0"/>
        <v>44044</v>
      </c>
    </row>
    <row r="12" spans="1:34" hidden="1">
      <c r="A12">
        <v>3</v>
      </c>
      <c r="B12">
        <v>2763</v>
      </c>
      <c r="C12" t="s">
        <v>214</v>
      </c>
      <c r="D12">
        <v>237</v>
      </c>
      <c r="E12" s="233">
        <v>0</v>
      </c>
      <c r="F12" s="233">
        <v>960532</v>
      </c>
      <c r="G12" s="233" t="s">
        <v>177</v>
      </c>
      <c r="H12" s="233" t="s">
        <v>177</v>
      </c>
      <c r="I12" s="876">
        <v>44088</v>
      </c>
      <c r="J12" t="s">
        <v>177</v>
      </c>
      <c r="K12" t="s">
        <v>177</v>
      </c>
      <c r="L12" t="s">
        <v>177</v>
      </c>
      <c r="M12" t="s">
        <v>177</v>
      </c>
      <c r="N12" t="s">
        <v>177</v>
      </c>
      <c r="O12" t="s">
        <v>177</v>
      </c>
      <c r="P12" t="s">
        <v>177</v>
      </c>
      <c r="Q12" t="s">
        <v>177</v>
      </c>
      <c r="R12" t="s">
        <v>177</v>
      </c>
      <c r="S12" t="s">
        <v>177</v>
      </c>
      <c r="T12" t="s">
        <v>177</v>
      </c>
      <c r="U12" t="s">
        <v>177</v>
      </c>
      <c r="V12" t="s">
        <v>177</v>
      </c>
      <c r="W12" t="s">
        <v>177</v>
      </c>
      <c r="X12" t="s">
        <v>177</v>
      </c>
      <c r="Y12" t="s">
        <v>177</v>
      </c>
      <c r="Z12" t="s">
        <v>177</v>
      </c>
      <c r="AA12" t="s">
        <v>177</v>
      </c>
      <c r="AB12" t="s">
        <v>177</v>
      </c>
      <c r="AC12" t="s">
        <v>177</v>
      </c>
      <c r="AD12" t="s">
        <v>177</v>
      </c>
      <c r="AE12" t="s">
        <v>177</v>
      </c>
      <c r="AF12" t="s">
        <v>177</v>
      </c>
      <c r="AG12" t="s">
        <v>177</v>
      </c>
      <c r="AH12" s="871">
        <f t="shared" si="0"/>
        <v>44075</v>
      </c>
    </row>
    <row r="13" spans="1:34" hidden="1">
      <c r="A13">
        <v>4</v>
      </c>
      <c r="B13">
        <v>2763</v>
      </c>
      <c r="C13" t="s">
        <v>214</v>
      </c>
      <c r="D13">
        <v>237</v>
      </c>
      <c r="E13" s="233">
        <v>0</v>
      </c>
      <c r="F13" s="233">
        <v>960532</v>
      </c>
      <c r="G13" s="233" t="s">
        <v>177</v>
      </c>
      <c r="H13" s="233" t="s">
        <v>177</v>
      </c>
      <c r="I13" s="876">
        <v>44117</v>
      </c>
      <c r="J13" t="s">
        <v>177</v>
      </c>
      <c r="K13" t="s">
        <v>177</v>
      </c>
      <c r="L13" t="s">
        <v>177</v>
      </c>
      <c r="M13" t="s">
        <v>177</v>
      </c>
      <c r="N13" t="s">
        <v>177</v>
      </c>
      <c r="O13" t="s">
        <v>177</v>
      </c>
      <c r="P13" t="s">
        <v>177</v>
      </c>
      <c r="Q13" t="s">
        <v>177</v>
      </c>
      <c r="R13" t="s">
        <v>177</v>
      </c>
      <c r="S13" t="s">
        <v>177</v>
      </c>
      <c r="T13" t="s">
        <v>177</v>
      </c>
      <c r="U13" t="s">
        <v>177</v>
      </c>
      <c r="V13" t="s">
        <v>177</v>
      </c>
      <c r="W13" t="s">
        <v>177</v>
      </c>
      <c r="X13" t="s">
        <v>177</v>
      </c>
      <c r="Y13" t="s">
        <v>177</v>
      </c>
      <c r="Z13" t="s">
        <v>177</v>
      </c>
      <c r="AA13" t="s">
        <v>177</v>
      </c>
      <c r="AB13" t="s">
        <v>177</v>
      </c>
      <c r="AC13" t="s">
        <v>177</v>
      </c>
      <c r="AD13" t="s">
        <v>177</v>
      </c>
      <c r="AE13" t="s">
        <v>177</v>
      </c>
      <c r="AF13" t="s">
        <v>177</v>
      </c>
      <c r="AG13" t="s">
        <v>177</v>
      </c>
      <c r="AH13" s="871">
        <f t="shared" si="0"/>
        <v>44105</v>
      </c>
    </row>
    <row r="14" spans="1:34" hidden="1">
      <c r="A14">
        <v>5</v>
      </c>
      <c r="B14">
        <v>2763</v>
      </c>
      <c r="C14" t="s">
        <v>214</v>
      </c>
      <c r="D14">
        <v>237</v>
      </c>
      <c r="E14" s="233">
        <v>0</v>
      </c>
      <c r="F14" s="233">
        <v>960532</v>
      </c>
      <c r="G14" s="233" t="s">
        <v>177</v>
      </c>
      <c r="H14" s="233" t="s">
        <v>177</v>
      </c>
      <c r="I14" s="876">
        <v>44147</v>
      </c>
      <c r="J14" t="s">
        <v>177</v>
      </c>
      <c r="K14" t="s">
        <v>177</v>
      </c>
      <c r="L14" t="s">
        <v>177</v>
      </c>
      <c r="M14" t="s">
        <v>177</v>
      </c>
      <c r="N14" t="s">
        <v>177</v>
      </c>
      <c r="O14" t="s">
        <v>177</v>
      </c>
      <c r="P14" t="s">
        <v>177</v>
      </c>
      <c r="Q14" t="s">
        <v>177</v>
      </c>
      <c r="R14" t="s">
        <v>177</v>
      </c>
      <c r="S14" t="s">
        <v>177</v>
      </c>
      <c r="T14" t="s">
        <v>177</v>
      </c>
      <c r="U14" t="s">
        <v>177</v>
      </c>
      <c r="V14" t="s">
        <v>177</v>
      </c>
      <c r="W14" t="s">
        <v>177</v>
      </c>
      <c r="X14" t="s">
        <v>177</v>
      </c>
      <c r="Y14" t="s">
        <v>177</v>
      </c>
      <c r="Z14" t="s">
        <v>177</v>
      </c>
      <c r="AA14" t="s">
        <v>177</v>
      </c>
      <c r="AB14" t="s">
        <v>177</v>
      </c>
      <c r="AC14" t="s">
        <v>177</v>
      </c>
      <c r="AD14" t="s">
        <v>177</v>
      </c>
      <c r="AE14" t="s">
        <v>177</v>
      </c>
      <c r="AF14" t="s">
        <v>177</v>
      </c>
      <c r="AG14" t="s">
        <v>177</v>
      </c>
      <c r="AH14" s="871">
        <f t="shared" si="0"/>
        <v>44136</v>
      </c>
    </row>
    <row r="15" spans="1:34" hidden="1">
      <c r="A15">
        <v>6</v>
      </c>
      <c r="B15">
        <v>2763</v>
      </c>
      <c r="C15" t="s">
        <v>214</v>
      </c>
      <c r="D15">
        <v>237</v>
      </c>
      <c r="E15" s="233">
        <v>0</v>
      </c>
      <c r="F15" s="233">
        <v>960532</v>
      </c>
      <c r="G15" s="233" t="s">
        <v>177</v>
      </c>
      <c r="H15" s="233" t="s">
        <v>177</v>
      </c>
      <c r="I15" s="876">
        <v>44179</v>
      </c>
      <c r="J15" t="s">
        <v>177</v>
      </c>
      <c r="K15" t="s">
        <v>177</v>
      </c>
      <c r="L15" t="s">
        <v>177</v>
      </c>
      <c r="M15" t="s">
        <v>177</v>
      </c>
      <c r="N15" t="s">
        <v>177</v>
      </c>
      <c r="O15" t="s">
        <v>177</v>
      </c>
      <c r="P15" t="s">
        <v>177</v>
      </c>
      <c r="Q15" t="s">
        <v>177</v>
      </c>
      <c r="R15" t="s">
        <v>177</v>
      </c>
      <c r="S15" t="s">
        <v>177</v>
      </c>
      <c r="T15" t="s">
        <v>177</v>
      </c>
      <c r="U15" t="s">
        <v>177</v>
      </c>
      <c r="V15" t="s">
        <v>177</v>
      </c>
      <c r="W15" t="s">
        <v>177</v>
      </c>
      <c r="X15" t="s">
        <v>177</v>
      </c>
      <c r="Y15" t="s">
        <v>177</v>
      </c>
      <c r="Z15" t="s">
        <v>177</v>
      </c>
      <c r="AA15" t="s">
        <v>177</v>
      </c>
      <c r="AB15" t="s">
        <v>177</v>
      </c>
      <c r="AC15" t="s">
        <v>177</v>
      </c>
      <c r="AD15" t="s">
        <v>177</v>
      </c>
      <c r="AE15" t="s">
        <v>177</v>
      </c>
      <c r="AF15" t="s">
        <v>177</v>
      </c>
      <c r="AG15" t="s">
        <v>177</v>
      </c>
      <c r="AH15" s="871">
        <f t="shared" si="0"/>
        <v>44166</v>
      </c>
    </row>
    <row r="16" spans="1:34" hidden="1">
      <c r="A16">
        <v>7</v>
      </c>
      <c r="B16">
        <v>2763</v>
      </c>
      <c r="C16" t="s">
        <v>214</v>
      </c>
      <c r="D16">
        <v>237</v>
      </c>
      <c r="E16" s="233">
        <v>0</v>
      </c>
      <c r="F16" s="233">
        <v>960532</v>
      </c>
      <c r="G16" s="233" t="s">
        <v>177</v>
      </c>
      <c r="H16" s="233" t="s">
        <v>177</v>
      </c>
      <c r="I16" s="876">
        <v>44193</v>
      </c>
      <c r="J16" t="s">
        <v>177</v>
      </c>
      <c r="K16" t="s">
        <v>177</v>
      </c>
      <c r="L16" t="s">
        <v>177</v>
      </c>
      <c r="M16" t="s">
        <v>177</v>
      </c>
      <c r="N16" t="s">
        <v>177</v>
      </c>
      <c r="O16" t="s">
        <v>177</v>
      </c>
      <c r="P16" t="s">
        <v>177</v>
      </c>
      <c r="Q16" t="s">
        <v>177</v>
      </c>
      <c r="R16" t="s">
        <v>177</v>
      </c>
      <c r="S16" t="s">
        <v>177</v>
      </c>
      <c r="T16" t="s">
        <v>177</v>
      </c>
      <c r="U16" t="s">
        <v>177</v>
      </c>
      <c r="V16" t="s">
        <v>177</v>
      </c>
      <c r="W16" t="s">
        <v>177</v>
      </c>
      <c r="X16" t="s">
        <v>177</v>
      </c>
      <c r="Y16" t="s">
        <v>177</v>
      </c>
      <c r="Z16" t="s">
        <v>177</v>
      </c>
      <c r="AA16" t="s">
        <v>177</v>
      </c>
      <c r="AB16" t="s">
        <v>177</v>
      </c>
      <c r="AC16" t="s">
        <v>177</v>
      </c>
      <c r="AD16" t="s">
        <v>177</v>
      </c>
      <c r="AE16" t="s">
        <v>177</v>
      </c>
      <c r="AF16" t="s">
        <v>177</v>
      </c>
      <c r="AG16" t="s">
        <v>177</v>
      </c>
      <c r="AH16" s="871">
        <f t="shared" si="0"/>
        <v>44166</v>
      </c>
    </row>
    <row r="17" spans="1:34" hidden="1">
      <c r="A17">
        <v>8</v>
      </c>
      <c r="B17">
        <v>2763</v>
      </c>
      <c r="C17" t="s">
        <v>214</v>
      </c>
      <c r="D17">
        <v>237</v>
      </c>
      <c r="E17" s="233">
        <v>0</v>
      </c>
      <c r="F17" s="233">
        <v>0</v>
      </c>
      <c r="G17" s="233" t="s">
        <v>177</v>
      </c>
      <c r="H17" s="233" t="s">
        <v>177</v>
      </c>
      <c r="I17" s="876">
        <v>44208</v>
      </c>
      <c r="J17" t="s">
        <v>177</v>
      </c>
      <c r="K17" t="s">
        <v>177</v>
      </c>
      <c r="L17" t="s">
        <v>177</v>
      </c>
      <c r="M17" t="s">
        <v>177</v>
      </c>
      <c r="N17" t="s">
        <v>177</v>
      </c>
      <c r="O17" t="s">
        <v>177</v>
      </c>
      <c r="P17" t="s">
        <v>177</v>
      </c>
      <c r="Q17" t="s">
        <v>177</v>
      </c>
      <c r="R17" t="s">
        <v>177</v>
      </c>
      <c r="S17" t="s">
        <v>177</v>
      </c>
      <c r="T17" t="s">
        <v>177</v>
      </c>
      <c r="U17" t="s">
        <v>177</v>
      </c>
      <c r="V17" t="s">
        <v>177</v>
      </c>
      <c r="W17" t="s">
        <v>177</v>
      </c>
      <c r="X17" t="s">
        <v>177</v>
      </c>
      <c r="Y17" t="s">
        <v>177</v>
      </c>
      <c r="Z17" t="s">
        <v>177</v>
      </c>
      <c r="AA17" t="s">
        <v>177</v>
      </c>
      <c r="AB17" t="s">
        <v>177</v>
      </c>
      <c r="AC17" t="s">
        <v>177</v>
      </c>
      <c r="AD17" t="s">
        <v>177</v>
      </c>
      <c r="AE17" t="s">
        <v>177</v>
      </c>
      <c r="AF17" t="s">
        <v>177</v>
      </c>
      <c r="AG17" t="s">
        <v>177</v>
      </c>
      <c r="AH17" s="871">
        <f t="shared" si="0"/>
        <v>44197</v>
      </c>
    </row>
    <row r="18" spans="1:34" hidden="1">
      <c r="A18">
        <v>1</v>
      </c>
      <c r="B18">
        <v>5274</v>
      </c>
      <c r="C18" t="s">
        <v>221</v>
      </c>
      <c r="D18">
        <v>252</v>
      </c>
      <c r="E18" s="233">
        <v>0</v>
      </c>
      <c r="F18" s="233">
        <v>1693330</v>
      </c>
      <c r="G18" s="233">
        <f>F18</f>
        <v>1693330</v>
      </c>
      <c r="H18" s="233">
        <v>0</v>
      </c>
      <c r="I18" s="876">
        <v>44043</v>
      </c>
      <c r="J18" t="s">
        <v>177</v>
      </c>
      <c r="K18" t="s">
        <v>177</v>
      </c>
      <c r="L18" t="s">
        <v>177</v>
      </c>
      <c r="M18" t="s">
        <v>177</v>
      </c>
      <c r="N18" t="s">
        <v>177</v>
      </c>
      <c r="O18" t="s">
        <v>177</v>
      </c>
      <c r="P18" t="s">
        <v>177</v>
      </c>
      <c r="Q18" t="s">
        <v>177</v>
      </c>
      <c r="R18" t="s">
        <v>177</v>
      </c>
      <c r="S18" t="s">
        <v>177</v>
      </c>
      <c r="T18" t="s">
        <v>177</v>
      </c>
      <c r="U18" t="s">
        <v>177</v>
      </c>
      <c r="V18" t="s">
        <v>177</v>
      </c>
      <c r="W18" t="s">
        <v>177</v>
      </c>
      <c r="X18" t="s">
        <v>177</v>
      </c>
      <c r="Y18" t="s">
        <v>177</v>
      </c>
      <c r="Z18" t="s">
        <v>177</v>
      </c>
      <c r="AA18" t="s">
        <v>177</v>
      </c>
      <c r="AB18" t="s">
        <v>177</v>
      </c>
      <c r="AC18" t="s">
        <v>177</v>
      </c>
      <c r="AD18" t="s">
        <v>177</v>
      </c>
      <c r="AE18" t="s">
        <v>177</v>
      </c>
      <c r="AF18" t="s">
        <v>177</v>
      </c>
      <c r="AG18" t="s">
        <v>177</v>
      </c>
      <c r="AH18" s="871">
        <f t="shared" si="0"/>
        <v>44013</v>
      </c>
    </row>
    <row r="19" spans="1:34" hidden="1">
      <c r="A19">
        <v>2</v>
      </c>
      <c r="B19">
        <v>5274</v>
      </c>
      <c r="C19" t="s">
        <v>221</v>
      </c>
      <c r="D19">
        <v>252</v>
      </c>
      <c r="E19" s="233">
        <v>0</v>
      </c>
      <c r="F19" s="233">
        <v>679199</v>
      </c>
      <c r="G19" s="233">
        <f>F19</f>
        <v>679199</v>
      </c>
      <c r="H19" s="233" t="s">
        <v>177</v>
      </c>
      <c r="I19" s="876">
        <v>44055</v>
      </c>
      <c r="J19" t="s">
        <v>177</v>
      </c>
      <c r="K19" t="s">
        <v>177</v>
      </c>
      <c r="L19" t="s">
        <v>177</v>
      </c>
      <c r="M19" t="s">
        <v>177</v>
      </c>
      <c r="N19" t="s">
        <v>177</v>
      </c>
      <c r="O19" t="s">
        <v>177</v>
      </c>
      <c r="P19" t="s">
        <v>177</v>
      </c>
      <c r="Q19" t="s">
        <v>177</v>
      </c>
      <c r="R19" t="s">
        <v>177</v>
      </c>
      <c r="S19" t="s">
        <v>177</v>
      </c>
      <c r="T19" t="s">
        <v>177</v>
      </c>
      <c r="U19" t="s">
        <v>177</v>
      </c>
      <c r="V19" t="s">
        <v>177</v>
      </c>
      <c r="W19" t="s">
        <v>177</v>
      </c>
      <c r="X19" t="s">
        <v>177</v>
      </c>
      <c r="Y19" t="s">
        <v>177</v>
      </c>
      <c r="Z19" t="s">
        <v>177</v>
      </c>
      <c r="AA19" t="s">
        <v>177</v>
      </c>
      <c r="AB19" t="s">
        <v>177</v>
      </c>
      <c r="AC19" t="s">
        <v>177</v>
      </c>
      <c r="AD19" t="s">
        <v>177</v>
      </c>
      <c r="AE19" t="s">
        <v>177</v>
      </c>
      <c r="AF19" t="s">
        <v>177</v>
      </c>
      <c r="AG19" t="s">
        <v>177</v>
      </c>
      <c r="AH19" s="871">
        <f t="shared" si="0"/>
        <v>44044</v>
      </c>
    </row>
    <row r="20" spans="1:34" hidden="1">
      <c r="A20">
        <v>3</v>
      </c>
      <c r="B20">
        <v>5274</v>
      </c>
      <c r="C20" t="s">
        <v>221</v>
      </c>
      <c r="D20">
        <v>252</v>
      </c>
      <c r="E20" s="233">
        <v>0</v>
      </c>
      <c r="F20" s="233">
        <v>0</v>
      </c>
      <c r="G20" s="233" t="s">
        <v>177</v>
      </c>
      <c r="H20" s="233" t="s">
        <v>177</v>
      </c>
      <c r="I20" s="876">
        <v>44088</v>
      </c>
      <c r="J20" t="s">
        <v>177</v>
      </c>
      <c r="K20" t="s">
        <v>177</v>
      </c>
      <c r="L20" t="s">
        <v>177</v>
      </c>
      <c r="M20" t="s">
        <v>177</v>
      </c>
      <c r="N20" t="s">
        <v>177</v>
      </c>
      <c r="O20" t="s">
        <v>177</v>
      </c>
      <c r="P20" t="s">
        <v>177</v>
      </c>
      <c r="Q20" t="s">
        <v>177</v>
      </c>
      <c r="R20" t="s">
        <v>177</v>
      </c>
      <c r="S20" t="s">
        <v>177</v>
      </c>
      <c r="T20" t="s">
        <v>177</v>
      </c>
      <c r="U20" t="s">
        <v>177</v>
      </c>
      <c r="V20" t="s">
        <v>177</v>
      </c>
      <c r="W20" t="s">
        <v>177</v>
      </c>
      <c r="X20" t="s">
        <v>177</v>
      </c>
      <c r="Y20" t="s">
        <v>177</v>
      </c>
      <c r="Z20" t="s">
        <v>177</v>
      </c>
      <c r="AA20" t="s">
        <v>177</v>
      </c>
      <c r="AB20" t="s">
        <v>177</v>
      </c>
      <c r="AC20" t="s">
        <v>177</v>
      </c>
      <c r="AD20" t="s">
        <v>177</v>
      </c>
      <c r="AE20" t="s">
        <v>177</v>
      </c>
      <c r="AF20" t="s">
        <v>177</v>
      </c>
      <c r="AG20" t="s">
        <v>177</v>
      </c>
      <c r="AH20" s="871">
        <f t="shared" si="0"/>
        <v>44075</v>
      </c>
    </row>
    <row r="21" spans="1:34" hidden="1">
      <c r="A21">
        <v>4</v>
      </c>
      <c r="B21">
        <v>5274</v>
      </c>
      <c r="C21" t="s">
        <v>221</v>
      </c>
      <c r="D21">
        <v>252</v>
      </c>
      <c r="E21" s="233">
        <v>0</v>
      </c>
      <c r="F21" s="233">
        <v>0</v>
      </c>
      <c r="G21" s="233" t="s">
        <v>177</v>
      </c>
      <c r="H21" s="233" t="s">
        <v>177</v>
      </c>
      <c r="I21" s="876">
        <v>44117</v>
      </c>
      <c r="J21" t="s">
        <v>177</v>
      </c>
      <c r="K21" t="s">
        <v>177</v>
      </c>
      <c r="L21" t="s">
        <v>177</v>
      </c>
      <c r="M21" t="s">
        <v>177</v>
      </c>
      <c r="N21" t="s">
        <v>177</v>
      </c>
      <c r="O21" t="s">
        <v>177</v>
      </c>
      <c r="P21" t="s">
        <v>177</v>
      </c>
      <c r="Q21" t="s">
        <v>177</v>
      </c>
      <c r="R21" t="s">
        <v>177</v>
      </c>
      <c r="S21" t="s">
        <v>177</v>
      </c>
      <c r="T21" t="s">
        <v>177</v>
      </c>
      <c r="U21" t="s">
        <v>177</v>
      </c>
      <c r="V21" t="s">
        <v>177</v>
      </c>
      <c r="W21" t="s">
        <v>177</v>
      </c>
      <c r="X21" t="s">
        <v>177</v>
      </c>
      <c r="Y21" t="s">
        <v>177</v>
      </c>
      <c r="Z21" t="s">
        <v>177</v>
      </c>
      <c r="AA21" t="s">
        <v>177</v>
      </c>
      <c r="AB21" t="s">
        <v>177</v>
      </c>
      <c r="AC21" t="s">
        <v>177</v>
      </c>
      <c r="AD21" t="s">
        <v>177</v>
      </c>
      <c r="AE21" t="s">
        <v>177</v>
      </c>
      <c r="AF21" t="s">
        <v>177</v>
      </c>
      <c r="AG21" t="s">
        <v>177</v>
      </c>
      <c r="AH21" s="871">
        <f t="shared" si="0"/>
        <v>44105</v>
      </c>
    </row>
    <row r="22" spans="1:34" hidden="1">
      <c r="A22">
        <v>5</v>
      </c>
      <c r="B22">
        <v>5274</v>
      </c>
      <c r="C22" t="s">
        <v>221</v>
      </c>
      <c r="D22">
        <v>252</v>
      </c>
      <c r="E22" s="233">
        <v>0</v>
      </c>
      <c r="F22" s="233">
        <v>0</v>
      </c>
      <c r="G22" s="233" t="s">
        <v>177</v>
      </c>
      <c r="H22" s="233" t="s">
        <v>177</v>
      </c>
      <c r="I22" s="876">
        <v>44147</v>
      </c>
      <c r="J22" t="s">
        <v>177</v>
      </c>
      <c r="K22" t="s">
        <v>177</v>
      </c>
      <c r="L22" t="s">
        <v>177</v>
      </c>
      <c r="M22" t="s">
        <v>177</v>
      </c>
      <c r="N22" t="s">
        <v>177</v>
      </c>
      <c r="O22" t="s">
        <v>177</v>
      </c>
      <c r="P22" t="s">
        <v>177</v>
      </c>
      <c r="Q22" t="s">
        <v>177</v>
      </c>
      <c r="R22" t="s">
        <v>177</v>
      </c>
      <c r="S22" t="s">
        <v>177</v>
      </c>
      <c r="T22" t="s">
        <v>177</v>
      </c>
      <c r="U22" t="s">
        <v>177</v>
      </c>
      <c r="V22" t="s">
        <v>177</v>
      </c>
      <c r="W22" t="s">
        <v>177</v>
      </c>
      <c r="X22" t="s">
        <v>177</v>
      </c>
      <c r="Y22" t="s">
        <v>177</v>
      </c>
      <c r="Z22" t="s">
        <v>177</v>
      </c>
      <c r="AA22" t="s">
        <v>177</v>
      </c>
      <c r="AB22" t="s">
        <v>177</v>
      </c>
      <c r="AC22" t="s">
        <v>177</v>
      </c>
      <c r="AD22" t="s">
        <v>177</v>
      </c>
      <c r="AE22" t="s">
        <v>177</v>
      </c>
      <c r="AF22" t="s">
        <v>177</v>
      </c>
      <c r="AG22" t="s">
        <v>177</v>
      </c>
      <c r="AH22" s="871">
        <f t="shared" si="0"/>
        <v>44136</v>
      </c>
    </row>
    <row r="23" spans="1:34" hidden="1">
      <c r="A23">
        <v>6</v>
      </c>
      <c r="B23">
        <v>5274</v>
      </c>
      <c r="C23" t="s">
        <v>221</v>
      </c>
      <c r="D23">
        <v>252</v>
      </c>
      <c r="E23" s="233">
        <v>0</v>
      </c>
      <c r="F23" s="233">
        <v>0</v>
      </c>
      <c r="G23" s="233" t="s">
        <v>177</v>
      </c>
      <c r="H23" s="233" t="s">
        <v>177</v>
      </c>
      <c r="I23" s="876">
        <v>44179</v>
      </c>
      <c r="J23" t="s">
        <v>177</v>
      </c>
      <c r="K23" t="s">
        <v>177</v>
      </c>
      <c r="L23" t="s">
        <v>177</v>
      </c>
      <c r="M23" t="s">
        <v>177</v>
      </c>
      <c r="N23" t="s">
        <v>177</v>
      </c>
      <c r="O23" t="s">
        <v>177</v>
      </c>
      <c r="P23" t="s">
        <v>177</v>
      </c>
      <c r="Q23" t="s">
        <v>177</v>
      </c>
      <c r="R23" t="s">
        <v>177</v>
      </c>
      <c r="S23" t="s">
        <v>177</v>
      </c>
      <c r="T23" t="s">
        <v>177</v>
      </c>
      <c r="U23" t="s">
        <v>177</v>
      </c>
      <c r="V23" t="s">
        <v>177</v>
      </c>
      <c r="W23" t="s">
        <v>177</v>
      </c>
      <c r="X23" t="s">
        <v>177</v>
      </c>
      <c r="Y23" t="s">
        <v>177</v>
      </c>
      <c r="Z23" t="s">
        <v>177</v>
      </c>
      <c r="AA23" t="s">
        <v>177</v>
      </c>
      <c r="AB23" t="s">
        <v>177</v>
      </c>
      <c r="AC23" t="s">
        <v>177</v>
      </c>
      <c r="AD23" t="s">
        <v>177</v>
      </c>
      <c r="AE23" t="s">
        <v>177</v>
      </c>
      <c r="AF23" t="s">
        <v>177</v>
      </c>
      <c r="AG23" t="s">
        <v>177</v>
      </c>
      <c r="AH23" s="871">
        <f t="shared" si="0"/>
        <v>44166</v>
      </c>
    </row>
    <row r="24" spans="1:34" hidden="1">
      <c r="A24">
        <v>7</v>
      </c>
      <c r="B24">
        <v>5274</v>
      </c>
      <c r="C24" t="s">
        <v>221</v>
      </c>
      <c r="D24">
        <v>252</v>
      </c>
      <c r="E24" s="233">
        <v>0</v>
      </c>
      <c r="F24" s="233">
        <v>0</v>
      </c>
      <c r="G24" s="233" t="s">
        <v>177</v>
      </c>
      <c r="H24" s="233" t="s">
        <v>177</v>
      </c>
      <c r="I24" s="876">
        <v>44193</v>
      </c>
      <c r="J24" t="s">
        <v>177</v>
      </c>
      <c r="K24" t="s">
        <v>177</v>
      </c>
      <c r="L24" t="s">
        <v>177</v>
      </c>
      <c r="M24" t="s">
        <v>177</v>
      </c>
      <c r="N24" t="s">
        <v>177</v>
      </c>
      <c r="O24" t="s">
        <v>177</v>
      </c>
      <c r="P24" t="s">
        <v>177</v>
      </c>
      <c r="Q24" t="s">
        <v>177</v>
      </c>
      <c r="R24" t="s">
        <v>177</v>
      </c>
      <c r="S24" t="s">
        <v>177</v>
      </c>
      <c r="T24" t="s">
        <v>177</v>
      </c>
      <c r="U24" t="s">
        <v>177</v>
      </c>
      <c r="V24" t="s">
        <v>177</v>
      </c>
      <c r="W24" t="s">
        <v>177</v>
      </c>
      <c r="X24" t="s">
        <v>177</v>
      </c>
      <c r="Y24" t="s">
        <v>177</v>
      </c>
      <c r="Z24" t="s">
        <v>177</v>
      </c>
      <c r="AA24" t="s">
        <v>177</v>
      </c>
      <c r="AB24" t="s">
        <v>177</v>
      </c>
      <c r="AC24" t="s">
        <v>177</v>
      </c>
      <c r="AD24" t="s">
        <v>177</v>
      </c>
      <c r="AE24" t="s">
        <v>177</v>
      </c>
      <c r="AF24" t="s">
        <v>177</v>
      </c>
      <c r="AG24" t="s">
        <v>177</v>
      </c>
      <c r="AH24" s="871">
        <f t="shared" si="0"/>
        <v>44166</v>
      </c>
    </row>
    <row r="25" spans="1:34" hidden="1">
      <c r="A25">
        <v>8</v>
      </c>
      <c r="B25">
        <v>5274</v>
      </c>
      <c r="C25" t="s">
        <v>221</v>
      </c>
      <c r="D25">
        <v>252</v>
      </c>
      <c r="E25" s="233">
        <v>0</v>
      </c>
      <c r="F25" s="233">
        <v>0</v>
      </c>
      <c r="G25" s="233" t="s">
        <v>177</v>
      </c>
      <c r="H25" s="233" t="s">
        <v>177</v>
      </c>
      <c r="I25" s="876">
        <v>44208</v>
      </c>
      <c r="J25" t="s">
        <v>177</v>
      </c>
      <c r="K25" t="s">
        <v>177</v>
      </c>
      <c r="L25" t="s">
        <v>177</v>
      </c>
      <c r="M25" t="s">
        <v>177</v>
      </c>
      <c r="N25" t="s">
        <v>177</v>
      </c>
      <c r="O25" t="s">
        <v>177</v>
      </c>
      <c r="P25" t="s">
        <v>177</v>
      </c>
      <c r="Q25" t="s">
        <v>177</v>
      </c>
      <c r="R25" t="s">
        <v>177</v>
      </c>
      <c r="S25" t="s">
        <v>177</v>
      </c>
      <c r="T25" t="s">
        <v>177</v>
      </c>
      <c r="U25" t="s">
        <v>177</v>
      </c>
      <c r="V25" t="s">
        <v>177</v>
      </c>
      <c r="W25" t="s">
        <v>177</v>
      </c>
      <c r="X25" t="s">
        <v>177</v>
      </c>
      <c r="Y25" t="s">
        <v>177</v>
      </c>
      <c r="Z25" t="s">
        <v>177</v>
      </c>
      <c r="AA25" t="s">
        <v>177</v>
      </c>
      <c r="AB25" t="s">
        <v>177</v>
      </c>
      <c r="AC25" t="s">
        <v>177</v>
      </c>
      <c r="AD25" t="s">
        <v>177</v>
      </c>
      <c r="AE25" t="s">
        <v>177</v>
      </c>
      <c r="AF25" t="s">
        <v>177</v>
      </c>
      <c r="AG25" t="s">
        <v>177</v>
      </c>
      <c r="AH25" s="871">
        <f t="shared" si="0"/>
        <v>44197</v>
      </c>
    </row>
    <row r="26" spans="1:34" hidden="1">
      <c r="A26">
        <v>1</v>
      </c>
      <c r="B26">
        <v>5279</v>
      </c>
      <c r="C26" t="s">
        <v>222</v>
      </c>
      <c r="D26">
        <v>255</v>
      </c>
      <c r="E26" s="233">
        <v>0</v>
      </c>
      <c r="F26" s="233">
        <v>789234.83</v>
      </c>
      <c r="G26" s="233">
        <f>F26</f>
        <v>789234.83</v>
      </c>
      <c r="H26" s="233">
        <v>0</v>
      </c>
      <c r="I26" s="876">
        <v>44043</v>
      </c>
      <c r="J26" t="s">
        <v>177</v>
      </c>
      <c r="K26" t="s">
        <v>177</v>
      </c>
      <c r="L26" t="s">
        <v>177</v>
      </c>
      <c r="M26" t="s">
        <v>177</v>
      </c>
      <c r="N26" t="s">
        <v>177</v>
      </c>
      <c r="O26" t="s">
        <v>177</v>
      </c>
      <c r="P26" t="s">
        <v>177</v>
      </c>
      <c r="Q26" t="s">
        <v>177</v>
      </c>
      <c r="R26" t="s">
        <v>177</v>
      </c>
      <c r="S26" t="s">
        <v>177</v>
      </c>
      <c r="T26" t="s">
        <v>177</v>
      </c>
      <c r="U26" t="s">
        <v>177</v>
      </c>
      <c r="V26" t="s">
        <v>177</v>
      </c>
      <c r="W26" t="s">
        <v>177</v>
      </c>
      <c r="X26" t="s">
        <v>177</v>
      </c>
      <c r="Y26" t="s">
        <v>177</v>
      </c>
      <c r="Z26" t="s">
        <v>177</v>
      </c>
      <c r="AA26" t="s">
        <v>177</v>
      </c>
      <c r="AB26" t="s">
        <v>177</v>
      </c>
      <c r="AC26" t="s">
        <v>177</v>
      </c>
      <c r="AD26" t="s">
        <v>177</v>
      </c>
      <c r="AE26" t="s">
        <v>177</v>
      </c>
      <c r="AF26" t="s">
        <v>177</v>
      </c>
      <c r="AG26" t="s">
        <v>177</v>
      </c>
      <c r="AH26" s="871">
        <f t="shared" si="0"/>
        <v>44013</v>
      </c>
    </row>
    <row r="27" spans="1:34" hidden="1">
      <c r="A27">
        <v>2</v>
      </c>
      <c r="B27">
        <v>5279</v>
      </c>
      <c r="C27" t="s">
        <v>222</v>
      </c>
      <c r="D27">
        <v>255</v>
      </c>
      <c r="E27" s="233">
        <v>0</v>
      </c>
      <c r="F27" s="233">
        <v>540510.48</v>
      </c>
      <c r="G27" s="233">
        <f>F27</f>
        <v>540510.48</v>
      </c>
      <c r="H27" s="233" t="s">
        <v>177</v>
      </c>
      <c r="I27" s="876">
        <v>44055</v>
      </c>
      <c r="J27" t="s">
        <v>177</v>
      </c>
      <c r="K27" t="s">
        <v>177</v>
      </c>
      <c r="L27" t="s">
        <v>177</v>
      </c>
      <c r="M27" t="s">
        <v>177</v>
      </c>
      <c r="N27" t="s">
        <v>177</v>
      </c>
      <c r="O27" t="s">
        <v>177</v>
      </c>
      <c r="P27" t="s">
        <v>177</v>
      </c>
      <c r="Q27" t="s">
        <v>177</v>
      </c>
      <c r="R27" t="s">
        <v>177</v>
      </c>
      <c r="S27" t="s">
        <v>177</v>
      </c>
      <c r="T27" t="s">
        <v>177</v>
      </c>
      <c r="U27" t="s">
        <v>177</v>
      </c>
      <c r="V27" t="s">
        <v>177</v>
      </c>
      <c r="W27" t="s">
        <v>177</v>
      </c>
      <c r="X27" t="s">
        <v>177</v>
      </c>
      <c r="Y27" t="s">
        <v>177</v>
      </c>
      <c r="Z27" t="s">
        <v>177</v>
      </c>
      <c r="AA27" t="s">
        <v>177</v>
      </c>
      <c r="AB27" t="s">
        <v>177</v>
      </c>
      <c r="AC27" t="s">
        <v>177</v>
      </c>
      <c r="AD27" t="s">
        <v>177</v>
      </c>
      <c r="AE27" t="s">
        <v>177</v>
      </c>
      <c r="AF27" t="s">
        <v>177</v>
      </c>
      <c r="AG27" t="s">
        <v>177</v>
      </c>
      <c r="AH27" s="871">
        <f t="shared" si="0"/>
        <v>44044</v>
      </c>
    </row>
    <row r="28" spans="1:34" hidden="1">
      <c r="A28">
        <v>3</v>
      </c>
      <c r="B28">
        <v>5279</v>
      </c>
      <c r="C28" t="s">
        <v>222</v>
      </c>
      <c r="D28">
        <v>255</v>
      </c>
      <c r="E28" s="233">
        <v>0</v>
      </c>
      <c r="F28" s="233">
        <v>540510.48</v>
      </c>
      <c r="G28" s="233">
        <f>F28</f>
        <v>540510.48</v>
      </c>
      <c r="H28" s="233" t="s">
        <v>177</v>
      </c>
      <c r="I28" s="876">
        <v>44088</v>
      </c>
      <c r="J28" t="s">
        <v>177</v>
      </c>
      <c r="K28" t="s">
        <v>177</v>
      </c>
      <c r="L28" t="s">
        <v>177</v>
      </c>
      <c r="M28" t="s">
        <v>177</v>
      </c>
      <c r="N28" t="s">
        <v>177</v>
      </c>
      <c r="O28" t="s">
        <v>177</v>
      </c>
      <c r="P28" t="s">
        <v>177</v>
      </c>
      <c r="Q28" t="s">
        <v>177</v>
      </c>
      <c r="R28" t="s">
        <v>177</v>
      </c>
      <c r="S28" t="s">
        <v>177</v>
      </c>
      <c r="T28" t="s">
        <v>177</v>
      </c>
      <c r="U28" t="s">
        <v>177</v>
      </c>
      <c r="V28" t="s">
        <v>177</v>
      </c>
      <c r="W28" t="s">
        <v>177</v>
      </c>
      <c r="X28" t="s">
        <v>177</v>
      </c>
      <c r="Y28" t="s">
        <v>177</v>
      </c>
      <c r="Z28" t="s">
        <v>177</v>
      </c>
      <c r="AA28" t="s">
        <v>177</v>
      </c>
      <c r="AB28" t="s">
        <v>177</v>
      </c>
      <c r="AC28" t="s">
        <v>177</v>
      </c>
      <c r="AD28" t="s">
        <v>177</v>
      </c>
      <c r="AE28" t="s">
        <v>177</v>
      </c>
      <c r="AF28" t="s">
        <v>177</v>
      </c>
      <c r="AG28" t="s">
        <v>177</v>
      </c>
      <c r="AH28" s="871">
        <f t="shared" si="0"/>
        <v>44075</v>
      </c>
    </row>
    <row r="29" spans="1:34" hidden="1">
      <c r="A29">
        <v>4</v>
      </c>
      <c r="B29">
        <v>5279</v>
      </c>
      <c r="C29" t="s">
        <v>222</v>
      </c>
      <c r="D29">
        <v>255</v>
      </c>
      <c r="E29" s="233">
        <v>0</v>
      </c>
      <c r="F29" s="233">
        <v>540510.48</v>
      </c>
      <c r="G29" s="233">
        <f>F29</f>
        <v>540510.48</v>
      </c>
      <c r="H29" s="233" t="s">
        <v>177</v>
      </c>
      <c r="I29" s="876">
        <v>44117</v>
      </c>
      <c r="J29" t="s">
        <v>177</v>
      </c>
      <c r="K29" t="s">
        <v>177</v>
      </c>
      <c r="L29" t="s">
        <v>177</v>
      </c>
      <c r="M29" t="s">
        <v>177</v>
      </c>
      <c r="N29" t="s">
        <v>177</v>
      </c>
      <c r="O29" t="s">
        <v>177</v>
      </c>
      <c r="P29" t="s">
        <v>177</v>
      </c>
      <c r="Q29" t="s">
        <v>177</v>
      </c>
      <c r="R29" t="s">
        <v>177</v>
      </c>
      <c r="S29" t="s">
        <v>177</v>
      </c>
      <c r="T29" t="s">
        <v>177</v>
      </c>
      <c r="U29" t="s">
        <v>177</v>
      </c>
      <c r="V29" t="s">
        <v>177</v>
      </c>
      <c r="W29" t="s">
        <v>177</v>
      </c>
      <c r="X29" t="s">
        <v>177</v>
      </c>
      <c r="Y29" t="s">
        <v>177</v>
      </c>
      <c r="Z29" t="s">
        <v>177</v>
      </c>
      <c r="AA29" t="s">
        <v>177</v>
      </c>
      <c r="AB29" t="s">
        <v>177</v>
      </c>
      <c r="AC29" t="s">
        <v>177</v>
      </c>
      <c r="AD29" t="s">
        <v>177</v>
      </c>
      <c r="AE29" t="s">
        <v>177</v>
      </c>
      <c r="AF29" t="s">
        <v>177</v>
      </c>
      <c r="AG29" t="s">
        <v>177</v>
      </c>
      <c r="AH29" s="871">
        <f t="shared" si="0"/>
        <v>44105</v>
      </c>
    </row>
    <row r="30" spans="1:34" hidden="1">
      <c r="A30">
        <v>5</v>
      </c>
      <c r="B30">
        <v>5279</v>
      </c>
      <c r="C30" t="s">
        <v>222</v>
      </c>
      <c r="D30">
        <v>255</v>
      </c>
      <c r="E30" s="233">
        <v>0</v>
      </c>
      <c r="F30" s="233">
        <v>0</v>
      </c>
      <c r="G30" s="233" t="s">
        <v>177</v>
      </c>
      <c r="H30" s="233" t="s">
        <v>177</v>
      </c>
      <c r="I30" s="876">
        <v>44147</v>
      </c>
      <c r="J30" t="s">
        <v>177</v>
      </c>
      <c r="K30" t="s">
        <v>177</v>
      </c>
      <c r="L30" t="s">
        <v>177</v>
      </c>
      <c r="M30" t="s">
        <v>177</v>
      </c>
      <c r="N30" t="s">
        <v>177</v>
      </c>
      <c r="O30" t="s">
        <v>177</v>
      </c>
      <c r="P30" t="s">
        <v>177</v>
      </c>
      <c r="Q30" t="s">
        <v>177</v>
      </c>
      <c r="R30" t="s">
        <v>177</v>
      </c>
      <c r="S30" t="s">
        <v>177</v>
      </c>
      <c r="T30" t="s">
        <v>177</v>
      </c>
      <c r="U30" t="s">
        <v>177</v>
      </c>
      <c r="V30" t="s">
        <v>177</v>
      </c>
      <c r="W30" t="s">
        <v>177</v>
      </c>
      <c r="X30" t="s">
        <v>177</v>
      </c>
      <c r="Y30" t="s">
        <v>177</v>
      </c>
      <c r="Z30" t="s">
        <v>177</v>
      </c>
      <c r="AA30" t="s">
        <v>177</v>
      </c>
      <c r="AB30" t="s">
        <v>177</v>
      </c>
      <c r="AC30" t="s">
        <v>177</v>
      </c>
      <c r="AD30" t="s">
        <v>177</v>
      </c>
      <c r="AE30" t="s">
        <v>177</v>
      </c>
      <c r="AF30" t="s">
        <v>177</v>
      </c>
      <c r="AG30" t="s">
        <v>177</v>
      </c>
      <c r="AH30" s="871">
        <f t="shared" si="0"/>
        <v>44136</v>
      </c>
    </row>
    <row r="31" spans="1:34" hidden="1">
      <c r="A31">
        <v>6</v>
      </c>
      <c r="B31">
        <v>5279</v>
      </c>
      <c r="C31" t="s">
        <v>222</v>
      </c>
      <c r="D31">
        <v>255</v>
      </c>
      <c r="E31" s="233">
        <v>0</v>
      </c>
      <c r="F31" s="233">
        <v>0</v>
      </c>
      <c r="G31" s="233" t="s">
        <v>177</v>
      </c>
      <c r="H31" s="233" t="s">
        <v>177</v>
      </c>
      <c r="I31" s="876">
        <v>44179</v>
      </c>
      <c r="J31" t="s">
        <v>177</v>
      </c>
      <c r="K31" t="s">
        <v>177</v>
      </c>
      <c r="L31" t="s">
        <v>177</v>
      </c>
      <c r="M31" t="s">
        <v>177</v>
      </c>
      <c r="N31" t="s">
        <v>177</v>
      </c>
      <c r="O31" t="s">
        <v>177</v>
      </c>
      <c r="P31" t="s">
        <v>177</v>
      </c>
      <c r="Q31" t="s">
        <v>177</v>
      </c>
      <c r="R31" t="s">
        <v>177</v>
      </c>
      <c r="S31" t="s">
        <v>177</v>
      </c>
      <c r="T31" t="s">
        <v>177</v>
      </c>
      <c r="U31" t="s">
        <v>177</v>
      </c>
      <c r="V31" t="s">
        <v>177</v>
      </c>
      <c r="W31" t="s">
        <v>177</v>
      </c>
      <c r="X31" t="s">
        <v>177</v>
      </c>
      <c r="Y31" t="s">
        <v>177</v>
      </c>
      <c r="Z31" t="s">
        <v>177</v>
      </c>
      <c r="AA31" t="s">
        <v>177</v>
      </c>
      <c r="AB31" t="s">
        <v>177</v>
      </c>
      <c r="AC31" t="s">
        <v>177</v>
      </c>
      <c r="AD31" t="s">
        <v>177</v>
      </c>
      <c r="AE31" t="s">
        <v>177</v>
      </c>
      <c r="AF31" t="s">
        <v>177</v>
      </c>
      <c r="AG31" t="s">
        <v>177</v>
      </c>
      <c r="AH31" s="871">
        <f t="shared" si="0"/>
        <v>44166</v>
      </c>
    </row>
    <row r="32" spans="1:34" hidden="1">
      <c r="A32">
        <v>7</v>
      </c>
      <c r="B32">
        <v>5279</v>
      </c>
      <c r="C32" t="s">
        <v>222</v>
      </c>
      <c r="D32">
        <v>255</v>
      </c>
      <c r="E32" s="233">
        <v>0</v>
      </c>
      <c r="F32" s="233">
        <v>0</v>
      </c>
      <c r="G32" s="233" t="s">
        <v>177</v>
      </c>
      <c r="H32" s="233" t="s">
        <v>177</v>
      </c>
      <c r="I32" s="876">
        <v>44193</v>
      </c>
      <c r="J32" t="s">
        <v>177</v>
      </c>
      <c r="K32" t="s">
        <v>177</v>
      </c>
      <c r="L32" t="s">
        <v>177</v>
      </c>
      <c r="M32" t="s">
        <v>177</v>
      </c>
      <c r="N32" t="s">
        <v>177</v>
      </c>
      <c r="O32" t="s">
        <v>177</v>
      </c>
      <c r="P32" t="s">
        <v>177</v>
      </c>
      <c r="Q32" t="s">
        <v>177</v>
      </c>
      <c r="R32" t="s">
        <v>177</v>
      </c>
      <c r="S32" t="s">
        <v>177</v>
      </c>
      <c r="T32" t="s">
        <v>177</v>
      </c>
      <c r="U32" t="s">
        <v>177</v>
      </c>
      <c r="V32" t="s">
        <v>177</v>
      </c>
      <c r="W32" t="s">
        <v>177</v>
      </c>
      <c r="X32" t="s">
        <v>177</v>
      </c>
      <c r="Y32" t="s">
        <v>177</v>
      </c>
      <c r="Z32" t="s">
        <v>177</v>
      </c>
      <c r="AA32" t="s">
        <v>177</v>
      </c>
      <c r="AB32" t="s">
        <v>177</v>
      </c>
      <c r="AC32" t="s">
        <v>177</v>
      </c>
      <c r="AD32" t="s">
        <v>177</v>
      </c>
      <c r="AE32" t="s">
        <v>177</v>
      </c>
      <c r="AF32" t="s">
        <v>177</v>
      </c>
      <c r="AG32" t="s">
        <v>177</v>
      </c>
      <c r="AH32" s="871">
        <f t="shared" si="0"/>
        <v>44166</v>
      </c>
    </row>
    <row r="33" spans="1:34" hidden="1">
      <c r="A33">
        <v>8</v>
      </c>
      <c r="B33">
        <v>5279</v>
      </c>
      <c r="C33" t="s">
        <v>222</v>
      </c>
      <c r="D33">
        <v>255</v>
      </c>
      <c r="E33" s="233">
        <v>0</v>
      </c>
      <c r="F33" s="233">
        <v>0</v>
      </c>
      <c r="G33" s="233" t="s">
        <v>177</v>
      </c>
      <c r="H33" s="233" t="s">
        <v>177</v>
      </c>
      <c r="I33" s="876">
        <v>44208</v>
      </c>
      <c r="J33" t="s">
        <v>177</v>
      </c>
      <c r="K33" t="s">
        <v>177</v>
      </c>
      <c r="L33" t="s">
        <v>177</v>
      </c>
      <c r="M33" t="s">
        <v>177</v>
      </c>
      <c r="N33" t="s">
        <v>177</v>
      </c>
      <c r="O33" t="s">
        <v>177</v>
      </c>
      <c r="P33" t="s">
        <v>177</v>
      </c>
      <c r="Q33" t="s">
        <v>177</v>
      </c>
      <c r="R33" t="s">
        <v>177</v>
      </c>
      <c r="S33" t="s">
        <v>177</v>
      </c>
      <c r="T33" t="s">
        <v>177</v>
      </c>
      <c r="U33" t="s">
        <v>177</v>
      </c>
      <c r="V33" t="s">
        <v>177</v>
      </c>
      <c r="W33" t="s">
        <v>177</v>
      </c>
      <c r="X33" t="s">
        <v>177</v>
      </c>
      <c r="Y33" t="s">
        <v>177</v>
      </c>
      <c r="Z33" t="s">
        <v>177</v>
      </c>
      <c r="AA33" t="s">
        <v>177</v>
      </c>
      <c r="AB33" t="s">
        <v>177</v>
      </c>
      <c r="AC33" t="s">
        <v>177</v>
      </c>
      <c r="AD33" t="s">
        <v>177</v>
      </c>
      <c r="AE33" t="s">
        <v>177</v>
      </c>
      <c r="AF33" t="s">
        <v>177</v>
      </c>
      <c r="AG33" t="s">
        <v>177</v>
      </c>
      <c r="AH33" s="871">
        <f t="shared" si="0"/>
        <v>44197</v>
      </c>
    </row>
    <row r="34" spans="1:34" hidden="1">
      <c r="A34">
        <v>1</v>
      </c>
      <c r="B34">
        <v>5351</v>
      </c>
      <c r="C34" t="s">
        <v>223</v>
      </c>
      <c r="D34">
        <v>219</v>
      </c>
      <c r="E34" s="233">
        <v>0</v>
      </c>
      <c r="F34" s="233">
        <v>154083</v>
      </c>
      <c r="G34" s="233">
        <v>0</v>
      </c>
      <c r="H34" s="233">
        <v>0</v>
      </c>
      <c r="I34" s="876">
        <v>44043</v>
      </c>
      <c r="J34" t="s">
        <v>177</v>
      </c>
      <c r="K34" t="s">
        <v>177</v>
      </c>
      <c r="L34" t="s">
        <v>177</v>
      </c>
      <c r="M34" t="s">
        <v>177</v>
      </c>
      <c r="N34" t="s">
        <v>177</v>
      </c>
      <c r="O34" t="s">
        <v>177</v>
      </c>
      <c r="P34" t="s">
        <v>177</v>
      </c>
      <c r="Q34" t="s">
        <v>177</v>
      </c>
      <c r="R34" t="s">
        <v>177</v>
      </c>
      <c r="S34" t="s">
        <v>177</v>
      </c>
      <c r="T34" t="s">
        <v>177</v>
      </c>
      <c r="U34" t="s">
        <v>177</v>
      </c>
      <c r="V34" t="s">
        <v>177</v>
      </c>
      <c r="W34" t="s">
        <v>177</v>
      </c>
      <c r="X34" t="s">
        <v>177</v>
      </c>
      <c r="Y34" t="s">
        <v>177</v>
      </c>
      <c r="Z34" t="s">
        <v>177</v>
      </c>
      <c r="AA34" t="s">
        <v>177</v>
      </c>
      <c r="AB34" t="s">
        <v>177</v>
      </c>
      <c r="AC34" t="s">
        <v>177</v>
      </c>
      <c r="AD34" t="s">
        <v>177</v>
      </c>
      <c r="AE34" t="s">
        <v>177</v>
      </c>
      <c r="AF34" t="s">
        <v>177</v>
      </c>
      <c r="AG34" t="s">
        <v>177</v>
      </c>
      <c r="AH34" s="871">
        <f t="shared" ref="AH34:AH65" si="1">DATE(YEAR(I34),MONTH(I34),1)</f>
        <v>44013</v>
      </c>
    </row>
    <row r="35" spans="1:34" hidden="1">
      <c r="A35">
        <v>2</v>
      </c>
      <c r="B35">
        <v>5351</v>
      </c>
      <c r="C35" t="s">
        <v>223</v>
      </c>
      <c r="D35">
        <v>219</v>
      </c>
      <c r="E35" s="233">
        <v>0</v>
      </c>
      <c r="F35" s="233">
        <v>154078</v>
      </c>
      <c r="G35" s="233" t="s">
        <v>177</v>
      </c>
      <c r="H35" s="233" t="s">
        <v>177</v>
      </c>
      <c r="I35" s="876">
        <v>44055</v>
      </c>
      <c r="J35" t="s">
        <v>177</v>
      </c>
      <c r="K35" t="s">
        <v>177</v>
      </c>
      <c r="L35" t="s">
        <v>177</v>
      </c>
      <c r="M35" t="s">
        <v>177</v>
      </c>
      <c r="N35" t="s">
        <v>177</v>
      </c>
      <c r="O35" t="s">
        <v>177</v>
      </c>
      <c r="P35" t="s">
        <v>177</v>
      </c>
      <c r="Q35" t="s">
        <v>177</v>
      </c>
      <c r="R35" t="s">
        <v>177</v>
      </c>
      <c r="S35" t="s">
        <v>177</v>
      </c>
      <c r="T35" t="s">
        <v>177</v>
      </c>
      <c r="U35" t="s">
        <v>177</v>
      </c>
      <c r="V35" t="s">
        <v>177</v>
      </c>
      <c r="W35" t="s">
        <v>177</v>
      </c>
      <c r="X35" t="s">
        <v>177</v>
      </c>
      <c r="Y35" t="s">
        <v>177</v>
      </c>
      <c r="Z35" t="s">
        <v>177</v>
      </c>
      <c r="AA35" t="s">
        <v>177</v>
      </c>
      <c r="AB35" t="s">
        <v>177</v>
      </c>
      <c r="AC35" t="s">
        <v>177</v>
      </c>
      <c r="AD35" t="s">
        <v>177</v>
      </c>
      <c r="AE35" t="s">
        <v>177</v>
      </c>
      <c r="AF35" t="s">
        <v>177</v>
      </c>
      <c r="AG35" t="s">
        <v>177</v>
      </c>
      <c r="AH35" s="871">
        <f t="shared" si="1"/>
        <v>44044</v>
      </c>
    </row>
    <row r="36" spans="1:34" hidden="1">
      <c r="A36">
        <v>3</v>
      </c>
      <c r="B36">
        <v>5351</v>
      </c>
      <c r="C36" t="s">
        <v>223</v>
      </c>
      <c r="D36">
        <v>219</v>
      </c>
      <c r="E36" s="233">
        <v>0</v>
      </c>
      <c r="F36" s="233">
        <v>154078</v>
      </c>
      <c r="G36" s="233" t="s">
        <v>177</v>
      </c>
      <c r="H36" s="233" t="s">
        <v>177</v>
      </c>
      <c r="I36" s="876">
        <v>44088</v>
      </c>
      <c r="J36" t="s">
        <v>177</v>
      </c>
      <c r="K36" t="s">
        <v>177</v>
      </c>
      <c r="L36" t="s">
        <v>177</v>
      </c>
      <c r="M36" t="s">
        <v>177</v>
      </c>
      <c r="N36" t="s">
        <v>177</v>
      </c>
      <c r="O36" t="s">
        <v>177</v>
      </c>
      <c r="P36" t="s">
        <v>177</v>
      </c>
      <c r="Q36" t="s">
        <v>177</v>
      </c>
      <c r="R36" t="s">
        <v>177</v>
      </c>
      <c r="S36" t="s">
        <v>177</v>
      </c>
      <c r="T36" t="s">
        <v>177</v>
      </c>
      <c r="U36" t="s">
        <v>177</v>
      </c>
      <c r="V36" t="s">
        <v>177</v>
      </c>
      <c r="W36" t="s">
        <v>177</v>
      </c>
      <c r="X36" t="s">
        <v>177</v>
      </c>
      <c r="Y36" t="s">
        <v>177</v>
      </c>
      <c r="Z36" t="s">
        <v>177</v>
      </c>
      <c r="AA36" t="s">
        <v>177</v>
      </c>
      <c r="AB36" t="s">
        <v>177</v>
      </c>
      <c r="AC36" t="s">
        <v>177</v>
      </c>
      <c r="AD36" t="s">
        <v>177</v>
      </c>
      <c r="AE36" t="s">
        <v>177</v>
      </c>
      <c r="AF36" t="s">
        <v>177</v>
      </c>
      <c r="AG36" t="s">
        <v>177</v>
      </c>
      <c r="AH36" s="871">
        <f t="shared" si="1"/>
        <v>44075</v>
      </c>
    </row>
    <row r="37" spans="1:34" hidden="1">
      <c r="A37">
        <v>4</v>
      </c>
      <c r="B37">
        <v>5351</v>
      </c>
      <c r="C37" t="s">
        <v>223</v>
      </c>
      <c r="D37">
        <v>219</v>
      </c>
      <c r="E37" s="233">
        <v>0</v>
      </c>
      <c r="F37" s="233">
        <v>154078</v>
      </c>
      <c r="G37" s="233" t="s">
        <v>177</v>
      </c>
      <c r="H37" s="233" t="s">
        <v>177</v>
      </c>
      <c r="I37" s="876">
        <v>44117</v>
      </c>
      <c r="J37" t="s">
        <v>177</v>
      </c>
      <c r="K37" t="s">
        <v>177</v>
      </c>
      <c r="L37" t="s">
        <v>177</v>
      </c>
      <c r="M37" t="s">
        <v>177</v>
      </c>
      <c r="N37" t="s">
        <v>177</v>
      </c>
      <c r="O37" t="s">
        <v>177</v>
      </c>
      <c r="P37" t="s">
        <v>177</v>
      </c>
      <c r="Q37" t="s">
        <v>177</v>
      </c>
      <c r="R37" t="s">
        <v>177</v>
      </c>
      <c r="S37" t="s">
        <v>177</v>
      </c>
      <c r="T37" t="s">
        <v>177</v>
      </c>
      <c r="U37" t="s">
        <v>177</v>
      </c>
      <c r="V37" t="s">
        <v>177</v>
      </c>
      <c r="W37" t="s">
        <v>177</v>
      </c>
      <c r="X37" t="s">
        <v>177</v>
      </c>
      <c r="Y37" t="s">
        <v>177</v>
      </c>
      <c r="Z37" t="s">
        <v>177</v>
      </c>
      <c r="AA37" t="s">
        <v>177</v>
      </c>
      <c r="AB37" t="s">
        <v>177</v>
      </c>
      <c r="AC37" t="s">
        <v>177</v>
      </c>
      <c r="AD37" t="s">
        <v>177</v>
      </c>
      <c r="AE37" t="s">
        <v>177</v>
      </c>
      <c r="AF37" t="s">
        <v>177</v>
      </c>
      <c r="AG37" t="s">
        <v>177</v>
      </c>
      <c r="AH37" s="871">
        <f t="shared" si="1"/>
        <v>44105</v>
      </c>
    </row>
    <row r="38" spans="1:34" hidden="1">
      <c r="A38">
        <v>5</v>
      </c>
      <c r="B38">
        <v>5351</v>
      </c>
      <c r="C38" t="s">
        <v>223</v>
      </c>
      <c r="D38">
        <v>219</v>
      </c>
      <c r="E38" s="233">
        <v>0</v>
      </c>
      <c r="F38" s="233">
        <v>154078</v>
      </c>
      <c r="G38" s="233">
        <v>-779989.54048464168</v>
      </c>
      <c r="H38" s="233" t="s">
        <v>177</v>
      </c>
      <c r="I38" s="876">
        <v>44147</v>
      </c>
      <c r="J38" t="s">
        <v>177</v>
      </c>
      <c r="K38" t="s">
        <v>177</v>
      </c>
      <c r="L38" t="s">
        <v>177</v>
      </c>
      <c r="M38" t="s">
        <v>177</v>
      </c>
      <c r="N38" t="s">
        <v>177</v>
      </c>
      <c r="O38" t="s">
        <v>177</v>
      </c>
      <c r="P38" t="s">
        <v>177</v>
      </c>
      <c r="Q38" t="s">
        <v>177</v>
      </c>
      <c r="R38" t="s">
        <v>177</v>
      </c>
      <c r="S38" t="s">
        <v>177</v>
      </c>
      <c r="T38" t="s">
        <v>177</v>
      </c>
      <c r="U38" t="s">
        <v>177</v>
      </c>
      <c r="V38" t="s">
        <v>177</v>
      </c>
      <c r="W38" t="s">
        <v>177</v>
      </c>
      <c r="X38" t="s">
        <v>177</v>
      </c>
      <c r="Y38" t="s">
        <v>177</v>
      </c>
      <c r="Z38" t="s">
        <v>177</v>
      </c>
      <c r="AA38" t="s">
        <v>177</v>
      </c>
      <c r="AB38" t="s">
        <v>177</v>
      </c>
      <c r="AC38" t="s">
        <v>177</v>
      </c>
      <c r="AD38" t="s">
        <v>177</v>
      </c>
      <c r="AE38" t="s">
        <v>177</v>
      </c>
      <c r="AF38" t="s">
        <v>177</v>
      </c>
      <c r="AG38" t="s">
        <v>177</v>
      </c>
      <c r="AH38" s="871">
        <f t="shared" si="1"/>
        <v>44136</v>
      </c>
    </row>
    <row r="39" spans="1:34" hidden="1">
      <c r="A39">
        <v>6</v>
      </c>
      <c r="B39">
        <v>5351</v>
      </c>
      <c r="C39" t="s">
        <v>223</v>
      </c>
      <c r="D39">
        <v>219</v>
      </c>
      <c r="E39" s="233">
        <v>0</v>
      </c>
      <c r="F39" s="233">
        <v>154078</v>
      </c>
      <c r="G39" s="233" t="s">
        <v>177</v>
      </c>
      <c r="H39" s="233" t="s">
        <v>177</v>
      </c>
      <c r="I39" s="876">
        <v>44179</v>
      </c>
      <c r="J39" t="s">
        <v>177</v>
      </c>
      <c r="K39" t="s">
        <v>177</v>
      </c>
      <c r="L39" t="s">
        <v>177</v>
      </c>
      <c r="M39" t="s">
        <v>177</v>
      </c>
      <c r="N39" t="s">
        <v>177</v>
      </c>
      <c r="O39" t="s">
        <v>177</v>
      </c>
      <c r="P39" t="s">
        <v>177</v>
      </c>
      <c r="Q39" t="s">
        <v>177</v>
      </c>
      <c r="R39" t="s">
        <v>177</v>
      </c>
      <c r="S39" t="s">
        <v>177</v>
      </c>
      <c r="T39" t="s">
        <v>177</v>
      </c>
      <c r="U39" t="s">
        <v>177</v>
      </c>
      <c r="V39" t="s">
        <v>177</v>
      </c>
      <c r="W39" t="s">
        <v>177</v>
      </c>
      <c r="X39" t="s">
        <v>177</v>
      </c>
      <c r="Y39" t="s">
        <v>177</v>
      </c>
      <c r="Z39" t="s">
        <v>177</v>
      </c>
      <c r="AA39" t="s">
        <v>177</v>
      </c>
      <c r="AB39" t="s">
        <v>177</v>
      </c>
      <c r="AC39" t="s">
        <v>177</v>
      </c>
      <c r="AD39" t="s">
        <v>177</v>
      </c>
      <c r="AE39" t="s">
        <v>177</v>
      </c>
      <c r="AF39" t="s">
        <v>177</v>
      </c>
      <c r="AG39" t="s">
        <v>177</v>
      </c>
      <c r="AH39" s="871">
        <f t="shared" si="1"/>
        <v>44166</v>
      </c>
    </row>
    <row r="40" spans="1:34" hidden="1">
      <c r="A40">
        <v>7</v>
      </c>
      <c r="B40">
        <v>5351</v>
      </c>
      <c r="C40" t="s">
        <v>223</v>
      </c>
      <c r="D40">
        <v>219</v>
      </c>
      <c r="E40" s="233">
        <v>0</v>
      </c>
      <c r="F40" s="233">
        <v>154078</v>
      </c>
      <c r="G40" s="233" t="s">
        <v>177</v>
      </c>
      <c r="H40" s="233" t="s">
        <v>177</v>
      </c>
      <c r="I40" s="876">
        <v>44193</v>
      </c>
      <c r="J40" t="s">
        <v>177</v>
      </c>
      <c r="K40" t="s">
        <v>177</v>
      </c>
      <c r="L40" t="s">
        <v>177</v>
      </c>
      <c r="M40" t="s">
        <v>177</v>
      </c>
      <c r="N40" t="s">
        <v>177</v>
      </c>
      <c r="O40" t="s">
        <v>177</v>
      </c>
      <c r="P40" t="s">
        <v>177</v>
      </c>
      <c r="Q40" t="s">
        <v>177</v>
      </c>
      <c r="R40" t="s">
        <v>177</v>
      </c>
      <c r="S40" t="s">
        <v>177</v>
      </c>
      <c r="T40" t="s">
        <v>177</v>
      </c>
      <c r="U40" t="s">
        <v>177</v>
      </c>
      <c r="V40" t="s">
        <v>177</v>
      </c>
      <c r="W40" t="s">
        <v>177</v>
      </c>
      <c r="X40" t="s">
        <v>177</v>
      </c>
      <c r="Y40" t="s">
        <v>177</v>
      </c>
      <c r="Z40" t="s">
        <v>177</v>
      </c>
      <c r="AA40" t="s">
        <v>177</v>
      </c>
      <c r="AB40" t="s">
        <v>177</v>
      </c>
      <c r="AC40" t="s">
        <v>177</v>
      </c>
      <c r="AD40" t="s">
        <v>177</v>
      </c>
      <c r="AE40" t="s">
        <v>177</v>
      </c>
      <c r="AF40" t="s">
        <v>177</v>
      </c>
      <c r="AG40" t="s">
        <v>177</v>
      </c>
      <c r="AH40" s="871">
        <f t="shared" si="1"/>
        <v>44166</v>
      </c>
    </row>
    <row r="41" spans="1:34" hidden="1">
      <c r="A41">
        <v>8</v>
      </c>
      <c r="B41">
        <v>5351</v>
      </c>
      <c r="C41" t="s">
        <v>223</v>
      </c>
      <c r="D41">
        <v>219</v>
      </c>
      <c r="E41" s="233">
        <v>0</v>
      </c>
      <c r="F41" s="233">
        <v>0</v>
      </c>
      <c r="G41" s="233" t="s">
        <v>177</v>
      </c>
      <c r="H41" s="233" t="s">
        <v>177</v>
      </c>
      <c r="I41" s="876">
        <v>44208</v>
      </c>
      <c r="J41" t="s">
        <v>177</v>
      </c>
      <c r="K41" t="s">
        <v>177</v>
      </c>
      <c r="L41" t="s">
        <v>177</v>
      </c>
      <c r="M41" t="s">
        <v>177</v>
      </c>
      <c r="N41" t="s">
        <v>177</v>
      </c>
      <c r="O41" t="s">
        <v>177</v>
      </c>
      <c r="P41" t="s">
        <v>177</v>
      </c>
      <c r="Q41" t="s">
        <v>177</v>
      </c>
      <c r="R41" t="s">
        <v>177</v>
      </c>
      <c r="S41" t="s">
        <v>177</v>
      </c>
      <c r="T41" t="s">
        <v>177</v>
      </c>
      <c r="U41" t="s">
        <v>177</v>
      </c>
      <c r="V41" t="s">
        <v>177</v>
      </c>
      <c r="W41" t="s">
        <v>177</v>
      </c>
      <c r="X41" t="s">
        <v>177</v>
      </c>
      <c r="Y41" t="s">
        <v>177</v>
      </c>
      <c r="Z41" t="s">
        <v>177</v>
      </c>
      <c r="AA41" t="s">
        <v>177</v>
      </c>
      <c r="AB41" t="s">
        <v>177</v>
      </c>
      <c r="AC41" t="s">
        <v>177</v>
      </c>
      <c r="AD41" t="s">
        <v>177</v>
      </c>
      <c r="AE41" t="s">
        <v>177</v>
      </c>
      <c r="AF41" t="s">
        <v>177</v>
      </c>
      <c r="AG41" t="s">
        <v>177</v>
      </c>
      <c r="AH41" s="871">
        <f t="shared" si="1"/>
        <v>44197</v>
      </c>
    </row>
    <row r="42" spans="1:34" hidden="1">
      <c r="A42">
        <v>1</v>
      </c>
      <c r="B42">
        <v>5353</v>
      </c>
      <c r="C42" t="s">
        <v>224</v>
      </c>
      <c r="D42">
        <v>222</v>
      </c>
      <c r="E42" s="233">
        <v>0</v>
      </c>
      <c r="F42" s="233">
        <v>1004281.36</v>
      </c>
      <c r="H42" s="233">
        <v>0</v>
      </c>
      <c r="I42" s="876">
        <v>44043</v>
      </c>
      <c r="J42" t="s">
        <v>177</v>
      </c>
      <c r="K42" t="s">
        <v>177</v>
      </c>
      <c r="L42" t="s">
        <v>177</v>
      </c>
      <c r="M42" t="s">
        <v>177</v>
      </c>
      <c r="N42" t="s">
        <v>177</v>
      </c>
      <c r="O42" t="s">
        <v>177</v>
      </c>
      <c r="P42" t="s">
        <v>177</v>
      </c>
      <c r="Q42" t="s">
        <v>177</v>
      </c>
      <c r="R42" t="s">
        <v>177</v>
      </c>
      <c r="S42" t="s">
        <v>177</v>
      </c>
      <c r="T42" t="s">
        <v>177</v>
      </c>
      <c r="U42" t="s">
        <v>177</v>
      </c>
      <c r="V42" t="s">
        <v>177</v>
      </c>
      <c r="W42" t="s">
        <v>177</v>
      </c>
      <c r="X42" t="s">
        <v>177</v>
      </c>
      <c r="Y42" t="s">
        <v>177</v>
      </c>
      <c r="Z42" t="s">
        <v>177</v>
      </c>
      <c r="AA42" t="s">
        <v>177</v>
      </c>
      <c r="AB42" t="s">
        <v>177</v>
      </c>
      <c r="AC42" t="s">
        <v>177</v>
      </c>
      <c r="AD42" t="s">
        <v>177</v>
      </c>
      <c r="AE42" t="s">
        <v>177</v>
      </c>
      <c r="AF42" t="s">
        <v>177</v>
      </c>
      <c r="AG42" t="s">
        <v>177</v>
      </c>
      <c r="AH42" s="871">
        <f t="shared" si="1"/>
        <v>44013</v>
      </c>
    </row>
    <row r="43" spans="1:34" hidden="1">
      <c r="A43">
        <v>2</v>
      </c>
      <c r="B43">
        <v>5353</v>
      </c>
      <c r="C43" t="s">
        <v>224</v>
      </c>
      <c r="D43">
        <v>222</v>
      </c>
      <c r="E43" s="233">
        <v>0</v>
      </c>
      <c r="F43" s="233">
        <v>1004281.36</v>
      </c>
      <c r="G43" s="233" t="s">
        <v>177</v>
      </c>
      <c r="H43" s="233" t="s">
        <v>177</v>
      </c>
      <c r="I43" s="876">
        <v>44055</v>
      </c>
      <c r="J43" t="s">
        <v>177</v>
      </c>
      <c r="K43" t="s">
        <v>177</v>
      </c>
      <c r="L43" t="s">
        <v>177</v>
      </c>
      <c r="M43" t="s">
        <v>177</v>
      </c>
      <c r="N43" t="s">
        <v>177</v>
      </c>
      <c r="O43" t="s">
        <v>177</v>
      </c>
      <c r="P43" t="s">
        <v>177</v>
      </c>
      <c r="Q43" t="s">
        <v>177</v>
      </c>
      <c r="R43" t="s">
        <v>177</v>
      </c>
      <c r="S43" t="s">
        <v>177</v>
      </c>
      <c r="T43" t="s">
        <v>177</v>
      </c>
      <c r="U43" t="s">
        <v>177</v>
      </c>
      <c r="V43" t="s">
        <v>177</v>
      </c>
      <c r="W43" t="s">
        <v>177</v>
      </c>
      <c r="X43" t="s">
        <v>177</v>
      </c>
      <c r="Y43" t="s">
        <v>177</v>
      </c>
      <c r="Z43" t="s">
        <v>177</v>
      </c>
      <c r="AA43" t="s">
        <v>177</v>
      </c>
      <c r="AB43" t="s">
        <v>177</v>
      </c>
      <c r="AC43" t="s">
        <v>177</v>
      </c>
      <c r="AD43" t="s">
        <v>177</v>
      </c>
      <c r="AE43" t="s">
        <v>177</v>
      </c>
      <c r="AF43" t="s">
        <v>177</v>
      </c>
      <c r="AG43" t="s">
        <v>177</v>
      </c>
      <c r="AH43" s="871">
        <f t="shared" si="1"/>
        <v>44044</v>
      </c>
    </row>
    <row r="44" spans="1:34" hidden="1">
      <c r="A44">
        <v>3</v>
      </c>
      <c r="B44">
        <v>5353</v>
      </c>
      <c r="C44" t="s">
        <v>224</v>
      </c>
      <c r="D44">
        <v>222</v>
      </c>
      <c r="E44" s="233">
        <v>0</v>
      </c>
      <c r="F44" s="233">
        <v>1004281.36</v>
      </c>
      <c r="G44" s="1683">
        <v>-3012884.08</v>
      </c>
      <c r="H44" s="233" t="s">
        <v>177</v>
      </c>
      <c r="I44" s="876">
        <v>44088</v>
      </c>
      <c r="J44" t="s">
        <v>177</v>
      </c>
      <c r="K44" t="s">
        <v>177</v>
      </c>
      <c r="L44" t="s">
        <v>177</v>
      </c>
      <c r="M44" t="s">
        <v>177</v>
      </c>
      <c r="N44" t="s">
        <v>177</v>
      </c>
      <c r="O44" t="s">
        <v>177</v>
      </c>
      <c r="P44" t="s">
        <v>177</v>
      </c>
      <c r="Q44" t="s">
        <v>177</v>
      </c>
      <c r="R44" t="s">
        <v>177</v>
      </c>
      <c r="S44" t="s">
        <v>177</v>
      </c>
      <c r="T44" t="s">
        <v>177</v>
      </c>
      <c r="U44" t="s">
        <v>177</v>
      </c>
      <c r="V44" t="s">
        <v>177</v>
      </c>
      <c r="W44" t="s">
        <v>177</v>
      </c>
      <c r="X44" t="s">
        <v>177</v>
      </c>
      <c r="Y44" t="s">
        <v>177</v>
      </c>
      <c r="Z44" t="s">
        <v>177</v>
      </c>
      <c r="AA44" t="s">
        <v>177</v>
      </c>
      <c r="AB44" t="s">
        <v>177</v>
      </c>
      <c r="AC44" t="s">
        <v>177</v>
      </c>
      <c r="AD44" t="s">
        <v>177</v>
      </c>
      <c r="AE44" t="s">
        <v>177</v>
      </c>
      <c r="AF44" t="s">
        <v>177</v>
      </c>
      <c r="AG44" t="s">
        <v>177</v>
      </c>
      <c r="AH44" s="871">
        <f t="shared" si="1"/>
        <v>44075</v>
      </c>
    </row>
    <row r="45" spans="1:34" hidden="1">
      <c r="A45">
        <v>4</v>
      </c>
      <c r="B45">
        <v>5353</v>
      </c>
      <c r="C45" t="s">
        <v>224</v>
      </c>
      <c r="D45">
        <v>222</v>
      </c>
      <c r="E45" s="233">
        <v>0</v>
      </c>
      <c r="F45" s="233">
        <v>0</v>
      </c>
      <c r="G45" s="233" t="s">
        <v>177</v>
      </c>
      <c r="H45" s="233" t="s">
        <v>177</v>
      </c>
      <c r="I45" s="876">
        <v>44117</v>
      </c>
      <c r="J45" t="s">
        <v>177</v>
      </c>
      <c r="K45" t="s">
        <v>177</v>
      </c>
      <c r="L45" t="s">
        <v>177</v>
      </c>
      <c r="M45" t="s">
        <v>177</v>
      </c>
      <c r="N45" t="s">
        <v>177</v>
      </c>
      <c r="O45" t="s">
        <v>177</v>
      </c>
      <c r="P45" t="s">
        <v>177</v>
      </c>
      <c r="Q45" t="s">
        <v>177</v>
      </c>
      <c r="R45" t="s">
        <v>177</v>
      </c>
      <c r="S45" t="s">
        <v>177</v>
      </c>
      <c r="T45" t="s">
        <v>177</v>
      </c>
      <c r="U45" t="s">
        <v>177</v>
      </c>
      <c r="V45" t="s">
        <v>177</v>
      </c>
      <c r="W45" t="s">
        <v>177</v>
      </c>
      <c r="X45" t="s">
        <v>177</v>
      </c>
      <c r="Y45" t="s">
        <v>177</v>
      </c>
      <c r="Z45" t="s">
        <v>177</v>
      </c>
      <c r="AA45" t="s">
        <v>177</v>
      </c>
      <c r="AB45" t="s">
        <v>177</v>
      </c>
      <c r="AC45" t="s">
        <v>177</v>
      </c>
      <c r="AD45" t="s">
        <v>177</v>
      </c>
      <c r="AE45" t="s">
        <v>177</v>
      </c>
      <c r="AF45" t="s">
        <v>177</v>
      </c>
      <c r="AG45" t="s">
        <v>177</v>
      </c>
      <c r="AH45" s="871">
        <f t="shared" si="1"/>
        <v>44105</v>
      </c>
    </row>
    <row r="46" spans="1:34" hidden="1">
      <c r="A46">
        <v>5</v>
      </c>
      <c r="B46">
        <v>5353</v>
      </c>
      <c r="C46" t="s">
        <v>224</v>
      </c>
      <c r="D46">
        <v>222</v>
      </c>
      <c r="E46" s="233">
        <v>0</v>
      </c>
      <c r="F46" s="233">
        <v>0</v>
      </c>
      <c r="G46" s="233" t="s">
        <v>177</v>
      </c>
      <c r="H46" s="233" t="s">
        <v>177</v>
      </c>
      <c r="I46" s="876">
        <v>44147</v>
      </c>
      <c r="J46" t="s">
        <v>177</v>
      </c>
      <c r="K46" t="s">
        <v>177</v>
      </c>
      <c r="L46" t="s">
        <v>177</v>
      </c>
      <c r="M46" t="s">
        <v>177</v>
      </c>
      <c r="N46" t="s">
        <v>177</v>
      </c>
      <c r="O46" t="s">
        <v>177</v>
      </c>
      <c r="P46" t="s">
        <v>177</v>
      </c>
      <c r="Q46" t="s">
        <v>177</v>
      </c>
      <c r="R46" t="s">
        <v>177</v>
      </c>
      <c r="S46" t="s">
        <v>177</v>
      </c>
      <c r="T46" t="s">
        <v>177</v>
      </c>
      <c r="U46" t="s">
        <v>177</v>
      </c>
      <c r="V46" t="s">
        <v>177</v>
      </c>
      <c r="W46" t="s">
        <v>177</v>
      </c>
      <c r="X46" t="s">
        <v>177</v>
      </c>
      <c r="Y46" t="s">
        <v>177</v>
      </c>
      <c r="Z46" t="s">
        <v>177</v>
      </c>
      <c r="AA46" t="s">
        <v>177</v>
      </c>
      <c r="AB46" t="s">
        <v>177</v>
      </c>
      <c r="AC46" t="s">
        <v>177</v>
      </c>
      <c r="AD46" t="s">
        <v>177</v>
      </c>
      <c r="AE46" t="s">
        <v>177</v>
      </c>
      <c r="AF46" t="s">
        <v>177</v>
      </c>
      <c r="AG46" t="s">
        <v>177</v>
      </c>
      <c r="AH46" s="871">
        <f t="shared" si="1"/>
        <v>44136</v>
      </c>
    </row>
    <row r="47" spans="1:34" hidden="1">
      <c r="A47">
        <v>6</v>
      </c>
      <c r="B47">
        <v>5353</v>
      </c>
      <c r="C47" t="s">
        <v>224</v>
      </c>
      <c r="D47">
        <v>222</v>
      </c>
      <c r="E47" s="233">
        <v>0</v>
      </c>
      <c r="F47" s="233">
        <v>0</v>
      </c>
      <c r="G47" s="233" t="s">
        <v>177</v>
      </c>
      <c r="H47" s="233" t="s">
        <v>177</v>
      </c>
      <c r="I47" s="876">
        <v>44179</v>
      </c>
      <c r="J47" t="s">
        <v>177</v>
      </c>
      <c r="K47" t="s">
        <v>177</v>
      </c>
      <c r="L47" t="s">
        <v>177</v>
      </c>
      <c r="M47" t="s">
        <v>177</v>
      </c>
      <c r="N47" t="s">
        <v>177</v>
      </c>
      <c r="O47" t="s">
        <v>177</v>
      </c>
      <c r="P47" t="s">
        <v>177</v>
      </c>
      <c r="Q47" t="s">
        <v>177</v>
      </c>
      <c r="R47" t="s">
        <v>177</v>
      </c>
      <c r="S47" t="s">
        <v>177</v>
      </c>
      <c r="T47" t="s">
        <v>177</v>
      </c>
      <c r="U47" t="s">
        <v>177</v>
      </c>
      <c r="V47" t="s">
        <v>177</v>
      </c>
      <c r="W47" t="s">
        <v>177</v>
      </c>
      <c r="X47" t="s">
        <v>177</v>
      </c>
      <c r="Y47" t="s">
        <v>177</v>
      </c>
      <c r="Z47" t="s">
        <v>177</v>
      </c>
      <c r="AA47" t="s">
        <v>177</v>
      </c>
      <c r="AB47" t="s">
        <v>177</v>
      </c>
      <c r="AC47" t="s">
        <v>177</v>
      </c>
      <c r="AD47" t="s">
        <v>177</v>
      </c>
      <c r="AE47" t="s">
        <v>177</v>
      </c>
      <c r="AF47" t="s">
        <v>177</v>
      </c>
      <c r="AG47" t="s">
        <v>177</v>
      </c>
      <c r="AH47" s="871">
        <f t="shared" si="1"/>
        <v>44166</v>
      </c>
    </row>
    <row r="48" spans="1:34" hidden="1">
      <c r="A48">
        <v>7</v>
      </c>
      <c r="B48">
        <v>5353</v>
      </c>
      <c r="C48" t="s">
        <v>224</v>
      </c>
      <c r="D48">
        <v>222</v>
      </c>
      <c r="E48" s="233">
        <v>0</v>
      </c>
      <c r="F48" s="233">
        <v>0</v>
      </c>
      <c r="G48" s="233" t="s">
        <v>177</v>
      </c>
      <c r="H48" s="233" t="s">
        <v>177</v>
      </c>
      <c r="I48" s="876">
        <v>44193</v>
      </c>
      <c r="J48" t="s">
        <v>177</v>
      </c>
      <c r="K48" t="s">
        <v>177</v>
      </c>
      <c r="L48" t="s">
        <v>177</v>
      </c>
      <c r="M48" t="s">
        <v>177</v>
      </c>
      <c r="N48" t="s">
        <v>177</v>
      </c>
      <c r="O48" t="s">
        <v>177</v>
      </c>
      <c r="P48" t="s">
        <v>177</v>
      </c>
      <c r="Q48" t="s">
        <v>177</v>
      </c>
      <c r="R48" t="s">
        <v>177</v>
      </c>
      <c r="S48" t="s">
        <v>177</v>
      </c>
      <c r="T48" t="s">
        <v>177</v>
      </c>
      <c r="U48" t="s">
        <v>177</v>
      </c>
      <c r="V48" t="s">
        <v>177</v>
      </c>
      <c r="W48" t="s">
        <v>177</v>
      </c>
      <c r="X48" t="s">
        <v>177</v>
      </c>
      <c r="Y48" t="s">
        <v>177</v>
      </c>
      <c r="Z48" t="s">
        <v>177</v>
      </c>
      <c r="AA48" t="s">
        <v>177</v>
      </c>
      <c r="AB48" t="s">
        <v>177</v>
      </c>
      <c r="AC48" t="s">
        <v>177</v>
      </c>
      <c r="AD48" t="s">
        <v>177</v>
      </c>
      <c r="AE48" t="s">
        <v>177</v>
      </c>
      <c r="AF48" t="s">
        <v>177</v>
      </c>
      <c r="AG48" t="s">
        <v>177</v>
      </c>
      <c r="AH48" s="871">
        <f t="shared" si="1"/>
        <v>44166</v>
      </c>
    </row>
    <row r="49" spans="1:34" hidden="1">
      <c r="A49">
        <v>8</v>
      </c>
      <c r="B49">
        <v>5353</v>
      </c>
      <c r="C49" t="s">
        <v>224</v>
      </c>
      <c r="D49">
        <v>222</v>
      </c>
      <c r="E49" s="233">
        <v>0</v>
      </c>
      <c r="F49" s="233">
        <v>0</v>
      </c>
      <c r="G49" s="233" t="s">
        <v>177</v>
      </c>
      <c r="H49" s="233" t="s">
        <v>177</v>
      </c>
      <c r="I49" s="876">
        <v>44208</v>
      </c>
      <c r="J49" t="s">
        <v>177</v>
      </c>
      <c r="K49" t="s">
        <v>177</v>
      </c>
      <c r="L49" t="s">
        <v>177</v>
      </c>
      <c r="M49" t="s">
        <v>177</v>
      </c>
      <c r="N49" t="s">
        <v>177</v>
      </c>
      <c r="O49" t="s">
        <v>177</v>
      </c>
      <c r="P49" t="s">
        <v>177</v>
      </c>
      <c r="Q49" t="s">
        <v>177</v>
      </c>
      <c r="R49" t="s">
        <v>177</v>
      </c>
      <c r="S49" t="s">
        <v>177</v>
      </c>
      <c r="T49" t="s">
        <v>177</v>
      </c>
      <c r="U49" t="s">
        <v>177</v>
      </c>
      <c r="V49" t="s">
        <v>177</v>
      </c>
      <c r="W49" t="s">
        <v>177</v>
      </c>
      <c r="X49" t="s">
        <v>177</v>
      </c>
      <c r="Y49" t="s">
        <v>177</v>
      </c>
      <c r="Z49" t="s">
        <v>177</v>
      </c>
      <c r="AA49" t="s">
        <v>177</v>
      </c>
      <c r="AB49" t="s">
        <v>177</v>
      </c>
      <c r="AC49" t="s">
        <v>177</v>
      </c>
      <c r="AD49" t="s">
        <v>177</v>
      </c>
      <c r="AE49" t="s">
        <v>177</v>
      </c>
      <c r="AF49" t="s">
        <v>177</v>
      </c>
      <c r="AG49" t="s">
        <v>177</v>
      </c>
      <c r="AH49" s="871">
        <f t="shared" si="1"/>
        <v>44197</v>
      </c>
    </row>
    <row r="50" spans="1:34" hidden="1">
      <c r="A50">
        <v>1</v>
      </c>
      <c r="B50">
        <v>5356</v>
      </c>
      <c r="C50" t="s">
        <v>225</v>
      </c>
      <c r="D50">
        <v>215</v>
      </c>
      <c r="E50" s="233">
        <v>0</v>
      </c>
      <c r="F50" s="233">
        <v>1000000</v>
      </c>
      <c r="H50" s="233">
        <v>0</v>
      </c>
      <c r="I50" s="876">
        <v>44043</v>
      </c>
      <c r="J50" t="s">
        <v>177</v>
      </c>
      <c r="K50" t="s">
        <v>177</v>
      </c>
      <c r="L50" t="s">
        <v>177</v>
      </c>
      <c r="M50" t="s">
        <v>177</v>
      </c>
      <c r="N50" t="s">
        <v>177</v>
      </c>
      <c r="O50" t="s">
        <v>177</v>
      </c>
      <c r="P50" t="s">
        <v>177</v>
      </c>
      <c r="Q50" t="s">
        <v>177</v>
      </c>
      <c r="R50" t="s">
        <v>177</v>
      </c>
      <c r="S50" t="s">
        <v>177</v>
      </c>
      <c r="T50" t="s">
        <v>177</v>
      </c>
      <c r="U50" t="s">
        <v>177</v>
      </c>
      <c r="V50" t="s">
        <v>177</v>
      </c>
      <c r="W50" t="s">
        <v>177</v>
      </c>
      <c r="X50" t="s">
        <v>177</v>
      </c>
      <c r="Y50" t="s">
        <v>177</v>
      </c>
      <c r="Z50" t="s">
        <v>177</v>
      </c>
      <c r="AA50" t="s">
        <v>177</v>
      </c>
      <c r="AB50" t="s">
        <v>177</v>
      </c>
      <c r="AC50" t="s">
        <v>177</v>
      </c>
      <c r="AD50" t="s">
        <v>177</v>
      </c>
      <c r="AE50" t="s">
        <v>177</v>
      </c>
      <c r="AF50" t="s">
        <v>177</v>
      </c>
      <c r="AG50" t="s">
        <v>177</v>
      </c>
      <c r="AH50" s="871">
        <f t="shared" si="1"/>
        <v>44013</v>
      </c>
    </row>
    <row r="51" spans="1:34" hidden="1">
      <c r="A51">
        <v>2</v>
      </c>
      <c r="B51">
        <v>5356</v>
      </c>
      <c r="C51" t="s">
        <v>225</v>
      </c>
      <c r="D51">
        <v>215</v>
      </c>
      <c r="E51" s="233">
        <v>0</v>
      </c>
      <c r="F51" s="233">
        <v>1000000</v>
      </c>
      <c r="G51" s="233" t="s">
        <v>177</v>
      </c>
      <c r="H51" s="233" t="s">
        <v>177</v>
      </c>
      <c r="I51" s="876">
        <v>44055</v>
      </c>
      <c r="J51" t="s">
        <v>177</v>
      </c>
      <c r="K51" t="s">
        <v>177</v>
      </c>
      <c r="L51" t="s">
        <v>177</v>
      </c>
      <c r="M51" t="s">
        <v>177</v>
      </c>
      <c r="N51" t="s">
        <v>177</v>
      </c>
      <c r="O51" t="s">
        <v>177</v>
      </c>
      <c r="P51" t="s">
        <v>177</v>
      </c>
      <c r="Q51" t="s">
        <v>177</v>
      </c>
      <c r="R51" t="s">
        <v>177</v>
      </c>
      <c r="S51" t="s">
        <v>177</v>
      </c>
      <c r="T51" t="s">
        <v>177</v>
      </c>
      <c r="U51" t="s">
        <v>177</v>
      </c>
      <c r="V51" t="s">
        <v>177</v>
      </c>
      <c r="W51" t="s">
        <v>177</v>
      </c>
      <c r="X51" t="s">
        <v>177</v>
      </c>
      <c r="Y51" t="s">
        <v>177</v>
      </c>
      <c r="Z51" t="s">
        <v>177</v>
      </c>
      <c r="AA51" t="s">
        <v>177</v>
      </c>
      <c r="AB51" t="s">
        <v>177</v>
      </c>
      <c r="AC51" t="s">
        <v>177</v>
      </c>
      <c r="AD51" t="s">
        <v>177</v>
      </c>
      <c r="AE51" t="s">
        <v>177</v>
      </c>
      <c r="AF51" t="s">
        <v>177</v>
      </c>
      <c r="AG51" t="s">
        <v>177</v>
      </c>
      <c r="AH51" s="871">
        <f t="shared" si="1"/>
        <v>44044</v>
      </c>
    </row>
    <row r="52" spans="1:34" hidden="1">
      <c r="A52">
        <v>3</v>
      </c>
      <c r="B52">
        <v>5356</v>
      </c>
      <c r="C52" t="s">
        <v>225</v>
      </c>
      <c r="D52">
        <v>215</v>
      </c>
      <c r="E52" s="233">
        <v>0</v>
      </c>
      <c r="F52" s="233">
        <v>1793801</v>
      </c>
      <c r="G52" s="233">
        <v>-3793801</v>
      </c>
      <c r="H52" s="233" t="s">
        <v>177</v>
      </c>
      <c r="I52" s="876">
        <v>44088</v>
      </c>
      <c r="J52" t="s">
        <v>177</v>
      </c>
      <c r="K52" t="s">
        <v>177</v>
      </c>
      <c r="L52" t="s">
        <v>177</v>
      </c>
      <c r="M52" t="s">
        <v>177</v>
      </c>
      <c r="N52" t="s">
        <v>177</v>
      </c>
      <c r="O52" t="s">
        <v>177</v>
      </c>
      <c r="P52" t="s">
        <v>177</v>
      </c>
      <c r="Q52" t="s">
        <v>177</v>
      </c>
      <c r="R52" t="s">
        <v>177</v>
      </c>
      <c r="S52" t="s">
        <v>177</v>
      </c>
      <c r="T52" t="s">
        <v>177</v>
      </c>
      <c r="U52" t="s">
        <v>177</v>
      </c>
      <c r="V52" t="s">
        <v>177</v>
      </c>
      <c r="W52" t="s">
        <v>177</v>
      </c>
      <c r="X52" t="s">
        <v>177</v>
      </c>
      <c r="Y52" t="s">
        <v>177</v>
      </c>
      <c r="Z52" t="s">
        <v>177</v>
      </c>
      <c r="AA52" t="s">
        <v>177</v>
      </c>
      <c r="AB52" t="s">
        <v>177</v>
      </c>
      <c r="AC52" t="s">
        <v>177</v>
      </c>
      <c r="AD52" t="s">
        <v>177</v>
      </c>
      <c r="AE52" t="s">
        <v>177</v>
      </c>
      <c r="AF52" t="s">
        <v>177</v>
      </c>
      <c r="AG52" t="s">
        <v>177</v>
      </c>
      <c r="AH52" s="871">
        <f t="shared" si="1"/>
        <v>44075</v>
      </c>
    </row>
    <row r="53" spans="1:34" hidden="1">
      <c r="A53">
        <v>4</v>
      </c>
      <c r="B53">
        <v>5356</v>
      </c>
      <c r="C53" t="s">
        <v>225</v>
      </c>
      <c r="D53">
        <v>215</v>
      </c>
      <c r="E53" s="233">
        <v>0</v>
      </c>
      <c r="F53" s="233">
        <v>250000</v>
      </c>
      <c r="G53" s="233" t="s">
        <v>177</v>
      </c>
      <c r="H53" s="233" t="s">
        <v>177</v>
      </c>
      <c r="I53" s="876">
        <v>44117</v>
      </c>
      <c r="J53" t="s">
        <v>177</v>
      </c>
      <c r="K53" t="s">
        <v>177</v>
      </c>
      <c r="L53" t="s">
        <v>177</v>
      </c>
      <c r="M53" t="s">
        <v>177</v>
      </c>
      <c r="N53" t="s">
        <v>177</v>
      </c>
      <c r="O53" t="s">
        <v>177</v>
      </c>
      <c r="P53" t="s">
        <v>177</v>
      </c>
      <c r="Q53" t="s">
        <v>177</v>
      </c>
      <c r="R53" t="s">
        <v>177</v>
      </c>
      <c r="S53" t="s">
        <v>177</v>
      </c>
      <c r="T53" t="s">
        <v>177</v>
      </c>
      <c r="U53" t="s">
        <v>177</v>
      </c>
      <c r="V53" t="s">
        <v>177</v>
      </c>
      <c r="W53" t="s">
        <v>177</v>
      </c>
      <c r="X53" t="s">
        <v>177</v>
      </c>
      <c r="Y53" t="s">
        <v>177</v>
      </c>
      <c r="Z53" t="s">
        <v>177</v>
      </c>
      <c r="AA53" t="s">
        <v>177</v>
      </c>
      <c r="AB53" t="s">
        <v>177</v>
      </c>
      <c r="AC53" t="s">
        <v>177</v>
      </c>
      <c r="AD53" t="s">
        <v>177</v>
      </c>
      <c r="AE53" t="s">
        <v>177</v>
      </c>
      <c r="AF53" t="s">
        <v>177</v>
      </c>
      <c r="AG53" t="s">
        <v>177</v>
      </c>
      <c r="AH53" s="871">
        <f t="shared" si="1"/>
        <v>44105</v>
      </c>
    </row>
    <row r="54" spans="1:34" hidden="1">
      <c r="A54">
        <v>5</v>
      </c>
      <c r="B54">
        <v>5356</v>
      </c>
      <c r="C54" t="s">
        <v>225</v>
      </c>
      <c r="D54">
        <v>215</v>
      </c>
      <c r="E54" s="233">
        <v>0</v>
      </c>
      <c r="F54" s="233">
        <v>250000</v>
      </c>
      <c r="G54" s="233" t="s">
        <v>177</v>
      </c>
      <c r="H54" s="233" t="s">
        <v>177</v>
      </c>
      <c r="I54" s="876">
        <v>44147</v>
      </c>
      <c r="J54" t="s">
        <v>177</v>
      </c>
      <c r="K54" t="s">
        <v>177</v>
      </c>
      <c r="L54" t="s">
        <v>177</v>
      </c>
      <c r="M54" t="s">
        <v>177</v>
      </c>
      <c r="N54" t="s">
        <v>177</v>
      </c>
      <c r="O54" t="s">
        <v>177</v>
      </c>
      <c r="P54" t="s">
        <v>177</v>
      </c>
      <c r="Q54" t="s">
        <v>177</v>
      </c>
      <c r="R54" t="s">
        <v>177</v>
      </c>
      <c r="S54" t="s">
        <v>177</v>
      </c>
      <c r="T54" t="s">
        <v>177</v>
      </c>
      <c r="U54" t="s">
        <v>177</v>
      </c>
      <c r="V54" t="s">
        <v>177</v>
      </c>
      <c r="W54" t="s">
        <v>177</v>
      </c>
      <c r="X54" t="s">
        <v>177</v>
      </c>
      <c r="Y54" t="s">
        <v>177</v>
      </c>
      <c r="Z54" t="s">
        <v>177</v>
      </c>
      <c r="AA54" t="s">
        <v>177</v>
      </c>
      <c r="AB54" t="s">
        <v>177</v>
      </c>
      <c r="AC54" t="s">
        <v>177</v>
      </c>
      <c r="AD54" t="s">
        <v>177</v>
      </c>
      <c r="AE54" t="s">
        <v>177</v>
      </c>
      <c r="AF54" t="s">
        <v>177</v>
      </c>
      <c r="AG54" t="s">
        <v>177</v>
      </c>
      <c r="AH54" s="871">
        <f t="shared" si="1"/>
        <v>44136</v>
      </c>
    </row>
    <row r="55" spans="1:34" hidden="1">
      <c r="A55">
        <v>6</v>
      </c>
      <c r="B55">
        <v>5356</v>
      </c>
      <c r="C55" t="s">
        <v>225</v>
      </c>
      <c r="D55">
        <v>215</v>
      </c>
      <c r="E55" s="233">
        <v>0</v>
      </c>
      <c r="F55" s="233">
        <v>250000</v>
      </c>
      <c r="G55" s="233" t="s">
        <v>177</v>
      </c>
      <c r="H55" s="233" t="s">
        <v>177</v>
      </c>
      <c r="I55" s="876">
        <v>44179</v>
      </c>
      <c r="J55" t="s">
        <v>177</v>
      </c>
      <c r="K55" t="s">
        <v>177</v>
      </c>
      <c r="L55" t="s">
        <v>177</v>
      </c>
      <c r="M55" t="s">
        <v>177</v>
      </c>
      <c r="N55" t="s">
        <v>177</v>
      </c>
      <c r="O55" t="s">
        <v>177</v>
      </c>
      <c r="P55" t="s">
        <v>177</v>
      </c>
      <c r="Q55" t="s">
        <v>177</v>
      </c>
      <c r="R55" t="s">
        <v>177</v>
      </c>
      <c r="S55" t="s">
        <v>177</v>
      </c>
      <c r="T55" t="s">
        <v>177</v>
      </c>
      <c r="U55" t="s">
        <v>177</v>
      </c>
      <c r="V55" t="s">
        <v>177</v>
      </c>
      <c r="W55" t="s">
        <v>177</v>
      </c>
      <c r="X55" t="s">
        <v>177</v>
      </c>
      <c r="Y55" t="s">
        <v>177</v>
      </c>
      <c r="Z55" t="s">
        <v>177</v>
      </c>
      <c r="AA55" t="s">
        <v>177</v>
      </c>
      <c r="AB55" t="s">
        <v>177</v>
      </c>
      <c r="AC55" t="s">
        <v>177</v>
      </c>
      <c r="AD55" t="s">
        <v>177</v>
      </c>
      <c r="AE55" t="s">
        <v>177</v>
      </c>
      <c r="AF55" t="s">
        <v>177</v>
      </c>
      <c r="AG55" t="s">
        <v>177</v>
      </c>
      <c r="AH55" s="871">
        <f t="shared" si="1"/>
        <v>44166</v>
      </c>
    </row>
    <row r="56" spans="1:34" hidden="1">
      <c r="A56">
        <v>7</v>
      </c>
      <c r="B56">
        <v>5356</v>
      </c>
      <c r="C56" t="s">
        <v>225</v>
      </c>
      <c r="D56">
        <v>215</v>
      </c>
      <c r="E56" s="233">
        <v>0</v>
      </c>
      <c r="F56" s="233">
        <v>250000</v>
      </c>
      <c r="G56" s="233" t="s">
        <v>177</v>
      </c>
      <c r="H56" s="233" t="s">
        <v>177</v>
      </c>
      <c r="I56" s="876">
        <v>44193</v>
      </c>
      <c r="J56" t="s">
        <v>177</v>
      </c>
      <c r="K56" t="s">
        <v>177</v>
      </c>
      <c r="L56" t="s">
        <v>177</v>
      </c>
      <c r="M56" t="s">
        <v>177</v>
      </c>
      <c r="N56" t="s">
        <v>177</v>
      </c>
      <c r="O56" t="s">
        <v>177</v>
      </c>
      <c r="P56" t="s">
        <v>177</v>
      </c>
      <c r="Q56" t="s">
        <v>177</v>
      </c>
      <c r="R56" t="s">
        <v>177</v>
      </c>
      <c r="S56" t="s">
        <v>177</v>
      </c>
      <c r="T56" t="s">
        <v>177</v>
      </c>
      <c r="U56" t="s">
        <v>177</v>
      </c>
      <c r="V56" t="s">
        <v>177</v>
      </c>
      <c r="W56" t="s">
        <v>177</v>
      </c>
      <c r="X56" t="s">
        <v>177</v>
      </c>
      <c r="Y56" t="s">
        <v>177</v>
      </c>
      <c r="Z56" t="s">
        <v>177</v>
      </c>
      <c r="AA56" t="s">
        <v>177</v>
      </c>
      <c r="AB56" t="s">
        <v>177</v>
      </c>
      <c r="AC56" t="s">
        <v>177</v>
      </c>
      <c r="AD56" t="s">
        <v>177</v>
      </c>
      <c r="AE56" t="s">
        <v>177</v>
      </c>
      <c r="AF56" t="s">
        <v>177</v>
      </c>
      <c r="AG56" t="s">
        <v>177</v>
      </c>
      <c r="AH56" s="871">
        <f t="shared" si="1"/>
        <v>44166</v>
      </c>
    </row>
    <row r="57" spans="1:34" hidden="1">
      <c r="A57">
        <v>8</v>
      </c>
      <c r="B57">
        <v>5356</v>
      </c>
      <c r="C57" t="s">
        <v>225</v>
      </c>
      <c r="D57">
        <v>215</v>
      </c>
      <c r="E57" s="233">
        <v>0</v>
      </c>
      <c r="F57" s="233">
        <v>0</v>
      </c>
      <c r="G57" s="233" t="s">
        <v>177</v>
      </c>
      <c r="H57" s="233" t="s">
        <v>177</v>
      </c>
      <c r="I57" s="876">
        <v>44208</v>
      </c>
      <c r="J57" t="s">
        <v>177</v>
      </c>
      <c r="K57" t="s">
        <v>177</v>
      </c>
      <c r="L57" t="s">
        <v>177</v>
      </c>
      <c r="M57" t="s">
        <v>177</v>
      </c>
      <c r="N57" t="s">
        <v>177</v>
      </c>
      <c r="O57" t="s">
        <v>177</v>
      </c>
      <c r="P57" t="s">
        <v>177</v>
      </c>
      <c r="Q57" t="s">
        <v>177</v>
      </c>
      <c r="R57" t="s">
        <v>177</v>
      </c>
      <c r="S57" t="s">
        <v>177</v>
      </c>
      <c r="T57" t="s">
        <v>177</v>
      </c>
      <c r="U57" t="s">
        <v>177</v>
      </c>
      <c r="V57" t="s">
        <v>177</v>
      </c>
      <c r="W57" t="s">
        <v>177</v>
      </c>
      <c r="X57" t="s">
        <v>177</v>
      </c>
      <c r="Y57" t="s">
        <v>177</v>
      </c>
      <c r="Z57" t="s">
        <v>177</v>
      </c>
      <c r="AA57" t="s">
        <v>177</v>
      </c>
      <c r="AB57" t="s">
        <v>177</v>
      </c>
      <c r="AC57" t="s">
        <v>177</v>
      </c>
      <c r="AD57" t="s">
        <v>177</v>
      </c>
      <c r="AE57" t="s">
        <v>177</v>
      </c>
      <c r="AF57" t="s">
        <v>177</v>
      </c>
      <c r="AG57" t="s">
        <v>177</v>
      </c>
      <c r="AH57" s="871">
        <f t="shared" si="1"/>
        <v>44197</v>
      </c>
    </row>
    <row r="58" spans="1:34" hidden="1">
      <c r="A58">
        <v>1</v>
      </c>
      <c r="B58">
        <v>5366</v>
      </c>
      <c r="C58" t="s">
        <v>226</v>
      </c>
      <c r="D58">
        <v>202</v>
      </c>
      <c r="E58" s="233">
        <v>0</v>
      </c>
      <c r="F58" s="233">
        <v>479664.66</v>
      </c>
      <c r="H58" s="233"/>
      <c r="I58" s="876">
        <v>44043</v>
      </c>
      <c r="J58" t="s">
        <v>177</v>
      </c>
      <c r="K58" t="s">
        <v>177</v>
      </c>
      <c r="L58" t="s">
        <v>177</v>
      </c>
      <c r="M58" t="s">
        <v>177</v>
      </c>
      <c r="N58" t="s">
        <v>177</v>
      </c>
      <c r="O58" t="s">
        <v>177</v>
      </c>
      <c r="P58" t="s">
        <v>177</v>
      </c>
      <c r="Q58" t="s">
        <v>177</v>
      </c>
      <c r="R58" t="s">
        <v>177</v>
      </c>
      <c r="S58" t="s">
        <v>177</v>
      </c>
      <c r="T58" t="s">
        <v>177</v>
      </c>
      <c r="U58" t="s">
        <v>177</v>
      </c>
      <c r="V58" t="s">
        <v>177</v>
      </c>
      <c r="W58" t="s">
        <v>177</v>
      </c>
      <c r="X58" t="s">
        <v>177</v>
      </c>
      <c r="Y58" t="s">
        <v>177</v>
      </c>
      <c r="Z58" t="s">
        <v>177</v>
      </c>
      <c r="AA58" t="s">
        <v>177</v>
      </c>
      <c r="AB58" t="s">
        <v>177</v>
      </c>
      <c r="AC58" t="s">
        <v>177</v>
      </c>
      <c r="AD58" t="s">
        <v>177</v>
      </c>
      <c r="AE58" t="s">
        <v>177</v>
      </c>
      <c r="AF58" t="s">
        <v>177</v>
      </c>
      <c r="AG58" t="s">
        <v>177</v>
      </c>
      <c r="AH58" s="871">
        <f t="shared" si="1"/>
        <v>44013</v>
      </c>
    </row>
    <row r="59" spans="1:34" hidden="1">
      <c r="A59">
        <v>2</v>
      </c>
      <c r="B59">
        <v>5366</v>
      </c>
      <c r="C59" t="s">
        <v>226</v>
      </c>
      <c r="D59">
        <v>202</v>
      </c>
      <c r="E59" s="233">
        <v>0</v>
      </c>
      <c r="F59" s="233">
        <v>479664.66</v>
      </c>
      <c r="G59" s="234"/>
      <c r="H59" s="233" t="s">
        <v>177</v>
      </c>
      <c r="I59" s="876">
        <v>44055</v>
      </c>
      <c r="J59" t="s">
        <v>177</v>
      </c>
      <c r="K59" t="s">
        <v>177</v>
      </c>
      <c r="L59" t="s">
        <v>177</v>
      </c>
      <c r="M59" t="s">
        <v>177</v>
      </c>
      <c r="N59" t="s">
        <v>177</v>
      </c>
      <c r="O59" t="s">
        <v>177</v>
      </c>
      <c r="P59" t="s">
        <v>177</v>
      </c>
      <c r="Q59" t="s">
        <v>177</v>
      </c>
      <c r="R59" t="s">
        <v>177</v>
      </c>
      <c r="S59" t="s">
        <v>177</v>
      </c>
      <c r="T59" t="s">
        <v>177</v>
      </c>
      <c r="U59" t="s">
        <v>177</v>
      </c>
      <c r="V59" t="s">
        <v>177</v>
      </c>
      <c r="W59" t="s">
        <v>177</v>
      </c>
      <c r="X59" t="s">
        <v>177</v>
      </c>
      <c r="Y59" t="s">
        <v>177</v>
      </c>
      <c r="Z59" t="s">
        <v>177</v>
      </c>
      <c r="AA59" t="s">
        <v>177</v>
      </c>
      <c r="AB59" t="s">
        <v>177</v>
      </c>
      <c r="AC59" t="s">
        <v>177</v>
      </c>
      <c r="AD59" t="s">
        <v>177</v>
      </c>
      <c r="AE59" t="s">
        <v>177</v>
      </c>
      <c r="AF59" t="s">
        <v>177</v>
      </c>
      <c r="AG59" t="s">
        <v>177</v>
      </c>
      <c r="AH59" s="871">
        <f t="shared" si="1"/>
        <v>44044</v>
      </c>
    </row>
    <row r="60" spans="1:34" hidden="1">
      <c r="A60">
        <v>3</v>
      </c>
      <c r="B60">
        <v>5366</v>
      </c>
      <c r="C60" t="s">
        <v>226</v>
      </c>
      <c r="D60">
        <v>202</v>
      </c>
      <c r="E60" s="233">
        <v>0</v>
      </c>
      <c r="F60" s="233">
        <v>479664.66</v>
      </c>
      <c r="G60" s="233">
        <v>-1438993.98</v>
      </c>
      <c r="H60" s="233" t="s">
        <v>177</v>
      </c>
      <c r="I60" s="876">
        <v>44088</v>
      </c>
      <c r="J60" t="s">
        <v>177</v>
      </c>
      <c r="K60" t="s">
        <v>177</v>
      </c>
      <c r="L60" t="s">
        <v>177</v>
      </c>
      <c r="M60" t="s">
        <v>177</v>
      </c>
      <c r="N60" t="s">
        <v>177</v>
      </c>
      <c r="O60" t="s">
        <v>177</v>
      </c>
      <c r="P60" t="s">
        <v>177</v>
      </c>
      <c r="Q60" t="s">
        <v>177</v>
      </c>
      <c r="R60" t="s">
        <v>177</v>
      </c>
      <c r="S60" t="s">
        <v>177</v>
      </c>
      <c r="T60" t="s">
        <v>177</v>
      </c>
      <c r="U60" t="s">
        <v>177</v>
      </c>
      <c r="V60" t="s">
        <v>177</v>
      </c>
      <c r="W60" t="s">
        <v>177</v>
      </c>
      <c r="X60" t="s">
        <v>177</v>
      </c>
      <c r="Y60" t="s">
        <v>177</v>
      </c>
      <c r="Z60" t="s">
        <v>177</v>
      </c>
      <c r="AA60" t="s">
        <v>177</v>
      </c>
      <c r="AB60" t="s">
        <v>177</v>
      </c>
      <c r="AC60" t="s">
        <v>177</v>
      </c>
      <c r="AD60" t="s">
        <v>177</v>
      </c>
      <c r="AE60" t="s">
        <v>177</v>
      </c>
      <c r="AF60" t="s">
        <v>177</v>
      </c>
      <c r="AG60" t="s">
        <v>177</v>
      </c>
      <c r="AH60" s="871">
        <f t="shared" si="1"/>
        <v>44075</v>
      </c>
    </row>
    <row r="61" spans="1:34" hidden="1">
      <c r="A61">
        <v>4</v>
      </c>
      <c r="B61">
        <v>5366</v>
      </c>
      <c r="C61" t="s">
        <v>226</v>
      </c>
      <c r="D61">
        <v>202</v>
      </c>
      <c r="E61" s="233">
        <v>0</v>
      </c>
      <c r="F61" s="233">
        <v>0</v>
      </c>
      <c r="G61" s="233" t="s">
        <v>177</v>
      </c>
      <c r="H61" s="233" t="s">
        <v>177</v>
      </c>
      <c r="I61" s="876">
        <v>44117</v>
      </c>
      <c r="J61" t="s">
        <v>177</v>
      </c>
      <c r="K61" t="s">
        <v>177</v>
      </c>
      <c r="L61" t="s">
        <v>177</v>
      </c>
      <c r="M61" t="s">
        <v>177</v>
      </c>
      <c r="N61" t="s">
        <v>177</v>
      </c>
      <c r="O61" t="s">
        <v>177</v>
      </c>
      <c r="P61" t="s">
        <v>177</v>
      </c>
      <c r="Q61" t="s">
        <v>177</v>
      </c>
      <c r="R61" t="s">
        <v>177</v>
      </c>
      <c r="S61" t="s">
        <v>177</v>
      </c>
      <c r="T61" t="s">
        <v>177</v>
      </c>
      <c r="U61" t="s">
        <v>177</v>
      </c>
      <c r="V61" t="s">
        <v>177</v>
      </c>
      <c r="W61" t="s">
        <v>177</v>
      </c>
      <c r="X61" t="s">
        <v>177</v>
      </c>
      <c r="Y61" t="s">
        <v>177</v>
      </c>
      <c r="Z61" t="s">
        <v>177</v>
      </c>
      <c r="AA61" t="s">
        <v>177</v>
      </c>
      <c r="AB61" t="s">
        <v>177</v>
      </c>
      <c r="AC61" t="s">
        <v>177</v>
      </c>
      <c r="AD61" t="s">
        <v>177</v>
      </c>
      <c r="AE61" t="s">
        <v>177</v>
      </c>
      <c r="AF61" t="s">
        <v>177</v>
      </c>
      <c r="AG61" t="s">
        <v>177</v>
      </c>
      <c r="AH61" s="871">
        <f t="shared" si="1"/>
        <v>44105</v>
      </c>
    </row>
    <row r="62" spans="1:34" hidden="1">
      <c r="A62">
        <v>5</v>
      </c>
      <c r="B62">
        <v>5366</v>
      </c>
      <c r="C62" t="s">
        <v>226</v>
      </c>
      <c r="D62">
        <v>202</v>
      </c>
      <c r="E62" s="233">
        <v>0</v>
      </c>
      <c r="F62" s="233">
        <v>0</v>
      </c>
      <c r="G62" s="233" t="s">
        <v>177</v>
      </c>
      <c r="H62" s="233" t="s">
        <v>177</v>
      </c>
      <c r="I62" s="876">
        <v>44147</v>
      </c>
      <c r="J62" t="s">
        <v>177</v>
      </c>
      <c r="K62" t="s">
        <v>177</v>
      </c>
      <c r="L62" t="s">
        <v>177</v>
      </c>
      <c r="M62" t="s">
        <v>177</v>
      </c>
      <c r="N62" t="s">
        <v>177</v>
      </c>
      <c r="O62" t="s">
        <v>177</v>
      </c>
      <c r="P62" t="s">
        <v>177</v>
      </c>
      <c r="Q62" t="s">
        <v>177</v>
      </c>
      <c r="R62" t="s">
        <v>177</v>
      </c>
      <c r="S62" t="s">
        <v>177</v>
      </c>
      <c r="T62" t="s">
        <v>177</v>
      </c>
      <c r="U62" t="s">
        <v>177</v>
      </c>
      <c r="V62" t="s">
        <v>177</v>
      </c>
      <c r="W62" t="s">
        <v>177</v>
      </c>
      <c r="X62" t="s">
        <v>177</v>
      </c>
      <c r="Y62" t="s">
        <v>177</v>
      </c>
      <c r="Z62" t="s">
        <v>177</v>
      </c>
      <c r="AA62" t="s">
        <v>177</v>
      </c>
      <c r="AB62" t="s">
        <v>177</v>
      </c>
      <c r="AC62" t="s">
        <v>177</v>
      </c>
      <c r="AD62" t="s">
        <v>177</v>
      </c>
      <c r="AE62" t="s">
        <v>177</v>
      </c>
      <c r="AF62" t="s">
        <v>177</v>
      </c>
      <c r="AG62" t="s">
        <v>177</v>
      </c>
      <c r="AH62" s="871">
        <f t="shared" si="1"/>
        <v>44136</v>
      </c>
    </row>
    <row r="63" spans="1:34" hidden="1">
      <c r="A63">
        <v>6</v>
      </c>
      <c r="B63">
        <v>5366</v>
      </c>
      <c r="C63" t="s">
        <v>226</v>
      </c>
      <c r="D63">
        <v>202</v>
      </c>
      <c r="E63" s="233">
        <v>0</v>
      </c>
      <c r="F63" s="233">
        <v>0</v>
      </c>
      <c r="G63" s="233" t="s">
        <v>177</v>
      </c>
      <c r="H63" s="233" t="s">
        <v>177</v>
      </c>
      <c r="I63" s="876">
        <v>44179</v>
      </c>
      <c r="J63" t="s">
        <v>177</v>
      </c>
      <c r="K63" t="s">
        <v>177</v>
      </c>
      <c r="L63" t="s">
        <v>177</v>
      </c>
      <c r="M63" t="s">
        <v>177</v>
      </c>
      <c r="N63" t="s">
        <v>177</v>
      </c>
      <c r="O63" t="s">
        <v>177</v>
      </c>
      <c r="P63" t="s">
        <v>177</v>
      </c>
      <c r="Q63" t="s">
        <v>177</v>
      </c>
      <c r="R63" t="s">
        <v>177</v>
      </c>
      <c r="S63" t="s">
        <v>177</v>
      </c>
      <c r="T63" t="s">
        <v>177</v>
      </c>
      <c r="U63" t="s">
        <v>177</v>
      </c>
      <c r="V63" t="s">
        <v>177</v>
      </c>
      <c r="W63" t="s">
        <v>177</v>
      </c>
      <c r="X63" t="s">
        <v>177</v>
      </c>
      <c r="Y63" t="s">
        <v>177</v>
      </c>
      <c r="Z63" t="s">
        <v>177</v>
      </c>
      <c r="AA63" t="s">
        <v>177</v>
      </c>
      <c r="AB63" t="s">
        <v>177</v>
      </c>
      <c r="AC63" t="s">
        <v>177</v>
      </c>
      <c r="AD63" t="s">
        <v>177</v>
      </c>
      <c r="AE63" t="s">
        <v>177</v>
      </c>
      <c r="AF63" t="s">
        <v>177</v>
      </c>
      <c r="AG63" t="s">
        <v>177</v>
      </c>
      <c r="AH63" s="871">
        <f t="shared" si="1"/>
        <v>44166</v>
      </c>
    </row>
    <row r="64" spans="1:34" hidden="1">
      <c r="A64">
        <v>7</v>
      </c>
      <c r="B64">
        <v>5366</v>
      </c>
      <c r="C64" t="s">
        <v>226</v>
      </c>
      <c r="D64">
        <v>202</v>
      </c>
      <c r="E64" s="233">
        <v>0</v>
      </c>
      <c r="F64" s="233">
        <v>0</v>
      </c>
      <c r="G64" s="233" t="s">
        <v>177</v>
      </c>
      <c r="H64" s="233" t="s">
        <v>177</v>
      </c>
      <c r="I64" s="876">
        <v>44193</v>
      </c>
      <c r="J64" t="s">
        <v>177</v>
      </c>
      <c r="K64" t="s">
        <v>177</v>
      </c>
      <c r="L64" t="s">
        <v>177</v>
      </c>
      <c r="M64" t="s">
        <v>177</v>
      </c>
      <c r="N64" t="s">
        <v>177</v>
      </c>
      <c r="O64" t="s">
        <v>177</v>
      </c>
      <c r="P64" t="s">
        <v>177</v>
      </c>
      <c r="Q64" t="s">
        <v>177</v>
      </c>
      <c r="R64" t="s">
        <v>177</v>
      </c>
      <c r="S64" t="s">
        <v>177</v>
      </c>
      <c r="T64" t="s">
        <v>177</v>
      </c>
      <c r="U64" t="s">
        <v>177</v>
      </c>
      <c r="V64" t="s">
        <v>177</v>
      </c>
      <c r="W64" t="s">
        <v>177</v>
      </c>
      <c r="X64" t="s">
        <v>177</v>
      </c>
      <c r="Y64" t="s">
        <v>177</v>
      </c>
      <c r="Z64" t="s">
        <v>177</v>
      </c>
      <c r="AA64" t="s">
        <v>177</v>
      </c>
      <c r="AB64" t="s">
        <v>177</v>
      </c>
      <c r="AC64" t="s">
        <v>177</v>
      </c>
      <c r="AD64" t="s">
        <v>177</v>
      </c>
      <c r="AE64" t="s">
        <v>177</v>
      </c>
      <c r="AF64" t="s">
        <v>177</v>
      </c>
      <c r="AG64" t="s">
        <v>177</v>
      </c>
      <c r="AH64" s="871">
        <f t="shared" si="1"/>
        <v>44166</v>
      </c>
    </row>
    <row r="65" spans="1:34" hidden="1">
      <c r="A65">
        <v>8</v>
      </c>
      <c r="B65">
        <v>5366</v>
      </c>
      <c r="C65" t="s">
        <v>226</v>
      </c>
      <c r="D65">
        <v>202</v>
      </c>
      <c r="E65" s="233">
        <v>0</v>
      </c>
      <c r="F65" s="233">
        <v>0</v>
      </c>
      <c r="G65" s="233" t="s">
        <v>177</v>
      </c>
      <c r="H65" s="233" t="s">
        <v>177</v>
      </c>
      <c r="I65" s="876">
        <v>44208</v>
      </c>
      <c r="J65" t="s">
        <v>177</v>
      </c>
      <c r="K65" t="s">
        <v>177</v>
      </c>
      <c r="L65" t="s">
        <v>177</v>
      </c>
      <c r="M65" t="s">
        <v>177</v>
      </c>
      <c r="N65" t="s">
        <v>177</v>
      </c>
      <c r="O65" t="s">
        <v>177</v>
      </c>
      <c r="P65" t="s">
        <v>177</v>
      </c>
      <c r="Q65" t="s">
        <v>177</v>
      </c>
      <c r="R65" t="s">
        <v>177</v>
      </c>
      <c r="S65" t="s">
        <v>177</v>
      </c>
      <c r="T65" t="s">
        <v>177</v>
      </c>
      <c r="U65" t="s">
        <v>177</v>
      </c>
      <c r="V65" t="s">
        <v>177</v>
      </c>
      <c r="W65" t="s">
        <v>177</v>
      </c>
      <c r="X65" t="s">
        <v>177</v>
      </c>
      <c r="Y65" t="s">
        <v>177</v>
      </c>
      <c r="Z65" t="s">
        <v>177</v>
      </c>
      <c r="AA65" t="s">
        <v>177</v>
      </c>
      <c r="AB65" t="s">
        <v>177</v>
      </c>
      <c r="AC65" t="s">
        <v>177</v>
      </c>
      <c r="AD65" t="s">
        <v>177</v>
      </c>
      <c r="AE65" t="s">
        <v>177</v>
      </c>
      <c r="AF65" t="s">
        <v>177</v>
      </c>
      <c r="AG65" t="s">
        <v>177</v>
      </c>
      <c r="AH65" s="871">
        <f t="shared" si="1"/>
        <v>44197</v>
      </c>
    </row>
    <row r="66" spans="1:34" hidden="1">
      <c r="A66">
        <v>1</v>
      </c>
      <c r="B66">
        <v>5370</v>
      </c>
      <c r="C66" t="s">
        <v>227</v>
      </c>
      <c r="D66">
        <v>230</v>
      </c>
      <c r="E66" s="233">
        <v>0</v>
      </c>
      <c r="F66" s="233">
        <v>3496444.9</v>
      </c>
      <c r="H66" s="233">
        <v>0</v>
      </c>
      <c r="I66" s="876">
        <v>44043</v>
      </c>
      <c r="J66" t="s">
        <v>177</v>
      </c>
      <c r="K66" t="s">
        <v>177</v>
      </c>
      <c r="L66" t="s">
        <v>177</v>
      </c>
      <c r="M66" t="s">
        <v>177</v>
      </c>
      <c r="N66" t="s">
        <v>177</v>
      </c>
      <c r="O66" t="s">
        <v>177</v>
      </c>
      <c r="P66" t="s">
        <v>177</v>
      </c>
      <c r="Q66" t="s">
        <v>177</v>
      </c>
      <c r="R66" t="s">
        <v>177</v>
      </c>
      <c r="S66" t="s">
        <v>177</v>
      </c>
      <c r="T66" t="s">
        <v>177</v>
      </c>
      <c r="U66" t="s">
        <v>177</v>
      </c>
      <c r="V66" t="s">
        <v>177</v>
      </c>
      <c r="W66" t="s">
        <v>177</v>
      </c>
      <c r="X66" t="s">
        <v>177</v>
      </c>
      <c r="Y66" t="s">
        <v>177</v>
      </c>
      <c r="Z66" t="s">
        <v>177</v>
      </c>
      <c r="AA66" t="s">
        <v>177</v>
      </c>
      <c r="AB66" t="s">
        <v>177</v>
      </c>
      <c r="AC66" t="s">
        <v>177</v>
      </c>
      <c r="AD66" t="s">
        <v>177</v>
      </c>
      <c r="AE66" t="s">
        <v>177</v>
      </c>
      <c r="AF66" t="s">
        <v>177</v>
      </c>
      <c r="AG66" t="s">
        <v>177</v>
      </c>
      <c r="AH66" s="871">
        <f t="shared" ref="AH66:AH81" si="2">DATE(YEAR(I66),MONTH(I66),1)</f>
        <v>44013</v>
      </c>
    </row>
    <row r="67" spans="1:34" hidden="1">
      <c r="A67">
        <v>2</v>
      </c>
      <c r="B67">
        <v>5370</v>
      </c>
      <c r="C67" t="s">
        <v>227</v>
      </c>
      <c r="D67">
        <v>230</v>
      </c>
      <c r="E67" s="233">
        <v>0</v>
      </c>
      <c r="F67" s="233">
        <v>3496444.85</v>
      </c>
      <c r="G67" s="233" t="s">
        <v>177</v>
      </c>
      <c r="H67" s="233" t="s">
        <v>177</v>
      </c>
      <c r="I67" s="876">
        <v>44055</v>
      </c>
      <c r="J67" t="s">
        <v>177</v>
      </c>
      <c r="K67" t="s">
        <v>177</v>
      </c>
      <c r="L67" t="s">
        <v>177</v>
      </c>
      <c r="M67" t="s">
        <v>177</v>
      </c>
      <c r="N67" t="s">
        <v>177</v>
      </c>
      <c r="O67" t="s">
        <v>177</v>
      </c>
      <c r="P67" t="s">
        <v>177</v>
      </c>
      <c r="Q67" t="s">
        <v>177</v>
      </c>
      <c r="R67" t="s">
        <v>177</v>
      </c>
      <c r="S67" t="s">
        <v>177</v>
      </c>
      <c r="T67" t="s">
        <v>177</v>
      </c>
      <c r="U67" t="s">
        <v>177</v>
      </c>
      <c r="V67" t="s">
        <v>177</v>
      </c>
      <c r="W67" t="s">
        <v>177</v>
      </c>
      <c r="X67" t="s">
        <v>177</v>
      </c>
      <c r="Y67" t="s">
        <v>177</v>
      </c>
      <c r="Z67" t="s">
        <v>177</v>
      </c>
      <c r="AA67" t="s">
        <v>177</v>
      </c>
      <c r="AB67" t="s">
        <v>177</v>
      </c>
      <c r="AC67" t="s">
        <v>177</v>
      </c>
      <c r="AD67" t="s">
        <v>177</v>
      </c>
      <c r="AE67" t="s">
        <v>177</v>
      </c>
      <c r="AF67" t="s">
        <v>177</v>
      </c>
      <c r="AG67" t="s">
        <v>177</v>
      </c>
      <c r="AH67" s="871">
        <f t="shared" si="2"/>
        <v>44044</v>
      </c>
    </row>
    <row r="68" spans="1:34" hidden="1">
      <c r="A68">
        <v>3</v>
      </c>
      <c r="B68">
        <v>5370</v>
      </c>
      <c r="C68" t="s">
        <v>227</v>
      </c>
      <c r="D68">
        <v>230</v>
      </c>
      <c r="E68" s="233">
        <v>0</v>
      </c>
      <c r="F68" s="233">
        <v>3496444.85</v>
      </c>
      <c r="G68" s="233">
        <v>-10489334.6</v>
      </c>
      <c r="H68" s="233" t="s">
        <v>177</v>
      </c>
      <c r="I68" s="876">
        <v>44088</v>
      </c>
      <c r="J68" t="s">
        <v>177</v>
      </c>
      <c r="K68" t="s">
        <v>177</v>
      </c>
      <c r="L68" t="s">
        <v>177</v>
      </c>
      <c r="M68" t="s">
        <v>177</v>
      </c>
      <c r="N68" t="s">
        <v>177</v>
      </c>
      <c r="O68" t="s">
        <v>177</v>
      </c>
      <c r="P68" t="s">
        <v>177</v>
      </c>
      <c r="Q68" t="s">
        <v>177</v>
      </c>
      <c r="R68" t="s">
        <v>177</v>
      </c>
      <c r="S68" t="s">
        <v>177</v>
      </c>
      <c r="T68" t="s">
        <v>177</v>
      </c>
      <c r="U68" t="s">
        <v>177</v>
      </c>
      <c r="V68" t="s">
        <v>177</v>
      </c>
      <c r="W68" t="s">
        <v>177</v>
      </c>
      <c r="X68" t="s">
        <v>177</v>
      </c>
      <c r="Y68" t="s">
        <v>177</v>
      </c>
      <c r="Z68" t="s">
        <v>177</v>
      </c>
      <c r="AA68" t="s">
        <v>177</v>
      </c>
      <c r="AB68" t="s">
        <v>177</v>
      </c>
      <c r="AC68" t="s">
        <v>177</v>
      </c>
      <c r="AD68" t="s">
        <v>177</v>
      </c>
      <c r="AE68" t="s">
        <v>177</v>
      </c>
      <c r="AF68" t="s">
        <v>177</v>
      </c>
      <c r="AG68" t="s">
        <v>177</v>
      </c>
      <c r="AH68" s="871">
        <f t="shared" si="2"/>
        <v>44075</v>
      </c>
    </row>
    <row r="69" spans="1:34" hidden="1">
      <c r="A69">
        <v>4</v>
      </c>
      <c r="B69">
        <v>5370</v>
      </c>
      <c r="C69" t="s">
        <v>227</v>
      </c>
      <c r="D69">
        <v>230</v>
      </c>
      <c r="E69" s="233">
        <v>0</v>
      </c>
      <c r="F69" s="233">
        <v>3496444.85</v>
      </c>
      <c r="G69" s="233" t="s">
        <v>177</v>
      </c>
      <c r="H69" s="233" t="s">
        <v>177</v>
      </c>
      <c r="I69" s="876">
        <v>44117</v>
      </c>
      <c r="J69" t="s">
        <v>177</v>
      </c>
      <c r="K69" t="s">
        <v>177</v>
      </c>
      <c r="L69" t="s">
        <v>177</v>
      </c>
      <c r="M69" t="s">
        <v>177</v>
      </c>
      <c r="N69" t="s">
        <v>177</v>
      </c>
      <c r="O69" t="s">
        <v>177</v>
      </c>
      <c r="P69" t="s">
        <v>177</v>
      </c>
      <c r="Q69" t="s">
        <v>177</v>
      </c>
      <c r="R69" t="s">
        <v>177</v>
      </c>
      <c r="S69" t="s">
        <v>177</v>
      </c>
      <c r="T69" t="s">
        <v>177</v>
      </c>
      <c r="U69" t="s">
        <v>177</v>
      </c>
      <c r="V69" t="s">
        <v>177</v>
      </c>
      <c r="W69" t="s">
        <v>177</v>
      </c>
      <c r="X69" t="s">
        <v>177</v>
      </c>
      <c r="Y69" t="s">
        <v>177</v>
      </c>
      <c r="Z69" t="s">
        <v>177</v>
      </c>
      <c r="AA69" t="s">
        <v>177</v>
      </c>
      <c r="AB69" t="s">
        <v>177</v>
      </c>
      <c r="AC69" t="s">
        <v>177</v>
      </c>
      <c r="AD69" t="s">
        <v>177</v>
      </c>
      <c r="AE69" t="s">
        <v>177</v>
      </c>
      <c r="AF69" t="s">
        <v>177</v>
      </c>
      <c r="AG69" t="s">
        <v>177</v>
      </c>
      <c r="AH69" s="871">
        <f t="shared" si="2"/>
        <v>44105</v>
      </c>
    </row>
    <row r="70" spans="1:34" hidden="1">
      <c r="A70">
        <v>5</v>
      </c>
      <c r="B70">
        <v>5370</v>
      </c>
      <c r="C70" t="s">
        <v>227</v>
      </c>
      <c r="D70">
        <v>230</v>
      </c>
      <c r="E70" s="233">
        <v>0</v>
      </c>
      <c r="F70" s="233">
        <v>3496444.85</v>
      </c>
      <c r="G70" s="233" t="s">
        <v>177</v>
      </c>
      <c r="H70" s="233" t="s">
        <v>177</v>
      </c>
      <c r="I70" s="876">
        <v>44147</v>
      </c>
      <c r="J70" t="s">
        <v>177</v>
      </c>
      <c r="K70" t="s">
        <v>177</v>
      </c>
      <c r="L70" t="s">
        <v>177</v>
      </c>
      <c r="M70" t="s">
        <v>177</v>
      </c>
      <c r="N70" t="s">
        <v>177</v>
      </c>
      <c r="O70" t="s">
        <v>177</v>
      </c>
      <c r="P70" t="s">
        <v>177</v>
      </c>
      <c r="Q70" t="s">
        <v>177</v>
      </c>
      <c r="R70" t="s">
        <v>177</v>
      </c>
      <c r="S70" t="s">
        <v>177</v>
      </c>
      <c r="T70" t="s">
        <v>177</v>
      </c>
      <c r="U70" t="s">
        <v>177</v>
      </c>
      <c r="V70" t="s">
        <v>177</v>
      </c>
      <c r="W70" t="s">
        <v>177</v>
      </c>
      <c r="X70" t="s">
        <v>177</v>
      </c>
      <c r="Y70" t="s">
        <v>177</v>
      </c>
      <c r="Z70" t="s">
        <v>177</v>
      </c>
      <c r="AA70" t="s">
        <v>177</v>
      </c>
      <c r="AB70" t="s">
        <v>177</v>
      </c>
      <c r="AC70" t="s">
        <v>177</v>
      </c>
      <c r="AD70" t="s">
        <v>177</v>
      </c>
      <c r="AE70" t="s">
        <v>177</v>
      </c>
      <c r="AF70" t="s">
        <v>177</v>
      </c>
      <c r="AG70" t="s">
        <v>177</v>
      </c>
      <c r="AH70" s="871">
        <f t="shared" si="2"/>
        <v>44136</v>
      </c>
    </row>
    <row r="71" spans="1:34" hidden="1">
      <c r="A71">
        <v>6</v>
      </c>
      <c r="B71">
        <v>5370</v>
      </c>
      <c r="C71" t="s">
        <v>227</v>
      </c>
      <c r="D71">
        <v>230</v>
      </c>
      <c r="E71" s="233">
        <v>0</v>
      </c>
      <c r="F71" s="233">
        <v>3496444.85</v>
      </c>
      <c r="G71" s="233" t="s">
        <v>177</v>
      </c>
      <c r="H71" s="233" t="s">
        <v>177</v>
      </c>
      <c r="I71" s="876">
        <v>44179</v>
      </c>
      <c r="J71" t="s">
        <v>177</v>
      </c>
      <c r="K71" t="s">
        <v>177</v>
      </c>
      <c r="L71" t="s">
        <v>177</v>
      </c>
      <c r="M71" t="s">
        <v>177</v>
      </c>
      <c r="N71" t="s">
        <v>177</v>
      </c>
      <c r="O71" t="s">
        <v>177</v>
      </c>
      <c r="P71" t="s">
        <v>177</v>
      </c>
      <c r="Q71" t="s">
        <v>177</v>
      </c>
      <c r="R71" t="s">
        <v>177</v>
      </c>
      <c r="S71" t="s">
        <v>177</v>
      </c>
      <c r="T71" t="s">
        <v>177</v>
      </c>
      <c r="U71" t="s">
        <v>177</v>
      </c>
      <c r="V71" t="s">
        <v>177</v>
      </c>
      <c r="W71" t="s">
        <v>177</v>
      </c>
      <c r="X71" t="s">
        <v>177</v>
      </c>
      <c r="Y71" t="s">
        <v>177</v>
      </c>
      <c r="Z71" t="s">
        <v>177</v>
      </c>
      <c r="AA71" t="s">
        <v>177</v>
      </c>
      <c r="AB71" t="s">
        <v>177</v>
      </c>
      <c r="AC71" t="s">
        <v>177</v>
      </c>
      <c r="AD71" t="s">
        <v>177</v>
      </c>
      <c r="AE71" t="s">
        <v>177</v>
      </c>
      <c r="AF71" t="s">
        <v>177</v>
      </c>
      <c r="AG71" t="s">
        <v>177</v>
      </c>
      <c r="AH71" s="871">
        <f t="shared" si="2"/>
        <v>44166</v>
      </c>
    </row>
    <row r="72" spans="1:34" hidden="1">
      <c r="A72">
        <v>7</v>
      </c>
      <c r="B72">
        <v>5370</v>
      </c>
      <c r="C72" t="s">
        <v>227</v>
      </c>
      <c r="D72">
        <v>230</v>
      </c>
      <c r="E72" s="233">
        <v>0</v>
      </c>
      <c r="F72" s="233">
        <v>3496444.85</v>
      </c>
      <c r="G72" s="233" t="s">
        <v>177</v>
      </c>
      <c r="H72" s="233" t="s">
        <v>177</v>
      </c>
      <c r="I72" s="876">
        <v>44193</v>
      </c>
      <c r="J72" t="s">
        <v>177</v>
      </c>
      <c r="K72" t="s">
        <v>177</v>
      </c>
      <c r="L72" t="s">
        <v>177</v>
      </c>
      <c r="M72" t="s">
        <v>177</v>
      </c>
      <c r="N72" t="s">
        <v>177</v>
      </c>
      <c r="O72" t="s">
        <v>177</v>
      </c>
      <c r="P72" t="s">
        <v>177</v>
      </c>
      <c r="Q72" t="s">
        <v>177</v>
      </c>
      <c r="R72" t="s">
        <v>177</v>
      </c>
      <c r="S72" t="s">
        <v>177</v>
      </c>
      <c r="T72" t="s">
        <v>177</v>
      </c>
      <c r="U72" t="s">
        <v>177</v>
      </c>
      <c r="V72" t="s">
        <v>177</v>
      </c>
      <c r="W72" t="s">
        <v>177</v>
      </c>
      <c r="X72" t="s">
        <v>177</v>
      </c>
      <c r="Y72" t="s">
        <v>177</v>
      </c>
      <c r="Z72" t="s">
        <v>177</v>
      </c>
      <c r="AA72" t="s">
        <v>177</v>
      </c>
      <c r="AB72" t="s">
        <v>177</v>
      </c>
      <c r="AC72" t="s">
        <v>177</v>
      </c>
      <c r="AD72" t="s">
        <v>177</v>
      </c>
      <c r="AE72" t="s">
        <v>177</v>
      </c>
      <c r="AF72" t="s">
        <v>177</v>
      </c>
      <c r="AG72" t="s">
        <v>177</v>
      </c>
      <c r="AH72" s="871">
        <f t="shared" si="2"/>
        <v>44166</v>
      </c>
    </row>
    <row r="73" spans="1:34" hidden="1">
      <c r="A73">
        <v>8</v>
      </c>
      <c r="B73">
        <v>5370</v>
      </c>
      <c r="C73" t="s">
        <v>227</v>
      </c>
      <c r="D73">
        <v>230</v>
      </c>
      <c r="E73" s="233">
        <v>0</v>
      </c>
      <c r="F73" s="233">
        <v>0</v>
      </c>
      <c r="G73" s="233" t="s">
        <v>177</v>
      </c>
      <c r="H73" s="233" t="s">
        <v>177</v>
      </c>
      <c r="I73" s="876">
        <v>44208</v>
      </c>
      <c r="J73" t="s">
        <v>177</v>
      </c>
      <c r="K73" t="s">
        <v>177</v>
      </c>
      <c r="L73" t="s">
        <v>177</v>
      </c>
      <c r="M73" t="s">
        <v>177</v>
      </c>
      <c r="N73" t="s">
        <v>177</v>
      </c>
      <c r="O73" t="s">
        <v>177</v>
      </c>
      <c r="P73" t="s">
        <v>177</v>
      </c>
      <c r="Q73" t="s">
        <v>177</v>
      </c>
      <c r="R73" t="s">
        <v>177</v>
      </c>
      <c r="S73" t="s">
        <v>177</v>
      </c>
      <c r="T73" t="s">
        <v>177</v>
      </c>
      <c r="U73" t="s">
        <v>177</v>
      </c>
      <c r="V73" t="s">
        <v>177</v>
      </c>
      <c r="W73" t="s">
        <v>177</v>
      </c>
      <c r="X73" t="s">
        <v>177</v>
      </c>
      <c r="Y73" t="s">
        <v>177</v>
      </c>
      <c r="Z73" t="s">
        <v>177</v>
      </c>
      <c r="AA73" t="s">
        <v>177</v>
      </c>
      <c r="AB73" t="s">
        <v>177</v>
      </c>
      <c r="AC73" t="s">
        <v>177</v>
      </c>
      <c r="AD73" t="s">
        <v>177</v>
      </c>
      <c r="AE73" t="s">
        <v>177</v>
      </c>
      <c r="AF73" t="s">
        <v>177</v>
      </c>
      <c r="AG73" t="s">
        <v>177</v>
      </c>
      <c r="AH73" s="871">
        <f t="shared" si="2"/>
        <v>44197</v>
      </c>
    </row>
    <row r="74" spans="1:34" hidden="1">
      <c r="A74">
        <v>1</v>
      </c>
      <c r="B74">
        <v>6603</v>
      </c>
      <c r="C74" t="s">
        <v>235</v>
      </c>
      <c r="D74">
        <v>256</v>
      </c>
      <c r="E74" s="233">
        <v>0</v>
      </c>
      <c r="F74" s="233">
        <v>200000</v>
      </c>
      <c r="G74" s="233">
        <f>F74*25%</f>
        <v>50000</v>
      </c>
      <c r="H74" s="233">
        <v>0</v>
      </c>
      <c r="I74" s="876">
        <v>44043</v>
      </c>
      <c r="J74" t="s">
        <v>177</v>
      </c>
      <c r="K74" t="s">
        <v>177</v>
      </c>
      <c r="L74" t="s">
        <v>177</v>
      </c>
      <c r="M74" t="s">
        <v>177</v>
      </c>
      <c r="N74" t="s">
        <v>177</v>
      </c>
      <c r="O74" t="s">
        <v>177</v>
      </c>
      <c r="P74" t="s">
        <v>177</v>
      </c>
      <c r="Q74" t="s">
        <v>177</v>
      </c>
      <c r="R74" t="s">
        <v>177</v>
      </c>
      <c r="S74" t="s">
        <v>177</v>
      </c>
      <c r="T74" t="s">
        <v>177</v>
      </c>
      <c r="U74" t="s">
        <v>177</v>
      </c>
      <c r="V74" t="s">
        <v>177</v>
      </c>
      <c r="W74" t="s">
        <v>177</v>
      </c>
      <c r="X74" t="s">
        <v>177</v>
      </c>
      <c r="Y74" t="s">
        <v>177</v>
      </c>
      <c r="Z74" t="s">
        <v>177</v>
      </c>
      <c r="AA74" t="s">
        <v>177</v>
      </c>
      <c r="AB74" t="s">
        <v>177</v>
      </c>
      <c r="AC74" t="s">
        <v>177</v>
      </c>
      <c r="AD74" t="s">
        <v>177</v>
      </c>
      <c r="AE74" t="s">
        <v>177</v>
      </c>
      <c r="AF74" t="s">
        <v>177</v>
      </c>
      <c r="AG74" t="s">
        <v>177</v>
      </c>
      <c r="AH74" s="871">
        <f t="shared" si="2"/>
        <v>44013</v>
      </c>
    </row>
    <row r="75" spans="1:34" hidden="1">
      <c r="A75">
        <v>2</v>
      </c>
      <c r="B75">
        <v>6603</v>
      </c>
      <c r="C75" t="s">
        <v>235</v>
      </c>
      <c r="D75">
        <v>256</v>
      </c>
      <c r="E75" s="233">
        <v>0</v>
      </c>
      <c r="F75" s="233">
        <v>201000</v>
      </c>
      <c r="G75" s="233">
        <f>F75*25%</f>
        <v>50250</v>
      </c>
      <c r="H75" s="233" t="s">
        <v>177</v>
      </c>
      <c r="I75" s="876">
        <v>44055</v>
      </c>
      <c r="J75" t="s">
        <v>177</v>
      </c>
      <c r="K75" t="s">
        <v>177</v>
      </c>
      <c r="L75" t="s">
        <v>177</v>
      </c>
      <c r="M75" t="s">
        <v>177</v>
      </c>
      <c r="N75" t="s">
        <v>177</v>
      </c>
      <c r="O75" t="s">
        <v>177</v>
      </c>
      <c r="P75" t="s">
        <v>177</v>
      </c>
      <c r="Q75" t="s">
        <v>177</v>
      </c>
      <c r="R75" t="s">
        <v>177</v>
      </c>
      <c r="S75" t="s">
        <v>177</v>
      </c>
      <c r="T75" t="s">
        <v>177</v>
      </c>
      <c r="U75" t="s">
        <v>177</v>
      </c>
      <c r="V75" t="s">
        <v>177</v>
      </c>
      <c r="W75" t="s">
        <v>177</v>
      </c>
      <c r="X75" t="s">
        <v>177</v>
      </c>
      <c r="Y75" t="s">
        <v>177</v>
      </c>
      <c r="Z75" t="s">
        <v>177</v>
      </c>
      <c r="AA75" t="s">
        <v>177</v>
      </c>
      <c r="AB75" t="s">
        <v>177</v>
      </c>
      <c r="AC75" t="s">
        <v>177</v>
      </c>
      <c r="AD75" t="s">
        <v>177</v>
      </c>
      <c r="AE75" t="s">
        <v>177</v>
      </c>
      <c r="AF75" t="s">
        <v>177</v>
      </c>
      <c r="AG75" t="s">
        <v>177</v>
      </c>
      <c r="AH75" s="871">
        <f t="shared" si="2"/>
        <v>44044</v>
      </c>
    </row>
    <row r="76" spans="1:34" hidden="1">
      <c r="A76">
        <v>3</v>
      </c>
      <c r="B76">
        <v>6603</v>
      </c>
      <c r="C76" t="s">
        <v>235</v>
      </c>
      <c r="D76">
        <v>256</v>
      </c>
      <c r="E76" s="233">
        <v>0</v>
      </c>
      <c r="F76" s="233">
        <v>201000</v>
      </c>
      <c r="G76" s="233">
        <f>F76*25%</f>
        <v>50250</v>
      </c>
      <c r="H76" s="233" t="s">
        <v>177</v>
      </c>
      <c r="I76" s="876">
        <v>44088</v>
      </c>
      <c r="J76" t="s">
        <v>177</v>
      </c>
      <c r="K76" t="s">
        <v>177</v>
      </c>
      <c r="L76" t="s">
        <v>177</v>
      </c>
      <c r="M76" t="s">
        <v>177</v>
      </c>
      <c r="N76" t="s">
        <v>177</v>
      </c>
      <c r="O76" t="s">
        <v>177</v>
      </c>
      <c r="P76" t="s">
        <v>177</v>
      </c>
      <c r="Q76" t="s">
        <v>177</v>
      </c>
      <c r="R76" t="s">
        <v>177</v>
      </c>
      <c r="S76" t="s">
        <v>177</v>
      </c>
      <c r="T76" t="s">
        <v>177</v>
      </c>
      <c r="U76" t="s">
        <v>177</v>
      </c>
      <c r="V76" t="s">
        <v>177</v>
      </c>
      <c r="W76" t="s">
        <v>177</v>
      </c>
      <c r="X76" t="s">
        <v>177</v>
      </c>
      <c r="Y76" t="s">
        <v>177</v>
      </c>
      <c r="Z76" t="s">
        <v>177</v>
      </c>
      <c r="AA76" t="s">
        <v>177</v>
      </c>
      <c r="AB76" t="s">
        <v>177</v>
      </c>
      <c r="AC76" t="s">
        <v>177</v>
      </c>
      <c r="AD76" t="s">
        <v>177</v>
      </c>
      <c r="AE76" t="s">
        <v>177</v>
      </c>
      <c r="AF76" t="s">
        <v>177</v>
      </c>
      <c r="AG76" t="s">
        <v>177</v>
      </c>
      <c r="AH76" s="871">
        <f t="shared" si="2"/>
        <v>44075</v>
      </c>
    </row>
    <row r="77" spans="1:34" hidden="1">
      <c r="A77">
        <v>4</v>
      </c>
      <c r="B77">
        <v>6603</v>
      </c>
      <c r="C77" t="s">
        <v>235</v>
      </c>
      <c r="D77">
        <v>256</v>
      </c>
      <c r="E77" s="233">
        <v>0</v>
      </c>
      <c r="F77" s="233">
        <v>0</v>
      </c>
      <c r="G77" s="233" t="s">
        <v>177</v>
      </c>
      <c r="H77" s="233" t="s">
        <v>177</v>
      </c>
      <c r="I77" s="876">
        <v>44117</v>
      </c>
      <c r="J77" t="s">
        <v>177</v>
      </c>
      <c r="K77" t="s">
        <v>177</v>
      </c>
      <c r="L77" t="s">
        <v>177</v>
      </c>
      <c r="M77" t="s">
        <v>177</v>
      </c>
      <c r="N77" t="s">
        <v>177</v>
      </c>
      <c r="O77" t="s">
        <v>177</v>
      </c>
      <c r="P77" t="s">
        <v>177</v>
      </c>
      <c r="Q77" t="s">
        <v>177</v>
      </c>
      <c r="R77" t="s">
        <v>177</v>
      </c>
      <c r="S77" t="s">
        <v>177</v>
      </c>
      <c r="T77" t="s">
        <v>177</v>
      </c>
      <c r="U77" t="s">
        <v>177</v>
      </c>
      <c r="V77" t="s">
        <v>177</v>
      </c>
      <c r="W77" t="s">
        <v>177</v>
      </c>
      <c r="X77" t="s">
        <v>177</v>
      </c>
      <c r="Y77" t="s">
        <v>177</v>
      </c>
      <c r="Z77" t="s">
        <v>177</v>
      </c>
      <c r="AA77" t="s">
        <v>177</v>
      </c>
      <c r="AB77" t="s">
        <v>177</v>
      </c>
      <c r="AC77" t="s">
        <v>177</v>
      </c>
      <c r="AD77" t="s">
        <v>177</v>
      </c>
      <c r="AE77" t="s">
        <v>177</v>
      </c>
      <c r="AF77" t="s">
        <v>177</v>
      </c>
      <c r="AG77" t="s">
        <v>177</v>
      </c>
      <c r="AH77" s="871">
        <f t="shared" si="2"/>
        <v>44105</v>
      </c>
    </row>
    <row r="78" spans="1:34" hidden="1">
      <c r="A78">
        <v>5</v>
      </c>
      <c r="B78">
        <v>6603</v>
      </c>
      <c r="C78" t="s">
        <v>235</v>
      </c>
      <c r="D78">
        <v>256</v>
      </c>
      <c r="E78" s="233">
        <v>0</v>
      </c>
      <c r="F78" s="233">
        <v>0</v>
      </c>
      <c r="G78" s="233" t="s">
        <v>177</v>
      </c>
      <c r="H78" s="233" t="s">
        <v>177</v>
      </c>
      <c r="I78" s="876">
        <v>44147</v>
      </c>
      <c r="J78" t="s">
        <v>177</v>
      </c>
      <c r="K78" t="s">
        <v>177</v>
      </c>
      <c r="L78" t="s">
        <v>177</v>
      </c>
      <c r="M78" t="s">
        <v>177</v>
      </c>
      <c r="N78" t="s">
        <v>177</v>
      </c>
      <c r="O78" t="s">
        <v>177</v>
      </c>
      <c r="P78" t="s">
        <v>177</v>
      </c>
      <c r="Q78" t="s">
        <v>177</v>
      </c>
      <c r="R78" t="s">
        <v>177</v>
      </c>
      <c r="S78" t="s">
        <v>177</v>
      </c>
      <c r="T78" t="s">
        <v>177</v>
      </c>
      <c r="U78" t="s">
        <v>177</v>
      </c>
      <c r="V78" t="s">
        <v>177</v>
      </c>
      <c r="W78" t="s">
        <v>177</v>
      </c>
      <c r="X78" t="s">
        <v>177</v>
      </c>
      <c r="Y78" t="s">
        <v>177</v>
      </c>
      <c r="Z78" t="s">
        <v>177</v>
      </c>
      <c r="AA78" t="s">
        <v>177</v>
      </c>
      <c r="AB78" t="s">
        <v>177</v>
      </c>
      <c r="AC78" t="s">
        <v>177</v>
      </c>
      <c r="AD78" t="s">
        <v>177</v>
      </c>
      <c r="AE78" t="s">
        <v>177</v>
      </c>
      <c r="AF78" t="s">
        <v>177</v>
      </c>
      <c r="AG78" t="s">
        <v>177</v>
      </c>
      <c r="AH78" s="871">
        <f t="shared" si="2"/>
        <v>44136</v>
      </c>
    </row>
    <row r="79" spans="1:34" hidden="1">
      <c r="A79">
        <v>6</v>
      </c>
      <c r="B79">
        <v>6603</v>
      </c>
      <c r="C79" t="s">
        <v>235</v>
      </c>
      <c r="D79">
        <v>256</v>
      </c>
      <c r="E79" s="233">
        <v>0</v>
      </c>
      <c r="F79" s="233">
        <v>0</v>
      </c>
      <c r="G79" s="233" t="s">
        <v>177</v>
      </c>
      <c r="H79" s="233" t="s">
        <v>177</v>
      </c>
      <c r="I79" s="876">
        <v>44179</v>
      </c>
      <c r="J79" t="s">
        <v>177</v>
      </c>
      <c r="K79" t="s">
        <v>177</v>
      </c>
      <c r="L79" t="s">
        <v>177</v>
      </c>
      <c r="M79" t="s">
        <v>177</v>
      </c>
      <c r="N79" t="s">
        <v>177</v>
      </c>
      <c r="O79" t="s">
        <v>177</v>
      </c>
      <c r="P79" t="s">
        <v>177</v>
      </c>
      <c r="Q79" t="s">
        <v>177</v>
      </c>
      <c r="R79" t="s">
        <v>177</v>
      </c>
      <c r="S79" t="s">
        <v>177</v>
      </c>
      <c r="T79" t="s">
        <v>177</v>
      </c>
      <c r="U79" t="s">
        <v>177</v>
      </c>
      <c r="V79" t="s">
        <v>177</v>
      </c>
      <c r="W79" t="s">
        <v>177</v>
      </c>
      <c r="X79" t="s">
        <v>177</v>
      </c>
      <c r="Y79" t="s">
        <v>177</v>
      </c>
      <c r="Z79" t="s">
        <v>177</v>
      </c>
      <c r="AA79" t="s">
        <v>177</v>
      </c>
      <c r="AB79" t="s">
        <v>177</v>
      </c>
      <c r="AC79" t="s">
        <v>177</v>
      </c>
      <c r="AD79" t="s">
        <v>177</v>
      </c>
      <c r="AE79" t="s">
        <v>177</v>
      </c>
      <c r="AF79" t="s">
        <v>177</v>
      </c>
      <c r="AG79" t="s">
        <v>177</v>
      </c>
      <c r="AH79" s="871">
        <f t="shared" si="2"/>
        <v>44166</v>
      </c>
    </row>
    <row r="80" spans="1:34" hidden="1">
      <c r="A80">
        <v>7</v>
      </c>
      <c r="B80">
        <v>6603</v>
      </c>
      <c r="C80" t="s">
        <v>235</v>
      </c>
      <c r="D80">
        <v>256</v>
      </c>
      <c r="E80" s="233">
        <v>0</v>
      </c>
      <c r="F80" s="233">
        <v>0</v>
      </c>
      <c r="G80" s="233" t="s">
        <v>177</v>
      </c>
      <c r="H80" s="233" t="s">
        <v>177</v>
      </c>
      <c r="I80" s="876">
        <v>44193</v>
      </c>
      <c r="J80" t="s">
        <v>177</v>
      </c>
      <c r="K80" t="s">
        <v>177</v>
      </c>
      <c r="L80" t="s">
        <v>177</v>
      </c>
      <c r="M80" t="s">
        <v>177</v>
      </c>
      <c r="N80" t="s">
        <v>177</v>
      </c>
      <c r="O80" t="s">
        <v>177</v>
      </c>
      <c r="P80" t="s">
        <v>177</v>
      </c>
      <c r="Q80" t="s">
        <v>177</v>
      </c>
      <c r="R80" t="s">
        <v>177</v>
      </c>
      <c r="S80" t="s">
        <v>177</v>
      </c>
      <c r="T80" t="s">
        <v>177</v>
      </c>
      <c r="U80" t="s">
        <v>177</v>
      </c>
      <c r="V80" t="s">
        <v>177</v>
      </c>
      <c r="W80" t="s">
        <v>177</v>
      </c>
      <c r="X80" t="s">
        <v>177</v>
      </c>
      <c r="Y80" t="s">
        <v>177</v>
      </c>
      <c r="Z80" t="s">
        <v>177</v>
      </c>
      <c r="AA80" t="s">
        <v>177</v>
      </c>
      <c r="AB80" t="s">
        <v>177</v>
      </c>
      <c r="AC80" t="s">
        <v>177</v>
      </c>
      <c r="AD80" t="s">
        <v>177</v>
      </c>
      <c r="AE80" t="s">
        <v>177</v>
      </c>
      <c r="AF80" t="s">
        <v>177</v>
      </c>
      <c r="AG80" t="s">
        <v>177</v>
      </c>
      <c r="AH80" s="871">
        <f t="shared" si="2"/>
        <v>44166</v>
      </c>
    </row>
    <row r="81" spans="1:34" hidden="1">
      <c r="A81">
        <v>8</v>
      </c>
      <c r="B81">
        <v>6603</v>
      </c>
      <c r="C81" t="s">
        <v>235</v>
      </c>
      <c r="D81">
        <v>256</v>
      </c>
      <c r="E81" s="233">
        <v>0</v>
      </c>
      <c r="F81" s="233">
        <v>0</v>
      </c>
      <c r="G81" s="233" t="s">
        <v>177</v>
      </c>
      <c r="H81" s="233" t="s">
        <v>177</v>
      </c>
      <c r="I81" s="876">
        <v>44208</v>
      </c>
      <c r="J81" t="s">
        <v>177</v>
      </c>
      <c r="K81" t="s">
        <v>177</v>
      </c>
      <c r="L81" t="s">
        <v>177</v>
      </c>
      <c r="M81" t="s">
        <v>177</v>
      </c>
      <c r="N81" t="s">
        <v>177</v>
      </c>
      <c r="O81" t="s">
        <v>177</v>
      </c>
      <c r="P81" t="s">
        <v>177</v>
      </c>
      <c r="Q81" t="s">
        <v>177</v>
      </c>
      <c r="R81" t="s">
        <v>177</v>
      </c>
      <c r="S81" t="s">
        <v>177</v>
      </c>
      <c r="T81" t="s">
        <v>177</v>
      </c>
      <c r="U81" t="s">
        <v>177</v>
      </c>
      <c r="V81" t="s">
        <v>177</v>
      </c>
      <c r="W81" t="s">
        <v>177</v>
      </c>
      <c r="X81" t="s">
        <v>177</v>
      </c>
      <c r="Y81" t="s">
        <v>177</v>
      </c>
      <c r="Z81" t="s">
        <v>177</v>
      </c>
      <c r="AA81" t="s">
        <v>177</v>
      </c>
      <c r="AB81" t="s">
        <v>177</v>
      </c>
      <c r="AC81" t="s">
        <v>177</v>
      </c>
      <c r="AD81" t="s">
        <v>177</v>
      </c>
      <c r="AE81" t="s">
        <v>177</v>
      </c>
      <c r="AF81" t="s">
        <v>177</v>
      </c>
      <c r="AG81" t="s">
        <v>177</v>
      </c>
      <c r="AH81" s="871">
        <f t="shared" si="2"/>
        <v>44197</v>
      </c>
    </row>
    <row r="82" spans="1:34" hidden="1">
      <c r="A82">
        <v>1</v>
      </c>
      <c r="B82">
        <v>7371</v>
      </c>
      <c r="C82" t="s">
        <v>240</v>
      </c>
      <c r="D82">
        <v>240</v>
      </c>
      <c r="E82" s="233">
        <v>0</v>
      </c>
      <c r="F82" s="233">
        <v>2357142.8571428601</v>
      </c>
      <c r="G82" s="233">
        <v>0</v>
      </c>
      <c r="H82" s="233">
        <v>0</v>
      </c>
      <c r="I82" s="876">
        <v>44043</v>
      </c>
      <c r="J82" t="s">
        <v>177</v>
      </c>
      <c r="K82" t="s">
        <v>177</v>
      </c>
      <c r="L82" t="s">
        <v>177</v>
      </c>
      <c r="M82" t="s">
        <v>177</v>
      </c>
      <c r="N82" t="s">
        <v>177</v>
      </c>
      <c r="O82" t="s">
        <v>177</v>
      </c>
      <c r="P82" t="s">
        <v>177</v>
      </c>
      <c r="Q82" t="s">
        <v>177</v>
      </c>
      <c r="R82" t="s">
        <v>177</v>
      </c>
      <c r="S82" t="s">
        <v>177</v>
      </c>
      <c r="T82" t="s">
        <v>177</v>
      </c>
      <c r="U82" t="s">
        <v>177</v>
      </c>
      <c r="V82" t="s">
        <v>177</v>
      </c>
      <c r="W82" t="s">
        <v>177</v>
      </c>
      <c r="X82" t="s">
        <v>177</v>
      </c>
      <c r="Y82" t="s">
        <v>177</v>
      </c>
      <c r="Z82" t="s">
        <v>177</v>
      </c>
      <c r="AA82" t="s">
        <v>177</v>
      </c>
      <c r="AB82" t="s">
        <v>177</v>
      </c>
      <c r="AC82" t="s">
        <v>177</v>
      </c>
      <c r="AD82" t="s">
        <v>177</v>
      </c>
      <c r="AE82" t="s">
        <v>177</v>
      </c>
      <c r="AF82" t="s">
        <v>177</v>
      </c>
      <c r="AG82" t="s">
        <v>177</v>
      </c>
    </row>
    <row r="83" spans="1:34" hidden="1">
      <c r="A83">
        <v>2</v>
      </c>
      <c r="B83">
        <v>7371</v>
      </c>
      <c r="C83" t="s">
        <v>240</v>
      </c>
      <c r="D83">
        <v>240</v>
      </c>
      <c r="E83" s="233">
        <v>0</v>
      </c>
      <c r="F83" s="233">
        <v>2357142.8571428601</v>
      </c>
      <c r="G83" s="233" t="s">
        <v>177</v>
      </c>
      <c r="H83" s="233" t="s">
        <v>177</v>
      </c>
      <c r="I83" s="876">
        <v>44055</v>
      </c>
      <c r="J83" t="s">
        <v>177</v>
      </c>
      <c r="K83" t="s">
        <v>177</v>
      </c>
      <c r="L83" t="s">
        <v>177</v>
      </c>
      <c r="M83" t="s">
        <v>177</v>
      </c>
      <c r="N83" t="s">
        <v>177</v>
      </c>
      <c r="O83" t="s">
        <v>177</v>
      </c>
      <c r="P83" t="s">
        <v>177</v>
      </c>
      <c r="Q83" t="s">
        <v>177</v>
      </c>
      <c r="R83" t="s">
        <v>177</v>
      </c>
      <c r="S83" t="s">
        <v>177</v>
      </c>
      <c r="T83" t="s">
        <v>177</v>
      </c>
      <c r="U83" t="s">
        <v>177</v>
      </c>
      <c r="V83" t="s">
        <v>177</v>
      </c>
      <c r="W83" t="s">
        <v>177</v>
      </c>
      <c r="X83" t="s">
        <v>177</v>
      </c>
      <c r="Y83" t="s">
        <v>177</v>
      </c>
      <c r="Z83" t="s">
        <v>177</v>
      </c>
      <c r="AA83" t="s">
        <v>177</v>
      </c>
      <c r="AB83" t="s">
        <v>177</v>
      </c>
      <c r="AC83" t="s">
        <v>177</v>
      </c>
      <c r="AD83" t="s">
        <v>177</v>
      </c>
      <c r="AE83" t="s">
        <v>177</v>
      </c>
      <c r="AF83" t="s">
        <v>177</v>
      </c>
      <c r="AG83" t="s">
        <v>177</v>
      </c>
    </row>
    <row r="84" spans="1:34" hidden="1">
      <c r="A84">
        <v>3</v>
      </c>
      <c r="B84">
        <v>7371</v>
      </c>
      <c r="C84" t="s">
        <v>240</v>
      </c>
      <c r="D84">
        <v>240</v>
      </c>
      <c r="E84" s="233">
        <v>0</v>
      </c>
      <c r="F84" s="233">
        <v>2357142.8571428601</v>
      </c>
      <c r="G84" s="233" t="s">
        <v>177</v>
      </c>
      <c r="H84" s="233" t="s">
        <v>177</v>
      </c>
      <c r="I84" s="876">
        <v>44088</v>
      </c>
      <c r="J84" t="s">
        <v>177</v>
      </c>
      <c r="K84" t="s">
        <v>177</v>
      </c>
      <c r="L84" t="s">
        <v>177</v>
      </c>
      <c r="M84" t="s">
        <v>177</v>
      </c>
      <c r="N84" t="s">
        <v>177</v>
      </c>
      <c r="O84" t="s">
        <v>177</v>
      </c>
      <c r="P84" t="s">
        <v>177</v>
      </c>
      <c r="Q84" t="s">
        <v>177</v>
      </c>
      <c r="R84" t="s">
        <v>177</v>
      </c>
      <c r="S84" t="s">
        <v>177</v>
      </c>
      <c r="T84" t="s">
        <v>177</v>
      </c>
      <c r="U84" t="s">
        <v>177</v>
      </c>
      <c r="V84" t="s">
        <v>177</v>
      </c>
      <c r="W84" t="s">
        <v>177</v>
      </c>
      <c r="X84" t="s">
        <v>177</v>
      </c>
      <c r="Y84" t="s">
        <v>177</v>
      </c>
      <c r="Z84" t="s">
        <v>177</v>
      </c>
      <c r="AA84" t="s">
        <v>177</v>
      </c>
      <c r="AB84" t="s">
        <v>177</v>
      </c>
      <c r="AC84" t="s">
        <v>177</v>
      </c>
      <c r="AD84" t="s">
        <v>177</v>
      </c>
      <c r="AE84" t="s">
        <v>177</v>
      </c>
      <c r="AF84" t="s">
        <v>177</v>
      </c>
      <c r="AG84" t="s">
        <v>177</v>
      </c>
    </row>
    <row r="85" spans="1:34" hidden="1">
      <c r="A85">
        <v>4</v>
      </c>
      <c r="B85">
        <v>7371</v>
      </c>
      <c r="C85" t="s">
        <v>240</v>
      </c>
      <c r="D85">
        <v>240</v>
      </c>
      <c r="E85" s="233">
        <v>0</v>
      </c>
      <c r="F85" s="233">
        <v>2357142.8571428601</v>
      </c>
      <c r="G85" s="233" t="s">
        <v>177</v>
      </c>
      <c r="H85" s="233" t="s">
        <v>177</v>
      </c>
      <c r="I85" s="876">
        <v>44117</v>
      </c>
      <c r="J85" t="s">
        <v>177</v>
      </c>
      <c r="K85" t="s">
        <v>177</v>
      </c>
      <c r="L85" t="s">
        <v>177</v>
      </c>
      <c r="M85" t="s">
        <v>177</v>
      </c>
      <c r="N85" t="s">
        <v>177</v>
      </c>
      <c r="O85" t="s">
        <v>177</v>
      </c>
      <c r="P85" t="s">
        <v>177</v>
      </c>
      <c r="Q85" t="s">
        <v>177</v>
      </c>
      <c r="R85" t="s">
        <v>177</v>
      </c>
      <c r="S85" t="s">
        <v>177</v>
      </c>
      <c r="T85" t="s">
        <v>177</v>
      </c>
      <c r="U85" t="s">
        <v>177</v>
      </c>
      <c r="V85" t="s">
        <v>177</v>
      </c>
      <c r="W85" t="s">
        <v>177</v>
      </c>
      <c r="X85" t="s">
        <v>177</v>
      </c>
      <c r="Y85" t="s">
        <v>177</v>
      </c>
      <c r="Z85" t="s">
        <v>177</v>
      </c>
      <c r="AA85" t="s">
        <v>177</v>
      </c>
      <c r="AB85" t="s">
        <v>177</v>
      </c>
      <c r="AC85" t="s">
        <v>177</v>
      </c>
      <c r="AD85" t="s">
        <v>177</v>
      </c>
      <c r="AE85" t="s">
        <v>177</v>
      </c>
      <c r="AF85" t="s">
        <v>177</v>
      </c>
      <c r="AG85" t="s">
        <v>177</v>
      </c>
    </row>
    <row r="86" spans="1:34" hidden="1">
      <c r="A86">
        <v>5</v>
      </c>
      <c r="B86">
        <v>7371</v>
      </c>
      <c r="C86" t="s">
        <v>240</v>
      </c>
      <c r="D86">
        <v>240</v>
      </c>
      <c r="E86" s="233">
        <v>0</v>
      </c>
      <c r="F86" s="233">
        <v>2357142.8571428601</v>
      </c>
      <c r="G86" s="233" t="s">
        <v>177</v>
      </c>
      <c r="H86" s="233" t="s">
        <v>177</v>
      </c>
      <c r="I86" s="876">
        <v>44147</v>
      </c>
      <c r="J86" t="s">
        <v>177</v>
      </c>
      <c r="K86" t="s">
        <v>177</v>
      </c>
      <c r="L86" t="s">
        <v>177</v>
      </c>
      <c r="M86" t="s">
        <v>177</v>
      </c>
      <c r="N86" t="s">
        <v>177</v>
      </c>
      <c r="O86" t="s">
        <v>177</v>
      </c>
      <c r="P86" t="s">
        <v>177</v>
      </c>
      <c r="Q86" t="s">
        <v>177</v>
      </c>
      <c r="R86" t="s">
        <v>177</v>
      </c>
      <c r="S86" t="s">
        <v>177</v>
      </c>
      <c r="T86" t="s">
        <v>177</v>
      </c>
      <c r="U86" t="s">
        <v>177</v>
      </c>
      <c r="V86" t="s">
        <v>177</v>
      </c>
      <c r="W86" t="s">
        <v>177</v>
      </c>
      <c r="X86" t="s">
        <v>177</v>
      </c>
      <c r="Y86" t="s">
        <v>177</v>
      </c>
      <c r="Z86" t="s">
        <v>177</v>
      </c>
      <c r="AA86" t="s">
        <v>177</v>
      </c>
      <c r="AB86" t="s">
        <v>177</v>
      </c>
      <c r="AC86" t="s">
        <v>177</v>
      </c>
      <c r="AD86" t="s">
        <v>177</v>
      </c>
      <c r="AE86" t="s">
        <v>177</v>
      </c>
      <c r="AF86" t="s">
        <v>177</v>
      </c>
      <c r="AG86" t="s">
        <v>177</v>
      </c>
    </row>
    <row r="87" spans="1:34" hidden="1">
      <c r="A87">
        <v>6</v>
      </c>
      <c r="B87">
        <v>7371</v>
      </c>
      <c r="C87" t="s">
        <v>240</v>
      </c>
      <c r="D87">
        <v>240</v>
      </c>
      <c r="E87" s="233">
        <v>0</v>
      </c>
      <c r="F87" s="233">
        <v>2357142.8571428601</v>
      </c>
      <c r="G87" s="233" t="s">
        <v>177</v>
      </c>
      <c r="H87" s="233" t="s">
        <v>177</v>
      </c>
      <c r="I87" s="876">
        <v>44179</v>
      </c>
      <c r="J87" t="s">
        <v>177</v>
      </c>
      <c r="K87" t="s">
        <v>177</v>
      </c>
      <c r="L87" t="s">
        <v>177</v>
      </c>
      <c r="M87" t="s">
        <v>177</v>
      </c>
      <c r="N87" t="s">
        <v>177</v>
      </c>
      <c r="O87" t="s">
        <v>177</v>
      </c>
      <c r="P87" t="s">
        <v>177</v>
      </c>
      <c r="Q87" t="s">
        <v>177</v>
      </c>
      <c r="R87" t="s">
        <v>177</v>
      </c>
      <c r="S87" t="s">
        <v>177</v>
      </c>
      <c r="T87" t="s">
        <v>177</v>
      </c>
      <c r="U87" t="s">
        <v>177</v>
      </c>
      <c r="V87" t="s">
        <v>177</v>
      </c>
      <c r="W87" t="s">
        <v>177</v>
      </c>
      <c r="X87" t="s">
        <v>177</v>
      </c>
      <c r="Y87" t="s">
        <v>177</v>
      </c>
      <c r="Z87" t="s">
        <v>177</v>
      </c>
      <c r="AA87" t="s">
        <v>177</v>
      </c>
      <c r="AB87" t="s">
        <v>177</v>
      </c>
      <c r="AC87" t="s">
        <v>177</v>
      </c>
      <c r="AD87" t="s">
        <v>177</v>
      </c>
      <c r="AE87" t="s">
        <v>177</v>
      </c>
      <c r="AF87" t="s">
        <v>177</v>
      </c>
      <c r="AG87" t="s">
        <v>177</v>
      </c>
    </row>
    <row r="88" spans="1:34" hidden="1">
      <c r="A88">
        <v>7</v>
      </c>
      <c r="B88">
        <v>7371</v>
      </c>
      <c r="C88" t="s">
        <v>240</v>
      </c>
      <c r="D88">
        <v>240</v>
      </c>
      <c r="E88" s="233">
        <v>0</v>
      </c>
      <c r="F88" s="233">
        <v>2357142.8571428601</v>
      </c>
      <c r="G88" s="233" t="s">
        <v>177</v>
      </c>
      <c r="H88" s="233" t="s">
        <v>177</v>
      </c>
      <c r="I88" s="876">
        <v>44193</v>
      </c>
      <c r="J88" t="s">
        <v>177</v>
      </c>
      <c r="K88" t="s">
        <v>177</v>
      </c>
      <c r="L88" t="s">
        <v>177</v>
      </c>
      <c r="M88" t="s">
        <v>177</v>
      </c>
      <c r="N88" t="s">
        <v>177</v>
      </c>
      <c r="O88" t="s">
        <v>177</v>
      </c>
      <c r="P88" t="s">
        <v>177</v>
      </c>
      <c r="Q88" t="s">
        <v>177</v>
      </c>
      <c r="R88" t="s">
        <v>177</v>
      </c>
      <c r="S88" t="s">
        <v>177</v>
      </c>
      <c r="T88" t="s">
        <v>177</v>
      </c>
      <c r="U88" t="s">
        <v>177</v>
      </c>
      <c r="V88" t="s">
        <v>177</v>
      </c>
      <c r="W88" t="s">
        <v>177</v>
      </c>
      <c r="X88" t="s">
        <v>177</v>
      </c>
      <c r="Y88" t="s">
        <v>177</v>
      </c>
      <c r="Z88" t="s">
        <v>177</v>
      </c>
      <c r="AA88" t="s">
        <v>177</v>
      </c>
      <c r="AB88" t="s">
        <v>177</v>
      </c>
      <c r="AC88" t="s">
        <v>177</v>
      </c>
      <c r="AD88" t="s">
        <v>177</v>
      </c>
      <c r="AE88" t="s">
        <v>177</v>
      </c>
      <c r="AF88" t="s">
        <v>177</v>
      </c>
      <c r="AG88" t="s">
        <v>177</v>
      </c>
    </row>
    <row r="89" spans="1:34" hidden="1">
      <c r="A89">
        <v>8</v>
      </c>
      <c r="B89">
        <v>7371</v>
      </c>
      <c r="C89" t="s">
        <v>240</v>
      </c>
      <c r="D89">
        <v>240</v>
      </c>
      <c r="E89" s="233">
        <v>0</v>
      </c>
      <c r="F89" s="233">
        <v>0</v>
      </c>
      <c r="G89" s="233" t="s">
        <v>177</v>
      </c>
      <c r="H89" s="233" t="s">
        <v>177</v>
      </c>
      <c r="I89" s="876">
        <v>44208</v>
      </c>
      <c r="J89" t="s">
        <v>177</v>
      </c>
      <c r="K89" t="s">
        <v>177</v>
      </c>
      <c r="L89" t="s">
        <v>177</v>
      </c>
      <c r="M89" t="s">
        <v>177</v>
      </c>
      <c r="N89" t="s">
        <v>177</v>
      </c>
      <c r="O89" t="s">
        <v>177</v>
      </c>
      <c r="P89" t="s">
        <v>177</v>
      </c>
      <c r="Q89" t="s">
        <v>177</v>
      </c>
      <c r="R89" t="s">
        <v>177</v>
      </c>
      <c r="S89" t="s">
        <v>177</v>
      </c>
      <c r="T89" t="s">
        <v>177</v>
      </c>
      <c r="U89" t="s">
        <v>177</v>
      </c>
      <c r="V89" t="s">
        <v>177</v>
      </c>
      <c r="W89" t="s">
        <v>177</v>
      </c>
      <c r="X89" t="s">
        <v>177</v>
      </c>
      <c r="Y89" t="s">
        <v>177</v>
      </c>
      <c r="Z89" t="s">
        <v>177</v>
      </c>
      <c r="AA89" t="s">
        <v>177</v>
      </c>
      <c r="AB89" t="s">
        <v>177</v>
      </c>
      <c r="AC89" t="s">
        <v>177</v>
      </c>
      <c r="AD89" t="s">
        <v>177</v>
      </c>
      <c r="AE89" t="s">
        <v>177</v>
      </c>
      <c r="AF89" t="s">
        <v>177</v>
      </c>
      <c r="AG89" t="s">
        <v>177</v>
      </c>
    </row>
    <row r="90" spans="1:34" hidden="1">
      <c r="A90">
        <v>1</v>
      </c>
      <c r="B90">
        <v>7019</v>
      </c>
      <c r="C90" t="s">
        <v>238</v>
      </c>
      <c r="D90">
        <v>102</v>
      </c>
      <c r="E90">
        <v>315489948</v>
      </c>
      <c r="F90">
        <v>0</v>
      </c>
      <c r="G90">
        <v>0</v>
      </c>
      <c r="H90">
        <v>0</v>
      </c>
      <c r="I90" s="876">
        <v>44043</v>
      </c>
      <c r="J90">
        <v>1</v>
      </c>
      <c r="K90" t="s">
        <v>239</v>
      </c>
      <c r="L90">
        <v>7019</v>
      </c>
      <c r="M90">
        <v>6.1175350627657298E-2</v>
      </c>
      <c r="N90">
        <v>0.938824649372342</v>
      </c>
      <c r="O90">
        <v>0</v>
      </c>
      <c r="P90">
        <v>0</v>
      </c>
      <c r="Q90">
        <v>7.6843584591247099E-2</v>
      </c>
      <c r="R90">
        <v>0</v>
      </c>
      <c r="S90">
        <v>-2.0656833809080699E-3</v>
      </c>
      <c r="T90">
        <v>-1.1436867305693399E-3</v>
      </c>
      <c r="U90">
        <v>0</v>
      </c>
      <c r="V90">
        <v>-1.8903746142455501E-2</v>
      </c>
      <c r="W90">
        <v>6.4448822903431799E-3</v>
      </c>
      <c r="X90">
        <v>0</v>
      </c>
      <c r="Y90">
        <v>0.97072744968968905</v>
      </c>
      <c r="Z90">
        <v>0</v>
      </c>
      <c r="AA90">
        <v>-1.22673312522419E-2</v>
      </c>
      <c r="AB90">
        <v>7.5286697230057903E-2</v>
      </c>
      <c r="AC90">
        <v>0</v>
      </c>
      <c r="AD90">
        <v>-0.16881934827737299</v>
      </c>
      <c r="AE90">
        <v>7.3897181982210694E-2</v>
      </c>
      <c r="AF90">
        <v>0</v>
      </c>
      <c r="AG90" s="876">
        <v>44043</v>
      </c>
      <c r="AH90" s="871">
        <f t="shared" ref="AH90:AH121" si="3">DATE(YEAR(I90),MONTH(I90),1)</f>
        <v>44013</v>
      </c>
    </row>
    <row r="91" spans="1:34" hidden="1">
      <c r="A91">
        <v>2</v>
      </c>
      <c r="B91">
        <v>7019</v>
      </c>
      <c r="C91" t="s">
        <v>238</v>
      </c>
      <c r="D91">
        <v>102</v>
      </c>
      <c r="E91">
        <v>0</v>
      </c>
      <c r="F91">
        <v>0</v>
      </c>
      <c r="G91" t="s">
        <v>177</v>
      </c>
      <c r="H91" t="s">
        <v>177</v>
      </c>
      <c r="I91" s="876">
        <v>44055</v>
      </c>
      <c r="J91">
        <v>2</v>
      </c>
      <c r="K91" t="s">
        <v>239</v>
      </c>
      <c r="L91">
        <v>7019</v>
      </c>
      <c r="M91">
        <v>0</v>
      </c>
      <c r="N91" t="s">
        <v>177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177</v>
      </c>
      <c r="Z91" t="s">
        <v>177</v>
      </c>
      <c r="AA91" t="s">
        <v>177</v>
      </c>
      <c r="AB91" t="s">
        <v>177</v>
      </c>
      <c r="AC91" t="s">
        <v>177</v>
      </c>
      <c r="AD91" t="s">
        <v>177</v>
      </c>
      <c r="AE91" t="s">
        <v>177</v>
      </c>
      <c r="AF91" t="s">
        <v>177</v>
      </c>
      <c r="AG91" s="876">
        <v>44055</v>
      </c>
      <c r="AH91" s="871">
        <f t="shared" si="3"/>
        <v>44044</v>
      </c>
    </row>
    <row r="92" spans="1:34" hidden="1">
      <c r="A92">
        <v>3</v>
      </c>
      <c r="B92">
        <v>7019</v>
      </c>
      <c r="C92" t="s">
        <v>238</v>
      </c>
      <c r="D92">
        <v>102</v>
      </c>
      <c r="E92">
        <v>0</v>
      </c>
      <c r="F92">
        <v>0</v>
      </c>
      <c r="G92" t="s">
        <v>177</v>
      </c>
      <c r="H92" t="s">
        <v>177</v>
      </c>
      <c r="I92" s="876">
        <v>44088</v>
      </c>
      <c r="J92">
        <v>3</v>
      </c>
      <c r="K92" t="s">
        <v>239</v>
      </c>
      <c r="L92">
        <v>7019</v>
      </c>
      <c r="M92">
        <v>0</v>
      </c>
      <c r="N92" t="s">
        <v>177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177</v>
      </c>
      <c r="Z92" t="s">
        <v>177</v>
      </c>
      <c r="AA92" t="s">
        <v>177</v>
      </c>
      <c r="AB92" t="s">
        <v>177</v>
      </c>
      <c r="AC92" t="s">
        <v>177</v>
      </c>
      <c r="AD92" t="s">
        <v>177</v>
      </c>
      <c r="AE92" t="s">
        <v>177</v>
      </c>
      <c r="AF92" t="s">
        <v>177</v>
      </c>
      <c r="AG92" s="876">
        <v>44088</v>
      </c>
      <c r="AH92" s="871">
        <f t="shared" si="3"/>
        <v>44075</v>
      </c>
    </row>
    <row r="93" spans="1:34" hidden="1">
      <c r="A93">
        <v>4</v>
      </c>
      <c r="B93">
        <v>7019</v>
      </c>
      <c r="C93" t="s">
        <v>238</v>
      </c>
      <c r="D93">
        <v>102</v>
      </c>
      <c r="E93">
        <v>0</v>
      </c>
      <c r="F93">
        <v>0</v>
      </c>
      <c r="G93" t="s">
        <v>177</v>
      </c>
      <c r="H93" t="s">
        <v>177</v>
      </c>
      <c r="I93" s="876">
        <v>44117</v>
      </c>
      <c r="J93">
        <v>4</v>
      </c>
      <c r="K93" t="s">
        <v>239</v>
      </c>
      <c r="L93">
        <v>7019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177</v>
      </c>
      <c r="Z93" t="s">
        <v>177</v>
      </c>
      <c r="AA93" t="s">
        <v>177</v>
      </c>
      <c r="AB93" t="s">
        <v>177</v>
      </c>
      <c r="AC93" t="s">
        <v>177</v>
      </c>
      <c r="AD93" t="s">
        <v>177</v>
      </c>
      <c r="AE93" t="s">
        <v>177</v>
      </c>
      <c r="AF93" t="s">
        <v>177</v>
      </c>
      <c r="AG93" s="876">
        <v>44117</v>
      </c>
      <c r="AH93" s="871">
        <f t="shared" si="3"/>
        <v>44105</v>
      </c>
    </row>
    <row r="94" spans="1:34" hidden="1">
      <c r="A94">
        <v>5</v>
      </c>
      <c r="B94">
        <v>7019</v>
      </c>
      <c r="C94" t="s">
        <v>238</v>
      </c>
      <c r="D94">
        <v>102</v>
      </c>
      <c r="E94">
        <v>0</v>
      </c>
      <c r="F94">
        <v>0</v>
      </c>
      <c r="G94" t="s">
        <v>177</v>
      </c>
      <c r="H94" t="s">
        <v>177</v>
      </c>
      <c r="I94" s="876">
        <v>44147</v>
      </c>
      <c r="J94">
        <v>5</v>
      </c>
      <c r="K94" t="s">
        <v>239</v>
      </c>
      <c r="L94">
        <v>7019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177</v>
      </c>
      <c r="Z94" t="s">
        <v>177</v>
      </c>
      <c r="AA94" t="s">
        <v>177</v>
      </c>
      <c r="AB94" t="s">
        <v>177</v>
      </c>
      <c r="AC94" t="s">
        <v>177</v>
      </c>
      <c r="AD94" t="s">
        <v>177</v>
      </c>
      <c r="AE94" t="s">
        <v>177</v>
      </c>
      <c r="AF94" t="s">
        <v>177</v>
      </c>
      <c r="AG94" s="876">
        <v>44147</v>
      </c>
      <c r="AH94" s="871">
        <f t="shared" si="3"/>
        <v>44136</v>
      </c>
    </row>
    <row r="95" spans="1:34" hidden="1">
      <c r="A95">
        <v>6</v>
      </c>
      <c r="B95">
        <v>7019</v>
      </c>
      <c r="C95" t="s">
        <v>238</v>
      </c>
      <c r="D95">
        <v>102</v>
      </c>
      <c r="E95">
        <v>0</v>
      </c>
      <c r="F95">
        <v>0</v>
      </c>
      <c r="G95" t="s">
        <v>177</v>
      </c>
      <c r="H95" t="s">
        <v>177</v>
      </c>
      <c r="I95" s="876">
        <v>44179</v>
      </c>
      <c r="J95">
        <v>6</v>
      </c>
      <c r="K95" t="s">
        <v>239</v>
      </c>
      <c r="L95">
        <v>7019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177</v>
      </c>
      <c r="Z95" t="s">
        <v>177</v>
      </c>
      <c r="AA95" t="s">
        <v>177</v>
      </c>
      <c r="AB95" t="s">
        <v>177</v>
      </c>
      <c r="AC95" t="s">
        <v>177</v>
      </c>
      <c r="AD95" t="s">
        <v>177</v>
      </c>
      <c r="AE95" t="s">
        <v>177</v>
      </c>
      <c r="AF95" t="s">
        <v>177</v>
      </c>
      <c r="AG95" s="876">
        <v>44179</v>
      </c>
      <c r="AH95" s="871">
        <f t="shared" si="3"/>
        <v>44166</v>
      </c>
    </row>
    <row r="96" spans="1:34" hidden="1">
      <c r="A96">
        <v>7</v>
      </c>
      <c r="B96">
        <v>7019</v>
      </c>
      <c r="C96" t="s">
        <v>238</v>
      </c>
      <c r="D96">
        <v>102</v>
      </c>
      <c r="E96">
        <v>0</v>
      </c>
      <c r="F96">
        <v>0</v>
      </c>
      <c r="G96" t="s">
        <v>177</v>
      </c>
      <c r="H96" t="s">
        <v>177</v>
      </c>
      <c r="I96" s="876">
        <v>44193</v>
      </c>
      <c r="J96">
        <v>7</v>
      </c>
      <c r="K96" t="s">
        <v>239</v>
      </c>
      <c r="L96">
        <v>7019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177</v>
      </c>
      <c r="Z96" t="s">
        <v>177</v>
      </c>
      <c r="AA96" t="s">
        <v>177</v>
      </c>
      <c r="AB96" t="s">
        <v>177</v>
      </c>
      <c r="AC96" t="s">
        <v>177</v>
      </c>
      <c r="AD96" t="s">
        <v>177</v>
      </c>
      <c r="AE96" t="s">
        <v>177</v>
      </c>
      <c r="AF96" t="s">
        <v>177</v>
      </c>
      <c r="AG96" s="876">
        <v>44193</v>
      </c>
      <c r="AH96" s="871">
        <f t="shared" si="3"/>
        <v>44166</v>
      </c>
    </row>
    <row r="97" spans="1:34" hidden="1">
      <c r="A97">
        <v>8</v>
      </c>
      <c r="B97">
        <v>7019</v>
      </c>
      <c r="C97" t="s">
        <v>238</v>
      </c>
      <c r="D97">
        <v>102</v>
      </c>
      <c r="E97">
        <v>0</v>
      </c>
      <c r="F97">
        <v>0</v>
      </c>
      <c r="G97" t="s">
        <v>177</v>
      </c>
      <c r="H97" t="s">
        <v>177</v>
      </c>
      <c r="I97" s="876">
        <v>44208</v>
      </c>
      <c r="J97">
        <v>8</v>
      </c>
      <c r="K97" t="s">
        <v>239</v>
      </c>
      <c r="L97">
        <v>7019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177</v>
      </c>
      <c r="Z97" t="s">
        <v>177</v>
      </c>
      <c r="AA97" t="s">
        <v>177</v>
      </c>
      <c r="AB97" t="s">
        <v>177</v>
      </c>
      <c r="AC97" t="s">
        <v>177</v>
      </c>
      <c r="AD97" t="s">
        <v>177</v>
      </c>
      <c r="AE97" t="s">
        <v>177</v>
      </c>
      <c r="AF97" t="s">
        <v>177</v>
      </c>
      <c r="AG97" s="876">
        <v>44208</v>
      </c>
      <c r="AH97" s="871">
        <f t="shared" si="3"/>
        <v>44197</v>
      </c>
    </row>
    <row r="98" spans="1:34" hidden="1">
      <c r="A98">
        <v>1</v>
      </c>
      <c r="B98">
        <v>31</v>
      </c>
      <c r="C98" t="s">
        <v>178</v>
      </c>
      <c r="D98">
        <v>107</v>
      </c>
      <c r="E98">
        <v>18460448.6599406</v>
      </c>
      <c r="F98">
        <v>9476340.8515916392</v>
      </c>
      <c r="G98">
        <v>0</v>
      </c>
      <c r="H98">
        <v>0</v>
      </c>
      <c r="I98" s="876">
        <v>44043</v>
      </c>
      <c r="J98">
        <v>1</v>
      </c>
      <c r="K98" t="s">
        <v>178</v>
      </c>
      <c r="L98">
        <v>31</v>
      </c>
      <c r="M98">
        <v>7.52816827771014E-2</v>
      </c>
      <c r="N98">
        <v>0.92471831722289899</v>
      </c>
      <c r="O98">
        <v>0</v>
      </c>
      <c r="P98">
        <v>0</v>
      </c>
      <c r="Q98">
        <v>0.139414760093585</v>
      </c>
      <c r="R98">
        <v>0</v>
      </c>
      <c r="S98">
        <v>-8.5287240362824507E-3</v>
      </c>
      <c r="T98">
        <v>-1.4167568533684101E-2</v>
      </c>
      <c r="U98">
        <v>0</v>
      </c>
      <c r="V98">
        <v>-6.1317527091833503E-2</v>
      </c>
      <c r="W98">
        <v>1.9880742345316098E-2</v>
      </c>
      <c r="X98">
        <v>0</v>
      </c>
      <c r="Y98">
        <v>1.27658738766947</v>
      </c>
      <c r="Z98">
        <v>0</v>
      </c>
      <c r="AA98">
        <v>-3.8834037200605402E-2</v>
      </c>
      <c r="AB98">
        <v>0.108092771565738</v>
      </c>
      <c r="AC98">
        <v>0</v>
      </c>
      <c r="AD98">
        <v>-0.54411241649813302</v>
      </c>
      <c r="AE98">
        <v>0.12298461168642601</v>
      </c>
      <c r="AF98">
        <v>0</v>
      </c>
      <c r="AG98" s="876">
        <v>44043</v>
      </c>
      <c r="AH98" s="871">
        <f t="shared" si="3"/>
        <v>44013</v>
      </c>
    </row>
    <row r="99" spans="1:34" hidden="1">
      <c r="A99">
        <v>2</v>
      </c>
      <c r="B99">
        <v>31</v>
      </c>
      <c r="C99" t="s">
        <v>178</v>
      </c>
      <c r="D99">
        <v>107</v>
      </c>
      <c r="E99">
        <v>9387066.6099999994</v>
      </c>
      <c r="F99">
        <v>1520926.9382040601</v>
      </c>
      <c r="G99" t="s">
        <v>177</v>
      </c>
      <c r="H99" t="s">
        <v>177</v>
      </c>
      <c r="I99" s="876">
        <v>44055</v>
      </c>
      <c r="J99">
        <v>2</v>
      </c>
      <c r="K99" t="s">
        <v>178</v>
      </c>
      <c r="L99">
        <v>31</v>
      </c>
      <c r="M99">
        <v>1</v>
      </c>
      <c r="N99" t="s">
        <v>177</v>
      </c>
      <c r="O99">
        <v>0</v>
      </c>
      <c r="P99">
        <v>0</v>
      </c>
      <c r="Q99">
        <v>0.41920302268792398</v>
      </c>
      <c r="R99">
        <v>0</v>
      </c>
      <c r="S99">
        <v>-1.69947944448334E-2</v>
      </c>
      <c r="T99">
        <v>0.147787456218191</v>
      </c>
      <c r="U99">
        <v>0</v>
      </c>
      <c r="V99">
        <v>0.41016513712381802</v>
      </c>
      <c r="W99">
        <v>3.9839178414900402E-2</v>
      </c>
      <c r="X99">
        <v>0</v>
      </c>
      <c r="Y99" t="s">
        <v>177</v>
      </c>
      <c r="Z99" t="s">
        <v>177</v>
      </c>
      <c r="AA99" t="s">
        <v>177</v>
      </c>
      <c r="AB99" t="s">
        <v>177</v>
      </c>
      <c r="AC99" t="s">
        <v>177</v>
      </c>
      <c r="AD99" t="s">
        <v>177</v>
      </c>
      <c r="AE99" t="s">
        <v>177</v>
      </c>
      <c r="AF99" t="s">
        <v>177</v>
      </c>
      <c r="AG99" s="876">
        <v>44055</v>
      </c>
      <c r="AH99" s="871">
        <f t="shared" si="3"/>
        <v>44044</v>
      </c>
    </row>
    <row r="100" spans="1:34" hidden="1">
      <c r="A100">
        <v>3</v>
      </c>
      <c r="B100">
        <v>31</v>
      </c>
      <c r="C100" t="s">
        <v>178</v>
      </c>
      <c r="D100">
        <v>107</v>
      </c>
      <c r="E100">
        <v>3863681.65</v>
      </c>
      <c r="F100">
        <v>7044279.0856746603</v>
      </c>
      <c r="G100" t="s">
        <v>177</v>
      </c>
      <c r="H100" t="s">
        <v>177</v>
      </c>
      <c r="I100" s="876">
        <v>44088</v>
      </c>
      <c r="J100">
        <v>3</v>
      </c>
      <c r="K100" t="s">
        <v>178</v>
      </c>
      <c r="L100">
        <v>31</v>
      </c>
      <c r="M100">
        <v>1</v>
      </c>
      <c r="N100" t="s">
        <v>177</v>
      </c>
      <c r="O100">
        <v>0</v>
      </c>
      <c r="P100">
        <v>0</v>
      </c>
      <c r="Q100">
        <v>0.50778917211925001</v>
      </c>
      <c r="R100">
        <v>0</v>
      </c>
      <c r="S100">
        <v>-4.1184093258936398E-2</v>
      </c>
      <c r="T100">
        <v>0.38367275745766899</v>
      </c>
      <c r="U100">
        <v>0</v>
      </c>
      <c r="V100">
        <v>5.3355919522675599E-2</v>
      </c>
      <c r="W100">
        <v>9.6366244159342099E-2</v>
      </c>
      <c r="X100">
        <v>0</v>
      </c>
      <c r="Y100" t="s">
        <v>177</v>
      </c>
      <c r="Z100" t="s">
        <v>177</v>
      </c>
      <c r="AA100" t="s">
        <v>177</v>
      </c>
      <c r="AB100" t="s">
        <v>177</v>
      </c>
      <c r="AC100" t="s">
        <v>177</v>
      </c>
      <c r="AD100" t="s">
        <v>177</v>
      </c>
      <c r="AE100" t="s">
        <v>177</v>
      </c>
      <c r="AF100" t="s">
        <v>177</v>
      </c>
      <c r="AG100" s="876">
        <v>44088</v>
      </c>
      <c r="AH100" s="871">
        <f t="shared" si="3"/>
        <v>44075</v>
      </c>
    </row>
    <row r="101" spans="1:34" hidden="1">
      <c r="A101">
        <v>4</v>
      </c>
      <c r="B101">
        <v>31</v>
      </c>
      <c r="C101" t="s">
        <v>178</v>
      </c>
      <c r="D101">
        <v>107</v>
      </c>
      <c r="E101">
        <v>2232796.634079</v>
      </c>
      <c r="F101">
        <v>8675123.1015956607</v>
      </c>
      <c r="G101" t="s">
        <v>177</v>
      </c>
      <c r="H101" t="s">
        <v>177</v>
      </c>
      <c r="I101" s="876">
        <v>44117</v>
      </c>
      <c r="J101">
        <v>4</v>
      </c>
      <c r="K101" t="s">
        <v>178</v>
      </c>
      <c r="L101">
        <v>31</v>
      </c>
      <c r="M101">
        <v>1</v>
      </c>
      <c r="N101">
        <v>0</v>
      </c>
      <c r="O101">
        <v>0</v>
      </c>
      <c r="P101">
        <v>0</v>
      </c>
      <c r="Q101">
        <v>0.95847711163795801</v>
      </c>
      <c r="R101">
        <v>0</v>
      </c>
      <c r="S101">
        <v>-7.1032440900335295E-2</v>
      </c>
      <c r="T101">
        <v>1.9636903722047702E-3</v>
      </c>
      <c r="U101">
        <v>0</v>
      </c>
      <c r="V101">
        <v>-5.5466700227322203E-2</v>
      </c>
      <c r="W101">
        <v>0.16605833911749401</v>
      </c>
      <c r="X101">
        <v>0</v>
      </c>
      <c r="Y101" t="s">
        <v>177</v>
      </c>
      <c r="Z101" t="s">
        <v>177</v>
      </c>
      <c r="AA101" t="s">
        <v>177</v>
      </c>
      <c r="AB101" t="s">
        <v>177</v>
      </c>
      <c r="AC101" t="s">
        <v>177</v>
      </c>
      <c r="AD101" t="s">
        <v>177</v>
      </c>
      <c r="AE101" t="s">
        <v>177</v>
      </c>
      <c r="AF101" t="s">
        <v>177</v>
      </c>
      <c r="AG101" s="876">
        <v>44117</v>
      </c>
      <c r="AH101" s="871">
        <f t="shared" si="3"/>
        <v>44105</v>
      </c>
    </row>
    <row r="102" spans="1:34" hidden="1">
      <c r="A102">
        <v>5</v>
      </c>
      <c r="B102">
        <v>31</v>
      </c>
      <c r="C102" t="s">
        <v>178</v>
      </c>
      <c r="D102">
        <v>107</v>
      </c>
      <c r="E102">
        <v>10691198.7471429</v>
      </c>
      <c r="F102">
        <v>0</v>
      </c>
      <c r="G102" t="s">
        <v>177</v>
      </c>
      <c r="H102" t="s">
        <v>177</v>
      </c>
      <c r="I102" s="876">
        <v>44147</v>
      </c>
      <c r="J102">
        <v>5</v>
      </c>
      <c r="K102" t="s">
        <v>178</v>
      </c>
      <c r="L102">
        <v>31</v>
      </c>
      <c r="M102">
        <v>1</v>
      </c>
      <c r="N102">
        <v>0</v>
      </c>
      <c r="O102">
        <v>0</v>
      </c>
      <c r="P102">
        <v>0</v>
      </c>
      <c r="Q102">
        <v>1.1498828337455</v>
      </c>
      <c r="R102">
        <v>0</v>
      </c>
      <c r="S102">
        <v>-6.3664521740113096E-3</v>
      </c>
      <c r="T102">
        <v>-2.02505327594744E-3</v>
      </c>
      <c r="U102">
        <v>0</v>
      </c>
      <c r="V102">
        <v>-0.14832356047019099</v>
      </c>
      <c r="W102">
        <v>6.8322321746548901E-3</v>
      </c>
      <c r="X102">
        <v>0</v>
      </c>
      <c r="Y102" t="s">
        <v>177</v>
      </c>
      <c r="Z102" t="s">
        <v>177</v>
      </c>
      <c r="AA102" t="s">
        <v>177</v>
      </c>
      <c r="AB102" t="s">
        <v>177</v>
      </c>
      <c r="AC102" t="s">
        <v>177</v>
      </c>
      <c r="AD102" t="s">
        <v>177</v>
      </c>
      <c r="AE102" t="s">
        <v>177</v>
      </c>
      <c r="AF102" t="s">
        <v>177</v>
      </c>
      <c r="AG102" s="876">
        <v>44147</v>
      </c>
      <c r="AH102" s="871">
        <f t="shared" si="3"/>
        <v>44136</v>
      </c>
    </row>
    <row r="103" spans="1:34" hidden="1">
      <c r="A103">
        <v>6</v>
      </c>
      <c r="B103">
        <v>31</v>
      </c>
      <c r="C103" t="s">
        <v>178</v>
      </c>
      <c r="D103">
        <v>107</v>
      </c>
      <c r="E103">
        <v>9476340.8571428601</v>
      </c>
      <c r="F103">
        <v>0</v>
      </c>
      <c r="G103" t="s">
        <v>177</v>
      </c>
      <c r="H103" t="s">
        <v>177</v>
      </c>
      <c r="I103" s="876">
        <v>44179</v>
      </c>
      <c r="J103">
        <v>6</v>
      </c>
      <c r="K103" t="s">
        <v>178</v>
      </c>
      <c r="L103">
        <v>31</v>
      </c>
      <c r="M103">
        <v>1</v>
      </c>
      <c r="N103">
        <v>0</v>
      </c>
      <c r="O103">
        <v>0</v>
      </c>
      <c r="P103">
        <v>0</v>
      </c>
      <c r="Q103">
        <v>0.56875007437195801</v>
      </c>
      <c r="R103">
        <v>0</v>
      </c>
      <c r="S103">
        <v>0</v>
      </c>
      <c r="T103">
        <v>0.30272393433949202</v>
      </c>
      <c r="U103">
        <v>0</v>
      </c>
      <c r="V103">
        <v>9.4523378560690194E-2</v>
      </c>
      <c r="W103">
        <v>3.4002612727860898E-2</v>
      </c>
      <c r="X103">
        <v>0</v>
      </c>
      <c r="Y103" t="s">
        <v>177</v>
      </c>
      <c r="Z103" t="s">
        <v>177</v>
      </c>
      <c r="AA103" t="s">
        <v>177</v>
      </c>
      <c r="AB103" t="s">
        <v>177</v>
      </c>
      <c r="AC103" t="s">
        <v>177</v>
      </c>
      <c r="AD103" t="s">
        <v>177</v>
      </c>
      <c r="AE103" t="s">
        <v>177</v>
      </c>
      <c r="AF103" t="s">
        <v>177</v>
      </c>
      <c r="AG103" s="876">
        <v>44179</v>
      </c>
      <c r="AH103" s="871">
        <f t="shared" si="3"/>
        <v>44166</v>
      </c>
    </row>
    <row r="104" spans="1:34" hidden="1">
      <c r="A104">
        <v>7</v>
      </c>
      <c r="B104">
        <v>31</v>
      </c>
      <c r="C104" t="s">
        <v>178</v>
      </c>
      <c r="D104">
        <v>107</v>
      </c>
      <c r="E104">
        <v>9476340.8571428601</v>
      </c>
      <c r="F104">
        <v>0</v>
      </c>
      <c r="G104" t="s">
        <v>177</v>
      </c>
      <c r="H104" t="s">
        <v>177</v>
      </c>
      <c r="I104" s="876">
        <v>44193</v>
      </c>
      <c r="J104">
        <v>7</v>
      </c>
      <c r="K104" t="s">
        <v>178</v>
      </c>
      <c r="L104">
        <v>31</v>
      </c>
      <c r="M104">
        <v>1</v>
      </c>
      <c r="N104">
        <v>0</v>
      </c>
      <c r="O104">
        <v>0</v>
      </c>
      <c r="P104">
        <v>0</v>
      </c>
      <c r="Q104">
        <v>0.607565909242618</v>
      </c>
      <c r="R104">
        <v>0</v>
      </c>
      <c r="S104">
        <v>0</v>
      </c>
      <c r="T104">
        <v>2.5293745059697201E-2</v>
      </c>
      <c r="U104">
        <v>0</v>
      </c>
      <c r="V104">
        <v>0.36708870515779501</v>
      </c>
      <c r="W104">
        <v>5.1640539889839697E-5</v>
      </c>
      <c r="X104">
        <v>0</v>
      </c>
      <c r="Y104" t="s">
        <v>177</v>
      </c>
      <c r="Z104" t="s">
        <v>177</v>
      </c>
      <c r="AA104" t="s">
        <v>177</v>
      </c>
      <c r="AB104" t="s">
        <v>177</v>
      </c>
      <c r="AC104" t="s">
        <v>177</v>
      </c>
      <c r="AD104" t="s">
        <v>177</v>
      </c>
      <c r="AE104" t="s">
        <v>177</v>
      </c>
      <c r="AF104" t="s">
        <v>177</v>
      </c>
      <c r="AG104" s="876">
        <v>44193</v>
      </c>
      <c r="AH104" s="871">
        <f t="shared" si="3"/>
        <v>44166</v>
      </c>
    </row>
    <row r="105" spans="1:34" hidden="1">
      <c r="A105">
        <v>8</v>
      </c>
      <c r="B105">
        <v>31</v>
      </c>
      <c r="C105" t="s">
        <v>178</v>
      </c>
      <c r="D105">
        <v>107</v>
      </c>
      <c r="E105">
        <v>0</v>
      </c>
      <c r="F105">
        <v>0</v>
      </c>
      <c r="G105" t="s">
        <v>177</v>
      </c>
      <c r="H105" t="s">
        <v>177</v>
      </c>
      <c r="I105" s="876">
        <v>44208</v>
      </c>
      <c r="J105">
        <v>8</v>
      </c>
      <c r="K105" t="s">
        <v>178</v>
      </c>
      <c r="L105">
        <v>31</v>
      </c>
      <c r="M105">
        <v>1</v>
      </c>
      <c r="N105">
        <v>0</v>
      </c>
      <c r="O105">
        <v>0</v>
      </c>
      <c r="P105">
        <v>0</v>
      </c>
      <c r="Q105">
        <v>0.607565909242618</v>
      </c>
      <c r="R105">
        <v>0</v>
      </c>
      <c r="S105">
        <v>0</v>
      </c>
      <c r="T105">
        <v>2.5293745059697201E-2</v>
      </c>
      <c r="U105">
        <v>0</v>
      </c>
      <c r="V105">
        <v>0.36708870515779501</v>
      </c>
      <c r="W105">
        <v>5.1640539889839697E-5</v>
      </c>
      <c r="X105">
        <v>0</v>
      </c>
      <c r="Y105" t="s">
        <v>177</v>
      </c>
      <c r="Z105" t="s">
        <v>177</v>
      </c>
      <c r="AA105" t="s">
        <v>177</v>
      </c>
      <c r="AB105" t="s">
        <v>177</v>
      </c>
      <c r="AC105" t="s">
        <v>177</v>
      </c>
      <c r="AD105" t="s">
        <v>177</v>
      </c>
      <c r="AE105" t="s">
        <v>177</v>
      </c>
      <c r="AF105" t="s">
        <v>177</v>
      </c>
      <c r="AG105" s="876">
        <v>44208</v>
      </c>
      <c r="AH105" s="871">
        <f t="shared" si="3"/>
        <v>44197</v>
      </c>
    </row>
    <row r="106" spans="1:34" hidden="1">
      <c r="A106">
        <v>1</v>
      </c>
      <c r="B106">
        <v>44</v>
      </c>
      <c r="C106" t="s">
        <v>185</v>
      </c>
      <c r="D106">
        <v>108</v>
      </c>
      <c r="E106">
        <v>132078968.16502599</v>
      </c>
      <c r="F106">
        <v>0</v>
      </c>
      <c r="G106">
        <v>24335496</v>
      </c>
      <c r="H106">
        <v>164529925</v>
      </c>
      <c r="I106" s="876">
        <v>44043</v>
      </c>
      <c r="J106">
        <v>1</v>
      </c>
      <c r="K106" t="s">
        <v>185</v>
      </c>
      <c r="L106">
        <v>44</v>
      </c>
      <c r="M106">
        <v>0.10243625603247</v>
      </c>
      <c r="N106">
        <v>0.84194069858769705</v>
      </c>
      <c r="O106">
        <v>5.1964828457170702E-2</v>
      </c>
      <c r="P106">
        <v>3.6582169226620702E-3</v>
      </c>
      <c r="Q106">
        <v>5.1758951152007203E-2</v>
      </c>
      <c r="R106">
        <v>0</v>
      </c>
      <c r="S106">
        <v>-8.7352129044637396E-6</v>
      </c>
      <c r="T106">
        <v>-1.23338166662304E-2</v>
      </c>
      <c r="U106">
        <v>0</v>
      </c>
      <c r="V106">
        <v>2.92339062284631E-2</v>
      </c>
      <c r="W106">
        <v>3.3785950531134298E-2</v>
      </c>
      <c r="X106">
        <v>0</v>
      </c>
      <c r="Y106">
        <v>0.76172005412538502</v>
      </c>
      <c r="Z106">
        <v>0</v>
      </c>
      <c r="AA106">
        <v>-1.34390257624707E-2</v>
      </c>
      <c r="AB106">
        <v>0.18263585719408801</v>
      </c>
      <c r="AC106">
        <v>0</v>
      </c>
      <c r="AD106">
        <v>-0.151264825873037</v>
      </c>
      <c r="AE106">
        <v>6.2288638903731403E-2</v>
      </c>
      <c r="AF106">
        <v>0</v>
      </c>
      <c r="AG106" s="876">
        <v>44043</v>
      </c>
      <c r="AH106" s="871">
        <f t="shared" si="3"/>
        <v>44013</v>
      </c>
    </row>
    <row r="107" spans="1:34" hidden="1">
      <c r="A107">
        <v>2</v>
      </c>
      <c r="B107">
        <v>44</v>
      </c>
      <c r="C107" t="s">
        <v>185</v>
      </c>
      <c r="D107">
        <v>108</v>
      </c>
      <c r="E107">
        <v>3689304.8349740701</v>
      </c>
      <c r="F107">
        <v>0</v>
      </c>
      <c r="G107" t="s">
        <v>177</v>
      </c>
      <c r="H107" t="s">
        <v>177</v>
      </c>
      <c r="I107" s="876">
        <v>44055</v>
      </c>
      <c r="J107">
        <v>2</v>
      </c>
      <c r="K107" t="s">
        <v>185</v>
      </c>
      <c r="L107">
        <v>44</v>
      </c>
      <c r="M107">
        <v>0.80009057102396697</v>
      </c>
      <c r="N107" t="s">
        <v>177</v>
      </c>
      <c r="O107">
        <v>0.159993055</v>
      </c>
      <c r="P107">
        <v>3.9916373999999998E-2</v>
      </c>
      <c r="Q107">
        <v>0.33431290681896603</v>
      </c>
      <c r="R107">
        <v>0</v>
      </c>
      <c r="S107">
        <v>-5.17391696916318E-5</v>
      </c>
      <c r="T107">
        <v>0.395788378241415</v>
      </c>
      <c r="U107">
        <v>0</v>
      </c>
      <c r="V107">
        <v>7.0374666901664107E-2</v>
      </c>
      <c r="W107">
        <v>-3.33641768386326E-4</v>
      </c>
      <c r="X107">
        <v>0</v>
      </c>
      <c r="Y107" t="s">
        <v>177</v>
      </c>
      <c r="Z107" t="s">
        <v>177</v>
      </c>
      <c r="AA107" t="s">
        <v>177</v>
      </c>
      <c r="AB107" t="s">
        <v>177</v>
      </c>
      <c r="AC107" t="s">
        <v>177</v>
      </c>
      <c r="AD107" t="s">
        <v>177</v>
      </c>
      <c r="AE107" t="s">
        <v>177</v>
      </c>
      <c r="AF107" t="s">
        <v>177</v>
      </c>
      <c r="AG107" s="876">
        <v>44055</v>
      </c>
      <c r="AH107" s="871">
        <f t="shared" si="3"/>
        <v>44044</v>
      </c>
    </row>
    <row r="108" spans="1:34" hidden="1">
      <c r="A108">
        <v>3</v>
      </c>
      <c r="B108">
        <v>44</v>
      </c>
      <c r="C108" t="s">
        <v>185</v>
      </c>
      <c r="D108">
        <v>108</v>
      </c>
      <c r="E108">
        <v>0</v>
      </c>
      <c r="F108">
        <v>0</v>
      </c>
      <c r="G108" t="s">
        <v>177</v>
      </c>
      <c r="H108" t="s">
        <v>177</v>
      </c>
      <c r="I108" s="876">
        <v>44088</v>
      </c>
      <c r="J108">
        <v>3</v>
      </c>
      <c r="K108" t="s">
        <v>185</v>
      </c>
      <c r="L108">
        <v>44</v>
      </c>
      <c r="M108">
        <v>0.56317249110675205</v>
      </c>
      <c r="N108" t="s">
        <v>177</v>
      </c>
      <c r="O108">
        <v>0.38217756349999998</v>
      </c>
      <c r="P108">
        <v>5.464994535E-2</v>
      </c>
      <c r="Q108">
        <v>-7.2581043745785001E-2</v>
      </c>
      <c r="R108">
        <v>0</v>
      </c>
      <c r="S108">
        <v>-6.4820153906737201E-5</v>
      </c>
      <c r="T108">
        <v>0.60840853948899798</v>
      </c>
      <c r="U108">
        <v>0</v>
      </c>
      <c r="V108">
        <v>2.6525594296728301E-2</v>
      </c>
      <c r="W108">
        <v>8.8422122071708201E-4</v>
      </c>
      <c r="X108">
        <v>0</v>
      </c>
      <c r="Y108" t="s">
        <v>177</v>
      </c>
      <c r="Z108" t="s">
        <v>177</v>
      </c>
      <c r="AA108" t="s">
        <v>177</v>
      </c>
      <c r="AB108" t="s">
        <v>177</v>
      </c>
      <c r="AC108" t="s">
        <v>177</v>
      </c>
      <c r="AD108" t="s">
        <v>177</v>
      </c>
      <c r="AE108" t="s">
        <v>177</v>
      </c>
      <c r="AF108" t="s">
        <v>177</v>
      </c>
      <c r="AG108" s="876">
        <v>44088</v>
      </c>
      <c r="AH108" s="871">
        <f t="shared" si="3"/>
        <v>44075</v>
      </c>
    </row>
    <row r="109" spans="1:34" hidden="1">
      <c r="A109">
        <v>4</v>
      </c>
      <c r="B109">
        <v>44</v>
      </c>
      <c r="C109" t="s">
        <v>185</v>
      </c>
      <c r="D109">
        <v>108</v>
      </c>
      <c r="E109">
        <v>0</v>
      </c>
      <c r="F109">
        <v>0</v>
      </c>
      <c r="G109" t="s">
        <v>177</v>
      </c>
      <c r="H109" t="s">
        <v>177</v>
      </c>
      <c r="I109" s="876">
        <v>44117</v>
      </c>
      <c r="J109">
        <v>4</v>
      </c>
      <c r="K109" t="s">
        <v>185</v>
      </c>
      <c r="L109">
        <v>44</v>
      </c>
      <c r="M109">
        <v>0.46503753375045398</v>
      </c>
      <c r="N109">
        <v>0</v>
      </c>
      <c r="O109">
        <v>0.290099394189541</v>
      </c>
      <c r="P109">
        <v>0.24486307206000499</v>
      </c>
      <c r="Q109">
        <v>-1.8816345048079299E-2</v>
      </c>
      <c r="R109">
        <v>0</v>
      </c>
      <c r="S109">
        <v>-5.9681716529128599E-5</v>
      </c>
      <c r="T109">
        <v>0.53882076675359702</v>
      </c>
      <c r="U109">
        <v>0</v>
      </c>
      <c r="V109">
        <v>-5.5845893510386199E-2</v>
      </c>
      <c r="W109">
        <v>9.3868727185144197E-4</v>
      </c>
      <c r="X109">
        <v>0</v>
      </c>
      <c r="Y109" t="s">
        <v>177</v>
      </c>
      <c r="Z109" t="s">
        <v>177</v>
      </c>
      <c r="AA109" t="s">
        <v>177</v>
      </c>
      <c r="AB109" t="s">
        <v>177</v>
      </c>
      <c r="AC109" t="s">
        <v>177</v>
      </c>
      <c r="AD109" t="s">
        <v>177</v>
      </c>
      <c r="AE109" t="s">
        <v>177</v>
      </c>
      <c r="AF109" t="s">
        <v>177</v>
      </c>
      <c r="AG109" s="876">
        <v>44117</v>
      </c>
      <c r="AH109" s="871">
        <f t="shared" si="3"/>
        <v>44105</v>
      </c>
    </row>
    <row r="110" spans="1:34" hidden="1">
      <c r="A110">
        <v>5</v>
      </c>
      <c r="B110">
        <v>44</v>
      </c>
      <c r="C110" t="s">
        <v>185</v>
      </c>
      <c r="D110">
        <v>108</v>
      </c>
      <c r="E110">
        <v>0</v>
      </c>
      <c r="F110">
        <v>0</v>
      </c>
      <c r="G110" t="s">
        <v>177</v>
      </c>
      <c r="H110" t="s">
        <v>177</v>
      </c>
      <c r="I110" s="876">
        <v>44147</v>
      </c>
      <c r="J110">
        <v>5</v>
      </c>
      <c r="K110" t="s">
        <v>185</v>
      </c>
      <c r="L110">
        <v>44</v>
      </c>
      <c r="M110">
        <v>0.90703292648834899</v>
      </c>
      <c r="N110">
        <v>0</v>
      </c>
      <c r="O110">
        <v>0</v>
      </c>
      <c r="P110">
        <v>9.2967073511650594E-2</v>
      </c>
      <c r="Q110">
        <v>-0.37760270417481301</v>
      </c>
      <c r="R110">
        <v>0</v>
      </c>
      <c r="S110">
        <v>-1.3052146216995601E-4</v>
      </c>
      <c r="T110">
        <v>1.3564026704083401</v>
      </c>
      <c r="U110">
        <v>0</v>
      </c>
      <c r="V110">
        <v>-7.4133601037314506E-2</v>
      </c>
      <c r="W110">
        <v>2.49708275430425E-3</v>
      </c>
      <c r="X110">
        <v>0</v>
      </c>
      <c r="Y110" t="s">
        <v>177</v>
      </c>
      <c r="Z110" t="s">
        <v>177</v>
      </c>
      <c r="AA110" t="s">
        <v>177</v>
      </c>
      <c r="AB110" t="s">
        <v>177</v>
      </c>
      <c r="AC110" t="s">
        <v>177</v>
      </c>
      <c r="AD110" t="s">
        <v>177</v>
      </c>
      <c r="AE110" t="s">
        <v>177</v>
      </c>
      <c r="AF110" t="s">
        <v>177</v>
      </c>
      <c r="AG110" s="876">
        <v>44147</v>
      </c>
      <c r="AH110" s="871">
        <f t="shared" si="3"/>
        <v>44136</v>
      </c>
    </row>
    <row r="111" spans="1:34" hidden="1">
      <c r="A111">
        <v>6</v>
      </c>
      <c r="B111">
        <v>44</v>
      </c>
      <c r="C111" t="s">
        <v>185</v>
      </c>
      <c r="D111">
        <v>108</v>
      </c>
      <c r="E111">
        <v>0</v>
      </c>
      <c r="F111">
        <v>0</v>
      </c>
      <c r="G111" t="s">
        <v>177</v>
      </c>
      <c r="H111" t="s">
        <v>177</v>
      </c>
      <c r="I111" s="876">
        <v>44179</v>
      </c>
      <c r="J111">
        <v>6</v>
      </c>
      <c r="K111" t="s">
        <v>185</v>
      </c>
      <c r="L111">
        <v>44</v>
      </c>
      <c r="M111">
        <v>0.97208185093599597</v>
      </c>
      <c r="N111">
        <v>0</v>
      </c>
      <c r="O111">
        <v>0</v>
      </c>
      <c r="P111">
        <v>2.79181490640035E-2</v>
      </c>
      <c r="Q111">
        <v>0.55641223716445898</v>
      </c>
      <c r="R111">
        <v>0</v>
      </c>
      <c r="S111">
        <v>-6.6737909756349804E-11</v>
      </c>
      <c r="T111">
        <v>0.32716288639827201</v>
      </c>
      <c r="U111">
        <v>0</v>
      </c>
      <c r="V111">
        <v>8.7685731377205603E-2</v>
      </c>
      <c r="W111">
        <v>8.2099606279716303E-4</v>
      </c>
      <c r="X111">
        <v>0</v>
      </c>
      <c r="Y111" t="s">
        <v>177</v>
      </c>
      <c r="Z111" t="s">
        <v>177</v>
      </c>
      <c r="AA111" t="s">
        <v>177</v>
      </c>
      <c r="AB111" t="s">
        <v>177</v>
      </c>
      <c r="AC111" t="s">
        <v>177</v>
      </c>
      <c r="AD111" t="s">
        <v>177</v>
      </c>
      <c r="AE111" t="s">
        <v>177</v>
      </c>
      <c r="AF111" t="s">
        <v>177</v>
      </c>
      <c r="AG111" s="876">
        <v>44179</v>
      </c>
      <c r="AH111" s="871">
        <f t="shared" si="3"/>
        <v>44166</v>
      </c>
    </row>
    <row r="112" spans="1:34" hidden="1">
      <c r="A112">
        <v>7</v>
      </c>
      <c r="B112">
        <v>44</v>
      </c>
      <c r="C112" t="s">
        <v>185</v>
      </c>
      <c r="D112">
        <v>108</v>
      </c>
      <c r="E112">
        <v>0</v>
      </c>
      <c r="F112">
        <v>0</v>
      </c>
      <c r="G112" t="s">
        <v>177</v>
      </c>
      <c r="H112" t="s">
        <v>177</v>
      </c>
      <c r="I112" s="876">
        <v>44193</v>
      </c>
      <c r="J112">
        <v>7</v>
      </c>
      <c r="K112" t="s">
        <v>185</v>
      </c>
      <c r="L112">
        <v>44</v>
      </c>
      <c r="M112">
        <v>1</v>
      </c>
      <c r="N112">
        <v>0</v>
      </c>
      <c r="O112">
        <v>0</v>
      </c>
      <c r="P112">
        <v>0</v>
      </c>
      <c r="Q112">
        <v>0.69893581251751102</v>
      </c>
      <c r="R112">
        <v>0</v>
      </c>
      <c r="S112">
        <v>0</v>
      </c>
      <c r="T112">
        <v>0.140979367499484</v>
      </c>
      <c r="U112">
        <v>0</v>
      </c>
      <c r="V112">
        <v>0.15968617394801299</v>
      </c>
      <c r="W112">
        <v>3.9864603499199802E-4</v>
      </c>
      <c r="X112">
        <v>0</v>
      </c>
      <c r="Y112" t="s">
        <v>177</v>
      </c>
      <c r="Z112" t="s">
        <v>177</v>
      </c>
      <c r="AA112" t="s">
        <v>177</v>
      </c>
      <c r="AB112" t="s">
        <v>177</v>
      </c>
      <c r="AC112" t="s">
        <v>177</v>
      </c>
      <c r="AD112" t="s">
        <v>177</v>
      </c>
      <c r="AE112" t="s">
        <v>177</v>
      </c>
      <c r="AF112" t="s">
        <v>177</v>
      </c>
      <c r="AG112" s="876">
        <v>44193</v>
      </c>
      <c r="AH112" s="871">
        <f t="shared" si="3"/>
        <v>44166</v>
      </c>
    </row>
    <row r="113" spans="1:34" hidden="1">
      <c r="A113">
        <v>8</v>
      </c>
      <c r="B113">
        <v>44</v>
      </c>
      <c r="C113" t="s">
        <v>185</v>
      </c>
      <c r="D113">
        <v>108</v>
      </c>
      <c r="E113">
        <v>0</v>
      </c>
      <c r="F113">
        <v>0</v>
      </c>
      <c r="G113" t="s">
        <v>177</v>
      </c>
      <c r="H113" t="s">
        <v>177</v>
      </c>
      <c r="I113" s="876">
        <v>44208</v>
      </c>
      <c r="J113">
        <v>8</v>
      </c>
      <c r="K113" t="s">
        <v>185</v>
      </c>
      <c r="L113">
        <v>44</v>
      </c>
      <c r="M113">
        <v>1</v>
      </c>
      <c r="N113">
        <v>0</v>
      </c>
      <c r="O113">
        <v>0</v>
      </c>
      <c r="P113">
        <v>0</v>
      </c>
      <c r="Q113">
        <v>0.69893581251751102</v>
      </c>
      <c r="R113">
        <v>0</v>
      </c>
      <c r="S113">
        <v>0</v>
      </c>
      <c r="T113">
        <v>0.140979367499484</v>
      </c>
      <c r="U113">
        <v>0</v>
      </c>
      <c r="V113">
        <v>0.15968617394801299</v>
      </c>
      <c r="W113">
        <v>3.9864603499199802E-4</v>
      </c>
      <c r="X113">
        <v>0</v>
      </c>
      <c r="Y113" t="s">
        <v>177</v>
      </c>
      <c r="Z113" t="s">
        <v>177</v>
      </c>
      <c r="AA113" t="s">
        <v>177</v>
      </c>
      <c r="AB113" t="s">
        <v>177</v>
      </c>
      <c r="AC113" t="s">
        <v>177</v>
      </c>
      <c r="AD113" t="s">
        <v>177</v>
      </c>
      <c r="AE113" t="s">
        <v>177</v>
      </c>
      <c r="AF113" t="s">
        <v>177</v>
      </c>
      <c r="AG113" s="876">
        <v>44208</v>
      </c>
      <c r="AH113" s="871">
        <f t="shared" si="3"/>
        <v>44197</v>
      </c>
    </row>
    <row r="114" spans="1:34" hidden="1">
      <c r="A114">
        <v>1</v>
      </c>
      <c r="B114">
        <v>5160</v>
      </c>
      <c r="C114" t="s">
        <v>219</v>
      </c>
      <c r="D114">
        <v>109</v>
      </c>
      <c r="E114">
        <v>197285878.536484</v>
      </c>
      <c r="F114">
        <v>0</v>
      </c>
      <c r="G114">
        <v>0</v>
      </c>
      <c r="H114">
        <v>0</v>
      </c>
      <c r="I114" s="876">
        <v>44043</v>
      </c>
      <c r="J114">
        <v>1</v>
      </c>
      <c r="K114" t="s">
        <v>220</v>
      </c>
      <c r="L114">
        <v>5160</v>
      </c>
      <c r="M114">
        <v>6.1457963843862998E-2</v>
      </c>
      <c r="N114">
        <v>0.586942418327148</v>
      </c>
      <c r="O114">
        <v>0.30883028309972299</v>
      </c>
      <c r="P114">
        <v>4.2769334729266403E-2</v>
      </c>
      <c r="Q114">
        <v>4.3017387675978798E-2</v>
      </c>
      <c r="R114">
        <v>0</v>
      </c>
      <c r="S114">
        <v>-4.5054317956955197E-3</v>
      </c>
      <c r="T114">
        <v>-8.0523971699586906E-3</v>
      </c>
      <c r="U114">
        <v>1.51009166094422E-3</v>
      </c>
      <c r="V114">
        <v>1.9625949047761999E-3</v>
      </c>
      <c r="W114">
        <v>2.7525718567817999E-2</v>
      </c>
      <c r="X114">
        <v>0</v>
      </c>
      <c r="Y114">
        <v>1.01216601599324</v>
      </c>
      <c r="Z114">
        <v>0</v>
      </c>
      <c r="AA114">
        <v>-1.58838385354606E-2</v>
      </c>
      <c r="AB114">
        <v>7.2662893190041197E-2</v>
      </c>
      <c r="AC114">
        <v>2.1062608184759399E-2</v>
      </c>
      <c r="AD114">
        <v>-0.47938056333064</v>
      </c>
      <c r="AE114">
        <v>-2.3684697174794898E-2</v>
      </c>
      <c r="AF114">
        <v>0</v>
      </c>
      <c r="AG114" s="876">
        <v>44043</v>
      </c>
      <c r="AH114" s="871">
        <f t="shared" si="3"/>
        <v>44013</v>
      </c>
    </row>
    <row r="115" spans="1:34" hidden="1">
      <c r="A115">
        <v>2</v>
      </c>
      <c r="B115">
        <v>5160</v>
      </c>
      <c r="C115" t="s">
        <v>219</v>
      </c>
      <c r="D115">
        <v>109</v>
      </c>
      <c r="E115">
        <v>32551032.379999999</v>
      </c>
      <c r="F115">
        <v>0</v>
      </c>
      <c r="G115" t="s">
        <v>177</v>
      </c>
      <c r="H115" t="s">
        <v>177</v>
      </c>
      <c r="I115" s="876">
        <v>44055</v>
      </c>
      <c r="J115">
        <v>2</v>
      </c>
      <c r="K115" t="s">
        <v>220</v>
      </c>
      <c r="L115">
        <v>5160</v>
      </c>
      <c r="M115">
        <v>0.44102704764811201</v>
      </c>
      <c r="N115" t="s">
        <v>177</v>
      </c>
      <c r="O115">
        <v>5.9299137452033801E-2</v>
      </c>
      <c r="P115">
        <v>0.49967381489985502</v>
      </c>
      <c r="Q115">
        <v>0.318521338059023</v>
      </c>
      <c r="R115">
        <v>0</v>
      </c>
      <c r="S115">
        <v>-2.5111559300771899E-2</v>
      </c>
      <c r="T115">
        <v>-6.8057087833621993E-2</v>
      </c>
      <c r="U115">
        <v>8.1566826167534193E-3</v>
      </c>
      <c r="V115">
        <v>3.5271727682020602E-2</v>
      </c>
      <c r="W115">
        <v>0.172245946424709</v>
      </c>
      <c r="X115">
        <v>0</v>
      </c>
      <c r="Y115" t="s">
        <v>177</v>
      </c>
      <c r="Z115" t="s">
        <v>177</v>
      </c>
      <c r="AA115" t="s">
        <v>177</v>
      </c>
      <c r="AB115" t="s">
        <v>177</v>
      </c>
      <c r="AC115" t="s">
        <v>177</v>
      </c>
      <c r="AD115" t="s">
        <v>177</v>
      </c>
      <c r="AE115" t="s">
        <v>177</v>
      </c>
      <c r="AF115" t="s">
        <v>177</v>
      </c>
      <c r="AG115" s="876">
        <v>44055</v>
      </c>
      <c r="AH115" s="871">
        <f t="shared" si="3"/>
        <v>44044</v>
      </c>
    </row>
    <row r="116" spans="1:34" hidden="1">
      <c r="A116">
        <v>3</v>
      </c>
      <c r="B116">
        <v>5160</v>
      </c>
      <c r="C116" t="s">
        <v>219</v>
      </c>
      <c r="D116">
        <v>109</v>
      </c>
      <c r="E116">
        <v>49121818.920000002</v>
      </c>
      <c r="F116">
        <v>0</v>
      </c>
      <c r="G116" t="s">
        <v>177</v>
      </c>
      <c r="H116" t="s">
        <v>177</v>
      </c>
      <c r="I116" s="876">
        <v>44088</v>
      </c>
      <c r="J116">
        <v>3</v>
      </c>
      <c r="K116" t="s">
        <v>220</v>
      </c>
      <c r="L116">
        <v>5160</v>
      </c>
      <c r="M116">
        <v>0.65288242640094496</v>
      </c>
      <c r="N116" t="s">
        <v>177</v>
      </c>
      <c r="O116">
        <v>8.51452336705599E-2</v>
      </c>
      <c r="P116">
        <v>0.261972339928496</v>
      </c>
      <c r="Q116">
        <v>0.36479758317426902</v>
      </c>
      <c r="R116">
        <v>0</v>
      </c>
      <c r="S116">
        <v>-2.0845396515090101E-2</v>
      </c>
      <c r="T116">
        <v>0.181937864373238</v>
      </c>
      <c r="U116">
        <v>1.8563656885716599E-2</v>
      </c>
      <c r="V116">
        <v>-2.6412688254258101E-2</v>
      </c>
      <c r="W116">
        <v>0.13484140673706899</v>
      </c>
      <c r="X116">
        <v>0</v>
      </c>
      <c r="Y116" t="s">
        <v>177</v>
      </c>
      <c r="Z116" t="s">
        <v>177</v>
      </c>
      <c r="AA116" t="s">
        <v>177</v>
      </c>
      <c r="AB116" t="s">
        <v>177</v>
      </c>
      <c r="AC116" t="s">
        <v>177</v>
      </c>
      <c r="AD116" t="s">
        <v>177</v>
      </c>
      <c r="AE116" t="s">
        <v>177</v>
      </c>
      <c r="AF116" t="s">
        <v>177</v>
      </c>
      <c r="AG116" s="876">
        <v>44088</v>
      </c>
      <c r="AH116" s="871">
        <f t="shared" si="3"/>
        <v>44075</v>
      </c>
    </row>
    <row r="117" spans="1:34" hidden="1">
      <c r="A117">
        <v>4</v>
      </c>
      <c r="B117">
        <v>5160</v>
      </c>
      <c r="C117" t="s">
        <v>219</v>
      </c>
      <c r="D117">
        <v>109</v>
      </c>
      <c r="E117">
        <v>49899569.810000002</v>
      </c>
      <c r="F117">
        <v>0</v>
      </c>
      <c r="G117" t="s">
        <v>177</v>
      </c>
      <c r="H117" t="s">
        <v>177</v>
      </c>
      <c r="I117" s="876">
        <v>44117</v>
      </c>
      <c r="J117">
        <v>4</v>
      </c>
      <c r="K117" t="s">
        <v>220</v>
      </c>
      <c r="L117">
        <v>5160</v>
      </c>
      <c r="M117">
        <v>0.65562092983706899</v>
      </c>
      <c r="N117">
        <v>0</v>
      </c>
      <c r="O117">
        <v>0.29560724899741803</v>
      </c>
      <c r="P117">
        <v>4.8771821165513103E-2</v>
      </c>
      <c r="Q117">
        <v>0.47313353981787798</v>
      </c>
      <c r="R117">
        <v>0</v>
      </c>
      <c r="S117">
        <v>-1.2262799827736599E-2</v>
      </c>
      <c r="T117">
        <v>5.2304721589813002E-2</v>
      </c>
      <c r="U117">
        <v>1.40421621577931E-2</v>
      </c>
      <c r="V117">
        <v>1.1306472488902101E-2</v>
      </c>
      <c r="W117">
        <v>0.11709683361042</v>
      </c>
      <c r="X117">
        <v>0</v>
      </c>
      <c r="Y117" t="s">
        <v>177</v>
      </c>
      <c r="Z117" t="s">
        <v>177</v>
      </c>
      <c r="AA117" t="s">
        <v>177</v>
      </c>
      <c r="AB117" t="s">
        <v>177</v>
      </c>
      <c r="AC117" t="s">
        <v>177</v>
      </c>
      <c r="AD117" t="s">
        <v>177</v>
      </c>
      <c r="AE117" t="s">
        <v>177</v>
      </c>
      <c r="AF117" t="s">
        <v>177</v>
      </c>
      <c r="AG117" s="876">
        <v>44117</v>
      </c>
      <c r="AH117" s="871">
        <f t="shared" si="3"/>
        <v>44105</v>
      </c>
    </row>
    <row r="118" spans="1:34" hidden="1">
      <c r="A118">
        <v>5</v>
      </c>
      <c r="B118">
        <v>5160</v>
      </c>
      <c r="C118" t="s">
        <v>219</v>
      </c>
      <c r="D118">
        <v>109</v>
      </c>
      <c r="E118">
        <v>4459160.6357284002</v>
      </c>
      <c r="F118">
        <v>0</v>
      </c>
      <c r="G118" t="s">
        <v>177</v>
      </c>
      <c r="H118" t="s">
        <v>177</v>
      </c>
      <c r="I118" s="876">
        <v>44147</v>
      </c>
      <c r="J118">
        <v>5</v>
      </c>
      <c r="K118" t="s">
        <v>220</v>
      </c>
      <c r="L118">
        <v>5160</v>
      </c>
      <c r="M118">
        <v>0.91021166952659405</v>
      </c>
      <c r="N118">
        <v>0</v>
      </c>
      <c r="O118">
        <v>7.5775113736840205E-2</v>
      </c>
      <c r="P118">
        <v>1.40132167365655E-2</v>
      </c>
      <c r="Q118">
        <v>0.30459056083513603</v>
      </c>
      <c r="R118">
        <v>0</v>
      </c>
      <c r="S118">
        <v>0</v>
      </c>
      <c r="T118">
        <v>0.49781448455976302</v>
      </c>
      <c r="U118">
        <v>5.8597297682082602E-3</v>
      </c>
      <c r="V118">
        <v>0.101946894363486</v>
      </c>
      <c r="W118">
        <v>0</v>
      </c>
      <c r="X118">
        <v>0</v>
      </c>
      <c r="Y118" t="s">
        <v>177</v>
      </c>
      <c r="Z118" t="s">
        <v>177</v>
      </c>
      <c r="AA118" t="s">
        <v>177</v>
      </c>
      <c r="AB118" t="s">
        <v>177</v>
      </c>
      <c r="AC118" t="s">
        <v>177</v>
      </c>
      <c r="AD118" t="s">
        <v>177</v>
      </c>
      <c r="AE118" t="s">
        <v>177</v>
      </c>
      <c r="AF118" t="s">
        <v>177</v>
      </c>
      <c r="AG118" s="876">
        <v>44147</v>
      </c>
      <c r="AH118" s="871">
        <f t="shared" si="3"/>
        <v>44136</v>
      </c>
    </row>
    <row r="119" spans="1:34" hidden="1">
      <c r="A119">
        <v>6</v>
      </c>
      <c r="B119">
        <v>5160</v>
      </c>
      <c r="C119" t="s">
        <v>219</v>
      </c>
      <c r="D119">
        <v>109</v>
      </c>
      <c r="E119">
        <v>15616769.74622</v>
      </c>
      <c r="F119">
        <v>0</v>
      </c>
      <c r="G119" t="s">
        <v>177</v>
      </c>
      <c r="H119" t="s">
        <v>177</v>
      </c>
      <c r="I119" s="876">
        <v>44179</v>
      </c>
      <c r="J119">
        <v>6</v>
      </c>
      <c r="K119" t="s">
        <v>220</v>
      </c>
      <c r="L119">
        <v>5160</v>
      </c>
      <c r="M119">
        <v>0.642435407194482</v>
      </c>
      <c r="N119">
        <v>0</v>
      </c>
      <c r="O119">
        <v>0.19783458675306301</v>
      </c>
      <c r="P119">
        <v>0.15973000605245499</v>
      </c>
      <c r="Q119">
        <v>0.19901665844965799</v>
      </c>
      <c r="R119">
        <v>0</v>
      </c>
      <c r="S119">
        <v>-4.1743368740496598E-2</v>
      </c>
      <c r="T119">
        <v>0.56818432455550005</v>
      </c>
      <c r="U119">
        <v>0.126769102069058</v>
      </c>
      <c r="V119">
        <v>-0.20979130913923699</v>
      </c>
      <c r="W119">
        <v>0</v>
      </c>
      <c r="X119">
        <v>0</v>
      </c>
      <c r="Y119" t="s">
        <v>177</v>
      </c>
      <c r="Z119" t="s">
        <v>177</v>
      </c>
      <c r="AA119" t="s">
        <v>177</v>
      </c>
      <c r="AB119" t="s">
        <v>177</v>
      </c>
      <c r="AC119" t="s">
        <v>177</v>
      </c>
      <c r="AD119" t="s">
        <v>177</v>
      </c>
      <c r="AE119" t="s">
        <v>177</v>
      </c>
      <c r="AF119" t="s">
        <v>177</v>
      </c>
      <c r="AG119" s="876">
        <v>44179</v>
      </c>
      <c r="AH119" s="871">
        <f t="shared" si="3"/>
        <v>44166</v>
      </c>
    </row>
    <row r="120" spans="1:34" hidden="1">
      <c r="A120">
        <v>7</v>
      </c>
      <c r="B120">
        <v>5160</v>
      </c>
      <c r="C120" t="s">
        <v>219</v>
      </c>
      <c r="D120">
        <v>109</v>
      </c>
      <c r="E120">
        <v>0</v>
      </c>
      <c r="F120">
        <v>0</v>
      </c>
      <c r="G120" t="s">
        <v>177</v>
      </c>
      <c r="H120" t="s">
        <v>177</v>
      </c>
      <c r="I120" s="876">
        <v>44193</v>
      </c>
      <c r="J120">
        <v>7</v>
      </c>
      <c r="K120" t="s">
        <v>220</v>
      </c>
      <c r="L120">
        <v>5160</v>
      </c>
      <c r="M120">
        <v>0.96725533522742002</v>
      </c>
      <c r="N120">
        <v>0</v>
      </c>
      <c r="O120">
        <v>2.8588095206874001E-2</v>
      </c>
      <c r="P120">
        <v>4.1565695657058603E-3</v>
      </c>
      <c r="Q120">
        <v>0.82442456691515298</v>
      </c>
      <c r="R120">
        <v>0</v>
      </c>
      <c r="S120">
        <v>2.0673092891995901E-2</v>
      </c>
      <c r="T120">
        <v>6.3257266455596706E-2</v>
      </c>
      <c r="U120">
        <v>1.0611953437426901E-2</v>
      </c>
      <c r="V120">
        <v>4.8288455527247399E-2</v>
      </c>
      <c r="W120">
        <v>0</v>
      </c>
      <c r="X120">
        <v>0</v>
      </c>
      <c r="Y120" t="s">
        <v>177</v>
      </c>
      <c r="Z120" t="s">
        <v>177</v>
      </c>
      <c r="AA120" t="s">
        <v>177</v>
      </c>
      <c r="AB120" t="s">
        <v>177</v>
      </c>
      <c r="AC120" t="s">
        <v>177</v>
      </c>
      <c r="AD120" t="s">
        <v>177</v>
      </c>
      <c r="AE120" t="s">
        <v>177</v>
      </c>
      <c r="AF120" t="s">
        <v>177</v>
      </c>
      <c r="AG120" s="876">
        <v>44193</v>
      </c>
      <c r="AH120" s="871">
        <f t="shared" si="3"/>
        <v>44166</v>
      </c>
    </row>
    <row r="121" spans="1:34" hidden="1">
      <c r="A121">
        <v>8</v>
      </c>
      <c r="B121">
        <v>5160</v>
      </c>
      <c r="C121" t="s">
        <v>219</v>
      </c>
      <c r="D121">
        <v>109</v>
      </c>
      <c r="E121">
        <v>18807760.9715674</v>
      </c>
      <c r="F121">
        <v>0</v>
      </c>
      <c r="G121" t="s">
        <v>177</v>
      </c>
      <c r="H121" t="s">
        <v>177</v>
      </c>
      <c r="I121" s="876">
        <v>44208</v>
      </c>
      <c r="J121">
        <v>8</v>
      </c>
      <c r="K121" t="s">
        <v>220</v>
      </c>
      <c r="L121">
        <v>5160</v>
      </c>
      <c r="M121">
        <v>0.96725533522742002</v>
      </c>
      <c r="N121">
        <v>0</v>
      </c>
      <c r="O121">
        <v>2.8588095206874001E-2</v>
      </c>
      <c r="P121">
        <v>4.1565695657058603E-3</v>
      </c>
      <c r="Q121">
        <v>0.82442456691515298</v>
      </c>
      <c r="R121">
        <v>0</v>
      </c>
      <c r="S121">
        <v>2.0673092891995901E-2</v>
      </c>
      <c r="T121">
        <v>6.3257266455596706E-2</v>
      </c>
      <c r="U121">
        <v>1.0611953437426901E-2</v>
      </c>
      <c r="V121">
        <v>4.8288455527247399E-2</v>
      </c>
      <c r="W121">
        <v>0</v>
      </c>
      <c r="X121">
        <v>0</v>
      </c>
      <c r="Y121" t="s">
        <v>177</v>
      </c>
      <c r="Z121" t="s">
        <v>177</v>
      </c>
      <c r="AA121" t="s">
        <v>177</v>
      </c>
      <c r="AB121" t="s">
        <v>177</v>
      </c>
      <c r="AC121" t="s">
        <v>177</v>
      </c>
      <c r="AD121" t="s">
        <v>177</v>
      </c>
      <c r="AE121" t="s">
        <v>177</v>
      </c>
      <c r="AF121" t="s">
        <v>177</v>
      </c>
      <c r="AG121" s="876">
        <v>44208</v>
      </c>
      <c r="AH121" s="871">
        <f t="shared" si="3"/>
        <v>44197</v>
      </c>
    </row>
    <row r="122" spans="1:34" hidden="1">
      <c r="A122">
        <v>1</v>
      </c>
      <c r="B122">
        <v>5707</v>
      </c>
      <c r="C122" t="s">
        <v>230</v>
      </c>
      <c r="D122">
        <v>110</v>
      </c>
      <c r="E122">
        <v>87226584.159999996</v>
      </c>
      <c r="F122">
        <v>0</v>
      </c>
      <c r="G122">
        <v>0</v>
      </c>
      <c r="H122">
        <v>0</v>
      </c>
      <c r="I122" s="876">
        <v>44043</v>
      </c>
      <c r="J122">
        <v>1</v>
      </c>
      <c r="K122" t="s">
        <v>230</v>
      </c>
      <c r="L122">
        <v>5707</v>
      </c>
      <c r="M122">
        <v>0.21284204874586601</v>
      </c>
      <c r="N122">
        <v>0.467436541254166</v>
      </c>
      <c r="O122">
        <v>0.262809515158059</v>
      </c>
      <c r="P122">
        <v>5.6911894841909103E-2</v>
      </c>
      <c r="Q122">
        <v>0.16347392079612799</v>
      </c>
      <c r="R122">
        <v>0</v>
      </c>
      <c r="S122">
        <v>-1.3818484186616299E-2</v>
      </c>
      <c r="T122">
        <v>-1.1633125188020199E-2</v>
      </c>
      <c r="U122">
        <v>4.0424844036050104E-3</v>
      </c>
      <c r="V122">
        <v>1.4388613924435301E-2</v>
      </c>
      <c r="W122">
        <v>5.6388638996333798E-2</v>
      </c>
      <c r="X122">
        <v>0</v>
      </c>
      <c r="Y122">
        <v>2.2128776195483799</v>
      </c>
      <c r="Z122">
        <v>0</v>
      </c>
      <c r="AA122">
        <v>-8.2492235094698399E-2</v>
      </c>
      <c r="AB122">
        <v>0.296805131687297</v>
      </c>
      <c r="AC122">
        <v>3.9374156097937901E-2</v>
      </c>
      <c r="AD122">
        <v>-1.7243504241693901</v>
      </c>
      <c r="AE122">
        <v>-0.274777706815369</v>
      </c>
      <c r="AF122">
        <v>0</v>
      </c>
      <c r="AG122" s="876">
        <v>44043</v>
      </c>
      <c r="AH122" s="871">
        <f t="shared" ref="AH122:AH153" si="4">DATE(YEAR(I122),MONTH(I122),1)</f>
        <v>44013</v>
      </c>
    </row>
    <row r="123" spans="1:34" hidden="1">
      <c r="A123">
        <v>2</v>
      </c>
      <c r="B123">
        <v>5707</v>
      </c>
      <c r="C123" t="s">
        <v>230</v>
      </c>
      <c r="D123">
        <v>110</v>
      </c>
      <c r="E123">
        <v>34572160.210000001</v>
      </c>
      <c r="F123">
        <v>0</v>
      </c>
      <c r="G123" t="s">
        <v>177</v>
      </c>
      <c r="H123" t="s">
        <v>177</v>
      </c>
      <c r="I123" s="876">
        <v>44055</v>
      </c>
      <c r="J123">
        <v>2</v>
      </c>
      <c r="K123" t="s">
        <v>230</v>
      </c>
      <c r="L123">
        <v>5707</v>
      </c>
      <c r="M123">
        <v>0.40883116615468401</v>
      </c>
      <c r="N123" t="s">
        <v>177</v>
      </c>
      <c r="O123">
        <v>4.0643381646642898E-2</v>
      </c>
      <c r="P123">
        <v>0.55052545219867299</v>
      </c>
      <c r="Q123">
        <v>0.31931099366480598</v>
      </c>
      <c r="R123">
        <v>0</v>
      </c>
      <c r="S123">
        <v>-4.0237311490107001E-2</v>
      </c>
      <c r="T123">
        <v>-5.5462305749524002E-2</v>
      </c>
      <c r="U123">
        <v>1.1958589970037301E-2</v>
      </c>
      <c r="V123">
        <v>8.9728951817635502E-3</v>
      </c>
      <c r="W123">
        <v>0.16428830457770699</v>
      </c>
      <c r="X123">
        <v>0</v>
      </c>
      <c r="Y123" t="s">
        <v>177</v>
      </c>
      <c r="Z123" t="s">
        <v>177</v>
      </c>
      <c r="AA123" t="s">
        <v>177</v>
      </c>
      <c r="AB123" t="s">
        <v>177</v>
      </c>
      <c r="AC123" t="s">
        <v>177</v>
      </c>
      <c r="AD123" t="s">
        <v>177</v>
      </c>
      <c r="AE123" t="s">
        <v>177</v>
      </c>
      <c r="AF123" t="s">
        <v>177</v>
      </c>
      <c r="AG123" s="876">
        <v>44055</v>
      </c>
      <c r="AH123" s="871">
        <f t="shared" si="4"/>
        <v>44044</v>
      </c>
    </row>
    <row r="124" spans="1:34" hidden="1">
      <c r="A124">
        <v>3</v>
      </c>
      <c r="B124">
        <v>5707</v>
      </c>
      <c r="C124" t="s">
        <v>230</v>
      </c>
      <c r="D124">
        <v>110</v>
      </c>
      <c r="E124">
        <v>36967933.700000003</v>
      </c>
      <c r="F124">
        <v>0</v>
      </c>
      <c r="G124" t="s">
        <v>177</v>
      </c>
      <c r="H124" t="s">
        <v>177</v>
      </c>
      <c r="I124" s="876">
        <v>44088</v>
      </c>
      <c r="J124">
        <v>3</v>
      </c>
      <c r="K124" t="s">
        <v>230</v>
      </c>
      <c r="L124">
        <v>5707</v>
      </c>
      <c r="M124">
        <v>0.65536292543449504</v>
      </c>
      <c r="N124" t="s">
        <v>177</v>
      </c>
      <c r="O124">
        <v>4.8811169009674603E-2</v>
      </c>
      <c r="P124">
        <v>0.29582590555582999</v>
      </c>
      <c r="Q124">
        <v>0.56053794500689003</v>
      </c>
      <c r="R124">
        <v>0</v>
      </c>
      <c r="S124">
        <v>-3.3185618103482098E-2</v>
      </c>
      <c r="T124">
        <v>4.54852165509287E-2</v>
      </c>
      <c r="U124">
        <v>2.6081734989603901E-2</v>
      </c>
      <c r="V124">
        <v>-7.9396898497047799E-2</v>
      </c>
      <c r="W124">
        <v>0.13584054548760299</v>
      </c>
      <c r="X124">
        <v>0</v>
      </c>
      <c r="Y124" t="s">
        <v>177</v>
      </c>
      <c r="Z124" t="s">
        <v>177</v>
      </c>
      <c r="AA124" t="s">
        <v>177</v>
      </c>
      <c r="AB124" t="s">
        <v>177</v>
      </c>
      <c r="AC124" t="s">
        <v>177</v>
      </c>
      <c r="AD124" t="s">
        <v>177</v>
      </c>
      <c r="AE124" t="s">
        <v>177</v>
      </c>
      <c r="AF124" t="s">
        <v>177</v>
      </c>
      <c r="AG124" s="876">
        <v>44088</v>
      </c>
      <c r="AH124" s="871">
        <f t="shared" si="4"/>
        <v>44075</v>
      </c>
    </row>
    <row r="125" spans="1:34" hidden="1">
      <c r="A125">
        <v>4</v>
      </c>
      <c r="B125">
        <v>5707</v>
      </c>
      <c r="C125" t="s">
        <v>230</v>
      </c>
      <c r="D125">
        <v>110</v>
      </c>
      <c r="E125">
        <v>18758768.452395</v>
      </c>
      <c r="F125">
        <v>0</v>
      </c>
      <c r="G125" t="s">
        <v>177</v>
      </c>
      <c r="H125" t="s">
        <v>177</v>
      </c>
      <c r="I125" s="876">
        <v>44117</v>
      </c>
      <c r="J125">
        <v>4</v>
      </c>
      <c r="K125" t="s">
        <v>230</v>
      </c>
      <c r="L125">
        <v>5707</v>
      </c>
      <c r="M125">
        <v>0.514732735494011</v>
      </c>
      <c r="N125">
        <v>0</v>
      </c>
      <c r="O125">
        <v>0.43681843523948299</v>
      </c>
      <c r="P125">
        <v>4.8448829266505802E-2</v>
      </c>
      <c r="Q125">
        <v>0.120879814991826</v>
      </c>
      <c r="R125">
        <v>0</v>
      </c>
      <c r="S125">
        <v>-6.5481538573134504E-2</v>
      </c>
      <c r="T125">
        <v>0.16819491311526799</v>
      </c>
      <c r="U125">
        <v>6.7042897469073104E-2</v>
      </c>
      <c r="V125">
        <v>-4.4028006534434602E-2</v>
      </c>
      <c r="W125">
        <v>0.26812465502541299</v>
      </c>
      <c r="X125">
        <v>0</v>
      </c>
      <c r="Y125" t="s">
        <v>177</v>
      </c>
      <c r="Z125" t="s">
        <v>177</v>
      </c>
      <c r="AA125" t="s">
        <v>177</v>
      </c>
      <c r="AB125" t="s">
        <v>177</v>
      </c>
      <c r="AC125" t="s">
        <v>177</v>
      </c>
      <c r="AD125" t="s">
        <v>177</v>
      </c>
      <c r="AE125" t="s">
        <v>177</v>
      </c>
      <c r="AF125" t="s">
        <v>177</v>
      </c>
      <c r="AG125" s="876">
        <v>44117</v>
      </c>
      <c r="AH125" s="871">
        <f t="shared" si="4"/>
        <v>44105</v>
      </c>
    </row>
    <row r="126" spans="1:34" hidden="1">
      <c r="A126">
        <v>5</v>
      </c>
      <c r="B126">
        <v>5707</v>
      </c>
      <c r="C126" t="s">
        <v>230</v>
      </c>
      <c r="D126">
        <v>110</v>
      </c>
      <c r="E126">
        <v>50778659.477604903</v>
      </c>
      <c r="F126">
        <v>0</v>
      </c>
      <c r="G126" t="s">
        <v>177</v>
      </c>
      <c r="H126" t="s">
        <v>177</v>
      </c>
      <c r="I126" s="876">
        <v>44147</v>
      </c>
      <c r="J126">
        <v>5</v>
      </c>
      <c r="K126" t="s">
        <v>230</v>
      </c>
      <c r="L126">
        <v>5707</v>
      </c>
      <c r="M126">
        <v>0.74874196430653905</v>
      </c>
      <c r="N126">
        <v>0</v>
      </c>
      <c r="O126">
        <v>0.21808040302033399</v>
      </c>
      <c r="P126">
        <v>3.3177632673126997E-2</v>
      </c>
      <c r="Q126">
        <v>0.29656649197706703</v>
      </c>
      <c r="R126">
        <v>0</v>
      </c>
      <c r="S126">
        <v>-1.2150497366228899E-2</v>
      </c>
      <c r="T126">
        <v>0.40254659165081302</v>
      </c>
      <c r="U126">
        <v>1.7540768729366999E-2</v>
      </c>
      <c r="V126">
        <v>-2.6367827573370101E-2</v>
      </c>
      <c r="W126">
        <v>7.0606436888890706E-2</v>
      </c>
      <c r="X126">
        <v>0</v>
      </c>
      <c r="Y126" t="s">
        <v>177</v>
      </c>
      <c r="Z126" t="s">
        <v>177</v>
      </c>
      <c r="AA126" t="s">
        <v>177</v>
      </c>
      <c r="AB126" t="s">
        <v>177</v>
      </c>
      <c r="AC126" t="s">
        <v>177</v>
      </c>
      <c r="AD126" t="s">
        <v>177</v>
      </c>
      <c r="AE126" t="s">
        <v>177</v>
      </c>
      <c r="AF126" t="s">
        <v>177</v>
      </c>
      <c r="AG126" s="876">
        <v>44147</v>
      </c>
      <c r="AH126" s="871">
        <f t="shared" si="4"/>
        <v>44136</v>
      </c>
    </row>
    <row r="127" spans="1:34" hidden="1">
      <c r="A127">
        <v>6</v>
      </c>
      <c r="B127">
        <v>5707</v>
      </c>
      <c r="C127" t="s">
        <v>230</v>
      </c>
      <c r="D127">
        <v>110</v>
      </c>
      <c r="E127">
        <v>0</v>
      </c>
      <c r="F127">
        <v>0</v>
      </c>
      <c r="G127" t="s">
        <v>177</v>
      </c>
      <c r="H127" t="s">
        <v>177</v>
      </c>
      <c r="I127" s="876">
        <v>44179</v>
      </c>
      <c r="J127">
        <v>6</v>
      </c>
      <c r="K127" t="s">
        <v>230</v>
      </c>
      <c r="L127">
        <v>5707</v>
      </c>
      <c r="M127">
        <v>0.81312703933441899</v>
      </c>
      <c r="N127">
        <v>0</v>
      </c>
      <c r="O127">
        <v>0.17780382648698501</v>
      </c>
      <c r="P127">
        <v>9.06913417859527E-3</v>
      </c>
      <c r="Q127">
        <v>0.42349441885822597</v>
      </c>
      <c r="R127">
        <v>0</v>
      </c>
      <c r="S127">
        <v>0</v>
      </c>
      <c r="T127">
        <v>0.33402101691701602</v>
      </c>
      <c r="U127">
        <v>2.7389710220999602E-2</v>
      </c>
      <c r="V127">
        <v>-3.0766807798555E-2</v>
      </c>
      <c r="W127">
        <v>5.8988701136733497E-2</v>
      </c>
      <c r="X127">
        <v>0</v>
      </c>
      <c r="Y127" t="s">
        <v>177</v>
      </c>
      <c r="Z127" t="s">
        <v>177</v>
      </c>
      <c r="AA127" t="s">
        <v>177</v>
      </c>
      <c r="AB127" t="s">
        <v>177</v>
      </c>
      <c r="AC127" t="s">
        <v>177</v>
      </c>
      <c r="AD127" t="s">
        <v>177</v>
      </c>
      <c r="AE127" t="s">
        <v>177</v>
      </c>
      <c r="AF127" t="s">
        <v>177</v>
      </c>
      <c r="AG127" s="876">
        <v>44179</v>
      </c>
      <c r="AH127" s="871">
        <f t="shared" si="4"/>
        <v>44166</v>
      </c>
    </row>
    <row r="128" spans="1:34" hidden="1">
      <c r="A128">
        <v>7</v>
      </c>
      <c r="B128">
        <v>5707</v>
      </c>
      <c r="C128" t="s">
        <v>230</v>
      </c>
      <c r="D128">
        <v>110</v>
      </c>
      <c r="E128">
        <v>0</v>
      </c>
      <c r="F128">
        <v>0</v>
      </c>
      <c r="G128" t="s">
        <v>177</v>
      </c>
      <c r="H128" t="s">
        <v>177</v>
      </c>
      <c r="I128" s="876">
        <v>44193</v>
      </c>
      <c r="J128">
        <v>7</v>
      </c>
      <c r="K128" t="s">
        <v>230</v>
      </c>
      <c r="L128">
        <v>5707</v>
      </c>
      <c r="M128">
        <v>0.98966598683249096</v>
      </c>
      <c r="N128">
        <v>0</v>
      </c>
      <c r="O128">
        <v>0</v>
      </c>
      <c r="P128">
        <v>1.03340131675091E-2</v>
      </c>
      <c r="Q128">
        <v>0.78918129329358699</v>
      </c>
      <c r="R128">
        <v>0</v>
      </c>
      <c r="S128">
        <v>1.4365792613172499E-2</v>
      </c>
      <c r="T128">
        <v>0.177030495047756</v>
      </c>
      <c r="U128">
        <v>1.4368935122179601E-2</v>
      </c>
      <c r="V128">
        <v>-5.3598236169931004E-3</v>
      </c>
      <c r="W128">
        <v>7.9294372788807802E-5</v>
      </c>
      <c r="X128">
        <v>0</v>
      </c>
      <c r="Y128" t="s">
        <v>177</v>
      </c>
      <c r="Z128" t="s">
        <v>177</v>
      </c>
      <c r="AA128" t="s">
        <v>177</v>
      </c>
      <c r="AB128" t="s">
        <v>177</v>
      </c>
      <c r="AC128" t="s">
        <v>177</v>
      </c>
      <c r="AD128" t="s">
        <v>177</v>
      </c>
      <c r="AE128" t="s">
        <v>177</v>
      </c>
      <c r="AF128" t="s">
        <v>177</v>
      </c>
      <c r="AG128" s="876">
        <v>44193</v>
      </c>
      <c r="AH128" s="871">
        <f t="shared" si="4"/>
        <v>44166</v>
      </c>
    </row>
    <row r="129" spans="1:34" hidden="1">
      <c r="A129">
        <v>8</v>
      </c>
      <c r="B129">
        <v>5707</v>
      </c>
      <c r="C129" t="s">
        <v>230</v>
      </c>
      <c r="D129">
        <v>110</v>
      </c>
      <c r="E129">
        <v>0</v>
      </c>
      <c r="F129">
        <v>0</v>
      </c>
      <c r="G129" t="s">
        <v>177</v>
      </c>
      <c r="H129" t="s">
        <v>177</v>
      </c>
      <c r="I129" s="876">
        <v>44208</v>
      </c>
      <c r="J129">
        <v>8</v>
      </c>
      <c r="K129" t="s">
        <v>230</v>
      </c>
      <c r="L129">
        <v>5707</v>
      </c>
      <c r="M129">
        <v>0.98966598683249096</v>
      </c>
      <c r="N129">
        <v>0</v>
      </c>
      <c r="O129">
        <v>0</v>
      </c>
      <c r="P129">
        <v>1.03340131675091E-2</v>
      </c>
      <c r="Q129">
        <v>0.78918129329358699</v>
      </c>
      <c r="R129">
        <v>0</v>
      </c>
      <c r="S129">
        <v>1.4365792613172499E-2</v>
      </c>
      <c r="T129">
        <v>0.177030495047756</v>
      </c>
      <c r="U129">
        <v>1.4368935122179601E-2</v>
      </c>
      <c r="V129">
        <v>-5.3598236169931004E-3</v>
      </c>
      <c r="W129">
        <v>7.9294372788807802E-5</v>
      </c>
      <c r="X129">
        <v>0</v>
      </c>
      <c r="Y129" t="s">
        <v>177</v>
      </c>
      <c r="Z129" t="s">
        <v>177</v>
      </c>
      <c r="AA129" t="s">
        <v>177</v>
      </c>
      <c r="AB129" t="s">
        <v>177</v>
      </c>
      <c r="AC129" t="s">
        <v>177</v>
      </c>
      <c r="AD129" t="s">
        <v>177</v>
      </c>
      <c r="AE129" t="s">
        <v>177</v>
      </c>
      <c r="AF129" t="s">
        <v>177</v>
      </c>
      <c r="AG129" s="876">
        <v>44208</v>
      </c>
      <c r="AH129" s="871">
        <f t="shared" si="4"/>
        <v>44197</v>
      </c>
    </row>
    <row r="130" spans="1:34" hidden="1">
      <c r="A130">
        <v>1</v>
      </c>
      <c r="B130">
        <v>5697</v>
      </c>
      <c r="C130" t="s">
        <v>228</v>
      </c>
      <c r="D130">
        <v>111</v>
      </c>
      <c r="E130">
        <v>583210780.62852705</v>
      </c>
      <c r="F130">
        <v>0</v>
      </c>
      <c r="G130">
        <v>0</v>
      </c>
      <c r="H130">
        <v>0</v>
      </c>
      <c r="I130" s="876">
        <v>44043</v>
      </c>
      <c r="J130">
        <v>1</v>
      </c>
      <c r="K130" t="s">
        <v>229</v>
      </c>
      <c r="L130">
        <v>5697</v>
      </c>
      <c r="M130">
        <v>7.6817682546415994E-2</v>
      </c>
      <c r="N130">
        <v>0.76099553702730405</v>
      </c>
      <c r="O130">
        <v>0.12294244216895001</v>
      </c>
      <c r="P130">
        <v>3.9244338257329599E-2</v>
      </c>
      <c r="Q130">
        <v>2.2429461717999599E-2</v>
      </c>
      <c r="R130">
        <v>5.03089714272974E-2</v>
      </c>
      <c r="S130">
        <v>-3.1254829006306102E-3</v>
      </c>
      <c r="T130">
        <v>-7.8185296022746497E-3</v>
      </c>
      <c r="U130">
        <v>8.7024097206380097E-4</v>
      </c>
      <c r="V130">
        <v>-1.76405318680855E-3</v>
      </c>
      <c r="W130">
        <v>1.5917074118769001E-2</v>
      </c>
      <c r="X130">
        <v>0</v>
      </c>
      <c r="Y130">
        <v>0.43639809370585197</v>
      </c>
      <c r="Z130">
        <v>0.22838390758403901</v>
      </c>
      <c r="AA130">
        <v>-1.0576914364737001E-2</v>
      </c>
      <c r="AB130">
        <v>4.93273865558672E-2</v>
      </c>
      <c r="AC130">
        <v>1.2523264881453101E-2</v>
      </c>
      <c r="AD130">
        <v>-0.20453180698640799</v>
      </c>
      <c r="AE130">
        <v>0.24947160565123899</v>
      </c>
      <c r="AF130">
        <v>0</v>
      </c>
      <c r="AG130" s="876">
        <v>44043</v>
      </c>
      <c r="AH130" s="871">
        <f t="shared" si="4"/>
        <v>44013</v>
      </c>
    </row>
    <row r="131" spans="1:34" hidden="1">
      <c r="A131">
        <v>2</v>
      </c>
      <c r="B131">
        <v>5697</v>
      </c>
      <c r="C131" t="s">
        <v>228</v>
      </c>
      <c r="D131">
        <v>111</v>
      </c>
      <c r="E131">
        <v>0</v>
      </c>
      <c r="F131">
        <v>0</v>
      </c>
      <c r="G131" t="s">
        <v>177</v>
      </c>
      <c r="H131" t="s">
        <v>177</v>
      </c>
      <c r="I131" s="876">
        <v>44055</v>
      </c>
      <c r="J131">
        <v>2</v>
      </c>
      <c r="K131" t="s">
        <v>229</v>
      </c>
      <c r="L131">
        <v>5697</v>
      </c>
      <c r="M131">
        <v>0</v>
      </c>
      <c r="N131" t="s">
        <v>177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177</v>
      </c>
      <c r="Z131" t="s">
        <v>177</v>
      </c>
      <c r="AA131" t="s">
        <v>177</v>
      </c>
      <c r="AB131" t="s">
        <v>177</v>
      </c>
      <c r="AC131" t="s">
        <v>177</v>
      </c>
      <c r="AD131" t="s">
        <v>177</v>
      </c>
      <c r="AE131" t="s">
        <v>177</v>
      </c>
      <c r="AF131" t="s">
        <v>177</v>
      </c>
      <c r="AG131" s="876">
        <v>44055</v>
      </c>
      <c r="AH131" s="871">
        <f t="shared" si="4"/>
        <v>44044</v>
      </c>
    </row>
    <row r="132" spans="1:34" hidden="1">
      <c r="A132">
        <v>3</v>
      </c>
      <c r="B132">
        <v>5697</v>
      </c>
      <c r="C132" t="s">
        <v>228</v>
      </c>
      <c r="D132">
        <v>111</v>
      </c>
      <c r="E132">
        <v>0</v>
      </c>
      <c r="F132">
        <v>0</v>
      </c>
      <c r="G132" t="s">
        <v>177</v>
      </c>
      <c r="H132" t="s">
        <v>177</v>
      </c>
      <c r="I132" s="876">
        <v>44088</v>
      </c>
      <c r="J132">
        <v>3</v>
      </c>
      <c r="K132" t="s">
        <v>229</v>
      </c>
      <c r="L132">
        <v>5697</v>
      </c>
      <c r="M132">
        <v>0</v>
      </c>
      <c r="N132" t="s">
        <v>177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177</v>
      </c>
      <c r="Z132" t="s">
        <v>177</v>
      </c>
      <c r="AA132" t="s">
        <v>177</v>
      </c>
      <c r="AB132" t="s">
        <v>177</v>
      </c>
      <c r="AC132" t="s">
        <v>177</v>
      </c>
      <c r="AD132" t="s">
        <v>177</v>
      </c>
      <c r="AE132" t="s">
        <v>177</v>
      </c>
      <c r="AF132" t="s">
        <v>177</v>
      </c>
      <c r="AG132" s="876">
        <v>44088</v>
      </c>
      <c r="AH132" s="871">
        <f t="shared" si="4"/>
        <v>44075</v>
      </c>
    </row>
    <row r="133" spans="1:34" hidden="1">
      <c r="A133">
        <v>4</v>
      </c>
      <c r="B133">
        <v>5697</v>
      </c>
      <c r="C133" t="s">
        <v>228</v>
      </c>
      <c r="D133">
        <v>111</v>
      </c>
      <c r="E133">
        <v>0</v>
      </c>
      <c r="F133">
        <v>0</v>
      </c>
      <c r="G133" t="s">
        <v>177</v>
      </c>
      <c r="H133" t="s">
        <v>177</v>
      </c>
      <c r="I133" s="876">
        <v>44117</v>
      </c>
      <c r="J133">
        <v>4</v>
      </c>
      <c r="K133" t="s">
        <v>229</v>
      </c>
      <c r="L133">
        <v>5697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177</v>
      </c>
      <c r="Z133" t="s">
        <v>177</v>
      </c>
      <c r="AA133" t="s">
        <v>177</v>
      </c>
      <c r="AB133" t="s">
        <v>177</v>
      </c>
      <c r="AC133" t="s">
        <v>177</v>
      </c>
      <c r="AD133" t="s">
        <v>177</v>
      </c>
      <c r="AE133" t="s">
        <v>177</v>
      </c>
      <c r="AF133" t="s">
        <v>177</v>
      </c>
      <c r="AG133" s="876">
        <v>44117</v>
      </c>
      <c r="AH133" s="871">
        <f t="shared" si="4"/>
        <v>44105</v>
      </c>
    </row>
    <row r="134" spans="1:34" hidden="1">
      <c r="A134">
        <v>5</v>
      </c>
      <c r="B134">
        <v>5697</v>
      </c>
      <c r="C134" t="s">
        <v>228</v>
      </c>
      <c r="D134">
        <v>111</v>
      </c>
      <c r="E134">
        <v>0</v>
      </c>
      <c r="F134">
        <v>0</v>
      </c>
      <c r="G134" t="s">
        <v>177</v>
      </c>
      <c r="H134" t="s">
        <v>177</v>
      </c>
      <c r="I134" s="876">
        <v>44147</v>
      </c>
      <c r="J134">
        <v>5</v>
      </c>
      <c r="K134" t="s">
        <v>229</v>
      </c>
      <c r="L134">
        <v>5697</v>
      </c>
      <c r="M134" t="s">
        <v>177</v>
      </c>
      <c r="N134" t="s">
        <v>177</v>
      </c>
      <c r="O134" t="s">
        <v>177</v>
      </c>
      <c r="P134" t="s">
        <v>177</v>
      </c>
      <c r="Q134" t="s">
        <v>177</v>
      </c>
      <c r="R134" t="s">
        <v>177</v>
      </c>
      <c r="S134" t="s">
        <v>177</v>
      </c>
      <c r="T134" t="s">
        <v>177</v>
      </c>
      <c r="U134" t="s">
        <v>177</v>
      </c>
      <c r="V134" t="s">
        <v>177</v>
      </c>
      <c r="W134" t="s">
        <v>177</v>
      </c>
      <c r="X134" t="s">
        <v>177</v>
      </c>
      <c r="Y134" t="s">
        <v>177</v>
      </c>
      <c r="Z134" t="s">
        <v>177</v>
      </c>
      <c r="AA134" t="s">
        <v>177</v>
      </c>
      <c r="AB134" t="s">
        <v>177</v>
      </c>
      <c r="AC134" t="s">
        <v>177</v>
      </c>
      <c r="AD134" t="s">
        <v>177</v>
      </c>
      <c r="AE134" t="s">
        <v>177</v>
      </c>
      <c r="AF134" t="s">
        <v>177</v>
      </c>
      <c r="AG134" s="876">
        <v>44147</v>
      </c>
      <c r="AH134" s="871">
        <f t="shared" si="4"/>
        <v>44136</v>
      </c>
    </row>
    <row r="135" spans="1:34" hidden="1">
      <c r="A135">
        <v>6</v>
      </c>
      <c r="B135">
        <v>5697</v>
      </c>
      <c r="C135" t="s">
        <v>228</v>
      </c>
      <c r="D135">
        <v>111</v>
      </c>
      <c r="E135">
        <v>0</v>
      </c>
      <c r="F135">
        <v>0</v>
      </c>
      <c r="G135" t="s">
        <v>177</v>
      </c>
      <c r="H135" t="s">
        <v>177</v>
      </c>
      <c r="I135" s="876">
        <v>44179</v>
      </c>
      <c r="J135">
        <v>6</v>
      </c>
      <c r="K135" t="s">
        <v>229</v>
      </c>
      <c r="L135">
        <v>5697</v>
      </c>
      <c r="M135" t="s">
        <v>177</v>
      </c>
      <c r="N135" t="s">
        <v>177</v>
      </c>
      <c r="O135" t="s">
        <v>177</v>
      </c>
      <c r="P135" t="s">
        <v>177</v>
      </c>
      <c r="Q135" t="s">
        <v>177</v>
      </c>
      <c r="R135" t="s">
        <v>177</v>
      </c>
      <c r="S135" t="s">
        <v>177</v>
      </c>
      <c r="T135" t="s">
        <v>177</v>
      </c>
      <c r="U135" t="s">
        <v>177</v>
      </c>
      <c r="V135" t="s">
        <v>177</v>
      </c>
      <c r="W135" t="s">
        <v>177</v>
      </c>
      <c r="X135" t="s">
        <v>177</v>
      </c>
      <c r="Y135" t="s">
        <v>177</v>
      </c>
      <c r="Z135" t="s">
        <v>177</v>
      </c>
      <c r="AA135" t="s">
        <v>177</v>
      </c>
      <c r="AB135" t="s">
        <v>177</v>
      </c>
      <c r="AC135" t="s">
        <v>177</v>
      </c>
      <c r="AD135" t="s">
        <v>177</v>
      </c>
      <c r="AE135" t="s">
        <v>177</v>
      </c>
      <c r="AF135" t="s">
        <v>177</v>
      </c>
      <c r="AG135" s="876">
        <v>44179</v>
      </c>
      <c r="AH135" s="871">
        <f t="shared" si="4"/>
        <v>44166</v>
      </c>
    </row>
    <row r="136" spans="1:34" hidden="1">
      <c r="A136">
        <v>7</v>
      </c>
      <c r="B136">
        <v>5697</v>
      </c>
      <c r="C136" t="s">
        <v>228</v>
      </c>
      <c r="D136">
        <v>111</v>
      </c>
      <c r="E136">
        <v>0</v>
      </c>
      <c r="F136">
        <v>0</v>
      </c>
      <c r="G136" t="s">
        <v>177</v>
      </c>
      <c r="H136" t="s">
        <v>177</v>
      </c>
      <c r="I136" s="876">
        <v>44193</v>
      </c>
      <c r="J136">
        <v>7</v>
      </c>
      <c r="K136" t="s">
        <v>229</v>
      </c>
      <c r="L136">
        <v>5697</v>
      </c>
      <c r="M136" t="s">
        <v>177</v>
      </c>
      <c r="N136" t="s">
        <v>177</v>
      </c>
      <c r="O136" t="s">
        <v>177</v>
      </c>
      <c r="P136" t="s">
        <v>177</v>
      </c>
      <c r="Q136" t="s">
        <v>177</v>
      </c>
      <c r="R136" t="s">
        <v>177</v>
      </c>
      <c r="S136" t="s">
        <v>177</v>
      </c>
      <c r="T136" t="s">
        <v>177</v>
      </c>
      <c r="U136" t="s">
        <v>177</v>
      </c>
      <c r="V136" t="s">
        <v>177</v>
      </c>
      <c r="W136" t="s">
        <v>177</v>
      </c>
      <c r="X136" t="s">
        <v>177</v>
      </c>
      <c r="Y136" t="s">
        <v>177</v>
      </c>
      <c r="Z136" t="s">
        <v>177</v>
      </c>
      <c r="AA136" t="s">
        <v>177</v>
      </c>
      <c r="AB136" t="s">
        <v>177</v>
      </c>
      <c r="AC136" t="s">
        <v>177</v>
      </c>
      <c r="AD136" t="s">
        <v>177</v>
      </c>
      <c r="AE136" t="s">
        <v>177</v>
      </c>
      <c r="AF136" t="s">
        <v>177</v>
      </c>
      <c r="AG136" s="876">
        <v>44193</v>
      </c>
      <c r="AH136" s="871">
        <f t="shared" si="4"/>
        <v>44166</v>
      </c>
    </row>
    <row r="137" spans="1:34" hidden="1">
      <c r="A137">
        <v>8</v>
      </c>
      <c r="B137">
        <v>5697</v>
      </c>
      <c r="C137" t="s">
        <v>228</v>
      </c>
      <c r="D137">
        <v>111</v>
      </c>
      <c r="E137">
        <v>0</v>
      </c>
      <c r="F137">
        <v>0</v>
      </c>
      <c r="G137" t="s">
        <v>177</v>
      </c>
      <c r="H137" t="s">
        <v>177</v>
      </c>
      <c r="I137" s="876">
        <v>44208</v>
      </c>
      <c r="J137">
        <v>8</v>
      </c>
      <c r="K137" t="s">
        <v>229</v>
      </c>
      <c r="L137">
        <v>5697</v>
      </c>
      <c r="M137" t="s">
        <v>177</v>
      </c>
      <c r="N137" t="s">
        <v>177</v>
      </c>
      <c r="O137" t="s">
        <v>177</v>
      </c>
      <c r="P137" t="s">
        <v>177</v>
      </c>
      <c r="Q137" t="s">
        <v>177</v>
      </c>
      <c r="R137" t="s">
        <v>177</v>
      </c>
      <c r="S137" t="s">
        <v>177</v>
      </c>
      <c r="T137" t="s">
        <v>177</v>
      </c>
      <c r="U137" t="s">
        <v>177</v>
      </c>
      <c r="V137" t="s">
        <v>177</v>
      </c>
      <c r="W137" t="s">
        <v>177</v>
      </c>
      <c r="X137" t="s">
        <v>177</v>
      </c>
      <c r="Y137" t="s">
        <v>177</v>
      </c>
      <c r="Z137" t="s">
        <v>177</v>
      </c>
      <c r="AA137" t="s">
        <v>177</v>
      </c>
      <c r="AB137" t="s">
        <v>177</v>
      </c>
      <c r="AC137" t="s">
        <v>177</v>
      </c>
      <c r="AD137" t="s">
        <v>177</v>
      </c>
      <c r="AE137" t="s">
        <v>177</v>
      </c>
      <c r="AF137" t="s">
        <v>177</v>
      </c>
      <c r="AG137" s="876">
        <v>44208</v>
      </c>
      <c r="AH137" s="871">
        <f t="shared" si="4"/>
        <v>44197</v>
      </c>
    </row>
    <row r="138" spans="1:34" hidden="1">
      <c r="A138">
        <v>1</v>
      </c>
      <c r="B138">
        <v>371</v>
      </c>
      <c r="C138" t="s">
        <v>198</v>
      </c>
      <c r="D138">
        <v>113</v>
      </c>
      <c r="E138">
        <v>141429910.92059401</v>
      </c>
      <c r="F138">
        <v>0</v>
      </c>
      <c r="G138">
        <v>0</v>
      </c>
      <c r="H138">
        <v>143079977</v>
      </c>
      <c r="I138" s="876">
        <v>44043</v>
      </c>
      <c r="J138">
        <v>1</v>
      </c>
      <c r="K138" t="s">
        <v>198</v>
      </c>
      <c r="L138">
        <v>371</v>
      </c>
      <c r="M138">
        <v>1.8127053557810699E-3</v>
      </c>
      <c r="N138">
        <v>0.84617453084016603</v>
      </c>
      <c r="O138">
        <v>0.13063062157041999</v>
      </c>
      <c r="P138">
        <v>2.13821422336327E-2</v>
      </c>
      <c r="Q138">
        <v>-6.0073863121997098E-2</v>
      </c>
      <c r="R138">
        <v>0</v>
      </c>
      <c r="S138">
        <v>-9.1663395781099201E-3</v>
      </c>
      <c r="T138">
        <v>-1.8222760752829699E-2</v>
      </c>
      <c r="U138">
        <v>0</v>
      </c>
      <c r="V138">
        <v>6.8942433347552998E-2</v>
      </c>
      <c r="W138">
        <v>2.0333235461164799E-2</v>
      </c>
      <c r="X138">
        <v>0</v>
      </c>
      <c r="Y138">
        <v>1.2198229194732499</v>
      </c>
      <c r="Z138">
        <v>0</v>
      </c>
      <c r="AA138">
        <v>-4.0253845830366099E-2</v>
      </c>
      <c r="AB138">
        <v>0.166667525183088</v>
      </c>
      <c r="AC138">
        <v>0</v>
      </c>
      <c r="AD138">
        <v>-0.54040490920560202</v>
      </c>
      <c r="AE138">
        <v>4.0342841219800099E-2</v>
      </c>
      <c r="AF138">
        <v>0</v>
      </c>
      <c r="AG138" s="876">
        <v>44043</v>
      </c>
      <c r="AH138" s="871">
        <f t="shared" si="4"/>
        <v>44013</v>
      </c>
    </row>
    <row r="139" spans="1:34" hidden="1">
      <c r="A139">
        <v>2</v>
      </c>
      <c r="B139">
        <v>371</v>
      </c>
      <c r="C139" t="s">
        <v>198</v>
      </c>
      <c r="D139">
        <v>113</v>
      </c>
      <c r="E139">
        <v>30620853.27</v>
      </c>
      <c r="F139">
        <v>0</v>
      </c>
      <c r="G139" t="s">
        <v>177</v>
      </c>
      <c r="H139" t="s">
        <v>177</v>
      </c>
      <c r="I139" s="876">
        <v>44055</v>
      </c>
      <c r="J139">
        <v>2</v>
      </c>
      <c r="K139" t="s">
        <v>198</v>
      </c>
      <c r="L139">
        <v>371</v>
      </c>
      <c r="M139">
        <v>0.98316494709909197</v>
      </c>
      <c r="N139" t="s">
        <v>177</v>
      </c>
      <c r="O139">
        <v>1.6835052900908101E-2</v>
      </c>
      <c r="P139">
        <v>0</v>
      </c>
      <c r="Q139">
        <v>0.29770557800209102</v>
      </c>
      <c r="R139">
        <v>0</v>
      </c>
      <c r="S139">
        <v>-4.2334179800798698E-2</v>
      </c>
      <c r="T139">
        <v>0.65195968366225998</v>
      </c>
      <c r="U139">
        <v>0</v>
      </c>
      <c r="V139">
        <v>7.1164754579125994E-2</v>
      </c>
      <c r="W139">
        <v>4.6691106564134503E-3</v>
      </c>
      <c r="X139">
        <v>0</v>
      </c>
      <c r="Y139" t="s">
        <v>177</v>
      </c>
      <c r="Z139" t="s">
        <v>177</v>
      </c>
      <c r="AA139" t="s">
        <v>177</v>
      </c>
      <c r="AB139" t="s">
        <v>177</v>
      </c>
      <c r="AC139" t="s">
        <v>177</v>
      </c>
      <c r="AD139" t="s">
        <v>177</v>
      </c>
      <c r="AE139" t="s">
        <v>177</v>
      </c>
      <c r="AF139" t="s">
        <v>177</v>
      </c>
      <c r="AG139" s="876">
        <v>44055</v>
      </c>
      <c r="AH139" s="871">
        <f t="shared" si="4"/>
        <v>44044</v>
      </c>
    </row>
    <row r="140" spans="1:34" hidden="1">
      <c r="A140">
        <v>3</v>
      </c>
      <c r="B140">
        <v>371</v>
      </c>
      <c r="C140" t="s">
        <v>198</v>
      </c>
      <c r="D140">
        <v>113</v>
      </c>
      <c r="E140">
        <v>784876.11</v>
      </c>
      <c r="F140">
        <v>0</v>
      </c>
      <c r="G140" t="s">
        <v>177</v>
      </c>
      <c r="H140" t="s">
        <v>177</v>
      </c>
      <c r="I140" s="876">
        <v>44088</v>
      </c>
      <c r="J140">
        <v>3</v>
      </c>
      <c r="K140" t="s">
        <v>198</v>
      </c>
      <c r="L140">
        <v>371</v>
      </c>
      <c r="M140">
        <v>0</v>
      </c>
      <c r="N140" t="s">
        <v>177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177</v>
      </c>
      <c r="Z140" t="s">
        <v>177</v>
      </c>
      <c r="AA140" t="s">
        <v>177</v>
      </c>
      <c r="AB140" t="s">
        <v>177</v>
      </c>
      <c r="AC140" t="s">
        <v>177</v>
      </c>
      <c r="AD140" t="s">
        <v>177</v>
      </c>
      <c r="AE140" t="s">
        <v>177</v>
      </c>
      <c r="AF140" t="s">
        <v>177</v>
      </c>
      <c r="AG140" s="876">
        <v>44088</v>
      </c>
      <c r="AH140" s="871">
        <f t="shared" si="4"/>
        <v>44075</v>
      </c>
    </row>
    <row r="141" spans="1:34" hidden="1">
      <c r="A141">
        <v>4</v>
      </c>
      <c r="B141">
        <v>371</v>
      </c>
      <c r="C141" t="s">
        <v>198</v>
      </c>
      <c r="D141">
        <v>113</v>
      </c>
      <c r="E141">
        <v>0</v>
      </c>
      <c r="F141">
        <v>0</v>
      </c>
      <c r="G141" t="s">
        <v>177</v>
      </c>
      <c r="H141" t="s">
        <v>177</v>
      </c>
      <c r="I141" s="876">
        <v>44117</v>
      </c>
      <c r="J141">
        <v>4</v>
      </c>
      <c r="K141" t="s">
        <v>198</v>
      </c>
      <c r="L141">
        <v>371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177</v>
      </c>
      <c r="Z141" t="s">
        <v>177</v>
      </c>
      <c r="AA141" t="s">
        <v>177</v>
      </c>
      <c r="AB141" t="s">
        <v>177</v>
      </c>
      <c r="AC141" t="s">
        <v>177</v>
      </c>
      <c r="AD141" t="s">
        <v>177</v>
      </c>
      <c r="AE141" t="s">
        <v>177</v>
      </c>
      <c r="AF141" t="s">
        <v>177</v>
      </c>
      <c r="AG141" s="876">
        <v>44117</v>
      </c>
      <c r="AH141" s="871">
        <f t="shared" si="4"/>
        <v>44105</v>
      </c>
    </row>
    <row r="142" spans="1:34" hidden="1">
      <c r="A142">
        <v>5</v>
      </c>
      <c r="B142">
        <v>371</v>
      </c>
      <c r="C142" t="s">
        <v>198</v>
      </c>
      <c r="D142">
        <v>113</v>
      </c>
      <c r="E142">
        <v>0</v>
      </c>
      <c r="F142">
        <v>0</v>
      </c>
      <c r="G142" t="s">
        <v>177</v>
      </c>
      <c r="H142" t="s">
        <v>177</v>
      </c>
      <c r="I142" s="876">
        <v>44147</v>
      </c>
      <c r="J142">
        <v>5</v>
      </c>
      <c r="K142" t="s">
        <v>198</v>
      </c>
      <c r="L142">
        <v>371</v>
      </c>
      <c r="M142" t="s">
        <v>177</v>
      </c>
      <c r="N142" t="s">
        <v>177</v>
      </c>
      <c r="O142" t="s">
        <v>177</v>
      </c>
      <c r="P142" t="s">
        <v>177</v>
      </c>
      <c r="Q142" t="s">
        <v>177</v>
      </c>
      <c r="R142" t="s">
        <v>177</v>
      </c>
      <c r="S142" t="s">
        <v>177</v>
      </c>
      <c r="T142" t="s">
        <v>177</v>
      </c>
      <c r="U142" t="s">
        <v>177</v>
      </c>
      <c r="V142" t="s">
        <v>177</v>
      </c>
      <c r="W142" t="s">
        <v>177</v>
      </c>
      <c r="X142" t="s">
        <v>177</v>
      </c>
      <c r="Y142" t="s">
        <v>177</v>
      </c>
      <c r="Z142" t="s">
        <v>177</v>
      </c>
      <c r="AA142" t="s">
        <v>177</v>
      </c>
      <c r="AB142" t="s">
        <v>177</v>
      </c>
      <c r="AC142" t="s">
        <v>177</v>
      </c>
      <c r="AD142" t="s">
        <v>177</v>
      </c>
      <c r="AE142" t="s">
        <v>177</v>
      </c>
      <c r="AF142" t="s">
        <v>177</v>
      </c>
      <c r="AG142" s="876">
        <v>44147</v>
      </c>
      <c r="AH142" s="871">
        <f t="shared" si="4"/>
        <v>44136</v>
      </c>
    </row>
    <row r="143" spans="1:34" hidden="1">
      <c r="A143">
        <v>6</v>
      </c>
      <c r="B143">
        <v>371</v>
      </c>
      <c r="C143" t="s">
        <v>198</v>
      </c>
      <c r="D143">
        <v>113</v>
      </c>
      <c r="E143">
        <v>89680443.760199502</v>
      </c>
      <c r="F143">
        <v>0</v>
      </c>
      <c r="G143" t="s">
        <v>177</v>
      </c>
      <c r="H143" t="s">
        <v>177</v>
      </c>
      <c r="I143" s="876">
        <v>44179</v>
      </c>
      <c r="J143">
        <v>6</v>
      </c>
      <c r="K143" t="s">
        <v>198</v>
      </c>
      <c r="L143">
        <v>371</v>
      </c>
      <c r="M143">
        <v>1</v>
      </c>
      <c r="N143" t="s">
        <v>177</v>
      </c>
      <c r="O143">
        <v>0</v>
      </c>
      <c r="P143">
        <v>0</v>
      </c>
      <c r="Q143">
        <v>0.85271853208012005</v>
      </c>
      <c r="R143">
        <v>0</v>
      </c>
      <c r="S143">
        <v>-4.1485374041724101E-6</v>
      </c>
      <c r="T143">
        <v>5.1605121314276699E-2</v>
      </c>
      <c r="U143">
        <v>0</v>
      </c>
      <c r="V143">
        <v>9.5673639791788501E-2</v>
      </c>
      <c r="W143">
        <v>6.8553512192207696E-6</v>
      </c>
      <c r="X143">
        <v>0</v>
      </c>
      <c r="Y143" t="s">
        <v>177</v>
      </c>
      <c r="Z143" t="s">
        <v>177</v>
      </c>
      <c r="AA143" t="s">
        <v>177</v>
      </c>
      <c r="AB143" t="s">
        <v>177</v>
      </c>
      <c r="AC143" t="s">
        <v>177</v>
      </c>
      <c r="AD143" t="s">
        <v>177</v>
      </c>
      <c r="AE143" t="s">
        <v>177</v>
      </c>
      <c r="AF143" t="s">
        <v>177</v>
      </c>
      <c r="AG143" s="876">
        <v>44179</v>
      </c>
      <c r="AH143" s="871">
        <f t="shared" si="4"/>
        <v>44166</v>
      </c>
    </row>
    <row r="144" spans="1:34" hidden="1">
      <c r="A144">
        <v>7</v>
      </c>
      <c r="B144">
        <v>371</v>
      </c>
      <c r="C144" t="s">
        <v>198</v>
      </c>
      <c r="D144">
        <v>113</v>
      </c>
      <c r="E144">
        <v>0</v>
      </c>
      <c r="F144">
        <v>0</v>
      </c>
      <c r="G144" t="s">
        <v>177</v>
      </c>
      <c r="H144" t="s">
        <v>177</v>
      </c>
      <c r="I144" s="876">
        <v>44193</v>
      </c>
      <c r="J144">
        <v>7</v>
      </c>
      <c r="K144" t="s">
        <v>198</v>
      </c>
      <c r="L144">
        <v>371</v>
      </c>
      <c r="M144">
        <v>1</v>
      </c>
      <c r="N144" t="s">
        <v>177</v>
      </c>
      <c r="O144">
        <v>0</v>
      </c>
      <c r="P144">
        <v>0</v>
      </c>
      <c r="Q144">
        <v>0.786600757178744</v>
      </c>
      <c r="R144">
        <v>0</v>
      </c>
      <c r="S144">
        <v>-3.4554703100416502E-6</v>
      </c>
      <c r="T144">
        <v>4.4737118142342602E-2</v>
      </c>
      <c r="U144">
        <v>0</v>
      </c>
      <c r="V144">
        <v>0.16865987006818201</v>
      </c>
      <c r="W144">
        <v>5.7100810418399203E-6</v>
      </c>
      <c r="X144">
        <v>0</v>
      </c>
      <c r="Y144" t="s">
        <v>177</v>
      </c>
      <c r="Z144" t="s">
        <v>177</v>
      </c>
      <c r="AA144" t="s">
        <v>177</v>
      </c>
      <c r="AB144" t="s">
        <v>177</v>
      </c>
      <c r="AC144" t="s">
        <v>177</v>
      </c>
      <c r="AD144" t="s">
        <v>177</v>
      </c>
      <c r="AE144" t="s">
        <v>177</v>
      </c>
      <c r="AF144" t="s">
        <v>177</v>
      </c>
      <c r="AG144" s="876">
        <v>44193</v>
      </c>
      <c r="AH144" s="871">
        <f t="shared" si="4"/>
        <v>44166</v>
      </c>
    </row>
    <row r="145" spans="1:34" hidden="1">
      <c r="A145">
        <v>8</v>
      </c>
      <c r="B145">
        <v>371</v>
      </c>
      <c r="C145" t="s">
        <v>198</v>
      </c>
      <c r="D145">
        <v>113</v>
      </c>
      <c r="E145">
        <v>118620312.11763801</v>
      </c>
      <c r="F145">
        <v>0</v>
      </c>
      <c r="G145" t="s">
        <v>177</v>
      </c>
      <c r="H145" t="s">
        <v>177</v>
      </c>
      <c r="I145" s="876">
        <v>44208</v>
      </c>
      <c r="J145">
        <v>8</v>
      </c>
      <c r="K145" t="s">
        <v>198</v>
      </c>
      <c r="L145">
        <v>371</v>
      </c>
      <c r="M145">
        <v>1</v>
      </c>
      <c r="N145" t="s">
        <v>177</v>
      </c>
      <c r="O145">
        <v>0</v>
      </c>
      <c r="P145">
        <v>0</v>
      </c>
      <c r="Q145">
        <v>0.786600757178744</v>
      </c>
      <c r="R145">
        <v>0</v>
      </c>
      <c r="S145">
        <v>-3.4554703100416502E-6</v>
      </c>
      <c r="T145">
        <v>4.4737118142342602E-2</v>
      </c>
      <c r="U145">
        <v>0</v>
      </c>
      <c r="V145">
        <v>0.16865987006818201</v>
      </c>
      <c r="W145">
        <v>5.7100810418399203E-6</v>
      </c>
      <c r="X145">
        <v>0</v>
      </c>
      <c r="Y145" t="s">
        <v>177</v>
      </c>
      <c r="Z145" t="s">
        <v>177</v>
      </c>
      <c r="AA145" t="s">
        <v>177</v>
      </c>
      <c r="AB145" t="s">
        <v>177</v>
      </c>
      <c r="AC145" t="s">
        <v>177</v>
      </c>
      <c r="AD145" t="s">
        <v>177</v>
      </c>
      <c r="AE145" t="s">
        <v>177</v>
      </c>
      <c r="AF145" t="s">
        <v>177</v>
      </c>
      <c r="AG145" s="876">
        <v>44208</v>
      </c>
      <c r="AH145" s="871">
        <f t="shared" si="4"/>
        <v>44197</v>
      </c>
    </row>
    <row r="146" spans="1:34" hidden="1">
      <c r="A146">
        <v>1</v>
      </c>
      <c r="B146">
        <v>43</v>
      </c>
      <c r="C146" t="s">
        <v>184</v>
      </c>
      <c r="D146">
        <v>114</v>
      </c>
      <c r="E146">
        <v>297595795.19</v>
      </c>
      <c r="F146">
        <v>0</v>
      </c>
      <c r="G146">
        <v>47551108</v>
      </c>
      <c r="H146">
        <v>0</v>
      </c>
      <c r="I146" s="876">
        <v>44043</v>
      </c>
      <c r="J146">
        <v>1</v>
      </c>
      <c r="K146" t="s">
        <v>184</v>
      </c>
      <c r="L146">
        <v>43</v>
      </c>
      <c r="M146">
        <v>4.8692043837694897E-2</v>
      </c>
      <c r="N146">
        <v>0.600279026328013</v>
      </c>
      <c r="O146">
        <v>0.31447832414778398</v>
      </c>
      <c r="P146">
        <v>3.65506056865086E-2</v>
      </c>
      <c r="Q146">
        <v>3.8210160520516297E-2</v>
      </c>
      <c r="R146">
        <v>0</v>
      </c>
      <c r="S146">
        <v>0</v>
      </c>
      <c r="T146">
        <v>-1.18180323332271E-2</v>
      </c>
      <c r="U146">
        <v>0</v>
      </c>
      <c r="V146">
        <v>2.2375562753798602E-2</v>
      </c>
      <c r="W146">
        <v>-7.5647103392867106E-5</v>
      </c>
      <c r="X146">
        <v>0</v>
      </c>
      <c r="Y146">
        <v>0.72656226752056197</v>
      </c>
      <c r="Z146">
        <v>0</v>
      </c>
      <c r="AA146">
        <v>-1.2988289884426799E-2</v>
      </c>
      <c r="AB146">
        <v>0.11566631037990199</v>
      </c>
      <c r="AC146">
        <v>0</v>
      </c>
      <c r="AD146">
        <v>-0.27509237758009297</v>
      </c>
      <c r="AE146">
        <v>4.6131115892069197E-2</v>
      </c>
      <c r="AF146">
        <v>0</v>
      </c>
      <c r="AG146" s="876">
        <v>44043</v>
      </c>
      <c r="AH146" s="871">
        <f t="shared" si="4"/>
        <v>44013</v>
      </c>
    </row>
    <row r="147" spans="1:34" hidden="1">
      <c r="A147">
        <v>2</v>
      </c>
      <c r="B147">
        <v>43</v>
      </c>
      <c r="C147" t="s">
        <v>184</v>
      </c>
      <c r="D147">
        <v>114</v>
      </c>
      <c r="E147">
        <v>52402519.450000003</v>
      </c>
      <c r="F147">
        <v>0</v>
      </c>
      <c r="G147" t="s">
        <v>177</v>
      </c>
      <c r="H147" t="s">
        <v>177</v>
      </c>
      <c r="I147" s="876">
        <v>44055</v>
      </c>
      <c r="J147">
        <v>2</v>
      </c>
      <c r="K147" t="s">
        <v>184</v>
      </c>
      <c r="L147">
        <v>43</v>
      </c>
      <c r="M147">
        <v>0.62644250671241297</v>
      </c>
      <c r="N147" t="s">
        <v>177</v>
      </c>
      <c r="O147">
        <v>0.32806476600000001</v>
      </c>
      <c r="P147">
        <v>4.5492726999999997E-2</v>
      </c>
      <c r="Q147">
        <v>3.33778406735089E-2</v>
      </c>
      <c r="R147">
        <v>0</v>
      </c>
      <c r="S147">
        <v>0</v>
      </c>
      <c r="T147">
        <v>0</v>
      </c>
      <c r="U147">
        <v>0.41564271932101199</v>
      </c>
      <c r="V147">
        <v>0.178057568157202</v>
      </c>
      <c r="W147">
        <v>-6.3562143930992097E-4</v>
      </c>
      <c r="X147">
        <v>0</v>
      </c>
      <c r="Y147" t="s">
        <v>177</v>
      </c>
      <c r="Z147" t="s">
        <v>177</v>
      </c>
      <c r="AA147" t="s">
        <v>177</v>
      </c>
      <c r="AB147" t="s">
        <v>177</v>
      </c>
      <c r="AC147" t="s">
        <v>177</v>
      </c>
      <c r="AD147" t="s">
        <v>177</v>
      </c>
      <c r="AE147" t="s">
        <v>177</v>
      </c>
      <c r="AF147" t="s">
        <v>177</v>
      </c>
      <c r="AG147" s="876">
        <v>44055</v>
      </c>
      <c r="AH147" s="871">
        <f t="shared" si="4"/>
        <v>44044</v>
      </c>
    </row>
    <row r="148" spans="1:34" hidden="1">
      <c r="A148">
        <v>3</v>
      </c>
      <c r="B148">
        <v>43</v>
      </c>
      <c r="C148" t="s">
        <v>184</v>
      </c>
      <c r="D148">
        <v>114</v>
      </c>
      <c r="E148">
        <v>57169107.359999999</v>
      </c>
      <c r="F148">
        <v>0</v>
      </c>
      <c r="G148" t="s">
        <v>177</v>
      </c>
      <c r="H148" t="s">
        <v>177</v>
      </c>
      <c r="I148" s="876">
        <v>44088</v>
      </c>
      <c r="J148">
        <v>3</v>
      </c>
      <c r="K148" t="s">
        <v>184</v>
      </c>
      <c r="L148">
        <v>43</v>
      </c>
      <c r="M148">
        <v>0.27673241949230598</v>
      </c>
      <c r="N148" t="s">
        <v>177</v>
      </c>
      <c r="O148">
        <v>0.60262294299999997</v>
      </c>
      <c r="P148">
        <v>0.120644638</v>
      </c>
      <c r="Q148">
        <v>2.2502298224128602E-2</v>
      </c>
      <c r="R148">
        <v>0</v>
      </c>
      <c r="S148">
        <v>0</v>
      </c>
      <c r="T148">
        <v>0.31069594238152698</v>
      </c>
      <c r="U148">
        <v>0</v>
      </c>
      <c r="V148">
        <v>-5.6062104989897103E-2</v>
      </c>
      <c r="W148">
        <v>-4.03716123452679E-4</v>
      </c>
      <c r="X148">
        <v>0</v>
      </c>
      <c r="Y148" t="s">
        <v>177</v>
      </c>
      <c r="Z148" t="s">
        <v>177</v>
      </c>
      <c r="AA148" t="s">
        <v>177</v>
      </c>
      <c r="AB148" t="s">
        <v>177</v>
      </c>
      <c r="AC148" t="s">
        <v>177</v>
      </c>
      <c r="AD148" t="s">
        <v>177</v>
      </c>
      <c r="AE148" t="s">
        <v>177</v>
      </c>
      <c r="AF148" t="s">
        <v>177</v>
      </c>
      <c r="AG148" s="876">
        <v>44088</v>
      </c>
      <c r="AH148" s="871">
        <f t="shared" si="4"/>
        <v>44075</v>
      </c>
    </row>
    <row r="149" spans="1:34" hidden="1">
      <c r="A149">
        <v>4</v>
      </c>
      <c r="B149">
        <v>43</v>
      </c>
      <c r="C149" t="s">
        <v>184</v>
      </c>
      <c r="D149">
        <v>114</v>
      </c>
      <c r="E149">
        <v>0</v>
      </c>
      <c r="F149">
        <v>0</v>
      </c>
      <c r="G149" t="s">
        <v>177</v>
      </c>
      <c r="H149" t="s">
        <v>177</v>
      </c>
      <c r="I149" s="876">
        <v>44117</v>
      </c>
      <c r="J149">
        <v>4</v>
      </c>
      <c r="K149" t="s">
        <v>184</v>
      </c>
      <c r="L149">
        <v>43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177</v>
      </c>
      <c r="Z149" t="s">
        <v>177</v>
      </c>
      <c r="AA149" t="s">
        <v>177</v>
      </c>
      <c r="AB149" t="s">
        <v>177</v>
      </c>
      <c r="AC149" t="s">
        <v>177</v>
      </c>
      <c r="AD149" t="s">
        <v>177</v>
      </c>
      <c r="AE149" t="s">
        <v>177</v>
      </c>
      <c r="AF149" t="s">
        <v>177</v>
      </c>
      <c r="AG149" s="876">
        <v>44117</v>
      </c>
      <c r="AH149" s="871">
        <f t="shared" si="4"/>
        <v>44105</v>
      </c>
    </row>
    <row r="150" spans="1:34" hidden="1">
      <c r="A150">
        <v>5</v>
      </c>
      <c r="B150">
        <v>43</v>
      </c>
      <c r="C150" t="s">
        <v>184</v>
      </c>
      <c r="D150">
        <v>114</v>
      </c>
      <c r="E150">
        <v>0</v>
      </c>
      <c r="F150">
        <v>0</v>
      </c>
      <c r="G150" t="s">
        <v>177</v>
      </c>
      <c r="H150" t="s">
        <v>177</v>
      </c>
      <c r="I150" s="876">
        <v>44147</v>
      </c>
      <c r="J150">
        <v>5</v>
      </c>
      <c r="K150" t="s">
        <v>184</v>
      </c>
      <c r="L150">
        <v>43</v>
      </c>
      <c r="M150" t="s">
        <v>177</v>
      </c>
      <c r="N150" t="s">
        <v>177</v>
      </c>
      <c r="O150" t="s">
        <v>177</v>
      </c>
      <c r="P150" t="s">
        <v>177</v>
      </c>
      <c r="Q150" t="s">
        <v>177</v>
      </c>
      <c r="R150" t="s">
        <v>177</v>
      </c>
      <c r="S150" t="s">
        <v>177</v>
      </c>
      <c r="T150" t="s">
        <v>177</v>
      </c>
      <c r="U150" t="s">
        <v>177</v>
      </c>
      <c r="V150" t="s">
        <v>177</v>
      </c>
      <c r="W150" t="s">
        <v>177</v>
      </c>
      <c r="X150" t="s">
        <v>177</v>
      </c>
      <c r="Y150" t="s">
        <v>177</v>
      </c>
      <c r="Z150" t="s">
        <v>177</v>
      </c>
      <c r="AA150" t="s">
        <v>177</v>
      </c>
      <c r="AB150" t="s">
        <v>177</v>
      </c>
      <c r="AC150" t="s">
        <v>177</v>
      </c>
      <c r="AD150" t="s">
        <v>177</v>
      </c>
      <c r="AE150" t="s">
        <v>177</v>
      </c>
      <c r="AF150" t="s">
        <v>177</v>
      </c>
      <c r="AG150" s="876">
        <v>44147</v>
      </c>
      <c r="AH150" s="871">
        <f t="shared" si="4"/>
        <v>44136</v>
      </c>
    </row>
    <row r="151" spans="1:34" hidden="1">
      <c r="A151">
        <v>6</v>
      </c>
      <c r="B151">
        <v>43</v>
      </c>
      <c r="C151" t="s">
        <v>184</v>
      </c>
      <c r="D151">
        <v>114</v>
      </c>
      <c r="E151">
        <v>0</v>
      </c>
      <c r="F151">
        <v>0</v>
      </c>
      <c r="G151" t="s">
        <v>177</v>
      </c>
      <c r="H151" t="s">
        <v>177</v>
      </c>
      <c r="I151" s="876">
        <v>44179</v>
      </c>
      <c r="J151">
        <v>6</v>
      </c>
      <c r="K151" t="s">
        <v>184</v>
      </c>
      <c r="L151">
        <v>43</v>
      </c>
      <c r="M151" t="s">
        <v>177</v>
      </c>
      <c r="N151" t="s">
        <v>177</v>
      </c>
      <c r="O151" t="s">
        <v>177</v>
      </c>
      <c r="P151" t="s">
        <v>177</v>
      </c>
      <c r="Q151" t="s">
        <v>177</v>
      </c>
      <c r="R151" t="s">
        <v>177</v>
      </c>
      <c r="S151" t="s">
        <v>177</v>
      </c>
      <c r="T151" t="s">
        <v>177</v>
      </c>
      <c r="U151" t="s">
        <v>177</v>
      </c>
      <c r="V151" t="s">
        <v>177</v>
      </c>
      <c r="W151" t="s">
        <v>177</v>
      </c>
      <c r="X151" t="s">
        <v>177</v>
      </c>
      <c r="Y151" t="s">
        <v>177</v>
      </c>
      <c r="Z151" t="s">
        <v>177</v>
      </c>
      <c r="AA151" t="s">
        <v>177</v>
      </c>
      <c r="AB151" t="s">
        <v>177</v>
      </c>
      <c r="AC151" t="s">
        <v>177</v>
      </c>
      <c r="AD151" t="s">
        <v>177</v>
      </c>
      <c r="AE151" t="s">
        <v>177</v>
      </c>
      <c r="AF151" t="s">
        <v>177</v>
      </c>
      <c r="AG151" s="876">
        <v>44179</v>
      </c>
      <c r="AH151" s="871">
        <f t="shared" si="4"/>
        <v>44166</v>
      </c>
    </row>
    <row r="152" spans="1:34" hidden="1">
      <c r="A152">
        <v>7</v>
      </c>
      <c r="B152">
        <v>43</v>
      </c>
      <c r="C152" t="s">
        <v>184</v>
      </c>
      <c r="D152">
        <v>114</v>
      </c>
      <c r="E152">
        <v>0</v>
      </c>
      <c r="F152">
        <v>0</v>
      </c>
      <c r="G152" t="s">
        <v>177</v>
      </c>
      <c r="H152" t="s">
        <v>177</v>
      </c>
      <c r="I152" s="876">
        <v>44193</v>
      </c>
      <c r="J152">
        <v>7</v>
      </c>
      <c r="K152" t="s">
        <v>184</v>
      </c>
      <c r="L152">
        <v>43</v>
      </c>
      <c r="M152" t="s">
        <v>177</v>
      </c>
      <c r="N152" t="s">
        <v>177</v>
      </c>
      <c r="O152" t="s">
        <v>177</v>
      </c>
      <c r="P152" t="s">
        <v>177</v>
      </c>
      <c r="Q152" t="s">
        <v>177</v>
      </c>
      <c r="R152" t="s">
        <v>177</v>
      </c>
      <c r="S152" t="s">
        <v>177</v>
      </c>
      <c r="T152" t="s">
        <v>177</v>
      </c>
      <c r="U152" t="s">
        <v>177</v>
      </c>
      <c r="V152" t="s">
        <v>177</v>
      </c>
      <c r="W152" t="s">
        <v>177</v>
      </c>
      <c r="X152" t="s">
        <v>177</v>
      </c>
      <c r="Y152" t="s">
        <v>177</v>
      </c>
      <c r="Z152" t="s">
        <v>177</v>
      </c>
      <c r="AA152" t="s">
        <v>177</v>
      </c>
      <c r="AB152" t="s">
        <v>177</v>
      </c>
      <c r="AC152" t="s">
        <v>177</v>
      </c>
      <c r="AD152" t="s">
        <v>177</v>
      </c>
      <c r="AE152" t="s">
        <v>177</v>
      </c>
      <c r="AF152" t="s">
        <v>177</v>
      </c>
      <c r="AG152" s="876">
        <v>44193</v>
      </c>
      <c r="AH152" s="871">
        <f t="shared" si="4"/>
        <v>44166</v>
      </c>
    </row>
    <row r="153" spans="1:34" hidden="1">
      <c r="A153">
        <v>8</v>
      </c>
      <c r="B153">
        <v>43</v>
      </c>
      <c r="C153" t="s">
        <v>184</v>
      </c>
      <c r="D153">
        <v>114</v>
      </c>
      <c r="E153">
        <v>0</v>
      </c>
      <c r="F153">
        <v>0</v>
      </c>
      <c r="G153" t="s">
        <v>177</v>
      </c>
      <c r="H153" t="s">
        <v>177</v>
      </c>
      <c r="I153" s="876">
        <v>44208</v>
      </c>
      <c r="J153">
        <v>8</v>
      </c>
      <c r="K153" t="s">
        <v>184</v>
      </c>
      <c r="L153">
        <v>43</v>
      </c>
      <c r="M153" t="s">
        <v>177</v>
      </c>
      <c r="N153" t="s">
        <v>177</v>
      </c>
      <c r="O153" t="s">
        <v>177</v>
      </c>
      <c r="P153" t="s">
        <v>177</v>
      </c>
      <c r="Q153" t="s">
        <v>177</v>
      </c>
      <c r="R153" t="s">
        <v>177</v>
      </c>
      <c r="S153" t="s">
        <v>177</v>
      </c>
      <c r="T153" t="s">
        <v>177</v>
      </c>
      <c r="U153" t="s">
        <v>177</v>
      </c>
      <c r="V153" t="s">
        <v>177</v>
      </c>
      <c r="W153" t="s">
        <v>177</v>
      </c>
      <c r="X153" t="s">
        <v>177</v>
      </c>
      <c r="Y153" t="s">
        <v>177</v>
      </c>
      <c r="Z153" t="s">
        <v>177</v>
      </c>
      <c r="AA153" t="s">
        <v>177</v>
      </c>
      <c r="AB153" t="s">
        <v>177</v>
      </c>
      <c r="AC153" t="s">
        <v>177</v>
      </c>
      <c r="AD153" t="s">
        <v>177</v>
      </c>
      <c r="AE153" t="s">
        <v>177</v>
      </c>
      <c r="AF153" t="s">
        <v>177</v>
      </c>
      <c r="AG153" s="876">
        <v>44208</v>
      </c>
      <c r="AH153" s="871">
        <f t="shared" si="4"/>
        <v>44197</v>
      </c>
    </row>
    <row r="154" spans="1:34" hidden="1">
      <c r="A154">
        <v>1</v>
      </c>
      <c r="B154">
        <v>37</v>
      </c>
      <c r="C154" t="s">
        <v>180</v>
      </c>
      <c r="D154">
        <v>116</v>
      </c>
      <c r="E154">
        <v>116674306.05664299</v>
      </c>
      <c r="F154">
        <v>0</v>
      </c>
      <c r="G154">
        <v>0</v>
      </c>
      <c r="H154">
        <v>0</v>
      </c>
      <c r="I154" s="876">
        <v>44043</v>
      </c>
      <c r="J154">
        <v>1</v>
      </c>
      <c r="K154" t="s">
        <v>180</v>
      </c>
      <c r="L154">
        <v>37</v>
      </c>
      <c r="M154">
        <v>0</v>
      </c>
      <c r="N154">
        <v>0.86737123185347698</v>
      </c>
      <c r="O154">
        <v>0.120869583254548</v>
      </c>
      <c r="P154">
        <v>1.17591848919756E-2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1.2612899205807699</v>
      </c>
      <c r="Z154">
        <v>0</v>
      </c>
      <c r="AA154">
        <v>-2.1486009599945399E-2</v>
      </c>
      <c r="AB154">
        <v>8.93517087210174E-2</v>
      </c>
      <c r="AC154">
        <v>0</v>
      </c>
      <c r="AD154">
        <v>-0.475994483164427</v>
      </c>
      <c r="AE154">
        <v>1.42100953160595E-2</v>
      </c>
      <c r="AF154">
        <v>0</v>
      </c>
      <c r="AG154" s="876">
        <v>44043</v>
      </c>
      <c r="AH154" s="871">
        <f t="shared" ref="AH154:AH185" si="5">DATE(YEAR(I154),MONTH(I154),1)</f>
        <v>44013</v>
      </c>
    </row>
    <row r="155" spans="1:34" hidden="1">
      <c r="A155">
        <v>2</v>
      </c>
      <c r="B155">
        <v>37</v>
      </c>
      <c r="C155" t="s">
        <v>180</v>
      </c>
      <c r="D155">
        <v>116</v>
      </c>
      <c r="E155">
        <v>19113923.609999999</v>
      </c>
      <c r="F155">
        <v>0</v>
      </c>
      <c r="G155" t="s">
        <v>177</v>
      </c>
      <c r="H155" t="s">
        <v>177</v>
      </c>
      <c r="I155" s="876">
        <v>44055</v>
      </c>
      <c r="J155">
        <v>2</v>
      </c>
      <c r="K155" t="s">
        <v>180</v>
      </c>
      <c r="L155">
        <v>37</v>
      </c>
      <c r="M155">
        <v>1</v>
      </c>
      <c r="N155" t="s">
        <v>177</v>
      </c>
      <c r="O155">
        <v>0</v>
      </c>
      <c r="P155">
        <v>0</v>
      </c>
      <c r="Q155">
        <v>0.38360499538985099</v>
      </c>
      <c r="R155">
        <v>0</v>
      </c>
      <c r="S155">
        <v>-3.89026001345135E-2</v>
      </c>
      <c r="T155">
        <v>0.52167947389138802</v>
      </c>
      <c r="U155">
        <v>0</v>
      </c>
      <c r="V155">
        <v>6.95264794988011E-2</v>
      </c>
      <c r="W155">
        <v>6.4091651354473297E-2</v>
      </c>
      <c r="X155">
        <v>0</v>
      </c>
      <c r="Y155" t="s">
        <v>177</v>
      </c>
      <c r="Z155" t="s">
        <v>177</v>
      </c>
      <c r="AA155" t="s">
        <v>177</v>
      </c>
      <c r="AB155" t="s">
        <v>177</v>
      </c>
      <c r="AC155" t="s">
        <v>177</v>
      </c>
      <c r="AD155" t="s">
        <v>177</v>
      </c>
      <c r="AE155" t="s">
        <v>177</v>
      </c>
      <c r="AF155" t="s">
        <v>177</v>
      </c>
      <c r="AG155" s="876">
        <v>44055</v>
      </c>
      <c r="AH155" s="871">
        <f t="shared" si="5"/>
        <v>44044</v>
      </c>
    </row>
    <row r="156" spans="1:34" hidden="1">
      <c r="A156">
        <v>3</v>
      </c>
      <c r="B156">
        <v>37</v>
      </c>
      <c r="C156" t="s">
        <v>180</v>
      </c>
      <c r="D156">
        <v>116</v>
      </c>
      <c r="E156">
        <v>9471914.5500000007</v>
      </c>
      <c r="F156">
        <v>0</v>
      </c>
      <c r="G156" t="s">
        <v>177</v>
      </c>
      <c r="H156" t="s">
        <v>177</v>
      </c>
      <c r="I156" s="876">
        <v>44088</v>
      </c>
      <c r="J156">
        <v>3</v>
      </c>
      <c r="K156" t="s">
        <v>180</v>
      </c>
      <c r="L156">
        <v>37</v>
      </c>
      <c r="M156">
        <v>0.90118828787101202</v>
      </c>
      <c r="N156" t="s">
        <v>177</v>
      </c>
      <c r="O156">
        <v>0</v>
      </c>
      <c r="P156">
        <v>9.8811712128987594E-2</v>
      </c>
      <c r="Q156">
        <v>-0.139402081219373</v>
      </c>
      <c r="R156">
        <v>0</v>
      </c>
      <c r="S156">
        <v>0</v>
      </c>
      <c r="T156">
        <v>0.956287871185177</v>
      </c>
      <c r="U156">
        <v>0</v>
      </c>
      <c r="V156">
        <v>-2.7539752936733899E-2</v>
      </c>
      <c r="W156">
        <v>0.11184225084194201</v>
      </c>
      <c r="X156">
        <v>0</v>
      </c>
      <c r="Y156" t="s">
        <v>177</v>
      </c>
      <c r="Z156" t="s">
        <v>177</v>
      </c>
      <c r="AA156" t="s">
        <v>177</v>
      </c>
      <c r="AB156" t="s">
        <v>177</v>
      </c>
      <c r="AC156" t="s">
        <v>177</v>
      </c>
      <c r="AD156" t="s">
        <v>177</v>
      </c>
      <c r="AE156" t="s">
        <v>177</v>
      </c>
      <c r="AF156" t="s">
        <v>177</v>
      </c>
      <c r="AG156" s="876">
        <v>44088</v>
      </c>
      <c r="AH156" s="871">
        <f t="shared" si="5"/>
        <v>44075</v>
      </c>
    </row>
    <row r="157" spans="1:34" hidden="1">
      <c r="A157">
        <v>4</v>
      </c>
      <c r="B157">
        <v>37</v>
      </c>
      <c r="C157" t="s">
        <v>180</v>
      </c>
      <c r="D157">
        <v>116</v>
      </c>
      <c r="E157">
        <v>206412.44741226599</v>
      </c>
      <c r="F157">
        <v>0</v>
      </c>
      <c r="G157" t="s">
        <v>177</v>
      </c>
      <c r="H157" t="s">
        <v>177</v>
      </c>
      <c r="I157" s="876">
        <v>44117</v>
      </c>
      <c r="J157">
        <v>4</v>
      </c>
      <c r="K157" t="s">
        <v>180</v>
      </c>
      <c r="L157">
        <v>37</v>
      </c>
      <c r="M157">
        <v>0</v>
      </c>
      <c r="N157">
        <v>0</v>
      </c>
      <c r="O157">
        <v>0</v>
      </c>
      <c r="P157">
        <v>1</v>
      </c>
      <c r="Q157" t="s">
        <v>177</v>
      </c>
      <c r="R157" t="s">
        <v>177</v>
      </c>
      <c r="S157" t="s">
        <v>177</v>
      </c>
      <c r="T157" t="s">
        <v>177</v>
      </c>
      <c r="U157" t="s">
        <v>177</v>
      </c>
      <c r="V157" t="s">
        <v>177</v>
      </c>
      <c r="W157" t="s">
        <v>177</v>
      </c>
      <c r="X157" t="s">
        <v>177</v>
      </c>
      <c r="Y157" t="s">
        <v>177</v>
      </c>
      <c r="Z157" t="s">
        <v>177</v>
      </c>
      <c r="AA157" t="s">
        <v>177</v>
      </c>
      <c r="AB157" t="s">
        <v>177</v>
      </c>
      <c r="AC157" t="s">
        <v>177</v>
      </c>
      <c r="AD157" t="s">
        <v>177</v>
      </c>
      <c r="AE157" t="s">
        <v>177</v>
      </c>
      <c r="AF157" t="s">
        <v>177</v>
      </c>
      <c r="AG157" s="876">
        <v>44117</v>
      </c>
      <c r="AH157" s="871">
        <f t="shared" si="5"/>
        <v>44105</v>
      </c>
    </row>
    <row r="158" spans="1:34" hidden="1">
      <c r="A158">
        <v>5</v>
      </c>
      <c r="B158">
        <v>37</v>
      </c>
      <c r="C158" t="s">
        <v>180</v>
      </c>
      <c r="D158">
        <v>116</v>
      </c>
      <c r="E158">
        <v>1698280.7748001199</v>
      </c>
      <c r="F158">
        <v>0</v>
      </c>
      <c r="G158" t="s">
        <v>177</v>
      </c>
      <c r="H158" t="s">
        <v>177</v>
      </c>
      <c r="I158" s="876">
        <v>44147</v>
      </c>
      <c r="J158">
        <v>5</v>
      </c>
      <c r="K158" t="s">
        <v>180</v>
      </c>
      <c r="L158">
        <v>37</v>
      </c>
      <c r="M158">
        <v>0</v>
      </c>
      <c r="N158">
        <v>0</v>
      </c>
      <c r="O158">
        <v>1</v>
      </c>
      <c r="P158">
        <v>0</v>
      </c>
      <c r="Q158" t="s">
        <v>177</v>
      </c>
      <c r="R158" t="s">
        <v>177</v>
      </c>
      <c r="S158" t="s">
        <v>177</v>
      </c>
      <c r="T158" t="s">
        <v>177</v>
      </c>
      <c r="U158" t="s">
        <v>177</v>
      </c>
      <c r="V158" t="s">
        <v>177</v>
      </c>
      <c r="W158" t="s">
        <v>177</v>
      </c>
      <c r="X158" t="s">
        <v>177</v>
      </c>
      <c r="Y158" t="s">
        <v>177</v>
      </c>
      <c r="Z158" t="s">
        <v>177</v>
      </c>
      <c r="AA158" t="s">
        <v>177</v>
      </c>
      <c r="AB158" t="s">
        <v>177</v>
      </c>
      <c r="AC158" t="s">
        <v>177</v>
      </c>
      <c r="AD158" t="s">
        <v>177</v>
      </c>
      <c r="AE158" t="s">
        <v>177</v>
      </c>
      <c r="AF158" t="s">
        <v>177</v>
      </c>
      <c r="AG158" s="876">
        <v>44147</v>
      </c>
      <c r="AH158" s="871">
        <f t="shared" si="5"/>
        <v>44136</v>
      </c>
    </row>
    <row r="159" spans="1:34" hidden="1">
      <c r="A159">
        <v>6</v>
      </c>
      <c r="B159">
        <v>37</v>
      </c>
      <c r="C159" t="s">
        <v>180</v>
      </c>
      <c r="D159">
        <v>116</v>
      </c>
      <c r="E159">
        <v>59930390.2610709</v>
      </c>
      <c r="F159">
        <v>0</v>
      </c>
      <c r="G159" t="s">
        <v>177</v>
      </c>
      <c r="H159" t="s">
        <v>177</v>
      </c>
      <c r="I159" s="876">
        <v>44179</v>
      </c>
      <c r="J159">
        <v>6</v>
      </c>
      <c r="K159" t="s">
        <v>180</v>
      </c>
      <c r="L159">
        <v>37</v>
      </c>
      <c r="M159">
        <v>1</v>
      </c>
      <c r="N159">
        <v>0</v>
      </c>
      <c r="O159">
        <v>0</v>
      </c>
      <c r="P159">
        <v>0</v>
      </c>
      <c r="Q159">
        <v>0.85979864444653797</v>
      </c>
      <c r="R159">
        <v>0</v>
      </c>
      <c r="S159">
        <v>0</v>
      </c>
      <c r="T159">
        <v>3.4957061678686799E-2</v>
      </c>
      <c r="U159">
        <v>0</v>
      </c>
      <c r="V159">
        <v>0.105242425683005</v>
      </c>
      <c r="W159">
        <v>1.8681917709998999E-6</v>
      </c>
      <c r="X159">
        <v>0</v>
      </c>
      <c r="Y159" t="s">
        <v>177</v>
      </c>
      <c r="Z159" t="s">
        <v>177</v>
      </c>
      <c r="AA159" t="s">
        <v>177</v>
      </c>
      <c r="AB159" t="s">
        <v>177</v>
      </c>
      <c r="AC159" t="s">
        <v>177</v>
      </c>
      <c r="AD159" t="s">
        <v>177</v>
      </c>
      <c r="AE159" t="s">
        <v>177</v>
      </c>
      <c r="AF159" t="s">
        <v>177</v>
      </c>
      <c r="AG159" s="876">
        <v>44179</v>
      </c>
      <c r="AH159" s="871">
        <f t="shared" si="5"/>
        <v>44166</v>
      </c>
    </row>
    <row r="160" spans="1:34" hidden="1">
      <c r="A160">
        <v>7</v>
      </c>
      <c r="B160">
        <v>37</v>
      </c>
      <c r="C160" t="s">
        <v>180</v>
      </c>
      <c r="D160">
        <v>116</v>
      </c>
      <c r="E160">
        <v>0</v>
      </c>
      <c r="F160">
        <v>0</v>
      </c>
      <c r="G160" t="s">
        <v>177</v>
      </c>
      <c r="H160" t="s">
        <v>177</v>
      </c>
      <c r="I160" s="876">
        <v>44193</v>
      </c>
      <c r="J160">
        <v>7</v>
      </c>
      <c r="K160" t="s">
        <v>180</v>
      </c>
      <c r="L160">
        <v>37</v>
      </c>
      <c r="M160">
        <v>0.98279103416195301</v>
      </c>
      <c r="N160">
        <v>0</v>
      </c>
      <c r="O160">
        <v>1.7208965838046601E-2</v>
      </c>
      <c r="P160">
        <v>0</v>
      </c>
      <c r="Q160">
        <v>0.803938958203952</v>
      </c>
      <c r="R160">
        <v>0</v>
      </c>
      <c r="S160">
        <v>0</v>
      </c>
      <c r="T160">
        <v>2.39245066052583E-2</v>
      </c>
      <c r="U160">
        <v>0</v>
      </c>
      <c r="V160">
        <v>0.15492625430258899</v>
      </c>
      <c r="W160">
        <v>1.3150501543895599E-6</v>
      </c>
      <c r="X160">
        <v>0</v>
      </c>
      <c r="Y160" t="s">
        <v>177</v>
      </c>
      <c r="Z160" t="s">
        <v>177</v>
      </c>
      <c r="AA160" t="s">
        <v>177</v>
      </c>
      <c r="AB160" t="s">
        <v>177</v>
      </c>
      <c r="AC160" t="s">
        <v>177</v>
      </c>
      <c r="AD160" t="s">
        <v>177</v>
      </c>
      <c r="AE160" t="s">
        <v>177</v>
      </c>
      <c r="AF160" t="s">
        <v>177</v>
      </c>
      <c r="AG160" s="876">
        <v>44193</v>
      </c>
      <c r="AH160" s="871">
        <f t="shared" si="5"/>
        <v>44166</v>
      </c>
    </row>
    <row r="161" spans="1:34" hidden="1">
      <c r="A161">
        <v>8</v>
      </c>
      <c r="B161">
        <v>37</v>
      </c>
      <c r="C161" t="s">
        <v>180</v>
      </c>
      <c r="D161">
        <v>116</v>
      </c>
      <c r="E161">
        <v>38126623.351973899</v>
      </c>
      <c r="F161">
        <v>0</v>
      </c>
      <c r="G161" t="s">
        <v>177</v>
      </c>
      <c r="H161" t="s">
        <v>177</v>
      </c>
      <c r="I161" s="876">
        <v>44208</v>
      </c>
      <c r="J161">
        <v>8</v>
      </c>
      <c r="K161" t="s">
        <v>180</v>
      </c>
      <c r="L161">
        <v>37</v>
      </c>
      <c r="M161">
        <v>0.98279103416195301</v>
      </c>
      <c r="N161">
        <v>0</v>
      </c>
      <c r="O161">
        <v>1.7208965838046601E-2</v>
      </c>
      <c r="P161">
        <v>0</v>
      </c>
      <c r="Q161">
        <v>0.803938958203952</v>
      </c>
      <c r="R161">
        <v>0</v>
      </c>
      <c r="S161">
        <v>0</v>
      </c>
      <c r="T161">
        <v>2.39245066052583E-2</v>
      </c>
      <c r="U161">
        <v>0</v>
      </c>
      <c r="V161">
        <v>0.15492625430258899</v>
      </c>
      <c r="W161">
        <v>1.3150501543895599E-6</v>
      </c>
      <c r="X161">
        <v>0</v>
      </c>
      <c r="Y161" t="s">
        <v>177</v>
      </c>
      <c r="Z161" t="s">
        <v>177</v>
      </c>
      <c r="AA161" t="s">
        <v>177</v>
      </c>
      <c r="AB161" t="s">
        <v>177</v>
      </c>
      <c r="AC161" t="s">
        <v>177</v>
      </c>
      <c r="AD161" t="s">
        <v>177</v>
      </c>
      <c r="AE161" t="s">
        <v>177</v>
      </c>
      <c r="AF161" t="s">
        <v>177</v>
      </c>
      <c r="AG161" s="876">
        <v>44208</v>
      </c>
      <c r="AH161" s="871">
        <f t="shared" si="5"/>
        <v>44197</v>
      </c>
    </row>
    <row r="162" spans="1:34" hidden="1">
      <c r="A162">
        <v>1</v>
      </c>
      <c r="B162">
        <v>4950</v>
      </c>
      <c r="C162" t="s">
        <v>218</v>
      </c>
      <c r="D162">
        <v>118</v>
      </c>
      <c r="E162">
        <v>1123242088.4452701</v>
      </c>
      <c r="F162">
        <v>0</v>
      </c>
      <c r="G162">
        <v>63147294</v>
      </c>
      <c r="H162">
        <v>0</v>
      </c>
      <c r="I162" s="876">
        <v>44043</v>
      </c>
      <c r="J162">
        <v>1</v>
      </c>
      <c r="K162" t="s">
        <v>218</v>
      </c>
      <c r="L162">
        <v>4950</v>
      </c>
      <c r="M162">
        <v>0</v>
      </c>
      <c r="N162">
        <v>0.79415316789600698</v>
      </c>
      <c r="O162">
        <v>0.16055482465995499</v>
      </c>
      <c r="P162">
        <v>4.52920074440381E-2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0.21318435709005201</v>
      </c>
      <c r="Z162">
        <v>0.56280460692005196</v>
      </c>
      <c r="AA162">
        <v>-2.48352334393988E-2</v>
      </c>
      <c r="AB162">
        <v>0.16546480811577099</v>
      </c>
      <c r="AC162">
        <v>2.18446366908394E-2</v>
      </c>
      <c r="AD162">
        <v>-0.285913845642015</v>
      </c>
      <c r="AE162">
        <v>0.14160383816070701</v>
      </c>
      <c r="AF162">
        <v>0</v>
      </c>
      <c r="AG162" s="876">
        <v>44043</v>
      </c>
      <c r="AH162" s="871">
        <f t="shared" si="5"/>
        <v>44013</v>
      </c>
    </row>
    <row r="163" spans="1:34" hidden="1">
      <c r="A163">
        <v>2</v>
      </c>
      <c r="B163">
        <v>4950</v>
      </c>
      <c r="C163" t="s">
        <v>218</v>
      </c>
      <c r="D163">
        <v>118</v>
      </c>
      <c r="E163">
        <v>50944468.073423997</v>
      </c>
      <c r="F163">
        <v>0</v>
      </c>
      <c r="G163" t="s">
        <v>177</v>
      </c>
      <c r="H163" t="s">
        <v>177</v>
      </c>
      <c r="I163" s="876">
        <v>44055</v>
      </c>
      <c r="J163">
        <v>2</v>
      </c>
      <c r="K163" t="s">
        <v>218</v>
      </c>
      <c r="L163">
        <v>4950</v>
      </c>
      <c r="M163">
        <v>0.231766912313731</v>
      </c>
      <c r="N163" t="s">
        <v>177</v>
      </c>
      <c r="O163">
        <v>0.37233370562071599</v>
      </c>
      <c r="P163">
        <v>0.39589938206555297</v>
      </c>
      <c r="Q163">
        <v>-1.70046465603505</v>
      </c>
      <c r="R163">
        <v>1.1527586449393901</v>
      </c>
      <c r="S163">
        <v>0</v>
      </c>
      <c r="T163">
        <v>0.75272074579514503</v>
      </c>
      <c r="U163">
        <v>2.38125884764901E-2</v>
      </c>
      <c r="V163">
        <v>3.0577589968434501E-3</v>
      </c>
      <c r="W163">
        <v>-1.18169859093492E-4</v>
      </c>
      <c r="X163">
        <v>0</v>
      </c>
      <c r="Y163" t="s">
        <v>177</v>
      </c>
      <c r="Z163" t="s">
        <v>177</v>
      </c>
      <c r="AA163" t="s">
        <v>177</v>
      </c>
      <c r="AB163" t="s">
        <v>177</v>
      </c>
      <c r="AC163" t="s">
        <v>177</v>
      </c>
      <c r="AD163" t="s">
        <v>177</v>
      </c>
      <c r="AE163" t="s">
        <v>177</v>
      </c>
      <c r="AF163" t="s">
        <v>177</v>
      </c>
      <c r="AG163" s="876">
        <v>44055</v>
      </c>
      <c r="AH163" s="871">
        <f t="shared" si="5"/>
        <v>44044</v>
      </c>
    </row>
    <row r="164" spans="1:34" hidden="1">
      <c r="A164">
        <v>3</v>
      </c>
      <c r="B164">
        <v>4950</v>
      </c>
      <c r="C164" t="s">
        <v>218</v>
      </c>
      <c r="D164">
        <v>118</v>
      </c>
      <c r="E164">
        <v>43010188.8903846</v>
      </c>
      <c r="F164">
        <v>0</v>
      </c>
      <c r="G164" t="s">
        <v>177</v>
      </c>
      <c r="H164" t="s">
        <v>177</v>
      </c>
      <c r="I164" s="876">
        <v>44088</v>
      </c>
      <c r="J164">
        <v>3</v>
      </c>
      <c r="K164" t="s">
        <v>218</v>
      </c>
      <c r="L164">
        <v>4950</v>
      </c>
      <c r="M164">
        <v>0.77513262240940295</v>
      </c>
      <c r="N164" t="s">
        <v>177</v>
      </c>
      <c r="O164">
        <v>1.4484140524206801E-2</v>
      </c>
      <c r="P164">
        <v>0.210383237066391</v>
      </c>
      <c r="Q164">
        <v>-1.0485369528647399</v>
      </c>
      <c r="R164">
        <v>0.93593750514182095</v>
      </c>
      <c r="S164">
        <v>0</v>
      </c>
      <c r="T164">
        <v>0.87268778765911303</v>
      </c>
      <c r="U164">
        <v>9.8624976280111104E-2</v>
      </c>
      <c r="V164">
        <v>-8.3580562046544404E-2</v>
      </c>
      <c r="W164">
        <v>-1.31760362165402E-7</v>
      </c>
      <c r="X164">
        <v>0</v>
      </c>
      <c r="Y164" t="s">
        <v>177</v>
      </c>
      <c r="Z164" t="s">
        <v>177</v>
      </c>
      <c r="AA164" t="s">
        <v>177</v>
      </c>
      <c r="AB164" t="s">
        <v>177</v>
      </c>
      <c r="AC164" t="s">
        <v>177</v>
      </c>
      <c r="AD164" t="s">
        <v>177</v>
      </c>
      <c r="AE164" t="s">
        <v>177</v>
      </c>
      <c r="AF164" t="s">
        <v>177</v>
      </c>
      <c r="AG164" s="876">
        <v>44088</v>
      </c>
      <c r="AH164" s="871">
        <f t="shared" si="5"/>
        <v>44075</v>
      </c>
    </row>
    <row r="165" spans="1:34" hidden="1">
      <c r="A165">
        <v>4</v>
      </c>
      <c r="B165">
        <v>4950</v>
      </c>
      <c r="C165" t="s">
        <v>218</v>
      </c>
      <c r="D165">
        <v>118</v>
      </c>
      <c r="E165">
        <v>33549237.7405954</v>
      </c>
      <c r="F165">
        <v>0</v>
      </c>
      <c r="G165" t="s">
        <v>177</v>
      </c>
      <c r="H165" t="s">
        <v>177</v>
      </c>
      <c r="I165" s="876">
        <v>44117</v>
      </c>
      <c r="J165">
        <v>4</v>
      </c>
      <c r="K165" t="s">
        <v>218</v>
      </c>
      <c r="L165">
        <v>4950</v>
      </c>
      <c r="M165">
        <v>0.55700019030192005</v>
      </c>
      <c r="N165">
        <v>0</v>
      </c>
      <c r="O165">
        <v>0.442999809698081</v>
      </c>
      <c r="P165">
        <v>0</v>
      </c>
      <c r="Q165">
        <v>-2.0228939682444</v>
      </c>
      <c r="R165">
        <v>1.4949627859102901</v>
      </c>
      <c r="S165">
        <v>0</v>
      </c>
      <c r="T165">
        <v>0.97280511313058504</v>
      </c>
      <c r="U165">
        <v>7.4739994092232906E-2</v>
      </c>
      <c r="V165">
        <v>3.7386164074196801E-2</v>
      </c>
      <c r="W165">
        <v>1.01339017812545E-7</v>
      </c>
      <c r="X165">
        <v>0</v>
      </c>
      <c r="Y165" t="s">
        <v>177</v>
      </c>
      <c r="Z165" t="s">
        <v>177</v>
      </c>
      <c r="AA165" t="s">
        <v>177</v>
      </c>
      <c r="AB165" t="s">
        <v>177</v>
      </c>
      <c r="AC165" t="s">
        <v>177</v>
      </c>
      <c r="AD165" t="s">
        <v>177</v>
      </c>
      <c r="AE165" t="s">
        <v>177</v>
      </c>
      <c r="AF165" t="s">
        <v>177</v>
      </c>
      <c r="AG165" s="876">
        <v>44117</v>
      </c>
      <c r="AH165" s="871">
        <f t="shared" si="5"/>
        <v>44105</v>
      </c>
    </row>
    <row r="166" spans="1:34" hidden="1">
      <c r="A166">
        <v>5</v>
      </c>
      <c r="B166">
        <v>4950</v>
      </c>
      <c r="C166" t="s">
        <v>218</v>
      </c>
      <c r="D166">
        <v>118</v>
      </c>
      <c r="E166">
        <v>23442287.1680362</v>
      </c>
      <c r="F166">
        <v>0</v>
      </c>
      <c r="G166" t="s">
        <v>177</v>
      </c>
      <c r="H166" t="s">
        <v>177</v>
      </c>
      <c r="I166" s="876">
        <v>44147</v>
      </c>
      <c r="J166">
        <v>5</v>
      </c>
      <c r="K166" t="s">
        <v>218</v>
      </c>
      <c r="L166">
        <v>4950</v>
      </c>
      <c r="M166">
        <v>0.48249026042193999</v>
      </c>
      <c r="N166">
        <v>0</v>
      </c>
      <c r="O166">
        <v>0.51750973957806001</v>
      </c>
      <c r="P166">
        <v>0</v>
      </c>
      <c r="Q166">
        <v>-0.41843154585350001</v>
      </c>
      <c r="R166">
        <v>0.54925553120300696</v>
      </c>
      <c r="S166">
        <v>0</v>
      </c>
      <c r="T166">
        <v>0.37854959593499699</v>
      </c>
      <c r="U166">
        <v>2.9090159217281499E-2</v>
      </c>
      <c r="V166">
        <v>-5.5973479511327702E-2</v>
      </c>
      <c r="W166">
        <v>-5.6851814750160203E-10</v>
      </c>
      <c r="X166">
        <v>0</v>
      </c>
      <c r="Y166" t="s">
        <v>177</v>
      </c>
      <c r="Z166" t="s">
        <v>177</v>
      </c>
      <c r="AA166" t="s">
        <v>177</v>
      </c>
      <c r="AB166" t="s">
        <v>177</v>
      </c>
      <c r="AC166" t="s">
        <v>177</v>
      </c>
      <c r="AD166" t="s">
        <v>177</v>
      </c>
      <c r="AE166" t="s">
        <v>177</v>
      </c>
      <c r="AF166" t="s">
        <v>177</v>
      </c>
      <c r="AG166" s="876">
        <v>44147</v>
      </c>
      <c r="AH166" s="871">
        <f t="shared" si="5"/>
        <v>44136</v>
      </c>
    </row>
    <row r="167" spans="1:34" hidden="1">
      <c r="A167">
        <v>6</v>
      </c>
      <c r="B167">
        <v>4950</v>
      </c>
      <c r="C167" t="s">
        <v>218</v>
      </c>
      <c r="D167">
        <v>118</v>
      </c>
      <c r="E167">
        <v>30314878.8247259</v>
      </c>
      <c r="F167">
        <v>0</v>
      </c>
      <c r="G167" t="s">
        <v>177</v>
      </c>
      <c r="H167" t="s">
        <v>177</v>
      </c>
      <c r="I167" s="876">
        <v>44179</v>
      </c>
      <c r="J167">
        <v>6</v>
      </c>
      <c r="K167" t="s">
        <v>218</v>
      </c>
      <c r="L167">
        <v>4950</v>
      </c>
      <c r="M167">
        <v>0.44472385804592202</v>
      </c>
      <c r="N167">
        <v>0</v>
      </c>
      <c r="O167">
        <v>0.55527614195407804</v>
      </c>
      <c r="P167">
        <v>0</v>
      </c>
      <c r="Q167">
        <v>9.8837730508782203E-3</v>
      </c>
      <c r="R167">
        <v>0.20731750928563</v>
      </c>
      <c r="S167">
        <v>0</v>
      </c>
      <c r="T167">
        <v>0.223045621684204</v>
      </c>
      <c r="U167">
        <v>1.6913481631460999E-2</v>
      </c>
      <c r="V167">
        <v>-1.24365273157144E-2</v>
      </c>
      <c r="W167">
        <v>-2.9053668994376201E-10</v>
      </c>
      <c r="X167">
        <v>0</v>
      </c>
      <c r="Y167" t="s">
        <v>177</v>
      </c>
      <c r="Z167" t="s">
        <v>177</v>
      </c>
      <c r="AA167" t="s">
        <v>177</v>
      </c>
      <c r="AB167" t="s">
        <v>177</v>
      </c>
      <c r="AC167" t="s">
        <v>177</v>
      </c>
      <c r="AD167" t="s">
        <v>177</v>
      </c>
      <c r="AE167" t="s">
        <v>177</v>
      </c>
      <c r="AF167" t="s">
        <v>177</v>
      </c>
      <c r="AG167" s="876">
        <v>44179</v>
      </c>
      <c r="AH167" s="871">
        <f t="shared" si="5"/>
        <v>44166</v>
      </c>
    </row>
    <row r="168" spans="1:34" hidden="1">
      <c r="A168">
        <v>7</v>
      </c>
      <c r="B168">
        <v>4950</v>
      </c>
      <c r="C168" t="s">
        <v>218</v>
      </c>
      <c r="D168">
        <v>118</v>
      </c>
      <c r="E168">
        <v>36524153.538503297</v>
      </c>
      <c r="F168">
        <v>0</v>
      </c>
      <c r="G168" t="s">
        <v>177</v>
      </c>
      <c r="H168" t="s">
        <v>177</v>
      </c>
      <c r="I168" s="876">
        <v>44193</v>
      </c>
      <c r="J168">
        <v>7</v>
      </c>
      <c r="K168" t="s">
        <v>218</v>
      </c>
      <c r="L168">
        <v>4950</v>
      </c>
      <c r="M168">
        <v>0.31700335554328402</v>
      </c>
      <c r="N168">
        <v>0</v>
      </c>
      <c r="O168">
        <v>0.68299664445671604</v>
      </c>
      <c r="P168">
        <v>0</v>
      </c>
      <c r="Q168">
        <v>-0.161845676556295</v>
      </c>
      <c r="R168">
        <v>0.26719197633644298</v>
      </c>
      <c r="S168">
        <v>0</v>
      </c>
      <c r="T168">
        <v>0.234104442431086</v>
      </c>
      <c r="U168">
        <v>1.7717054598715899E-2</v>
      </c>
      <c r="V168">
        <v>-4.0164440962835703E-2</v>
      </c>
      <c r="W168">
        <v>-3.0383058682460998E-10</v>
      </c>
      <c r="X168">
        <v>0</v>
      </c>
      <c r="Y168" t="s">
        <v>177</v>
      </c>
      <c r="Z168" t="s">
        <v>177</v>
      </c>
      <c r="AA168" t="s">
        <v>177</v>
      </c>
      <c r="AB168" t="s">
        <v>177</v>
      </c>
      <c r="AC168" t="s">
        <v>177</v>
      </c>
      <c r="AD168" t="s">
        <v>177</v>
      </c>
      <c r="AE168" t="s">
        <v>177</v>
      </c>
      <c r="AF168" t="s">
        <v>177</v>
      </c>
      <c r="AG168" s="876">
        <v>44193</v>
      </c>
      <c r="AH168" s="871">
        <f t="shared" si="5"/>
        <v>44166</v>
      </c>
    </row>
    <row r="169" spans="1:34" hidden="1">
      <c r="A169">
        <v>8</v>
      </c>
      <c r="B169">
        <v>4950</v>
      </c>
      <c r="C169" t="s">
        <v>218</v>
      </c>
      <c r="D169">
        <v>118</v>
      </c>
      <c r="E169">
        <v>0</v>
      </c>
      <c r="F169">
        <v>0</v>
      </c>
      <c r="G169" t="s">
        <v>177</v>
      </c>
      <c r="H169" t="s">
        <v>177</v>
      </c>
      <c r="I169" s="876">
        <v>44208</v>
      </c>
      <c r="J169">
        <v>8</v>
      </c>
      <c r="K169" t="s">
        <v>218</v>
      </c>
      <c r="L169">
        <v>4950</v>
      </c>
      <c r="M169">
        <v>0.31700335554328402</v>
      </c>
      <c r="N169">
        <v>0</v>
      </c>
      <c r="O169">
        <v>0.68299664445671604</v>
      </c>
      <c r="P169">
        <v>0</v>
      </c>
      <c r="Q169">
        <v>-0.161845676556295</v>
      </c>
      <c r="R169">
        <v>0.26719197633644298</v>
      </c>
      <c r="S169">
        <v>0</v>
      </c>
      <c r="T169">
        <v>0.234104442431086</v>
      </c>
      <c r="U169">
        <v>1.7717054598715899E-2</v>
      </c>
      <c r="V169">
        <v>-4.0164440962835703E-2</v>
      </c>
      <c r="W169">
        <v>-3.0383058682460998E-10</v>
      </c>
      <c r="X169">
        <v>0</v>
      </c>
      <c r="Y169" t="s">
        <v>177</v>
      </c>
      <c r="Z169" t="s">
        <v>177</v>
      </c>
      <c r="AA169" t="s">
        <v>177</v>
      </c>
      <c r="AB169" t="s">
        <v>177</v>
      </c>
      <c r="AC169" t="s">
        <v>177</v>
      </c>
      <c r="AD169" t="s">
        <v>177</v>
      </c>
      <c r="AE169" t="s">
        <v>177</v>
      </c>
      <c r="AF169" t="s">
        <v>177</v>
      </c>
      <c r="AG169" s="876">
        <v>44208</v>
      </c>
      <c r="AH169" s="871">
        <f t="shared" si="5"/>
        <v>44197</v>
      </c>
    </row>
    <row r="170" spans="1:34" hidden="1">
      <c r="A170">
        <v>1</v>
      </c>
      <c r="B170">
        <v>38</v>
      </c>
      <c r="C170" t="s">
        <v>181</v>
      </c>
      <c r="D170">
        <v>119</v>
      </c>
      <c r="E170">
        <v>116326948.24215101</v>
      </c>
      <c r="F170">
        <v>27154960.785434</v>
      </c>
      <c r="G170">
        <v>0</v>
      </c>
      <c r="H170">
        <v>0</v>
      </c>
      <c r="I170" s="876">
        <v>44043</v>
      </c>
      <c r="J170">
        <v>1</v>
      </c>
      <c r="K170" t="s">
        <v>181</v>
      </c>
      <c r="L170">
        <v>38</v>
      </c>
      <c r="M170">
        <v>1.7118764796894899E-2</v>
      </c>
      <c r="N170">
        <v>0.75991722791511396</v>
      </c>
      <c r="O170">
        <v>0.21352762344821599</v>
      </c>
      <c r="P170">
        <v>9.4363838397749592E-3</v>
      </c>
      <c r="Q170">
        <v>-1.48161266150363E-2</v>
      </c>
      <c r="R170">
        <v>0</v>
      </c>
      <c r="S170">
        <v>-4.5257642426918803E-3</v>
      </c>
      <c r="T170">
        <v>-9.1731237342474702E-3</v>
      </c>
      <c r="U170">
        <v>0</v>
      </c>
      <c r="V170">
        <v>3.63306431366405E-2</v>
      </c>
      <c r="W170">
        <v>9.3031362522300702E-3</v>
      </c>
      <c r="X170">
        <v>0</v>
      </c>
      <c r="Y170">
        <v>1.1434730578774199</v>
      </c>
      <c r="Z170">
        <v>0</v>
      </c>
      <c r="AA170">
        <v>-3.05177188402649E-3</v>
      </c>
      <c r="AB170">
        <v>0.120192582211435</v>
      </c>
      <c r="AC170">
        <v>0</v>
      </c>
      <c r="AD170">
        <v>-0.45501971443295097</v>
      </c>
      <c r="AE170">
        <v>-4.56769258567611E-2</v>
      </c>
      <c r="AF170">
        <v>0</v>
      </c>
      <c r="AG170" s="876">
        <v>44043</v>
      </c>
      <c r="AH170" s="871">
        <f t="shared" si="5"/>
        <v>44013</v>
      </c>
    </row>
    <row r="171" spans="1:34" hidden="1">
      <c r="A171">
        <v>2</v>
      </c>
      <c r="B171">
        <v>38</v>
      </c>
      <c r="C171" t="s">
        <v>181</v>
      </c>
      <c r="D171">
        <v>119</v>
      </c>
      <c r="E171">
        <v>22634418.23</v>
      </c>
      <c r="F171">
        <v>0</v>
      </c>
      <c r="G171" t="s">
        <v>177</v>
      </c>
      <c r="H171" t="s">
        <v>177</v>
      </c>
      <c r="I171" s="876">
        <v>44055</v>
      </c>
      <c r="J171">
        <v>2</v>
      </c>
      <c r="K171" t="s">
        <v>181</v>
      </c>
      <c r="L171">
        <v>38</v>
      </c>
      <c r="M171">
        <v>0.743960440050213</v>
      </c>
      <c r="N171" t="s">
        <v>177</v>
      </c>
      <c r="O171">
        <v>0</v>
      </c>
      <c r="P171">
        <v>0.256039559949787</v>
      </c>
      <c r="Q171">
        <v>0.30834809877330899</v>
      </c>
      <c r="R171">
        <v>0</v>
      </c>
      <c r="S171">
        <v>-2.3271357588154701E-2</v>
      </c>
      <c r="T171">
        <v>0.34200330110411098</v>
      </c>
      <c r="U171">
        <v>0</v>
      </c>
      <c r="V171">
        <v>6.8846240551318896E-2</v>
      </c>
      <c r="W171">
        <v>4.8034157209628101E-2</v>
      </c>
      <c r="X171">
        <v>0</v>
      </c>
      <c r="Y171" t="s">
        <v>177</v>
      </c>
      <c r="Z171" t="s">
        <v>177</v>
      </c>
      <c r="AA171" t="s">
        <v>177</v>
      </c>
      <c r="AB171" t="s">
        <v>177</v>
      </c>
      <c r="AC171" t="s">
        <v>177</v>
      </c>
      <c r="AD171" t="s">
        <v>177</v>
      </c>
      <c r="AE171" t="s">
        <v>177</v>
      </c>
      <c r="AF171" t="s">
        <v>177</v>
      </c>
      <c r="AG171" s="876">
        <v>44055</v>
      </c>
      <c r="AH171" s="871">
        <f t="shared" si="5"/>
        <v>44044</v>
      </c>
    </row>
    <row r="172" spans="1:34" hidden="1">
      <c r="A172">
        <v>3</v>
      </c>
      <c r="B172">
        <v>38</v>
      </c>
      <c r="C172" t="s">
        <v>181</v>
      </c>
      <c r="D172">
        <v>119</v>
      </c>
      <c r="E172">
        <v>13433571.3306059</v>
      </c>
      <c r="F172">
        <v>0</v>
      </c>
      <c r="G172" t="s">
        <v>177</v>
      </c>
      <c r="H172" t="s">
        <v>177</v>
      </c>
      <c r="I172" s="876">
        <v>44088</v>
      </c>
      <c r="J172">
        <v>3</v>
      </c>
      <c r="K172" t="s">
        <v>181</v>
      </c>
      <c r="L172">
        <v>38</v>
      </c>
      <c r="M172">
        <v>0.59257676855169805</v>
      </c>
      <c r="N172" t="s">
        <v>177</v>
      </c>
      <c r="O172">
        <v>0</v>
      </c>
      <c r="P172">
        <v>0.407423231448302</v>
      </c>
      <c r="Q172">
        <v>4.5867739588611602E-2</v>
      </c>
      <c r="R172">
        <v>0</v>
      </c>
      <c r="S172">
        <v>-3.7167520774635802E-2</v>
      </c>
      <c r="T172">
        <v>0.54637776533674598</v>
      </c>
      <c r="U172">
        <v>0</v>
      </c>
      <c r="V172">
        <v>3.9047125144588503E-2</v>
      </c>
      <c r="W172">
        <v>-1.5483407436120999E-3</v>
      </c>
      <c r="X172">
        <v>0</v>
      </c>
      <c r="Y172" t="s">
        <v>177</v>
      </c>
      <c r="Z172" t="s">
        <v>177</v>
      </c>
      <c r="AA172" t="s">
        <v>177</v>
      </c>
      <c r="AB172" t="s">
        <v>177</v>
      </c>
      <c r="AC172" t="s">
        <v>177</v>
      </c>
      <c r="AD172" t="s">
        <v>177</v>
      </c>
      <c r="AE172" t="s">
        <v>177</v>
      </c>
      <c r="AF172" t="s">
        <v>177</v>
      </c>
      <c r="AG172" s="876">
        <v>44088</v>
      </c>
      <c r="AH172" s="871">
        <f t="shared" si="5"/>
        <v>44075</v>
      </c>
    </row>
    <row r="173" spans="1:34" hidden="1">
      <c r="A173">
        <v>4</v>
      </c>
      <c r="B173">
        <v>38</v>
      </c>
      <c r="C173" t="s">
        <v>181</v>
      </c>
      <c r="D173">
        <v>119</v>
      </c>
      <c r="E173">
        <v>10694858.018706299</v>
      </c>
      <c r="F173">
        <v>0</v>
      </c>
      <c r="G173" t="s">
        <v>177</v>
      </c>
      <c r="H173" t="s">
        <v>177</v>
      </c>
      <c r="I173" s="876">
        <v>44117</v>
      </c>
      <c r="J173">
        <v>4</v>
      </c>
      <c r="K173" t="s">
        <v>181</v>
      </c>
      <c r="L173">
        <v>38</v>
      </c>
      <c r="M173">
        <v>0.51035706477406395</v>
      </c>
      <c r="N173">
        <v>0</v>
      </c>
      <c r="O173">
        <v>0.48964293522593599</v>
      </c>
      <c r="P173">
        <v>0</v>
      </c>
      <c r="Q173">
        <v>-0.26667112104484703</v>
      </c>
      <c r="R173">
        <v>0</v>
      </c>
      <c r="S173">
        <v>-5.0492773785803198E-2</v>
      </c>
      <c r="T173">
        <v>0.67845072390028305</v>
      </c>
      <c r="U173">
        <v>0</v>
      </c>
      <c r="V173">
        <v>-6.2853676796403996E-2</v>
      </c>
      <c r="W173">
        <v>0.21192391250083401</v>
      </c>
      <c r="X173">
        <v>0</v>
      </c>
      <c r="Y173" t="s">
        <v>177</v>
      </c>
      <c r="Z173" t="s">
        <v>177</v>
      </c>
      <c r="AA173" t="s">
        <v>177</v>
      </c>
      <c r="AB173" t="s">
        <v>177</v>
      </c>
      <c r="AC173" t="s">
        <v>177</v>
      </c>
      <c r="AD173" t="s">
        <v>177</v>
      </c>
      <c r="AE173" t="s">
        <v>177</v>
      </c>
      <c r="AF173" t="s">
        <v>177</v>
      </c>
      <c r="AG173" s="876">
        <v>44117</v>
      </c>
      <c r="AH173" s="871">
        <f t="shared" si="5"/>
        <v>44105</v>
      </c>
    </row>
    <row r="174" spans="1:34" hidden="1">
      <c r="A174">
        <v>5</v>
      </c>
      <c r="B174">
        <v>38</v>
      </c>
      <c r="C174" t="s">
        <v>181</v>
      </c>
      <c r="D174">
        <v>119</v>
      </c>
      <c r="E174">
        <v>6087882.7013617698</v>
      </c>
      <c r="F174">
        <v>0</v>
      </c>
      <c r="G174" t="s">
        <v>177</v>
      </c>
      <c r="H174" t="s">
        <v>177</v>
      </c>
      <c r="I174" s="876">
        <v>44147</v>
      </c>
      <c r="J174">
        <v>5</v>
      </c>
      <c r="K174" t="s">
        <v>181</v>
      </c>
      <c r="L174">
        <v>38</v>
      </c>
      <c r="M174">
        <v>0.874236707027646</v>
      </c>
      <c r="N174">
        <v>0</v>
      </c>
      <c r="O174">
        <v>0.125763292972354</v>
      </c>
      <c r="P174">
        <v>0</v>
      </c>
      <c r="Q174">
        <v>-0.53227268736215605</v>
      </c>
      <c r="R174">
        <v>0</v>
      </c>
      <c r="S174">
        <v>-9.3935195514074102E-2</v>
      </c>
      <c r="T174">
        <v>1.3697936623467999</v>
      </c>
      <c r="U174">
        <v>0</v>
      </c>
      <c r="V174">
        <v>-6.4718882163978295E-2</v>
      </c>
      <c r="W174">
        <v>0.195369809721057</v>
      </c>
      <c r="X174">
        <v>0</v>
      </c>
      <c r="Y174" t="s">
        <v>177</v>
      </c>
      <c r="Z174" t="s">
        <v>177</v>
      </c>
      <c r="AA174" t="s">
        <v>177</v>
      </c>
      <c r="AB174" t="s">
        <v>177</v>
      </c>
      <c r="AC174" t="s">
        <v>177</v>
      </c>
      <c r="AD174" t="s">
        <v>177</v>
      </c>
      <c r="AE174" t="s">
        <v>177</v>
      </c>
      <c r="AF174" t="s">
        <v>177</v>
      </c>
      <c r="AG174" s="876">
        <v>44147</v>
      </c>
      <c r="AH174" s="871">
        <f t="shared" si="5"/>
        <v>44136</v>
      </c>
    </row>
    <row r="175" spans="1:34" hidden="1">
      <c r="A175">
        <v>6</v>
      </c>
      <c r="B175">
        <v>38</v>
      </c>
      <c r="C175" t="s">
        <v>181</v>
      </c>
      <c r="D175">
        <v>119</v>
      </c>
      <c r="E175">
        <v>3103184.6917414698</v>
      </c>
      <c r="F175">
        <v>0</v>
      </c>
      <c r="G175" t="s">
        <v>177</v>
      </c>
      <c r="H175" t="s">
        <v>177</v>
      </c>
      <c r="I175" s="876">
        <v>44179</v>
      </c>
      <c r="J175">
        <v>6</v>
      </c>
      <c r="K175" t="s">
        <v>181</v>
      </c>
      <c r="L175">
        <v>38</v>
      </c>
      <c r="M175">
        <v>1</v>
      </c>
      <c r="N175">
        <v>0</v>
      </c>
      <c r="O175">
        <v>0</v>
      </c>
      <c r="P175">
        <v>0</v>
      </c>
      <c r="Q175">
        <v>0.73885392337213696</v>
      </c>
      <c r="R175">
        <v>0</v>
      </c>
      <c r="S175">
        <v>-1.07123146420366E-2</v>
      </c>
      <c r="T175">
        <v>0.14921188219750101</v>
      </c>
      <c r="U175">
        <v>0</v>
      </c>
      <c r="V175">
        <v>0.100264483341514</v>
      </c>
      <c r="W175">
        <v>2.2382025730884401E-2</v>
      </c>
      <c r="X175">
        <v>0</v>
      </c>
      <c r="Y175" t="s">
        <v>177</v>
      </c>
      <c r="Z175" t="s">
        <v>177</v>
      </c>
      <c r="AA175" t="s">
        <v>177</v>
      </c>
      <c r="AB175" t="s">
        <v>177</v>
      </c>
      <c r="AC175" t="s">
        <v>177</v>
      </c>
      <c r="AD175" t="s">
        <v>177</v>
      </c>
      <c r="AE175" t="s">
        <v>177</v>
      </c>
      <c r="AF175" t="s">
        <v>177</v>
      </c>
      <c r="AG175" s="876">
        <v>44179</v>
      </c>
      <c r="AH175" s="871">
        <f t="shared" si="5"/>
        <v>44166</v>
      </c>
    </row>
    <row r="176" spans="1:34" hidden="1">
      <c r="A176">
        <v>7</v>
      </c>
      <c r="B176">
        <v>38</v>
      </c>
      <c r="C176" t="s">
        <v>181</v>
      </c>
      <c r="D176">
        <v>119</v>
      </c>
      <c r="E176">
        <v>0</v>
      </c>
      <c r="F176">
        <v>0</v>
      </c>
      <c r="G176" t="s">
        <v>177</v>
      </c>
      <c r="H176" t="s">
        <v>177</v>
      </c>
      <c r="I176" s="876">
        <v>44193</v>
      </c>
      <c r="J176">
        <v>7</v>
      </c>
      <c r="K176" t="s">
        <v>181</v>
      </c>
      <c r="L176">
        <v>38</v>
      </c>
      <c r="M176">
        <v>1</v>
      </c>
      <c r="N176">
        <v>0</v>
      </c>
      <c r="O176">
        <v>0</v>
      </c>
      <c r="P176">
        <v>0</v>
      </c>
      <c r="Q176">
        <v>0.82126503969893105</v>
      </c>
      <c r="R176">
        <v>0</v>
      </c>
      <c r="S176">
        <v>-3.0459635377212799E-4</v>
      </c>
      <c r="T176">
        <v>3.2667100991598801E-2</v>
      </c>
      <c r="U176">
        <v>0</v>
      </c>
      <c r="V176">
        <v>0.14568610208279401</v>
      </c>
      <c r="W176">
        <v>6.8635358044825501E-4</v>
      </c>
      <c r="X176">
        <v>0</v>
      </c>
      <c r="Y176" t="s">
        <v>177</v>
      </c>
      <c r="Z176" t="s">
        <v>177</v>
      </c>
      <c r="AA176" t="s">
        <v>177</v>
      </c>
      <c r="AB176" t="s">
        <v>177</v>
      </c>
      <c r="AC176" t="s">
        <v>177</v>
      </c>
      <c r="AD176" t="s">
        <v>177</v>
      </c>
      <c r="AE176" t="s">
        <v>177</v>
      </c>
      <c r="AF176" t="s">
        <v>177</v>
      </c>
      <c r="AG176" s="876">
        <v>44193</v>
      </c>
      <c r="AH176" s="871">
        <f t="shared" si="5"/>
        <v>44166</v>
      </c>
    </row>
    <row r="177" spans="1:34" hidden="1">
      <c r="A177">
        <v>8</v>
      </c>
      <c r="B177">
        <v>38</v>
      </c>
      <c r="C177" t="s">
        <v>181</v>
      </c>
      <c r="D177">
        <v>119</v>
      </c>
      <c r="E177">
        <v>0</v>
      </c>
      <c r="F177">
        <v>0</v>
      </c>
      <c r="G177" t="s">
        <v>177</v>
      </c>
      <c r="H177" t="s">
        <v>177</v>
      </c>
      <c r="I177" s="876">
        <v>44208</v>
      </c>
      <c r="J177">
        <v>8</v>
      </c>
      <c r="K177" t="s">
        <v>181</v>
      </c>
      <c r="L177">
        <v>38</v>
      </c>
      <c r="M177">
        <v>1</v>
      </c>
      <c r="N177">
        <v>0</v>
      </c>
      <c r="O177">
        <v>0</v>
      </c>
      <c r="P177">
        <v>0</v>
      </c>
      <c r="Q177">
        <v>0.82126503969893105</v>
      </c>
      <c r="R177">
        <v>0</v>
      </c>
      <c r="S177">
        <v>-3.0459635377212799E-4</v>
      </c>
      <c r="T177">
        <v>3.2667100991598801E-2</v>
      </c>
      <c r="U177">
        <v>0</v>
      </c>
      <c r="V177">
        <v>0.14568610208279401</v>
      </c>
      <c r="W177">
        <v>6.8635358044825501E-4</v>
      </c>
      <c r="X177">
        <v>0</v>
      </c>
      <c r="Y177" t="s">
        <v>177</v>
      </c>
      <c r="Z177" t="s">
        <v>177</v>
      </c>
      <c r="AA177" t="s">
        <v>177</v>
      </c>
      <c r="AB177" t="s">
        <v>177</v>
      </c>
      <c r="AC177" t="s">
        <v>177</v>
      </c>
      <c r="AD177" t="s">
        <v>177</v>
      </c>
      <c r="AE177" t="s">
        <v>177</v>
      </c>
      <c r="AF177" t="s">
        <v>177</v>
      </c>
      <c r="AG177" s="876">
        <v>44208</v>
      </c>
      <c r="AH177" s="871">
        <f t="shared" si="5"/>
        <v>44197</v>
      </c>
    </row>
    <row r="178" spans="1:34" hidden="1">
      <c r="A178">
        <v>1</v>
      </c>
      <c r="B178">
        <v>369</v>
      </c>
      <c r="C178" t="s">
        <v>195</v>
      </c>
      <c r="D178">
        <v>120</v>
      </c>
      <c r="E178">
        <v>32143473.811485302</v>
      </c>
      <c r="F178">
        <v>71410825</v>
      </c>
      <c r="G178">
        <v>0</v>
      </c>
      <c r="H178">
        <v>97848047</v>
      </c>
      <c r="I178" s="876">
        <v>44043</v>
      </c>
      <c r="J178">
        <v>1</v>
      </c>
      <c r="K178" t="s">
        <v>195</v>
      </c>
      <c r="L178">
        <v>369</v>
      </c>
      <c r="M178">
        <v>7.48597463633114E-2</v>
      </c>
      <c r="N178">
        <v>0.83789834129180096</v>
      </c>
      <c r="O178">
        <v>0</v>
      </c>
      <c r="P178">
        <v>8.7241912344888095E-2</v>
      </c>
      <c r="Q178">
        <v>3.80275946889682E-2</v>
      </c>
      <c r="R178">
        <v>0</v>
      </c>
      <c r="S178">
        <v>-1.4091905348996001E-2</v>
      </c>
      <c r="T178">
        <v>-3.5796075281586202E-2</v>
      </c>
      <c r="U178">
        <v>0</v>
      </c>
      <c r="V178">
        <v>1.2050243447823E-2</v>
      </c>
      <c r="W178">
        <v>7.4669888857102407E-2</v>
      </c>
      <c r="X178">
        <v>0</v>
      </c>
      <c r="Y178">
        <v>1.72203117978561</v>
      </c>
      <c r="Z178">
        <v>0</v>
      </c>
      <c r="AA178">
        <v>8.2966427824210501E-2</v>
      </c>
      <c r="AB178">
        <v>0.10208027667587</v>
      </c>
      <c r="AC178">
        <v>0</v>
      </c>
      <c r="AD178">
        <v>-0.37937203432078298</v>
      </c>
      <c r="AE178">
        <v>-0.68980750867310803</v>
      </c>
      <c r="AF178">
        <v>0</v>
      </c>
      <c r="AG178" s="876">
        <v>44043</v>
      </c>
      <c r="AH178" s="871">
        <f t="shared" si="5"/>
        <v>44013</v>
      </c>
    </row>
    <row r="179" spans="1:34" hidden="1">
      <c r="A179">
        <v>2</v>
      </c>
      <c r="B179">
        <v>369</v>
      </c>
      <c r="C179" t="s">
        <v>195</v>
      </c>
      <c r="D179">
        <v>120</v>
      </c>
      <c r="E179">
        <v>8010840.29</v>
      </c>
      <c r="F179">
        <v>0</v>
      </c>
      <c r="G179" t="s">
        <v>177</v>
      </c>
      <c r="H179" t="s">
        <v>177</v>
      </c>
      <c r="I179" s="876">
        <v>44055</v>
      </c>
      <c r="J179">
        <v>2</v>
      </c>
      <c r="K179" t="s">
        <v>195</v>
      </c>
      <c r="L179">
        <v>369</v>
      </c>
      <c r="M179">
        <v>0.87988537161178604</v>
      </c>
      <c r="N179" t="s">
        <v>177</v>
      </c>
      <c r="O179">
        <v>0.120114628388214</v>
      </c>
      <c r="P179">
        <v>0</v>
      </c>
      <c r="Q179">
        <v>0.12183320563758</v>
      </c>
      <c r="R179">
        <v>0</v>
      </c>
      <c r="S179">
        <v>-5.6571969277994003E-2</v>
      </c>
      <c r="T179">
        <v>0.38617115835088001</v>
      </c>
      <c r="U179">
        <v>0</v>
      </c>
      <c r="V179">
        <v>0.12823546174081299</v>
      </c>
      <c r="W179">
        <v>0.30021751516050699</v>
      </c>
      <c r="X179">
        <v>0</v>
      </c>
      <c r="Y179" t="s">
        <v>177</v>
      </c>
      <c r="Z179" t="s">
        <v>177</v>
      </c>
      <c r="AA179" t="s">
        <v>177</v>
      </c>
      <c r="AB179" t="s">
        <v>177</v>
      </c>
      <c r="AC179" t="s">
        <v>177</v>
      </c>
      <c r="AD179" t="s">
        <v>177</v>
      </c>
      <c r="AE179" t="s">
        <v>177</v>
      </c>
      <c r="AF179" t="s">
        <v>177</v>
      </c>
      <c r="AG179" s="876">
        <v>44055</v>
      </c>
      <c r="AH179" s="871">
        <f t="shared" si="5"/>
        <v>44044</v>
      </c>
    </row>
    <row r="180" spans="1:34" hidden="1">
      <c r="A180">
        <v>3</v>
      </c>
      <c r="B180">
        <v>369</v>
      </c>
      <c r="C180" t="s">
        <v>195</v>
      </c>
      <c r="D180">
        <v>120</v>
      </c>
      <c r="E180">
        <v>19902351.98</v>
      </c>
      <c r="F180">
        <v>0</v>
      </c>
      <c r="G180" t="s">
        <v>177</v>
      </c>
      <c r="H180" t="s">
        <v>177</v>
      </c>
      <c r="I180" s="876">
        <v>44088</v>
      </c>
      <c r="J180">
        <v>3</v>
      </c>
      <c r="K180" t="s">
        <v>195</v>
      </c>
      <c r="L180">
        <v>369</v>
      </c>
      <c r="M180">
        <v>0.52161181568244597</v>
      </c>
      <c r="N180" t="s">
        <v>177</v>
      </c>
      <c r="O180">
        <v>0.20380314328143401</v>
      </c>
      <c r="P180">
        <v>0.27458504103611903</v>
      </c>
      <c r="Q180">
        <v>0.22276172344320899</v>
      </c>
      <c r="R180">
        <v>0</v>
      </c>
      <c r="S180">
        <v>-2.2752923271862398E-2</v>
      </c>
      <c r="T180">
        <v>0.21983652691147099</v>
      </c>
      <c r="U180">
        <v>0</v>
      </c>
      <c r="V180">
        <v>-1.9217982483427199E-2</v>
      </c>
      <c r="W180">
        <v>0.120984471083056</v>
      </c>
      <c r="X180">
        <v>0</v>
      </c>
      <c r="Y180" t="s">
        <v>177</v>
      </c>
      <c r="Z180" t="s">
        <v>177</v>
      </c>
      <c r="AA180" t="s">
        <v>177</v>
      </c>
      <c r="AB180" t="s">
        <v>177</v>
      </c>
      <c r="AC180" t="s">
        <v>177</v>
      </c>
      <c r="AD180" t="s">
        <v>177</v>
      </c>
      <c r="AE180" t="s">
        <v>177</v>
      </c>
      <c r="AF180" t="s">
        <v>177</v>
      </c>
      <c r="AG180" s="876">
        <v>44088</v>
      </c>
      <c r="AH180" s="871">
        <f t="shared" si="5"/>
        <v>44075</v>
      </c>
    </row>
    <row r="181" spans="1:34" hidden="1">
      <c r="A181">
        <v>4</v>
      </c>
      <c r="B181">
        <v>369</v>
      </c>
      <c r="C181" t="s">
        <v>195</v>
      </c>
      <c r="D181">
        <v>120</v>
      </c>
      <c r="E181">
        <v>13383829.0691636</v>
      </c>
      <c r="F181">
        <v>0</v>
      </c>
      <c r="G181" t="s">
        <v>177</v>
      </c>
      <c r="H181" t="s">
        <v>177</v>
      </c>
      <c r="I181" s="876">
        <v>44117</v>
      </c>
      <c r="J181">
        <v>4</v>
      </c>
      <c r="K181" t="s">
        <v>195</v>
      </c>
      <c r="L181">
        <v>369</v>
      </c>
      <c r="M181">
        <v>0.37625140617335001</v>
      </c>
      <c r="N181">
        <v>0</v>
      </c>
      <c r="O181">
        <v>0.40225882297781801</v>
      </c>
      <c r="P181">
        <v>0.22148977084883201</v>
      </c>
      <c r="Q181">
        <v>-1.27663620784655E-2</v>
      </c>
      <c r="R181">
        <v>0</v>
      </c>
      <c r="S181">
        <v>-3.3874631126391899E-2</v>
      </c>
      <c r="T181">
        <v>0.28620712423481798</v>
      </c>
      <c r="U181">
        <v>0</v>
      </c>
      <c r="V181">
        <v>-4.3484040841741699E-2</v>
      </c>
      <c r="W181">
        <v>0.180169315985131</v>
      </c>
      <c r="X181">
        <v>0</v>
      </c>
      <c r="Y181" t="s">
        <v>177</v>
      </c>
      <c r="Z181" t="s">
        <v>177</v>
      </c>
      <c r="AA181" t="s">
        <v>177</v>
      </c>
      <c r="AB181" t="s">
        <v>177</v>
      </c>
      <c r="AC181" t="s">
        <v>177</v>
      </c>
      <c r="AD181" t="s">
        <v>177</v>
      </c>
      <c r="AE181" t="s">
        <v>177</v>
      </c>
      <c r="AF181" t="s">
        <v>177</v>
      </c>
      <c r="AG181" s="876">
        <v>44117</v>
      </c>
      <c r="AH181" s="871">
        <f t="shared" si="5"/>
        <v>44105</v>
      </c>
    </row>
    <row r="182" spans="1:34" hidden="1">
      <c r="A182">
        <v>5</v>
      </c>
      <c r="B182">
        <v>369</v>
      </c>
      <c r="C182" t="s">
        <v>195</v>
      </c>
      <c r="D182">
        <v>120</v>
      </c>
      <c r="E182">
        <v>2800528.3178675799</v>
      </c>
      <c r="F182">
        <v>0</v>
      </c>
      <c r="G182" t="s">
        <v>177</v>
      </c>
      <c r="H182" t="s">
        <v>177</v>
      </c>
      <c r="I182" s="876">
        <v>44147</v>
      </c>
      <c r="J182">
        <v>5</v>
      </c>
      <c r="K182" t="s">
        <v>195</v>
      </c>
      <c r="L182">
        <v>369</v>
      </c>
      <c r="M182">
        <v>1</v>
      </c>
      <c r="N182">
        <v>0</v>
      </c>
      <c r="O182">
        <v>0</v>
      </c>
      <c r="P182">
        <v>0</v>
      </c>
      <c r="Q182">
        <v>-1.05945355497292</v>
      </c>
      <c r="R182">
        <v>0</v>
      </c>
      <c r="S182">
        <v>-0.162130293450928</v>
      </c>
      <c r="T182">
        <v>1.3528890196260399</v>
      </c>
      <c r="U182">
        <v>0</v>
      </c>
      <c r="V182">
        <v>6.37145907389354E-3</v>
      </c>
      <c r="W182">
        <v>0.86232336972391099</v>
      </c>
      <c r="X182">
        <v>0</v>
      </c>
      <c r="Y182" t="s">
        <v>177</v>
      </c>
      <c r="Z182" t="s">
        <v>177</v>
      </c>
      <c r="AA182" t="s">
        <v>177</v>
      </c>
      <c r="AB182" t="s">
        <v>177</v>
      </c>
      <c r="AC182" t="s">
        <v>177</v>
      </c>
      <c r="AD182" t="s">
        <v>177</v>
      </c>
      <c r="AE182" t="s">
        <v>177</v>
      </c>
      <c r="AF182" t="s">
        <v>177</v>
      </c>
      <c r="AG182" s="876">
        <v>44147</v>
      </c>
      <c r="AH182" s="871">
        <f t="shared" si="5"/>
        <v>44136</v>
      </c>
    </row>
    <row r="183" spans="1:34" hidden="1">
      <c r="A183">
        <v>6</v>
      </c>
      <c r="B183">
        <v>369</v>
      </c>
      <c r="C183" t="s">
        <v>195</v>
      </c>
      <c r="D183">
        <v>120</v>
      </c>
      <c r="E183">
        <v>27318820.924821101</v>
      </c>
      <c r="F183">
        <v>0</v>
      </c>
      <c r="G183" t="s">
        <v>177</v>
      </c>
      <c r="H183" t="s">
        <v>177</v>
      </c>
      <c r="I183" s="876">
        <v>44179</v>
      </c>
      <c r="J183">
        <v>6</v>
      </c>
      <c r="K183" t="s">
        <v>195</v>
      </c>
      <c r="L183">
        <v>369</v>
      </c>
      <c r="M183">
        <v>1</v>
      </c>
      <c r="N183">
        <v>0</v>
      </c>
      <c r="O183">
        <v>0</v>
      </c>
      <c r="P183">
        <v>0</v>
      </c>
      <c r="Q183">
        <v>0.69378813014457497</v>
      </c>
      <c r="R183">
        <v>0</v>
      </c>
      <c r="S183">
        <v>-1.6663102812795299E-2</v>
      </c>
      <c r="T183">
        <v>0.13511056863105</v>
      </c>
      <c r="U183">
        <v>0</v>
      </c>
      <c r="V183">
        <v>9.9176582342647701E-2</v>
      </c>
      <c r="W183">
        <v>8.8587821694523602E-2</v>
      </c>
      <c r="X183">
        <v>0</v>
      </c>
      <c r="Y183" t="s">
        <v>177</v>
      </c>
      <c r="Z183" t="s">
        <v>177</v>
      </c>
      <c r="AA183" t="s">
        <v>177</v>
      </c>
      <c r="AB183" t="s">
        <v>177</v>
      </c>
      <c r="AC183" t="s">
        <v>177</v>
      </c>
      <c r="AD183" t="s">
        <v>177</v>
      </c>
      <c r="AE183" t="s">
        <v>177</v>
      </c>
      <c r="AF183" t="s">
        <v>177</v>
      </c>
      <c r="AG183" s="876">
        <v>44179</v>
      </c>
      <c r="AH183" s="871">
        <f t="shared" si="5"/>
        <v>44166</v>
      </c>
    </row>
    <row r="184" spans="1:34" hidden="1">
      <c r="A184">
        <v>7</v>
      </c>
      <c r="B184">
        <v>369</v>
      </c>
      <c r="C184" t="s">
        <v>195</v>
      </c>
      <c r="D184">
        <v>120</v>
      </c>
      <c r="E184">
        <v>0</v>
      </c>
      <c r="F184">
        <v>0</v>
      </c>
      <c r="G184" t="s">
        <v>177</v>
      </c>
      <c r="H184" t="s">
        <v>177</v>
      </c>
      <c r="I184" s="876">
        <v>44193</v>
      </c>
      <c r="J184">
        <v>7</v>
      </c>
      <c r="K184" t="s">
        <v>195</v>
      </c>
      <c r="L184">
        <v>369</v>
      </c>
      <c r="M184">
        <v>1</v>
      </c>
      <c r="N184">
        <v>0</v>
      </c>
      <c r="O184">
        <v>0</v>
      </c>
      <c r="P184">
        <v>0</v>
      </c>
      <c r="Q184">
        <v>0.47974556881253999</v>
      </c>
      <c r="R184">
        <v>0</v>
      </c>
      <c r="S184">
        <v>7.8564178641378404E-3</v>
      </c>
      <c r="T184">
        <v>8.5046901937935807E-2</v>
      </c>
      <c r="U184">
        <v>0</v>
      </c>
      <c r="V184">
        <v>0.155018574449487</v>
      </c>
      <c r="W184">
        <v>0.27233253693589898</v>
      </c>
      <c r="X184">
        <v>0</v>
      </c>
      <c r="Y184" t="s">
        <v>177</v>
      </c>
      <c r="Z184" t="s">
        <v>177</v>
      </c>
      <c r="AA184" t="s">
        <v>177</v>
      </c>
      <c r="AB184" t="s">
        <v>177</v>
      </c>
      <c r="AC184" t="s">
        <v>177</v>
      </c>
      <c r="AD184" t="s">
        <v>177</v>
      </c>
      <c r="AE184" t="s">
        <v>177</v>
      </c>
      <c r="AF184" t="s">
        <v>177</v>
      </c>
      <c r="AG184" s="876">
        <v>44193</v>
      </c>
      <c r="AH184" s="871">
        <f t="shared" si="5"/>
        <v>44166</v>
      </c>
    </row>
    <row r="185" spans="1:34" hidden="1">
      <c r="A185">
        <v>8</v>
      </c>
      <c r="B185">
        <v>369</v>
      </c>
      <c r="C185" t="s">
        <v>195</v>
      </c>
      <c r="D185">
        <v>120</v>
      </c>
      <c r="E185">
        <v>7980679.6066624103</v>
      </c>
      <c r="F185">
        <v>0</v>
      </c>
      <c r="G185" t="s">
        <v>177</v>
      </c>
      <c r="H185" t="s">
        <v>177</v>
      </c>
      <c r="I185" s="876">
        <v>44208</v>
      </c>
      <c r="J185">
        <v>8</v>
      </c>
      <c r="K185" t="s">
        <v>195</v>
      </c>
      <c r="L185">
        <v>369</v>
      </c>
      <c r="M185">
        <v>1</v>
      </c>
      <c r="N185">
        <v>0</v>
      </c>
      <c r="O185">
        <v>0</v>
      </c>
      <c r="P185">
        <v>0</v>
      </c>
      <c r="Q185">
        <v>0.47974556881253999</v>
      </c>
      <c r="R185">
        <v>0</v>
      </c>
      <c r="S185">
        <v>7.8564178641378404E-3</v>
      </c>
      <c r="T185">
        <v>8.5046901937935807E-2</v>
      </c>
      <c r="U185">
        <v>0</v>
      </c>
      <c r="V185">
        <v>0.155018574449487</v>
      </c>
      <c r="W185">
        <v>0.27233253693589898</v>
      </c>
      <c r="X185">
        <v>0</v>
      </c>
      <c r="Y185" t="s">
        <v>177</v>
      </c>
      <c r="Z185" t="s">
        <v>177</v>
      </c>
      <c r="AA185" t="s">
        <v>177</v>
      </c>
      <c r="AB185" t="s">
        <v>177</v>
      </c>
      <c r="AC185" t="s">
        <v>177</v>
      </c>
      <c r="AD185" t="s">
        <v>177</v>
      </c>
      <c r="AE185" t="s">
        <v>177</v>
      </c>
      <c r="AF185" t="s">
        <v>177</v>
      </c>
      <c r="AG185" s="876">
        <v>44208</v>
      </c>
      <c r="AH185" s="871">
        <f t="shared" si="5"/>
        <v>44197</v>
      </c>
    </row>
    <row r="186" spans="1:34" hidden="1">
      <c r="A186">
        <v>1</v>
      </c>
      <c r="B186">
        <v>103</v>
      </c>
      <c r="C186" t="s">
        <v>194</v>
      </c>
      <c r="D186">
        <v>123</v>
      </c>
      <c r="E186">
        <v>3443607.8112460799</v>
      </c>
      <c r="F186">
        <v>0</v>
      </c>
      <c r="G186">
        <v>0</v>
      </c>
      <c r="H186">
        <v>0</v>
      </c>
      <c r="I186" s="876">
        <v>44043</v>
      </c>
      <c r="J186">
        <v>1</v>
      </c>
      <c r="K186" t="s">
        <v>194</v>
      </c>
      <c r="L186">
        <v>103</v>
      </c>
      <c r="M186">
        <v>8.5407871701611904E-2</v>
      </c>
      <c r="N186">
        <v>0.74002702856341895</v>
      </c>
      <c r="O186">
        <v>0</v>
      </c>
      <c r="P186">
        <v>0.17456509973497</v>
      </c>
      <c r="Q186">
        <v>0.114344996405866</v>
      </c>
      <c r="R186">
        <v>0</v>
      </c>
      <c r="S186">
        <v>-3.77727362673434E-3</v>
      </c>
      <c r="T186">
        <v>-3.9138154398497401E-3</v>
      </c>
      <c r="U186">
        <v>1.37590425518566E-3</v>
      </c>
      <c r="V186">
        <v>-5.0060272113453402E-2</v>
      </c>
      <c r="W186">
        <v>2.7438332220598102E-2</v>
      </c>
      <c r="X186">
        <v>0</v>
      </c>
      <c r="Y186">
        <v>0.68774502607180998</v>
      </c>
      <c r="Z186">
        <v>0</v>
      </c>
      <c r="AA186">
        <v>-5.9321659104412897E-3</v>
      </c>
      <c r="AB186">
        <v>0.243738347268142</v>
      </c>
      <c r="AC186">
        <v>1.88648416605979E-2</v>
      </c>
      <c r="AD186">
        <v>-0.29009320827063401</v>
      </c>
      <c r="AE186">
        <v>8.5704187743943797E-2</v>
      </c>
      <c r="AF186">
        <v>0</v>
      </c>
      <c r="AG186" s="876">
        <v>44043</v>
      </c>
      <c r="AH186" s="871">
        <f t="shared" ref="AH186:AH217" si="6">DATE(YEAR(I186),MONTH(I186),1)</f>
        <v>44013</v>
      </c>
    </row>
    <row r="187" spans="1:34" hidden="1">
      <c r="A187">
        <v>2</v>
      </c>
      <c r="B187">
        <v>103</v>
      </c>
      <c r="C187" t="s">
        <v>194</v>
      </c>
      <c r="D187">
        <v>123</v>
      </c>
      <c r="E187">
        <v>477542.98855952901</v>
      </c>
      <c r="F187">
        <v>0</v>
      </c>
      <c r="G187" t="s">
        <v>177</v>
      </c>
      <c r="H187" t="s">
        <v>177</v>
      </c>
      <c r="I187" s="876">
        <v>44055</v>
      </c>
      <c r="J187">
        <v>2</v>
      </c>
      <c r="K187" t="s">
        <v>194</v>
      </c>
      <c r="L187">
        <v>103</v>
      </c>
      <c r="M187">
        <v>0.79243245714042998</v>
      </c>
      <c r="N187" t="s">
        <v>177</v>
      </c>
      <c r="O187">
        <v>0.20756754285956999</v>
      </c>
      <c r="P187">
        <v>0</v>
      </c>
      <c r="Q187">
        <v>0.64160501504788503</v>
      </c>
      <c r="R187">
        <v>0</v>
      </c>
      <c r="S187">
        <v>-2.5522696745418402E-2</v>
      </c>
      <c r="T187">
        <v>-4.2643457449006203E-2</v>
      </c>
      <c r="U187">
        <v>9.4477607808002E-3</v>
      </c>
      <c r="V187">
        <v>2.39865956986565E-2</v>
      </c>
      <c r="W187">
        <v>0.18555923980751199</v>
      </c>
      <c r="X187">
        <v>0</v>
      </c>
      <c r="Y187" t="s">
        <v>177</v>
      </c>
      <c r="Z187" t="s">
        <v>177</v>
      </c>
      <c r="AA187" t="s">
        <v>177</v>
      </c>
      <c r="AB187" t="s">
        <v>177</v>
      </c>
      <c r="AC187" t="s">
        <v>177</v>
      </c>
      <c r="AD187" t="s">
        <v>177</v>
      </c>
      <c r="AE187" t="s">
        <v>177</v>
      </c>
      <c r="AF187" t="s">
        <v>177</v>
      </c>
      <c r="AG187" s="876">
        <v>44055</v>
      </c>
      <c r="AH187" s="871">
        <f t="shared" si="6"/>
        <v>44044</v>
      </c>
    </row>
    <row r="188" spans="1:34" hidden="1">
      <c r="A188">
        <v>3</v>
      </c>
      <c r="B188">
        <v>103</v>
      </c>
      <c r="C188" t="s">
        <v>194</v>
      </c>
      <c r="D188">
        <v>123</v>
      </c>
      <c r="E188">
        <v>563713.53565724602</v>
      </c>
      <c r="F188">
        <v>0</v>
      </c>
      <c r="G188" t="s">
        <v>177</v>
      </c>
      <c r="H188" t="s">
        <v>177</v>
      </c>
      <c r="I188" s="876">
        <v>44088</v>
      </c>
      <c r="J188">
        <v>3</v>
      </c>
      <c r="K188" t="s">
        <v>194</v>
      </c>
      <c r="L188">
        <v>103</v>
      </c>
      <c r="M188">
        <v>0.87561015014052601</v>
      </c>
      <c r="N188" t="s">
        <v>177</v>
      </c>
      <c r="O188">
        <v>0.124389849859474</v>
      </c>
      <c r="P188">
        <v>0</v>
      </c>
      <c r="Q188">
        <v>0.59768689152881305</v>
      </c>
      <c r="R188">
        <v>0</v>
      </c>
      <c r="S188">
        <v>-1.5610917153804501E-2</v>
      </c>
      <c r="T188">
        <v>0.15732161102668199</v>
      </c>
      <c r="U188">
        <v>1.53018079273233E-2</v>
      </c>
      <c r="V188">
        <v>7.2250504933494396E-3</v>
      </c>
      <c r="W188">
        <v>0.11368570631816299</v>
      </c>
      <c r="X188">
        <v>0</v>
      </c>
      <c r="Y188" t="s">
        <v>177</v>
      </c>
      <c r="Z188" t="s">
        <v>177</v>
      </c>
      <c r="AA188" t="s">
        <v>177</v>
      </c>
      <c r="AB188" t="s">
        <v>177</v>
      </c>
      <c r="AC188" t="s">
        <v>177</v>
      </c>
      <c r="AD188" t="s">
        <v>177</v>
      </c>
      <c r="AE188" t="s">
        <v>177</v>
      </c>
      <c r="AF188" t="s">
        <v>177</v>
      </c>
      <c r="AG188" s="876">
        <v>44088</v>
      </c>
      <c r="AH188" s="871">
        <f t="shared" si="6"/>
        <v>44075</v>
      </c>
    </row>
    <row r="189" spans="1:34" hidden="1">
      <c r="A189">
        <v>4</v>
      </c>
      <c r="B189">
        <v>103</v>
      </c>
      <c r="C189" t="s">
        <v>194</v>
      </c>
      <c r="D189">
        <v>123</v>
      </c>
      <c r="E189">
        <v>603815.671424623</v>
      </c>
      <c r="F189">
        <v>0</v>
      </c>
      <c r="G189" t="s">
        <v>177</v>
      </c>
      <c r="H189" t="s">
        <v>177</v>
      </c>
      <c r="I189" s="876">
        <v>44117</v>
      </c>
      <c r="J189">
        <v>4</v>
      </c>
      <c r="K189" t="s">
        <v>194</v>
      </c>
      <c r="L189">
        <v>103</v>
      </c>
      <c r="M189">
        <v>0.87561015014052601</v>
      </c>
      <c r="N189">
        <v>0</v>
      </c>
      <c r="O189">
        <v>0.124389849859474</v>
      </c>
      <c r="P189">
        <v>0</v>
      </c>
      <c r="Q189">
        <v>0.59768689152881305</v>
      </c>
      <c r="R189">
        <v>0</v>
      </c>
      <c r="S189">
        <v>-1.5610917153804501E-2</v>
      </c>
      <c r="T189">
        <v>0.15732161102668199</v>
      </c>
      <c r="U189">
        <v>1.53018079273233E-2</v>
      </c>
      <c r="V189">
        <v>7.2250504933494396E-3</v>
      </c>
      <c r="W189">
        <v>0.11368570631816299</v>
      </c>
      <c r="X189">
        <v>0</v>
      </c>
      <c r="Y189" t="s">
        <v>177</v>
      </c>
      <c r="Z189" t="s">
        <v>177</v>
      </c>
      <c r="AA189" t="s">
        <v>177</v>
      </c>
      <c r="AB189" t="s">
        <v>177</v>
      </c>
      <c r="AC189" t="s">
        <v>177</v>
      </c>
      <c r="AD189" t="s">
        <v>177</v>
      </c>
      <c r="AE189" t="s">
        <v>177</v>
      </c>
      <c r="AF189" t="s">
        <v>177</v>
      </c>
      <c r="AG189" s="876">
        <v>44117</v>
      </c>
      <c r="AH189" s="871">
        <f t="shared" si="6"/>
        <v>44105</v>
      </c>
    </row>
    <row r="190" spans="1:34" hidden="1">
      <c r="A190">
        <v>5</v>
      </c>
      <c r="B190">
        <v>103</v>
      </c>
      <c r="C190" t="s">
        <v>194</v>
      </c>
      <c r="D190">
        <v>123</v>
      </c>
      <c r="E190">
        <v>490867.99071936402</v>
      </c>
      <c r="F190">
        <v>0</v>
      </c>
      <c r="G190" t="s">
        <v>177</v>
      </c>
      <c r="H190" t="s">
        <v>177</v>
      </c>
      <c r="I190" s="876">
        <v>44147</v>
      </c>
      <c r="J190">
        <v>5</v>
      </c>
      <c r="K190" t="s">
        <v>194</v>
      </c>
      <c r="L190">
        <v>103</v>
      </c>
      <c r="M190">
        <v>0.99675529172584898</v>
      </c>
      <c r="N190">
        <v>0</v>
      </c>
      <c r="O190">
        <v>0</v>
      </c>
      <c r="P190">
        <v>3.2447082741521799E-3</v>
      </c>
      <c r="Q190">
        <v>-1.9128065223828301</v>
      </c>
      <c r="R190">
        <v>0</v>
      </c>
      <c r="S190">
        <v>-0.38193362061046099</v>
      </c>
      <c r="T190">
        <v>2.0470062101745898</v>
      </c>
      <c r="U190">
        <v>-4.3897932618168899E-2</v>
      </c>
      <c r="V190">
        <v>-0.184819138174696</v>
      </c>
      <c r="W190">
        <v>1.4732062953374101</v>
      </c>
      <c r="X190">
        <v>0</v>
      </c>
      <c r="Y190" t="s">
        <v>177</v>
      </c>
      <c r="Z190" t="s">
        <v>177</v>
      </c>
      <c r="AA190" t="s">
        <v>177</v>
      </c>
      <c r="AB190" t="s">
        <v>177</v>
      </c>
      <c r="AC190" t="s">
        <v>177</v>
      </c>
      <c r="AD190" t="s">
        <v>177</v>
      </c>
      <c r="AE190" t="s">
        <v>177</v>
      </c>
      <c r="AF190" t="s">
        <v>177</v>
      </c>
      <c r="AG190" s="876">
        <v>44147</v>
      </c>
      <c r="AH190" s="871">
        <f t="shared" si="6"/>
        <v>44136</v>
      </c>
    </row>
    <row r="191" spans="1:34" hidden="1">
      <c r="A191">
        <v>6</v>
      </c>
      <c r="B191">
        <v>103</v>
      </c>
      <c r="C191" t="s">
        <v>194</v>
      </c>
      <c r="D191">
        <v>123</v>
      </c>
      <c r="E191">
        <v>0</v>
      </c>
      <c r="F191">
        <v>0</v>
      </c>
      <c r="G191" t="s">
        <v>177</v>
      </c>
      <c r="H191" t="s">
        <v>177</v>
      </c>
      <c r="I191" s="876">
        <v>44179</v>
      </c>
      <c r="J191">
        <v>6</v>
      </c>
      <c r="K191" t="s">
        <v>194</v>
      </c>
      <c r="L191">
        <v>103</v>
      </c>
      <c r="M191">
        <v>1</v>
      </c>
      <c r="N191">
        <v>0</v>
      </c>
      <c r="O191">
        <v>0</v>
      </c>
      <c r="P191">
        <v>0</v>
      </c>
      <c r="Q191">
        <v>0.60519594369654195</v>
      </c>
      <c r="R191">
        <v>0</v>
      </c>
      <c r="S191">
        <v>8.7082089802331203E-2</v>
      </c>
      <c r="T191">
        <v>0.52350216843408104</v>
      </c>
      <c r="U191">
        <v>3.82038410161811E-2</v>
      </c>
      <c r="V191">
        <v>-0.25398404294913501</v>
      </c>
      <c r="W191">
        <v>0</v>
      </c>
      <c r="X191">
        <v>0</v>
      </c>
      <c r="Y191" t="s">
        <v>177</v>
      </c>
      <c r="Z191" t="s">
        <v>177</v>
      </c>
      <c r="AA191" t="s">
        <v>177</v>
      </c>
      <c r="AB191" t="s">
        <v>177</v>
      </c>
      <c r="AC191" t="s">
        <v>177</v>
      </c>
      <c r="AD191" t="s">
        <v>177</v>
      </c>
      <c r="AE191" t="s">
        <v>177</v>
      </c>
      <c r="AF191" t="s">
        <v>177</v>
      </c>
      <c r="AG191" s="876">
        <v>44179</v>
      </c>
      <c r="AH191" s="871">
        <f t="shared" si="6"/>
        <v>44166</v>
      </c>
    </row>
    <row r="192" spans="1:34" hidden="1">
      <c r="A192">
        <v>7</v>
      </c>
      <c r="B192">
        <v>103</v>
      </c>
      <c r="C192" t="s">
        <v>194</v>
      </c>
      <c r="D192">
        <v>123</v>
      </c>
      <c r="E192">
        <v>0</v>
      </c>
      <c r="F192">
        <v>0</v>
      </c>
      <c r="G192" t="s">
        <v>177</v>
      </c>
      <c r="H192" t="s">
        <v>177</v>
      </c>
      <c r="I192" s="876">
        <v>44193</v>
      </c>
      <c r="J192">
        <v>7</v>
      </c>
      <c r="K192" t="s">
        <v>194</v>
      </c>
      <c r="L192">
        <v>103</v>
      </c>
      <c r="M192">
        <v>1</v>
      </c>
      <c r="N192">
        <v>0</v>
      </c>
      <c r="O192">
        <v>0</v>
      </c>
      <c r="P192">
        <v>0</v>
      </c>
      <c r="Q192">
        <v>0.88550651797838598</v>
      </c>
      <c r="R192">
        <v>0</v>
      </c>
      <c r="S192">
        <v>0</v>
      </c>
      <c r="T192">
        <v>0.233466658511539</v>
      </c>
      <c r="U192">
        <v>3.07426286772963E-2</v>
      </c>
      <c r="V192">
        <v>-0.14971580516722099</v>
      </c>
      <c r="W192">
        <v>0</v>
      </c>
      <c r="X192">
        <v>0</v>
      </c>
      <c r="Y192" t="s">
        <v>177</v>
      </c>
      <c r="Z192" t="s">
        <v>177</v>
      </c>
      <c r="AA192" t="s">
        <v>177</v>
      </c>
      <c r="AB192" t="s">
        <v>177</v>
      </c>
      <c r="AC192" t="s">
        <v>177</v>
      </c>
      <c r="AD192" t="s">
        <v>177</v>
      </c>
      <c r="AE192" t="s">
        <v>177</v>
      </c>
      <c r="AF192" t="s">
        <v>177</v>
      </c>
      <c r="AG192" s="876">
        <v>44193</v>
      </c>
      <c r="AH192" s="871">
        <f t="shared" si="6"/>
        <v>44166</v>
      </c>
    </row>
    <row r="193" spans="1:34" hidden="1">
      <c r="A193">
        <v>8</v>
      </c>
      <c r="B193">
        <v>103</v>
      </c>
      <c r="C193" t="s">
        <v>194</v>
      </c>
      <c r="D193">
        <v>123</v>
      </c>
      <c r="E193">
        <v>0</v>
      </c>
      <c r="F193">
        <v>0</v>
      </c>
      <c r="G193" t="s">
        <v>177</v>
      </c>
      <c r="H193" t="s">
        <v>177</v>
      </c>
      <c r="I193" s="876">
        <v>44208</v>
      </c>
      <c r="J193">
        <v>8</v>
      </c>
      <c r="K193" t="s">
        <v>194</v>
      </c>
      <c r="L193">
        <v>103</v>
      </c>
      <c r="M193">
        <v>1</v>
      </c>
      <c r="N193">
        <v>0</v>
      </c>
      <c r="O193">
        <v>0</v>
      </c>
      <c r="P193">
        <v>0</v>
      </c>
      <c r="Q193">
        <v>0.88550651797838598</v>
      </c>
      <c r="R193">
        <v>0</v>
      </c>
      <c r="S193">
        <v>0</v>
      </c>
      <c r="T193">
        <v>0.233466658511539</v>
      </c>
      <c r="U193">
        <v>3.07426286772963E-2</v>
      </c>
      <c r="V193">
        <v>-0.14971580516722099</v>
      </c>
      <c r="W193">
        <v>0</v>
      </c>
      <c r="X193">
        <v>0</v>
      </c>
      <c r="Y193" t="s">
        <v>177</v>
      </c>
      <c r="Z193" t="s">
        <v>177</v>
      </c>
      <c r="AA193" t="s">
        <v>177</v>
      </c>
      <c r="AB193" t="s">
        <v>177</v>
      </c>
      <c r="AC193" t="s">
        <v>177</v>
      </c>
      <c r="AD193" t="s">
        <v>177</v>
      </c>
      <c r="AE193" t="s">
        <v>177</v>
      </c>
      <c r="AF193" t="s">
        <v>177</v>
      </c>
      <c r="AG193" s="876">
        <v>44208</v>
      </c>
      <c r="AH193" s="871">
        <f t="shared" si="6"/>
        <v>44197</v>
      </c>
    </row>
    <row r="194" spans="1:34" hidden="1">
      <c r="A194">
        <v>1</v>
      </c>
      <c r="B194">
        <v>82</v>
      </c>
      <c r="C194" t="s">
        <v>190</v>
      </c>
      <c r="D194">
        <v>128</v>
      </c>
      <c r="E194">
        <v>3227248.2065834198</v>
      </c>
      <c r="F194">
        <v>0</v>
      </c>
      <c r="G194">
        <v>0</v>
      </c>
      <c r="H194">
        <v>0</v>
      </c>
      <c r="I194" s="876">
        <v>44043</v>
      </c>
      <c r="J194">
        <v>1</v>
      </c>
      <c r="K194" t="s">
        <v>190</v>
      </c>
      <c r="L194">
        <v>82</v>
      </c>
      <c r="M194">
        <v>0.15409033696924199</v>
      </c>
      <c r="N194">
        <v>0.80988802238969604</v>
      </c>
      <c r="O194">
        <v>0</v>
      </c>
      <c r="P194">
        <v>3.6021640641061503E-2</v>
      </c>
      <c r="Q194">
        <v>0.170975914689565</v>
      </c>
      <c r="R194">
        <v>0</v>
      </c>
      <c r="S194">
        <v>1.0680355206940299E-3</v>
      </c>
      <c r="T194">
        <v>4.6960038287676498E-3</v>
      </c>
      <c r="U194">
        <v>4.1191017608600599E-3</v>
      </c>
      <c r="V194">
        <v>-3.2047499133931297E-2</v>
      </c>
      <c r="W194">
        <v>5.2787803032868499E-3</v>
      </c>
      <c r="X194">
        <v>0</v>
      </c>
      <c r="Y194">
        <v>0.90640628052542305</v>
      </c>
      <c r="Z194">
        <v>0</v>
      </c>
      <c r="AA194">
        <v>-6.81105592391541E-2</v>
      </c>
      <c r="AB194">
        <v>7.6093991087664098E-2</v>
      </c>
      <c r="AC194">
        <v>8.7647930465780594E-2</v>
      </c>
      <c r="AD194">
        <v>-0.526817629989349</v>
      </c>
      <c r="AE194">
        <v>0.33466800953933101</v>
      </c>
      <c r="AF194">
        <v>0</v>
      </c>
      <c r="AG194" s="876">
        <v>44043</v>
      </c>
      <c r="AH194" s="871">
        <f t="shared" si="6"/>
        <v>44013</v>
      </c>
    </row>
    <row r="195" spans="1:34" hidden="1">
      <c r="A195">
        <v>2</v>
      </c>
      <c r="B195">
        <v>82</v>
      </c>
      <c r="C195" t="s">
        <v>190</v>
      </c>
      <c r="D195">
        <v>128</v>
      </c>
      <c r="E195">
        <v>257091.67356004499</v>
      </c>
      <c r="F195">
        <v>0</v>
      </c>
      <c r="G195" t="s">
        <v>177</v>
      </c>
      <c r="H195" t="s">
        <v>177</v>
      </c>
      <c r="I195" s="876">
        <v>44055</v>
      </c>
      <c r="J195">
        <v>2</v>
      </c>
      <c r="K195" t="s">
        <v>190</v>
      </c>
      <c r="L195">
        <v>82</v>
      </c>
      <c r="M195">
        <v>1</v>
      </c>
      <c r="N195" t="s">
        <v>177</v>
      </c>
      <c r="O195">
        <v>0</v>
      </c>
      <c r="P195">
        <v>0</v>
      </c>
      <c r="Q195">
        <v>1.66853922192407</v>
      </c>
      <c r="R195">
        <v>0</v>
      </c>
      <c r="S195">
        <v>4.0618485400107198E-4</v>
      </c>
      <c r="T195">
        <v>3.7599220500450503E-2</v>
      </c>
      <c r="U195">
        <v>4.4593623789483998E-2</v>
      </c>
      <c r="V195">
        <v>7.3171686203654898E-2</v>
      </c>
      <c r="W195">
        <v>-0.82430993727166202</v>
      </c>
      <c r="X195">
        <v>0</v>
      </c>
      <c r="Y195" t="s">
        <v>177</v>
      </c>
      <c r="Z195" t="s">
        <v>177</v>
      </c>
      <c r="AA195" t="s">
        <v>177</v>
      </c>
      <c r="AB195" t="s">
        <v>177</v>
      </c>
      <c r="AC195" t="s">
        <v>177</v>
      </c>
      <c r="AD195" t="s">
        <v>177</v>
      </c>
      <c r="AE195" t="s">
        <v>177</v>
      </c>
      <c r="AF195" t="s">
        <v>177</v>
      </c>
      <c r="AG195" s="876">
        <v>44055</v>
      </c>
      <c r="AH195" s="871">
        <f t="shared" si="6"/>
        <v>44044</v>
      </c>
    </row>
    <row r="196" spans="1:34" hidden="1">
      <c r="A196">
        <v>3</v>
      </c>
      <c r="B196">
        <v>82</v>
      </c>
      <c r="C196" t="s">
        <v>190</v>
      </c>
      <c r="D196">
        <v>128</v>
      </c>
      <c r="E196">
        <v>257091.67356004499</v>
      </c>
      <c r="F196">
        <v>0</v>
      </c>
      <c r="G196" t="s">
        <v>177</v>
      </c>
      <c r="H196" t="s">
        <v>177</v>
      </c>
      <c r="I196" s="876">
        <v>44088</v>
      </c>
      <c r="J196">
        <v>3</v>
      </c>
      <c r="K196" t="s">
        <v>190</v>
      </c>
      <c r="L196">
        <v>82</v>
      </c>
      <c r="M196">
        <v>1</v>
      </c>
      <c r="N196" t="s">
        <v>177</v>
      </c>
      <c r="O196">
        <v>0</v>
      </c>
      <c r="P196">
        <v>0</v>
      </c>
      <c r="Q196">
        <v>0.66238244090686105</v>
      </c>
      <c r="R196">
        <v>0</v>
      </c>
      <c r="S196">
        <v>0</v>
      </c>
      <c r="T196">
        <v>3.6194691555674299E-2</v>
      </c>
      <c r="U196">
        <v>3.4030738833826298E-2</v>
      </c>
      <c r="V196">
        <v>-7.1510470708267396E-2</v>
      </c>
      <c r="W196">
        <v>0.33890259941190598</v>
      </c>
      <c r="X196">
        <v>0</v>
      </c>
      <c r="Y196" t="s">
        <v>177</v>
      </c>
      <c r="Z196" t="s">
        <v>177</v>
      </c>
      <c r="AA196" t="s">
        <v>177</v>
      </c>
      <c r="AB196" t="s">
        <v>177</v>
      </c>
      <c r="AC196" t="s">
        <v>177</v>
      </c>
      <c r="AD196" t="s">
        <v>177</v>
      </c>
      <c r="AE196" t="s">
        <v>177</v>
      </c>
      <c r="AF196" t="s">
        <v>177</v>
      </c>
      <c r="AG196" s="876">
        <v>44088</v>
      </c>
      <c r="AH196" s="871">
        <f t="shared" si="6"/>
        <v>44075</v>
      </c>
    </row>
    <row r="197" spans="1:34" hidden="1">
      <c r="A197">
        <v>4</v>
      </c>
      <c r="B197">
        <v>82</v>
      </c>
      <c r="C197" t="s">
        <v>190</v>
      </c>
      <c r="D197">
        <v>128</v>
      </c>
      <c r="E197">
        <v>983.43948882298196</v>
      </c>
      <c r="F197">
        <v>0</v>
      </c>
      <c r="G197" t="s">
        <v>177</v>
      </c>
      <c r="H197" t="s">
        <v>177</v>
      </c>
      <c r="I197" s="876">
        <v>44117</v>
      </c>
      <c r="J197">
        <v>4</v>
      </c>
      <c r="K197" t="s">
        <v>190</v>
      </c>
      <c r="L197">
        <v>82</v>
      </c>
      <c r="M197">
        <v>1</v>
      </c>
      <c r="N197">
        <v>0</v>
      </c>
      <c r="O197">
        <v>0</v>
      </c>
      <c r="P197">
        <v>0</v>
      </c>
      <c r="Q197">
        <v>0.84444810625547495</v>
      </c>
      <c r="R197">
        <v>0</v>
      </c>
      <c r="S197">
        <v>0</v>
      </c>
      <c r="T197">
        <v>9.3758005507128206E-2</v>
      </c>
      <c r="U197">
        <v>0.106974602241682</v>
      </c>
      <c r="V197">
        <v>-4.4698907632077199E-2</v>
      </c>
      <c r="W197">
        <v>-4.8180637220862898E-4</v>
      </c>
      <c r="X197">
        <v>0</v>
      </c>
      <c r="Y197" t="s">
        <v>177</v>
      </c>
      <c r="Z197" t="s">
        <v>177</v>
      </c>
      <c r="AA197" t="s">
        <v>177</v>
      </c>
      <c r="AB197" t="s">
        <v>177</v>
      </c>
      <c r="AC197" t="s">
        <v>177</v>
      </c>
      <c r="AD197" t="s">
        <v>177</v>
      </c>
      <c r="AE197" t="s">
        <v>177</v>
      </c>
      <c r="AF197" t="s">
        <v>177</v>
      </c>
      <c r="AG197" s="876">
        <v>44117</v>
      </c>
      <c r="AH197" s="871">
        <f t="shared" si="6"/>
        <v>44105</v>
      </c>
    </row>
    <row r="198" spans="1:34" hidden="1">
      <c r="A198">
        <v>5</v>
      </c>
      <c r="B198">
        <v>82</v>
      </c>
      <c r="C198" t="s">
        <v>190</v>
      </c>
      <c r="D198">
        <v>128</v>
      </c>
      <c r="E198">
        <v>0</v>
      </c>
      <c r="F198">
        <v>0</v>
      </c>
      <c r="G198" t="s">
        <v>177</v>
      </c>
      <c r="H198" t="s">
        <v>177</v>
      </c>
      <c r="I198" s="876">
        <v>44147</v>
      </c>
      <c r="J198">
        <v>5</v>
      </c>
      <c r="K198" t="s">
        <v>190</v>
      </c>
      <c r="L198">
        <v>82</v>
      </c>
      <c r="M198">
        <v>1</v>
      </c>
      <c r="N198">
        <v>0</v>
      </c>
      <c r="O198">
        <v>0</v>
      </c>
      <c r="P198">
        <v>0</v>
      </c>
      <c r="Q198">
        <v>1.3986726748329701</v>
      </c>
      <c r="R198">
        <v>0</v>
      </c>
      <c r="S198">
        <v>0</v>
      </c>
      <c r="T198">
        <v>8.3169908534900305E-2</v>
      </c>
      <c r="U198">
        <v>9.5748875402439607E-2</v>
      </c>
      <c r="V198">
        <v>-0.16911584047103001</v>
      </c>
      <c r="W198">
        <v>-0.40847561829927798</v>
      </c>
      <c r="X198">
        <v>0</v>
      </c>
      <c r="Y198" t="s">
        <v>177</v>
      </c>
      <c r="Z198" t="s">
        <v>177</v>
      </c>
      <c r="AA198" t="s">
        <v>177</v>
      </c>
      <c r="AB198" t="s">
        <v>177</v>
      </c>
      <c r="AC198" t="s">
        <v>177</v>
      </c>
      <c r="AD198" t="s">
        <v>177</v>
      </c>
      <c r="AE198" t="s">
        <v>177</v>
      </c>
      <c r="AF198" t="s">
        <v>177</v>
      </c>
      <c r="AG198" s="876">
        <v>44147</v>
      </c>
      <c r="AH198" s="871">
        <f t="shared" si="6"/>
        <v>44136</v>
      </c>
    </row>
    <row r="199" spans="1:34" hidden="1">
      <c r="A199">
        <v>6</v>
      </c>
      <c r="B199">
        <v>82</v>
      </c>
      <c r="C199" t="s">
        <v>190</v>
      </c>
      <c r="D199">
        <v>128</v>
      </c>
      <c r="E199">
        <v>0</v>
      </c>
      <c r="F199">
        <v>0</v>
      </c>
      <c r="G199" t="s">
        <v>177</v>
      </c>
      <c r="H199" t="s">
        <v>177</v>
      </c>
      <c r="I199" s="876">
        <v>44179</v>
      </c>
      <c r="J199">
        <v>6</v>
      </c>
      <c r="K199" t="s">
        <v>190</v>
      </c>
      <c r="L199">
        <v>82</v>
      </c>
      <c r="M199">
        <v>1</v>
      </c>
      <c r="N199">
        <v>0</v>
      </c>
      <c r="O199">
        <v>0</v>
      </c>
      <c r="P199">
        <v>0</v>
      </c>
      <c r="Q199">
        <v>0.78760490711602205</v>
      </c>
      <c r="R199">
        <v>0</v>
      </c>
      <c r="S199">
        <v>0</v>
      </c>
      <c r="T199">
        <v>0.12335429366813799</v>
      </c>
      <c r="U199">
        <v>0.13449727676720299</v>
      </c>
      <c r="V199">
        <v>-4.4963806131360001E-2</v>
      </c>
      <c r="W199">
        <v>-4.9267142000316102E-4</v>
      </c>
      <c r="X199">
        <v>0</v>
      </c>
      <c r="Y199" t="s">
        <v>177</v>
      </c>
      <c r="Z199" t="s">
        <v>177</v>
      </c>
      <c r="AA199" t="s">
        <v>177</v>
      </c>
      <c r="AB199" t="s">
        <v>177</v>
      </c>
      <c r="AC199" t="s">
        <v>177</v>
      </c>
      <c r="AD199" t="s">
        <v>177</v>
      </c>
      <c r="AE199" t="s">
        <v>177</v>
      </c>
      <c r="AF199" t="s">
        <v>177</v>
      </c>
      <c r="AG199" s="876">
        <v>44179</v>
      </c>
      <c r="AH199" s="871">
        <f t="shared" si="6"/>
        <v>44166</v>
      </c>
    </row>
    <row r="200" spans="1:34" hidden="1">
      <c r="A200">
        <v>7</v>
      </c>
      <c r="B200">
        <v>82</v>
      </c>
      <c r="C200" t="s">
        <v>190</v>
      </c>
      <c r="D200">
        <v>128</v>
      </c>
      <c r="E200">
        <v>0</v>
      </c>
      <c r="F200">
        <v>0</v>
      </c>
      <c r="G200" t="s">
        <v>177</v>
      </c>
      <c r="H200" t="s">
        <v>177</v>
      </c>
      <c r="I200" s="876">
        <v>44193</v>
      </c>
      <c r="J200">
        <v>7</v>
      </c>
      <c r="K200" t="s">
        <v>190</v>
      </c>
      <c r="L200">
        <v>82</v>
      </c>
      <c r="M200">
        <v>1</v>
      </c>
      <c r="N200">
        <v>0</v>
      </c>
      <c r="O200">
        <v>0</v>
      </c>
      <c r="P200">
        <v>0</v>
      </c>
      <c r="Q200">
        <v>0.87024040675495595</v>
      </c>
      <c r="R200">
        <v>0</v>
      </c>
      <c r="S200">
        <v>0</v>
      </c>
      <c r="T200">
        <v>2.2241509481235901E-2</v>
      </c>
      <c r="U200">
        <v>2.8815188315978402E-2</v>
      </c>
      <c r="V200">
        <v>9.2856764189007193E-2</v>
      </c>
      <c r="W200">
        <v>-1.41538687411779E-2</v>
      </c>
      <c r="X200">
        <v>0</v>
      </c>
      <c r="Y200" t="s">
        <v>177</v>
      </c>
      <c r="Z200" t="s">
        <v>177</v>
      </c>
      <c r="AA200" t="s">
        <v>177</v>
      </c>
      <c r="AB200" t="s">
        <v>177</v>
      </c>
      <c r="AC200" t="s">
        <v>177</v>
      </c>
      <c r="AD200" t="s">
        <v>177</v>
      </c>
      <c r="AE200" t="s">
        <v>177</v>
      </c>
      <c r="AF200" t="s">
        <v>177</v>
      </c>
      <c r="AG200" s="876">
        <v>44193</v>
      </c>
      <c r="AH200" s="871">
        <f t="shared" si="6"/>
        <v>44166</v>
      </c>
    </row>
    <row r="201" spans="1:34" hidden="1">
      <c r="A201">
        <v>8</v>
      </c>
      <c r="B201">
        <v>82</v>
      </c>
      <c r="C201" t="s">
        <v>190</v>
      </c>
      <c r="D201">
        <v>128</v>
      </c>
      <c r="E201">
        <v>0</v>
      </c>
      <c r="F201">
        <v>0</v>
      </c>
      <c r="G201" t="s">
        <v>177</v>
      </c>
      <c r="H201" t="s">
        <v>177</v>
      </c>
      <c r="I201" s="876">
        <v>44208</v>
      </c>
      <c r="J201">
        <v>8</v>
      </c>
      <c r="K201" t="s">
        <v>190</v>
      </c>
      <c r="L201">
        <v>82</v>
      </c>
      <c r="M201">
        <v>1</v>
      </c>
      <c r="N201">
        <v>0</v>
      </c>
      <c r="O201">
        <v>0</v>
      </c>
      <c r="P201">
        <v>0</v>
      </c>
      <c r="Q201">
        <v>0.87024040675495595</v>
      </c>
      <c r="R201">
        <v>0</v>
      </c>
      <c r="S201">
        <v>0</v>
      </c>
      <c r="T201">
        <v>2.2241509481235901E-2</v>
      </c>
      <c r="U201">
        <v>2.8815188315978402E-2</v>
      </c>
      <c r="V201">
        <v>9.2856764189007193E-2</v>
      </c>
      <c r="W201">
        <v>-1.41538687411779E-2</v>
      </c>
      <c r="X201">
        <v>0</v>
      </c>
      <c r="Y201" t="s">
        <v>177</v>
      </c>
      <c r="Z201" t="s">
        <v>177</v>
      </c>
      <c r="AA201" t="s">
        <v>177</v>
      </c>
      <c r="AB201" t="s">
        <v>177</v>
      </c>
      <c r="AC201" t="s">
        <v>177</v>
      </c>
      <c r="AD201" t="s">
        <v>177</v>
      </c>
      <c r="AE201" t="s">
        <v>177</v>
      </c>
      <c r="AF201" t="s">
        <v>177</v>
      </c>
      <c r="AG201" s="876">
        <v>44208</v>
      </c>
      <c r="AH201" s="871">
        <f t="shared" si="6"/>
        <v>44197</v>
      </c>
    </row>
    <row r="202" spans="1:34" hidden="1">
      <c r="A202">
        <v>1</v>
      </c>
      <c r="B202">
        <v>47</v>
      </c>
      <c r="C202" t="s">
        <v>187</v>
      </c>
      <c r="D202">
        <v>129</v>
      </c>
      <c r="E202">
        <v>329807042.79000002</v>
      </c>
      <c r="F202">
        <v>0</v>
      </c>
      <c r="G202">
        <v>77923217</v>
      </c>
      <c r="H202">
        <v>0</v>
      </c>
      <c r="I202" s="876">
        <v>44043</v>
      </c>
      <c r="J202">
        <v>1</v>
      </c>
      <c r="K202" t="s">
        <v>187</v>
      </c>
      <c r="L202">
        <v>47</v>
      </c>
      <c r="M202">
        <v>2.7998518039857902E-2</v>
      </c>
      <c r="N202">
        <v>0.77196285802040299</v>
      </c>
      <c r="O202">
        <v>0.160342254959042</v>
      </c>
      <c r="P202">
        <v>3.9696368980697103E-2</v>
      </c>
      <c r="Q202">
        <v>4.2146233213883999E-2</v>
      </c>
      <c r="R202">
        <v>0</v>
      </c>
      <c r="S202">
        <v>0</v>
      </c>
      <c r="T202">
        <v>-4.5210840469701002E-2</v>
      </c>
      <c r="U202">
        <v>0</v>
      </c>
      <c r="V202">
        <v>3.1135551199194401E-2</v>
      </c>
      <c r="W202">
        <v>-7.2425903519501294E-5</v>
      </c>
      <c r="X202">
        <v>0</v>
      </c>
      <c r="Y202">
        <v>0.93086455995036799</v>
      </c>
      <c r="Z202">
        <v>0</v>
      </c>
      <c r="AA202">
        <v>-1.4290643770303301E-2</v>
      </c>
      <c r="AB202">
        <v>9.1932560322788695E-2</v>
      </c>
      <c r="AC202">
        <v>0</v>
      </c>
      <c r="AD202">
        <v>-0.30270009844333401</v>
      </c>
      <c r="AE202">
        <v>6.6156479960883599E-2</v>
      </c>
      <c r="AF202">
        <v>0</v>
      </c>
      <c r="AG202" s="876">
        <v>44043</v>
      </c>
      <c r="AH202" s="871">
        <f t="shared" si="6"/>
        <v>44013</v>
      </c>
    </row>
    <row r="203" spans="1:34" hidden="1">
      <c r="A203">
        <v>2</v>
      </c>
      <c r="B203">
        <v>47</v>
      </c>
      <c r="C203" t="s">
        <v>187</v>
      </c>
      <c r="D203">
        <v>129</v>
      </c>
      <c r="E203">
        <v>47668138.219999999</v>
      </c>
      <c r="F203">
        <v>0</v>
      </c>
      <c r="G203" t="s">
        <v>177</v>
      </c>
      <c r="H203" t="s">
        <v>177</v>
      </c>
      <c r="I203" s="876">
        <v>44055</v>
      </c>
      <c r="J203">
        <v>2</v>
      </c>
      <c r="K203" t="s">
        <v>187</v>
      </c>
      <c r="L203">
        <v>47</v>
      </c>
      <c r="M203">
        <v>0.85752394227114104</v>
      </c>
      <c r="N203" t="s">
        <v>177</v>
      </c>
      <c r="O203">
        <v>5.6512639000000003E-2</v>
      </c>
      <c r="P203">
        <v>8.5963418999999999E-2</v>
      </c>
      <c r="Q203">
        <v>9.13742521392601E-3</v>
      </c>
      <c r="R203">
        <v>0</v>
      </c>
      <c r="S203">
        <v>0</v>
      </c>
      <c r="T203">
        <v>0.64471881617024496</v>
      </c>
      <c r="U203">
        <v>0</v>
      </c>
      <c r="V203">
        <v>0.20427450973360001</v>
      </c>
      <c r="W203">
        <v>-6.0680884662945005E-4</v>
      </c>
      <c r="X203">
        <v>0</v>
      </c>
      <c r="Y203" t="s">
        <v>177</v>
      </c>
      <c r="Z203" t="s">
        <v>177</v>
      </c>
      <c r="AA203" t="s">
        <v>177</v>
      </c>
      <c r="AB203" t="s">
        <v>177</v>
      </c>
      <c r="AC203" t="s">
        <v>177</v>
      </c>
      <c r="AD203" t="s">
        <v>177</v>
      </c>
      <c r="AE203" t="s">
        <v>177</v>
      </c>
      <c r="AF203" t="s">
        <v>177</v>
      </c>
      <c r="AG203" s="876">
        <v>44055</v>
      </c>
      <c r="AH203" s="871">
        <f t="shared" si="6"/>
        <v>44044</v>
      </c>
    </row>
    <row r="204" spans="1:34" hidden="1">
      <c r="A204">
        <v>3</v>
      </c>
      <c r="B204">
        <v>47</v>
      </c>
      <c r="C204" t="s">
        <v>187</v>
      </c>
      <c r="D204">
        <v>129</v>
      </c>
      <c r="E204">
        <v>44208245.990000002</v>
      </c>
      <c r="F204">
        <v>0</v>
      </c>
      <c r="G204" t="s">
        <v>177</v>
      </c>
      <c r="H204" t="s">
        <v>177</v>
      </c>
      <c r="I204" s="876">
        <v>44088</v>
      </c>
      <c r="J204">
        <v>3</v>
      </c>
      <c r="K204" t="s">
        <v>187</v>
      </c>
      <c r="L204">
        <v>47</v>
      </c>
      <c r="M204">
        <v>0.58496159295740302</v>
      </c>
      <c r="N204" t="s">
        <v>177</v>
      </c>
      <c r="O204">
        <v>0.28062363899999998</v>
      </c>
      <c r="P204">
        <v>0.13441476799999999</v>
      </c>
      <c r="Q204">
        <v>5.4889672571907001E-2</v>
      </c>
      <c r="R204">
        <v>0</v>
      </c>
      <c r="S204">
        <v>0</v>
      </c>
      <c r="T204">
        <v>0.57985739629482003</v>
      </c>
      <c r="U204">
        <v>0</v>
      </c>
      <c r="V204">
        <v>-5.0906892830270001E-2</v>
      </c>
      <c r="W204">
        <v>1.1214169209463601E-3</v>
      </c>
      <c r="X204">
        <v>0</v>
      </c>
      <c r="Y204" t="s">
        <v>177</v>
      </c>
      <c r="Z204" t="s">
        <v>177</v>
      </c>
      <c r="AA204" t="s">
        <v>177</v>
      </c>
      <c r="AB204" t="s">
        <v>177</v>
      </c>
      <c r="AC204" t="s">
        <v>177</v>
      </c>
      <c r="AD204" t="s">
        <v>177</v>
      </c>
      <c r="AE204" t="s">
        <v>177</v>
      </c>
      <c r="AF204" t="s">
        <v>177</v>
      </c>
      <c r="AG204" s="876">
        <v>44088</v>
      </c>
      <c r="AH204" s="871">
        <f t="shared" si="6"/>
        <v>44075</v>
      </c>
    </row>
    <row r="205" spans="1:34" hidden="1">
      <c r="A205">
        <v>4</v>
      </c>
      <c r="B205">
        <v>47</v>
      </c>
      <c r="C205" t="s">
        <v>187</v>
      </c>
      <c r="D205">
        <v>129</v>
      </c>
      <c r="E205">
        <v>0</v>
      </c>
      <c r="F205">
        <v>0</v>
      </c>
      <c r="G205" t="s">
        <v>177</v>
      </c>
      <c r="H205" t="s">
        <v>177</v>
      </c>
      <c r="I205" s="876">
        <v>44117</v>
      </c>
      <c r="J205">
        <v>4</v>
      </c>
      <c r="K205" t="s">
        <v>187</v>
      </c>
      <c r="L205">
        <v>47</v>
      </c>
      <c r="M205" t="s">
        <v>177</v>
      </c>
      <c r="N205" t="s">
        <v>177</v>
      </c>
      <c r="O205" t="s">
        <v>177</v>
      </c>
      <c r="P205" t="s">
        <v>177</v>
      </c>
      <c r="Q205" t="s">
        <v>177</v>
      </c>
      <c r="R205" t="s">
        <v>177</v>
      </c>
      <c r="S205" t="s">
        <v>177</v>
      </c>
      <c r="T205" t="s">
        <v>177</v>
      </c>
      <c r="U205" t="s">
        <v>177</v>
      </c>
      <c r="V205" t="s">
        <v>177</v>
      </c>
      <c r="W205" t="s">
        <v>177</v>
      </c>
      <c r="X205" t="s">
        <v>177</v>
      </c>
      <c r="Y205" t="s">
        <v>177</v>
      </c>
      <c r="Z205" t="s">
        <v>177</v>
      </c>
      <c r="AA205" t="s">
        <v>177</v>
      </c>
      <c r="AB205" t="s">
        <v>177</v>
      </c>
      <c r="AC205" t="s">
        <v>177</v>
      </c>
      <c r="AD205" t="s">
        <v>177</v>
      </c>
      <c r="AE205" t="s">
        <v>177</v>
      </c>
      <c r="AF205" t="s">
        <v>177</v>
      </c>
      <c r="AG205" s="876">
        <v>44117</v>
      </c>
      <c r="AH205" s="871">
        <f t="shared" si="6"/>
        <v>44105</v>
      </c>
    </row>
    <row r="206" spans="1:34" hidden="1">
      <c r="A206">
        <v>5</v>
      </c>
      <c r="B206">
        <v>47</v>
      </c>
      <c r="C206" t="s">
        <v>187</v>
      </c>
      <c r="D206">
        <v>129</v>
      </c>
      <c r="E206">
        <v>0</v>
      </c>
      <c r="F206">
        <v>0</v>
      </c>
      <c r="G206" t="s">
        <v>177</v>
      </c>
      <c r="H206" t="s">
        <v>177</v>
      </c>
      <c r="I206" s="876">
        <v>44147</v>
      </c>
      <c r="J206">
        <v>5</v>
      </c>
      <c r="K206" t="s">
        <v>187</v>
      </c>
      <c r="L206">
        <v>47</v>
      </c>
      <c r="M206" t="s">
        <v>177</v>
      </c>
      <c r="N206" t="s">
        <v>177</v>
      </c>
      <c r="O206" t="s">
        <v>177</v>
      </c>
      <c r="P206" t="s">
        <v>177</v>
      </c>
      <c r="Q206" t="s">
        <v>177</v>
      </c>
      <c r="R206" t="s">
        <v>177</v>
      </c>
      <c r="S206" t="s">
        <v>177</v>
      </c>
      <c r="T206" t="s">
        <v>177</v>
      </c>
      <c r="U206" t="s">
        <v>177</v>
      </c>
      <c r="V206" t="s">
        <v>177</v>
      </c>
      <c r="W206" t="s">
        <v>177</v>
      </c>
      <c r="X206" t="s">
        <v>177</v>
      </c>
      <c r="Y206" t="s">
        <v>177</v>
      </c>
      <c r="Z206" t="s">
        <v>177</v>
      </c>
      <c r="AA206" t="s">
        <v>177</v>
      </c>
      <c r="AB206" t="s">
        <v>177</v>
      </c>
      <c r="AC206" t="s">
        <v>177</v>
      </c>
      <c r="AD206" t="s">
        <v>177</v>
      </c>
      <c r="AE206" t="s">
        <v>177</v>
      </c>
      <c r="AF206" t="s">
        <v>177</v>
      </c>
      <c r="AG206" s="876">
        <v>44147</v>
      </c>
      <c r="AH206" s="871">
        <f t="shared" si="6"/>
        <v>44136</v>
      </c>
    </row>
    <row r="207" spans="1:34" hidden="1">
      <c r="A207">
        <v>6</v>
      </c>
      <c r="B207">
        <v>47</v>
      </c>
      <c r="C207" t="s">
        <v>187</v>
      </c>
      <c r="D207">
        <v>129</v>
      </c>
      <c r="E207">
        <v>0</v>
      </c>
      <c r="F207">
        <v>0</v>
      </c>
      <c r="G207" t="s">
        <v>177</v>
      </c>
      <c r="H207" t="s">
        <v>177</v>
      </c>
      <c r="I207" s="876">
        <v>44179</v>
      </c>
      <c r="J207">
        <v>6</v>
      </c>
      <c r="K207" t="s">
        <v>187</v>
      </c>
      <c r="L207">
        <v>47</v>
      </c>
      <c r="M207" t="s">
        <v>177</v>
      </c>
      <c r="N207" t="s">
        <v>177</v>
      </c>
      <c r="O207" t="s">
        <v>177</v>
      </c>
      <c r="P207" t="s">
        <v>177</v>
      </c>
      <c r="Q207" t="s">
        <v>177</v>
      </c>
      <c r="R207" t="s">
        <v>177</v>
      </c>
      <c r="S207" t="s">
        <v>177</v>
      </c>
      <c r="T207" t="s">
        <v>177</v>
      </c>
      <c r="U207" t="s">
        <v>177</v>
      </c>
      <c r="V207" t="s">
        <v>177</v>
      </c>
      <c r="W207" t="s">
        <v>177</v>
      </c>
      <c r="X207" t="s">
        <v>177</v>
      </c>
      <c r="Y207" t="s">
        <v>177</v>
      </c>
      <c r="Z207" t="s">
        <v>177</v>
      </c>
      <c r="AA207" t="s">
        <v>177</v>
      </c>
      <c r="AB207" t="s">
        <v>177</v>
      </c>
      <c r="AC207" t="s">
        <v>177</v>
      </c>
      <c r="AD207" t="s">
        <v>177</v>
      </c>
      <c r="AE207" t="s">
        <v>177</v>
      </c>
      <c r="AF207" t="s">
        <v>177</v>
      </c>
      <c r="AG207" s="876">
        <v>44179</v>
      </c>
      <c r="AH207" s="871">
        <f t="shared" si="6"/>
        <v>44166</v>
      </c>
    </row>
    <row r="208" spans="1:34" hidden="1">
      <c r="A208">
        <v>7</v>
      </c>
      <c r="B208">
        <v>47</v>
      </c>
      <c r="C208" t="s">
        <v>187</v>
      </c>
      <c r="D208">
        <v>129</v>
      </c>
      <c r="E208">
        <v>0</v>
      </c>
      <c r="F208">
        <v>0</v>
      </c>
      <c r="G208" t="s">
        <v>177</v>
      </c>
      <c r="H208" t="s">
        <v>177</v>
      </c>
      <c r="I208" s="876">
        <v>44193</v>
      </c>
      <c r="J208">
        <v>7</v>
      </c>
      <c r="K208" t="s">
        <v>187</v>
      </c>
      <c r="L208">
        <v>47</v>
      </c>
      <c r="M208" t="s">
        <v>177</v>
      </c>
      <c r="N208" t="s">
        <v>177</v>
      </c>
      <c r="O208" t="s">
        <v>177</v>
      </c>
      <c r="P208" t="s">
        <v>177</v>
      </c>
      <c r="Q208" t="s">
        <v>177</v>
      </c>
      <c r="R208" t="s">
        <v>177</v>
      </c>
      <c r="S208" t="s">
        <v>177</v>
      </c>
      <c r="T208" t="s">
        <v>177</v>
      </c>
      <c r="U208" t="s">
        <v>177</v>
      </c>
      <c r="V208" t="s">
        <v>177</v>
      </c>
      <c r="W208" t="s">
        <v>177</v>
      </c>
      <c r="X208" t="s">
        <v>177</v>
      </c>
      <c r="Y208" t="s">
        <v>177</v>
      </c>
      <c r="Z208" t="s">
        <v>177</v>
      </c>
      <c r="AA208" t="s">
        <v>177</v>
      </c>
      <c r="AB208" t="s">
        <v>177</v>
      </c>
      <c r="AC208" t="s">
        <v>177</v>
      </c>
      <c r="AD208" t="s">
        <v>177</v>
      </c>
      <c r="AE208" t="s">
        <v>177</v>
      </c>
      <c r="AF208" t="s">
        <v>177</v>
      </c>
      <c r="AG208" s="876">
        <v>44193</v>
      </c>
      <c r="AH208" s="871">
        <f t="shared" si="6"/>
        <v>44166</v>
      </c>
    </row>
    <row r="209" spans="1:34" hidden="1">
      <c r="A209">
        <v>8</v>
      </c>
      <c r="B209">
        <v>47</v>
      </c>
      <c r="C209" t="s">
        <v>187</v>
      </c>
      <c r="D209">
        <v>129</v>
      </c>
      <c r="E209">
        <v>0</v>
      </c>
      <c r="F209">
        <v>0</v>
      </c>
      <c r="G209" t="s">
        <v>177</v>
      </c>
      <c r="H209" t="s">
        <v>177</v>
      </c>
      <c r="I209" s="876">
        <v>44208</v>
      </c>
      <c r="J209">
        <v>8</v>
      </c>
      <c r="K209" t="s">
        <v>187</v>
      </c>
      <c r="L209">
        <v>47</v>
      </c>
      <c r="M209" t="s">
        <v>177</v>
      </c>
      <c r="N209" t="s">
        <v>177</v>
      </c>
      <c r="O209" t="s">
        <v>177</v>
      </c>
      <c r="P209" t="s">
        <v>177</v>
      </c>
      <c r="Q209" t="s">
        <v>177</v>
      </c>
      <c r="R209" t="s">
        <v>177</v>
      </c>
      <c r="S209" t="s">
        <v>177</v>
      </c>
      <c r="T209" t="s">
        <v>177</v>
      </c>
      <c r="U209" t="s">
        <v>177</v>
      </c>
      <c r="V209" t="s">
        <v>177</v>
      </c>
      <c r="W209" t="s">
        <v>177</v>
      </c>
      <c r="X209" t="s">
        <v>177</v>
      </c>
      <c r="Y209" t="s">
        <v>177</v>
      </c>
      <c r="Z209" t="s">
        <v>177</v>
      </c>
      <c r="AA209" t="s">
        <v>177</v>
      </c>
      <c r="AB209" t="s">
        <v>177</v>
      </c>
      <c r="AC209" t="s">
        <v>177</v>
      </c>
      <c r="AD209" t="s">
        <v>177</v>
      </c>
      <c r="AE209" t="s">
        <v>177</v>
      </c>
      <c r="AF209" t="s">
        <v>177</v>
      </c>
      <c r="AG209" s="876">
        <v>44208</v>
      </c>
      <c r="AH209" s="871">
        <f t="shared" si="6"/>
        <v>44197</v>
      </c>
    </row>
    <row r="210" spans="1:34" hidden="1">
      <c r="A210">
        <v>1</v>
      </c>
      <c r="B210">
        <v>2866</v>
      </c>
      <c r="C210" t="s">
        <v>215</v>
      </c>
      <c r="D210">
        <v>132</v>
      </c>
      <c r="E210">
        <v>869516080.99666703</v>
      </c>
      <c r="F210">
        <v>0</v>
      </c>
      <c r="G210">
        <v>0</v>
      </c>
      <c r="H210">
        <v>0</v>
      </c>
      <c r="I210" s="876">
        <v>44043</v>
      </c>
      <c r="J210">
        <v>1</v>
      </c>
      <c r="K210" t="s">
        <v>216</v>
      </c>
      <c r="L210">
        <v>2866</v>
      </c>
      <c r="M210">
        <v>0.17248545279991501</v>
      </c>
      <c r="N210">
        <v>0.61188934802360895</v>
      </c>
      <c r="O210">
        <v>0.195383381563145</v>
      </c>
      <c r="P210">
        <v>2.0241817613330298E-2</v>
      </c>
      <c r="Q210">
        <v>-8.2890538748367604E-2</v>
      </c>
      <c r="R210">
        <v>0.25033052644847797</v>
      </c>
      <c r="S210">
        <v>0</v>
      </c>
      <c r="T210">
        <v>6.6185536490714599E-3</v>
      </c>
      <c r="U210">
        <v>3.0841769941798401E-3</v>
      </c>
      <c r="V210">
        <v>-4.64984655398903E-4</v>
      </c>
      <c r="W210">
        <v>-4.1922808880482301E-3</v>
      </c>
      <c r="X210">
        <v>0</v>
      </c>
      <c r="Y210">
        <v>-6.2004947239694103E-2</v>
      </c>
      <c r="Z210">
        <v>0.71628159794670099</v>
      </c>
      <c r="AA210">
        <v>-1.50473223410925E-2</v>
      </c>
      <c r="AB210">
        <v>9.5903208211357296E-2</v>
      </c>
      <c r="AC210">
        <v>1.9931268926604E-2</v>
      </c>
      <c r="AD210">
        <v>-0.23881332299885299</v>
      </c>
      <c r="AE210">
        <v>9.5638865518586497E-2</v>
      </c>
      <c r="AF210">
        <v>0</v>
      </c>
      <c r="AG210" s="876">
        <v>44043</v>
      </c>
      <c r="AH210" s="871">
        <f t="shared" si="6"/>
        <v>44013</v>
      </c>
    </row>
    <row r="211" spans="1:34" hidden="1">
      <c r="A211">
        <v>2</v>
      </c>
      <c r="B211">
        <v>2866</v>
      </c>
      <c r="C211" t="s">
        <v>215</v>
      </c>
      <c r="D211">
        <v>132</v>
      </c>
      <c r="E211">
        <v>0</v>
      </c>
      <c r="F211">
        <v>0</v>
      </c>
      <c r="G211" t="s">
        <v>177</v>
      </c>
      <c r="H211" t="s">
        <v>177</v>
      </c>
      <c r="I211" s="876">
        <v>44055</v>
      </c>
      <c r="J211">
        <v>2</v>
      </c>
      <c r="K211" t="s">
        <v>216</v>
      </c>
      <c r="L211">
        <v>2866</v>
      </c>
      <c r="M211">
        <v>0.32476100534364599</v>
      </c>
      <c r="N211" t="s">
        <v>177</v>
      </c>
      <c r="O211">
        <v>0.225563438522143</v>
      </c>
      <c r="P211">
        <v>0.44967555613421101</v>
      </c>
      <c r="Q211">
        <v>-0.82409829125529899</v>
      </c>
      <c r="R211">
        <v>0.66973304797692801</v>
      </c>
      <c r="S211">
        <v>0</v>
      </c>
      <c r="T211">
        <v>0.373694541390725</v>
      </c>
      <c r="U211">
        <v>4.2061178693749299E-2</v>
      </c>
      <c r="V211">
        <v>6.3408142704318896E-2</v>
      </c>
      <c r="W211">
        <v>-3.7614166775939199E-5</v>
      </c>
      <c r="X211">
        <v>0</v>
      </c>
      <c r="Y211" t="s">
        <v>177</v>
      </c>
      <c r="Z211" t="s">
        <v>177</v>
      </c>
      <c r="AA211" t="s">
        <v>177</v>
      </c>
      <c r="AB211" t="s">
        <v>177</v>
      </c>
      <c r="AC211" t="s">
        <v>177</v>
      </c>
      <c r="AD211" t="s">
        <v>177</v>
      </c>
      <c r="AE211" t="s">
        <v>177</v>
      </c>
      <c r="AF211" t="s">
        <v>177</v>
      </c>
      <c r="AG211" s="876">
        <v>44055</v>
      </c>
      <c r="AH211" s="871">
        <f t="shared" si="6"/>
        <v>44044</v>
      </c>
    </row>
    <row r="212" spans="1:34" hidden="1">
      <c r="A212">
        <v>3</v>
      </c>
      <c r="B212">
        <v>2866</v>
      </c>
      <c r="C212" t="s">
        <v>215</v>
      </c>
      <c r="D212">
        <v>132</v>
      </c>
      <c r="E212">
        <v>0</v>
      </c>
      <c r="F212">
        <v>0</v>
      </c>
      <c r="G212" t="s">
        <v>177</v>
      </c>
      <c r="H212" t="s">
        <v>177</v>
      </c>
      <c r="I212" s="876">
        <v>44088</v>
      </c>
      <c r="J212">
        <v>3</v>
      </c>
      <c r="K212" t="s">
        <v>216</v>
      </c>
      <c r="L212">
        <v>2866</v>
      </c>
      <c r="M212">
        <v>0.39193027282833398</v>
      </c>
      <c r="N212" t="s">
        <v>177</v>
      </c>
      <c r="O212">
        <v>0.20561672134203901</v>
      </c>
      <c r="P212">
        <v>0.40245300582962701</v>
      </c>
      <c r="Q212">
        <v>-0.54378639266178297</v>
      </c>
      <c r="R212">
        <v>0.61553711566260405</v>
      </c>
      <c r="S212">
        <v>-7.6639625488274005E-4</v>
      </c>
      <c r="T212">
        <v>0.30129070702176702</v>
      </c>
      <c r="U212">
        <v>3.3725423130284898E-2</v>
      </c>
      <c r="V212">
        <v>-1.8060485184194602E-2</v>
      </c>
      <c r="W212">
        <v>3.9903011145382902E-3</v>
      </c>
      <c r="X212">
        <v>0</v>
      </c>
      <c r="Y212" t="s">
        <v>177</v>
      </c>
      <c r="Z212" t="s">
        <v>177</v>
      </c>
      <c r="AA212" t="s">
        <v>177</v>
      </c>
      <c r="AB212" t="s">
        <v>177</v>
      </c>
      <c r="AC212" t="s">
        <v>177</v>
      </c>
      <c r="AD212" t="s">
        <v>177</v>
      </c>
      <c r="AE212" t="s">
        <v>177</v>
      </c>
      <c r="AF212" t="s">
        <v>177</v>
      </c>
      <c r="AG212" s="876">
        <v>44088</v>
      </c>
      <c r="AH212" s="871">
        <f t="shared" si="6"/>
        <v>44075</v>
      </c>
    </row>
    <row r="213" spans="1:34" hidden="1">
      <c r="A213">
        <v>4</v>
      </c>
      <c r="B213">
        <v>2866</v>
      </c>
      <c r="C213" t="s">
        <v>215</v>
      </c>
      <c r="D213">
        <v>132</v>
      </c>
      <c r="E213">
        <v>0</v>
      </c>
      <c r="F213">
        <v>0</v>
      </c>
      <c r="G213" t="s">
        <v>177</v>
      </c>
      <c r="H213" t="s">
        <v>177</v>
      </c>
      <c r="I213" s="876">
        <v>44117</v>
      </c>
      <c r="J213">
        <v>4</v>
      </c>
      <c r="K213" t="s">
        <v>216</v>
      </c>
      <c r="L213">
        <v>2866</v>
      </c>
      <c r="M213">
        <v>0.71126904509665501</v>
      </c>
      <c r="N213">
        <v>0</v>
      </c>
      <c r="O213">
        <v>0.21729032647847599</v>
      </c>
      <c r="P213">
        <v>7.1440628424868202E-2</v>
      </c>
      <c r="Q213">
        <v>-0.85553325970916505</v>
      </c>
      <c r="R213">
        <v>1.16641286470727</v>
      </c>
      <c r="S213">
        <v>-7.2467140783295499E-5</v>
      </c>
      <c r="T213">
        <v>0.49190323783874401</v>
      </c>
      <c r="U213">
        <v>5.4595700255416699E-2</v>
      </c>
      <c r="V213">
        <v>-0.14630581747638699</v>
      </c>
      <c r="W213">
        <v>2.6878662156239701E-4</v>
      </c>
      <c r="X213">
        <v>0</v>
      </c>
      <c r="Y213" t="s">
        <v>177</v>
      </c>
      <c r="Z213" t="s">
        <v>177</v>
      </c>
      <c r="AA213" t="s">
        <v>177</v>
      </c>
      <c r="AB213" t="s">
        <v>177</v>
      </c>
      <c r="AC213" t="s">
        <v>177</v>
      </c>
      <c r="AD213" t="s">
        <v>177</v>
      </c>
      <c r="AE213" t="s">
        <v>177</v>
      </c>
      <c r="AF213" t="s">
        <v>177</v>
      </c>
      <c r="AG213" s="876">
        <v>44117</v>
      </c>
      <c r="AH213" s="871">
        <f t="shared" si="6"/>
        <v>44105</v>
      </c>
    </row>
    <row r="214" spans="1:34" hidden="1">
      <c r="A214">
        <v>5</v>
      </c>
      <c r="B214">
        <v>2866</v>
      </c>
      <c r="C214" t="s">
        <v>215</v>
      </c>
      <c r="D214">
        <v>132</v>
      </c>
      <c r="E214">
        <v>0</v>
      </c>
      <c r="F214">
        <v>0</v>
      </c>
      <c r="G214" t="s">
        <v>177</v>
      </c>
      <c r="H214" t="s">
        <v>177</v>
      </c>
      <c r="I214" s="876">
        <v>44147</v>
      </c>
      <c r="J214">
        <v>5</v>
      </c>
      <c r="K214" t="s">
        <v>216</v>
      </c>
      <c r="L214">
        <v>2866</v>
      </c>
      <c r="M214">
        <v>0.793914657390278</v>
      </c>
      <c r="N214">
        <v>0</v>
      </c>
      <c r="O214">
        <v>0.206085342609722</v>
      </c>
      <c r="P214">
        <v>0</v>
      </c>
      <c r="Q214">
        <v>-0.34597638320240698</v>
      </c>
      <c r="R214">
        <v>0.77187822101099102</v>
      </c>
      <c r="S214">
        <v>-2.30436104945357E-4</v>
      </c>
      <c r="T214">
        <v>0.27304538294049502</v>
      </c>
      <c r="U214">
        <v>2.9584885865470301E-2</v>
      </c>
      <c r="V214">
        <v>6.4455968661855198E-2</v>
      </c>
      <c r="W214">
        <v>1.1570182188184799E-3</v>
      </c>
      <c r="X214">
        <v>0</v>
      </c>
      <c r="Y214" t="s">
        <v>177</v>
      </c>
      <c r="Z214" t="s">
        <v>177</v>
      </c>
      <c r="AA214" t="s">
        <v>177</v>
      </c>
      <c r="AB214" t="s">
        <v>177</v>
      </c>
      <c r="AC214" t="s">
        <v>177</v>
      </c>
      <c r="AD214" t="s">
        <v>177</v>
      </c>
      <c r="AE214" t="s">
        <v>177</v>
      </c>
      <c r="AF214" t="s">
        <v>177</v>
      </c>
      <c r="AG214" s="876">
        <v>44147</v>
      </c>
      <c r="AH214" s="871">
        <f t="shared" si="6"/>
        <v>44136</v>
      </c>
    </row>
    <row r="215" spans="1:34" hidden="1">
      <c r="A215">
        <v>6</v>
      </c>
      <c r="B215">
        <v>2866</v>
      </c>
      <c r="C215" t="s">
        <v>215</v>
      </c>
      <c r="D215">
        <v>132</v>
      </c>
      <c r="E215">
        <v>0</v>
      </c>
      <c r="F215">
        <v>0</v>
      </c>
      <c r="G215" t="s">
        <v>177</v>
      </c>
      <c r="H215" t="s">
        <v>177</v>
      </c>
      <c r="I215" s="876">
        <v>44179</v>
      </c>
      <c r="J215">
        <v>6</v>
      </c>
      <c r="K215" t="s">
        <v>216</v>
      </c>
      <c r="L215">
        <v>2866</v>
      </c>
      <c r="M215">
        <v>0.71798853780067895</v>
      </c>
      <c r="N215">
        <v>0</v>
      </c>
      <c r="O215">
        <v>0.28201146219932099</v>
      </c>
      <c r="P215">
        <v>0</v>
      </c>
      <c r="Q215">
        <v>9.0821172721647705E-2</v>
      </c>
      <c r="R215">
        <v>0.38284606705167201</v>
      </c>
      <c r="S215">
        <v>-1.0294047723486E-4</v>
      </c>
      <c r="T215">
        <v>0.121449063208946</v>
      </c>
      <c r="U215">
        <v>1.31593242890801E-2</v>
      </c>
      <c r="V215">
        <v>0.10929766682379199</v>
      </c>
      <c r="W215">
        <v>5.1818418277636499E-4</v>
      </c>
      <c r="X215">
        <v>0</v>
      </c>
      <c r="Y215" t="s">
        <v>177</v>
      </c>
      <c r="Z215" t="s">
        <v>177</v>
      </c>
      <c r="AA215" t="s">
        <v>177</v>
      </c>
      <c r="AB215" t="s">
        <v>177</v>
      </c>
      <c r="AC215" t="s">
        <v>177</v>
      </c>
      <c r="AD215" t="s">
        <v>177</v>
      </c>
      <c r="AE215" t="s">
        <v>177</v>
      </c>
      <c r="AF215" t="s">
        <v>177</v>
      </c>
      <c r="AG215" s="876">
        <v>44179</v>
      </c>
      <c r="AH215" s="871">
        <f t="shared" si="6"/>
        <v>44166</v>
      </c>
    </row>
    <row r="216" spans="1:34" hidden="1">
      <c r="A216">
        <v>7</v>
      </c>
      <c r="B216">
        <v>2866</v>
      </c>
      <c r="C216" t="s">
        <v>215</v>
      </c>
      <c r="D216">
        <v>132</v>
      </c>
      <c r="E216">
        <v>0</v>
      </c>
      <c r="F216">
        <v>0</v>
      </c>
      <c r="G216" t="s">
        <v>177</v>
      </c>
      <c r="H216" t="s">
        <v>177</v>
      </c>
      <c r="I216" s="876">
        <v>44193</v>
      </c>
      <c r="J216">
        <v>7</v>
      </c>
      <c r="K216" t="s">
        <v>216</v>
      </c>
      <c r="L216">
        <v>2866</v>
      </c>
      <c r="M216">
        <v>1</v>
      </c>
      <c r="N216">
        <v>0</v>
      </c>
      <c r="O216">
        <v>0</v>
      </c>
      <c r="P216">
        <v>0</v>
      </c>
      <c r="Q216">
        <v>0.49088704420002499</v>
      </c>
      <c r="R216">
        <v>0.38113640597772003</v>
      </c>
      <c r="S216">
        <v>-2.0376520145289599E-4</v>
      </c>
      <c r="T216">
        <v>0.24794407901302501</v>
      </c>
      <c r="U216">
        <v>2.5526501034634799E-2</v>
      </c>
      <c r="V216">
        <v>-0.14631048950067599</v>
      </c>
      <c r="W216">
        <v>1.0202244767244001E-3</v>
      </c>
      <c r="X216">
        <v>0</v>
      </c>
      <c r="Y216" t="s">
        <v>177</v>
      </c>
      <c r="Z216" t="s">
        <v>177</v>
      </c>
      <c r="AA216" t="s">
        <v>177</v>
      </c>
      <c r="AB216" t="s">
        <v>177</v>
      </c>
      <c r="AC216" t="s">
        <v>177</v>
      </c>
      <c r="AD216" t="s">
        <v>177</v>
      </c>
      <c r="AE216" t="s">
        <v>177</v>
      </c>
      <c r="AF216" t="s">
        <v>177</v>
      </c>
      <c r="AG216" s="876">
        <v>44193</v>
      </c>
      <c r="AH216" s="871">
        <f t="shared" si="6"/>
        <v>44166</v>
      </c>
    </row>
    <row r="217" spans="1:34" hidden="1">
      <c r="A217">
        <v>8</v>
      </c>
      <c r="B217">
        <v>2866</v>
      </c>
      <c r="C217" t="s">
        <v>215</v>
      </c>
      <c r="D217">
        <v>132</v>
      </c>
      <c r="E217">
        <v>0</v>
      </c>
      <c r="F217">
        <v>0</v>
      </c>
      <c r="G217" t="s">
        <v>177</v>
      </c>
      <c r="H217" t="s">
        <v>177</v>
      </c>
      <c r="I217" s="876">
        <v>44208</v>
      </c>
      <c r="J217">
        <v>8</v>
      </c>
      <c r="K217" t="s">
        <v>216</v>
      </c>
      <c r="L217">
        <v>2866</v>
      </c>
      <c r="M217">
        <v>1</v>
      </c>
      <c r="N217">
        <v>0</v>
      </c>
      <c r="O217">
        <v>0</v>
      </c>
      <c r="P217">
        <v>0</v>
      </c>
      <c r="Q217">
        <v>0.49088704420002499</v>
      </c>
      <c r="R217">
        <v>0.38113640597772003</v>
      </c>
      <c r="S217">
        <v>-2.0376520145289599E-4</v>
      </c>
      <c r="T217">
        <v>0.24794407901302501</v>
      </c>
      <c r="U217">
        <v>2.5526501034634799E-2</v>
      </c>
      <c r="V217">
        <v>-0.14631048950067599</v>
      </c>
      <c r="W217">
        <v>1.0202244767244001E-3</v>
      </c>
      <c r="X217">
        <v>0</v>
      </c>
      <c r="Y217" t="s">
        <v>177</v>
      </c>
      <c r="Z217" t="s">
        <v>177</v>
      </c>
      <c r="AA217" t="s">
        <v>177</v>
      </c>
      <c r="AB217" t="s">
        <v>177</v>
      </c>
      <c r="AC217" t="s">
        <v>177</v>
      </c>
      <c r="AD217" t="s">
        <v>177</v>
      </c>
      <c r="AE217" t="s">
        <v>177</v>
      </c>
      <c r="AF217" t="s">
        <v>177</v>
      </c>
      <c r="AG217" s="876">
        <v>44208</v>
      </c>
      <c r="AH217" s="871">
        <f t="shared" si="6"/>
        <v>44197</v>
      </c>
    </row>
    <row r="218" spans="1:34" hidden="1">
      <c r="A218">
        <v>1</v>
      </c>
      <c r="B218">
        <v>40</v>
      </c>
      <c r="C218" t="s">
        <v>183</v>
      </c>
      <c r="D218">
        <v>133</v>
      </c>
      <c r="E218">
        <v>52215774.079999998</v>
      </c>
      <c r="F218">
        <v>0</v>
      </c>
      <c r="G218">
        <v>14062550</v>
      </c>
      <c r="H218">
        <v>0</v>
      </c>
      <c r="I218" s="876">
        <v>44043</v>
      </c>
      <c r="J218">
        <v>1</v>
      </c>
      <c r="K218" t="s">
        <v>183</v>
      </c>
      <c r="L218">
        <v>40</v>
      </c>
      <c r="M218">
        <v>4.58694825800968E-2</v>
      </c>
      <c r="N218">
        <v>0.70506830224363304</v>
      </c>
      <c r="O218">
        <v>0.21215279336531601</v>
      </c>
      <c r="P218">
        <v>3.6909421810953899E-2</v>
      </c>
      <c r="Q218">
        <v>4.2321161005871098E-2</v>
      </c>
      <c r="R218">
        <v>0</v>
      </c>
      <c r="S218">
        <v>0</v>
      </c>
      <c r="T218">
        <v>-9.0815746616647198E-3</v>
      </c>
      <c r="U218">
        <v>0</v>
      </c>
      <c r="V218">
        <v>1.27036821868562E-2</v>
      </c>
      <c r="W218">
        <v>-7.3785950965738595E-5</v>
      </c>
      <c r="X218">
        <v>0</v>
      </c>
      <c r="Y218">
        <v>0.81504766380111604</v>
      </c>
      <c r="Z218">
        <v>0</v>
      </c>
      <c r="AA218">
        <v>-1.49965254866014E-2</v>
      </c>
      <c r="AB218">
        <v>0.13692001759292299</v>
      </c>
      <c r="AC218">
        <v>0</v>
      </c>
      <c r="AD218">
        <v>-0.30493907654152702</v>
      </c>
      <c r="AE218">
        <v>7.3036222877721907E-2</v>
      </c>
      <c r="AF218">
        <v>0</v>
      </c>
      <c r="AG218" s="876">
        <v>44043</v>
      </c>
      <c r="AH218" s="871">
        <f t="shared" ref="AH218:AH241" si="7">DATE(YEAR(I218),MONTH(I218),1)</f>
        <v>44013</v>
      </c>
    </row>
    <row r="219" spans="1:34" hidden="1">
      <c r="A219">
        <v>2</v>
      </c>
      <c r="B219">
        <v>40</v>
      </c>
      <c r="C219" t="s">
        <v>183</v>
      </c>
      <c r="D219">
        <v>133</v>
      </c>
      <c r="E219">
        <v>11928356.92</v>
      </c>
      <c r="F219">
        <v>0</v>
      </c>
      <c r="G219" t="s">
        <v>177</v>
      </c>
      <c r="H219" t="s">
        <v>177</v>
      </c>
      <c r="I219" s="876">
        <v>44055</v>
      </c>
      <c r="J219">
        <v>2</v>
      </c>
      <c r="K219" t="s">
        <v>183</v>
      </c>
      <c r="L219">
        <v>40</v>
      </c>
      <c r="M219">
        <v>0.48686343611096899</v>
      </c>
      <c r="N219" t="s">
        <v>177</v>
      </c>
      <c r="O219">
        <v>0.41449513199999999</v>
      </c>
      <c r="P219">
        <v>9.8641432000000001E-2</v>
      </c>
      <c r="Q219">
        <v>-0.142573991965043</v>
      </c>
      <c r="R219">
        <v>0</v>
      </c>
      <c r="S219">
        <v>0</v>
      </c>
      <c r="T219">
        <v>0.39741026619432901</v>
      </c>
      <c r="U219">
        <v>0</v>
      </c>
      <c r="V219">
        <v>0.232522714799098</v>
      </c>
      <c r="W219">
        <v>-4.9555291741507903E-4</v>
      </c>
      <c r="X219">
        <v>0</v>
      </c>
      <c r="Y219" t="s">
        <v>177</v>
      </c>
      <c r="Z219" t="s">
        <v>177</v>
      </c>
      <c r="AA219" t="s">
        <v>177</v>
      </c>
      <c r="AB219" t="s">
        <v>177</v>
      </c>
      <c r="AC219" t="s">
        <v>177</v>
      </c>
      <c r="AD219" t="s">
        <v>177</v>
      </c>
      <c r="AE219" t="s">
        <v>177</v>
      </c>
      <c r="AF219" t="s">
        <v>177</v>
      </c>
      <c r="AG219" s="876">
        <v>44055</v>
      </c>
      <c r="AH219" s="871">
        <f t="shared" si="7"/>
        <v>44044</v>
      </c>
    </row>
    <row r="220" spans="1:34" hidden="1">
      <c r="A220">
        <v>3</v>
      </c>
      <c r="B220">
        <v>40</v>
      </c>
      <c r="C220" t="s">
        <v>183</v>
      </c>
      <c r="D220">
        <v>133</v>
      </c>
      <c r="E220">
        <v>17272465</v>
      </c>
      <c r="F220">
        <v>0</v>
      </c>
      <c r="G220" t="s">
        <v>177</v>
      </c>
      <c r="H220" t="s">
        <v>177</v>
      </c>
      <c r="I220" s="876">
        <v>44088</v>
      </c>
      <c r="J220">
        <v>3</v>
      </c>
      <c r="K220" t="s">
        <v>183</v>
      </c>
      <c r="L220">
        <v>40</v>
      </c>
      <c r="M220">
        <v>0.368343424526275</v>
      </c>
      <c r="N220" t="s">
        <v>177</v>
      </c>
      <c r="O220">
        <v>0.56132359399999998</v>
      </c>
      <c r="P220">
        <v>7.0332982000000002E-2</v>
      </c>
      <c r="Q220">
        <v>-1.58870694755767E-3</v>
      </c>
      <c r="R220">
        <v>0</v>
      </c>
      <c r="S220">
        <v>0</v>
      </c>
      <c r="T220">
        <v>0.43199779671962701</v>
      </c>
      <c r="U220">
        <v>0</v>
      </c>
      <c r="V220">
        <v>-6.2600191250851298E-2</v>
      </c>
      <c r="W220">
        <v>5.3452600505722798E-4</v>
      </c>
      <c r="X220">
        <v>0</v>
      </c>
      <c r="Y220" t="s">
        <v>177</v>
      </c>
      <c r="Z220" t="s">
        <v>177</v>
      </c>
      <c r="AA220" t="s">
        <v>177</v>
      </c>
      <c r="AB220" t="s">
        <v>177</v>
      </c>
      <c r="AC220" t="s">
        <v>177</v>
      </c>
      <c r="AD220" t="s">
        <v>177</v>
      </c>
      <c r="AE220" t="s">
        <v>177</v>
      </c>
      <c r="AF220" t="s">
        <v>177</v>
      </c>
      <c r="AG220" s="876">
        <v>44088</v>
      </c>
      <c r="AH220" s="871">
        <f t="shared" si="7"/>
        <v>44075</v>
      </c>
    </row>
    <row r="221" spans="1:34" hidden="1">
      <c r="A221">
        <v>4</v>
      </c>
      <c r="B221">
        <v>40</v>
      </c>
      <c r="C221" t="s">
        <v>183</v>
      </c>
      <c r="D221">
        <v>133</v>
      </c>
      <c r="E221">
        <v>0</v>
      </c>
      <c r="F221">
        <v>0</v>
      </c>
      <c r="G221" t="s">
        <v>177</v>
      </c>
      <c r="H221" t="s">
        <v>177</v>
      </c>
      <c r="I221" s="876">
        <v>44117</v>
      </c>
      <c r="J221">
        <v>4</v>
      </c>
      <c r="K221" t="s">
        <v>183</v>
      </c>
      <c r="L221">
        <v>40</v>
      </c>
      <c r="M221" t="s">
        <v>177</v>
      </c>
      <c r="N221" t="s">
        <v>177</v>
      </c>
      <c r="O221" t="s">
        <v>177</v>
      </c>
      <c r="P221" t="s">
        <v>177</v>
      </c>
      <c r="Q221" t="s">
        <v>177</v>
      </c>
      <c r="R221" t="s">
        <v>177</v>
      </c>
      <c r="S221" t="s">
        <v>177</v>
      </c>
      <c r="T221" t="s">
        <v>177</v>
      </c>
      <c r="U221" t="s">
        <v>177</v>
      </c>
      <c r="V221" t="s">
        <v>177</v>
      </c>
      <c r="W221" t="s">
        <v>177</v>
      </c>
      <c r="X221" t="s">
        <v>177</v>
      </c>
      <c r="Y221" t="s">
        <v>177</v>
      </c>
      <c r="Z221" t="s">
        <v>177</v>
      </c>
      <c r="AA221" t="s">
        <v>177</v>
      </c>
      <c r="AB221" t="s">
        <v>177</v>
      </c>
      <c r="AC221" t="s">
        <v>177</v>
      </c>
      <c r="AD221" t="s">
        <v>177</v>
      </c>
      <c r="AE221" t="s">
        <v>177</v>
      </c>
      <c r="AF221" t="s">
        <v>177</v>
      </c>
      <c r="AG221" s="876">
        <v>44117</v>
      </c>
      <c r="AH221" s="871">
        <f t="shared" si="7"/>
        <v>44105</v>
      </c>
    </row>
    <row r="222" spans="1:34" hidden="1">
      <c r="A222">
        <v>5</v>
      </c>
      <c r="B222">
        <v>40</v>
      </c>
      <c r="C222" t="s">
        <v>183</v>
      </c>
      <c r="D222">
        <v>133</v>
      </c>
      <c r="E222">
        <v>0</v>
      </c>
      <c r="F222">
        <v>0</v>
      </c>
      <c r="G222" t="s">
        <v>177</v>
      </c>
      <c r="H222" t="s">
        <v>177</v>
      </c>
      <c r="I222" s="876">
        <v>44147</v>
      </c>
      <c r="J222">
        <v>5</v>
      </c>
      <c r="K222" t="s">
        <v>183</v>
      </c>
      <c r="L222">
        <v>40</v>
      </c>
      <c r="M222" t="s">
        <v>177</v>
      </c>
      <c r="N222" t="s">
        <v>177</v>
      </c>
      <c r="O222" t="s">
        <v>177</v>
      </c>
      <c r="P222" t="s">
        <v>177</v>
      </c>
      <c r="Q222" t="s">
        <v>177</v>
      </c>
      <c r="R222" t="s">
        <v>177</v>
      </c>
      <c r="S222" t="s">
        <v>177</v>
      </c>
      <c r="T222" t="s">
        <v>177</v>
      </c>
      <c r="U222" t="s">
        <v>177</v>
      </c>
      <c r="V222" t="s">
        <v>177</v>
      </c>
      <c r="W222" t="s">
        <v>177</v>
      </c>
      <c r="X222" t="s">
        <v>177</v>
      </c>
      <c r="Y222" t="s">
        <v>177</v>
      </c>
      <c r="Z222" t="s">
        <v>177</v>
      </c>
      <c r="AA222" t="s">
        <v>177</v>
      </c>
      <c r="AB222" t="s">
        <v>177</v>
      </c>
      <c r="AC222" t="s">
        <v>177</v>
      </c>
      <c r="AD222" t="s">
        <v>177</v>
      </c>
      <c r="AE222" t="s">
        <v>177</v>
      </c>
      <c r="AF222" t="s">
        <v>177</v>
      </c>
      <c r="AG222" s="876">
        <v>44147</v>
      </c>
      <c r="AH222" s="871">
        <f t="shared" si="7"/>
        <v>44136</v>
      </c>
    </row>
    <row r="223" spans="1:34" hidden="1">
      <c r="A223">
        <v>6</v>
      </c>
      <c r="B223">
        <v>40</v>
      </c>
      <c r="C223" t="s">
        <v>183</v>
      </c>
      <c r="D223">
        <v>133</v>
      </c>
      <c r="E223">
        <v>0</v>
      </c>
      <c r="F223">
        <v>0</v>
      </c>
      <c r="G223" t="s">
        <v>177</v>
      </c>
      <c r="H223" t="s">
        <v>177</v>
      </c>
      <c r="I223" s="876">
        <v>44179</v>
      </c>
      <c r="J223">
        <v>6</v>
      </c>
      <c r="K223" t="s">
        <v>183</v>
      </c>
      <c r="L223">
        <v>40</v>
      </c>
      <c r="M223" t="s">
        <v>177</v>
      </c>
      <c r="N223" t="s">
        <v>177</v>
      </c>
      <c r="O223" t="s">
        <v>177</v>
      </c>
      <c r="P223" t="s">
        <v>177</v>
      </c>
      <c r="Q223" t="s">
        <v>177</v>
      </c>
      <c r="R223" t="s">
        <v>177</v>
      </c>
      <c r="S223" t="s">
        <v>177</v>
      </c>
      <c r="T223" t="s">
        <v>177</v>
      </c>
      <c r="U223" t="s">
        <v>177</v>
      </c>
      <c r="V223" t="s">
        <v>177</v>
      </c>
      <c r="W223" t="s">
        <v>177</v>
      </c>
      <c r="X223" t="s">
        <v>177</v>
      </c>
      <c r="Y223" t="s">
        <v>177</v>
      </c>
      <c r="Z223" t="s">
        <v>177</v>
      </c>
      <c r="AA223" t="s">
        <v>177</v>
      </c>
      <c r="AB223" t="s">
        <v>177</v>
      </c>
      <c r="AC223" t="s">
        <v>177</v>
      </c>
      <c r="AD223" t="s">
        <v>177</v>
      </c>
      <c r="AE223" t="s">
        <v>177</v>
      </c>
      <c r="AF223" t="s">
        <v>177</v>
      </c>
      <c r="AG223" s="876">
        <v>44179</v>
      </c>
      <c r="AH223" s="871">
        <f t="shared" si="7"/>
        <v>44166</v>
      </c>
    </row>
    <row r="224" spans="1:34" hidden="1">
      <c r="A224">
        <v>7</v>
      </c>
      <c r="B224">
        <v>40</v>
      </c>
      <c r="C224" t="s">
        <v>183</v>
      </c>
      <c r="D224">
        <v>133</v>
      </c>
      <c r="E224">
        <v>0</v>
      </c>
      <c r="F224">
        <v>0</v>
      </c>
      <c r="G224" t="s">
        <v>177</v>
      </c>
      <c r="H224" t="s">
        <v>177</v>
      </c>
      <c r="I224" s="876">
        <v>44193</v>
      </c>
      <c r="J224">
        <v>7</v>
      </c>
      <c r="K224" t="s">
        <v>183</v>
      </c>
      <c r="L224">
        <v>40</v>
      </c>
      <c r="M224" t="s">
        <v>177</v>
      </c>
      <c r="N224" t="s">
        <v>177</v>
      </c>
      <c r="O224" t="s">
        <v>177</v>
      </c>
      <c r="P224" t="s">
        <v>177</v>
      </c>
      <c r="Q224" t="s">
        <v>177</v>
      </c>
      <c r="R224" t="s">
        <v>177</v>
      </c>
      <c r="S224" t="s">
        <v>177</v>
      </c>
      <c r="T224" t="s">
        <v>177</v>
      </c>
      <c r="U224" t="s">
        <v>177</v>
      </c>
      <c r="V224" t="s">
        <v>177</v>
      </c>
      <c r="W224" t="s">
        <v>177</v>
      </c>
      <c r="X224" t="s">
        <v>177</v>
      </c>
      <c r="Y224" t="s">
        <v>177</v>
      </c>
      <c r="Z224" t="s">
        <v>177</v>
      </c>
      <c r="AA224" t="s">
        <v>177</v>
      </c>
      <c r="AB224" t="s">
        <v>177</v>
      </c>
      <c r="AC224" t="s">
        <v>177</v>
      </c>
      <c r="AD224" t="s">
        <v>177</v>
      </c>
      <c r="AE224" t="s">
        <v>177</v>
      </c>
      <c r="AF224" t="s">
        <v>177</v>
      </c>
      <c r="AG224" s="876">
        <v>44193</v>
      </c>
      <c r="AH224" s="871">
        <f t="shared" si="7"/>
        <v>44166</v>
      </c>
    </row>
    <row r="225" spans="1:34" hidden="1">
      <c r="A225">
        <v>8</v>
      </c>
      <c r="B225">
        <v>40</v>
      </c>
      <c r="C225" t="s">
        <v>183</v>
      </c>
      <c r="D225">
        <v>133</v>
      </c>
      <c r="E225">
        <v>0</v>
      </c>
      <c r="F225">
        <v>0</v>
      </c>
      <c r="G225" t="s">
        <v>177</v>
      </c>
      <c r="H225" t="s">
        <v>177</v>
      </c>
      <c r="I225" s="876">
        <v>44208</v>
      </c>
      <c r="J225">
        <v>8</v>
      </c>
      <c r="K225" t="s">
        <v>183</v>
      </c>
      <c r="L225">
        <v>40</v>
      </c>
      <c r="M225" t="s">
        <v>177</v>
      </c>
      <c r="N225" t="s">
        <v>177</v>
      </c>
      <c r="O225" t="s">
        <v>177</v>
      </c>
      <c r="P225" t="s">
        <v>177</v>
      </c>
      <c r="Q225" t="s">
        <v>177</v>
      </c>
      <c r="R225" t="s">
        <v>177</v>
      </c>
      <c r="S225" t="s">
        <v>177</v>
      </c>
      <c r="T225" t="s">
        <v>177</v>
      </c>
      <c r="U225" t="s">
        <v>177</v>
      </c>
      <c r="V225" t="s">
        <v>177</v>
      </c>
      <c r="W225" t="s">
        <v>177</v>
      </c>
      <c r="X225" t="s">
        <v>177</v>
      </c>
      <c r="Y225" t="s">
        <v>177</v>
      </c>
      <c r="Z225" t="s">
        <v>177</v>
      </c>
      <c r="AA225" t="s">
        <v>177</v>
      </c>
      <c r="AB225" t="s">
        <v>177</v>
      </c>
      <c r="AC225" t="s">
        <v>177</v>
      </c>
      <c r="AD225" t="s">
        <v>177</v>
      </c>
      <c r="AE225" t="s">
        <v>177</v>
      </c>
      <c r="AF225" t="s">
        <v>177</v>
      </c>
      <c r="AG225" s="876">
        <v>44208</v>
      </c>
      <c r="AH225" s="871">
        <f t="shared" si="7"/>
        <v>44197</v>
      </c>
    </row>
    <row r="226" spans="1:34" hidden="1">
      <c r="A226">
        <v>1</v>
      </c>
      <c r="B226">
        <v>63</v>
      </c>
      <c r="C226" t="s">
        <v>189</v>
      </c>
      <c r="D226">
        <v>136</v>
      </c>
      <c r="E226">
        <v>379994268.899737</v>
      </c>
      <c r="F226">
        <v>0</v>
      </c>
      <c r="G226">
        <v>153654661</v>
      </c>
      <c r="H226">
        <v>0</v>
      </c>
      <c r="I226" s="876">
        <v>44043</v>
      </c>
      <c r="J226">
        <v>1</v>
      </c>
      <c r="K226" t="s">
        <v>189</v>
      </c>
      <c r="L226">
        <v>63</v>
      </c>
      <c r="M226">
        <v>6.0174608108574598E-2</v>
      </c>
      <c r="N226">
        <v>0.71341286312734697</v>
      </c>
      <c r="O226">
        <v>0.16604797156919601</v>
      </c>
      <c r="P226">
        <v>6.0364557194882998E-2</v>
      </c>
      <c r="Q226">
        <v>-1.16794313913339E-2</v>
      </c>
      <c r="R226">
        <v>6.6817390224037002E-2</v>
      </c>
      <c r="S226">
        <v>0</v>
      </c>
      <c r="T226">
        <v>-3.89606626462703E-3</v>
      </c>
      <c r="U226">
        <v>9.0484041198767799E-4</v>
      </c>
      <c r="V226">
        <v>8.0597557626796799E-3</v>
      </c>
      <c r="W226">
        <v>-3.1880634168821799E-5</v>
      </c>
      <c r="X226">
        <v>0</v>
      </c>
      <c r="Y226">
        <v>0.182513037175253</v>
      </c>
      <c r="Z226">
        <v>0.66626313136207105</v>
      </c>
      <c r="AA226">
        <v>-9.87537267156368E-3</v>
      </c>
      <c r="AB226">
        <v>9.9876978283171602E-2</v>
      </c>
      <c r="AC226">
        <v>1.80130358747238E-2</v>
      </c>
      <c r="AD226">
        <v>-0.324125915845144</v>
      </c>
      <c r="AE226">
        <v>8.07479689488355E-2</v>
      </c>
      <c r="AF226">
        <v>0</v>
      </c>
      <c r="AG226" s="876">
        <v>44043</v>
      </c>
      <c r="AH226" s="871">
        <f t="shared" si="7"/>
        <v>44013</v>
      </c>
    </row>
    <row r="227" spans="1:34" hidden="1">
      <c r="A227">
        <v>2</v>
      </c>
      <c r="B227">
        <v>63</v>
      </c>
      <c r="C227" t="s">
        <v>189</v>
      </c>
      <c r="D227">
        <v>136</v>
      </c>
      <c r="E227">
        <v>135033530.408793</v>
      </c>
      <c r="F227">
        <v>0</v>
      </c>
      <c r="G227" t="s">
        <v>177</v>
      </c>
      <c r="H227" t="s">
        <v>177</v>
      </c>
      <c r="I227" s="876">
        <v>44055</v>
      </c>
      <c r="J227">
        <v>2</v>
      </c>
      <c r="K227" t="s">
        <v>189</v>
      </c>
      <c r="L227">
        <v>63</v>
      </c>
      <c r="M227">
        <v>0.377201872994542</v>
      </c>
      <c r="N227" t="s">
        <v>177</v>
      </c>
      <c r="O227">
        <v>0.40675791410000001</v>
      </c>
      <c r="P227">
        <v>0.2160402129</v>
      </c>
      <c r="Q227">
        <v>-0.38438669505198297</v>
      </c>
      <c r="R227">
        <v>0.44265613533952303</v>
      </c>
      <c r="S227">
        <v>-3.3709582511112899E-12</v>
      </c>
      <c r="T227">
        <v>0.30059569728504798</v>
      </c>
      <c r="U227">
        <v>2.3174512119499599E-2</v>
      </c>
      <c r="V227">
        <v>-4.5690847365506097E-3</v>
      </c>
      <c r="W227">
        <v>-2.68691957623098E-4</v>
      </c>
      <c r="X227">
        <v>0</v>
      </c>
      <c r="Y227" t="s">
        <v>177</v>
      </c>
      <c r="Z227" t="s">
        <v>177</v>
      </c>
      <c r="AA227" t="s">
        <v>177</v>
      </c>
      <c r="AB227" t="s">
        <v>177</v>
      </c>
      <c r="AC227" t="s">
        <v>177</v>
      </c>
      <c r="AD227" t="s">
        <v>177</v>
      </c>
      <c r="AE227" t="s">
        <v>177</v>
      </c>
      <c r="AF227" t="s">
        <v>177</v>
      </c>
      <c r="AG227" s="876">
        <v>44055</v>
      </c>
      <c r="AH227" s="871">
        <f t="shared" si="7"/>
        <v>44044</v>
      </c>
    </row>
    <row r="228" spans="1:34" hidden="1">
      <c r="A228">
        <v>3</v>
      </c>
      <c r="B228">
        <v>63</v>
      </c>
      <c r="C228" t="s">
        <v>189</v>
      </c>
      <c r="D228">
        <v>136</v>
      </c>
      <c r="E228">
        <v>115192320.08158199</v>
      </c>
      <c r="F228">
        <v>0</v>
      </c>
      <c r="G228" t="s">
        <v>177</v>
      </c>
      <c r="H228" t="s">
        <v>177</v>
      </c>
      <c r="I228" s="876">
        <v>44088</v>
      </c>
      <c r="J228">
        <v>3</v>
      </c>
      <c r="K228" t="s">
        <v>189</v>
      </c>
      <c r="L228">
        <v>63</v>
      </c>
      <c r="M228">
        <v>0.52550710484585506</v>
      </c>
      <c r="N228" t="s">
        <v>177</v>
      </c>
      <c r="O228">
        <v>0.41697505200000001</v>
      </c>
      <c r="P228">
        <v>5.7517843200000002E-2</v>
      </c>
      <c r="Q228">
        <v>-0.346138315015531</v>
      </c>
      <c r="R228">
        <v>0.64389630106996498</v>
      </c>
      <c r="S228">
        <v>-2.6700968577534199E-12</v>
      </c>
      <c r="T228">
        <v>0.255787297831926</v>
      </c>
      <c r="U228">
        <v>3.65030553768253E-2</v>
      </c>
      <c r="V228">
        <v>-6.4335853280535205E-2</v>
      </c>
      <c r="W228">
        <v>-2.0538113412571301E-4</v>
      </c>
      <c r="X228">
        <v>0</v>
      </c>
      <c r="Y228" t="s">
        <v>177</v>
      </c>
      <c r="Z228" t="s">
        <v>177</v>
      </c>
      <c r="AA228" t="s">
        <v>177</v>
      </c>
      <c r="AB228" t="s">
        <v>177</v>
      </c>
      <c r="AC228" t="s">
        <v>177</v>
      </c>
      <c r="AD228" t="s">
        <v>177</v>
      </c>
      <c r="AE228" t="s">
        <v>177</v>
      </c>
      <c r="AF228" t="s">
        <v>177</v>
      </c>
      <c r="AG228" s="876">
        <v>44088</v>
      </c>
      <c r="AH228" s="871">
        <f t="shared" si="7"/>
        <v>44075</v>
      </c>
    </row>
    <row r="229" spans="1:34" hidden="1">
      <c r="A229">
        <v>4</v>
      </c>
      <c r="B229">
        <v>63</v>
      </c>
      <c r="C229" t="s">
        <v>189</v>
      </c>
      <c r="D229">
        <v>136</v>
      </c>
      <c r="E229">
        <v>46301450.609888501</v>
      </c>
      <c r="F229">
        <v>0</v>
      </c>
      <c r="G229" t="s">
        <v>177</v>
      </c>
      <c r="H229" t="s">
        <v>177</v>
      </c>
      <c r="I229" s="876">
        <v>44117</v>
      </c>
      <c r="J229">
        <v>4</v>
      </c>
      <c r="K229" t="s">
        <v>189</v>
      </c>
      <c r="L229">
        <v>63</v>
      </c>
      <c r="M229">
        <v>0.90256892397493704</v>
      </c>
      <c r="N229">
        <v>0</v>
      </c>
      <c r="O229">
        <v>9.7431076025063595E-2</v>
      </c>
      <c r="P229">
        <v>0</v>
      </c>
      <c r="Q229">
        <v>-0.54684108951366495</v>
      </c>
      <c r="R229">
        <v>0.96936227401016495</v>
      </c>
      <c r="S229">
        <v>4.5908469562243202E-5</v>
      </c>
      <c r="T229">
        <v>0.48502741368444702</v>
      </c>
      <c r="U229">
        <v>5.1328244898820097E-2</v>
      </c>
      <c r="V229">
        <v>-5.6645323804827702E-2</v>
      </c>
      <c r="W229">
        <v>2.9149623043509302E-4</v>
      </c>
      <c r="X229">
        <v>0</v>
      </c>
      <c r="Y229" t="s">
        <v>177</v>
      </c>
      <c r="Z229" t="s">
        <v>177</v>
      </c>
      <c r="AA229" t="s">
        <v>177</v>
      </c>
      <c r="AB229" t="s">
        <v>177</v>
      </c>
      <c r="AC229" t="s">
        <v>177</v>
      </c>
      <c r="AD229" t="s">
        <v>177</v>
      </c>
      <c r="AE229" t="s">
        <v>177</v>
      </c>
      <c r="AF229" t="s">
        <v>177</v>
      </c>
      <c r="AG229" s="876">
        <v>44117</v>
      </c>
      <c r="AH229" s="871">
        <f t="shared" si="7"/>
        <v>44105</v>
      </c>
    </row>
    <row r="230" spans="1:34" hidden="1">
      <c r="A230">
        <v>5</v>
      </c>
      <c r="B230">
        <v>63</v>
      </c>
      <c r="C230" t="s">
        <v>189</v>
      </c>
      <c r="D230">
        <v>136</v>
      </c>
      <c r="E230">
        <v>0</v>
      </c>
      <c r="F230">
        <v>0</v>
      </c>
      <c r="G230" t="s">
        <v>177</v>
      </c>
      <c r="H230" t="s">
        <v>177</v>
      </c>
      <c r="I230" s="876">
        <v>44147</v>
      </c>
      <c r="J230">
        <v>5</v>
      </c>
      <c r="K230" t="s">
        <v>189</v>
      </c>
      <c r="L230">
        <v>63</v>
      </c>
      <c r="M230" t="s">
        <v>177</v>
      </c>
      <c r="N230" t="s">
        <v>177</v>
      </c>
      <c r="O230" t="s">
        <v>177</v>
      </c>
      <c r="P230" t="s">
        <v>177</v>
      </c>
      <c r="Q230" t="s">
        <v>177</v>
      </c>
      <c r="R230" t="s">
        <v>177</v>
      </c>
      <c r="S230" t="s">
        <v>177</v>
      </c>
      <c r="T230" t="s">
        <v>177</v>
      </c>
      <c r="U230" t="s">
        <v>177</v>
      </c>
      <c r="V230" t="s">
        <v>177</v>
      </c>
      <c r="W230" t="s">
        <v>177</v>
      </c>
      <c r="X230" t="s">
        <v>177</v>
      </c>
      <c r="Y230" t="s">
        <v>177</v>
      </c>
      <c r="Z230" t="s">
        <v>177</v>
      </c>
      <c r="AA230" t="s">
        <v>177</v>
      </c>
      <c r="AB230" t="s">
        <v>177</v>
      </c>
      <c r="AC230" t="s">
        <v>177</v>
      </c>
      <c r="AD230" t="s">
        <v>177</v>
      </c>
      <c r="AE230" t="s">
        <v>177</v>
      </c>
      <c r="AF230" t="s">
        <v>177</v>
      </c>
      <c r="AG230" s="876">
        <v>44147</v>
      </c>
      <c r="AH230" s="871">
        <f t="shared" si="7"/>
        <v>44136</v>
      </c>
    </row>
    <row r="231" spans="1:34" hidden="1">
      <c r="A231">
        <v>6</v>
      </c>
      <c r="B231">
        <v>63</v>
      </c>
      <c r="C231" t="s">
        <v>189</v>
      </c>
      <c r="D231">
        <v>136</v>
      </c>
      <c r="E231">
        <v>0</v>
      </c>
      <c r="F231">
        <v>0</v>
      </c>
      <c r="G231" t="s">
        <v>177</v>
      </c>
      <c r="H231" t="s">
        <v>177</v>
      </c>
      <c r="I231" s="876">
        <v>44179</v>
      </c>
      <c r="J231">
        <v>6</v>
      </c>
      <c r="K231" t="s">
        <v>189</v>
      </c>
      <c r="L231">
        <v>63</v>
      </c>
      <c r="M231" t="s">
        <v>177</v>
      </c>
      <c r="N231" t="s">
        <v>177</v>
      </c>
      <c r="O231" t="s">
        <v>177</v>
      </c>
      <c r="P231" t="s">
        <v>177</v>
      </c>
      <c r="Q231" t="s">
        <v>177</v>
      </c>
      <c r="R231" t="s">
        <v>177</v>
      </c>
      <c r="S231" t="s">
        <v>177</v>
      </c>
      <c r="T231" t="s">
        <v>177</v>
      </c>
      <c r="U231" t="s">
        <v>177</v>
      </c>
      <c r="V231" t="s">
        <v>177</v>
      </c>
      <c r="W231" t="s">
        <v>177</v>
      </c>
      <c r="X231" t="s">
        <v>177</v>
      </c>
      <c r="Y231" t="s">
        <v>177</v>
      </c>
      <c r="Z231" t="s">
        <v>177</v>
      </c>
      <c r="AA231" t="s">
        <v>177</v>
      </c>
      <c r="AB231" t="s">
        <v>177</v>
      </c>
      <c r="AC231" t="s">
        <v>177</v>
      </c>
      <c r="AD231" t="s">
        <v>177</v>
      </c>
      <c r="AE231" t="s">
        <v>177</v>
      </c>
      <c r="AF231" t="s">
        <v>177</v>
      </c>
      <c r="AG231" s="876">
        <v>44179</v>
      </c>
      <c r="AH231" s="871">
        <f t="shared" si="7"/>
        <v>44166</v>
      </c>
    </row>
    <row r="232" spans="1:34" hidden="1">
      <c r="A232">
        <v>7</v>
      </c>
      <c r="B232">
        <v>63</v>
      </c>
      <c r="C232" t="s">
        <v>189</v>
      </c>
      <c r="D232">
        <v>136</v>
      </c>
      <c r="E232">
        <v>0</v>
      </c>
      <c r="F232">
        <v>0</v>
      </c>
      <c r="G232" t="s">
        <v>177</v>
      </c>
      <c r="H232" t="s">
        <v>177</v>
      </c>
      <c r="I232" s="876">
        <v>44193</v>
      </c>
      <c r="J232">
        <v>7</v>
      </c>
      <c r="K232" t="s">
        <v>189</v>
      </c>
      <c r="L232">
        <v>63</v>
      </c>
      <c r="M232" t="s">
        <v>177</v>
      </c>
      <c r="N232" t="s">
        <v>177</v>
      </c>
      <c r="O232" t="s">
        <v>177</v>
      </c>
      <c r="P232" t="s">
        <v>177</v>
      </c>
      <c r="Q232" t="s">
        <v>177</v>
      </c>
      <c r="R232" t="s">
        <v>177</v>
      </c>
      <c r="S232" t="s">
        <v>177</v>
      </c>
      <c r="T232" t="s">
        <v>177</v>
      </c>
      <c r="U232" t="s">
        <v>177</v>
      </c>
      <c r="V232" t="s">
        <v>177</v>
      </c>
      <c r="W232" t="s">
        <v>177</v>
      </c>
      <c r="X232" t="s">
        <v>177</v>
      </c>
      <c r="Y232" t="s">
        <v>177</v>
      </c>
      <c r="Z232" t="s">
        <v>177</v>
      </c>
      <c r="AA232" t="s">
        <v>177</v>
      </c>
      <c r="AB232" t="s">
        <v>177</v>
      </c>
      <c r="AC232" t="s">
        <v>177</v>
      </c>
      <c r="AD232" t="s">
        <v>177</v>
      </c>
      <c r="AE232" t="s">
        <v>177</v>
      </c>
      <c r="AF232" t="s">
        <v>177</v>
      </c>
      <c r="AG232" s="876">
        <v>44193</v>
      </c>
      <c r="AH232" s="871">
        <f t="shared" si="7"/>
        <v>44166</v>
      </c>
    </row>
    <row r="233" spans="1:34" hidden="1">
      <c r="A233">
        <v>8</v>
      </c>
      <c r="B233">
        <v>63</v>
      </c>
      <c r="C233" t="s">
        <v>189</v>
      </c>
      <c r="D233">
        <v>136</v>
      </c>
      <c r="E233">
        <v>0</v>
      </c>
      <c r="F233">
        <v>0</v>
      </c>
      <c r="G233" t="s">
        <v>177</v>
      </c>
      <c r="H233" t="s">
        <v>177</v>
      </c>
      <c r="I233" s="876">
        <v>44208</v>
      </c>
      <c r="J233">
        <v>8</v>
      </c>
      <c r="K233" t="s">
        <v>189</v>
      </c>
      <c r="L233">
        <v>63</v>
      </c>
      <c r="M233" t="s">
        <v>177</v>
      </c>
      <c r="N233" t="s">
        <v>177</v>
      </c>
      <c r="O233" t="s">
        <v>177</v>
      </c>
      <c r="P233" t="s">
        <v>177</v>
      </c>
      <c r="Q233" t="s">
        <v>177</v>
      </c>
      <c r="R233" t="s">
        <v>177</v>
      </c>
      <c r="S233" t="s">
        <v>177</v>
      </c>
      <c r="T233" t="s">
        <v>177</v>
      </c>
      <c r="U233" t="s">
        <v>177</v>
      </c>
      <c r="V233" t="s">
        <v>177</v>
      </c>
      <c r="W233" t="s">
        <v>177</v>
      </c>
      <c r="X233" t="s">
        <v>177</v>
      </c>
      <c r="Y233" t="s">
        <v>177</v>
      </c>
      <c r="Z233" t="s">
        <v>177</v>
      </c>
      <c r="AA233" t="s">
        <v>177</v>
      </c>
      <c r="AB233" t="s">
        <v>177</v>
      </c>
      <c r="AC233" t="s">
        <v>177</v>
      </c>
      <c r="AD233" t="s">
        <v>177</v>
      </c>
      <c r="AE233" t="s">
        <v>177</v>
      </c>
      <c r="AF233" t="s">
        <v>177</v>
      </c>
      <c r="AG233" s="876">
        <v>44208</v>
      </c>
      <c r="AH233" s="871">
        <f t="shared" si="7"/>
        <v>44197</v>
      </c>
    </row>
    <row r="234" spans="1:34" hidden="1">
      <c r="A234">
        <v>1</v>
      </c>
      <c r="B234">
        <v>2937</v>
      </c>
      <c r="C234" t="s">
        <v>217</v>
      </c>
      <c r="D234">
        <v>135</v>
      </c>
      <c r="E234">
        <v>249063804</v>
      </c>
      <c r="F234">
        <v>0</v>
      </c>
      <c r="G234">
        <v>0</v>
      </c>
      <c r="H234">
        <v>0</v>
      </c>
      <c r="I234" s="876">
        <v>44043</v>
      </c>
      <c r="J234">
        <v>1</v>
      </c>
      <c r="K234" t="s">
        <v>217</v>
      </c>
      <c r="L234">
        <v>2937</v>
      </c>
      <c r="M234">
        <v>0.111038546986861</v>
      </c>
      <c r="N234">
        <v>0.56202995291445101</v>
      </c>
      <c r="O234">
        <v>0.26955530546946399</v>
      </c>
      <c r="P234">
        <v>5.7376194629224497E-2</v>
      </c>
      <c r="Q234">
        <v>8.6045281196241996E-3</v>
      </c>
      <c r="R234">
        <v>8.1733420530101505E-2</v>
      </c>
      <c r="S234">
        <v>-4.32602884331255E-3</v>
      </c>
      <c r="T234">
        <v>-4.0251573479146603E-3</v>
      </c>
      <c r="U234">
        <v>1.0327131436710199E-3</v>
      </c>
      <c r="V234">
        <v>8.7427789062014104E-3</v>
      </c>
      <c r="W234">
        <v>1.92762924784897E-2</v>
      </c>
      <c r="X234">
        <v>0</v>
      </c>
      <c r="Y234">
        <v>2.45879051941822E-3</v>
      </c>
      <c r="Z234">
        <v>0.77866336064963604</v>
      </c>
      <c r="AA234">
        <v>-5.1908306162785599E-3</v>
      </c>
      <c r="AB234">
        <v>4.8389309187355602E-2</v>
      </c>
      <c r="AC234">
        <v>1.6885253044752399E-2</v>
      </c>
      <c r="AD234">
        <v>-0.31041008627133598</v>
      </c>
      <c r="AE234">
        <v>3.12341564009035E-2</v>
      </c>
      <c r="AF234">
        <v>0</v>
      </c>
      <c r="AG234" s="876">
        <v>44043</v>
      </c>
      <c r="AH234" s="871">
        <f t="shared" si="7"/>
        <v>44013</v>
      </c>
    </row>
    <row r="235" spans="1:34" hidden="1">
      <c r="A235">
        <v>2</v>
      </c>
      <c r="B235">
        <v>2937</v>
      </c>
      <c r="C235" t="s">
        <v>217</v>
      </c>
      <c r="D235">
        <v>135</v>
      </c>
      <c r="E235">
        <v>0</v>
      </c>
      <c r="F235">
        <v>0</v>
      </c>
      <c r="G235" t="s">
        <v>177</v>
      </c>
      <c r="H235" t="s">
        <v>177</v>
      </c>
      <c r="I235" s="876">
        <v>44055</v>
      </c>
      <c r="J235">
        <v>2</v>
      </c>
      <c r="K235" t="s">
        <v>217</v>
      </c>
      <c r="L235">
        <v>2937</v>
      </c>
      <c r="M235">
        <v>0</v>
      </c>
      <c r="N235" t="s">
        <v>177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177</v>
      </c>
      <c r="Z235" t="s">
        <v>177</v>
      </c>
      <c r="AA235" t="s">
        <v>177</v>
      </c>
      <c r="AB235" t="s">
        <v>177</v>
      </c>
      <c r="AC235" t="s">
        <v>177</v>
      </c>
      <c r="AD235" t="s">
        <v>177</v>
      </c>
      <c r="AE235" t="s">
        <v>177</v>
      </c>
      <c r="AF235" t="s">
        <v>177</v>
      </c>
      <c r="AG235" s="876">
        <v>44055</v>
      </c>
      <c r="AH235" s="871">
        <f t="shared" si="7"/>
        <v>44044</v>
      </c>
    </row>
    <row r="236" spans="1:34" hidden="1">
      <c r="A236">
        <v>3</v>
      </c>
      <c r="B236">
        <v>2937</v>
      </c>
      <c r="C236" t="s">
        <v>217</v>
      </c>
      <c r="D236">
        <v>135</v>
      </c>
      <c r="E236">
        <v>0</v>
      </c>
      <c r="F236">
        <v>0</v>
      </c>
      <c r="G236" t="s">
        <v>177</v>
      </c>
      <c r="H236" t="s">
        <v>177</v>
      </c>
      <c r="I236" s="876">
        <v>44088</v>
      </c>
      <c r="J236">
        <v>3</v>
      </c>
      <c r="K236" t="s">
        <v>217</v>
      </c>
      <c r="L236">
        <v>2937</v>
      </c>
      <c r="M236">
        <v>0</v>
      </c>
      <c r="N236" t="s">
        <v>177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177</v>
      </c>
      <c r="Z236" t="s">
        <v>177</v>
      </c>
      <c r="AA236" t="s">
        <v>177</v>
      </c>
      <c r="AB236" t="s">
        <v>177</v>
      </c>
      <c r="AC236" t="s">
        <v>177</v>
      </c>
      <c r="AD236" t="s">
        <v>177</v>
      </c>
      <c r="AE236" t="s">
        <v>177</v>
      </c>
      <c r="AF236" t="s">
        <v>177</v>
      </c>
      <c r="AG236" s="876">
        <v>44088</v>
      </c>
      <c r="AH236" s="871">
        <f t="shared" si="7"/>
        <v>44075</v>
      </c>
    </row>
    <row r="237" spans="1:34" hidden="1">
      <c r="A237">
        <v>4</v>
      </c>
      <c r="B237">
        <v>2937</v>
      </c>
      <c r="C237" t="s">
        <v>217</v>
      </c>
      <c r="D237">
        <v>135</v>
      </c>
      <c r="E237">
        <v>0</v>
      </c>
      <c r="F237">
        <v>0</v>
      </c>
      <c r="G237" t="s">
        <v>177</v>
      </c>
      <c r="H237" t="s">
        <v>177</v>
      </c>
      <c r="I237" s="876">
        <v>44117</v>
      </c>
      <c r="J237">
        <v>4</v>
      </c>
      <c r="K237" t="s">
        <v>217</v>
      </c>
      <c r="L237">
        <v>2937</v>
      </c>
      <c r="M237" t="s">
        <v>177</v>
      </c>
      <c r="N237" t="s">
        <v>177</v>
      </c>
      <c r="O237" t="s">
        <v>177</v>
      </c>
      <c r="P237" t="s">
        <v>177</v>
      </c>
      <c r="Q237" t="s">
        <v>177</v>
      </c>
      <c r="R237" t="s">
        <v>177</v>
      </c>
      <c r="S237" t="s">
        <v>177</v>
      </c>
      <c r="T237" t="s">
        <v>177</v>
      </c>
      <c r="U237" t="s">
        <v>177</v>
      </c>
      <c r="V237" t="s">
        <v>177</v>
      </c>
      <c r="W237" t="s">
        <v>177</v>
      </c>
      <c r="X237" t="s">
        <v>177</v>
      </c>
      <c r="Y237" t="s">
        <v>177</v>
      </c>
      <c r="Z237" t="s">
        <v>177</v>
      </c>
      <c r="AA237" t="s">
        <v>177</v>
      </c>
      <c r="AB237" t="s">
        <v>177</v>
      </c>
      <c r="AC237" t="s">
        <v>177</v>
      </c>
      <c r="AD237" t="s">
        <v>177</v>
      </c>
      <c r="AE237" t="s">
        <v>177</v>
      </c>
      <c r="AF237" t="s">
        <v>177</v>
      </c>
      <c r="AG237" s="876">
        <v>44117</v>
      </c>
      <c r="AH237" s="871">
        <f t="shared" si="7"/>
        <v>44105</v>
      </c>
    </row>
    <row r="238" spans="1:34" hidden="1">
      <c r="A238">
        <v>5</v>
      </c>
      <c r="B238">
        <v>2937</v>
      </c>
      <c r="C238" t="s">
        <v>217</v>
      </c>
      <c r="D238">
        <v>135</v>
      </c>
      <c r="E238">
        <v>0</v>
      </c>
      <c r="F238">
        <v>0</v>
      </c>
      <c r="G238" t="s">
        <v>177</v>
      </c>
      <c r="H238" t="s">
        <v>177</v>
      </c>
      <c r="I238" s="876">
        <v>44147</v>
      </c>
      <c r="J238">
        <v>5</v>
      </c>
      <c r="K238" t="s">
        <v>217</v>
      </c>
      <c r="L238">
        <v>2937</v>
      </c>
      <c r="M238" t="s">
        <v>177</v>
      </c>
      <c r="N238" t="s">
        <v>177</v>
      </c>
      <c r="O238" t="s">
        <v>177</v>
      </c>
      <c r="P238" t="s">
        <v>177</v>
      </c>
      <c r="Q238" t="s">
        <v>177</v>
      </c>
      <c r="R238" t="s">
        <v>177</v>
      </c>
      <c r="S238" t="s">
        <v>177</v>
      </c>
      <c r="T238" t="s">
        <v>177</v>
      </c>
      <c r="U238" t="s">
        <v>177</v>
      </c>
      <c r="V238" t="s">
        <v>177</v>
      </c>
      <c r="W238" t="s">
        <v>177</v>
      </c>
      <c r="X238" t="s">
        <v>177</v>
      </c>
      <c r="Y238" t="s">
        <v>177</v>
      </c>
      <c r="Z238" t="s">
        <v>177</v>
      </c>
      <c r="AA238" t="s">
        <v>177</v>
      </c>
      <c r="AB238" t="s">
        <v>177</v>
      </c>
      <c r="AC238" t="s">
        <v>177</v>
      </c>
      <c r="AD238" t="s">
        <v>177</v>
      </c>
      <c r="AE238" t="s">
        <v>177</v>
      </c>
      <c r="AF238" t="s">
        <v>177</v>
      </c>
      <c r="AG238" s="876">
        <v>44147</v>
      </c>
      <c r="AH238" s="871">
        <f t="shared" si="7"/>
        <v>44136</v>
      </c>
    </row>
    <row r="239" spans="1:34" hidden="1">
      <c r="A239">
        <v>6</v>
      </c>
      <c r="B239">
        <v>2937</v>
      </c>
      <c r="C239" t="s">
        <v>217</v>
      </c>
      <c r="D239">
        <v>135</v>
      </c>
      <c r="E239">
        <v>0</v>
      </c>
      <c r="F239">
        <v>0</v>
      </c>
      <c r="G239" t="s">
        <v>177</v>
      </c>
      <c r="H239" t="s">
        <v>177</v>
      </c>
      <c r="I239" s="876">
        <v>44179</v>
      </c>
      <c r="J239">
        <v>6</v>
      </c>
      <c r="K239" t="s">
        <v>217</v>
      </c>
      <c r="L239">
        <v>2937</v>
      </c>
      <c r="M239" t="s">
        <v>177</v>
      </c>
      <c r="N239" t="s">
        <v>177</v>
      </c>
      <c r="O239" t="s">
        <v>177</v>
      </c>
      <c r="P239" t="s">
        <v>177</v>
      </c>
      <c r="Q239" t="s">
        <v>177</v>
      </c>
      <c r="R239" t="s">
        <v>177</v>
      </c>
      <c r="S239" t="s">
        <v>177</v>
      </c>
      <c r="T239" t="s">
        <v>177</v>
      </c>
      <c r="U239" t="s">
        <v>177</v>
      </c>
      <c r="V239" t="s">
        <v>177</v>
      </c>
      <c r="W239" t="s">
        <v>177</v>
      </c>
      <c r="X239" t="s">
        <v>177</v>
      </c>
      <c r="Y239" t="s">
        <v>177</v>
      </c>
      <c r="Z239" t="s">
        <v>177</v>
      </c>
      <c r="AA239" t="s">
        <v>177</v>
      </c>
      <c r="AB239" t="s">
        <v>177</v>
      </c>
      <c r="AC239" t="s">
        <v>177</v>
      </c>
      <c r="AD239" t="s">
        <v>177</v>
      </c>
      <c r="AE239" t="s">
        <v>177</v>
      </c>
      <c r="AF239" t="s">
        <v>177</v>
      </c>
      <c r="AG239" s="876">
        <v>44179</v>
      </c>
      <c r="AH239" s="871">
        <f t="shared" si="7"/>
        <v>44166</v>
      </c>
    </row>
    <row r="240" spans="1:34" hidden="1">
      <c r="A240">
        <v>7</v>
      </c>
      <c r="B240">
        <v>2937</v>
      </c>
      <c r="C240" t="s">
        <v>217</v>
      </c>
      <c r="D240">
        <v>135</v>
      </c>
      <c r="E240">
        <v>0</v>
      </c>
      <c r="F240">
        <v>0</v>
      </c>
      <c r="G240" t="s">
        <v>177</v>
      </c>
      <c r="H240" t="s">
        <v>177</v>
      </c>
      <c r="I240" s="876">
        <v>44193</v>
      </c>
      <c r="J240">
        <v>7</v>
      </c>
      <c r="K240" t="s">
        <v>217</v>
      </c>
      <c r="L240">
        <v>2937</v>
      </c>
      <c r="M240" t="s">
        <v>177</v>
      </c>
      <c r="N240" t="s">
        <v>177</v>
      </c>
      <c r="O240" t="s">
        <v>177</v>
      </c>
      <c r="P240" t="s">
        <v>177</v>
      </c>
      <c r="Q240" t="s">
        <v>177</v>
      </c>
      <c r="R240" t="s">
        <v>177</v>
      </c>
      <c r="S240" t="s">
        <v>177</v>
      </c>
      <c r="T240" t="s">
        <v>177</v>
      </c>
      <c r="U240" t="s">
        <v>177</v>
      </c>
      <c r="V240" t="s">
        <v>177</v>
      </c>
      <c r="W240" t="s">
        <v>177</v>
      </c>
      <c r="X240" t="s">
        <v>177</v>
      </c>
      <c r="Y240" t="s">
        <v>177</v>
      </c>
      <c r="Z240" t="s">
        <v>177</v>
      </c>
      <c r="AA240" t="s">
        <v>177</v>
      </c>
      <c r="AB240" t="s">
        <v>177</v>
      </c>
      <c r="AC240" t="s">
        <v>177</v>
      </c>
      <c r="AD240" t="s">
        <v>177</v>
      </c>
      <c r="AE240" t="s">
        <v>177</v>
      </c>
      <c r="AF240" t="s">
        <v>177</v>
      </c>
      <c r="AG240" s="876">
        <v>44193</v>
      </c>
      <c r="AH240" s="871">
        <f t="shared" si="7"/>
        <v>44166</v>
      </c>
    </row>
    <row r="241" spans="1:34" hidden="1">
      <c r="A241">
        <v>8</v>
      </c>
      <c r="B241">
        <v>2937</v>
      </c>
      <c r="C241" t="s">
        <v>217</v>
      </c>
      <c r="D241">
        <v>135</v>
      </c>
      <c r="E241">
        <v>0</v>
      </c>
      <c r="F241">
        <v>0</v>
      </c>
      <c r="G241" t="s">
        <v>177</v>
      </c>
      <c r="H241" t="s">
        <v>177</v>
      </c>
      <c r="I241" s="876">
        <v>44208</v>
      </c>
      <c r="J241">
        <v>8</v>
      </c>
      <c r="K241" t="s">
        <v>217</v>
      </c>
      <c r="L241">
        <v>2937</v>
      </c>
      <c r="M241" t="s">
        <v>177</v>
      </c>
      <c r="N241" t="s">
        <v>177</v>
      </c>
      <c r="O241" t="s">
        <v>177</v>
      </c>
      <c r="P241" t="s">
        <v>177</v>
      </c>
      <c r="Q241" t="s">
        <v>177</v>
      </c>
      <c r="R241" t="s">
        <v>177</v>
      </c>
      <c r="S241" t="s">
        <v>177</v>
      </c>
      <c r="T241" t="s">
        <v>177</v>
      </c>
      <c r="U241" t="s">
        <v>177</v>
      </c>
      <c r="V241" t="s">
        <v>177</v>
      </c>
      <c r="W241" t="s">
        <v>177</v>
      </c>
      <c r="X241" t="s">
        <v>177</v>
      </c>
      <c r="Y241" t="s">
        <v>177</v>
      </c>
      <c r="Z241" t="s">
        <v>177</v>
      </c>
      <c r="AA241" t="s">
        <v>177</v>
      </c>
      <c r="AB241" t="s">
        <v>177</v>
      </c>
      <c r="AC241" t="s">
        <v>177</v>
      </c>
      <c r="AD241" t="s">
        <v>177</v>
      </c>
      <c r="AE241" t="s">
        <v>177</v>
      </c>
      <c r="AF241" t="s">
        <v>177</v>
      </c>
      <c r="AG241" s="876">
        <v>44208</v>
      </c>
      <c r="AH241" s="871">
        <f t="shared" si="7"/>
        <v>44197</v>
      </c>
    </row>
    <row r="242" spans="1:34" hidden="1">
      <c r="A242">
        <v>1</v>
      </c>
      <c r="B242">
        <v>1000041</v>
      </c>
      <c r="C242" t="s">
        <v>242</v>
      </c>
      <c r="D242">
        <v>166</v>
      </c>
      <c r="E242">
        <v>35249144.286588296</v>
      </c>
      <c r="F242">
        <v>0</v>
      </c>
      <c r="G242">
        <v>0</v>
      </c>
      <c r="H242">
        <v>0</v>
      </c>
      <c r="I242" s="876">
        <v>44043</v>
      </c>
      <c r="J242">
        <v>1</v>
      </c>
      <c r="K242" t="s">
        <v>243</v>
      </c>
      <c r="L242">
        <v>1000041</v>
      </c>
      <c r="M242">
        <v>0.101899395330646</v>
      </c>
      <c r="N242">
        <v>0.82492664823351802</v>
      </c>
      <c r="O242">
        <v>1.7355063471914799E-2</v>
      </c>
      <c r="P242">
        <v>5.5818892963921597E-2</v>
      </c>
      <c r="Q242">
        <v>-2.2662159106409002E-3</v>
      </c>
      <c r="R242">
        <v>9.3922152861703495E-2</v>
      </c>
      <c r="S242">
        <v>0</v>
      </c>
      <c r="T242">
        <v>-2.30222883320575E-4</v>
      </c>
      <c r="U242">
        <v>1.05180391688056E-3</v>
      </c>
      <c r="V242">
        <v>9.6076112930103506E-3</v>
      </c>
      <c r="W242">
        <v>-1.8573394698685901E-4</v>
      </c>
      <c r="X242">
        <v>0</v>
      </c>
      <c r="Y242">
        <v>-6.9809447106852204E-2</v>
      </c>
      <c r="Z242">
        <v>0.94643762471911297</v>
      </c>
      <c r="AA242">
        <v>-6.4497023381543403E-3</v>
      </c>
      <c r="AB242">
        <v>0.22784198505762099</v>
      </c>
      <c r="AC242">
        <v>2.02979884172407E-2</v>
      </c>
      <c r="AD242">
        <v>-0.34477089908986602</v>
      </c>
      <c r="AE242">
        <v>5.13790985744145E-2</v>
      </c>
      <c r="AF242">
        <v>0</v>
      </c>
      <c r="AG242" s="876">
        <v>44043</v>
      </c>
    </row>
    <row r="243" spans="1:34" hidden="1">
      <c r="A243">
        <v>2</v>
      </c>
      <c r="B243">
        <v>1000041</v>
      </c>
      <c r="C243" t="s">
        <v>242</v>
      </c>
      <c r="D243">
        <v>166</v>
      </c>
      <c r="E243">
        <v>13702748.626934299</v>
      </c>
      <c r="F243">
        <v>0</v>
      </c>
      <c r="G243" t="s">
        <v>177</v>
      </c>
      <c r="H243" t="s">
        <v>177</v>
      </c>
      <c r="I243" s="876">
        <v>44055</v>
      </c>
      <c r="J243">
        <v>2</v>
      </c>
      <c r="K243" t="s">
        <v>243</v>
      </c>
      <c r="L243">
        <v>1000041</v>
      </c>
      <c r="M243">
        <v>0.79217426289116599</v>
      </c>
      <c r="N243" t="s">
        <v>177</v>
      </c>
      <c r="O243">
        <v>4.1202431499999997E-2</v>
      </c>
      <c r="P243">
        <v>0.16662330559999999</v>
      </c>
      <c r="Q243">
        <v>-0.27539679331063899</v>
      </c>
      <c r="R243">
        <v>0.63084551931717303</v>
      </c>
      <c r="S243">
        <v>0</v>
      </c>
      <c r="T243">
        <v>0.41325545000791097</v>
      </c>
      <c r="U243">
        <v>2.4156878147156401E-2</v>
      </c>
      <c r="V243">
        <v>-2.72035657289887E-3</v>
      </c>
      <c r="W243">
        <v>2.0335653024619901E-3</v>
      </c>
      <c r="X243">
        <v>0</v>
      </c>
      <c r="Y243" t="s">
        <v>177</v>
      </c>
      <c r="Z243" t="s">
        <v>177</v>
      </c>
      <c r="AA243" t="s">
        <v>177</v>
      </c>
      <c r="AB243" t="s">
        <v>177</v>
      </c>
      <c r="AC243" t="s">
        <v>177</v>
      </c>
      <c r="AD243" t="s">
        <v>177</v>
      </c>
      <c r="AE243" t="s">
        <v>177</v>
      </c>
      <c r="AF243" t="s">
        <v>177</v>
      </c>
      <c r="AG243" s="876">
        <v>44055</v>
      </c>
    </row>
    <row r="244" spans="1:34" hidden="1">
      <c r="A244">
        <v>3</v>
      </c>
      <c r="B244">
        <v>1000041</v>
      </c>
      <c r="C244" t="s">
        <v>242</v>
      </c>
      <c r="D244">
        <v>166</v>
      </c>
      <c r="E244">
        <v>10644802.156550201</v>
      </c>
      <c r="F244">
        <v>0</v>
      </c>
      <c r="G244" t="s">
        <v>177</v>
      </c>
      <c r="H244" t="s">
        <v>177</v>
      </c>
      <c r="I244" s="876">
        <v>44088</v>
      </c>
      <c r="J244">
        <v>3</v>
      </c>
      <c r="K244" t="s">
        <v>243</v>
      </c>
      <c r="L244">
        <v>1000041</v>
      </c>
      <c r="M244">
        <v>0.81493726663561294</v>
      </c>
      <c r="N244" t="s">
        <v>177</v>
      </c>
      <c r="O244">
        <v>0.18506273340000001</v>
      </c>
      <c r="P244">
        <v>0</v>
      </c>
      <c r="Q244">
        <v>-0.25062098195854698</v>
      </c>
      <c r="R244">
        <v>0.76044757396019003</v>
      </c>
      <c r="S244">
        <v>0</v>
      </c>
      <c r="T244">
        <v>0.32965947325517703</v>
      </c>
      <c r="U244">
        <v>3.58970551800777E-2</v>
      </c>
      <c r="V244">
        <v>-6.01815174282413E-2</v>
      </c>
      <c r="W244">
        <v>-2.6433637304320602E-4</v>
      </c>
      <c r="X244">
        <v>0</v>
      </c>
      <c r="Y244" t="s">
        <v>177</v>
      </c>
      <c r="Z244" t="s">
        <v>177</v>
      </c>
      <c r="AA244" t="s">
        <v>177</v>
      </c>
      <c r="AB244" t="s">
        <v>177</v>
      </c>
      <c r="AC244" t="s">
        <v>177</v>
      </c>
      <c r="AD244" t="s">
        <v>177</v>
      </c>
      <c r="AE244" t="s">
        <v>177</v>
      </c>
      <c r="AF244" t="s">
        <v>177</v>
      </c>
      <c r="AG244" s="876">
        <v>44088</v>
      </c>
    </row>
    <row r="245" spans="1:34" hidden="1">
      <c r="A245">
        <v>4</v>
      </c>
      <c r="B245">
        <v>1000041</v>
      </c>
      <c r="C245" t="s">
        <v>242</v>
      </c>
      <c r="D245">
        <v>166</v>
      </c>
      <c r="E245">
        <v>1649890.9299272201</v>
      </c>
      <c r="F245">
        <v>0</v>
      </c>
      <c r="G245" t="s">
        <v>177</v>
      </c>
      <c r="H245" t="s">
        <v>177</v>
      </c>
      <c r="I245" s="876">
        <v>44117</v>
      </c>
      <c r="J245">
        <v>4</v>
      </c>
      <c r="K245" t="s">
        <v>243</v>
      </c>
      <c r="L245">
        <v>1000041</v>
      </c>
      <c r="M245">
        <v>1</v>
      </c>
      <c r="N245">
        <v>0</v>
      </c>
      <c r="O245">
        <v>0</v>
      </c>
      <c r="P245">
        <v>0</v>
      </c>
      <c r="Q245">
        <v>-0.45029353756413099</v>
      </c>
      <c r="R245">
        <v>0.93136450231998003</v>
      </c>
      <c r="S245">
        <v>-2.3008365499042701E-5</v>
      </c>
      <c r="T245">
        <v>0.51857948491682304</v>
      </c>
      <c r="U245">
        <v>3.97213663859338E-2</v>
      </c>
      <c r="V245">
        <v>-3.9659559373287502E-2</v>
      </c>
      <c r="W245">
        <v>3.1075168018006798E-4</v>
      </c>
      <c r="X245">
        <v>0</v>
      </c>
      <c r="Y245" t="s">
        <v>177</v>
      </c>
      <c r="Z245" t="s">
        <v>177</v>
      </c>
      <c r="AA245" t="s">
        <v>177</v>
      </c>
      <c r="AB245" t="s">
        <v>177</v>
      </c>
      <c r="AC245" t="s">
        <v>177</v>
      </c>
      <c r="AD245" t="s">
        <v>177</v>
      </c>
      <c r="AE245" t="s">
        <v>177</v>
      </c>
      <c r="AF245" t="s">
        <v>177</v>
      </c>
      <c r="AG245" s="876">
        <v>44117</v>
      </c>
    </row>
    <row r="246" spans="1:34" hidden="1">
      <c r="A246">
        <v>5</v>
      </c>
      <c r="B246">
        <v>1000041</v>
      </c>
      <c r="C246" t="s">
        <v>242</v>
      </c>
      <c r="D246">
        <v>166</v>
      </c>
      <c r="E246">
        <v>0</v>
      </c>
      <c r="F246">
        <v>0</v>
      </c>
      <c r="G246" t="s">
        <v>177</v>
      </c>
      <c r="H246" t="s">
        <v>177</v>
      </c>
      <c r="I246" s="876">
        <v>44147</v>
      </c>
      <c r="J246">
        <v>5</v>
      </c>
      <c r="K246" t="s">
        <v>243</v>
      </c>
      <c r="L246">
        <v>1000041</v>
      </c>
      <c r="M246" t="s">
        <v>177</v>
      </c>
      <c r="N246" t="s">
        <v>177</v>
      </c>
      <c r="O246" t="s">
        <v>177</v>
      </c>
      <c r="P246" t="s">
        <v>177</v>
      </c>
      <c r="Q246" t="s">
        <v>177</v>
      </c>
      <c r="R246" t="s">
        <v>177</v>
      </c>
      <c r="S246" t="s">
        <v>177</v>
      </c>
      <c r="T246" t="s">
        <v>177</v>
      </c>
      <c r="U246" t="s">
        <v>177</v>
      </c>
      <c r="V246" t="s">
        <v>177</v>
      </c>
      <c r="W246" t="s">
        <v>177</v>
      </c>
      <c r="X246" t="s">
        <v>177</v>
      </c>
      <c r="Y246" t="s">
        <v>177</v>
      </c>
      <c r="Z246" t="s">
        <v>177</v>
      </c>
      <c r="AA246" t="s">
        <v>177</v>
      </c>
      <c r="AB246" t="s">
        <v>177</v>
      </c>
      <c r="AC246" t="s">
        <v>177</v>
      </c>
      <c r="AD246" t="s">
        <v>177</v>
      </c>
      <c r="AE246" t="s">
        <v>177</v>
      </c>
      <c r="AF246" t="s">
        <v>177</v>
      </c>
      <c r="AG246" s="876">
        <v>44147</v>
      </c>
    </row>
    <row r="247" spans="1:34" hidden="1">
      <c r="A247">
        <v>6</v>
      </c>
      <c r="B247">
        <v>1000041</v>
      </c>
      <c r="C247" t="s">
        <v>242</v>
      </c>
      <c r="D247">
        <v>166</v>
      </c>
      <c r="E247">
        <v>0</v>
      </c>
      <c r="F247">
        <v>0</v>
      </c>
      <c r="G247" t="s">
        <v>177</v>
      </c>
      <c r="H247" t="s">
        <v>177</v>
      </c>
      <c r="I247" s="876">
        <v>44179</v>
      </c>
      <c r="J247">
        <v>6</v>
      </c>
      <c r="K247" t="s">
        <v>243</v>
      </c>
      <c r="L247">
        <v>1000041</v>
      </c>
      <c r="M247" t="s">
        <v>177</v>
      </c>
      <c r="N247" t="s">
        <v>177</v>
      </c>
      <c r="O247" t="s">
        <v>177</v>
      </c>
      <c r="P247" t="s">
        <v>177</v>
      </c>
      <c r="Q247" t="s">
        <v>177</v>
      </c>
      <c r="R247" t="s">
        <v>177</v>
      </c>
      <c r="S247" t="s">
        <v>177</v>
      </c>
      <c r="T247" t="s">
        <v>177</v>
      </c>
      <c r="U247" t="s">
        <v>177</v>
      </c>
      <c r="V247" t="s">
        <v>177</v>
      </c>
      <c r="W247" t="s">
        <v>177</v>
      </c>
      <c r="X247" t="s">
        <v>177</v>
      </c>
      <c r="Y247" t="s">
        <v>177</v>
      </c>
      <c r="Z247" t="s">
        <v>177</v>
      </c>
      <c r="AA247" t="s">
        <v>177</v>
      </c>
      <c r="AB247" t="s">
        <v>177</v>
      </c>
      <c r="AC247" t="s">
        <v>177</v>
      </c>
      <c r="AD247" t="s">
        <v>177</v>
      </c>
      <c r="AE247" t="s">
        <v>177</v>
      </c>
      <c r="AF247" t="s">
        <v>177</v>
      </c>
      <c r="AG247" s="876">
        <v>44179</v>
      </c>
    </row>
    <row r="248" spans="1:34" hidden="1">
      <c r="A248">
        <v>7</v>
      </c>
      <c r="B248">
        <v>1000041</v>
      </c>
      <c r="C248" t="s">
        <v>242</v>
      </c>
      <c r="D248">
        <v>166</v>
      </c>
      <c r="E248">
        <v>0</v>
      </c>
      <c r="F248">
        <v>0</v>
      </c>
      <c r="G248" t="s">
        <v>177</v>
      </c>
      <c r="H248" t="s">
        <v>177</v>
      </c>
      <c r="I248" s="876">
        <v>44193</v>
      </c>
      <c r="J248">
        <v>7</v>
      </c>
      <c r="K248" t="s">
        <v>243</v>
      </c>
      <c r="L248">
        <v>1000041</v>
      </c>
      <c r="M248" t="s">
        <v>177</v>
      </c>
      <c r="N248" t="s">
        <v>177</v>
      </c>
      <c r="O248" t="s">
        <v>177</v>
      </c>
      <c r="P248" t="s">
        <v>177</v>
      </c>
      <c r="Q248" t="s">
        <v>177</v>
      </c>
      <c r="R248" t="s">
        <v>177</v>
      </c>
      <c r="S248" t="s">
        <v>177</v>
      </c>
      <c r="T248" t="s">
        <v>177</v>
      </c>
      <c r="U248" t="s">
        <v>177</v>
      </c>
      <c r="V248" t="s">
        <v>177</v>
      </c>
      <c r="W248" t="s">
        <v>177</v>
      </c>
      <c r="X248" t="s">
        <v>177</v>
      </c>
      <c r="Y248" t="s">
        <v>177</v>
      </c>
      <c r="Z248" t="s">
        <v>177</v>
      </c>
      <c r="AA248" t="s">
        <v>177</v>
      </c>
      <c r="AB248" t="s">
        <v>177</v>
      </c>
      <c r="AC248" t="s">
        <v>177</v>
      </c>
      <c r="AD248" t="s">
        <v>177</v>
      </c>
      <c r="AE248" t="s">
        <v>177</v>
      </c>
      <c r="AF248" t="s">
        <v>177</v>
      </c>
      <c r="AG248" s="876">
        <v>44193</v>
      </c>
    </row>
    <row r="249" spans="1:34" hidden="1">
      <c r="A249">
        <v>8</v>
      </c>
      <c r="B249">
        <v>1000041</v>
      </c>
      <c r="C249" t="s">
        <v>242</v>
      </c>
      <c r="D249">
        <v>166</v>
      </c>
      <c r="E249">
        <v>0</v>
      </c>
      <c r="F249">
        <v>0</v>
      </c>
      <c r="G249" t="s">
        <v>177</v>
      </c>
      <c r="H249" t="s">
        <v>177</v>
      </c>
      <c r="I249" s="876">
        <v>44208</v>
      </c>
      <c r="J249">
        <v>8</v>
      </c>
      <c r="K249" t="s">
        <v>243</v>
      </c>
      <c r="L249">
        <v>1000041</v>
      </c>
      <c r="M249" t="s">
        <v>177</v>
      </c>
      <c r="N249" t="s">
        <v>177</v>
      </c>
      <c r="O249" t="s">
        <v>177</v>
      </c>
      <c r="P249" t="s">
        <v>177</v>
      </c>
      <c r="Q249" t="s">
        <v>177</v>
      </c>
      <c r="R249" t="s">
        <v>177</v>
      </c>
      <c r="S249" t="s">
        <v>177</v>
      </c>
      <c r="T249" t="s">
        <v>177</v>
      </c>
      <c r="U249" t="s">
        <v>177</v>
      </c>
      <c r="V249" t="s">
        <v>177</v>
      </c>
      <c r="W249" t="s">
        <v>177</v>
      </c>
      <c r="X249" t="s">
        <v>177</v>
      </c>
      <c r="Y249" t="s">
        <v>177</v>
      </c>
      <c r="Z249" t="s">
        <v>177</v>
      </c>
      <c r="AA249" t="s">
        <v>177</v>
      </c>
      <c r="AB249" t="s">
        <v>177</v>
      </c>
      <c r="AC249" t="s">
        <v>177</v>
      </c>
      <c r="AD249" t="s">
        <v>177</v>
      </c>
      <c r="AE249" t="s">
        <v>177</v>
      </c>
      <c r="AF249" t="s">
        <v>177</v>
      </c>
      <c r="AG249" s="876">
        <v>44208</v>
      </c>
    </row>
    <row r="250" spans="1:34" hidden="1">
      <c r="A250">
        <v>1</v>
      </c>
      <c r="B250">
        <v>95</v>
      </c>
      <c r="C250" t="s">
        <v>193</v>
      </c>
      <c r="D250">
        <v>138</v>
      </c>
      <c r="E250">
        <v>2979999.9989239499</v>
      </c>
      <c r="F250">
        <v>0</v>
      </c>
      <c r="G250">
        <v>0</v>
      </c>
      <c r="H250">
        <v>0</v>
      </c>
      <c r="I250" s="876">
        <v>44043</v>
      </c>
      <c r="J250">
        <v>1</v>
      </c>
      <c r="K250" t="s">
        <v>193</v>
      </c>
      <c r="L250">
        <v>95</v>
      </c>
      <c r="M250">
        <v>0.14812877501628099</v>
      </c>
      <c r="N250">
        <v>0.69866801265177902</v>
      </c>
      <c r="O250">
        <v>0</v>
      </c>
      <c r="P250">
        <v>0.15320321233194101</v>
      </c>
      <c r="Q250">
        <v>7.3854482987103398E-2</v>
      </c>
      <c r="R250">
        <v>0</v>
      </c>
      <c r="S250">
        <v>3.9976685533448901E-3</v>
      </c>
      <c r="T250">
        <v>4.18923080748657E-2</v>
      </c>
      <c r="U250">
        <v>0</v>
      </c>
      <c r="V250">
        <v>4.8312591697662602E-3</v>
      </c>
      <c r="W250">
        <v>2.3553056231200499E-2</v>
      </c>
      <c r="X250">
        <v>0</v>
      </c>
      <c r="Y250">
        <v>0.35319535580317302</v>
      </c>
      <c r="Z250">
        <v>0</v>
      </c>
      <c r="AA250">
        <v>-3.5332161899680699E-2</v>
      </c>
      <c r="AB250">
        <v>0.236075951944241</v>
      </c>
      <c r="AC250">
        <v>5.8327544271677997E-4</v>
      </c>
      <c r="AD250">
        <v>0</v>
      </c>
      <c r="AE250">
        <v>0.14414559136132901</v>
      </c>
      <c r="AF250">
        <v>0</v>
      </c>
      <c r="AG250" s="876">
        <v>44043</v>
      </c>
      <c r="AH250" s="871">
        <f t="shared" ref="AH250:AH281" si="8">DATE(YEAR(I250),MONTH(I250),1)</f>
        <v>44013</v>
      </c>
    </row>
    <row r="251" spans="1:34" hidden="1">
      <c r="A251">
        <v>2</v>
      </c>
      <c r="B251">
        <v>95</v>
      </c>
      <c r="C251" t="s">
        <v>193</v>
      </c>
      <c r="D251">
        <v>138</v>
      </c>
      <c r="E251">
        <v>0</v>
      </c>
      <c r="F251">
        <v>0</v>
      </c>
      <c r="G251" t="s">
        <v>177</v>
      </c>
      <c r="H251" t="s">
        <v>177</v>
      </c>
      <c r="I251" s="876">
        <v>44055</v>
      </c>
      <c r="J251">
        <v>2</v>
      </c>
      <c r="K251" t="s">
        <v>193</v>
      </c>
      <c r="L251">
        <v>95</v>
      </c>
      <c r="M251">
        <v>1</v>
      </c>
      <c r="N251" t="s">
        <v>177</v>
      </c>
      <c r="O251">
        <v>0</v>
      </c>
      <c r="P251">
        <v>0</v>
      </c>
      <c r="Q251">
        <v>0.73506366168716297</v>
      </c>
      <c r="R251">
        <v>0</v>
      </c>
      <c r="S251">
        <v>0</v>
      </c>
      <c r="T251">
        <v>5.0940119370531597E-2</v>
      </c>
      <c r="U251">
        <v>7.61077084818188E-3</v>
      </c>
      <c r="V251">
        <v>8.8864751177334902E-2</v>
      </c>
      <c r="W251">
        <v>0.117520696916789</v>
      </c>
      <c r="X251">
        <v>0</v>
      </c>
      <c r="Y251" t="s">
        <v>177</v>
      </c>
      <c r="Z251" t="s">
        <v>177</v>
      </c>
      <c r="AA251" t="s">
        <v>177</v>
      </c>
      <c r="AB251" t="s">
        <v>177</v>
      </c>
      <c r="AC251" t="s">
        <v>177</v>
      </c>
      <c r="AD251" t="s">
        <v>177</v>
      </c>
      <c r="AE251" t="s">
        <v>177</v>
      </c>
      <c r="AF251" t="s">
        <v>177</v>
      </c>
      <c r="AG251" s="876">
        <v>44055</v>
      </c>
      <c r="AH251" s="871">
        <f t="shared" si="8"/>
        <v>44044</v>
      </c>
    </row>
    <row r="252" spans="1:34" hidden="1">
      <c r="A252">
        <v>3</v>
      </c>
      <c r="B252">
        <v>95</v>
      </c>
      <c r="C252" t="s">
        <v>193</v>
      </c>
      <c r="D252">
        <v>138</v>
      </c>
      <c r="E252">
        <v>0</v>
      </c>
      <c r="F252">
        <v>0</v>
      </c>
      <c r="G252" t="s">
        <v>177</v>
      </c>
      <c r="H252" t="s">
        <v>177</v>
      </c>
      <c r="I252" s="876">
        <v>44088</v>
      </c>
      <c r="J252">
        <v>3</v>
      </c>
      <c r="K252" t="s">
        <v>193</v>
      </c>
      <c r="L252">
        <v>95</v>
      </c>
      <c r="M252">
        <v>0</v>
      </c>
      <c r="N252" t="s">
        <v>177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177</v>
      </c>
      <c r="Z252" t="s">
        <v>177</v>
      </c>
      <c r="AA252" t="s">
        <v>177</v>
      </c>
      <c r="AB252" t="s">
        <v>177</v>
      </c>
      <c r="AC252" t="s">
        <v>177</v>
      </c>
      <c r="AD252" t="s">
        <v>177</v>
      </c>
      <c r="AE252" t="s">
        <v>177</v>
      </c>
      <c r="AF252" t="s">
        <v>177</v>
      </c>
      <c r="AG252" s="876">
        <v>44088</v>
      </c>
      <c r="AH252" s="871">
        <f t="shared" si="8"/>
        <v>44075</v>
      </c>
    </row>
    <row r="253" spans="1:34" hidden="1">
      <c r="A253">
        <v>4</v>
      </c>
      <c r="B253">
        <v>95</v>
      </c>
      <c r="C253" t="s">
        <v>193</v>
      </c>
      <c r="D253">
        <v>138</v>
      </c>
      <c r="E253">
        <v>0</v>
      </c>
      <c r="F253">
        <v>0</v>
      </c>
      <c r="G253" t="s">
        <v>177</v>
      </c>
      <c r="H253" t="s">
        <v>177</v>
      </c>
      <c r="I253" s="876">
        <v>44117</v>
      </c>
      <c r="J253">
        <v>4</v>
      </c>
      <c r="K253" t="s">
        <v>193</v>
      </c>
      <c r="L253">
        <v>95</v>
      </c>
      <c r="M253" t="s">
        <v>177</v>
      </c>
      <c r="N253" t="s">
        <v>177</v>
      </c>
      <c r="O253" t="s">
        <v>177</v>
      </c>
      <c r="P253" t="s">
        <v>177</v>
      </c>
      <c r="Q253" t="s">
        <v>177</v>
      </c>
      <c r="R253" t="s">
        <v>177</v>
      </c>
      <c r="S253" t="s">
        <v>177</v>
      </c>
      <c r="T253" t="s">
        <v>177</v>
      </c>
      <c r="U253" t="s">
        <v>177</v>
      </c>
      <c r="V253" t="s">
        <v>177</v>
      </c>
      <c r="W253" t="s">
        <v>177</v>
      </c>
      <c r="X253" t="s">
        <v>177</v>
      </c>
      <c r="Y253" t="s">
        <v>177</v>
      </c>
      <c r="Z253" t="s">
        <v>177</v>
      </c>
      <c r="AA253" t="s">
        <v>177</v>
      </c>
      <c r="AB253" t="s">
        <v>177</v>
      </c>
      <c r="AC253" t="s">
        <v>177</v>
      </c>
      <c r="AD253" t="s">
        <v>177</v>
      </c>
      <c r="AE253" t="s">
        <v>177</v>
      </c>
      <c r="AF253" t="s">
        <v>177</v>
      </c>
      <c r="AG253" s="876">
        <v>44117</v>
      </c>
      <c r="AH253" s="871">
        <f t="shared" si="8"/>
        <v>44105</v>
      </c>
    </row>
    <row r="254" spans="1:34" hidden="1">
      <c r="A254">
        <v>5</v>
      </c>
      <c r="B254">
        <v>95</v>
      </c>
      <c r="C254" t="s">
        <v>193</v>
      </c>
      <c r="D254">
        <v>138</v>
      </c>
      <c r="E254">
        <v>0</v>
      </c>
      <c r="F254">
        <v>0</v>
      </c>
      <c r="G254" t="s">
        <v>177</v>
      </c>
      <c r="H254" t="s">
        <v>177</v>
      </c>
      <c r="I254" s="876">
        <v>44147</v>
      </c>
      <c r="J254">
        <v>5</v>
      </c>
      <c r="K254" t="s">
        <v>193</v>
      </c>
      <c r="L254">
        <v>95</v>
      </c>
      <c r="M254" t="s">
        <v>177</v>
      </c>
      <c r="N254" t="s">
        <v>177</v>
      </c>
      <c r="O254" t="s">
        <v>177</v>
      </c>
      <c r="P254" t="s">
        <v>177</v>
      </c>
      <c r="Q254" t="s">
        <v>177</v>
      </c>
      <c r="R254" t="s">
        <v>177</v>
      </c>
      <c r="S254" t="s">
        <v>177</v>
      </c>
      <c r="T254" t="s">
        <v>177</v>
      </c>
      <c r="U254" t="s">
        <v>177</v>
      </c>
      <c r="V254" t="s">
        <v>177</v>
      </c>
      <c r="W254" t="s">
        <v>177</v>
      </c>
      <c r="X254" t="s">
        <v>177</v>
      </c>
      <c r="Y254" t="s">
        <v>177</v>
      </c>
      <c r="Z254" t="s">
        <v>177</v>
      </c>
      <c r="AA254" t="s">
        <v>177</v>
      </c>
      <c r="AB254" t="s">
        <v>177</v>
      </c>
      <c r="AC254" t="s">
        <v>177</v>
      </c>
      <c r="AD254" t="s">
        <v>177</v>
      </c>
      <c r="AE254" t="s">
        <v>177</v>
      </c>
      <c r="AF254" t="s">
        <v>177</v>
      </c>
      <c r="AG254" s="876">
        <v>44147</v>
      </c>
      <c r="AH254" s="871">
        <f t="shared" si="8"/>
        <v>44136</v>
      </c>
    </row>
    <row r="255" spans="1:34" hidden="1">
      <c r="A255">
        <v>6</v>
      </c>
      <c r="B255">
        <v>95</v>
      </c>
      <c r="C255" t="s">
        <v>193</v>
      </c>
      <c r="D255">
        <v>138</v>
      </c>
      <c r="E255">
        <v>0</v>
      </c>
      <c r="F255">
        <v>0</v>
      </c>
      <c r="G255" t="s">
        <v>177</v>
      </c>
      <c r="H255" t="s">
        <v>177</v>
      </c>
      <c r="I255" s="876">
        <v>44179</v>
      </c>
      <c r="J255">
        <v>6</v>
      </c>
      <c r="K255" t="s">
        <v>193</v>
      </c>
      <c r="L255">
        <v>95</v>
      </c>
      <c r="M255" t="s">
        <v>177</v>
      </c>
      <c r="N255" t="s">
        <v>177</v>
      </c>
      <c r="O255" t="s">
        <v>177</v>
      </c>
      <c r="P255" t="s">
        <v>177</v>
      </c>
      <c r="Q255" t="s">
        <v>177</v>
      </c>
      <c r="R255" t="s">
        <v>177</v>
      </c>
      <c r="S255" t="s">
        <v>177</v>
      </c>
      <c r="T255" t="s">
        <v>177</v>
      </c>
      <c r="U255" t="s">
        <v>177</v>
      </c>
      <c r="V255" t="s">
        <v>177</v>
      </c>
      <c r="W255" t="s">
        <v>177</v>
      </c>
      <c r="X255" t="s">
        <v>177</v>
      </c>
      <c r="Y255" t="s">
        <v>177</v>
      </c>
      <c r="Z255" t="s">
        <v>177</v>
      </c>
      <c r="AA255" t="s">
        <v>177</v>
      </c>
      <c r="AB255" t="s">
        <v>177</v>
      </c>
      <c r="AC255" t="s">
        <v>177</v>
      </c>
      <c r="AD255" t="s">
        <v>177</v>
      </c>
      <c r="AE255" t="s">
        <v>177</v>
      </c>
      <c r="AF255" t="s">
        <v>177</v>
      </c>
      <c r="AG255" s="876">
        <v>44179</v>
      </c>
      <c r="AH255" s="871">
        <f t="shared" si="8"/>
        <v>44166</v>
      </c>
    </row>
    <row r="256" spans="1:34" hidden="1">
      <c r="A256">
        <v>7</v>
      </c>
      <c r="B256">
        <v>95</v>
      </c>
      <c r="C256" t="s">
        <v>193</v>
      </c>
      <c r="D256">
        <v>138</v>
      </c>
      <c r="E256">
        <v>0</v>
      </c>
      <c r="F256">
        <v>0</v>
      </c>
      <c r="G256" t="s">
        <v>177</v>
      </c>
      <c r="H256" t="s">
        <v>177</v>
      </c>
      <c r="I256" s="876">
        <v>44193</v>
      </c>
      <c r="J256">
        <v>7</v>
      </c>
      <c r="K256" t="s">
        <v>193</v>
      </c>
      <c r="L256">
        <v>95</v>
      </c>
      <c r="M256" t="s">
        <v>177</v>
      </c>
      <c r="N256" t="s">
        <v>177</v>
      </c>
      <c r="O256" t="s">
        <v>177</v>
      </c>
      <c r="P256" t="s">
        <v>177</v>
      </c>
      <c r="Q256" t="s">
        <v>177</v>
      </c>
      <c r="R256" t="s">
        <v>177</v>
      </c>
      <c r="S256" t="s">
        <v>177</v>
      </c>
      <c r="T256" t="s">
        <v>177</v>
      </c>
      <c r="U256" t="s">
        <v>177</v>
      </c>
      <c r="V256" t="s">
        <v>177</v>
      </c>
      <c r="W256" t="s">
        <v>177</v>
      </c>
      <c r="X256" t="s">
        <v>177</v>
      </c>
      <c r="Y256" t="s">
        <v>177</v>
      </c>
      <c r="Z256" t="s">
        <v>177</v>
      </c>
      <c r="AA256" t="s">
        <v>177</v>
      </c>
      <c r="AB256" t="s">
        <v>177</v>
      </c>
      <c r="AC256" t="s">
        <v>177</v>
      </c>
      <c r="AD256" t="s">
        <v>177</v>
      </c>
      <c r="AE256" t="s">
        <v>177</v>
      </c>
      <c r="AF256" t="s">
        <v>177</v>
      </c>
      <c r="AG256" s="876">
        <v>44193</v>
      </c>
      <c r="AH256" s="871">
        <f t="shared" si="8"/>
        <v>44166</v>
      </c>
    </row>
    <row r="257" spans="1:34" hidden="1">
      <c r="A257">
        <v>8</v>
      </c>
      <c r="B257">
        <v>95</v>
      </c>
      <c r="C257" t="s">
        <v>193</v>
      </c>
      <c r="D257">
        <v>138</v>
      </c>
      <c r="E257">
        <v>0</v>
      </c>
      <c r="F257">
        <v>0</v>
      </c>
      <c r="G257" t="s">
        <v>177</v>
      </c>
      <c r="H257" t="s">
        <v>177</v>
      </c>
      <c r="I257" s="876">
        <v>44208</v>
      </c>
      <c r="J257">
        <v>8</v>
      </c>
      <c r="K257" t="s">
        <v>193</v>
      </c>
      <c r="L257">
        <v>95</v>
      </c>
      <c r="M257" t="s">
        <v>177</v>
      </c>
      <c r="N257" t="s">
        <v>177</v>
      </c>
      <c r="O257" t="s">
        <v>177</v>
      </c>
      <c r="P257" t="s">
        <v>177</v>
      </c>
      <c r="Q257" t="s">
        <v>177</v>
      </c>
      <c r="R257" t="s">
        <v>177</v>
      </c>
      <c r="S257" t="s">
        <v>177</v>
      </c>
      <c r="T257" t="s">
        <v>177</v>
      </c>
      <c r="U257" t="s">
        <v>177</v>
      </c>
      <c r="V257" t="s">
        <v>177</v>
      </c>
      <c r="W257" t="s">
        <v>177</v>
      </c>
      <c r="X257" t="s">
        <v>177</v>
      </c>
      <c r="Y257" t="s">
        <v>177</v>
      </c>
      <c r="Z257" t="s">
        <v>177</v>
      </c>
      <c r="AA257" t="s">
        <v>177</v>
      </c>
      <c r="AB257" t="s">
        <v>177</v>
      </c>
      <c r="AC257" t="s">
        <v>177</v>
      </c>
      <c r="AD257" t="s">
        <v>177</v>
      </c>
      <c r="AE257" t="s">
        <v>177</v>
      </c>
      <c r="AF257" t="s">
        <v>177</v>
      </c>
      <c r="AG257" s="876">
        <v>44208</v>
      </c>
      <c r="AH257" s="871">
        <f t="shared" si="8"/>
        <v>44197</v>
      </c>
    </row>
    <row r="258" spans="1:34" hidden="1">
      <c r="A258">
        <v>1</v>
      </c>
      <c r="B258">
        <v>51</v>
      </c>
      <c r="C258" t="s">
        <v>188</v>
      </c>
      <c r="D258">
        <v>139</v>
      </c>
      <c r="E258">
        <v>16823735.579999998</v>
      </c>
      <c r="F258">
        <v>0</v>
      </c>
      <c r="G258">
        <v>0</v>
      </c>
      <c r="H258">
        <v>0</v>
      </c>
      <c r="I258" s="876">
        <v>44043</v>
      </c>
      <c r="J258">
        <v>1</v>
      </c>
      <c r="K258" t="s">
        <v>188</v>
      </c>
      <c r="L258">
        <v>51</v>
      </c>
      <c r="M258">
        <v>6.7800439340900395E-2</v>
      </c>
      <c r="N258">
        <v>0.67022577718704002</v>
      </c>
      <c r="O258">
        <v>0.1532265512124</v>
      </c>
      <c r="P258">
        <v>0.10874723225966</v>
      </c>
      <c r="Q258">
        <v>5.4187155248230298E-2</v>
      </c>
      <c r="R258">
        <v>0</v>
      </c>
      <c r="S258">
        <v>-3.9190908117186299E-3</v>
      </c>
      <c r="T258">
        <v>-2.6661081192489301E-3</v>
      </c>
      <c r="U258">
        <v>9.6310724584064802E-4</v>
      </c>
      <c r="V258">
        <v>2.9451921987937299E-4</v>
      </c>
      <c r="W258">
        <v>1.8893257882101801E-2</v>
      </c>
      <c r="X258">
        <v>4.75986758158047E-5</v>
      </c>
      <c r="Y258">
        <v>0.50039286167248498</v>
      </c>
      <c r="Z258">
        <v>0</v>
      </c>
      <c r="AA258">
        <v>7.6418025276838396E-4</v>
      </c>
      <c r="AB258">
        <v>5.9224624196832103E-2</v>
      </c>
      <c r="AC258">
        <v>1.52734953241796E-2</v>
      </c>
      <c r="AD258">
        <v>-0.159578083916636</v>
      </c>
      <c r="AE258">
        <v>0.25389965183273999</v>
      </c>
      <c r="AF258">
        <v>2.4904782467003502E-4</v>
      </c>
      <c r="AG258" s="876">
        <v>44043</v>
      </c>
      <c r="AH258" s="871">
        <f t="shared" si="8"/>
        <v>44013</v>
      </c>
    </row>
    <row r="259" spans="1:34" hidden="1">
      <c r="A259">
        <v>2</v>
      </c>
      <c r="B259">
        <v>51</v>
      </c>
      <c r="C259" t="s">
        <v>188</v>
      </c>
      <c r="D259">
        <v>139</v>
      </c>
      <c r="E259">
        <v>534196.42000000004</v>
      </c>
      <c r="F259">
        <v>0</v>
      </c>
      <c r="G259" t="s">
        <v>177</v>
      </c>
      <c r="H259" t="s">
        <v>177</v>
      </c>
      <c r="I259" s="876">
        <v>44055</v>
      </c>
      <c r="J259">
        <v>2</v>
      </c>
      <c r="K259" t="s">
        <v>188</v>
      </c>
      <c r="L259">
        <v>51</v>
      </c>
      <c r="M259">
        <v>0.85215709260474803</v>
      </c>
      <c r="N259" t="s">
        <v>177</v>
      </c>
      <c r="O259">
        <v>0.14784290739525199</v>
      </c>
      <c r="P259">
        <v>0</v>
      </c>
      <c r="Q259">
        <v>0.21486715176268201</v>
      </c>
      <c r="R259">
        <v>0</v>
      </c>
      <c r="S259">
        <v>0.114087316525936</v>
      </c>
      <c r="T259">
        <v>-1.78304134054111E-2</v>
      </c>
      <c r="U259">
        <v>4.7058225803766202E-3</v>
      </c>
      <c r="V259">
        <v>0.44528282365722799</v>
      </c>
      <c r="W259">
        <v>9.0897089466599801E-2</v>
      </c>
      <c r="X259">
        <v>1.4730201733712301E-4</v>
      </c>
      <c r="Y259" t="s">
        <v>177</v>
      </c>
      <c r="Z259" t="s">
        <v>177</v>
      </c>
      <c r="AA259" t="s">
        <v>177</v>
      </c>
      <c r="AB259" t="s">
        <v>177</v>
      </c>
      <c r="AC259" t="s">
        <v>177</v>
      </c>
      <c r="AD259" t="s">
        <v>177</v>
      </c>
      <c r="AE259" t="s">
        <v>177</v>
      </c>
      <c r="AF259" t="s">
        <v>177</v>
      </c>
      <c r="AG259" s="876">
        <v>44055</v>
      </c>
      <c r="AH259" s="871">
        <f t="shared" si="8"/>
        <v>44044</v>
      </c>
    </row>
    <row r="260" spans="1:34" hidden="1">
      <c r="A260">
        <v>3</v>
      </c>
      <c r="B260">
        <v>51</v>
      </c>
      <c r="C260" t="s">
        <v>188</v>
      </c>
      <c r="D260">
        <v>139</v>
      </c>
      <c r="E260">
        <v>0</v>
      </c>
      <c r="F260">
        <v>0</v>
      </c>
      <c r="G260" t="s">
        <v>177</v>
      </c>
      <c r="H260" t="s">
        <v>177</v>
      </c>
      <c r="I260" s="876">
        <v>44088</v>
      </c>
      <c r="J260">
        <v>3</v>
      </c>
      <c r="K260" t="s">
        <v>188</v>
      </c>
      <c r="L260">
        <v>51</v>
      </c>
      <c r="M260">
        <v>0</v>
      </c>
      <c r="N260" t="s">
        <v>177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177</v>
      </c>
      <c r="Z260" t="s">
        <v>177</v>
      </c>
      <c r="AA260" t="s">
        <v>177</v>
      </c>
      <c r="AB260" t="s">
        <v>177</v>
      </c>
      <c r="AC260" t="s">
        <v>177</v>
      </c>
      <c r="AD260" t="s">
        <v>177</v>
      </c>
      <c r="AE260" t="s">
        <v>177</v>
      </c>
      <c r="AF260" t="s">
        <v>177</v>
      </c>
      <c r="AG260" s="876">
        <v>44088</v>
      </c>
      <c r="AH260" s="871">
        <f t="shared" si="8"/>
        <v>44075</v>
      </c>
    </row>
    <row r="261" spans="1:34" hidden="1">
      <c r="A261">
        <v>4</v>
      </c>
      <c r="B261">
        <v>51</v>
      </c>
      <c r="C261" t="s">
        <v>188</v>
      </c>
      <c r="D261">
        <v>139</v>
      </c>
      <c r="E261">
        <v>0</v>
      </c>
      <c r="F261">
        <v>0</v>
      </c>
      <c r="G261" t="s">
        <v>177</v>
      </c>
      <c r="H261" t="s">
        <v>177</v>
      </c>
      <c r="I261" s="876">
        <v>44117</v>
      </c>
      <c r="J261">
        <v>4</v>
      </c>
      <c r="K261" t="s">
        <v>188</v>
      </c>
      <c r="L261">
        <v>51</v>
      </c>
      <c r="M261" t="s">
        <v>177</v>
      </c>
      <c r="N261" t="s">
        <v>177</v>
      </c>
      <c r="O261" t="s">
        <v>177</v>
      </c>
      <c r="P261" t="s">
        <v>177</v>
      </c>
      <c r="Q261" t="s">
        <v>177</v>
      </c>
      <c r="R261" t="s">
        <v>177</v>
      </c>
      <c r="S261" t="s">
        <v>177</v>
      </c>
      <c r="T261" t="s">
        <v>177</v>
      </c>
      <c r="U261" t="s">
        <v>177</v>
      </c>
      <c r="V261" t="s">
        <v>177</v>
      </c>
      <c r="W261" t="s">
        <v>177</v>
      </c>
      <c r="X261" t="s">
        <v>177</v>
      </c>
      <c r="Y261" t="s">
        <v>177</v>
      </c>
      <c r="Z261" t="s">
        <v>177</v>
      </c>
      <c r="AA261" t="s">
        <v>177</v>
      </c>
      <c r="AB261" t="s">
        <v>177</v>
      </c>
      <c r="AC261" t="s">
        <v>177</v>
      </c>
      <c r="AD261" t="s">
        <v>177</v>
      </c>
      <c r="AE261" t="s">
        <v>177</v>
      </c>
      <c r="AF261" t="s">
        <v>177</v>
      </c>
      <c r="AG261" s="876">
        <v>44117</v>
      </c>
      <c r="AH261" s="871">
        <f t="shared" si="8"/>
        <v>44105</v>
      </c>
    </row>
    <row r="262" spans="1:34" hidden="1">
      <c r="A262">
        <v>5</v>
      </c>
      <c r="B262">
        <v>51</v>
      </c>
      <c r="C262" t="s">
        <v>188</v>
      </c>
      <c r="D262">
        <v>139</v>
      </c>
      <c r="E262">
        <v>0</v>
      </c>
      <c r="F262">
        <v>0</v>
      </c>
      <c r="G262" t="s">
        <v>177</v>
      </c>
      <c r="H262" t="s">
        <v>177</v>
      </c>
      <c r="I262" s="876">
        <v>44147</v>
      </c>
      <c r="J262">
        <v>5</v>
      </c>
      <c r="K262" t="s">
        <v>188</v>
      </c>
      <c r="L262">
        <v>51</v>
      </c>
      <c r="M262" t="s">
        <v>177</v>
      </c>
      <c r="N262" t="s">
        <v>177</v>
      </c>
      <c r="O262" t="s">
        <v>177</v>
      </c>
      <c r="P262" t="s">
        <v>177</v>
      </c>
      <c r="Q262" t="s">
        <v>177</v>
      </c>
      <c r="R262" t="s">
        <v>177</v>
      </c>
      <c r="S262" t="s">
        <v>177</v>
      </c>
      <c r="T262" t="s">
        <v>177</v>
      </c>
      <c r="U262" t="s">
        <v>177</v>
      </c>
      <c r="V262" t="s">
        <v>177</v>
      </c>
      <c r="W262" t="s">
        <v>177</v>
      </c>
      <c r="X262" t="s">
        <v>177</v>
      </c>
      <c r="Y262" t="s">
        <v>177</v>
      </c>
      <c r="Z262" t="s">
        <v>177</v>
      </c>
      <c r="AA262" t="s">
        <v>177</v>
      </c>
      <c r="AB262" t="s">
        <v>177</v>
      </c>
      <c r="AC262" t="s">
        <v>177</v>
      </c>
      <c r="AD262" t="s">
        <v>177</v>
      </c>
      <c r="AE262" t="s">
        <v>177</v>
      </c>
      <c r="AF262" t="s">
        <v>177</v>
      </c>
      <c r="AG262" s="876">
        <v>44147</v>
      </c>
      <c r="AH262" s="871">
        <f t="shared" si="8"/>
        <v>44136</v>
      </c>
    </row>
    <row r="263" spans="1:34" hidden="1">
      <c r="A263">
        <v>6</v>
      </c>
      <c r="B263">
        <v>51</v>
      </c>
      <c r="C263" t="s">
        <v>188</v>
      </c>
      <c r="D263">
        <v>139</v>
      </c>
      <c r="E263">
        <v>0</v>
      </c>
      <c r="F263">
        <v>0</v>
      </c>
      <c r="G263" t="s">
        <v>177</v>
      </c>
      <c r="H263" t="s">
        <v>177</v>
      </c>
      <c r="I263" s="876">
        <v>44179</v>
      </c>
      <c r="J263">
        <v>6</v>
      </c>
      <c r="K263" t="s">
        <v>188</v>
      </c>
      <c r="L263">
        <v>51</v>
      </c>
      <c r="M263" t="s">
        <v>177</v>
      </c>
      <c r="N263" t="s">
        <v>177</v>
      </c>
      <c r="O263" t="s">
        <v>177</v>
      </c>
      <c r="P263" t="s">
        <v>177</v>
      </c>
      <c r="Q263" t="s">
        <v>177</v>
      </c>
      <c r="R263" t="s">
        <v>177</v>
      </c>
      <c r="S263" t="s">
        <v>177</v>
      </c>
      <c r="T263" t="s">
        <v>177</v>
      </c>
      <c r="U263" t="s">
        <v>177</v>
      </c>
      <c r="V263" t="s">
        <v>177</v>
      </c>
      <c r="W263" t="s">
        <v>177</v>
      </c>
      <c r="X263" t="s">
        <v>177</v>
      </c>
      <c r="Y263" t="s">
        <v>177</v>
      </c>
      <c r="Z263" t="s">
        <v>177</v>
      </c>
      <c r="AA263" t="s">
        <v>177</v>
      </c>
      <c r="AB263" t="s">
        <v>177</v>
      </c>
      <c r="AC263" t="s">
        <v>177</v>
      </c>
      <c r="AD263" t="s">
        <v>177</v>
      </c>
      <c r="AE263" t="s">
        <v>177</v>
      </c>
      <c r="AF263" t="s">
        <v>177</v>
      </c>
      <c r="AG263" s="876">
        <v>44179</v>
      </c>
      <c r="AH263" s="871">
        <f t="shared" si="8"/>
        <v>44166</v>
      </c>
    </row>
    <row r="264" spans="1:34" hidden="1">
      <c r="A264">
        <v>7</v>
      </c>
      <c r="B264">
        <v>51</v>
      </c>
      <c r="C264" t="s">
        <v>188</v>
      </c>
      <c r="D264">
        <v>139</v>
      </c>
      <c r="E264">
        <v>0</v>
      </c>
      <c r="F264">
        <v>0</v>
      </c>
      <c r="G264" t="s">
        <v>177</v>
      </c>
      <c r="H264" t="s">
        <v>177</v>
      </c>
      <c r="I264" s="876">
        <v>44193</v>
      </c>
      <c r="J264">
        <v>7</v>
      </c>
      <c r="K264" t="s">
        <v>188</v>
      </c>
      <c r="L264">
        <v>51</v>
      </c>
      <c r="M264" t="s">
        <v>177</v>
      </c>
      <c r="N264" t="s">
        <v>177</v>
      </c>
      <c r="O264" t="s">
        <v>177</v>
      </c>
      <c r="P264" t="s">
        <v>177</v>
      </c>
      <c r="Q264" t="s">
        <v>177</v>
      </c>
      <c r="R264" t="s">
        <v>177</v>
      </c>
      <c r="S264" t="s">
        <v>177</v>
      </c>
      <c r="T264" t="s">
        <v>177</v>
      </c>
      <c r="U264" t="s">
        <v>177</v>
      </c>
      <c r="V264" t="s">
        <v>177</v>
      </c>
      <c r="W264" t="s">
        <v>177</v>
      </c>
      <c r="X264" t="s">
        <v>177</v>
      </c>
      <c r="Y264" t="s">
        <v>177</v>
      </c>
      <c r="Z264" t="s">
        <v>177</v>
      </c>
      <c r="AA264" t="s">
        <v>177</v>
      </c>
      <c r="AB264" t="s">
        <v>177</v>
      </c>
      <c r="AC264" t="s">
        <v>177</v>
      </c>
      <c r="AD264" t="s">
        <v>177</v>
      </c>
      <c r="AE264" t="s">
        <v>177</v>
      </c>
      <c r="AF264" t="s">
        <v>177</v>
      </c>
      <c r="AG264" s="876">
        <v>44193</v>
      </c>
      <c r="AH264" s="871">
        <f t="shared" si="8"/>
        <v>44166</v>
      </c>
    </row>
    <row r="265" spans="1:34" hidden="1">
      <c r="A265">
        <v>8</v>
      </c>
      <c r="B265">
        <v>51</v>
      </c>
      <c r="C265" t="s">
        <v>188</v>
      </c>
      <c r="D265">
        <v>139</v>
      </c>
      <c r="E265">
        <v>0</v>
      </c>
      <c r="F265">
        <v>0</v>
      </c>
      <c r="G265" t="s">
        <v>177</v>
      </c>
      <c r="H265" t="s">
        <v>177</v>
      </c>
      <c r="I265" s="876">
        <v>44208</v>
      </c>
      <c r="J265">
        <v>8</v>
      </c>
      <c r="K265" t="s">
        <v>188</v>
      </c>
      <c r="L265">
        <v>51</v>
      </c>
      <c r="M265" t="s">
        <v>177</v>
      </c>
      <c r="N265" t="s">
        <v>177</v>
      </c>
      <c r="O265" t="s">
        <v>177</v>
      </c>
      <c r="P265" t="s">
        <v>177</v>
      </c>
      <c r="Q265" t="s">
        <v>177</v>
      </c>
      <c r="R265" t="s">
        <v>177</v>
      </c>
      <c r="S265" t="s">
        <v>177</v>
      </c>
      <c r="T265" t="s">
        <v>177</v>
      </c>
      <c r="U265" t="s">
        <v>177</v>
      </c>
      <c r="V265" t="s">
        <v>177</v>
      </c>
      <c r="W265" t="s">
        <v>177</v>
      </c>
      <c r="X265" t="s">
        <v>177</v>
      </c>
      <c r="Y265" t="s">
        <v>177</v>
      </c>
      <c r="Z265" t="s">
        <v>177</v>
      </c>
      <c r="AA265" t="s">
        <v>177</v>
      </c>
      <c r="AB265" t="s">
        <v>177</v>
      </c>
      <c r="AC265" t="s">
        <v>177</v>
      </c>
      <c r="AD265" t="s">
        <v>177</v>
      </c>
      <c r="AE265" t="s">
        <v>177</v>
      </c>
      <c r="AF265" t="s">
        <v>177</v>
      </c>
      <c r="AG265" s="876">
        <v>44208</v>
      </c>
      <c r="AH265" s="871">
        <f t="shared" si="8"/>
        <v>44197</v>
      </c>
    </row>
    <row r="266" spans="1:34" hidden="1">
      <c r="A266">
        <v>1</v>
      </c>
      <c r="B266">
        <v>6611</v>
      </c>
      <c r="C266" t="s">
        <v>236</v>
      </c>
      <c r="D266">
        <v>140</v>
      </c>
      <c r="E266">
        <v>5795394.9002025696</v>
      </c>
      <c r="F266">
        <v>0</v>
      </c>
      <c r="G266">
        <v>0</v>
      </c>
      <c r="H266">
        <v>0</v>
      </c>
      <c r="I266" s="876">
        <v>44043</v>
      </c>
      <c r="J266">
        <v>1</v>
      </c>
      <c r="K266" t="s">
        <v>236</v>
      </c>
      <c r="L266">
        <v>6611</v>
      </c>
      <c r="M266">
        <v>0</v>
      </c>
      <c r="N266">
        <v>0.51637190588951898</v>
      </c>
      <c r="O266">
        <v>0.37734264574186499</v>
      </c>
      <c r="P266">
        <v>0.106285448368616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1.34076941326784</v>
      </c>
      <c r="Z266">
        <v>0</v>
      </c>
      <c r="AA266">
        <v>-9.5642662759810506E-3</v>
      </c>
      <c r="AB266">
        <v>0.17456405429156199</v>
      </c>
      <c r="AC266">
        <v>0</v>
      </c>
      <c r="AD266">
        <v>-0.54971197042821796</v>
      </c>
      <c r="AE266">
        <v>-0.43968532496567803</v>
      </c>
      <c r="AF266">
        <v>0</v>
      </c>
      <c r="AG266" s="876">
        <v>44043</v>
      </c>
      <c r="AH266" s="871">
        <f t="shared" si="8"/>
        <v>44013</v>
      </c>
    </row>
    <row r="267" spans="1:34" hidden="1">
      <c r="A267">
        <v>2</v>
      </c>
      <c r="B267">
        <v>6611</v>
      </c>
      <c r="C267" t="s">
        <v>236</v>
      </c>
      <c r="D267">
        <v>140</v>
      </c>
      <c r="E267">
        <v>1404349.69</v>
      </c>
      <c r="F267">
        <v>0</v>
      </c>
      <c r="G267" t="s">
        <v>177</v>
      </c>
      <c r="H267" t="s">
        <v>177</v>
      </c>
      <c r="I267" s="876">
        <v>44055</v>
      </c>
      <c r="J267">
        <v>2</v>
      </c>
      <c r="K267" t="s">
        <v>236</v>
      </c>
      <c r="L267">
        <v>6611</v>
      </c>
      <c r="M267">
        <v>0.79652071135525704</v>
      </c>
      <c r="N267" t="s">
        <v>177</v>
      </c>
      <c r="O267">
        <v>0.19242175368553199</v>
      </c>
      <c r="P267">
        <v>1.10575349592107E-2</v>
      </c>
      <c r="Q267">
        <v>0.40138593022780999</v>
      </c>
      <c r="R267">
        <v>0</v>
      </c>
      <c r="S267">
        <v>-1.36115555004023E-5</v>
      </c>
      <c r="T267">
        <v>0.23786443428071</v>
      </c>
      <c r="U267">
        <v>0</v>
      </c>
      <c r="V267">
        <v>0.161330356838608</v>
      </c>
      <c r="W267">
        <v>-4.0463984363709E-3</v>
      </c>
      <c r="X267">
        <v>0</v>
      </c>
      <c r="Y267" t="s">
        <v>177</v>
      </c>
      <c r="Z267" t="s">
        <v>177</v>
      </c>
      <c r="AA267" t="s">
        <v>177</v>
      </c>
      <c r="AB267" t="s">
        <v>177</v>
      </c>
      <c r="AC267" t="s">
        <v>177</v>
      </c>
      <c r="AD267" t="s">
        <v>177</v>
      </c>
      <c r="AE267" t="s">
        <v>177</v>
      </c>
      <c r="AF267" t="s">
        <v>177</v>
      </c>
      <c r="AG267" s="876">
        <v>44055</v>
      </c>
      <c r="AH267" s="871">
        <f t="shared" si="8"/>
        <v>44044</v>
      </c>
    </row>
    <row r="268" spans="1:34" hidden="1">
      <c r="A268">
        <v>3</v>
      </c>
      <c r="B268">
        <v>6611</v>
      </c>
      <c r="C268" t="s">
        <v>236</v>
      </c>
      <c r="D268">
        <v>140</v>
      </c>
      <c r="E268">
        <v>1708224.98</v>
      </c>
      <c r="F268">
        <v>0</v>
      </c>
      <c r="G268" t="s">
        <v>177</v>
      </c>
      <c r="H268" t="s">
        <v>177</v>
      </c>
      <c r="I268" s="876">
        <v>44088</v>
      </c>
      <c r="J268">
        <v>3</v>
      </c>
      <c r="K268" t="s">
        <v>236</v>
      </c>
      <c r="L268">
        <v>6611</v>
      </c>
      <c r="M268">
        <v>0.95173580799780599</v>
      </c>
      <c r="N268" t="s">
        <v>177</v>
      </c>
      <c r="O268">
        <v>4.8264192002193597E-2</v>
      </c>
      <c r="P268">
        <v>0</v>
      </c>
      <c r="Q268">
        <v>0.36808771585220901</v>
      </c>
      <c r="R268">
        <v>0</v>
      </c>
      <c r="S268">
        <v>-8.0898476286219801E-6</v>
      </c>
      <c r="T268">
        <v>0.56425357775049101</v>
      </c>
      <c r="U268">
        <v>0</v>
      </c>
      <c r="V268">
        <v>2.1807527529740401E-2</v>
      </c>
      <c r="W268">
        <v>-2.4049232870058802E-3</v>
      </c>
      <c r="X268">
        <v>0</v>
      </c>
      <c r="Y268" t="s">
        <v>177</v>
      </c>
      <c r="Z268" t="s">
        <v>177</v>
      </c>
      <c r="AA268" t="s">
        <v>177</v>
      </c>
      <c r="AB268" t="s">
        <v>177</v>
      </c>
      <c r="AC268" t="s">
        <v>177</v>
      </c>
      <c r="AD268" t="s">
        <v>177</v>
      </c>
      <c r="AE268" t="s">
        <v>177</v>
      </c>
      <c r="AF268" t="s">
        <v>177</v>
      </c>
      <c r="AG268" s="876">
        <v>44088</v>
      </c>
      <c r="AH268" s="871">
        <f t="shared" si="8"/>
        <v>44075</v>
      </c>
    </row>
    <row r="269" spans="1:34" hidden="1">
      <c r="A269">
        <v>4</v>
      </c>
      <c r="B269">
        <v>6611</v>
      </c>
      <c r="C269" t="s">
        <v>236</v>
      </c>
      <c r="D269">
        <v>140</v>
      </c>
      <c r="E269">
        <v>1278821.2479417899</v>
      </c>
      <c r="F269">
        <v>0</v>
      </c>
      <c r="G269" t="s">
        <v>177</v>
      </c>
      <c r="H269" t="s">
        <v>177</v>
      </c>
      <c r="I269" s="876">
        <v>44117</v>
      </c>
      <c r="J269">
        <v>4</v>
      </c>
      <c r="K269" t="s">
        <v>236</v>
      </c>
      <c r="L269">
        <v>6611</v>
      </c>
      <c r="M269">
        <v>0.53826191617212304</v>
      </c>
      <c r="N269">
        <v>0</v>
      </c>
      <c r="O269">
        <v>0.387205692547058</v>
      </c>
      <c r="P269">
        <v>7.4532391280818899E-2</v>
      </c>
      <c r="Q269">
        <v>3.3672948108804501E-2</v>
      </c>
      <c r="R269">
        <v>0</v>
      </c>
      <c r="S269">
        <v>-1.16775439740442E-5</v>
      </c>
      <c r="T269">
        <v>0.52955010404193403</v>
      </c>
      <c r="U269">
        <v>0</v>
      </c>
      <c r="V269">
        <v>-2.14779965817819E-2</v>
      </c>
      <c r="W269">
        <v>-3.4714618528597801E-3</v>
      </c>
      <c r="X269">
        <v>0</v>
      </c>
      <c r="Y269" t="s">
        <v>177</v>
      </c>
      <c r="Z269" t="s">
        <v>177</v>
      </c>
      <c r="AA269" t="s">
        <v>177</v>
      </c>
      <c r="AB269" t="s">
        <v>177</v>
      </c>
      <c r="AC269" t="s">
        <v>177</v>
      </c>
      <c r="AD269" t="s">
        <v>177</v>
      </c>
      <c r="AE269" t="s">
        <v>177</v>
      </c>
      <c r="AF269" t="s">
        <v>177</v>
      </c>
      <c r="AG269" s="876">
        <v>44117</v>
      </c>
      <c r="AH269" s="871">
        <f t="shared" si="8"/>
        <v>44105</v>
      </c>
    </row>
    <row r="270" spans="1:34" hidden="1">
      <c r="A270">
        <v>5</v>
      </c>
      <c r="B270">
        <v>6611</v>
      </c>
      <c r="C270" t="s">
        <v>236</v>
      </c>
      <c r="D270">
        <v>140</v>
      </c>
      <c r="E270">
        <v>1636287.67150382</v>
      </c>
      <c r="F270">
        <v>0</v>
      </c>
      <c r="G270" t="s">
        <v>177</v>
      </c>
      <c r="H270" t="s">
        <v>177</v>
      </c>
      <c r="I270" s="876">
        <v>44147</v>
      </c>
      <c r="J270">
        <v>5</v>
      </c>
      <c r="K270" t="s">
        <v>236</v>
      </c>
      <c r="L270">
        <v>6611</v>
      </c>
      <c r="M270">
        <v>0.89864503313395505</v>
      </c>
      <c r="N270">
        <v>0</v>
      </c>
      <c r="O270">
        <v>0.101198747238578</v>
      </c>
      <c r="P270">
        <v>1.562196274666E-4</v>
      </c>
      <c r="Q270">
        <v>0.63712727051446805</v>
      </c>
      <c r="R270">
        <v>0</v>
      </c>
      <c r="S270">
        <v>-5.5147704412856999E-6</v>
      </c>
      <c r="T270">
        <v>0.258354230751354</v>
      </c>
      <c r="U270">
        <v>0</v>
      </c>
      <c r="V270">
        <v>4.8084594514704098E-3</v>
      </c>
      <c r="W270">
        <v>-1.6394128128959099E-3</v>
      </c>
      <c r="X270">
        <v>0</v>
      </c>
      <c r="Y270" t="s">
        <v>177</v>
      </c>
      <c r="Z270" t="s">
        <v>177</v>
      </c>
      <c r="AA270" t="s">
        <v>177</v>
      </c>
      <c r="AB270" t="s">
        <v>177</v>
      </c>
      <c r="AC270" t="s">
        <v>177</v>
      </c>
      <c r="AD270" t="s">
        <v>177</v>
      </c>
      <c r="AE270" t="s">
        <v>177</v>
      </c>
      <c r="AF270" t="s">
        <v>177</v>
      </c>
      <c r="AG270" s="876">
        <v>44147</v>
      </c>
      <c r="AH270" s="871">
        <f t="shared" si="8"/>
        <v>44136</v>
      </c>
    </row>
    <row r="271" spans="1:34" hidden="1">
      <c r="A271">
        <v>6</v>
      </c>
      <c r="B271">
        <v>6611</v>
      </c>
      <c r="C271" t="s">
        <v>236</v>
      </c>
      <c r="D271">
        <v>140</v>
      </c>
      <c r="E271">
        <v>1334692.8068423099</v>
      </c>
      <c r="F271">
        <v>0</v>
      </c>
      <c r="G271" t="s">
        <v>177</v>
      </c>
      <c r="H271" t="s">
        <v>177</v>
      </c>
      <c r="I271" s="876">
        <v>44179</v>
      </c>
      <c r="J271">
        <v>6</v>
      </c>
      <c r="K271" t="s">
        <v>236</v>
      </c>
      <c r="L271">
        <v>6611</v>
      </c>
      <c r="M271">
        <v>0.84598616221234402</v>
      </c>
      <c r="N271">
        <v>0</v>
      </c>
      <c r="O271">
        <v>0.15401383778765601</v>
      </c>
      <c r="P271">
        <v>0</v>
      </c>
      <c r="Q271">
        <v>0.67793798429541297</v>
      </c>
      <c r="R271">
        <v>0</v>
      </c>
      <c r="S271">
        <v>-2.18685949940197E-6</v>
      </c>
      <c r="T271">
        <v>0.107976063287321</v>
      </c>
      <c r="U271">
        <v>0</v>
      </c>
      <c r="V271">
        <v>6.0724403886206903E-2</v>
      </c>
      <c r="W271">
        <v>-6.5010239709752495E-4</v>
      </c>
      <c r="X271">
        <v>0</v>
      </c>
      <c r="Y271" t="s">
        <v>177</v>
      </c>
      <c r="Z271" t="s">
        <v>177</v>
      </c>
      <c r="AA271" t="s">
        <v>177</v>
      </c>
      <c r="AB271" t="s">
        <v>177</v>
      </c>
      <c r="AC271" t="s">
        <v>177</v>
      </c>
      <c r="AD271" t="s">
        <v>177</v>
      </c>
      <c r="AE271" t="s">
        <v>177</v>
      </c>
      <c r="AF271" t="s">
        <v>177</v>
      </c>
      <c r="AG271" s="876">
        <v>44179</v>
      </c>
      <c r="AH271" s="871">
        <f t="shared" si="8"/>
        <v>44166</v>
      </c>
    </row>
    <row r="272" spans="1:34" hidden="1">
      <c r="A272">
        <v>7</v>
      </c>
      <c r="B272">
        <v>6611</v>
      </c>
      <c r="C272" t="s">
        <v>236</v>
      </c>
      <c r="D272">
        <v>140</v>
      </c>
      <c r="E272">
        <v>0</v>
      </c>
      <c r="F272">
        <v>0</v>
      </c>
      <c r="G272" t="s">
        <v>177</v>
      </c>
      <c r="H272" t="s">
        <v>177</v>
      </c>
      <c r="I272" s="876">
        <v>44193</v>
      </c>
      <c r="J272">
        <v>7</v>
      </c>
      <c r="K272" t="s">
        <v>236</v>
      </c>
      <c r="L272">
        <v>6611</v>
      </c>
      <c r="M272" t="s">
        <v>177</v>
      </c>
      <c r="N272">
        <v>0</v>
      </c>
      <c r="O272" t="s">
        <v>177</v>
      </c>
      <c r="P272" t="s">
        <v>177</v>
      </c>
      <c r="Q272" t="s">
        <v>177</v>
      </c>
      <c r="R272" t="s">
        <v>177</v>
      </c>
      <c r="S272" t="s">
        <v>177</v>
      </c>
      <c r="T272" t="s">
        <v>177</v>
      </c>
      <c r="U272" t="s">
        <v>177</v>
      </c>
      <c r="V272" t="s">
        <v>177</v>
      </c>
      <c r="W272" t="s">
        <v>177</v>
      </c>
      <c r="X272" t="s">
        <v>177</v>
      </c>
      <c r="Y272" t="s">
        <v>177</v>
      </c>
      <c r="Z272" t="s">
        <v>177</v>
      </c>
      <c r="AA272" t="s">
        <v>177</v>
      </c>
      <c r="AB272" t="s">
        <v>177</v>
      </c>
      <c r="AC272" t="s">
        <v>177</v>
      </c>
      <c r="AD272" t="s">
        <v>177</v>
      </c>
      <c r="AE272" t="s">
        <v>177</v>
      </c>
      <c r="AF272" t="s">
        <v>177</v>
      </c>
      <c r="AG272" s="876">
        <v>44193</v>
      </c>
      <c r="AH272" s="871">
        <f t="shared" si="8"/>
        <v>44166</v>
      </c>
    </row>
    <row r="273" spans="1:34" hidden="1">
      <c r="A273">
        <v>8</v>
      </c>
      <c r="B273">
        <v>6611</v>
      </c>
      <c r="C273" t="s">
        <v>236</v>
      </c>
      <c r="D273">
        <v>140</v>
      </c>
      <c r="E273">
        <v>0</v>
      </c>
      <c r="F273">
        <v>0</v>
      </c>
      <c r="G273" t="s">
        <v>177</v>
      </c>
      <c r="H273" t="s">
        <v>177</v>
      </c>
      <c r="I273" s="876">
        <v>44208</v>
      </c>
      <c r="J273">
        <v>8</v>
      </c>
      <c r="K273" t="s">
        <v>236</v>
      </c>
      <c r="L273">
        <v>6611</v>
      </c>
      <c r="M273" t="s">
        <v>177</v>
      </c>
      <c r="N273">
        <v>0</v>
      </c>
      <c r="O273" t="s">
        <v>177</v>
      </c>
      <c r="P273" t="s">
        <v>177</v>
      </c>
      <c r="Q273" t="s">
        <v>177</v>
      </c>
      <c r="R273" t="s">
        <v>177</v>
      </c>
      <c r="S273" t="s">
        <v>177</v>
      </c>
      <c r="T273" t="s">
        <v>177</v>
      </c>
      <c r="U273" t="s">
        <v>177</v>
      </c>
      <c r="V273" t="s">
        <v>177</v>
      </c>
      <c r="W273" t="s">
        <v>177</v>
      </c>
      <c r="X273" t="s">
        <v>177</v>
      </c>
      <c r="Y273" t="s">
        <v>177</v>
      </c>
      <c r="Z273" t="s">
        <v>177</v>
      </c>
      <c r="AA273" t="s">
        <v>177</v>
      </c>
      <c r="AB273" t="s">
        <v>177</v>
      </c>
      <c r="AC273" t="s">
        <v>177</v>
      </c>
      <c r="AD273" t="s">
        <v>177</v>
      </c>
      <c r="AE273" t="s">
        <v>177</v>
      </c>
      <c r="AF273" t="s">
        <v>177</v>
      </c>
      <c r="AG273" s="876">
        <v>44208</v>
      </c>
      <c r="AH273" s="871">
        <f t="shared" si="8"/>
        <v>44197</v>
      </c>
    </row>
    <row r="274" spans="1:34" hidden="1">
      <c r="A274">
        <v>1</v>
      </c>
      <c r="B274">
        <v>380</v>
      </c>
      <c r="C274" t="s">
        <v>199</v>
      </c>
      <c r="D274">
        <v>154</v>
      </c>
      <c r="E274">
        <v>219423404</v>
      </c>
      <c r="F274">
        <v>0</v>
      </c>
      <c r="G274">
        <v>0</v>
      </c>
      <c r="H274">
        <v>0</v>
      </c>
      <c r="I274" s="876">
        <v>44043</v>
      </c>
      <c r="J274">
        <v>1</v>
      </c>
      <c r="K274" t="s">
        <v>199</v>
      </c>
      <c r="L274">
        <v>380</v>
      </c>
      <c r="M274">
        <v>6.4028532215756398E-2</v>
      </c>
      <c r="N274">
        <v>0.78587679457855297</v>
      </c>
      <c r="O274">
        <v>0.112934316486071</v>
      </c>
      <c r="P274">
        <v>3.7160356719618898E-2</v>
      </c>
      <c r="Q274">
        <v>7.9032128997991707E-3</v>
      </c>
      <c r="R274">
        <v>2.6886279287921401E-2</v>
      </c>
      <c r="S274">
        <v>-2.6477811552298E-3</v>
      </c>
      <c r="T274">
        <v>-5.8258455586893297E-3</v>
      </c>
      <c r="U274">
        <v>8.1665451724733502E-4</v>
      </c>
      <c r="V274">
        <v>1.7800744312982601E-3</v>
      </c>
      <c r="W274">
        <v>3.5115937793409401E-2</v>
      </c>
      <c r="X274">
        <v>0</v>
      </c>
      <c r="Y274">
        <v>0.302930352497434</v>
      </c>
      <c r="Z274">
        <v>0.43628787996299401</v>
      </c>
      <c r="AA274">
        <v>-1.0966481606625901E-2</v>
      </c>
      <c r="AB274">
        <v>0.10999074177807</v>
      </c>
      <c r="AC274">
        <v>1.19137078623298E-2</v>
      </c>
      <c r="AD274">
        <v>-0.26881628604611402</v>
      </c>
      <c r="AE274">
        <v>0.204536880130466</v>
      </c>
      <c r="AF274">
        <v>0</v>
      </c>
      <c r="AG274" s="876">
        <v>44043</v>
      </c>
      <c r="AH274" s="871">
        <f t="shared" si="8"/>
        <v>44013</v>
      </c>
    </row>
    <row r="275" spans="1:34" hidden="1">
      <c r="A275">
        <v>2</v>
      </c>
      <c r="B275">
        <v>380</v>
      </c>
      <c r="C275" t="s">
        <v>199</v>
      </c>
      <c r="D275">
        <v>154</v>
      </c>
      <c r="E275">
        <v>0</v>
      </c>
      <c r="F275">
        <v>0</v>
      </c>
      <c r="G275" t="s">
        <v>177</v>
      </c>
      <c r="H275" t="s">
        <v>177</v>
      </c>
      <c r="I275" s="876">
        <v>44055</v>
      </c>
      <c r="J275">
        <v>2</v>
      </c>
      <c r="K275" t="s">
        <v>199</v>
      </c>
      <c r="L275">
        <v>380</v>
      </c>
      <c r="M275">
        <v>0.72237189380120703</v>
      </c>
      <c r="N275" t="s">
        <v>177</v>
      </c>
      <c r="O275">
        <v>3.5969033168694299E-2</v>
      </c>
      <c r="P275">
        <v>0.24165907303009901</v>
      </c>
      <c r="Q275">
        <v>7.4574294779582107E-2</v>
      </c>
      <c r="R275">
        <v>0.30901380891608798</v>
      </c>
      <c r="S275">
        <v>-3.18531358309868E-3</v>
      </c>
      <c r="T275">
        <v>5.5045201115488399E-2</v>
      </c>
      <c r="U275">
        <v>1.7535231897489401E-2</v>
      </c>
      <c r="V275">
        <v>5.0965184173622301E-2</v>
      </c>
      <c r="W275">
        <v>0.218423486502035</v>
      </c>
      <c r="X275">
        <v>0</v>
      </c>
      <c r="Y275" t="s">
        <v>177</v>
      </c>
      <c r="Z275" t="s">
        <v>177</v>
      </c>
      <c r="AA275" t="s">
        <v>177</v>
      </c>
      <c r="AB275" t="s">
        <v>177</v>
      </c>
      <c r="AC275" t="s">
        <v>177</v>
      </c>
      <c r="AD275" t="s">
        <v>177</v>
      </c>
      <c r="AE275" t="s">
        <v>177</v>
      </c>
      <c r="AF275" t="s">
        <v>177</v>
      </c>
      <c r="AG275" s="876">
        <v>44055</v>
      </c>
      <c r="AH275" s="871">
        <f t="shared" si="8"/>
        <v>44044</v>
      </c>
    </row>
    <row r="276" spans="1:34" hidden="1">
      <c r="A276">
        <v>3</v>
      </c>
      <c r="B276">
        <v>380</v>
      </c>
      <c r="C276" t="s">
        <v>199</v>
      </c>
      <c r="D276">
        <v>154</v>
      </c>
      <c r="E276">
        <v>0</v>
      </c>
      <c r="F276">
        <v>0</v>
      </c>
      <c r="G276" t="s">
        <v>177</v>
      </c>
      <c r="H276" t="s">
        <v>177</v>
      </c>
      <c r="I276" s="876">
        <v>44088</v>
      </c>
      <c r="J276">
        <v>3</v>
      </c>
      <c r="K276" t="s">
        <v>199</v>
      </c>
      <c r="L276">
        <v>380</v>
      </c>
      <c r="M276">
        <v>0.26735761731601199</v>
      </c>
      <c r="N276" t="s">
        <v>177</v>
      </c>
      <c r="O276">
        <v>6.5208147562153304E-2</v>
      </c>
      <c r="P276">
        <v>0.66743423512183497</v>
      </c>
      <c r="Q276">
        <v>-0.79799775008682805</v>
      </c>
      <c r="R276">
        <v>0.68462768132807295</v>
      </c>
      <c r="S276">
        <v>2.54526747788901E-3</v>
      </c>
      <c r="T276">
        <v>0.27353730409181098</v>
      </c>
      <c r="U276">
        <v>1.38631879866666E-2</v>
      </c>
      <c r="V276">
        <v>5.1349229080824302E-2</v>
      </c>
      <c r="W276">
        <v>3.9432697437575499E-2</v>
      </c>
      <c r="X276">
        <v>0</v>
      </c>
      <c r="Y276" t="s">
        <v>177</v>
      </c>
      <c r="Z276" t="s">
        <v>177</v>
      </c>
      <c r="AA276" t="s">
        <v>177</v>
      </c>
      <c r="AB276" t="s">
        <v>177</v>
      </c>
      <c r="AC276" t="s">
        <v>177</v>
      </c>
      <c r="AD276" t="s">
        <v>177</v>
      </c>
      <c r="AE276" t="s">
        <v>177</v>
      </c>
      <c r="AF276" t="s">
        <v>177</v>
      </c>
      <c r="AG276" s="876">
        <v>44088</v>
      </c>
      <c r="AH276" s="871">
        <f t="shared" si="8"/>
        <v>44075</v>
      </c>
    </row>
    <row r="277" spans="1:34" hidden="1">
      <c r="A277">
        <v>4</v>
      </c>
      <c r="B277">
        <v>380</v>
      </c>
      <c r="C277" t="s">
        <v>199</v>
      </c>
      <c r="D277">
        <v>154</v>
      </c>
      <c r="E277">
        <v>0</v>
      </c>
      <c r="F277">
        <v>0</v>
      </c>
      <c r="G277" t="s">
        <v>177</v>
      </c>
      <c r="H277" t="s">
        <v>177</v>
      </c>
      <c r="I277" s="876">
        <v>44117</v>
      </c>
      <c r="J277">
        <v>4</v>
      </c>
      <c r="K277" t="s">
        <v>199</v>
      </c>
      <c r="L277">
        <v>380</v>
      </c>
      <c r="M277">
        <v>0.122568771459133</v>
      </c>
      <c r="N277">
        <v>0</v>
      </c>
      <c r="O277">
        <v>0.82607417541653505</v>
      </c>
      <c r="P277">
        <v>5.1357053124332697E-2</v>
      </c>
      <c r="Q277">
        <v>-1.29698485637765</v>
      </c>
      <c r="R277">
        <v>1.29428265595612</v>
      </c>
      <c r="S277">
        <v>-2.3663303183534498E-5</v>
      </c>
      <c r="T277">
        <v>0.26289561106363502</v>
      </c>
      <c r="U277">
        <v>2.8873691671383001E-2</v>
      </c>
      <c r="V277">
        <v>-0.16829574049385401</v>
      </c>
      <c r="W277">
        <v>1.82107294269111E-3</v>
      </c>
      <c r="X277">
        <v>0</v>
      </c>
      <c r="Y277" t="s">
        <v>177</v>
      </c>
      <c r="Z277" t="s">
        <v>177</v>
      </c>
      <c r="AA277" t="s">
        <v>177</v>
      </c>
      <c r="AB277" t="s">
        <v>177</v>
      </c>
      <c r="AC277" t="s">
        <v>177</v>
      </c>
      <c r="AD277" t="s">
        <v>177</v>
      </c>
      <c r="AE277" t="s">
        <v>177</v>
      </c>
      <c r="AF277" t="s">
        <v>177</v>
      </c>
      <c r="AG277" s="876">
        <v>44117</v>
      </c>
      <c r="AH277" s="871">
        <f t="shared" si="8"/>
        <v>44105</v>
      </c>
    </row>
    <row r="278" spans="1:34" hidden="1">
      <c r="A278">
        <v>5</v>
      </c>
      <c r="B278">
        <v>380</v>
      </c>
      <c r="C278" t="s">
        <v>199</v>
      </c>
      <c r="D278">
        <v>154</v>
      </c>
      <c r="E278">
        <v>0</v>
      </c>
      <c r="F278">
        <v>0</v>
      </c>
      <c r="G278" t="s">
        <v>177</v>
      </c>
      <c r="H278" t="s">
        <v>177</v>
      </c>
      <c r="I278" s="876">
        <v>44147</v>
      </c>
      <c r="J278">
        <v>5</v>
      </c>
      <c r="K278" t="s">
        <v>199</v>
      </c>
      <c r="L278">
        <v>380</v>
      </c>
      <c r="M278">
        <v>1</v>
      </c>
      <c r="N278">
        <v>0</v>
      </c>
      <c r="O278">
        <v>0</v>
      </c>
      <c r="P278">
        <v>0</v>
      </c>
      <c r="Q278">
        <v>5.47755635519395E-2</v>
      </c>
      <c r="R278">
        <v>0.57975655837002205</v>
      </c>
      <c r="S278">
        <v>-1.0012200495211801E-5</v>
      </c>
      <c r="T278">
        <v>0.15703276898850099</v>
      </c>
      <c r="U278">
        <v>1.18491537381217E-2</v>
      </c>
      <c r="V278">
        <v>0.19582563631673999</v>
      </c>
      <c r="W278">
        <v>7.7033123517148696E-4</v>
      </c>
      <c r="X278">
        <v>0</v>
      </c>
      <c r="Y278" t="s">
        <v>177</v>
      </c>
      <c r="Z278" t="s">
        <v>177</v>
      </c>
      <c r="AA278" t="s">
        <v>177</v>
      </c>
      <c r="AB278" t="s">
        <v>177</v>
      </c>
      <c r="AC278" t="s">
        <v>177</v>
      </c>
      <c r="AD278" t="s">
        <v>177</v>
      </c>
      <c r="AE278" t="s">
        <v>177</v>
      </c>
      <c r="AF278" t="s">
        <v>177</v>
      </c>
      <c r="AG278" s="876">
        <v>44147</v>
      </c>
      <c r="AH278" s="871">
        <f t="shared" si="8"/>
        <v>44136</v>
      </c>
    </row>
    <row r="279" spans="1:34" hidden="1">
      <c r="A279">
        <v>6</v>
      </c>
      <c r="B279">
        <v>380</v>
      </c>
      <c r="C279" t="s">
        <v>199</v>
      </c>
      <c r="D279">
        <v>154</v>
      </c>
      <c r="E279">
        <v>0</v>
      </c>
      <c r="F279">
        <v>0</v>
      </c>
      <c r="G279" t="s">
        <v>177</v>
      </c>
      <c r="H279" t="s">
        <v>177</v>
      </c>
      <c r="I279" s="876">
        <v>44179</v>
      </c>
      <c r="J279">
        <v>6</v>
      </c>
      <c r="K279" t="s">
        <v>199</v>
      </c>
      <c r="L279">
        <v>380</v>
      </c>
      <c r="M279">
        <v>1</v>
      </c>
      <c r="N279">
        <v>0</v>
      </c>
      <c r="O279">
        <v>0</v>
      </c>
      <c r="P279">
        <v>0</v>
      </c>
      <c r="Q279">
        <v>0.75763862644364299</v>
      </c>
      <c r="R279">
        <v>0.12796206041050301</v>
      </c>
      <c r="S279">
        <v>7.3398732213094699E-4</v>
      </c>
      <c r="T279">
        <v>3.5145835788048502E-2</v>
      </c>
      <c r="U279">
        <v>4.0937755211348003E-3</v>
      </c>
      <c r="V279">
        <v>7.4171699835947902E-2</v>
      </c>
      <c r="W279">
        <v>2.54014678591764E-4</v>
      </c>
      <c r="X279">
        <v>0</v>
      </c>
      <c r="Y279" t="s">
        <v>177</v>
      </c>
      <c r="Z279" t="s">
        <v>177</v>
      </c>
      <c r="AA279" t="s">
        <v>177</v>
      </c>
      <c r="AB279" t="s">
        <v>177</v>
      </c>
      <c r="AC279" t="s">
        <v>177</v>
      </c>
      <c r="AD279" t="s">
        <v>177</v>
      </c>
      <c r="AE279" t="s">
        <v>177</v>
      </c>
      <c r="AF279" t="s">
        <v>177</v>
      </c>
      <c r="AG279" s="876">
        <v>44179</v>
      </c>
      <c r="AH279" s="871">
        <f t="shared" si="8"/>
        <v>44166</v>
      </c>
    </row>
    <row r="280" spans="1:34" hidden="1">
      <c r="A280">
        <v>7</v>
      </c>
      <c r="B280">
        <v>380</v>
      </c>
      <c r="C280" t="s">
        <v>199</v>
      </c>
      <c r="D280">
        <v>154</v>
      </c>
      <c r="E280">
        <v>0</v>
      </c>
      <c r="F280">
        <v>0</v>
      </c>
      <c r="G280" t="s">
        <v>177</v>
      </c>
      <c r="H280" t="s">
        <v>177</v>
      </c>
      <c r="I280" s="876">
        <v>44193</v>
      </c>
      <c r="J280">
        <v>7</v>
      </c>
      <c r="K280" t="s">
        <v>199</v>
      </c>
      <c r="L280">
        <v>380</v>
      </c>
      <c r="M280" t="s">
        <v>177</v>
      </c>
      <c r="N280">
        <v>0</v>
      </c>
      <c r="O280" t="s">
        <v>177</v>
      </c>
      <c r="P280" t="s">
        <v>177</v>
      </c>
      <c r="Q280" t="s">
        <v>177</v>
      </c>
      <c r="R280" t="s">
        <v>177</v>
      </c>
      <c r="S280" t="s">
        <v>177</v>
      </c>
      <c r="T280" t="s">
        <v>177</v>
      </c>
      <c r="U280" t="s">
        <v>177</v>
      </c>
      <c r="V280" t="s">
        <v>177</v>
      </c>
      <c r="W280" t="s">
        <v>177</v>
      </c>
      <c r="X280" t="s">
        <v>177</v>
      </c>
      <c r="Y280" t="s">
        <v>177</v>
      </c>
      <c r="Z280" t="s">
        <v>177</v>
      </c>
      <c r="AA280" t="s">
        <v>177</v>
      </c>
      <c r="AB280" t="s">
        <v>177</v>
      </c>
      <c r="AC280" t="s">
        <v>177</v>
      </c>
      <c r="AD280" t="s">
        <v>177</v>
      </c>
      <c r="AE280" t="s">
        <v>177</v>
      </c>
      <c r="AF280" t="s">
        <v>177</v>
      </c>
      <c r="AG280" s="876">
        <v>44193</v>
      </c>
      <c r="AH280" s="871">
        <f t="shared" si="8"/>
        <v>44166</v>
      </c>
    </row>
    <row r="281" spans="1:34" hidden="1">
      <c r="A281">
        <v>8</v>
      </c>
      <c r="B281">
        <v>380</v>
      </c>
      <c r="C281" t="s">
        <v>199</v>
      </c>
      <c r="D281">
        <v>154</v>
      </c>
      <c r="E281">
        <v>0</v>
      </c>
      <c r="F281">
        <v>0</v>
      </c>
      <c r="G281" t="s">
        <v>177</v>
      </c>
      <c r="H281" t="s">
        <v>177</v>
      </c>
      <c r="I281" s="876">
        <v>44208</v>
      </c>
      <c r="J281">
        <v>8</v>
      </c>
      <c r="K281" t="s">
        <v>199</v>
      </c>
      <c r="L281">
        <v>380</v>
      </c>
      <c r="M281" t="s">
        <v>177</v>
      </c>
      <c r="N281">
        <v>0</v>
      </c>
      <c r="O281" t="s">
        <v>177</v>
      </c>
      <c r="P281" t="s">
        <v>177</v>
      </c>
      <c r="Q281" t="s">
        <v>177</v>
      </c>
      <c r="R281" t="s">
        <v>177</v>
      </c>
      <c r="S281" t="s">
        <v>177</v>
      </c>
      <c r="T281" t="s">
        <v>177</v>
      </c>
      <c r="U281" t="s">
        <v>177</v>
      </c>
      <c r="V281" t="s">
        <v>177</v>
      </c>
      <c r="W281" t="s">
        <v>177</v>
      </c>
      <c r="X281" t="s">
        <v>177</v>
      </c>
      <c r="Y281" t="s">
        <v>177</v>
      </c>
      <c r="Z281" t="s">
        <v>177</v>
      </c>
      <c r="AA281" t="s">
        <v>177</v>
      </c>
      <c r="AB281" t="s">
        <v>177</v>
      </c>
      <c r="AC281" t="s">
        <v>177</v>
      </c>
      <c r="AD281" t="s">
        <v>177</v>
      </c>
      <c r="AE281" t="s">
        <v>177</v>
      </c>
      <c r="AF281" t="s">
        <v>177</v>
      </c>
      <c r="AG281" s="876">
        <v>44208</v>
      </c>
      <c r="AH281" s="871">
        <f t="shared" si="8"/>
        <v>44197</v>
      </c>
    </row>
    <row r="282" spans="1:34" hidden="1">
      <c r="A282">
        <v>1</v>
      </c>
      <c r="B282">
        <v>391</v>
      </c>
      <c r="C282" t="s">
        <v>205</v>
      </c>
      <c r="D282">
        <v>104</v>
      </c>
      <c r="E282">
        <v>311227372.86000001</v>
      </c>
      <c r="F282">
        <v>0</v>
      </c>
      <c r="G282">
        <v>0</v>
      </c>
      <c r="H282">
        <v>0</v>
      </c>
      <c r="I282" s="876">
        <v>44043</v>
      </c>
      <c r="J282">
        <v>1</v>
      </c>
      <c r="K282" t="s">
        <v>205</v>
      </c>
      <c r="L282">
        <v>391</v>
      </c>
      <c r="M282">
        <v>3.2091924171762598E-2</v>
      </c>
      <c r="N282">
        <v>0.739116995417612</v>
      </c>
      <c r="O282">
        <v>0.160510560626271</v>
      </c>
      <c r="P282">
        <v>6.8280519784354801E-2</v>
      </c>
      <c r="Q282">
        <v>-3.3474782260513002E-2</v>
      </c>
      <c r="R282">
        <v>4.4506006051822602E-2</v>
      </c>
      <c r="S282">
        <v>-6.7683975565593201E-3</v>
      </c>
      <c r="T282">
        <v>-1.0684012429381501E-2</v>
      </c>
      <c r="U282">
        <v>1.44482744518194E-3</v>
      </c>
      <c r="V282">
        <v>1.0359390854256E-3</v>
      </c>
      <c r="W282">
        <v>3.6032343835786303E-2</v>
      </c>
      <c r="X282">
        <v>0</v>
      </c>
      <c r="Y282">
        <v>0.27507458798783202</v>
      </c>
      <c r="Z282">
        <v>0.74890236002745902</v>
      </c>
      <c r="AA282">
        <v>-1.6071881801508699E-2</v>
      </c>
      <c r="AB282">
        <v>8.0410429069995307E-2</v>
      </c>
      <c r="AC282">
        <v>2.3464998412222202E-2</v>
      </c>
      <c r="AD282">
        <v>-0.47217892719257998</v>
      </c>
      <c r="AE282">
        <v>9.9515428914191795E-2</v>
      </c>
      <c r="AF282">
        <v>0</v>
      </c>
      <c r="AG282" s="876">
        <v>44043</v>
      </c>
      <c r="AH282" s="871">
        <f t="shared" ref="AH282:AH313" si="9">DATE(YEAR(I282),MONTH(I282),1)</f>
        <v>44013</v>
      </c>
    </row>
    <row r="283" spans="1:34" hidden="1">
      <c r="A283">
        <v>2</v>
      </c>
      <c r="B283">
        <v>391</v>
      </c>
      <c r="C283" t="s">
        <v>205</v>
      </c>
      <c r="D283">
        <v>104</v>
      </c>
      <c r="E283">
        <v>43060716.140000001</v>
      </c>
      <c r="F283">
        <v>0</v>
      </c>
      <c r="G283" t="s">
        <v>177</v>
      </c>
      <c r="H283" t="s">
        <v>177</v>
      </c>
      <c r="I283" s="876">
        <v>44055</v>
      </c>
      <c r="J283">
        <v>2</v>
      </c>
      <c r="K283" t="s">
        <v>205</v>
      </c>
      <c r="L283">
        <v>391</v>
      </c>
      <c r="M283">
        <v>0.55065601087181104</v>
      </c>
      <c r="N283" t="s">
        <v>177</v>
      </c>
      <c r="O283">
        <v>0.194689788490571</v>
      </c>
      <c r="P283">
        <v>0.25465420063761801</v>
      </c>
      <c r="Q283">
        <v>-0.22956865914639701</v>
      </c>
      <c r="R283">
        <v>0.34251240593141202</v>
      </c>
      <c r="S283">
        <v>-6.8257415486230599E-2</v>
      </c>
      <c r="T283">
        <v>1.6758674102077299E-2</v>
      </c>
      <c r="U283">
        <v>2.1148305117217801E-2</v>
      </c>
      <c r="V283">
        <v>0.27913862378417897</v>
      </c>
      <c r="W283">
        <v>0.18892407656955301</v>
      </c>
      <c r="X283">
        <v>0</v>
      </c>
      <c r="Y283" t="s">
        <v>177</v>
      </c>
      <c r="Z283" t="s">
        <v>177</v>
      </c>
      <c r="AA283" t="s">
        <v>177</v>
      </c>
      <c r="AB283" t="s">
        <v>177</v>
      </c>
      <c r="AC283" t="s">
        <v>177</v>
      </c>
      <c r="AD283" t="s">
        <v>177</v>
      </c>
      <c r="AE283" t="s">
        <v>177</v>
      </c>
      <c r="AF283" t="s">
        <v>177</v>
      </c>
      <c r="AG283" s="876">
        <v>44055</v>
      </c>
      <c r="AH283" s="871">
        <f t="shared" si="9"/>
        <v>44044</v>
      </c>
    </row>
    <row r="284" spans="1:34" hidden="1">
      <c r="A284">
        <v>3</v>
      </c>
      <c r="B284">
        <v>391</v>
      </c>
      <c r="C284" t="s">
        <v>205</v>
      </c>
      <c r="D284">
        <v>104</v>
      </c>
      <c r="E284">
        <v>0</v>
      </c>
      <c r="F284">
        <v>0</v>
      </c>
      <c r="G284" t="s">
        <v>177</v>
      </c>
      <c r="H284" t="s">
        <v>177</v>
      </c>
      <c r="I284" s="876">
        <v>44088</v>
      </c>
      <c r="J284">
        <v>3</v>
      </c>
      <c r="K284" t="s">
        <v>205</v>
      </c>
      <c r="L284">
        <v>391</v>
      </c>
      <c r="M284">
        <v>0.74590560407288498</v>
      </c>
      <c r="N284" t="s">
        <v>177</v>
      </c>
      <c r="O284">
        <v>3.1875692338067203E-2</v>
      </c>
      <c r="P284">
        <v>0.22221870358904799</v>
      </c>
      <c r="Q284">
        <v>-0.29825692744598198</v>
      </c>
      <c r="R284">
        <v>0.54436433784344795</v>
      </c>
      <c r="S284">
        <v>-3.1428313487665303E-2</v>
      </c>
      <c r="T284">
        <v>0.31401520918046799</v>
      </c>
      <c r="U284">
        <v>2.2903710616403599E-2</v>
      </c>
      <c r="V284">
        <v>2.6382094232660601E-2</v>
      </c>
      <c r="W284">
        <v>0.16792549313355201</v>
      </c>
      <c r="X284">
        <v>0</v>
      </c>
      <c r="Y284" t="s">
        <v>177</v>
      </c>
      <c r="Z284" t="s">
        <v>177</v>
      </c>
      <c r="AA284" t="s">
        <v>177</v>
      </c>
      <c r="AB284" t="s">
        <v>177</v>
      </c>
      <c r="AC284" t="s">
        <v>177</v>
      </c>
      <c r="AD284" t="s">
        <v>177</v>
      </c>
      <c r="AE284" t="s">
        <v>177</v>
      </c>
      <c r="AF284" t="s">
        <v>177</v>
      </c>
      <c r="AG284" s="876">
        <v>44088</v>
      </c>
      <c r="AH284" s="871">
        <f t="shared" si="9"/>
        <v>44075</v>
      </c>
    </row>
    <row r="285" spans="1:34" hidden="1">
      <c r="A285">
        <v>4</v>
      </c>
      <c r="B285">
        <v>391</v>
      </c>
      <c r="C285" t="s">
        <v>205</v>
      </c>
      <c r="D285">
        <v>104</v>
      </c>
      <c r="E285">
        <v>0</v>
      </c>
      <c r="F285">
        <v>0</v>
      </c>
      <c r="G285" t="s">
        <v>177</v>
      </c>
      <c r="H285" t="s">
        <v>177</v>
      </c>
      <c r="I285" s="876">
        <v>44117</v>
      </c>
      <c r="J285">
        <v>4</v>
      </c>
      <c r="K285" t="s">
        <v>205</v>
      </c>
      <c r="L285">
        <v>391</v>
      </c>
      <c r="M285">
        <v>0.76468736899893397</v>
      </c>
      <c r="N285">
        <v>0</v>
      </c>
      <c r="O285">
        <v>0.19847424613775499</v>
      </c>
      <c r="P285">
        <v>3.6838384863310002E-2</v>
      </c>
      <c r="Q285">
        <v>-0.19377213687527201</v>
      </c>
      <c r="R285">
        <v>0.54278122049167499</v>
      </c>
      <c r="S285">
        <v>-3.0188354355667399E-2</v>
      </c>
      <c r="T285">
        <v>0.22464768749678499</v>
      </c>
      <c r="U285">
        <v>3.0660917142440399E-2</v>
      </c>
      <c r="V285">
        <v>-3.5459020372745002E-2</v>
      </c>
      <c r="W285">
        <v>0.22601705547171799</v>
      </c>
      <c r="X285">
        <v>0</v>
      </c>
      <c r="Y285" t="s">
        <v>177</v>
      </c>
      <c r="Z285" t="s">
        <v>177</v>
      </c>
      <c r="AA285" t="s">
        <v>177</v>
      </c>
      <c r="AB285" t="s">
        <v>177</v>
      </c>
      <c r="AC285" t="s">
        <v>177</v>
      </c>
      <c r="AD285" t="s">
        <v>177</v>
      </c>
      <c r="AE285" t="s">
        <v>177</v>
      </c>
      <c r="AF285" t="s">
        <v>177</v>
      </c>
      <c r="AG285" s="876">
        <v>44117</v>
      </c>
      <c r="AH285" s="871">
        <f t="shared" si="9"/>
        <v>44105</v>
      </c>
    </row>
    <row r="286" spans="1:34" hidden="1">
      <c r="A286">
        <v>5</v>
      </c>
      <c r="B286">
        <v>391</v>
      </c>
      <c r="C286" t="s">
        <v>205</v>
      </c>
      <c r="D286">
        <v>104</v>
      </c>
      <c r="E286">
        <v>0</v>
      </c>
      <c r="F286">
        <v>0</v>
      </c>
      <c r="G286" t="s">
        <v>177</v>
      </c>
      <c r="H286" t="s">
        <v>177</v>
      </c>
      <c r="I286" s="876">
        <v>44147</v>
      </c>
      <c r="J286">
        <v>5</v>
      </c>
      <c r="K286" t="s">
        <v>205</v>
      </c>
      <c r="L286">
        <v>391</v>
      </c>
      <c r="M286">
        <v>0.98313823080562501</v>
      </c>
      <c r="N286">
        <v>0</v>
      </c>
      <c r="O286">
        <v>0</v>
      </c>
      <c r="P286">
        <v>1.6861769194375199E-2</v>
      </c>
      <c r="Q286">
        <v>0.80805730300395495</v>
      </c>
      <c r="R286">
        <v>0.36086908637505799</v>
      </c>
      <c r="S286">
        <v>4.3457034101480801E-2</v>
      </c>
      <c r="T286">
        <v>-2.7304849732648802E-3</v>
      </c>
      <c r="U286">
        <v>8.0373069675075404E-3</v>
      </c>
      <c r="V286">
        <v>-5.9108005425179598E-2</v>
      </c>
      <c r="W286">
        <v>-0.175444009243932</v>
      </c>
      <c r="X286">
        <v>0</v>
      </c>
      <c r="Y286" t="s">
        <v>177</v>
      </c>
      <c r="Z286" t="s">
        <v>177</v>
      </c>
      <c r="AA286" t="s">
        <v>177</v>
      </c>
      <c r="AB286" t="s">
        <v>177</v>
      </c>
      <c r="AC286" t="s">
        <v>177</v>
      </c>
      <c r="AD286" t="s">
        <v>177</v>
      </c>
      <c r="AE286" t="s">
        <v>177</v>
      </c>
      <c r="AF286" t="s">
        <v>177</v>
      </c>
      <c r="AG286" s="876">
        <v>44147</v>
      </c>
      <c r="AH286" s="871">
        <f t="shared" si="9"/>
        <v>44136</v>
      </c>
    </row>
    <row r="287" spans="1:34" hidden="1">
      <c r="A287">
        <v>6</v>
      </c>
      <c r="B287">
        <v>391</v>
      </c>
      <c r="C287" t="s">
        <v>205</v>
      </c>
      <c r="D287">
        <v>104</v>
      </c>
      <c r="E287">
        <v>0</v>
      </c>
      <c r="F287">
        <v>0</v>
      </c>
      <c r="G287" t="s">
        <v>177</v>
      </c>
      <c r="H287" t="s">
        <v>177</v>
      </c>
      <c r="I287" s="876">
        <v>44179</v>
      </c>
      <c r="J287">
        <v>6</v>
      </c>
      <c r="K287" t="s">
        <v>205</v>
      </c>
      <c r="L287">
        <v>391</v>
      </c>
      <c r="M287">
        <v>0.85708355999680497</v>
      </c>
      <c r="N287">
        <v>0</v>
      </c>
      <c r="O287">
        <v>0.14291644000319501</v>
      </c>
      <c r="P287">
        <v>0</v>
      </c>
      <c r="Q287">
        <v>0.65792130674862404</v>
      </c>
      <c r="R287">
        <v>0.110449467348778</v>
      </c>
      <c r="S287">
        <v>0</v>
      </c>
      <c r="T287">
        <v>2.1882861385157298E-2</v>
      </c>
      <c r="U287">
        <v>3.8965415695921598E-3</v>
      </c>
      <c r="V287">
        <v>6.2844863500284107E-2</v>
      </c>
      <c r="W287">
        <v>8.8519444369505206E-5</v>
      </c>
      <c r="X287">
        <v>0</v>
      </c>
      <c r="Y287" t="s">
        <v>177</v>
      </c>
      <c r="Z287" t="s">
        <v>177</v>
      </c>
      <c r="AA287" t="s">
        <v>177</v>
      </c>
      <c r="AB287" t="s">
        <v>177</v>
      </c>
      <c r="AC287" t="s">
        <v>177</v>
      </c>
      <c r="AD287" t="s">
        <v>177</v>
      </c>
      <c r="AE287" t="s">
        <v>177</v>
      </c>
      <c r="AF287" t="s">
        <v>177</v>
      </c>
      <c r="AG287" s="876">
        <v>44179</v>
      </c>
      <c r="AH287" s="871">
        <f t="shared" si="9"/>
        <v>44166</v>
      </c>
    </row>
    <row r="288" spans="1:34" hidden="1">
      <c r="A288">
        <v>7</v>
      </c>
      <c r="B288">
        <v>391</v>
      </c>
      <c r="C288" t="s">
        <v>205</v>
      </c>
      <c r="D288">
        <v>104</v>
      </c>
      <c r="E288">
        <v>0</v>
      </c>
      <c r="F288">
        <v>0</v>
      </c>
      <c r="G288" t="s">
        <v>177</v>
      </c>
      <c r="H288" t="s">
        <v>177</v>
      </c>
      <c r="I288" s="876">
        <v>44193</v>
      </c>
      <c r="J288">
        <v>7</v>
      </c>
      <c r="K288" t="s">
        <v>205</v>
      </c>
      <c r="L288">
        <v>391</v>
      </c>
      <c r="M288" t="s">
        <v>177</v>
      </c>
      <c r="N288">
        <v>0</v>
      </c>
      <c r="O288" t="s">
        <v>177</v>
      </c>
      <c r="P288" t="s">
        <v>177</v>
      </c>
      <c r="Q288" t="s">
        <v>177</v>
      </c>
      <c r="R288" t="s">
        <v>177</v>
      </c>
      <c r="S288" t="s">
        <v>177</v>
      </c>
      <c r="T288" t="s">
        <v>177</v>
      </c>
      <c r="U288" t="s">
        <v>177</v>
      </c>
      <c r="V288" t="s">
        <v>177</v>
      </c>
      <c r="W288" t="s">
        <v>177</v>
      </c>
      <c r="X288" t="s">
        <v>177</v>
      </c>
      <c r="Y288" t="s">
        <v>177</v>
      </c>
      <c r="Z288" t="s">
        <v>177</v>
      </c>
      <c r="AA288" t="s">
        <v>177</v>
      </c>
      <c r="AB288" t="s">
        <v>177</v>
      </c>
      <c r="AC288" t="s">
        <v>177</v>
      </c>
      <c r="AD288" t="s">
        <v>177</v>
      </c>
      <c r="AE288" t="s">
        <v>177</v>
      </c>
      <c r="AF288" t="s">
        <v>177</v>
      </c>
      <c r="AG288" s="876">
        <v>44193</v>
      </c>
      <c r="AH288" s="871">
        <f t="shared" si="9"/>
        <v>44166</v>
      </c>
    </row>
    <row r="289" spans="1:34" hidden="1">
      <c r="A289">
        <v>8</v>
      </c>
      <c r="B289">
        <v>391</v>
      </c>
      <c r="C289" t="s">
        <v>205</v>
      </c>
      <c r="D289">
        <v>104</v>
      </c>
      <c r="E289">
        <v>0</v>
      </c>
      <c r="F289">
        <v>0</v>
      </c>
      <c r="G289" t="s">
        <v>177</v>
      </c>
      <c r="H289" t="s">
        <v>177</v>
      </c>
      <c r="I289" s="876">
        <v>44208</v>
      </c>
      <c r="J289">
        <v>8</v>
      </c>
      <c r="K289" t="s">
        <v>205</v>
      </c>
      <c r="L289">
        <v>391</v>
      </c>
      <c r="M289" t="s">
        <v>177</v>
      </c>
      <c r="N289">
        <v>0</v>
      </c>
      <c r="O289" t="s">
        <v>177</v>
      </c>
      <c r="P289" t="s">
        <v>177</v>
      </c>
      <c r="Q289" t="s">
        <v>177</v>
      </c>
      <c r="R289" t="s">
        <v>177</v>
      </c>
      <c r="S289" t="s">
        <v>177</v>
      </c>
      <c r="T289" t="s">
        <v>177</v>
      </c>
      <c r="U289" t="s">
        <v>177</v>
      </c>
      <c r="V289" t="s">
        <v>177</v>
      </c>
      <c r="W289" t="s">
        <v>177</v>
      </c>
      <c r="X289" t="s">
        <v>177</v>
      </c>
      <c r="Y289" t="s">
        <v>177</v>
      </c>
      <c r="Z289" t="s">
        <v>177</v>
      </c>
      <c r="AA289" t="s">
        <v>177</v>
      </c>
      <c r="AB289" t="s">
        <v>177</v>
      </c>
      <c r="AC289" t="s">
        <v>177</v>
      </c>
      <c r="AD289" t="s">
        <v>177</v>
      </c>
      <c r="AE289" t="s">
        <v>177</v>
      </c>
      <c r="AF289" t="s">
        <v>177</v>
      </c>
      <c r="AG289" s="876">
        <v>44208</v>
      </c>
      <c r="AH289" s="871">
        <f t="shared" si="9"/>
        <v>44197</v>
      </c>
    </row>
    <row r="290" spans="1:34" hidden="1">
      <c r="A290">
        <v>1</v>
      </c>
      <c r="B290">
        <v>86</v>
      </c>
      <c r="C290" t="s">
        <v>191</v>
      </c>
      <c r="D290">
        <v>144</v>
      </c>
      <c r="E290">
        <v>235844.59</v>
      </c>
      <c r="F290">
        <v>239000</v>
      </c>
      <c r="G290">
        <v>0</v>
      </c>
      <c r="H290">
        <v>0</v>
      </c>
      <c r="I290" s="876">
        <v>44043</v>
      </c>
      <c r="J290">
        <v>1</v>
      </c>
      <c r="K290" t="s">
        <v>191</v>
      </c>
      <c r="L290">
        <v>86</v>
      </c>
      <c r="M290">
        <v>0.250847687453844</v>
      </c>
      <c r="N290">
        <v>0.74890125739157298</v>
      </c>
      <c r="O290">
        <v>0</v>
      </c>
      <c r="P290">
        <v>2.5105515458294001E-4</v>
      </c>
      <c r="Q290">
        <v>4.8592889071570403E-2</v>
      </c>
      <c r="R290">
        <v>0</v>
      </c>
      <c r="S290">
        <v>-6.4407625377372393E-2</v>
      </c>
      <c r="T290">
        <v>0</v>
      </c>
      <c r="U290">
        <v>0</v>
      </c>
      <c r="V290">
        <v>0</v>
      </c>
      <c r="W290">
        <v>0.26666242375964599</v>
      </c>
      <c r="X290">
        <v>0</v>
      </c>
      <c r="Y290">
        <v>0.29448557628563798</v>
      </c>
      <c r="Z290">
        <v>0</v>
      </c>
      <c r="AA290">
        <v>5.6220666329467199E-2</v>
      </c>
      <c r="AB290">
        <v>0</v>
      </c>
      <c r="AC290">
        <v>0</v>
      </c>
      <c r="AD290">
        <v>0</v>
      </c>
      <c r="AE290">
        <v>0.39819501477646801</v>
      </c>
      <c r="AF290">
        <v>0</v>
      </c>
      <c r="AG290" s="876">
        <v>44043</v>
      </c>
      <c r="AH290" s="871">
        <f t="shared" si="9"/>
        <v>44013</v>
      </c>
    </row>
    <row r="291" spans="1:34" hidden="1">
      <c r="A291">
        <v>2</v>
      </c>
      <c r="B291">
        <v>86</v>
      </c>
      <c r="C291" t="s">
        <v>191</v>
      </c>
      <c r="D291">
        <v>144</v>
      </c>
      <c r="E291">
        <v>318724.3</v>
      </c>
      <c r="F291">
        <v>0</v>
      </c>
      <c r="G291" t="s">
        <v>177</v>
      </c>
      <c r="H291" t="s">
        <v>177</v>
      </c>
      <c r="I291" s="876">
        <v>44055</v>
      </c>
      <c r="J291">
        <v>2</v>
      </c>
      <c r="K291" t="s">
        <v>191</v>
      </c>
      <c r="L291">
        <v>86</v>
      </c>
      <c r="M291">
        <v>1</v>
      </c>
      <c r="N291" t="s">
        <v>177</v>
      </c>
      <c r="O291">
        <v>0</v>
      </c>
      <c r="P291">
        <v>0</v>
      </c>
      <c r="Q291">
        <v>0.53709971282390501</v>
      </c>
      <c r="R291">
        <v>0</v>
      </c>
      <c r="S291">
        <v>-6.4258326083075606E-2</v>
      </c>
      <c r="T291">
        <v>0</v>
      </c>
      <c r="U291">
        <v>0</v>
      </c>
      <c r="V291">
        <v>0</v>
      </c>
      <c r="W291">
        <v>0.52715861325917102</v>
      </c>
      <c r="X291">
        <v>0</v>
      </c>
      <c r="Y291" t="s">
        <v>177</v>
      </c>
      <c r="Z291" t="s">
        <v>177</v>
      </c>
      <c r="AA291" t="s">
        <v>177</v>
      </c>
      <c r="AB291" t="s">
        <v>177</v>
      </c>
      <c r="AC291" t="s">
        <v>177</v>
      </c>
      <c r="AD291" t="s">
        <v>177</v>
      </c>
      <c r="AE291" t="s">
        <v>177</v>
      </c>
      <c r="AF291" t="s">
        <v>177</v>
      </c>
      <c r="AG291" s="876">
        <v>44055</v>
      </c>
      <c r="AH291" s="871">
        <f t="shared" si="9"/>
        <v>44044</v>
      </c>
    </row>
    <row r="292" spans="1:34" hidden="1">
      <c r="A292">
        <v>3</v>
      </c>
      <c r="B292">
        <v>86</v>
      </c>
      <c r="C292" t="s">
        <v>191</v>
      </c>
      <c r="D292">
        <v>144</v>
      </c>
      <c r="E292">
        <v>80551.190000000104</v>
      </c>
      <c r="F292">
        <v>0</v>
      </c>
      <c r="G292" t="s">
        <v>177</v>
      </c>
      <c r="H292" t="s">
        <v>177</v>
      </c>
      <c r="I292" s="876">
        <v>44088</v>
      </c>
      <c r="J292">
        <v>3</v>
      </c>
      <c r="K292" t="s">
        <v>191</v>
      </c>
      <c r="L292">
        <v>86</v>
      </c>
      <c r="M292">
        <v>0</v>
      </c>
      <c r="N292" t="s">
        <v>177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177</v>
      </c>
      <c r="Z292" t="s">
        <v>177</v>
      </c>
      <c r="AA292" t="s">
        <v>177</v>
      </c>
      <c r="AB292" t="s">
        <v>177</v>
      </c>
      <c r="AC292" t="s">
        <v>177</v>
      </c>
      <c r="AD292" t="s">
        <v>177</v>
      </c>
      <c r="AE292" t="s">
        <v>177</v>
      </c>
      <c r="AF292" t="s">
        <v>177</v>
      </c>
      <c r="AG292" s="876">
        <v>44088</v>
      </c>
      <c r="AH292" s="871">
        <f t="shared" si="9"/>
        <v>44075</v>
      </c>
    </row>
    <row r="293" spans="1:34" hidden="1">
      <c r="A293">
        <v>4</v>
      </c>
      <c r="B293">
        <v>86</v>
      </c>
      <c r="C293" t="s">
        <v>191</v>
      </c>
      <c r="D293">
        <v>144</v>
      </c>
      <c r="E293">
        <v>0</v>
      </c>
      <c r="F293">
        <v>0</v>
      </c>
      <c r="G293" t="s">
        <v>177</v>
      </c>
      <c r="H293" t="s">
        <v>177</v>
      </c>
      <c r="I293" s="876">
        <v>44117</v>
      </c>
      <c r="J293">
        <v>4</v>
      </c>
      <c r="K293" t="s">
        <v>191</v>
      </c>
      <c r="L293">
        <v>86</v>
      </c>
      <c r="M293">
        <v>6.7443223975753294E-2</v>
      </c>
      <c r="N293">
        <v>0</v>
      </c>
      <c r="O293">
        <v>0</v>
      </c>
      <c r="P293">
        <v>0.93255677602424702</v>
      </c>
      <c r="Q293">
        <v>7.1217696017899595E-2</v>
      </c>
      <c r="R293">
        <v>0</v>
      </c>
      <c r="S293">
        <v>1.12595904697657E-2</v>
      </c>
      <c r="T293">
        <v>0</v>
      </c>
      <c r="U293">
        <v>0</v>
      </c>
      <c r="V293">
        <v>0</v>
      </c>
      <c r="W293">
        <v>-1.5034062511911901E-2</v>
      </c>
      <c r="X293">
        <v>0</v>
      </c>
      <c r="Y293" t="s">
        <v>177</v>
      </c>
      <c r="Z293" t="s">
        <v>177</v>
      </c>
      <c r="AA293" t="s">
        <v>177</v>
      </c>
      <c r="AB293" t="s">
        <v>177</v>
      </c>
      <c r="AC293" t="s">
        <v>177</v>
      </c>
      <c r="AD293" t="s">
        <v>177</v>
      </c>
      <c r="AE293" t="s">
        <v>177</v>
      </c>
      <c r="AF293" t="s">
        <v>177</v>
      </c>
      <c r="AG293" s="876">
        <v>44117</v>
      </c>
      <c r="AH293" s="871">
        <f t="shared" si="9"/>
        <v>44105</v>
      </c>
    </row>
    <row r="294" spans="1:34" hidden="1">
      <c r="A294">
        <v>5</v>
      </c>
      <c r="B294">
        <v>86</v>
      </c>
      <c r="C294" t="s">
        <v>191</v>
      </c>
      <c r="D294">
        <v>144</v>
      </c>
      <c r="E294">
        <v>0</v>
      </c>
      <c r="F294">
        <v>0</v>
      </c>
      <c r="G294" t="s">
        <v>177</v>
      </c>
      <c r="H294" t="s">
        <v>177</v>
      </c>
      <c r="I294" s="876">
        <v>44147</v>
      </c>
      <c r="J294">
        <v>5</v>
      </c>
      <c r="K294" t="s">
        <v>191</v>
      </c>
      <c r="L294">
        <v>86</v>
      </c>
      <c r="M294">
        <v>0.12541995989410001</v>
      </c>
      <c r="N294">
        <v>0</v>
      </c>
      <c r="O294">
        <v>0</v>
      </c>
      <c r="P294">
        <v>0.87458004010589996</v>
      </c>
      <c r="Q294">
        <v>0.12772313156562101</v>
      </c>
      <c r="R294">
        <v>0</v>
      </c>
      <c r="S294">
        <v>1.0210410594110601E-2</v>
      </c>
      <c r="T294">
        <v>0</v>
      </c>
      <c r="U294">
        <v>0</v>
      </c>
      <c r="V294">
        <v>0</v>
      </c>
      <c r="W294">
        <v>-1.2513582265631399E-2</v>
      </c>
      <c r="X294">
        <v>0</v>
      </c>
      <c r="Y294" t="s">
        <v>177</v>
      </c>
      <c r="Z294" t="s">
        <v>177</v>
      </c>
      <c r="AA294" t="s">
        <v>177</v>
      </c>
      <c r="AB294" t="s">
        <v>177</v>
      </c>
      <c r="AC294" t="s">
        <v>177</v>
      </c>
      <c r="AD294" t="s">
        <v>177</v>
      </c>
      <c r="AE294" t="s">
        <v>177</v>
      </c>
      <c r="AF294" t="s">
        <v>177</v>
      </c>
      <c r="AG294" s="876">
        <v>44147</v>
      </c>
      <c r="AH294" s="871">
        <f t="shared" si="9"/>
        <v>44136</v>
      </c>
    </row>
    <row r="295" spans="1:34" hidden="1">
      <c r="A295">
        <v>6</v>
      </c>
      <c r="B295">
        <v>86</v>
      </c>
      <c r="C295" t="s">
        <v>191</v>
      </c>
      <c r="D295">
        <v>144</v>
      </c>
      <c r="E295">
        <v>0</v>
      </c>
      <c r="F295">
        <v>0</v>
      </c>
      <c r="G295" t="s">
        <v>177</v>
      </c>
      <c r="H295" t="s">
        <v>177</v>
      </c>
      <c r="I295" s="876">
        <v>44179</v>
      </c>
      <c r="J295">
        <v>6</v>
      </c>
      <c r="K295" t="s">
        <v>191</v>
      </c>
      <c r="L295">
        <v>86</v>
      </c>
      <c r="M295">
        <v>1</v>
      </c>
      <c r="N295">
        <v>0</v>
      </c>
      <c r="O295">
        <v>0</v>
      </c>
      <c r="P295">
        <v>0</v>
      </c>
      <c r="Q295">
        <v>1.0059893758620699</v>
      </c>
      <c r="R295">
        <v>0</v>
      </c>
      <c r="S295">
        <v>5.5000179166983097E-2</v>
      </c>
      <c r="T295">
        <v>0</v>
      </c>
      <c r="U295">
        <v>0</v>
      </c>
      <c r="V295">
        <v>0</v>
      </c>
      <c r="W295">
        <v>-6.0989555029050298E-2</v>
      </c>
      <c r="X295">
        <v>0</v>
      </c>
      <c r="Y295" t="s">
        <v>177</v>
      </c>
      <c r="Z295" t="s">
        <v>177</v>
      </c>
      <c r="AA295" t="s">
        <v>177</v>
      </c>
      <c r="AB295" t="s">
        <v>177</v>
      </c>
      <c r="AC295" t="s">
        <v>177</v>
      </c>
      <c r="AD295" t="s">
        <v>177</v>
      </c>
      <c r="AE295" t="s">
        <v>177</v>
      </c>
      <c r="AF295" t="s">
        <v>177</v>
      </c>
      <c r="AG295" s="876">
        <v>44179</v>
      </c>
      <c r="AH295" s="871">
        <f t="shared" si="9"/>
        <v>44166</v>
      </c>
    </row>
    <row r="296" spans="1:34" hidden="1">
      <c r="A296">
        <v>7</v>
      </c>
      <c r="B296">
        <v>86</v>
      </c>
      <c r="C296" t="s">
        <v>191</v>
      </c>
      <c r="D296">
        <v>144</v>
      </c>
      <c r="E296">
        <v>0</v>
      </c>
      <c r="F296">
        <v>0</v>
      </c>
      <c r="G296" t="s">
        <v>177</v>
      </c>
      <c r="H296" t="s">
        <v>177</v>
      </c>
      <c r="I296" s="876">
        <v>44193</v>
      </c>
      <c r="J296">
        <v>7</v>
      </c>
      <c r="K296" t="s">
        <v>191</v>
      </c>
      <c r="L296">
        <v>86</v>
      </c>
      <c r="M296">
        <v>0.174664906658589</v>
      </c>
      <c r="N296">
        <v>0</v>
      </c>
      <c r="O296">
        <v>0</v>
      </c>
      <c r="P296">
        <v>0.82533509334141097</v>
      </c>
      <c r="Q296">
        <v>0.13044932228702599</v>
      </c>
      <c r="R296">
        <v>0</v>
      </c>
      <c r="S296">
        <v>5.1499058704833699E-2</v>
      </c>
      <c r="T296">
        <v>0</v>
      </c>
      <c r="U296">
        <v>0</v>
      </c>
      <c r="V296">
        <v>0</v>
      </c>
      <c r="W296">
        <v>-7.2834743332705603E-3</v>
      </c>
      <c r="X296">
        <v>0</v>
      </c>
      <c r="Y296" t="s">
        <v>177</v>
      </c>
      <c r="Z296" t="s">
        <v>177</v>
      </c>
      <c r="AA296" t="s">
        <v>177</v>
      </c>
      <c r="AB296" t="s">
        <v>177</v>
      </c>
      <c r="AC296" t="s">
        <v>177</v>
      </c>
      <c r="AD296" t="s">
        <v>177</v>
      </c>
      <c r="AE296" t="s">
        <v>177</v>
      </c>
      <c r="AF296" t="s">
        <v>177</v>
      </c>
      <c r="AG296" s="876">
        <v>44193</v>
      </c>
      <c r="AH296" s="871">
        <f t="shared" si="9"/>
        <v>44166</v>
      </c>
    </row>
    <row r="297" spans="1:34" hidden="1">
      <c r="A297">
        <v>8</v>
      </c>
      <c r="B297">
        <v>86</v>
      </c>
      <c r="C297" t="s">
        <v>191</v>
      </c>
      <c r="D297">
        <v>144</v>
      </c>
      <c r="E297">
        <v>0</v>
      </c>
      <c r="F297">
        <v>0</v>
      </c>
      <c r="G297" t="s">
        <v>177</v>
      </c>
      <c r="H297" t="s">
        <v>177</v>
      </c>
      <c r="I297" s="876">
        <v>44208</v>
      </c>
      <c r="J297">
        <v>8</v>
      </c>
      <c r="K297" t="s">
        <v>191</v>
      </c>
      <c r="L297">
        <v>86</v>
      </c>
      <c r="M297">
        <v>0.174664906658589</v>
      </c>
      <c r="N297">
        <v>0</v>
      </c>
      <c r="O297">
        <v>0</v>
      </c>
      <c r="P297">
        <v>0.82533509334141097</v>
      </c>
      <c r="Q297">
        <v>0.13044932228702599</v>
      </c>
      <c r="R297">
        <v>0</v>
      </c>
      <c r="S297">
        <v>5.1499058704833699E-2</v>
      </c>
      <c r="T297">
        <v>0</v>
      </c>
      <c r="U297">
        <v>0</v>
      </c>
      <c r="V297">
        <v>0</v>
      </c>
      <c r="W297">
        <v>-7.2834743332705603E-3</v>
      </c>
      <c r="X297">
        <v>0</v>
      </c>
      <c r="Y297" t="s">
        <v>177</v>
      </c>
      <c r="Z297" t="s">
        <v>177</v>
      </c>
      <c r="AA297" t="s">
        <v>177</v>
      </c>
      <c r="AB297" t="s">
        <v>177</v>
      </c>
      <c r="AC297" t="s">
        <v>177</v>
      </c>
      <c r="AD297" t="s">
        <v>177</v>
      </c>
      <c r="AE297" t="s">
        <v>177</v>
      </c>
      <c r="AF297" t="s">
        <v>177</v>
      </c>
      <c r="AG297" s="876">
        <v>44208</v>
      </c>
      <c r="AH297" s="871">
        <f t="shared" si="9"/>
        <v>44197</v>
      </c>
    </row>
    <row r="298" spans="1:34" hidden="1">
      <c r="A298">
        <v>1</v>
      </c>
      <c r="B298">
        <v>385</v>
      </c>
      <c r="C298" t="s">
        <v>203</v>
      </c>
      <c r="D298">
        <v>145</v>
      </c>
      <c r="E298">
        <v>470965466.30000001</v>
      </c>
      <c r="F298">
        <v>0</v>
      </c>
      <c r="G298">
        <v>0</v>
      </c>
      <c r="H298">
        <v>0</v>
      </c>
      <c r="I298" s="876">
        <v>44043</v>
      </c>
      <c r="J298">
        <v>1</v>
      </c>
      <c r="K298" t="s">
        <v>203</v>
      </c>
      <c r="L298">
        <v>385</v>
      </c>
      <c r="M298">
        <v>5.5875230163546299E-2</v>
      </c>
      <c r="N298">
        <v>0.77769406777734396</v>
      </c>
      <c r="O298">
        <v>0.12887102642279699</v>
      </c>
      <c r="P298">
        <v>3.7559675636312503E-2</v>
      </c>
      <c r="Q298">
        <v>-1.7087568217672901E-2</v>
      </c>
      <c r="R298">
        <v>6.8591542509687201E-2</v>
      </c>
      <c r="S298">
        <v>-3.8623524750949802E-3</v>
      </c>
      <c r="T298">
        <v>-2.1874415790045398E-2</v>
      </c>
      <c r="U298">
        <v>1.0746353255609801E-3</v>
      </c>
      <c r="V298">
        <v>9.0577304847791404E-3</v>
      </c>
      <c r="W298">
        <v>1.9975658326332201E-2</v>
      </c>
      <c r="X298">
        <v>0</v>
      </c>
      <c r="Y298">
        <v>0.22165458783750999</v>
      </c>
      <c r="Z298">
        <v>0.60351219183413496</v>
      </c>
      <c r="AA298">
        <v>-1.2167061562593199E-2</v>
      </c>
      <c r="AB298">
        <v>0.14222113412868101</v>
      </c>
      <c r="AC298">
        <v>2.2578849351988901E-2</v>
      </c>
      <c r="AD298">
        <v>-0.31285834404382201</v>
      </c>
      <c r="AE298">
        <v>0.11275271023144399</v>
      </c>
      <c r="AF298">
        <v>0</v>
      </c>
      <c r="AG298" s="876">
        <v>44043</v>
      </c>
      <c r="AH298" s="871">
        <f t="shared" si="9"/>
        <v>44013</v>
      </c>
    </row>
    <row r="299" spans="1:34" hidden="1">
      <c r="A299">
        <v>2</v>
      </c>
      <c r="B299">
        <v>385</v>
      </c>
      <c r="C299" t="s">
        <v>203</v>
      </c>
      <c r="D299">
        <v>145</v>
      </c>
      <c r="E299">
        <v>70781718.019999996</v>
      </c>
      <c r="F299">
        <v>0</v>
      </c>
      <c r="G299" t="s">
        <v>177</v>
      </c>
      <c r="H299" t="s">
        <v>177</v>
      </c>
      <c r="I299" s="876">
        <v>44055</v>
      </c>
      <c r="J299">
        <v>2</v>
      </c>
      <c r="K299" t="s">
        <v>203</v>
      </c>
      <c r="L299">
        <v>385</v>
      </c>
      <c r="M299">
        <v>0.83660902825647798</v>
      </c>
      <c r="N299" t="s">
        <v>177</v>
      </c>
      <c r="O299">
        <v>0.16339097174352199</v>
      </c>
      <c r="P299">
        <v>0</v>
      </c>
      <c r="Q299">
        <v>-0.16261104296779999</v>
      </c>
      <c r="R299">
        <v>0.53326759054676498</v>
      </c>
      <c r="S299">
        <v>-2.60612790863015E-2</v>
      </c>
      <c r="T299">
        <v>0.28184311130626799</v>
      </c>
      <c r="U299">
        <v>7.2360411148298101E-3</v>
      </c>
      <c r="V299">
        <v>4.0681523322252E-2</v>
      </c>
      <c r="W299">
        <v>0.16225308402046501</v>
      </c>
      <c r="X299">
        <v>0</v>
      </c>
      <c r="Y299" t="s">
        <v>177</v>
      </c>
      <c r="Z299" t="s">
        <v>177</v>
      </c>
      <c r="AA299" t="s">
        <v>177</v>
      </c>
      <c r="AB299" t="s">
        <v>177</v>
      </c>
      <c r="AC299" t="s">
        <v>177</v>
      </c>
      <c r="AD299" t="s">
        <v>177</v>
      </c>
      <c r="AE299" t="s">
        <v>177</v>
      </c>
      <c r="AF299" t="s">
        <v>177</v>
      </c>
      <c r="AG299" s="876">
        <v>44055</v>
      </c>
      <c r="AH299" s="871">
        <f t="shared" si="9"/>
        <v>44044</v>
      </c>
    </row>
    <row r="300" spans="1:34" hidden="1">
      <c r="A300">
        <v>3</v>
      </c>
      <c r="B300">
        <v>385</v>
      </c>
      <c r="C300" t="s">
        <v>203</v>
      </c>
      <c r="D300">
        <v>145</v>
      </c>
      <c r="E300">
        <v>72543957.680000007</v>
      </c>
      <c r="F300">
        <v>0</v>
      </c>
      <c r="G300" t="s">
        <v>177</v>
      </c>
      <c r="H300" t="s">
        <v>177</v>
      </c>
      <c r="I300" s="876">
        <v>44088</v>
      </c>
      <c r="J300">
        <v>3</v>
      </c>
      <c r="K300" t="s">
        <v>203</v>
      </c>
      <c r="L300">
        <v>385</v>
      </c>
      <c r="M300">
        <v>0.87533969689695901</v>
      </c>
      <c r="N300" t="s">
        <v>177</v>
      </c>
      <c r="O300">
        <v>7.8733690708105999E-2</v>
      </c>
      <c r="P300">
        <v>4.5926612394935298E-2</v>
      </c>
      <c r="Q300">
        <v>4.6899793466561597E-2</v>
      </c>
      <c r="R300">
        <v>0.355790433514377</v>
      </c>
      <c r="S300">
        <v>-2.1841908393597599E-2</v>
      </c>
      <c r="T300">
        <v>0.33579586709192299</v>
      </c>
      <c r="U300">
        <v>4.0025008272750198E-2</v>
      </c>
      <c r="V300">
        <v>5.7222815183746696E-3</v>
      </c>
      <c r="W300">
        <v>0.11294822142657</v>
      </c>
      <c r="X300">
        <v>0</v>
      </c>
      <c r="Y300" t="s">
        <v>177</v>
      </c>
      <c r="Z300" t="s">
        <v>177</v>
      </c>
      <c r="AA300" t="s">
        <v>177</v>
      </c>
      <c r="AB300" t="s">
        <v>177</v>
      </c>
      <c r="AC300" t="s">
        <v>177</v>
      </c>
      <c r="AD300" t="s">
        <v>177</v>
      </c>
      <c r="AE300" t="s">
        <v>177</v>
      </c>
      <c r="AF300" t="s">
        <v>177</v>
      </c>
      <c r="AG300" s="876">
        <v>44088</v>
      </c>
      <c r="AH300" s="871">
        <f t="shared" si="9"/>
        <v>44075</v>
      </c>
    </row>
    <row r="301" spans="1:34" hidden="1">
      <c r="A301">
        <v>4</v>
      </c>
      <c r="B301">
        <v>385</v>
      </c>
      <c r="C301" t="s">
        <v>203</v>
      </c>
      <c r="D301">
        <v>145</v>
      </c>
      <c r="E301">
        <v>0</v>
      </c>
      <c r="F301">
        <v>0</v>
      </c>
      <c r="G301" t="s">
        <v>177</v>
      </c>
      <c r="H301" t="s">
        <v>177</v>
      </c>
      <c r="I301" s="876">
        <v>44117</v>
      </c>
      <c r="J301">
        <v>4</v>
      </c>
      <c r="K301" t="s">
        <v>203</v>
      </c>
      <c r="L301">
        <v>385</v>
      </c>
      <c r="M301" t="s">
        <v>177</v>
      </c>
      <c r="N301" t="s">
        <v>177</v>
      </c>
      <c r="O301" t="s">
        <v>177</v>
      </c>
      <c r="P301" t="s">
        <v>177</v>
      </c>
      <c r="Q301" t="s">
        <v>177</v>
      </c>
      <c r="R301" t="s">
        <v>177</v>
      </c>
      <c r="S301" t="s">
        <v>177</v>
      </c>
      <c r="T301" t="s">
        <v>177</v>
      </c>
      <c r="U301" t="s">
        <v>177</v>
      </c>
      <c r="V301" t="s">
        <v>177</v>
      </c>
      <c r="W301" t="s">
        <v>177</v>
      </c>
      <c r="X301" t="s">
        <v>177</v>
      </c>
      <c r="Y301" t="s">
        <v>177</v>
      </c>
      <c r="Z301" t="s">
        <v>177</v>
      </c>
      <c r="AA301" t="s">
        <v>177</v>
      </c>
      <c r="AB301" t="s">
        <v>177</v>
      </c>
      <c r="AC301" t="s">
        <v>177</v>
      </c>
      <c r="AD301" t="s">
        <v>177</v>
      </c>
      <c r="AE301" t="s">
        <v>177</v>
      </c>
      <c r="AF301" t="s">
        <v>177</v>
      </c>
      <c r="AG301" s="876">
        <v>44117</v>
      </c>
      <c r="AH301" s="871">
        <f t="shared" si="9"/>
        <v>44105</v>
      </c>
    </row>
    <row r="302" spans="1:34" hidden="1">
      <c r="A302">
        <v>5</v>
      </c>
      <c r="B302">
        <v>385</v>
      </c>
      <c r="C302" t="s">
        <v>203</v>
      </c>
      <c r="D302">
        <v>145</v>
      </c>
      <c r="E302">
        <v>0</v>
      </c>
      <c r="F302">
        <v>0</v>
      </c>
      <c r="G302" t="s">
        <v>177</v>
      </c>
      <c r="H302" t="s">
        <v>177</v>
      </c>
      <c r="I302" s="876">
        <v>44147</v>
      </c>
      <c r="J302">
        <v>5</v>
      </c>
      <c r="K302" t="s">
        <v>203</v>
      </c>
      <c r="L302">
        <v>385</v>
      </c>
      <c r="M302" t="s">
        <v>177</v>
      </c>
      <c r="N302" t="s">
        <v>177</v>
      </c>
      <c r="O302" t="s">
        <v>177</v>
      </c>
      <c r="P302" t="s">
        <v>177</v>
      </c>
      <c r="Q302" t="s">
        <v>177</v>
      </c>
      <c r="R302" t="s">
        <v>177</v>
      </c>
      <c r="S302" t="s">
        <v>177</v>
      </c>
      <c r="T302" t="s">
        <v>177</v>
      </c>
      <c r="U302" t="s">
        <v>177</v>
      </c>
      <c r="V302" t="s">
        <v>177</v>
      </c>
      <c r="W302" t="s">
        <v>177</v>
      </c>
      <c r="X302" t="s">
        <v>177</v>
      </c>
      <c r="Y302" t="s">
        <v>177</v>
      </c>
      <c r="Z302" t="s">
        <v>177</v>
      </c>
      <c r="AA302" t="s">
        <v>177</v>
      </c>
      <c r="AB302" t="s">
        <v>177</v>
      </c>
      <c r="AC302" t="s">
        <v>177</v>
      </c>
      <c r="AD302" t="s">
        <v>177</v>
      </c>
      <c r="AE302" t="s">
        <v>177</v>
      </c>
      <c r="AF302" t="s">
        <v>177</v>
      </c>
      <c r="AG302" s="876">
        <v>44147</v>
      </c>
      <c r="AH302" s="871">
        <f t="shared" si="9"/>
        <v>44136</v>
      </c>
    </row>
    <row r="303" spans="1:34" hidden="1">
      <c r="A303">
        <v>6</v>
      </c>
      <c r="B303">
        <v>385</v>
      </c>
      <c r="C303" t="s">
        <v>203</v>
      </c>
      <c r="D303">
        <v>145</v>
      </c>
      <c r="E303">
        <v>0</v>
      </c>
      <c r="F303">
        <v>0</v>
      </c>
      <c r="G303" t="s">
        <v>177</v>
      </c>
      <c r="H303" t="s">
        <v>177</v>
      </c>
      <c r="I303" s="876">
        <v>44179</v>
      </c>
      <c r="J303">
        <v>6</v>
      </c>
      <c r="K303" t="s">
        <v>203</v>
      </c>
      <c r="L303">
        <v>385</v>
      </c>
      <c r="M303" t="s">
        <v>177</v>
      </c>
      <c r="N303" t="s">
        <v>177</v>
      </c>
      <c r="O303" t="s">
        <v>177</v>
      </c>
      <c r="P303" t="s">
        <v>177</v>
      </c>
      <c r="Q303" t="s">
        <v>177</v>
      </c>
      <c r="R303" t="s">
        <v>177</v>
      </c>
      <c r="S303" t="s">
        <v>177</v>
      </c>
      <c r="T303" t="s">
        <v>177</v>
      </c>
      <c r="U303" t="s">
        <v>177</v>
      </c>
      <c r="V303" t="s">
        <v>177</v>
      </c>
      <c r="W303" t="s">
        <v>177</v>
      </c>
      <c r="X303" t="s">
        <v>177</v>
      </c>
      <c r="Y303" t="s">
        <v>177</v>
      </c>
      <c r="Z303" t="s">
        <v>177</v>
      </c>
      <c r="AA303" t="s">
        <v>177</v>
      </c>
      <c r="AB303" t="s">
        <v>177</v>
      </c>
      <c r="AC303" t="s">
        <v>177</v>
      </c>
      <c r="AD303" t="s">
        <v>177</v>
      </c>
      <c r="AE303" t="s">
        <v>177</v>
      </c>
      <c r="AF303" t="s">
        <v>177</v>
      </c>
      <c r="AG303" s="876">
        <v>44179</v>
      </c>
      <c r="AH303" s="871">
        <f t="shared" si="9"/>
        <v>44166</v>
      </c>
    </row>
    <row r="304" spans="1:34" hidden="1">
      <c r="A304">
        <v>7</v>
      </c>
      <c r="B304">
        <v>385</v>
      </c>
      <c r="C304" t="s">
        <v>203</v>
      </c>
      <c r="D304">
        <v>145</v>
      </c>
      <c r="E304">
        <v>0</v>
      </c>
      <c r="F304">
        <v>0</v>
      </c>
      <c r="G304" t="s">
        <v>177</v>
      </c>
      <c r="H304" t="s">
        <v>177</v>
      </c>
      <c r="I304" s="876">
        <v>44193</v>
      </c>
      <c r="J304">
        <v>7</v>
      </c>
      <c r="K304" t="s">
        <v>203</v>
      </c>
      <c r="L304">
        <v>385</v>
      </c>
      <c r="M304" t="s">
        <v>177</v>
      </c>
      <c r="N304" t="s">
        <v>177</v>
      </c>
      <c r="O304" t="s">
        <v>177</v>
      </c>
      <c r="P304" t="s">
        <v>177</v>
      </c>
      <c r="Q304" t="s">
        <v>177</v>
      </c>
      <c r="R304" t="s">
        <v>177</v>
      </c>
      <c r="S304" t="s">
        <v>177</v>
      </c>
      <c r="T304" t="s">
        <v>177</v>
      </c>
      <c r="U304" t="s">
        <v>177</v>
      </c>
      <c r="V304" t="s">
        <v>177</v>
      </c>
      <c r="W304" t="s">
        <v>177</v>
      </c>
      <c r="X304" t="s">
        <v>177</v>
      </c>
      <c r="Y304" t="s">
        <v>177</v>
      </c>
      <c r="Z304" t="s">
        <v>177</v>
      </c>
      <c r="AA304" t="s">
        <v>177</v>
      </c>
      <c r="AB304" t="s">
        <v>177</v>
      </c>
      <c r="AC304" t="s">
        <v>177</v>
      </c>
      <c r="AD304" t="s">
        <v>177</v>
      </c>
      <c r="AE304" t="s">
        <v>177</v>
      </c>
      <c r="AF304" t="s">
        <v>177</v>
      </c>
      <c r="AG304" s="876">
        <v>44193</v>
      </c>
      <c r="AH304" s="871">
        <f t="shared" si="9"/>
        <v>44166</v>
      </c>
    </row>
    <row r="305" spans="1:34" hidden="1">
      <c r="A305">
        <v>8</v>
      </c>
      <c r="B305">
        <v>385</v>
      </c>
      <c r="C305" t="s">
        <v>203</v>
      </c>
      <c r="D305">
        <v>145</v>
      </c>
      <c r="E305">
        <v>0</v>
      </c>
      <c r="F305">
        <v>0</v>
      </c>
      <c r="G305" t="s">
        <v>177</v>
      </c>
      <c r="H305" t="s">
        <v>177</v>
      </c>
      <c r="I305" s="876">
        <v>44208</v>
      </c>
      <c r="J305">
        <v>8</v>
      </c>
      <c r="K305" t="s">
        <v>203</v>
      </c>
      <c r="L305">
        <v>385</v>
      </c>
      <c r="M305" t="s">
        <v>177</v>
      </c>
      <c r="N305" t="s">
        <v>177</v>
      </c>
      <c r="O305" t="s">
        <v>177</v>
      </c>
      <c r="P305" t="s">
        <v>177</v>
      </c>
      <c r="Q305" t="s">
        <v>177</v>
      </c>
      <c r="R305" t="s">
        <v>177</v>
      </c>
      <c r="S305" t="s">
        <v>177</v>
      </c>
      <c r="T305" t="s">
        <v>177</v>
      </c>
      <c r="U305" t="s">
        <v>177</v>
      </c>
      <c r="V305" t="s">
        <v>177</v>
      </c>
      <c r="W305" t="s">
        <v>177</v>
      </c>
      <c r="X305" t="s">
        <v>177</v>
      </c>
      <c r="Y305" t="s">
        <v>177</v>
      </c>
      <c r="Z305" t="s">
        <v>177</v>
      </c>
      <c r="AA305" t="s">
        <v>177</v>
      </c>
      <c r="AB305" t="s">
        <v>177</v>
      </c>
      <c r="AC305" t="s">
        <v>177</v>
      </c>
      <c r="AD305" t="s">
        <v>177</v>
      </c>
      <c r="AE305" t="s">
        <v>177</v>
      </c>
      <c r="AF305" t="s">
        <v>177</v>
      </c>
      <c r="AG305" s="876">
        <v>44208</v>
      </c>
      <c r="AH305" s="871">
        <f t="shared" si="9"/>
        <v>44197</v>
      </c>
    </row>
    <row r="306" spans="1:34" hidden="1">
      <c r="A306">
        <v>1</v>
      </c>
      <c r="B306">
        <v>26</v>
      </c>
      <c r="C306" t="s">
        <v>176</v>
      </c>
      <c r="D306">
        <v>146</v>
      </c>
      <c r="E306">
        <v>19565201.240160301</v>
      </c>
      <c r="F306">
        <v>46758490.759839699</v>
      </c>
      <c r="G306">
        <v>0</v>
      </c>
      <c r="H306">
        <v>0</v>
      </c>
      <c r="I306" s="876">
        <v>44043</v>
      </c>
      <c r="J306">
        <v>1</v>
      </c>
      <c r="K306" t="s">
        <v>176</v>
      </c>
      <c r="L306">
        <v>26</v>
      </c>
      <c r="M306">
        <v>0.126913222702456</v>
      </c>
      <c r="N306">
        <v>0.40838140747559898</v>
      </c>
      <c r="O306">
        <v>0.38677346546491498</v>
      </c>
      <c r="P306">
        <v>7.7931904357029597E-2</v>
      </c>
      <c r="Q306">
        <v>9.4278108345678402E-2</v>
      </c>
      <c r="R306">
        <v>0</v>
      </c>
      <c r="S306">
        <v>-5.7551819806983002E-3</v>
      </c>
      <c r="T306">
        <v>-7.8100358660472598E-3</v>
      </c>
      <c r="U306">
        <v>0</v>
      </c>
      <c r="V306">
        <v>5.4532567919030302E-3</v>
      </c>
      <c r="W306">
        <v>4.0747075411620197E-2</v>
      </c>
      <c r="X306">
        <v>0</v>
      </c>
      <c r="Y306">
        <v>1.34046541960256</v>
      </c>
      <c r="Z306">
        <v>0</v>
      </c>
      <c r="AA306">
        <v>1.1634870360174999E-2</v>
      </c>
      <c r="AB306">
        <v>0.18897421624321201</v>
      </c>
      <c r="AC306">
        <v>0</v>
      </c>
      <c r="AD306">
        <v>-0.92319840916964802</v>
      </c>
      <c r="AE306">
        <v>-0.2094946895607</v>
      </c>
      <c r="AF306">
        <v>0</v>
      </c>
      <c r="AG306" s="876">
        <v>44043</v>
      </c>
      <c r="AH306" s="871">
        <f t="shared" si="9"/>
        <v>44013</v>
      </c>
    </row>
    <row r="307" spans="1:34" hidden="1">
      <c r="A307">
        <v>2</v>
      </c>
      <c r="B307">
        <v>26</v>
      </c>
      <c r="C307" t="s">
        <v>176</v>
      </c>
      <c r="D307">
        <v>146</v>
      </c>
      <c r="E307">
        <v>0</v>
      </c>
      <c r="F307">
        <v>0</v>
      </c>
      <c r="G307" t="s">
        <v>177</v>
      </c>
      <c r="H307" t="s">
        <v>177</v>
      </c>
      <c r="I307" s="876">
        <v>44055</v>
      </c>
      <c r="J307">
        <v>2</v>
      </c>
      <c r="K307" t="s">
        <v>176</v>
      </c>
      <c r="L307">
        <v>26</v>
      </c>
      <c r="M307">
        <v>0</v>
      </c>
      <c r="N307" t="s">
        <v>177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177</v>
      </c>
      <c r="Z307" t="s">
        <v>177</v>
      </c>
      <c r="AA307" t="s">
        <v>177</v>
      </c>
      <c r="AB307" t="s">
        <v>177</v>
      </c>
      <c r="AC307" t="s">
        <v>177</v>
      </c>
      <c r="AD307" t="s">
        <v>177</v>
      </c>
      <c r="AE307" t="s">
        <v>177</v>
      </c>
      <c r="AF307" t="s">
        <v>177</v>
      </c>
      <c r="AG307" s="876">
        <v>44055</v>
      </c>
      <c r="AH307" s="871">
        <f t="shared" si="9"/>
        <v>44044</v>
      </c>
    </row>
    <row r="308" spans="1:34" hidden="1">
      <c r="A308">
        <v>3</v>
      </c>
      <c r="B308">
        <v>26</v>
      </c>
      <c r="C308" t="s">
        <v>176</v>
      </c>
      <c r="D308">
        <v>146</v>
      </c>
      <c r="E308">
        <v>0</v>
      </c>
      <c r="F308">
        <v>0</v>
      </c>
      <c r="G308" t="s">
        <v>177</v>
      </c>
      <c r="H308" t="s">
        <v>177</v>
      </c>
      <c r="I308" s="876">
        <v>44088</v>
      </c>
      <c r="J308">
        <v>3</v>
      </c>
      <c r="K308" t="s">
        <v>176</v>
      </c>
      <c r="L308">
        <v>26</v>
      </c>
      <c r="M308">
        <v>0</v>
      </c>
      <c r="N308" t="s">
        <v>177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177</v>
      </c>
      <c r="Z308" t="s">
        <v>177</v>
      </c>
      <c r="AA308" t="s">
        <v>177</v>
      </c>
      <c r="AB308" t="s">
        <v>177</v>
      </c>
      <c r="AC308" t="s">
        <v>177</v>
      </c>
      <c r="AD308" t="s">
        <v>177</v>
      </c>
      <c r="AE308" t="s">
        <v>177</v>
      </c>
      <c r="AF308" t="s">
        <v>177</v>
      </c>
      <c r="AG308" s="876">
        <v>44088</v>
      </c>
      <c r="AH308" s="871">
        <f t="shared" si="9"/>
        <v>44075</v>
      </c>
    </row>
    <row r="309" spans="1:34" hidden="1">
      <c r="A309">
        <v>4</v>
      </c>
      <c r="B309">
        <v>26</v>
      </c>
      <c r="C309" t="s">
        <v>176</v>
      </c>
      <c r="D309">
        <v>146</v>
      </c>
      <c r="E309">
        <v>0</v>
      </c>
      <c r="F309">
        <v>0</v>
      </c>
      <c r="G309" t="s">
        <v>177</v>
      </c>
      <c r="H309" t="s">
        <v>177</v>
      </c>
      <c r="I309" s="876">
        <v>44117</v>
      </c>
      <c r="J309">
        <v>4</v>
      </c>
      <c r="K309" t="s">
        <v>176</v>
      </c>
      <c r="L309">
        <v>26</v>
      </c>
      <c r="M309" t="s">
        <v>177</v>
      </c>
      <c r="N309" t="s">
        <v>177</v>
      </c>
      <c r="O309" t="s">
        <v>177</v>
      </c>
      <c r="P309" t="s">
        <v>177</v>
      </c>
      <c r="Q309" t="s">
        <v>177</v>
      </c>
      <c r="R309" t="s">
        <v>177</v>
      </c>
      <c r="S309" t="s">
        <v>177</v>
      </c>
      <c r="T309" t="s">
        <v>177</v>
      </c>
      <c r="U309" t="s">
        <v>177</v>
      </c>
      <c r="V309" t="s">
        <v>177</v>
      </c>
      <c r="W309" t="s">
        <v>177</v>
      </c>
      <c r="X309" t="s">
        <v>177</v>
      </c>
      <c r="Y309" t="s">
        <v>177</v>
      </c>
      <c r="Z309" t="s">
        <v>177</v>
      </c>
      <c r="AA309" t="s">
        <v>177</v>
      </c>
      <c r="AB309" t="s">
        <v>177</v>
      </c>
      <c r="AC309" t="s">
        <v>177</v>
      </c>
      <c r="AD309" t="s">
        <v>177</v>
      </c>
      <c r="AE309" t="s">
        <v>177</v>
      </c>
      <c r="AF309" t="s">
        <v>177</v>
      </c>
      <c r="AG309" s="876">
        <v>44117</v>
      </c>
      <c r="AH309" s="871">
        <f t="shared" si="9"/>
        <v>44105</v>
      </c>
    </row>
    <row r="310" spans="1:34" hidden="1">
      <c r="A310">
        <v>5</v>
      </c>
      <c r="B310">
        <v>26</v>
      </c>
      <c r="C310" t="s">
        <v>176</v>
      </c>
      <c r="D310">
        <v>146</v>
      </c>
      <c r="E310">
        <v>0</v>
      </c>
      <c r="F310">
        <v>0</v>
      </c>
      <c r="G310" t="s">
        <v>177</v>
      </c>
      <c r="H310" t="s">
        <v>177</v>
      </c>
      <c r="I310" s="876">
        <v>44147</v>
      </c>
      <c r="J310">
        <v>5</v>
      </c>
      <c r="K310" t="s">
        <v>176</v>
      </c>
      <c r="L310">
        <v>26</v>
      </c>
      <c r="M310" t="s">
        <v>177</v>
      </c>
      <c r="N310" t="s">
        <v>177</v>
      </c>
      <c r="O310" t="s">
        <v>177</v>
      </c>
      <c r="P310" t="s">
        <v>177</v>
      </c>
      <c r="Q310" t="s">
        <v>177</v>
      </c>
      <c r="R310" t="s">
        <v>177</v>
      </c>
      <c r="S310" t="s">
        <v>177</v>
      </c>
      <c r="T310" t="s">
        <v>177</v>
      </c>
      <c r="U310" t="s">
        <v>177</v>
      </c>
      <c r="V310" t="s">
        <v>177</v>
      </c>
      <c r="W310" t="s">
        <v>177</v>
      </c>
      <c r="X310" t="s">
        <v>177</v>
      </c>
      <c r="Y310" t="s">
        <v>177</v>
      </c>
      <c r="Z310" t="s">
        <v>177</v>
      </c>
      <c r="AA310" t="s">
        <v>177</v>
      </c>
      <c r="AB310" t="s">
        <v>177</v>
      </c>
      <c r="AC310" t="s">
        <v>177</v>
      </c>
      <c r="AD310" t="s">
        <v>177</v>
      </c>
      <c r="AE310" t="s">
        <v>177</v>
      </c>
      <c r="AF310" t="s">
        <v>177</v>
      </c>
      <c r="AG310" s="876">
        <v>44147</v>
      </c>
      <c r="AH310" s="871">
        <f t="shared" si="9"/>
        <v>44136</v>
      </c>
    </row>
    <row r="311" spans="1:34" hidden="1">
      <c r="A311">
        <v>6</v>
      </c>
      <c r="B311">
        <v>26</v>
      </c>
      <c r="C311" t="s">
        <v>176</v>
      </c>
      <c r="D311">
        <v>146</v>
      </c>
      <c r="E311">
        <v>0</v>
      </c>
      <c r="F311">
        <v>0</v>
      </c>
      <c r="G311" t="s">
        <v>177</v>
      </c>
      <c r="H311" t="s">
        <v>177</v>
      </c>
      <c r="I311" s="876">
        <v>44179</v>
      </c>
      <c r="J311">
        <v>6</v>
      </c>
      <c r="K311" t="s">
        <v>176</v>
      </c>
      <c r="L311">
        <v>26</v>
      </c>
      <c r="M311" t="s">
        <v>177</v>
      </c>
      <c r="N311" t="s">
        <v>177</v>
      </c>
      <c r="O311" t="s">
        <v>177</v>
      </c>
      <c r="P311" t="s">
        <v>177</v>
      </c>
      <c r="Q311" t="s">
        <v>177</v>
      </c>
      <c r="R311" t="s">
        <v>177</v>
      </c>
      <c r="S311" t="s">
        <v>177</v>
      </c>
      <c r="T311" t="s">
        <v>177</v>
      </c>
      <c r="U311" t="s">
        <v>177</v>
      </c>
      <c r="V311" t="s">
        <v>177</v>
      </c>
      <c r="W311" t="s">
        <v>177</v>
      </c>
      <c r="X311" t="s">
        <v>177</v>
      </c>
      <c r="Y311" t="s">
        <v>177</v>
      </c>
      <c r="Z311" t="s">
        <v>177</v>
      </c>
      <c r="AA311" t="s">
        <v>177</v>
      </c>
      <c r="AB311" t="s">
        <v>177</v>
      </c>
      <c r="AC311" t="s">
        <v>177</v>
      </c>
      <c r="AD311" t="s">
        <v>177</v>
      </c>
      <c r="AE311" t="s">
        <v>177</v>
      </c>
      <c r="AF311" t="s">
        <v>177</v>
      </c>
      <c r="AG311" s="876">
        <v>44179</v>
      </c>
      <c r="AH311" s="871">
        <f t="shared" si="9"/>
        <v>44166</v>
      </c>
    </row>
    <row r="312" spans="1:34" hidden="1">
      <c r="A312">
        <v>7</v>
      </c>
      <c r="B312">
        <v>26</v>
      </c>
      <c r="C312" t="s">
        <v>176</v>
      </c>
      <c r="D312">
        <v>146</v>
      </c>
      <c r="E312">
        <v>0</v>
      </c>
      <c r="F312">
        <v>0</v>
      </c>
      <c r="G312" t="s">
        <v>177</v>
      </c>
      <c r="H312" t="s">
        <v>177</v>
      </c>
      <c r="I312" s="876">
        <v>44193</v>
      </c>
      <c r="J312">
        <v>7</v>
      </c>
      <c r="K312" t="s">
        <v>176</v>
      </c>
      <c r="L312">
        <v>26</v>
      </c>
      <c r="M312" t="s">
        <v>177</v>
      </c>
      <c r="N312" t="s">
        <v>177</v>
      </c>
      <c r="O312" t="s">
        <v>177</v>
      </c>
      <c r="P312" t="s">
        <v>177</v>
      </c>
      <c r="Q312" t="s">
        <v>177</v>
      </c>
      <c r="R312" t="s">
        <v>177</v>
      </c>
      <c r="S312" t="s">
        <v>177</v>
      </c>
      <c r="T312" t="s">
        <v>177</v>
      </c>
      <c r="U312" t="s">
        <v>177</v>
      </c>
      <c r="V312" t="s">
        <v>177</v>
      </c>
      <c r="W312" t="s">
        <v>177</v>
      </c>
      <c r="X312" t="s">
        <v>177</v>
      </c>
      <c r="Y312" t="s">
        <v>177</v>
      </c>
      <c r="Z312" t="s">
        <v>177</v>
      </c>
      <c r="AA312" t="s">
        <v>177</v>
      </c>
      <c r="AB312" t="s">
        <v>177</v>
      </c>
      <c r="AC312" t="s">
        <v>177</v>
      </c>
      <c r="AD312" t="s">
        <v>177</v>
      </c>
      <c r="AE312" t="s">
        <v>177</v>
      </c>
      <c r="AF312" t="s">
        <v>177</v>
      </c>
      <c r="AG312" s="876">
        <v>44193</v>
      </c>
      <c r="AH312" s="871">
        <f t="shared" si="9"/>
        <v>44166</v>
      </c>
    </row>
    <row r="313" spans="1:34" hidden="1">
      <c r="A313">
        <v>8</v>
      </c>
      <c r="B313">
        <v>26</v>
      </c>
      <c r="C313" t="s">
        <v>176</v>
      </c>
      <c r="D313">
        <v>146</v>
      </c>
      <c r="E313">
        <v>0</v>
      </c>
      <c r="F313">
        <v>0</v>
      </c>
      <c r="G313" t="s">
        <v>177</v>
      </c>
      <c r="H313" t="s">
        <v>177</v>
      </c>
      <c r="I313" s="876">
        <v>44208</v>
      </c>
      <c r="J313">
        <v>8</v>
      </c>
      <c r="K313" t="s">
        <v>176</v>
      </c>
      <c r="L313">
        <v>26</v>
      </c>
      <c r="M313" t="s">
        <v>177</v>
      </c>
      <c r="N313" t="s">
        <v>177</v>
      </c>
      <c r="O313" t="s">
        <v>177</v>
      </c>
      <c r="P313" t="s">
        <v>177</v>
      </c>
      <c r="Q313" t="s">
        <v>177</v>
      </c>
      <c r="R313" t="s">
        <v>177</v>
      </c>
      <c r="S313" t="s">
        <v>177</v>
      </c>
      <c r="T313" t="s">
        <v>177</v>
      </c>
      <c r="U313" t="s">
        <v>177</v>
      </c>
      <c r="V313" t="s">
        <v>177</v>
      </c>
      <c r="W313" t="s">
        <v>177</v>
      </c>
      <c r="X313" t="s">
        <v>177</v>
      </c>
      <c r="Y313" t="s">
        <v>177</v>
      </c>
      <c r="Z313" t="s">
        <v>177</v>
      </c>
      <c r="AA313" t="s">
        <v>177</v>
      </c>
      <c r="AB313" t="s">
        <v>177</v>
      </c>
      <c r="AC313" t="s">
        <v>177</v>
      </c>
      <c r="AD313" t="s">
        <v>177</v>
      </c>
      <c r="AE313" t="s">
        <v>177</v>
      </c>
      <c r="AF313" t="s">
        <v>177</v>
      </c>
      <c r="AG313" s="876">
        <v>44208</v>
      </c>
      <c r="AH313" s="871">
        <f t="shared" si="9"/>
        <v>44197</v>
      </c>
    </row>
    <row r="314" spans="1:34" hidden="1">
      <c r="A314">
        <v>1</v>
      </c>
      <c r="B314">
        <v>398</v>
      </c>
      <c r="C314" t="s">
        <v>206</v>
      </c>
      <c r="D314">
        <v>147</v>
      </c>
      <c r="E314">
        <v>2262630.16</v>
      </c>
      <c r="F314">
        <v>0</v>
      </c>
      <c r="G314">
        <v>0</v>
      </c>
      <c r="H314">
        <v>0</v>
      </c>
      <c r="I314" s="876">
        <v>44043</v>
      </c>
      <c r="J314">
        <v>1</v>
      </c>
      <c r="K314" t="s">
        <v>206</v>
      </c>
      <c r="L314">
        <v>398</v>
      </c>
      <c r="M314">
        <v>0</v>
      </c>
      <c r="N314">
        <v>0.74337164995940097</v>
      </c>
      <c r="O314">
        <v>0.10507186676649399</v>
      </c>
      <c r="P314">
        <v>0.15155648327410601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0.74477811199958899</v>
      </c>
      <c r="Z314">
        <v>0</v>
      </c>
      <c r="AA314">
        <v>-4.7413246087522801E-2</v>
      </c>
      <c r="AB314">
        <v>0.39351558898887301</v>
      </c>
      <c r="AC314">
        <v>3.9257081325662101E-2</v>
      </c>
      <c r="AD314">
        <v>-0.52537140193563803</v>
      </c>
      <c r="AE314">
        <v>0.13860551566843801</v>
      </c>
      <c r="AF314">
        <v>0</v>
      </c>
      <c r="AG314" s="876">
        <v>44043</v>
      </c>
      <c r="AH314" s="871">
        <f t="shared" ref="AH314:AH345" si="10">DATE(YEAR(I314),MONTH(I314),1)</f>
        <v>44013</v>
      </c>
    </row>
    <row r="315" spans="1:34" hidden="1">
      <c r="A315">
        <v>2</v>
      </c>
      <c r="B315">
        <v>398</v>
      </c>
      <c r="C315" t="s">
        <v>206</v>
      </c>
      <c r="D315">
        <v>147</v>
      </c>
      <c r="E315">
        <v>261688</v>
      </c>
      <c r="F315">
        <v>0</v>
      </c>
      <c r="G315" t="s">
        <v>177</v>
      </c>
      <c r="H315" t="s">
        <v>177</v>
      </c>
      <c r="I315" s="876">
        <v>44055</v>
      </c>
      <c r="J315">
        <v>2</v>
      </c>
      <c r="K315" t="s">
        <v>206</v>
      </c>
      <c r="L315">
        <v>398</v>
      </c>
      <c r="M315">
        <v>1</v>
      </c>
      <c r="N315" t="s">
        <v>177</v>
      </c>
      <c r="O315">
        <v>0</v>
      </c>
      <c r="P315">
        <v>0</v>
      </c>
      <c r="Q315">
        <v>0.95892481117071204</v>
      </c>
      <c r="R315">
        <v>0</v>
      </c>
      <c r="S315">
        <v>3.06936669093711E-4</v>
      </c>
      <c r="T315">
        <v>-5.8561557116206697E-2</v>
      </c>
      <c r="U315">
        <v>3.2430456331333297E-2</v>
      </c>
      <c r="V315">
        <v>-0.16331521490963299</v>
      </c>
      <c r="W315">
        <v>0.23021456785470101</v>
      </c>
      <c r="X315">
        <v>0</v>
      </c>
      <c r="Y315" t="s">
        <v>177</v>
      </c>
      <c r="Z315" t="s">
        <v>177</v>
      </c>
      <c r="AA315" t="s">
        <v>177</v>
      </c>
      <c r="AB315" t="s">
        <v>177</v>
      </c>
      <c r="AC315" t="s">
        <v>177</v>
      </c>
      <c r="AD315" t="s">
        <v>177</v>
      </c>
      <c r="AE315" t="s">
        <v>177</v>
      </c>
      <c r="AF315" t="s">
        <v>177</v>
      </c>
      <c r="AG315" s="876">
        <v>44055</v>
      </c>
      <c r="AH315" s="871">
        <f t="shared" si="10"/>
        <v>44044</v>
      </c>
    </row>
    <row r="316" spans="1:34" hidden="1">
      <c r="A316">
        <v>3</v>
      </c>
      <c r="B316">
        <v>398</v>
      </c>
      <c r="C316" t="s">
        <v>206</v>
      </c>
      <c r="D316">
        <v>147</v>
      </c>
      <c r="E316">
        <v>610908.4</v>
      </c>
      <c r="F316">
        <v>0</v>
      </c>
      <c r="G316" t="s">
        <v>177</v>
      </c>
      <c r="H316" t="s">
        <v>177</v>
      </c>
      <c r="I316" s="876">
        <v>44088</v>
      </c>
      <c r="J316">
        <v>3</v>
      </c>
      <c r="K316" t="s">
        <v>206</v>
      </c>
      <c r="L316">
        <v>398</v>
      </c>
      <c r="M316">
        <v>0.75067006554841098</v>
      </c>
      <c r="N316" t="s">
        <v>177</v>
      </c>
      <c r="O316">
        <v>0.24932993445158899</v>
      </c>
      <c r="P316">
        <v>0</v>
      </c>
      <c r="Q316">
        <v>0.66086722655234598</v>
      </c>
      <c r="R316">
        <v>0</v>
      </c>
      <c r="S316">
        <v>-3.7070643027103602E-3</v>
      </c>
      <c r="T316">
        <v>0.15187427963097</v>
      </c>
      <c r="U316">
        <v>1.39461131427544E-2</v>
      </c>
      <c r="V316">
        <v>-9.3004562993999701E-2</v>
      </c>
      <c r="W316">
        <v>2.06940735190504E-2</v>
      </c>
      <c r="X316">
        <v>0</v>
      </c>
      <c r="Y316" t="s">
        <v>177</v>
      </c>
      <c r="Z316" t="s">
        <v>177</v>
      </c>
      <c r="AA316" t="s">
        <v>177</v>
      </c>
      <c r="AB316" t="s">
        <v>177</v>
      </c>
      <c r="AC316" t="s">
        <v>177</v>
      </c>
      <c r="AD316" t="s">
        <v>177</v>
      </c>
      <c r="AE316" t="s">
        <v>177</v>
      </c>
      <c r="AF316" t="s">
        <v>177</v>
      </c>
      <c r="AG316" s="876">
        <v>44088</v>
      </c>
      <c r="AH316" s="871">
        <f t="shared" si="10"/>
        <v>44075</v>
      </c>
    </row>
    <row r="317" spans="1:34" hidden="1">
      <c r="A317">
        <v>4</v>
      </c>
      <c r="B317">
        <v>398</v>
      </c>
      <c r="C317" t="s">
        <v>206</v>
      </c>
      <c r="D317">
        <v>147</v>
      </c>
      <c r="E317">
        <v>683950</v>
      </c>
      <c r="F317">
        <v>0</v>
      </c>
      <c r="G317" t="s">
        <v>177</v>
      </c>
      <c r="H317" t="s">
        <v>177</v>
      </c>
      <c r="I317" s="876">
        <v>44117</v>
      </c>
      <c r="J317">
        <v>4</v>
      </c>
      <c r="K317" t="s">
        <v>206</v>
      </c>
      <c r="L317">
        <v>398</v>
      </c>
      <c r="M317">
        <v>0.86005387480839401</v>
      </c>
      <c r="N317">
        <v>0</v>
      </c>
      <c r="O317">
        <v>0.134316461865091</v>
      </c>
      <c r="P317">
        <v>5.6296633265147797E-3</v>
      </c>
      <c r="Q317">
        <v>0.804306849686934</v>
      </c>
      <c r="R317">
        <v>0</v>
      </c>
      <c r="S317">
        <v>-7.7015529392521001E-3</v>
      </c>
      <c r="T317">
        <v>0.13914617177077299</v>
      </c>
      <c r="U317">
        <v>3.8568670151178999E-2</v>
      </c>
      <c r="V317">
        <v>-0.154650090077571</v>
      </c>
      <c r="W317">
        <v>4.0383826216330097E-2</v>
      </c>
      <c r="X317">
        <v>0</v>
      </c>
      <c r="Y317" t="s">
        <v>177</v>
      </c>
      <c r="Z317" t="s">
        <v>177</v>
      </c>
      <c r="AA317" t="s">
        <v>177</v>
      </c>
      <c r="AB317" t="s">
        <v>177</v>
      </c>
      <c r="AC317" t="s">
        <v>177</v>
      </c>
      <c r="AD317" t="s">
        <v>177</v>
      </c>
      <c r="AE317" t="s">
        <v>177</v>
      </c>
      <c r="AF317" t="s">
        <v>177</v>
      </c>
      <c r="AG317" s="876">
        <v>44117</v>
      </c>
      <c r="AH317" s="871">
        <f t="shared" si="10"/>
        <v>44105</v>
      </c>
    </row>
    <row r="318" spans="1:34" hidden="1">
      <c r="A318">
        <v>5</v>
      </c>
      <c r="B318">
        <v>398</v>
      </c>
      <c r="C318" t="s">
        <v>206</v>
      </c>
      <c r="D318">
        <v>147</v>
      </c>
      <c r="E318">
        <v>936669</v>
      </c>
      <c r="F318">
        <v>0</v>
      </c>
      <c r="G318" t="s">
        <v>177</v>
      </c>
      <c r="H318" t="s">
        <v>177</v>
      </c>
      <c r="I318" s="876">
        <v>44147</v>
      </c>
      <c r="J318">
        <v>5</v>
      </c>
      <c r="K318" t="s">
        <v>206</v>
      </c>
      <c r="L318">
        <v>398</v>
      </c>
      <c r="M318">
        <v>0.98556620535282602</v>
      </c>
      <c r="N318">
        <v>0</v>
      </c>
      <c r="O318">
        <v>0</v>
      </c>
      <c r="P318">
        <v>1.4433794647174199E-2</v>
      </c>
      <c r="Q318">
        <v>0.93273407921359797</v>
      </c>
      <c r="R318">
        <v>0</v>
      </c>
      <c r="S318">
        <v>-8.5649612346965706E-3</v>
      </c>
      <c r="T318">
        <v>0.14811872686136399</v>
      </c>
      <c r="U318">
        <v>2.4292070378067101E-2</v>
      </c>
      <c r="V318">
        <v>-0.15330514524879599</v>
      </c>
      <c r="W318">
        <v>4.2291435383289701E-2</v>
      </c>
      <c r="X318">
        <v>0</v>
      </c>
      <c r="Y318" t="s">
        <v>177</v>
      </c>
      <c r="Z318" t="s">
        <v>177</v>
      </c>
      <c r="AA318" t="s">
        <v>177</v>
      </c>
      <c r="AB318" t="s">
        <v>177</v>
      </c>
      <c r="AC318" t="s">
        <v>177</v>
      </c>
      <c r="AD318" t="s">
        <v>177</v>
      </c>
      <c r="AE318" t="s">
        <v>177</v>
      </c>
      <c r="AF318" t="s">
        <v>177</v>
      </c>
      <c r="AG318" s="876">
        <v>44147</v>
      </c>
      <c r="AH318" s="871">
        <f t="shared" si="10"/>
        <v>44136</v>
      </c>
    </row>
    <row r="319" spans="1:34" hidden="1">
      <c r="A319">
        <v>6</v>
      </c>
      <c r="B319">
        <v>398</v>
      </c>
      <c r="C319" t="s">
        <v>206</v>
      </c>
      <c r="D319">
        <v>147</v>
      </c>
      <c r="E319">
        <v>729699</v>
      </c>
      <c r="F319">
        <v>0</v>
      </c>
      <c r="G319" t="s">
        <v>177</v>
      </c>
      <c r="H319" t="s">
        <v>177</v>
      </c>
      <c r="I319" s="876">
        <v>44179</v>
      </c>
      <c r="J319">
        <v>6</v>
      </c>
      <c r="K319" t="s">
        <v>206</v>
      </c>
      <c r="L319">
        <v>398</v>
      </c>
      <c r="M319">
        <v>1</v>
      </c>
      <c r="N319">
        <v>0</v>
      </c>
      <c r="O319">
        <v>0</v>
      </c>
      <c r="P319">
        <v>0</v>
      </c>
      <c r="Q319">
        <v>0.94402379878059495</v>
      </c>
      <c r="R319">
        <v>0</v>
      </c>
      <c r="S319">
        <v>4.8747383747713303E-3</v>
      </c>
      <c r="T319">
        <v>0.22927539565366001</v>
      </c>
      <c r="U319">
        <v>4.6636770924386201E-2</v>
      </c>
      <c r="V319">
        <v>-0.33489935221656297</v>
      </c>
      <c r="W319">
        <v>0.11008864848315</v>
      </c>
      <c r="X319">
        <v>0</v>
      </c>
      <c r="Y319" t="s">
        <v>177</v>
      </c>
      <c r="Z319" t="s">
        <v>177</v>
      </c>
      <c r="AA319" t="s">
        <v>177</v>
      </c>
      <c r="AB319" t="s">
        <v>177</v>
      </c>
      <c r="AC319" t="s">
        <v>177</v>
      </c>
      <c r="AD319" t="s">
        <v>177</v>
      </c>
      <c r="AE319" t="s">
        <v>177</v>
      </c>
      <c r="AF319" t="s">
        <v>177</v>
      </c>
      <c r="AG319" s="876">
        <v>44179</v>
      </c>
      <c r="AH319" s="871">
        <f t="shared" si="10"/>
        <v>44166</v>
      </c>
    </row>
    <row r="320" spans="1:34" hidden="1">
      <c r="A320">
        <v>7</v>
      </c>
      <c r="B320">
        <v>398</v>
      </c>
      <c r="C320" t="s">
        <v>206</v>
      </c>
      <c r="D320">
        <v>147</v>
      </c>
      <c r="E320">
        <v>765293.91</v>
      </c>
      <c r="F320">
        <v>0</v>
      </c>
      <c r="G320" t="s">
        <v>177</v>
      </c>
      <c r="H320" t="s">
        <v>177</v>
      </c>
      <c r="I320" s="876">
        <v>44193</v>
      </c>
      <c r="J320">
        <v>7</v>
      </c>
      <c r="K320" t="s">
        <v>206</v>
      </c>
      <c r="L320">
        <v>398</v>
      </c>
      <c r="M320">
        <v>1</v>
      </c>
      <c r="N320">
        <v>0</v>
      </c>
      <c r="O320">
        <v>0</v>
      </c>
      <c r="P320">
        <v>0</v>
      </c>
      <c r="Q320">
        <v>0.749910550614868</v>
      </c>
      <c r="R320">
        <v>0</v>
      </c>
      <c r="S320">
        <v>3.4075287520281002E-2</v>
      </c>
      <c r="T320">
        <v>6.5658734887035303E-2</v>
      </c>
      <c r="U320">
        <v>1.2566070024095301E-2</v>
      </c>
      <c r="V320">
        <v>0.112611722179359</v>
      </c>
      <c r="W320">
        <v>2.5177634774361701E-2</v>
      </c>
      <c r="X320">
        <v>0</v>
      </c>
      <c r="Y320" t="s">
        <v>177</v>
      </c>
      <c r="Z320" t="s">
        <v>177</v>
      </c>
      <c r="AA320" t="s">
        <v>177</v>
      </c>
      <c r="AB320" t="s">
        <v>177</v>
      </c>
      <c r="AC320" t="s">
        <v>177</v>
      </c>
      <c r="AD320" t="s">
        <v>177</v>
      </c>
      <c r="AE320" t="s">
        <v>177</v>
      </c>
      <c r="AF320" t="s">
        <v>177</v>
      </c>
      <c r="AG320" s="876">
        <v>44193</v>
      </c>
      <c r="AH320" s="871">
        <f t="shared" si="10"/>
        <v>44166</v>
      </c>
    </row>
    <row r="321" spans="1:34" hidden="1">
      <c r="A321">
        <v>8</v>
      </c>
      <c r="B321">
        <v>398</v>
      </c>
      <c r="C321" t="s">
        <v>206</v>
      </c>
      <c r="D321">
        <v>147</v>
      </c>
      <c r="E321">
        <v>0</v>
      </c>
      <c r="F321">
        <v>0</v>
      </c>
      <c r="G321" t="s">
        <v>177</v>
      </c>
      <c r="H321" t="s">
        <v>177</v>
      </c>
      <c r="I321" s="876">
        <v>44208</v>
      </c>
      <c r="J321">
        <v>8</v>
      </c>
      <c r="K321" t="s">
        <v>206</v>
      </c>
      <c r="L321">
        <v>398</v>
      </c>
      <c r="M321">
        <v>1</v>
      </c>
      <c r="N321">
        <v>0</v>
      </c>
      <c r="O321">
        <v>0</v>
      </c>
      <c r="P321">
        <v>0</v>
      </c>
      <c r="Q321">
        <v>0.749910550614868</v>
      </c>
      <c r="R321">
        <v>0</v>
      </c>
      <c r="S321">
        <v>3.4075287520281002E-2</v>
      </c>
      <c r="T321">
        <v>6.5658734887035303E-2</v>
      </c>
      <c r="U321">
        <v>1.2566070024095301E-2</v>
      </c>
      <c r="V321">
        <v>0.112611722179359</v>
      </c>
      <c r="W321">
        <v>2.5177634774361701E-2</v>
      </c>
      <c r="X321">
        <v>0</v>
      </c>
      <c r="Y321" t="s">
        <v>177</v>
      </c>
      <c r="Z321" t="s">
        <v>177</v>
      </c>
      <c r="AA321" t="s">
        <v>177</v>
      </c>
      <c r="AB321" t="s">
        <v>177</v>
      </c>
      <c r="AC321" t="s">
        <v>177</v>
      </c>
      <c r="AD321" t="s">
        <v>177</v>
      </c>
      <c r="AE321" t="s">
        <v>177</v>
      </c>
      <c r="AF321" t="s">
        <v>177</v>
      </c>
      <c r="AG321" s="876">
        <v>44208</v>
      </c>
      <c r="AH321" s="871">
        <f t="shared" si="10"/>
        <v>44197</v>
      </c>
    </row>
    <row r="322" spans="1:34" hidden="1">
      <c r="A322">
        <v>1</v>
      </c>
      <c r="B322">
        <v>381</v>
      </c>
      <c r="C322" t="s">
        <v>200</v>
      </c>
      <c r="D322">
        <v>149</v>
      </c>
      <c r="E322">
        <v>13921562.9</v>
      </c>
      <c r="F322">
        <v>0</v>
      </c>
      <c r="G322">
        <v>0</v>
      </c>
      <c r="H322">
        <v>0</v>
      </c>
      <c r="I322" s="876">
        <v>44043</v>
      </c>
      <c r="J322">
        <v>1</v>
      </c>
      <c r="K322" t="s">
        <v>200</v>
      </c>
      <c r="L322">
        <v>381</v>
      </c>
      <c r="M322">
        <v>0.20928893386694</v>
      </c>
      <c r="N322">
        <v>0.71137164818770704</v>
      </c>
      <c r="O322">
        <v>2.8907704085185001E-2</v>
      </c>
      <c r="P322">
        <v>5.0431713860168002E-2</v>
      </c>
      <c r="Q322">
        <v>0.18245731635614501</v>
      </c>
      <c r="R322">
        <v>0</v>
      </c>
      <c r="S322">
        <v>-1.70174106244499E-3</v>
      </c>
      <c r="T322">
        <v>-1.5740083532876301E-3</v>
      </c>
      <c r="U322">
        <v>1.11933224964775E-3</v>
      </c>
      <c r="V322">
        <v>-9.1820457369183005E-3</v>
      </c>
      <c r="W322">
        <v>3.8170080413797602E-2</v>
      </c>
      <c r="X322">
        <v>0</v>
      </c>
      <c r="Y322">
        <v>0.84640064224645495</v>
      </c>
      <c r="Z322">
        <v>0</v>
      </c>
      <c r="AA322">
        <v>-6.8350599419604498E-3</v>
      </c>
      <c r="AB322">
        <v>6.2036423364740897E-2</v>
      </c>
      <c r="AC322">
        <v>9.9472674954725702E-3</v>
      </c>
      <c r="AD322">
        <v>-0.40389586508404801</v>
      </c>
      <c r="AE322">
        <v>0.20371824010704601</v>
      </c>
      <c r="AF322">
        <v>0</v>
      </c>
      <c r="AG322" s="876">
        <v>44043</v>
      </c>
      <c r="AH322" s="871">
        <f t="shared" si="10"/>
        <v>44013</v>
      </c>
    </row>
    <row r="323" spans="1:34" hidden="1">
      <c r="A323">
        <v>2</v>
      </c>
      <c r="B323">
        <v>381</v>
      </c>
      <c r="C323" t="s">
        <v>200</v>
      </c>
      <c r="D323">
        <v>149</v>
      </c>
      <c r="E323">
        <v>913899.27040915401</v>
      </c>
      <c r="F323">
        <v>0</v>
      </c>
      <c r="G323" t="s">
        <v>177</v>
      </c>
      <c r="H323" t="s">
        <v>177</v>
      </c>
      <c r="I323" s="876">
        <v>44055</v>
      </c>
      <c r="J323">
        <v>2</v>
      </c>
      <c r="K323" t="s">
        <v>200</v>
      </c>
      <c r="L323">
        <v>381</v>
      </c>
      <c r="M323">
        <v>0.36909744599126698</v>
      </c>
      <c r="N323" t="s">
        <v>177</v>
      </c>
      <c r="O323">
        <v>0.12085025334992</v>
      </c>
      <c r="P323">
        <v>0.51005230065881302</v>
      </c>
      <c r="Q323">
        <v>0.12942182009908801</v>
      </c>
      <c r="R323">
        <v>0</v>
      </c>
      <c r="S323">
        <v>-1.1435858167901601E-2</v>
      </c>
      <c r="T323">
        <v>-1.43903344794854E-2</v>
      </c>
      <c r="U323">
        <v>7.7373856179687103E-3</v>
      </c>
      <c r="V323">
        <v>6.1787639625365898E-3</v>
      </c>
      <c r="W323">
        <v>0.25158566895906098</v>
      </c>
      <c r="X323">
        <v>0</v>
      </c>
      <c r="Y323" t="s">
        <v>177</v>
      </c>
      <c r="Z323" t="s">
        <v>177</v>
      </c>
      <c r="AA323" t="s">
        <v>177</v>
      </c>
      <c r="AB323" t="s">
        <v>177</v>
      </c>
      <c r="AC323" t="s">
        <v>177</v>
      </c>
      <c r="AD323" t="s">
        <v>177</v>
      </c>
      <c r="AE323" t="s">
        <v>177</v>
      </c>
      <c r="AF323" t="s">
        <v>177</v>
      </c>
      <c r="AG323" s="876">
        <v>44055</v>
      </c>
      <c r="AH323" s="871">
        <f t="shared" si="10"/>
        <v>44044</v>
      </c>
    </row>
    <row r="324" spans="1:34" hidden="1">
      <c r="A324">
        <v>3</v>
      </c>
      <c r="B324">
        <v>381</v>
      </c>
      <c r="C324" t="s">
        <v>200</v>
      </c>
      <c r="D324">
        <v>149</v>
      </c>
      <c r="E324">
        <v>1131427.69149928</v>
      </c>
      <c r="F324">
        <v>0</v>
      </c>
      <c r="G324" t="s">
        <v>177</v>
      </c>
      <c r="H324" t="s">
        <v>177</v>
      </c>
      <c r="I324" s="876">
        <v>44088</v>
      </c>
      <c r="J324">
        <v>3</v>
      </c>
      <c r="K324" t="s">
        <v>200</v>
      </c>
      <c r="L324">
        <v>381</v>
      </c>
      <c r="M324">
        <v>0.73888799058655497</v>
      </c>
      <c r="N324" t="s">
        <v>177</v>
      </c>
      <c r="O324">
        <v>0.26111200941344498</v>
      </c>
      <c r="P324">
        <v>0</v>
      </c>
      <c r="Q324">
        <v>0.52372931728503902</v>
      </c>
      <c r="R324">
        <v>0</v>
      </c>
      <c r="S324">
        <v>-2.3073506862956099E-3</v>
      </c>
      <c r="T324">
        <v>-1.7908876542654401E-2</v>
      </c>
      <c r="U324">
        <v>8.3344036976910098E-3</v>
      </c>
      <c r="V324">
        <v>3.2698681703237503E-2</v>
      </c>
      <c r="W324">
        <v>0.19434181512953699</v>
      </c>
      <c r="X324">
        <v>0</v>
      </c>
      <c r="Y324" t="s">
        <v>177</v>
      </c>
      <c r="Z324" t="s">
        <v>177</v>
      </c>
      <c r="AA324" t="s">
        <v>177</v>
      </c>
      <c r="AB324" t="s">
        <v>177</v>
      </c>
      <c r="AC324" t="s">
        <v>177</v>
      </c>
      <c r="AD324" t="s">
        <v>177</v>
      </c>
      <c r="AE324" t="s">
        <v>177</v>
      </c>
      <c r="AF324" t="s">
        <v>177</v>
      </c>
      <c r="AG324" s="876">
        <v>44088</v>
      </c>
      <c r="AH324" s="871">
        <f t="shared" si="10"/>
        <v>44075</v>
      </c>
    </row>
    <row r="325" spans="1:34" hidden="1">
      <c r="A325">
        <v>4</v>
      </c>
      <c r="B325">
        <v>381</v>
      </c>
      <c r="C325" t="s">
        <v>200</v>
      </c>
      <c r="D325">
        <v>149</v>
      </c>
      <c r="E325">
        <v>1438834.12549653</v>
      </c>
      <c r="F325">
        <v>0</v>
      </c>
      <c r="G325" t="s">
        <v>177</v>
      </c>
      <c r="H325" t="s">
        <v>177</v>
      </c>
      <c r="I325" s="876">
        <v>44117</v>
      </c>
      <c r="J325">
        <v>4</v>
      </c>
      <c r="K325" t="s">
        <v>200</v>
      </c>
      <c r="L325">
        <v>381</v>
      </c>
      <c r="M325">
        <v>0.95018665013852199</v>
      </c>
      <c r="N325">
        <v>0</v>
      </c>
      <c r="O325">
        <v>4.9813349861478201E-2</v>
      </c>
      <c r="P325">
        <v>0</v>
      </c>
      <c r="Q325">
        <v>0.125861314768552</v>
      </c>
      <c r="R325">
        <v>0.48523725270544199</v>
      </c>
      <c r="S325">
        <v>6.2836332313899403E-4</v>
      </c>
      <c r="T325">
        <v>0.15966421719856899</v>
      </c>
      <c r="U325">
        <v>1.9847754362905801E-2</v>
      </c>
      <c r="V325">
        <v>-1.5294516367661199E-2</v>
      </c>
      <c r="W325">
        <v>0.17424226414757499</v>
      </c>
      <c r="X325">
        <v>0</v>
      </c>
      <c r="Y325" t="s">
        <v>177</v>
      </c>
      <c r="Z325" t="s">
        <v>177</v>
      </c>
      <c r="AA325" t="s">
        <v>177</v>
      </c>
      <c r="AB325" t="s">
        <v>177</v>
      </c>
      <c r="AC325" t="s">
        <v>177</v>
      </c>
      <c r="AD325" t="s">
        <v>177</v>
      </c>
      <c r="AE325" t="s">
        <v>177</v>
      </c>
      <c r="AF325" t="s">
        <v>177</v>
      </c>
      <c r="AG325" s="876">
        <v>44117</v>
      </c>
      <c r="AH325" s="871">
        <f t="shared" si="10"/>
        <v>44105</v>
      </c>
    </row>
    <row r="326" spans="1:34" hidden="1">
      <c r="A326">
        <v>5</v>
      </c>
      <c r="B326">
        <v>381</v>
      </c>
      <c r="C326" t="s">
        <v>200</v>
      </c>
      <c r="D326">
        <v>149</v>
      </c>
      <c r="E326">
        <v>1384457.9625531</v>
      </c>
      <c r="F326">
        <v>0</v>
      </c>
      <c r="G326" t="s">
        <v>177</v>
      </c>
      <c r="H326" t="s">
        <v>177</v>
      </c>
      <c r="I326" s="876">
        <v>44147</v>
      </c>
      <c r="J326">
        <v>5</v>
      </c>
      <c r="K326" t="s">
        <v>200</v>
      </c>
      <c r="L326">
        <v>381</v>
      </c>
      <c r="M326">
        <v>0.81034228494653304</v>
      </c>
      <c r="N326">
        <v>0</v>
      </c>
      <c r="O326">
        <v>0.18965771505346701</v>
      </c>
      <c r="P326">
        <v>0</v>
      </c>
      <c r="Q326">
        <v>-0.32608082287611501</v>
      </c>
      <c r="R326">
        <v>0.771074981847781</v>
      </c>
      <c r="S326">
        <v>2.2693567403517601E-3</v>
      </c>
      <c r="T326">
        <v>0.30114644058449502</v>
      </c>
      <c r="U326">
        <v>3.77097301881354E-2</v>
      </c>
      <c r="V326">
        <v>3.7027760159700197E-2</v>
      </c>
      <c r="W326">
        <v>-1.28051616978149E-2</v>
      </c>
      <c r="X326">
        <v>0</v>
      </c>
      <c r="Y326" t="s">
        <v>177</v>
      </c>
      <c r="Z326" t="s">
        <v>177</v>
      </c>
      <c r="AA326" t="s">
        <v>177</v>
      </c>
      <c r="AB326" t="s">
        <v>177</v>
      </c>
      <c r="AC326" t="s">
        <v>177</v>
      </c>
      <c r="AD326" t="s">
        <v>177</v>
      </c>
      <c r="AE326" t="s">
        <v>177</v>
      </c>
      <c r="AF326" t="s">
        <v>177</v>
      </c>
      <c r="AG326" s="876">
        <v>44147</v>
      </c>
      <c r="AH326" s="871">
        <f t="shared" si="10"/>
        <v>44136</v>
      </c>
    </row>
    <row r="327" spans="1:34" hidden="1">
      <c r="A327">
        <v>6</v>
      </c>
      <c r="B327">
        <v>381</v>
      </c>
      <c r="C327" t="s">
        <v>200</v>
      </c>
      <c r="D327">
        <v>149</v>
      </c>
      <c r="E327">
        <v>1510269.8873931</v>
      </c>
      <c r="F327">
        <v>0</v>
      </c>
      <c r="G327" t="s">
        <v>177</v>
      </c>
      <c r="H327" t="s">
        <v>177</v>
      </c>
      <c r="I327" s="876">
        <v>44179</v>
      </c>
      <c r="J327">
        <v>6</v>
      </c>
      <c r="K327" t="s">
        <v>200</v>
      </c>
      <c r="L327">
        <v>381</v>
      </c>
      <c r="M327">
        <v>0.81204939180577396</v>
      </c>
      <c r="N327">
        <v>0</v>
      </c>
      <c r="O327">
        <v>0.18795060819422599</v>
      </c>
      <c r="P327">
        <v>0</v>
      </c>
      <c r="Q327">
        <v>0.374014926467649</v>
      </c>
      <c r="R327">
        <v>0.18364457617539101</v>
      </c>
      <c r="S327">
        <v>-4.01889866945215E-4</v>
      </c>
      <c r="T327">
        <v>6.6170185117092495E-2</v>
      </c>
      <c r="U327">
        <v>9.2297308866412294E-3</v>
      </c>
      <c r="V327">
        <v>0.16772164469646</v>
      </c>
      <c r="W327">
        <v>1.16702183294848E-2</v>
      </c>
      <c r="X327">
        <v>0</v>
      </c>
      <c r="Y327" t="s">
        <v>177</v>
      </c>
      <c r="Z327" t="s">
        <v>177</v>
      </c>
      <c r="AA327" t="s">
        <v>177</v>
      </c>
      <c r="AB327" t="s">
        <v>177</v>
      </c>
      <c r="AC327" t="s">
        <v>177</v>
      </c>
      <c r="AD327" t="s">
        <v>177</v>
      </c>
      <c r="AE327" t="s">
        <v>177</v>
      </c>
      <c r="AF327" t="s">
        <v>177</v>
      </c>
      <c r="AG327" s="876">
        <v>44179</v>
      </c>
      <c r="AH327" s="871">
        <f t="shared" si="10"/>
        <v>44166</v>
      </c>
    </row>
    <row r="328" spans="1:34" hidden="1">
      <c r="A328">
        <v>7</v>
      </c>
      <c r="B328">
        <v>381</v>
      </c>
      <c r="C328" t="s">
        <v>200</v>
      </c>
      <c r="D328">
        <v>149</v>
      </c>
      <c r="E328">
        <v>1605647.1626488301</v>
      </c>
      <c r="F328">
        <v>0</v>
      </c>
      <c r="G328" t="s">
        <v>177</v>
      </c>
      <c r="H328" t="s">
        <v>177</v>
      </c>
      <c r="I328" s="876">
        <v>44193</v>
      </c>
      <c r="J328">
        <v>7</v>
      </c>
      <c r="K328" t="s">
        <v>200</v>
      </c>
      <c r="L328">
        <v>381</v>
      </c>
      <c r="M328">
        <v>0.99524439434858902</v>
      </c>
      <c r="N328">
        <v>0</v>
      </c>
      <c r="O328">
        <v>0</v>
      </c>
      <c r="P328">
        <v>4.7556056514108996E-3</v>
      </c>
      <c r="Q328">
        <v>0.728561845252513</v>
      </c>
      <c r="R328">
        <v>9.7704062898577096E-2</v>
      </c>
      <c r="S328">
        <v>7.5490790048358602E-3</v>
      </c>
      <c r="T328">
        <v>1.40454585744989E-2</v>
      </c>
      <c r="U328">
        <v>3.42138103308271E-3</v>
      </c>
      <c r="V328">
        <v>0.133513832188733</v>
      </c>
      <c r="W328">
        <v>1.0448735396348399E-2</v>
      </c>
      <c r="X328">
        <v>0</v>
      </c>
      <c r="Y328" t="s">
        <v>177</v>
      </c>
      <c r="Z328" t="s">
        <v>177</v>
      </c>
      <c r="AA328" t="s">
        <v>177</v>
      </c>
      <c r="AB328" t="s">
        <v>177</v>
      </c>
      <c r="AC328" t="s">
        <v>177</v>
      </c>
      <c r="AD328" t="s">
        <v>177</v>
      </c>
      <c r="AE328" t="s">
        <v>177</v>
      </c>
      <c r="AF328" t="s">
        <v>177</v>
      </c>
      <c r="AG328" s="876">
        <v>44193</v>
      </c>
      <c r="AH328" s="871">
        <f t="shared" si="10"/>
        <v>44166</v>
      </c>
    </row>
    <row r="329" spans="1:34" hidden="1">
      <c r="A329">
        <v>8</v>
      </c>
      <c r="B329">
        <v>381</v>
      </c>
      <c r="C329" t="s">
        <v>200</v>
      </c>
      <c r="D329">
        <v>149</v>
      </c>
      <c r="E329">
        <v>0</v>
      </c>
      <c r="F329">
        <v>0</v>
      </c>
      <c r="G329" t="s">
        <v>177</v>
      </c>
      <c r="H329" t="s">
        <v>177</v>
      </c>
      <c r="I329" s="876">
        <v>44208</v>
      </c>
      <c r="J329">
        <v>8</v>
      </c>
      <c r="K329" t="s">
        <v>200</v>
      </c>
      <c r="L329">
        <v>381</v>
      </c>
      <c r="M329">
        <v>0.99524439434858902</v>
      </c>
      <c r="N329">
        <v>0</v>
      </c>
      <c r="O329">
        <v>0</v>
      </c>
      <c r="P329">
        <v>4.7556056514108996E-3</v>
      </c>
      <c r="Q329">
        <v>0.728561845252513</v>
      </c>
      <c r="R329">
        <v>9.7704062898577096E-2</v>
      </c>
      <c r="S329">
        <v>7.5490790048358602E-3</v>
      </c>
      <c r="T329">
        <v>1.40454585744989E-2</v>
      </c>
      <c r="U329">
        <v>3.42138103308271E-3</v>
      </c>
      <c r="V329">
        <v>0.133513832188733</v>
      </c>
      <c r="W329">
        <v>1.0448735396348399E-2</v>
      </c>
      <c r="X329">
        <v>0</v>
      </c>
      <c r="Y329" t="s">
        <v>177</v>
      </c>
      <c r="Z329" t="s">
        <v>177</v>
      </c>
      <c r="AA329" t="s">
        <v>177</v>
      </c>
      <c r="AB329" t="s">
        <v>177</v>
      </c>
      <c r="AC329" t="s">
        <v>177</v>
      </c>
      <c r="AD329" t="s">
        <v>177</v>
      </c>
      <c r="AE329" t="s">
        <v>177</v>
      </c>
      <c r="AF329" t="s">
        <v>177</v>
      </c>
      <c r="AG329" s="876">
        <v>44208</v>
      </c>
      <c r="AH329" s="871">
        <f t="shared" si="10"/>
        <v>44197</v>
      </c>
    </row>
    <row r="330" spans="1:34" hidden="1">
      <c r="A330">
        <v>1</v>
      </c>
      <c r="B330">
        <v>6585</v>
      </c>
      <c r="C330" t="s">
        <v>232</v>
      </c>
      <c r="D330">
        <v>150</v>
      </c>
      <c r="E330">
        <v>48230122.270889699</v>
      </c>
      <c r="F330">
        <v>0</v>
      </c>
      <c r="G330">
        <v>1085060</v>
      </c>
      <c r="H330">
        <v>0</v>
      </c>
      <c r="I330" s="876">
        <v>44043</v>
      </c>
      <c r="J330">
        <v>1</v>
      </c>
      <c r="K330" t="s">
        <v>232</v>
      </c>
      <c r="L330">
        <v>6585</v>
      </c>
      <c r="M330">
        <v>0</v>
      </c>
      <c r="N330">
        <v>0.73536759726207002</v>
      </c>
      <c r="O330">
        <v>0.183476164112677</v>
      </c>
      <c r="P330">
        <v>8.1156238625252605E-2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0.86807662511919403</v>
      </c>
      <c r="Z330">
        <v>0</v>
      </c>
      <c r="AA330">
        <v>-1.99345358197506E-2</v>
      </c>
      <c r="AB330">
        <v>6.8787101997508607E-2</v>
      </c>
      <c r="AC330">
        <v>2.3976661794572501E-2</v>
      </c>
      <c r="AD330">
        <v>-0.32845456623611802</v>
      </c>
      <c r="AE330">
        <v>0.122916310406663</v>
      </c>
      <c r="AF330">
        <v>0</v>
      </c>
      <c r="AG330" s="876">
        <v>44043</v>
      </c>
      <c r="AH330" s="871">
        <f t="shared" si="10"/>
        <v>44013</v>
      </c>
    </row>
    <row r="331" spans="1:34" hidden="1">
      <c r="A331">
        <v>2</v>
      </c>
      <c r="B331">
        <v>6585</v>
      </c>
      <c r="C331" t="s">
        <v>232</v>
      </c>
      <c r="D331">
        <v>150</v>
      </c>
      <c r="E331">
        <v>633577.72911032999</v>
      </c>
      <c r="F331">
        <v>0</v>
      </c>
      <c r="G331" t="s">
        <v>177</v>
      </c>
      <c r="H331" t="s">
        <v>177</v>
      </c>
      <c r="I331" s="876">
        <v>44055</v>
      </c>
      <c r="J331">
        <v>2</v>
      </c>
      <c r="K331" t="s">
        <v>232</v>
      </c>
      <c r="L331">
        <v>6585</v>
      </c>
      <c r="M331">
        <v>0.76843777545717895</v>
      </c>
      <c r="N331" t="s">
        <v>177</v>
      </c>
      <c r="O331">
        <v>0.124908237482673</v>
      </c>
      <c r="P331">
        <v>0.106653987060148</v>
      </c>
      <c r="Q331">
        <v>0.51331772228369299</v>
      </c>
      <c r="R331">
        <v>0</v>
      </c>
      <c r="S331">
        <v>1.26278209723019E-9</v>
      </c>
      <c r="T331">
        <v>0.106742465856745</v>
      </c>
      <c r="U331">
        <v>5.41954673359763E-2</v>
      </c>
      <c r="V331">
        <v>9.4245137293794995E-2</v>
      </c>
      <c r="W331">
        <v>-6.3018575812673596E-5</v>
      </c>
      <c r="X331">
        <v>0</v>
      </c>
      <c r="Y331" t="s">
        <v>177</v>
      </c>
      <c r="Z331" t="s">
        <v>177</v>
      </c>
      <c r="AA331" t="s">
        <v>177</v>
      </c>
      <c r="AB331" t="s">
        <v>177</v>
      </c>
      <c r="AC331" t="s">
        <v>177</v>
      </c>
      <c r="AD331" t="s">
        <v>177</v>
      </c>
      <c r="AE331" t="s">
        <v>177</v>
      </c>
      <c r="AF331" t="s">
        <v>177</v>
      </c>
      <c r="AG331" s="876">
        <v>44055</v>
      </c>
      <c r="AH331" s="871">
        <f t="shared" si="10"/>
        <v>44044</v>
      </c>
    </row>
    <row r="332" spans="1:34" hidden="1">
      <c r="A332">
        <v>3</v>
      </c>
      <c r="B332">
        <v>6585</v>
      </c>
      <c r="C332" t="s">
        <v>232</v>
      </c>
      <c r="D332">
        <v>150</v>
      </c>
      <c r="E332">
        <v>0</v>
      </c>
      <c r="F332">
        <v>0</v>
      </c>
      <c r="G332" t="s">
        <v>177</v>
      </c>
      <c r="H332" t="s">
        <v>177</v>
      </c>
      <c r="I332" s="876">
        <v>44088</v>
      </c>
      <c r="J332">
        <v>3</v>
      </c>
      <c r="K332" t="s">
        <v>232</v>
      </c>
      <c r="L332">
        <v>6585</v>
      </c>
      <c r="M332">
        <v>0</v>
      </c>
      <c r="N332" t="s">
        <v>177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177</v>
      </c>
      <c r="Z332" t="s">
        <v>177</v>
      </c>
      <c r="AA332" t="s">
        <v>177</v>
      </c>
      <c r="AB332" t="s">
        <v>177</v>
      </c>
      <c r="AC332" t="s">
        <v>177</v>
      </c>
      <c r="AD332" t="s">
        <v>177</v>
      </c>
      <c r="AE332" t="s">
        <v>177</v>
      </c>
      <c r="AF332" t="s">
        <v>177</v>
      </c>
      <c r="AG332" s="876">
        <v>44088</v>
      </c>
      <c r="AH332" s="871">
        <f t="shared" si="10"/>
        <v>44075</v>
      </c>
    </row>
    <row r="333" spans="1:34" hidden="1">
      <c r="A333">
        <v>4</v>
      </c>
      <c r="B333">
        <v>6585</v>
      </c>
      <c r="C333" t="s">
        <v>232</v>
      </c>
      <c r="D333">
        <v>150</v>
      </c>
      <c r="E333">
        <v>0</v>
      </c>
      <c r="F333">
        <v>0</v>
      </c>
      <c r="G333" t="s">
        <v>177</v>
      </c>
      <c r="H333" t="s">
        <v>177</v>
      </c>
      <c r="I333" s="876">
        <v>44117</v>
      </c>
      <c r="J333">
        <v>4</v>
      </c>
      <c r="K333" t="s">
        <v>232</v>
      </c>
      <c r="L333">
        <v>6585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177</v>
      </c>
      <c r="Z333" t="s">
        <v>177</v>
      </c>
      <c r="AA333" t="s">
        <v>177</v>
      </c>
      <c r="AB333" t="s">
        <v>177</v>
      </c>
      <c r="AC333" t="s">
        <v>177</v>
      </c>
      <c r="AD333" t="s">
        <v>177</v>
      </c>
      <c r="AE333" t="s">
        <v>177</v>
      </c>
      <c r="AF333" t="s">
        <v>177</v>
      </c>
      <c r="AG333" s="876">
        <v>44117</v>
      </c>
      <c r="AH333" s="871">
        <f t="shared" si="10"/>
        <v>44105</v>
      </c>
    </row>
    <row r="334" spans="1:34" hidden="1">
      <c r="A334">
        <v>5</v>
      </c>
      <c r="B334">
        <v>6585</v>
      </c>
      <c r="C334" t="s">
        <v>232</v>
      </c>
      <c r="D334">
        <v>150</v>
      </c>
      <c r="E334">
        <v>0</v>
      </c>
      <c r="F334">
        <v>0</v>
      </c>
      <c r="G334" t="s">
        <v>177</v>
      </c>
      <c r="H334" t="s">
        <v>177</v>
      </c>
      <c r="I334" s="876">
        <v>44147</v>
      </c>
      <c r="J334">
        <v>5</v>
      </c>
      <c r="K334" t="s">
        <v>232</v>
      </c>
      <c r="L334">
        <v>6585</v>
      </c>
      <c r="M334" t="s">
        <v>177</v>
      </c>
      <c r="N334" t="s">
        <v>177</v>
      </c>
      <c r="O334" t="s">
        <v>177</v>
      </c>
      <c r="P334" t="s">
        <v>177</v>
      </c>
      <c r="Q334" t="s">
        <v>177</v>
      </c>
      <c r="R334" t="s">
        <v>177</v>
      </c>
      <c r="S334" t="s">
        <v>177</v>
      </c>
      <c r="T334" t="s">
        <v>177</v>
      </c>
      <c r="U334" t="s">
        <v>177</v>
      </c>
      <c r="V334" t="s">
        <v>177</v>
      </c>
      <c r="W334" t="s">
        <v>177</v>
      </c>
      <c r="X334" t="s">
        <v>177</v>
      </c>
      <c r="Y334" t="s">
        <v>177</v>
      </c>
      <c r="Z334" t="s">
        <v>177</v>
      </c>
      <c r="AA334" t="s">
        <v>177</v>
      </c>
      <c r="AB334" t="s">
        <v>177</v>
      </c>
      <c r="AC334" t="s">
        <v>177</v>
      </c>
      <c r="AD334" t="s">
        <v>177</v>
      </c>
      <c r="AE334" t="s">
        <v>177</v>
      </c>
      <c r="AF334" t="s">
        <v>177</v>
      </c>
      <c r="AG334" s="876">
        <v>44147</v>
      </c>
      <c r="AH334" s="871">
        <f t="shared" si="10"/>
        <v>44136</v>
      </c>
    </row>
    <row r="335" spans="1:34" hidden="1">
      <c r="A335">
        <v>6</v>
      </c>
      <c r="B335">
        <v>6585</v>
      </c>
      <c r="C335" t="s">
        <v>232</v>
      </c>
      <c r="D335">
        <v>150</v>
      </c>
      <c r="E335">
        <v>0</v>
      </c>
      <c r="F335">
        <v>0</v>
      </c>
      <c r="G335" t="s">
        <v>177</v>
      </c>
      <c r="H335" t="s">
        <v>177</v>
      </c>
      <c r="I335" s="876">
        <v>44179</v>
      </c>
      <c r="J335">
        <v>6</v>
      </c>
      <c r="K335" t="s">
        <v>232</v>
      </c>
      <c r="L335">
        <v>6585</v>
      </c>
      <c r="M335" t="s">
        <v>177</v>
      </c>
      <c r="N335" t="s">
        <v>177</v>
      </c>
      <c r="O335" t="s">
        <v>177</v>
      </c>
      <c r="P335" t="s">
        <v>177</v>
      </c>
      <c r="Q335" t="s">
        <v>177</v>
      </c>
      <c r="R335" t="s">
        <v>177</v>
      </c>
      <c r="S335" t="s">
        <v>177</v>
      </c>
      <c r="T335" t="s">
        <v>177</v>
      </c>
      <c r="U335" t="s">
        <v>177</v>
      </c>
      <c r="V335" t="s">
        <v>177</v>
      </c>
      <c r="W335" t="s">
        <v>177</v>
      </c>
      <c r="X335" t="s">
        <v>177</v>
      </c>
      <c r="Y335" t="s">
        <v>177</v>
      </c>
      <c r="Z335" t="s">
        <v>177</v>
      </c>
      <c r="AA335" t="s">
        <v>177</v>
      </c>
      <c r="AB335" t="s">
        <v>177</v>
      </c>
      <c r="AC335" t="s">
        <v>177</v>
      </c>
      <c r="AD335" t="s">
        <v>177</v>
      </c>
      <c r="AE335" t="s">
        <v>177</v>
      </c>
      <c r="AF335" t="s">
        <v>177</v>
      </c>
      <c r="AG335" s="876">
        <v>44179</v>
      </c>
      <c r="AH335" s="871">
        <f t="shared" si="10"/>
        <v>44166</v>
      </c>
    </row>
    <row r="336" spans="1:34" hidden="1">
      <c r="A336">
        <v>7</v>
      </c>
      <c r="B336">
        <v>6585</v>
      </c>
      <c r="C336" t="s">
        <v>232</v>
      </c>
      <c r="D336">
        <v>150</v>
      </c>
      <c r="E336">
        <v>0</v>
      </c>
      <c r="F336">
        <v>0</v>
      </c>
      <c r="G336" t="s">
        <v>177</v>
      </c>
      <c r="H336" t="s">
        <v>177</v>
      </c>
      <c r="I336" s="876">
        <v>44193</v>
      </c>
      <c r="J336">
        <v>7</v>
      </c>
      <c r="K336" t="s">
        <v>232</v>
      </c>
      <c r="L336">
        <v>6585</v>
      </c>
      <c r="M336" t="s">
        <v>177</v>
      </c>
      <c r="N336" t="s">
        <v>177</v>
      </c>
      <c r="O336" t="s">
        <v>177</v>
      </c>
      <c r="P336" t="s">
        <v>177</v>
      </c>
      <c r="Q336" t="s">
        <v>177</v>
      </c>
      <c r="R336" t="s">
        <v>177</v>
      </c>
      <c r="S336" t="s">
        <v>177</v>
      </c>
      <c r="T336" t="s">
        <v>177</v>
      </c>
      <c r="U336" t="s">
        <v>177</v>
      </c>
      <c r="V336" t="s">
        <v>177</v>
      </c>
      <c r="W336" t="s">
        <v>177</v>
      </c>
      <c r="X336" t="s">
        <v>177</v>
      </c>
      <c r="Y336" t="s">
        <v>177</v>
      </c>
      <c r="Z336" t="s">
        <v>177</v>
      </c>
      <c r="AA336" t="s">
        <v>177</v>
      </c>
      <c r="AB336" t="s">
        <v>177</v>
      </c>
      <c r="AC336" t="s">
        <v>177</v>
      </c>
      <c r="AD336" t="s">
        <v>177</v>
      </c>
      <c r="AE336" t="s">
        <v>177</v>
      </c>
      <c r="AF336" t="s">
        <v>177</v>
      </c>
      <c r="AG336" s="876">
        <v>44193</v>
      </c>
      <c r="AH336" s="871">
        <f t="shared" si="10"/>
        <v>44166</v>
      </c>
    </row>
    <row r="337" spans="1:34" hidden="1">
      <c r="A337">
        <v>8</v>
      </c>
      <c r="B337">
        <v>6585</v>
      </c>
      <c r="C337" t="s">
        <v>232</v>
      </c>
      <c r="D337">
        <v>150</v>
      </c>
      <c r="E337">
        <v>0</v>
      </c>
      <c r="F337">
        <v>0</v>
      </c>
      <c r="G337" t="s">
        <v>177</v>
      </c>
      <c r="H337" t="s">
        <v>177</v>
      </c>
      <c r="I337" s="876">
        <v>44208</v>
      </c>
      <c r="J337">
        <v>8</v>
      </c>
      <c r="K337" t="s">
        <v>232</v>
      </c>
      <c r="L337">
        <v>6585</v>
      </c>
      <c r="M337" t="s">
        <v>177</v>
      </c>
      <c r="N337" t="s">
        <v>177</v>
      </c>
      <c r="O337" t="s">
        <v>177</v>
      </c>
      <c r="P337" t="s">
        <v>177</v>
      </c>
      <c r="Q337" t="s">
        <v>177</v>
      </c>
      <c r="R337" t="s">
        <v>177</v>
      </c>
      <c r="S337" t="s">
        <v>177</v>
      </c>
      <c r="T337" t="s">
        <v>177</v>
      </c>
      <c r="U337" t="s">
        <v>177</v>
      </c>
      <c r="V337" t="s">
        <v>177</v>
      </c>
      <c r="W337" t="s">
        <v>177</v>
      </c>
      <c r="X337" t="s">
        <v>177</v>
      </c>
      <c r="Y337" t="s">
        <v>177</v>
      </c>
      <c r="Z337" t="s">
        <v>177</v>
      </c>
      <c r="AA337" t="s">
        <v>177</v>
      </c>
      <c r="AB337" t="s">
        <v>177</v>
      </c>
      <c r="AC337" t="s">
        <v>177</v>
      </c>
      <c r="AD337" t="s">
        <v>177</v>
      </c>
      <c r="AE337" t="s">
        <v>177</v>
      </c>
      <c r="AF337" t="s">
        <v>177</v>
      </c>
      <c r="AG337" s="876">
        <v>44208</v>
      </c>
      <c r="AH337" s="871">
        <f t="shared" si="10"/>
        <v>44197</v>
      </c>
    </row>
    <row r="338" spans="1:34" hidden="1">
      <c r="A338">
        <v>1</v>
      </c>
      <c r="B338">
        <v>404</v>
      </c>
      <c r="C338" t="s">
        <v>210</v>
      </c>
      <c r="D338">
        <v>151</v>
      </c>
      <c r="E338">
        <v>189316627.87858999</v>
      </c>
      <c r="F338">
        <v>0</v>
      </c>
      <c r="G338">
        <v>42174949</v>
      </c>
      <c r="H338">
        <v>0</v>
      </c>
      <c r="I338" s="876">
        <v>44043</v>
      </c>
      <c r="J338">
        <v>1</v>
      </c>
      <c r="K338" t="s">
        <v>211</v>
      </c>
      <c r="L338">
        <v>404</v>
      </c>
      <c r="M338">
        <v>2.1564987822065999E-2</v>
      </c>
      <c r="N338">
        <v>0.83628755125267695</v>
      </c>
      <c r="O338">
        <v>0.10912656481678799</v>
      </c>
      <c r="P338">
        <v>3.3020896108468901E-2</v>
      </c>
      <c r="Q338">
        <v>3.85497570483809E-2</v>
      </c>
      <c r="R338">
        <v>0</v>
      </c>
      <c r="S338">
        <v>-1.5071908250579599E-6</v>
      </c>
      <c r="T338">
        <v>-1.86047971005813E-2</v>
      </c>
      <c r="U338">
        <v>1.0402862133461999E-3</v>
      </c>
      <c r="V338">
        <v>6.1122224851373501E-4</v>
      </c>
      <c r="W338">
        <v>-2.9973396768437701E-5</v>
      </c>
      <c r="X338">
        <v>0</v>
      </c>
      <c r="Y338">
        <v>1.0407133792091099</v>
      </c>
      <c r="Z338">
        <v>0</v>
      </c>
      <c r="AA338">
        <v>-9.4927553387044207E-3</v>
      </c>
      <c r="AB338">
        <v>0.11407058831540901</v>
      </c>
      <c r="AC338">
        <v>1.9968569757244901E-2</v>
      </c>
      <c r="AD338">
        <v>-0.41680509104886698</v>
      </c>
      <c r="AE338">
        <v>8.7832860358488002E-2</v>
      </c>
      <c r="AF338">
        <v>0</v>
      </c>
      <c r="AG338" s="876">
        <v>44043</v>
      </c>
      <c r="AH338" s="871">
        <f t="shared" si="10"/>
        <v>44013</v>
      </c>
    </row>
    <row r="339" spans="1:34" hidden="1">
      <c r="A339">
        <v>2</v>
      </c>
      <c r="B339">
        <v>404</v>
      </c>
      <c r="C339" t="s">
        <v>210</v>
      </c>
      <c r="D339">
        <v>151</v>
      </c>
      <c r="E339">
        <v>24574456.920000002</v>
      </c>
      <c r="F339">
        <v>0</v>
      </c>
      <c r="G339" t="s">
        <v>177</v>
      </c>
      <c r="H339" t="s">
        <v>177</v>
      </c>
      <c r="I339" s="876">
        <v>44055</v>
      </c>
      <c r="J339">
        <v>2</v>
      </c>
      <c r="K339" t="s">
        <v>211</v>
      </c>
      <c r="L339">
        <v>404</v>
      </c>
      <c r="M339">
        <v>0.47971028030062601</v>
      </c>
      <c r="N339" t="s">
        <v>177</v>
      </c>
      <c r="O339">
        <v>0.308591057</v>
      </c>
      <c r="P339">
        <v>0.21169866300000001</v>
      </c>
      <c r="Q339">
        <v>0.28206045775871003</v>
      </c>
      <c r="R339">
        <v>0</v>
      </c>
      <c r="S339">
        <v>-1.37094673479449E-5</v>
      </c>
      <c r="T339">
        <v>0.12312069859992</v>
      </c>
      <c r="U339">
        <v>2.79229000180863E-2</v>
      </c>
      <c r="V339">
        <v>4.6888122946426303E-2</v>
      </c>
      <c r="W339">
        <v>-2.6818955516843098E-4</v>
      </c>
      <c r="X339">
        <v>0</v>
      </c>
      <c r="Y339" t="s">
        <v>177</v>
      </c>
      <c r="Z339" t="s">
        <v>177</v>
      </c>
      <c r="AA339" t="s">
        <v>177</v>
      </c>
      <c r="AB339" t="s">
        <v>177</v>
      </c>
      <c r="AC339" t="s">
        <v>177</v>
      </c>
      <c r="AD339" t="s">
        <v>177</v>
      </c>
      <c r="AE339" t="s">
        <v>177</v>
      </c>
      <c r="AF339" t="s">
        <v>177</v>
      </c>
      <c r="AG339" s="876">
        <v>44055</v>
      </c>
      <c r="AH339" s="871">
        <f t="shared" si="10"/>
        <v>44044</v>
      </c>
    </row>
    <row r="340" spans="1:34" hidden="1">
      <c r="A340">
        <v>3</v>
      </c>
      <c r="B340">
        <v>404</v>
      </c>
      <c r="C340" t="s">
        <v>210</v>
      </c>
      <c r="D340">
        <v>151</v>
      </c>
      <c r="E340">
        <v>21278561.719999999</v>
      </c>
      <c r="F340">
        <v>0</v>
      </c>
      <c r="G340" t="s">
        <v>177</v>
      </c>
      <c r="H340" t="s">
        <v>177</v>
      </c>
      <c r="I340" s="876">
        <v>44088</v>
      </c>
      <c r="J340">
        <v>3</v>
      </c>
      <c r="K340" t="s">
        <v>211</v>
      </c>
      <c r="L340">
        <v>404</v>
      </c>
      <c r="M340">
        <v>0.76272644800802702</v>
      </c>
      <c r="N340" t="s">
        <v>177</v>
      </c>
      <c r="O340">
        <v>0.19570793368</v>
      </c>
      <c r="P340">
        <v>4.1565618310000003E-2</v>
      </c>
      <c r="Q340">
        <v>0.36668229957627702</v>
      </c>
      <c r="R340">
        <v>0</v>
      </c>
      <c r="S340">
        <v>-1.14462869587311E-5</v>
      </c>
      <c r="T340">
        <v>0.40382611724350598</v>
      </c>
      <c r="U340">
        <v>3.1954344938461797E-2</v>
      </c>
      <c r="V340">
        <v>-3.9500951060829299E-2</v>
      </c>
      <c r="W340">
        <v>-2.2391640242939E-4</v>
      </c>
      <c r="X340">
        <v>0</v>
      </c>
      <c r="Y340" t="s">
        <v>177</v>
      </c>
      <c r="Z340" t="s">
        <v>177</v>
      </c>
      <c r="AA340" t="s">
        <v>177</v>
      </c>
      <c r="AB340" t="s">
        <v>177</v>
      </c>
      <c r="AC340" t="s">
        <v>177</v>
      </c>
      <c r="AD340" t="s">
        <v>177</v>
      </c>
      <c r="AE340" t="s">
        <v>177</v>
      </c>
      <c r="AF340" t="s">
        <v>177</v>
      </c>
      <c r="AG340" s="876">
        <v>44088</v>
      </c>
      <c r="AH340" s="871">
        <f t="shared" si="10"/>
        <v>44075</v>
      </c>
    </row>
    <row r="341" spans="1:34" hidden="1">
      <c r="A341">
        <v>4</v>
      </c>
      <c r="B341">
        <v>404</v>
      </c>
      <c r="C341" t="s">
        <v>210</v>
      </c>
      <c r="D341">
        <v>151</v>
      </c>
      <c r="E341">
        <v>9293420.7308857292</v>
      </c>
      <c r="F341">
        <v>0</v>
      </c>
      <c r="G341" t="s">
        <v>177</v>
      </c>
      <c r="H341" t="s">
        <v>177</v>
      </c>
      <c r="I341" s="876">
        <v>44117</v>
      </c>
      <c r="J341">
        <v>4</v>
      </c>
      <c r="K341" t="s">
        <v>211</v>
      </c>
      <c r="L341">
        <v>404</v>
      </c>
      <c r="M341">
        <v>0.99943637006651898</v>
      </c>
      <c r="N341">
        <v>0</v>
      </c>
      <c r="O341">
        <v>0</v>
      </c>
      <c r="P341">
        <v>5.6362993348071195E-4</v>
      </c>
      <c r="Q341">
        <v>0.54494828960455099</v>
      </c>
      <c r="R341">
        <v>0</v>
      </c>
      <c r="S341">
        <v>-2.8320912735545002E-5</v>
      </c>
      <c r="T341">
        <v>0.661166098570107</v>
      </c>
      <c r="U341">
        <v>7.2900005876737103E-2</v>
      </c>
      <c r="V341">
        <v>-0.278995679141399</v>
      </c>
      <c r="W341">
        <v>-5.5402393074118503E-4</v>
      </c>
      <c r="X341">
        <v>0</v>
      </c>
      <c r="Y341" t="s">
        <v>177</v>
      </c>
      <c r="Z341" t="s">
        <v>177</v>
      </c>
      <c r="AA341" t="s">
        <v>177</v>
      </c>
      <c r="AB341" t="s">
        <v>177</v>
      </c>
      <c r="AC341" t="s">
        <v>177</v>
      </c>
      <c r="AD341" t="s">
        <v>177</v>
      </c>
      <c r="AE341" t="s">
        <v>177</v>
      </c>
      <c r="AF341" t="s">
        <v>177</v>
      </c>
      <c r="AG341" s="876">
        <v>44117</v>
      </c>
      <c r="AH341" s="871">
        <f t="shared" si="10"/>
        <v>44105</v>
      </c>
    </row>
    <row r="342" spans="1:34" hidden="1">
      <c r="A342">
        <v>5</v>
      </c>
      <c r="B342">
        <v>404</v>
      </c>
      <c r="C342" t="s">
        <v>210</v>
      </c>
      <c r="D342">
        <v>151</v>
      </c>
      <c r="E342">
        <v>9629652.3346781097</v>
      </c>
      <c r="F342">
        <v>0</v>
      </c>
      <c r="G342" t="s">
        <v>177</v>
      </c>
      <c r="H342" t="s">
        <v>177</v>
      </c>
      <c r="I342" s="876">
        <v>44147</v>
      </c>
      <c r="J342">
        <v>5</v>
      </c>
      <c r="K342" t="s">
        <v>211</v>
      </c>
      <c r="L342">
        <v>404</v>
      </c>
      <c r="M342">
        <v>0.90176551137157201</v>
      </c>
      <c r="N342">
        <v>0</v>
      </c>
      <c r="O342">
        <v>9.8234488628428193E-2</v>
      </c>
      <c r="P342">
        <v>0</v>
      </c>
      <c r="Q342">
        <v>0.66112974552283799</v>
      </c>
      <c r="R342">
        <v>0</v>
      </c>
      <c r="S342">
        <v>-9.4376377110542492E-6</v>
      </c>
      <c r="T342">
        <v>0.22439968873493399</v>
      </c>
      <c r="U342">
        <v>2.46673896298861E-2</v>
      </c>
      <c r="V342">
        <v>-8.2372523985032708E-3</v>
      </c>
      <c r="W342">
        <v>-1.8462247987206099E-4</v>
      </c>
      <c r="X342">
        <v>0</v>
      </c>
      <c r="Y342" t="s">
        <v>177</v>
      </c>
      <c r="Z342" t="s">
        <v>177</v>
      </c>
      <c r="AA342" t="s">
        <v>177</v>
      </c>
      <c r="AB342" t="s">
        <v>177</v>
      </c>
      <c r="AC342" t="s">
        <v>177</v>
      </c>
      <c r="AD342" t="s">
        <v>177</v>
      </c>
      <c r="AE342" t="s">
        <v>177</v>
      </c>
      <c r="AF342" t="s">
        <v>177</v>
      </c>
      <c r="AG342" s="876">
        <v>44147</v>
      </c>
      <c r="AH342" s="871">
        <f t="shared" si="10"/>
        <v>44136</v>
      </c>
    </row>
    <row r="343" spans="1:34" hidden="1">
      <c r="A343">
        <v>6</v>
      </c>
      <c r="B343">
        <v>404</v>
      </c>
      <c r="C343" t="s">
        <v>210</v>
      </c>
      <c r="D343">
        <v>151</v>
      </c>
      <c r="E343">
        <v>0</v>
      </c>
      <c r="F343">
        <v>0</v>
      </c>
      <c r="G343" t="s">
        <v>177</v>
      </c>
      <c r="H343" t="s">
        <v>177</v>
      </c>
      <c r="I343" s="876">
        <v>44179</v>
      </c>
      <c r="J343">
        <v>6</v>
      </c>
      <c r="K343" t="s">
        <v>211</v>
      </c>
      <c r="L343">
        <v>404</v>
      </c>
      <c r="M343" t="s">
        <v>177</v>
      </c>
      <c r="N343">
        <v>0</v>
      </c>
      <c r="O343" t="s">
        <v>177</v>
      </c>
      <c r="P343" t="s">
        <v>177</v>
      </c>
      <c r="Q343" t="s">
        <v>177</v>
      </c>
      <c r="R343" t="s">
        <v>177</v>
      </c>
      <c r="S343" t="s">
        <v>177</v>
      </c>
      <c r="T343" t="s">
        <v>177</v>
      </c>
      <c r="U343" t="s">
        <v>177</v>
      </c>
      <c r="V343" t="s">
        <v>177</v>
      </c>
      <c r="W343" t="s">
        <v>177</v>
      </c>
      <c r="X343" t="s">
        <v>177</v>
      </c>
      <c r="Y343" t="s">
        <v>177</v>
      </c>
      <c r="Z343" t="s">
        <v>177</v>
      </c>
      <c r="AA343" t="s">
        <v>177</v>
      </c>
      <c r="AB343" t="s">
        <v>177</v>
      </c>
      <c r="AC343" t="s">
        <v>177</v>
      </c>
      <c r="AD343" t="s">
        <v>177</v>
      </c>
      <c r="AE343" t="s">
        <v>177</v>
      </c>
      <c r="AF343" t="s">
        <v>177</v>
      </c>
      <c r="AG343" s="876">
        <v>44179</v>
      </c>
      <c r="AH343" s="871">
        <f t="shared" si="10"/>
        <v>44166</v>
      </c>
    </row>
    <row r="344" spans="1:34" hidden="1">
      <c r="A344">
        <v>7</v>
      </c>
      <c r="B344">
        <v>404</v>
      </c>
      <c r="C344" t="s">
        <v>210</v>
      </c>
      <c r="D344">
        <v>151</v>
      </c>
      <c r="E344">
        <v>0</v>
      </c>
      <c r="F344">
        <v>0</v>
      </c>
      <c r="G344" t="s">
        <v>177</v>
      </c>
      <c r="H344" t="s">
        <v>177</v>
      </c>
      <c r="I344" s="876">
        <v>44193</v>
      </c>
      <c r="J344">
        <v>7</v>
      </c>
      <c r="K344" t="s">
        <v>211</v>
      </c>
      <c r="L344">
        <v>404</v>
      </c>
      <c r="M344" t="s">
        <v>177</v>
      </c>
      <c r="N344">
        <v>0</v>
      </c>
      <c r="O344" t="s">
        <v>177</v>
      </c>
      <c r="P344" t="s">
        <v>177</v>
      </c>
      <c r="Q344" t="s">
        <v>177</v>
      </c>
      <c r="R344" t="s">
        <v>177</v>
      </c>
      <c r="S344" t="s">
        <v>177</v>
      </c>
      <c r="T344" t="s">
        <v>177</v>
      </c>
      <c r="U344" t="s">
        <v>177</v>
      </c>
      <c r="V344" t="s">
        <v>177</v>
      </c>
      <c r="W344" t="s">
        <v>177</v>
      </c>
      <c r="X344" t="s">
        <v>177</v>
      </c>
      <c r="Y344" t="s">
        <v>177</v>
      </c>
      <c r="Z344" t="s">
        <v>177</v>
      </c>
      <c r="AA344" t="s">
        <v>177</v>
      </c>
      <c r="AB344" t="s">
        <v>177</v>
      </c>
      <c r="AC344" t="s">
        <v>177</v>
      </c>
      <c r="AD344" t="s">
        <v>177</v>
      </c>
      <c r="AE344" t="s">
        <v>177</v>
      </c>
      <c r="AF344" t="s">
        <v>177</v>
      </c>
      <c r="AG344" s="876">
        <v>44193</v>
      </c>
      <c r="AH344" s="871">
        <f t="shared" si="10"/>
        <v>44166</v>
      </c>
    </row>
    <row r="345" spans="1:34" hidden="1">
      <c r="A345">
        <v>8</v>
      </c>
      <c r="B345">
        <v>404</v>
      </c>
      <c r="C345" t="s">
        <v>210</v>
      </c>
      <c r="D345">
        <v>151</v>
      </c>
      <c r="E345">
        <v>0</v>
      </c>
      <c r="F345">
        <v>0</v>
      </c>
      <c r="G345" t="s">
        <v>177</v>
      </c>
      <c r="H345" t="s">
        <v>177</v>
      </c>
      <c r="I345" s="876">
        <v>44208</v>
      </c>
      <c r="J345">
        <v>8</v>
      </c>
      <c r="K345" t="s">
        <v>211</v>
      </c>
      <c r="L345">
        <v>404</v>
      </c>
      <c r="M345" t="s">
        <v>177</v>
      </c>
      <c r="N345">
        <v>0</v>
      </c>
      <c r="O345" t="s">
        <v>177</v>
      </c>
      <c r="P345" t="s">
        <v>177</v>
      </c>
      <c r="Q345" t="s">
        <v>177</v>
      </c>
      <c r="R345" t="s">
        <v>177</v>
      </c>
      <c r="S345" t="s">
        <v>177</v>
      </c>
      <c r="T345" t="s">
        <v>177</v>
      </c>
      <c r="U345" t="s">
        <v>177</v>
      </c>
      <c r="V345" t="s">
        <v>177</v>
      </c>
      <c r="W345" t="s">
        <v>177</v>
      </c>
      <c r="X345" t="s">
        <v>177</v>
      </c>
      <c r="Y345" t="s">
        <v>177</v>
      </c>
      <c r="Z345" t="s">
        <v>177</v>
      </c>
      <c r="AA345" t="s">
        <v>177</v>
      </c>
      <c r="AB345" t="s">
        <v>177</v>
      </c>
      <c r="AC345" t="s">
        <v>177</v>
      </c>
      <c r="AD345" t="s">
        <v>177</v>
      </c>
      <c r="AE345" t="s">
        <v>177</v>
      </c>
      <c r="AF345" t="s">
        <v>177</v>
      </c>
      <c r="AG345" s="876">
        <v>44208</v>
      </c>
      <c r="AH345" s="871">
        <f t="shared" si="10"/>
        <v>44197</v>
      </c>
    </row>
    <row r="346" spans="1:34" hidden="1">
      <c r="A346">
        <v>1</v>
      </c>
      <c r="B346">
        <v>405</v>
      </c>
      <c r="C346" t="s">
        <v>212</v>
      </c>
      <c r="D346">
        <v>117</v>
      </c>
      <c r="E346">
        <v>180415300.36722699</v>
      </c>
      <c r="F346">
        <v>0</v>
      </c>
      <c r="G346">
        <v>26038993</v>
      </c>
      <c r="H346">
        <v>0</v>
      </c>
      <c r="I346" s="876">
        <v>44043</v>
      </c>
      <c r="J346">
        <v>1</v>
      </c>
      <c r="K346" t="s">
        <v>212</v>
      </c>
      <c r="L346">
        <v>405</v>
      </c>
      <c r="M346">
        <v>1.7593731331423501E-3</v>
      </c>
      <c r="N346">
        <v>0.62489536070677798</v>
      </c>
      <c r="O346">
        <v>0.30718328722568999</v>
      </c>
      <c r="P346">
        <v>6.6161978934389201E-2</v>
      </c>
      <c r="Q346">
        <v>1.81584127773699E-2</v>
      </c>
      <c r="R346">
        <v>0</v>
      </c>
      <c r="S346">
        <v>-2.1859651394486702E-6</v>
      </c>
      <c r="T346">
        <v>-2.0229849149955001E-2</v>
      </c>
      <c r="U346">
        <v>1.6432031375141799E-3</v>
      </c>
      <c r="V346">
        <v>2.2144872996842698E-3</v>
      </c>
      <c r="W346">
        <v>-2.469496633155E-5</v>
      </c>
      <c r="X346">
        <v>0</v>
      </c>
      <c r="Y346">
        <v>0.80693517868867903</v>
      </c>
      <c r="Z346">
        <v>0</v>
      </c>
      <c r="AA346">
        <v>-1.23995869277525E-2</v>
      </c>
      <c r="AB346">
        <v>0.26941583214429798</v>
      </c>
      <c r="AC346">
        <v>3.0530245155419002E-2</v>
      </c>
      <c r="AD346">
        <v>-0.623484725358878</v>
      </c>
      <c r="AE346">
        <v>0.153898417005012</v>
      </c>
      <c r="AF346">
        <v>0</v>
      </c>
      <c r="AG346" s="876">
        <v>44043</v>
      </c>
      <c r="AH346" s="871">
        <f t="shared" ref="AH346:AH377" si="11">DATE(YEAR(I346),MONTH(I346),1)</f>
        <v>44013</v>
      </c>
    </row>
    <row r="347" spans="1:34" hidden="1">
      <c r="A347">
        <v>2</v>
      </c>
      <c r="B347">
        <v>405</v>
      </c>
      <c r="C347" t="s">
        <v>212</v>
      </c>
      <c r="D347">
        <v>117</v>
      </c>
      <c r="E347">
        <v>31347040.600000001</v>
      </c>
      <c r="F347">
        <v>0</v>
      </c>
      <c r="G347" t="s">
        <v>177</v>
      </c>
      <c r="H347" t="s">
        <v>177</v>
      </c>
      <c r="I347" s="876">
        <v>44055</v>
      </c>
      <c r="J347">
        <v>2</v>
      </c>
      <c r="K347" t="s">
        <v>212</v>
      </c>
      <c r="L347">
        <v>405</v>
      </c>
      <c r="M347">
        <v>0.56012050562025895</v>
      </c>
      <c r="N347" t="s">
        <v>177</v>
      </c>
      <c r="O347">
        <v>0.31172348900000002</v>
      </c>
      <c r="P347">
        <v>0.12815600499999999</v>
      </c>
      <c r="Q347">
        <v>0.19066856919949501</v>
      </c>
      <c r="R347">
        <v>0</v>
      </c>
      <c r="S347">
        <v>-1.48548256771926E-5</v>
      </c>
      <c r="T347">
        <v>0.27946403937420999</v>
      </c>
      <c r="U347">
        <v>3.29511469710565E-2</v>
      </c>
      <c r="V347">
        <v>5.7214461966794798E-2</v>
      </c>
      <c r="W347">
        <v>-1.6285706562092799E-4</v>
      </c>
      <c r="X347">
        <v>0</v>
      </c>
      <c r="Y347" t="s">
        <v>177</v>
      </c>
      <c r="Z347" t="s">
        <v>177</v>
      </c>
      <c r="AA347" t="s">
        <v>177</v>
      </c>
      <c r="AB347" t="s">
        <v>177</v>
      </c>
      <c r="AC347" t="s">
        <v>177</v>
      </c>
      <c r="AD347" t="s">
        <v>177</v>
      </c>
      <c r="AE347" t="s">
        <v>177</v>
      </c>
      <c r="AF347" t="s">
        <v>177</v>
      </c>
      <c r="AG347" s="876">
        <v>44055</v>
      </c>
      <c r="AH347" s="871">
        <f t="shared" si="11"/>
        <v>44044</v>
      </c>
    </row>
    <row r="348" spans="1:34" hidden="1">
      <c r="A348">
        <v>3</v>
      </c>
      <c r="B348">
        <v>405</v>
      </c>
      <c r="C348" t="s">
        <v>212</v>
      </c>
      <c r="D348">
        <v>117</v>
      </c>
      <c r="E348">
        <v>41691288.630000003</v>
      </c>
      <c r="F348">
        <v>0</v>
      </c>
      <c r="G348" s="1684" t="s">
        <v>177</v>
      </c>
      <c r="H348" t="s">
        <v>177</v>
      </c>
      <c r="I348" s="876">
        <v>44088</v>
      </c>
      <c r="J348">
        <v>3</v>
      </c>
      <c r="K348" t="s">
        <v>212</v>
      </c>
      <c r="L348">
        <v>405</v>
      </c>
      <c r="M348">
        <v>0.78468908177948204</v>
      </c>
      <c r="N348" t="s">
        <v>177</v>
      </c>
      <c r="O348">
        <v>0.21531091822000001</v>
      </c>
      <c r="P348">
        <v>0</v>
      </c>
      <c r="Q348">
        <v>0.23388563757494099</v>
      </c>
      <c r="R348">
        <v>0</v>
      </c>
      <c r="S348">
        <v>-1.45601801758973E-5</v>
      </c>
      <c r="T348">
        <v>0.55332030579214697</v>
      </c>
      <c r="U348">
        <v>4.4268407095277199E-2</v>
      </c>
      <c r="V348">
        <v>-4.6611081707355999E-2</v>
      </c>
      <c r="W348">
        <v>-1.5962679535150699E-4</v>
      </c>
      <c r="X348">
        <v>0</v>
      </c>
      <c r="Y348" t="s">
        <v>177</v>
      </c>
      <c r="Z348" t="s">
        <v>177</v>
      </c>
      <c r="AA348" t="s">
        <v>177</v>
      </c>
      <c r="AB348" t="s">
        <v>177</v>
      </c>
      <c r="AC348" t="s">
        <v>177</v>
      </c>
      <c r="AD348" t="s">
        <v>177</v>
      </c>
      <c r="AE348" t="s">
        <v>177</v>
      </c>
      <c r="AF348" t="s">
        <v>177</v>
      </c>
      <c r="AG348" s="876">
        <v>44088</v>
      </c>
      <c r="AH348" s="871">
        <f t="shared" si="11"/>
        <v>44075</v>
      </c>
    </row>
    <row r="349" spans="1:34" hidden="1">
      <c r="A349">
        <v>4</v>
      </c>
      <c r="B349">
        <v>405</v>
      </c>
      <c r="C349" t="s">
        <v>212</v>
      </c>
      <c r="D349">
        <v>117</v>
      </c>
      <c r="E349">
        <v>11994324.9816541</v>
      </c>
      <c r="F349">
        <v>0</v>
      </c>
      <c r="G349" t="s">
        <v>177</v>
      </c>
      <c r="H349" t="s">
        <v>177</v>
      </c>
      <c r="I349" s="876">
        <v>44117</v>
      </c>
      <c r="J349">
        <v>4</v>
      </c>
      <c r="K349" t="s">
        <v>212</v>
      </c>
      <c r="L349">
        <v>405</v>
      </c>
      <c r="M349">
        <v>1</v>
      </c>
      <c r="N349">
        <v>0</v>
      </c>
      <c r="O349">
        <v>0</v>
      </c>
      <c r="P349">
        <v>0</v>
      </c>
      <c r="Q349">
        <v>0.17150176593510899</v>
      </c>
      <c r="R349">
        <v>0</v>
      </c>
      <c r="S349">
        <v>-3.0329596226808001E-5</v>
      </c>
      <c r="T349">
        <v>0.94650145644041905</v>
      </c>
      <c r="U349">
        <v>8.5025653970739107E-2</v>
      </c>
      <c r="V349">
        <v>-0.20266603601243299</v>
      </c>
      <c r="W349">
        <v>-3.3251073760820498E-4</v>
      </c>
      <c r="X349">
        <v>0</v>
      </c>
      <c r="Y349" t="s">
        <v>177</v>
      </c>
      <c r="Z349" t="s">
        <v>177</v>
      </c>
      <c r="AA349" t="s">
        <v>177</v>
      </c>
      <c r="AB349" t="s">
        <v>177</v>
      </c>
      <c r="AC349" t="s">
        <v>177</v>
      </c>
      <c r="AD349" t="s">
        <v>177</v>
      </c>
      <c r="AE349" t="s">
        <v>177</v>
      </c>
      <c r="AF349" t="s">
        <v>177</v>
      </c>
      <c r="AG349" s="876">
        <v>44117</v>
      </c>
      <c r="AH349" s="871">
        <f t="shared" si="11"/>
        <v>44105</v>
      </c>
    </row>
    <row r="350" spans="1:34" hidden="1">
      <c r="A350">
        <v>5</v>
      </c>
      <c r="B350">
        <v>405</v>
      </c>
      <c r="C350" t="s">
        <v>212</v>
      </c>
      <c r="D350">
        <v>117</v>
      </c>
      <c r="E350">
        <v>39830412.947618201</v>
      </c>
      <c r="F350">
        <v>0</v>
      </c>
      <c r="G350" t="s">
        <v>177</v>
      </c>
      <c r="H350" t="s">
        <v>177</v>
      </c>
      <c r="I350" s="876">
        <v>44147</v>
      </c>
      <c r="J350">
        <v>5</v>
      </c>
      <c r="K350" t="s">
        <v>212</v>
      </c>
      <c r="L350">
        <v>405</v>
      </c>
      <c r="M350">
        <v>1</v>
      </c>
      <c r="N350">
        <v>0</v>
      </c>
      <c r="O350">
        <v>0</v>
      </c>
      <c r="P350">
        <v>0</v>
      </c>
      <c r="Q350">
        <v>0.71741304137063999</v>
      </c>
      <c r="R350">
        <v>0</v>
      </c>
      <c r="S350">
        <v>-8.1853534889116398E-6</v>
      </c>
      <c r="T350">
        <v>0.25993817405243802</v>
      </c>
      <c r="U350">
        <v>2.3300216273794101E-2</v>
      </c>
      <c r="V350">
        <v>-5.53508322941429E-4</v>
      </c>
      <c r="W350">
        <v>-8.9738020441373001E-5</v>
      </c>
      <c r="X350">
        <v>0</v>
      </c>
      <c r="Y350" t="s">
        <v>177</v>
      </c>
      <c r="Z350" t="s">
        <v>177</v>
      </c>
      <c r="AA350" t="s">
        <v>177</v>
      </c>
      <c r="AB350" t="s">
        <v>177</v>
      </c>
      <c r="AC350" t="s">
        <v>177</v>
      </c>
      <c r="AD350" t="s">
        <v>177</v>
      </c>
      <c r="AE350" t="s">
        <v>177</v>
      </c>
      <c r="AF350" t="s">
        <v>177</v>
      </c>
      <c r="AG350" s="876">
        <v>44147</v>
      </c>
      <c r="AH350" s="871">
        <f t="shared" si="11"/>
        <v>44136</v>
      </c>
    </row>
    <row r="351" spans="1:34" hidden="1">
      <c r="A351">
        <v>6</v>
      </c>
      <c r="B351">
        <v>405</v>
      </c>
      <c r="C351" t="s">
        <v>212</v>
      </c>
      <c r="D351">
        <v>117</v>
      </c>
      <c r="E351">
        <v>22284354.046818901</v>
      </c>
      <c r="F351">
        <v>0</v>
      </c>
      <c r="G351" t="s">
        <v>177</v>
      </c>
      <c r="H351" t="s">
        <v>177</v>
      </c>
      <c r="I351" s="876">
        <v>44179</v>
      </c>
      <c r="J351">
        <v>6</v>
      </c>
      <c r="K351" t="s">
        <v>212</v>
      </c>
      <c r="L351">
        <v>405</v>
      </c>
      <c r="M351">
        <v>1</v>
      </c>
      <c r="N351">
        <v>0</v>
      </c>
      <c r="O351">
        <v>0</v>
      </c>
      <c r="P351">
        <v>0</v>
      </c>
      <c r="Q351">
        <v>0.83190126485036497</v>
      </c>
      <c r="R351">
        <v>0</v>
      </c>
      <c r="S351">
        <v>-3.1871702424441599E-6</v>
      </c>
      <c r="T351">
        <v>0.106610406929584</v>
      </c>
      <c r="U351">
        <v>9.4698710409442197E-3</v>
      </c>
      <c r="V351">
        <v>5.2056586071629003E-2</v>
      </c>
      <c r="W351">
        <v>-3.4941722279195E-5</v>
      </c>
      <c r="X351">
        <v>0</v>
      </c>
      <c r="Y351" t="s">
        <v>177</v>
      </c>
      <c r="Z351" t="s">
        <v>177</v>
      </c>
      <c r="AA351" t="s">
        <v>177</v>
      </c>
      <c r="AB351" t="s">
        <v>177</v>
      </c>
      <c r="AC351" t="s">
        <v>177</v>
      </c>
      <c r="AD351" t="s">
        <v>177</v>
      </c>
      <c r="AE351" t="s">
        <v>177</v>
      </c>
      <c r="AF351" t="s">
        <v>177</v>
      </c>
      <c r="AG351" s="876">
        <v>44179</v>
      </c>
      <c r="AH351" s="871">
        <f t="shared" si="11"/>
        <v>44166</v>
      </c>
    </row>
    <row r="352" spans="1:34" hidden="1">
      <c r="A352">
        <v>7</v>
      </c>
      <c r="B352">
        <v>405</v>
      </c>
      <c r="C352" t="s">
        <v>212</v>
      </c>
      <c r="D352">
        <v>117</v>
      </c>
      <c r="E352">
        <v>24382862.260504398</v>
      </c>
      <c r="F352">
        <v>0</v>
      </c>
      <c r="G352" t="s">
        <v>177</v>
      </c>
      <c r="H352" t="s">
        <v>177</v>
      </c>
      <c r="I352" s="876">
        <v>44193</v>
      </c>
      <c r="J352">
        <v>7</v>
      </c>
      <c r="K352" t="s">
        <v>212</v>
      </c>
      <c r="L352">
        <v>405</v>
      </c>
      <c r="M352">
        <v>1</v>
      </c>
      <c r="N352">
        <v>0</v>
      </c>
      <c r="O352">
        <v>0</v>
      </c>
      <c r="P352">
        <v>0</v>
      </c>
      <c r="Q352">
        <v>0.83190126485036497</v>
      </c>
      <c r="R352">
        <v>0</v>
      </c>
      <c r="S352">
        <v>-3.1871702424441599E-6</v>
      </c>
      <c r="T352">
        <v>0.106610406929584</v>
      </c>
      <c r="U352">
        <v>9.4698710409442197E-3</v>
      </c>
      <c r="V352">
        <v>5.2056586071629003E-2</v>
      </c>
      <c r="W352">
        <v>-3.4941722279195E-5</v>
      </c>
      <c r="X352">
        <v>0</v>
      </c>
      <c r="Y352" t="s">
        <v>177</v>
      </c>
      <c r="Z352" t="s">
        <v>177</v>
      </c>
      <c r="AA352" t="s">
        <v>177</v>
      </c>
      <c r="AB352" t="s">
        <v>177</v>
      </c>
      <c r="AC352" t="s">
        <v>177</v>
      </c>
      <c r="AD352" t="s">
        <v>177</v>
      </c>
      <c r="AE352" t="s">
        <v>177</v>
      </c>
      <c r="AF352" t="s">
        <v>177</v>
      </c>
      <c r="AG352" s="876">
        <v>44193</v>
      </c>
      <c r="AH352" s="871">
        <f t="shared" si="11"/>
        <v>44166</v>
      </c>
    </row>
    <row r="353" spans="1:34" hidden="1">
      <c r="A353">
        <v>8</v>
      </c>
      <c r="B353">
        <v>405</v>
      </c>
      <c r="C353" t="s">
        <v>212</v>
      </c>
      <c r="D353">
        <v>117</v>
      </c>
      <c r="E353">
        <v>0</v>
      </c>
      <c r="F353">
        <v>0</v>
      </c>
      <c r="G353" t="s">
        <v>177</v>
      </c>
      <c r="H353" t="s">
        <v>177</v>
      </c>
      <c r="I353" s="876">
        <v>44208</v>
      </c>
      <c r="J353">
        <v>8</v>
      </c>
      <c r="K353" t="s">
        <v>212</v>
      </c>
      <c r="L353">
        <v>405</v>
      </c>
      <c r="M353">
        <v>1</v>
      </c>
      <c r="N353">
        <v>0</v>
      </c>
      <c r="O353">
        <v>0</v>
      </c>
      <c r="P353">
        <v>0</v>
      </c>
      <c r="Q353">
        <v>0.83190126485036497</v>
      </c>
      <c r="R353">
        <v>0</v>
      </c>
      <c r="S353">
        <v>-3.1871702424441599E-6</v>
      </c>
      <c r="T353">
        <v>0.106610406929584</v>
      </c>
      <c r="U353">
        <v>9.4698710409442197E-3</v>
      </c>
      <c r="V353">
        <v>5.2056586071629003E-2</v>
      </c>
      <c r="W353">
        <v>-3.4941722279195E-5</v>
      </c>
      <c r="X353">
        <v>0</v>
      </c>
      <c r="Y353" t="s">
        <v>177</v>
      </c>
      <c r="Z353" t="s">
        <v>177</v>
      </c>
      <c r="AA353" t="s">
        <v>177</v>
      </c>
      <c r="AB353" t="s">
        <v>177</v>
      </c>
      <c r="AC353" t="s">
        <v>177</v>
      </c>
      <c r="AD353" t="s">
        <v>177</v>
      </c>
      <c r="AE353" t="s">
        <v>177</v>
      </c>
      <c r="AF353" t="s">
        <v>177</v>
      </c>
      <c r="AG353" s="876">
        <v>44208</v>
      </c>
      <c r="AH353" s="871">
        <f t="shared" si="11"/>
        <v>44197</v>
      </c>
    </row>
    <row r="354" spans="1:34" hidden="1">
      <c r="A354">
        <v>1</v>
      </c>
      <c r="B354">
        <v>39</v>
      </c>
      <c r="C354" t="s">
        <v>182</v>
      </c>
      <c r="D354">
        <v>130</v>
      </c>
      <c r="E354">
        <v>275589583.739595</v>
      </c>
      <c r="F354">
        <v>0</v>
      </c>
      <c r="G354">
        <v>36244326</v>
      </c>
      <c r="H354">
        <v>0</v>
      </c>
      <c r="I354" s="876">
        <v>44043</v>
      </c>
      <c r="J354">
        <v>1</v>
      </c>
      <c r="K354" t="s">
        <v>182</v>
      </c>
      <c r="L354">
        <v>39</v>
      </c>
      <c r="M354">
        <v>9.5723560739515198E-2</v>
      </c>
      <c r="N354">
        <v>0.64799641077415304</v>
      </c>
      <c r="O354">
        <v>0.217040372676328</v>
      </c>
      <c r="P354">
        <v>3.9239655810004298E-2</v>
      </c>
      <c r="Q354">
        <v>0.14944062997528501</v>
      </c>
      <c r="R354">
        <v>0</v>
      </c>
      <c r="S354">
        <v>0</v>
      </c>
      <c r="T354">
        <v>-8.4413517391753699E-3</v>
      </c>
      <c r="U354">
        <v>0</v>
      </c>
      <c r="V354">
        <v>-1.2096409938271899E-3</v>
      </c>
      <c r="W354">
        <v>-4.4066076502767199E-2</v>
      </c>
      <c r="X354">
        <v>0</v>
      </c>
      <c r="Y354">
        <v>0.82098829284415098</v>
      </c>
      <c r="Z354">
        <v>0</v>
      </c>
      <c r="AA354">
        <v>-1.38880573353474E-2</v>
      </c>
      <c r="AB354">
        <v>8.9415480387982596E-2</v>
      </c>
      <c r="AC354">
        <v>0</v>
      </c>
      <c r="AD354">
        <v>-0.316021487235504</v>
      </c>
      <c r="AE354">
        <v>6.7502182112869499E-2</v>
      </c>
      <c r="AF354">
        <v>0</v>
      </c>
      <c r="AG354" s="876">
        <v>44043</v>
      </c>
      <c r="AH354" s="871">
        <f t="shared" si="11"/>
        <v>44013</v>
      </c>
    </row>
    <row r="355" spans="1:34" hidden="1">
      <c r="A355">
        <v>2</v>
      </c>
      <c r="B355">
        <v>39</v>
      </c>
      <c r="C355" t="s">
        <v>182</v>
      </c>
      <c r="D355">
        <v>130</v>
      </c>
      <c r="E355">
        <v>13387324.99</v>
      </c>
      <c r="F355">
        <v>0</v>
      </c>
      <c r="G355" t="s">
        <v>177</v>
      </c>
      <c r="H355" t="s">
        <v>177</v>
      </c>
      <c r="I355" s="876">
        <v>44055</v>
      </c>
      <c r="J355">
        <v>2</v>
      </c>
      <c r="K355" t="s">
        <v>182</v>
      </c>
      <c r="L355">
        <v>39</v>
      </c>
      <c r="M355">
        <v>0.48551746237622001</v>
      </c>
      <c r="N355" t="s">
        <v>177</v>
      </c>
      <c r="O355">
        <v>0.37239457100000001</v>
      </c>
      <c r="P355">
        <v>0.14208796700000001</v>
      </c>
      <c r="Q355">
        <v>0.46384100770661102</v>
      </c>
      <c r="R355">
        <v>0</v>
      </c>
      <c r="S355">
        <v>0</v>
      </c>
      <c r="T355">
        <v>0.54118734625783305</v>
      </c>
      <c r="U355">
        <v>0</v>
      </c>
      <c r="V355">
        <v>-5.2029059544771598E-2</v>
      </c>
      <c r="W355">
        <v>-0.46748183204345201</v>
      </c>
      <c r="X355">
        <v>0</v>
      </c>
      <c r="Y355" t="s">
        <v>177</v>
      </c>
      <c r="Z355" t="s">
        <v>177</v>
      </c>
      <c r="AA355" t="s">
        <v>177</v>
      </c>
      <c r="AB355" t="s">
        <v>177</v>
      </c>
      <c r="AC355" t="s">
        <v>177</v>
      </c>
      <c r="AD355" t="s">
        <v>177</v>
      </c>
      <c r="AE355" t="s">
        <v>177</v>
      </c>
      <c r="AF355" t="s">
        <v>177</v>
      </c>
      <c r="AG355" s="876">
        <v>44055</v>
      </c>
      <c r="AH355" s="871">
        <f t="shared" si="11"/>
        <v>44044</v>
      </c>
    </row>
    <row r="356" spans="1:34" hidden="1">
      <c r="A356">
        <v>3</v>
      </c>
      <c r="B356">
        <v>39</v>
      </c>
      <c r="C356" t="s">
        <v>182</v>
      </c>
      <c r="D356">
        <v>130</v>
      </c>
      <c r="E356">
        <v>55242282.350000001</v>
      </c>
      <c r="F356">
        <v>0</v>
      </c>
      <c r="G356" t="s">
        <v>177</v>
      </c>
      <c r="H356" t="s">
        <v>177</v>
      </c>
      <c r="I356" s="876">
        <v>44088</v>
      </c>
      <c r="J356">
        <v>3</v>
      </c>
      <c r="K356" t="s">
        <v>182</v>
      </c>
      <c r="L356">
        <v>39</v>
      </c>
      <c r="M356">
        <v>0.71712321923716804</v>
      </c>
      <c r="N356" t="s">
        <v>177</v>
      </c>
      <c r="O356">
        <v>0.25165389999999999</v>
      </c>
      <c r="P356">
        <v>3.1222881000000001E-2</v>
      </c>
      <c r="Q356">
        <v>0.21610473686994899</v>
      </c>
      <c r="R356">
        <v>0</v>
      </c>
      <c r="S356">
        <v>1.4362386777897799E-4</v>
      </c>
      <c r="T356">
        <v>0.33162535175067898</v>
      </c>
      <c r="U356">
        <v>0</v>
      </c>
      <c r="V356">
        <v>-1.1781221120825601E-4</v>
      </c>
      <c r="W356">
        <v>0.16936731895996801</v>
      </c>
      <c r="X356">
        <v>0</v>
      </c>
      <c r="Y356" t="s">
        <v>177</v>
      </c>
      <c r="Z356" t="s">
        <v>177</v>
      </c>
      <c r="AA356" t="s">
        <v>177</v>
      </c>
      <c r="AB356" t="s">
        <v>177</v>
      </c>
      <c r="AC356" t="s">
        <v>177</v>
      </c>
      <c r="AD356" t="s">
        <v>177</v>
      </c>
      <c r="AE356" t="s">
        <v>177</v>
      </c>
      <c r="AF356" t="s">
        <v>177</v>
      </c>
      <c r="AG356" s="876">
        <v>44088</v>
      </c>
      <c r="AH356" s="871">
        <f t="shared" si="11"/>
        <v>44075</v>
      </c>
    </row>
    <row r="357" spans="1:34" hidden="1">
      <c r="A357">
        <v>4</v>
      </c>
      <c r="B357">
        <v>39</v>
      </c>
      <c r="C357" t="s">
        <v>182</v>
      </c>
      <c r="D357">
        <v>130</v>
      </c>
      <c r="E357">
        <v>16459523.9296073</v>
      </c>
      <c r="F357">
        <v>0</v>
      </c>
      <c r="G357" t="s">
        <v>177</v>
      </c>
      <c r="H357" t="s">
        <v>177</v>
      </c>
      <c r="I357" s="876">
        <v>44117</v>
      </c>
      <c r="J357">
        <v>4</v>
      </c>
      <c r="K357" t="s">
        <v>182</v>
      </c>
      <c r="L357">
        <v>39</v>
      </c>
      <c r="M357">
        <v>0.51425304487245604</v>
      </c>
      <c r="N357">
        <v>0</v>
      </c>
      <c r="O357">
        <v>0.44957964952023699</v>
      </c>
      <c r="P357">
        <v>3.6167305607306799E-2</v>
      </c>
      <c r="Q357">
        <v>-0.57848708466986698</v>
      </c>
      <c r="R357">
        <v>0</v>
      </c>
      <c r="S357">
        <v>3.6440487461283699E-4</v>
      </c>
      <c r="T357">
        <v>0.89227660237254303</v>
      </c>
      <c r="U357">
        <v>0</v>
      </c>
      <c r="V357">
        <v>-0.240404322221696</v>
      </c>
      <c r="W357">
        <v>0.44050344451686302</v>
      </c>
      <c r="X357">
        <v>0</v>
      </c>
      <c r="Y357" t="s">
        <v>177</v>
      </c>
      <c r="Z357" t="s">
        <v>177</v>
      </c>
      <c r="AA357" t="s">
        <v>177</v>
      </c>
      <c r="AB357" t="s">
        <v>177</v>
      </c>
      <c r="AC357" t="s">
        <v>177</v>
      </c>
      <c r="AD357" t="s">
        <v>177</v>
      </c>
      <c r="AE357" t="s">
        <v>177</v>
      </c>
      <c r="AF357" t="s">
        <v>177</v>
      </c>
      <c r="AG357" s="876">
        <v>44117</v>
      </c>
      <c r="AH357" s="871">
        <f t="shared" si="11"/>
        <v>44105</v>
      </c>
    </row>
    <row r="358" spans="1:34" hidden="1">
      <c r="A358">
        <v>5</v>
      </c>
      <c r="B358">
        <v>39</v>
      </c>
      <c r="C358" t="s">
        <v>182</v>
      </c>
      <c r="D358">
        <v>130</v>
      </c>
      <c r="E358">
        <v>56019997.980832599</v>
      </c>
      <c r="F358">
        <v>0</v>
      </c>
      <c r="G358" t="s">
        <v>177</v>
      </c>
      <c r="H358" t="s">
        <v>177</v>
      </c>
      <c r="I358" s="876">
        <v>44147</v>
      </c>
      <c r="J358">
        <v>5</v>
      </c>
      <c r="K358" t="s">
        <v>182</v>
      </c>
      <c r="L358">
        <v>39</v>
      </c>
      <c r="M358">
        <v>0.91466257040548604</v>
      </c>
      <c r="N358">
        <v>0</v>
      </c>
      <c r="O358">
        <v>8.5337429594514402E-2</v>
      </c>
      <c r="P358">
        <v>0</v>
      </c>
      <c r="Q358">
        <v>0.497913571946071</v>
      </c>
      <c r="R358">
        <v>0</v>
      </c>
      <c r="S358">
        <v>7.0386174315715196E-5</v>
      </c>
      <c r="T358">
        <v>0.163289501660315</v>
      </c>
      <c r="U358">
        <v>0</v>
      </c>
      <c r="V358">
        <v>0.16887188844685599</v>
      </c>
      <c r="W358">
        <v>8.4517222177927107E-2</v>
      </c>
      <c r="X358">
        <v>0</v>
      </c>
      <c r="Y358" t="s">
        <v>177</v>
      </c>
      <c r="Z358" t="s">
        <v>177</v>
      </c>
      <c r="AA358" t="s">
        <v>177</v>
      </c>
      <c r="AB358" t="s">
        <v>177</v>
      </c>
      <c r="AC358" t="s">
        <v>177</v>
      </c>
      <c r="AD358" t="s">
        <v>177</v>
      </c>
      <c r="AE358" t="s">
        <v>177</v>
      </c>
      <c r="AF358" t="s">
        <v>177</v>
      </c>
      <c r="AG358" s="876">
        <v>44147</v>
      </c>
      <c r="AH358" s="871">
        <f t="shared" si="11"/>
        <v>44136</v>
      </c>
    </row>
    <row r="359" spans="1:34" hidden="1">
      <c r="A359">
        <v>6</v>
      </c>
      <c r="B359">
        <v>39</v>
      </c>
      <c r="C359" t="s">
        <v>182</v>
      </c>
      <c r="D359">
        <v>130</v>
      </c>
      <c r="E359">
        <v>0</v>
      </c>
      <c r="F359">
        <v>0</v>
      </c>
      <c r="G359" t="s">
        <v>177</v>
      </c>
      <c r="H359" t="s">
        <v>177</v>
      </c>
      <c r="I359" s="876">
        <v>44179</v>
      </c>
      <c r="J359">
        <v>6</v>
      </c>
      <c r="K359" t="s">
        <v>182</v>
      </c>
      <c r="L359">
        <v>39</v>
      </c>
      <c r="M359" t="s">
        <v>177</v>
      </c>
      <c r="N359">
        <v>0</v>
      </c>
      <c r="O359" t="s">
        <v>177</v>
      </c>
      <c r="P359" t="s">
        <v>177</v>
      </c>
      <c r="Q359" t="s">
        <v>177</v>
      </c>
      <c r="R359" t="s">
        <v>177</v>
      </c>
      <c r="S359" t="s">
        <v>177</v>
      </c>
      <c r="T359" t="s">
        <v>177</v>
      </c>
      <c r="U359" t="s">
        <v>177</v>
      </c>
      <c r="V359" t="s">
        <v>177</v>
      </c>
      <c r="W359" t="s">
        <v>177</v>
      </c>
      <c r="X359" t="s">
        <v>177</v>
      </c>
      <c r="Y359" t="s">
        <v>177</v>
      </c>
      <c r="Z359" t="s">
        <v>177</v>
      </c>
      <c r="AA359" t="s">
        <v>177</v>
      </c>
      <c r="AB359" t="s">
        <v>177</v>
      </c>
      <c r="AC359" t="s">
        <v>177</v>
      </c>
      <c r="AD359" t="s">
        <v>177</v>
      </c>
      <c r="AE359" t="s">
        <v>177</v>
      </c>
      <c r="AF359" t="s">
        <v>177</v>
      </c>
      <c r="AG359" s="876">
        <v>44179</v>
      </c>
      <c r="AH359" s="871">
        <f t="shared" si="11"/>
        <v>44166</v>
      </c>
    </row>
    <row r="360" spans="1:34" hidden="1">
      <c r="A360">
        <v>7</v>
      </c>
      <c r="B360">
        <v>39</v>
      </c>
      <c r="C360" t="s">
        <v>182</v>
      </c>
      <c r="D360">
        <v>130</v>
      </c>
      <c r="E360">
        <v>0</v>
      </c>
      <c r="F360">
        <v>0</v>
      </c>
      <c r="G360" t="s">
        <v>177</v>
      </c>
      <c r="H360" t="s">
        <v>177</v>
      </c>
      <c r="I360" s="876">
        <v>44193</v>
      </c>
      <c r="J360">
        <v>7</v>
      </c>
      <c r="K360" t="s">
        <v>182</v>
      </c>
      <c r="L360">
        <v>39</v>
      </c>
      <c r="M360" t="s">
        <v>177</v>
      </c>
      <c r="N360">
        <v>0</v>
      </c>
      <c r="O360" t="s">
        <v>177</v>
      </c>
      <c r="P360" t="s">
        <v>177</v>
      </c>
      <c r="Q360" t="s">
        <v>177</v>
      </c>
      <c r="R360" t="s">
        <v>177</v>
      </c>
      <c r="S360" t="s">
        <v>177</v>
      </c>
      <c r="T360" t="s">
        <v>177</v>
      </c>
      <c r="U360" t="s">
        <v>177</v>
      </c>
      <c r="V360" t="s">
        <v>177</v>
      </c>
      <c r="W360" t="s">
        <v>177</v>
      </c>
      <c r="X360" t="s">
        <v>177</v>
      </c>
      <c r="Y360" t="s">
        <v>177</v>
      </c>
      <c r="Z360" t="s">
        <v>177</v>
      </c>
      <c r="AA360" t="s">
        <v>177</v>
      </c>
      <c r="AB360" t="s">
        <v>177</v>
      </c>
      <c r="AC360" t="s">
        <v>177</v>
      </c>
      <c r="AD360" t="s">
        <v>177</v>
      </c>
      <c r="AE360" t="s">
        <v>177</v>
      </c>
      <c r="AF360" t="s">
        <v>177</v>
      </c>
      <c r="AG360" s="876">
        <v>44193</v>
      </c>
      <c r="AH360" s="871">
        <f t="shared" si="11"/>
        <v>44166</v>
      </c>
    </row>
    <row r="361" spans="1:34" hidden="1">
      <c r="A361">
        <v>8</v>
      </c>
      <c r="B361">
        <v>39</v>
      </c>
      <c r="C361" t="s">
        <v>182</v>
      </c>
      <c r="D361">
        <v>130</v>
      </c>
      <c r="E361">
        <v>0</v>
      </c>
      <c r="F361">
        <v>0</v>
      </c>
      <c r="G361" t="s">
        <v>177</v>
      </c>
      <c r="H361" t="s">
        <v>177</v>
      </c>
      <c r="I361" s="876">
        <v>44208</v>
      </c>
      <c r="J361">
        <v>8</v>
      </c>
      <c r="K361" t="s">
        <v>182</v>
      </c>
      <c r="L361">
        <v>39</v>
      </c>
      <c r="M361" t="s">
        <v>177</v>
      </c>
      <c r="N361">
        <v>0</v>
      </c>
      <c r="O361" t="s">
        <v>177</v>
      </c>
      <c r="P361" t="s">
        <v>177</v>
      </c>
      <c r="Q361" t="s">
        <v>177</v>
      </c>
      <c r="R361" t="s">
        <v>177</v>
      </c>
      <c r="S361" t="s">
        <v>177</v>
      </c>
      <c r="T361" t="s">
        <v>177</v>
      </c>
      <c r="U361" t="s">
        <v>177</v>
      </c>
      <c r="V361" t="s">
        <v>177</v>
      </c>
      <c r="W361" t="s">
        <v>177</v>
      </c>
      <c r="X361" t="s">
        <v>177</v>
      </c>
      <c r="Y361" t="s">
        <v>177</v>
      </c>
      <c r="Z361" t="s">
        <v>177</v>
      </c>
      <c r="AA361" t="s">
        <v>177</v>
      </c>
      <c r="AB361" t="s">
        <v>177</v>
      </c>
      <c r="AC361" t="s">
        <v>177</v>
      </c>
      <c r="AD361" t="s">
        <v>177</v>
      </c>
      <c r="AE361" t="s">
        <v>177</v>
      </c>
      <c r="AF361" t="s">
        <v>177</v>
      </c>
      <c r="AG361" s="876">
        <v>44208</v>
      </c>
      <c r="AH361" s="871">
        <f t="shared" si="11"/>
        <v>44197</v>
      </c>
    </row>
    <row r="362" spans="1:34" hidden="1">
      <c r="A362">
        <v>1</v>
      </c>
      <c r="B362">
        <v>6072</v>
      </c>
      <c r="C362" t="s">
        <v>231</v>
      </c>
      <c r="D362">
        <v>112</v>
      </c>
      <c r="E362">
        <v>317361736.85442603</v>
      </c>
      <c r="F362">
        <v>0</v>
      </c>
      <c r="G362">
        <v>0</v>
      </c>
      <c r="H362">
        <v>0</v>
      </c>
      <c r="I362" s="876">
        <v>44043</v>
      </c>
      <c r="J362">
        <v>1</v>
      </c>
      <c r="K362" t="s">
        <v>231</v>
      </c>
      <c r="L362">
        <v>6072</v>
      </c>
      <c r="M362">
        <v>0.190812884234941</v>
      </c>
      <c r="N362">
        <v>0.56856212552169605</v>
      </c>
      <c r="O362">
        <v>0.194648490285975</v>
      </c>
      <c r="P362">
        <v>4.5976499957388402E-2</v>
      </c>
      <c r="Q362">
        <v>0.16954539648963099</v>
      </c>
      <c r="R362">
        <v>0</v>
      </c>
      <c r="S362">
        <v>-5.1037475372750704E-3</v>
      </c>
      <c r="T362">
        <v>-6.6803656620679202E-3</v>
      </c>
      <c r="U362">
        <v>1.5817724648191499E-3</v>
      </c>
      <c r="V362">
        <v>-2.5464949784593099E-3</v>
      </c>
      <c r="W362">
        <v>3.4016323458293501E-2</v>
      </c>
      <c r="X362">
        <v>0</v>
      </c>
      <c r="Y362">
        <v>1.0256543380979599</v>
      </c>
      <c r="Z362">
        <v>0</v>
      </c>
      <c r="AA362">
        <v>-1.0960075561610501E-2</v>
      </c>
      <c r="AB362">
        <v>8.1411484579095902E-2</v>
      </c>
      <c r="AC362">
        <v>2.3218075082896399E-2</v>
      </c>
      <c r="AD362">
        <v>-0.52431650072100799</v>
      </c>
      <c r="AE362">
        <v>-2.64451959556373E-2</v>
      </c>
      <c r="AF362">
        <v>0</v>
      </c>
      <c r="AG362" s="876">
        <v>44043</v>
      </c>
      <c r="AH362" s="871">
        <f t="shared" si="11"/>
        <v>44013</v>
      </c>
    </row>
    <row r="363" spans="1:34" hidden="1">
      <c r="A363">
        <v>2</v>
      </c>
      <c r="B363">
        <v>6072</v>
      </c>
      <c r="C363" t="s">
        <v>231</v>
      </c>
      <c r="D363">
        <v>112</v>
      </c>
      <c r="E363">
        <v>66101585.004667699</v>
      </c>
      <c r="F363">
        <v>0</v>
      </c>
      <c r="G363" t="s">
        <v>177</v>
      </c>
      <c r="H363" t="s">
        <v>177</v>
      </c>
      <c r="I363" s="876">
        <v>44055</v>
      </c>
      <c r="J363">
        <v>2</v>
      </c>
      <c r="K363" t="s">
        <v>231</v>
      </c>
      <c r="L363">
        <v>6072</v>
      </c>
      <c r="M363">
        <v>0.76157296141006903</v>
      </c>
      <c r="N363" t="s">
        <v>177</v>
      </c>
      <c r="O363">
        <v>2.4588018899940001E-2</v>
      </c>
      <c r="P363">
        <v>0.213839019689991</v>
      </c>
      <c r="Q363">
        <v>0.26201570945189601</v>
      </c>
      <c r="R363">
        <v>0</v>
      </c>
      <c r="S363">
        <v>-3.2357974436318201E-2</v>
      </c>
      <c r="T363">
        <v>0.34531754867042402</v>
      </c>
      <c r="U363">
        <v>2.3119336121533898E-2</v>
      </c>
      <c r="V363">
        <v>-5.1842138578087102E-2</v>
      </c>
      <c r="W363">
        <v>0.215320480180621</v>
      </c>
      <c r="X363">
        <v>0</v>
      </c>
      <c r="Y363" t="s">
        <v>177</v>
      </c>
      <c r="Z363" t="s">
        <v>177</v>
      </c>
      <c r="AA363" t="s">
        <v>177</v>
      </c>
      <c r="AB363" t="s">
        <v>177</v>
      </c>
      <c r="AC363" t="s">
        <v>177</v>
      </c>
      <c r="AD363" t="s">
        <v>177</v>
      </c>
      <c r="AE363" t="s">
        <v>177</v>
      </c>
      <c r="AF363" t="s">
        <v>177</v>
      </c>
      <c r="AG363" s="876">
        <v>44055</v>
      </c>
      <c r="AH363" s="871">
        <f t="shared" si="11"/>
        <v>44044</v>
      </c>
    </row>
    <row r="364" spans="1:34" hidden="1">
      <c r="A364">
        <v>3</v>
      </c>
      <c r="B364">
        <v>6072</v>
      </c>
      <c r="C364" t="s">
        <v>231</v>
      </c>
      <c r="D364">
        <v>112</v>
      </c>
      <c r="E364">
        <v>63035170.921968102</v>
      </c>
      <c r="F364">
        <v>0</v>
      </c>
      <c r="G364" t="s">
        <v>177</v>
      </c>
      <c r="H364" t="s">
        <v>177</v>
      </c>
      <c r="I364" s="876">
        <v>44088</v>
      </c>
      <c r="J364">
        <v>3</v>
      </c>
      <c r="K364" t="s">
        <v>231</v>
      </c>
      <c r="L364">
        <v>6072</v>
      </c>
      <c r="M364">
        <v>0.89186478482607701</v>
      </c>
      <c r="N364" t="s">
        <v>177</v>
      </c>
      <c r="O364">
        <v>0</v>
      </c>
      <c r="P364">
        <v>0.10813521517392299</v>
      </c>
      <c r="Q364">
        <v>0.47416007670204402</v>
      </c>
      <c r="R364">
        <v>0</v>
      </c>
      <c r="S364">
        <v>-2.2721995692418302E-2</v>
      </c>
      <c r="T364">
        <v>0.25435844362458698</v>
      </c>
      <c r="U364">
        <v>3.2346750375053503E-2</v>
      </c>
      <c r="V364">
        <v>7.2168677082592905E-4</v>
      </c>
      <c r="W364">
        <v>0.152999823045985</v>
      </c>
      <c r="X364">
        <v>0</v>
      </c>
      <c r="Y364" t="s">
        <v>177</v>
      </c>
      <c r="Z364" t="s">
        <v>177</v>
      </c>
      <c r="AA364" t="s">
        <v>177</v>
      </c>
      <c r="AB364" t="s">
        <v>177</v>
      </c>
      <c r="AC364" t="s">
        <v>177</v>
      </c>
      <c r="AD364" t="s">
        <v>177</v>
      </c>
      <c r="AE364" t="s">
        <v>177</v>
      </c>
      <c r="AF364" t="s">
        <v>177</v>
      </c>
      <c r="AG364" s="876">
        <v>44088</v>
      </c>
      <c r="AH364" s="871">
        <f t="shared" si="11"/>
        <v>44075</v>
      </c>
    </row>
    <row r="365" spans="1:34" hidden="1">
      <c r="A365">
        <v>4</v>
      </c>
      <c r="B365">
        <v>6072</v>
      </c>
      <c r="C365" t="s">
        <v>231</v>
      </c>
      <c r="D365">
        <v>112</v>
      </c>
      <c r="E365">
        <v>51595135.063423701</v>
      </c>
      <c r="F365">
        <v>0</v>
      </c>
      <c r="G365" t="s">
        <v>177</v>
      </c>
      <c r="H365" t="s">
        <v>177</v>
      </c>
      <c r="I365" s="876">
        <v>44117</v>
      </c>
      <c r="J365">
        <v>4</v>
      </c>
      <c r="K365" t="s">
        <v>231</v>
      </c>
      <c r="L365">
        <v>6072</v>
      </c>
      <c r="M365">
        <v>0.86477019426320201</v>
      </c>
      <c r="N365">
        <v>0</v>
      </c>
      <c r="O365">
        <v>0.13522980573679799</v>
      </c>
      <c r="P365">
        <v>0</v>
      </c>
      <c r="Q365">
        <v>-0.25530312545594602</v>
      </c>
      <c r="R365">
        <v>0</v>
      </c>
      <c r="S365">
        <v>-2.85239384127789E-2</v>
      </c>
      <c r="T365">
        <v>0.33517779001949499</v>
      </c>
      <c r="U365">
        <v>3.0247446053699001E-2</v>
      </c>
      <c r="V365">
        <v>0.202031374732841</v>
      </c>
      <c r="W365">
        <v>0.58114064732589199</v>
      </c>
      <c r="X365">
        <v>0</v>
      </c>
      <c r="Y365" t="s">
        <v>177</v>
      </c>
      <c r="Z365" t="s">
        <v>177</v>
      </c>
      <c r="AA365" t="s">
        <v>177</v>
      </c>
      <c r="AB365" t="s">
        <v>177</v>
      </c>
      <c r="AC365" t="s">
        <v>177</v>
      </c>
      <c r="AD365" t="s">
        <v>177</v>
      </c>
      <c r="AE365" t="s">
        <v>177</v>
      </c>
      <c r="AF365" t="s">
        <v>177</v>
      </c>
      <c r="AG365" s="876">
        <v>44117</v>
      </c>
      <c r="AH365" s="871">
        <f t="shared" si="11"/>
        <v>44105</v>
      </c>
    </row>
    <row r="366" spans="1:34" hidden="1">
      <c r="A366">
        <v>5</v>
      </c>
      <c r="B366">
        <v>6072</v>
      </c>
      <c r="C366" t="s">
        <v>231</v>
      </c>
      <c r="D366">
        <v>112</v>
      </c>
      <c r="E366">
        <v>32263674.1555149</v>
      </c>
      <c r="F366">
        <v>0</v>
      </c>
      <c r="G366" t="s">
        <v>177</v>
      </c>
      <c r="H366" t="s">
        <v>177</v>
      </c>
      <c r="I366" s="876">
        <v>44147</v>
      </c>
      <c r="J366">
        <v>5</v>
      </c>
      <c r="K366" t="s">
        <v>231</v>
      </c>
      <c r="L366">
        <v>6072</v>
      </c>
      <c r="M366">
        <v>0.98816404130907498</v>
      </c>
      <c r="N366">
        <v>0</v>
      </c>
      <c r="O366">
        <v>1.18359586909244E-2</v>
      </c>
      <c r="P366">
        <v>0</v>
      </c>
      <c r="Q366">
        <v>0.66453171643550801</v>
      </c>
      <c r="R366">
        <v>0</v>
      </c>
      <c r="S366">
        <v>-1.0178046527506601E-2</v>
      </c>
      <c r="T366">
        <v>0.152450338731696</v>
      </c>
      <c r="U366">
        <v>1.2188934969814699E-2</v>
      </c>
      <c r="V366">
        <v>0.100859806706226</v>
      </c>
      <c r="W366">
        <v>6.8311290993337007E-2</v>
      </c>
      <c r="X366">
        <v>0</v>
      </c>
      <c r="Y366" t="s">
        <v>177</v>
      </c>
      <c r="Z366" t="s">
        <v>177</v>
      </c>
      <c r="AA366" t="s">
        <v>177</v>
      </c>
      <c r="AB366" t="s">
        <v>177</v>
      </c>
      <c r="AC366" t="s">
        <v>177</v>
      </c>
      <c r="AD366" t="s">
        <v>177</v>
      </c>
      <c r="AE366" t="s">
        <v>177</v>
      </c>
      <c r="AF366" t="s">
        <v>177</v>
      </c>
      <c r="AG366" s="876">
        <v>44147</v>
      </c>
      <c r="AH366" s="871">
        <f t="shared" si="11"/>
        <v>44136</v>
      </c>
    </row>
    <row r="367" spans="1:34" hidden="1">
      <c r="A367">
        <v>6</v>
      </c>
      <c r="B367">
        <v>6072</v>
      </c>
      <c r="C367" t="s">
        <v>231</v>
      </c>
      <c r="D367">
        <v>112</v>
      </c>
      <c r="E367">
        <v>0</v>
      </c>
      <c r="F367">
        <v>0</v>
      </c>
      <c r="G367" t="s">
        <v>177</v>
      </c>
      <c r="H367" t="s">
        <v>177</v>
      </c>
      <c r="I367" s="876">
        <v>44179</v>
      </c>
      <c r="J367">
        <v>6</v>
      </c>
      <c r="K367" t="s">
        <v>231</v>
      </c>
      <c r="L367">
        <v>6072</v>
      </c>
      <c r="M367" t="s">
        <v>177</v>
      </c>
      <c r="N367">
        <v>0</v>
      </c>
      <c r="O367" t="s">
        <v>177</v>
      </c>
      <c r="P367" t="s">
        <v>177</v>
      </c>
      <c r="Q367" t="s">
        <v>177</v>
      </c>
      <c r="R367" t="s">
        <v>177</v>
      </c>
      <c r="S367" t="s">
        <v>177</v>
      </c>
      <c r="T367" t="s">
        <v>177</v>
      </c>
      <c r="U367" t="s">
        <v>177</v>
      </c>
      <c r="V367" t="s">
        <v>177</v>
      </c>
      <c r="W367" t="s">
        <v>177</v>
      </c>
      <c r="X367" t="s">
        <v>177</v>
      </c>
      <c r="Y367" t="s">
        <v>177</v>
      </c>
      <c r="Z367" t="s">
        <v>177</v>
      </c>
      <c r="AA367" t="s">
        <v>177</v>
      </c>
      <c r="AB367" t="s">
        <v>177</v>
      </c>
      <c r="AC367" t="s">
        <v>177</v>
      </c>
      <c r="AD367" t="s">
        <v>177</v>
      </c>
      <c r="AE367" t="s">
        <v>177</v>
      </c>
      <c r="AF367" t="s">
        <v>177</v>
      </c>
      <c r="AG367" s="876">
        <v>44179</v>
      </c>
      <c r="AH367" s="871">
        <f t="shared" si="11"/>
        <v>44166</v>
      </c>
    </row>
    <row r="368" spans="1:34" hidden="1">
      <c r="A368">
        <v>7</v>
      </c>
      <c r="B368">
        <v>6072</v>
      </c>
      <c r="C368" t="s">
        <v>231</v>
      </c>
      <c r="D368">
        <v>112</v>
      </c>
      <c r="E368">
        <v>0</v>
      </c>
      <c r="F368">
        <v>0</v>
      </c>
      <c r="G368" t="s">
        <v>177</v>
      </c>
      <c r="H368" t="s">
        <v>177</v>
      </c>
      <c r="I368" s="876">
        <v>44193</v>
      </c>
      <c r="J368">
        <v>7</v>
      </c>
      <c r="K368" t="s">
        <v>231</v>
      </c>
      <c r="L368">
        <v>6072</v>
      </c>
      <c r="M368" t="s">
        <v>177</v>
      </c>
      <c r="N368">
        <v>0</v>
      </c>
      <c r="O368" t="s">
        <v>177</v>
      </c>
      <c r="P368" t="s">
        <v>177</v>
      </c>
      <c r="Q368" t="s">
        <v>177</v>
      </c>
      <c r="R368" t="s">
        <v>177</v>
      </c>
      <c r="S368" t="s">
        <v>177</v>
      </c>
      <c r="T368" t="s">
        <v>177</v>
      </c>
      <c r="U368" t="s">
        <v>177</v>
      </c>
      <c r="V368" t="s">
        <v>177</v>
      </c>
      <c r="W368" t="s">
        <v>177</v>
      </c>
      <c r="X368" t="s">
        <v>177</v>
      </c>
      <c r="Y368" t="s">
        <v>177</v>
      </c>
      <c r="Z368" t="s">
        <v>177</v>
      </c>
      <c r="AA368" t="s">
        <v>177</v>
      </c>
      <c r="AB368" t="s">
        <v>177</v>
      </c>
      <c r="AC368" t="s">
        <v>177</v>
      </c>
      <c r="AD368" t="s">
        <v>177</v>
      </c>
      <c r="AE368" t="s">
        <v>177</v>
      </c>
      <c r="AF368" t="s">
        <v>177</v>
      </c>
      <c r="AG368" s="876">
        <v>44193</v>
      </c>
      <c r="AH368" s="871">
        <f t="shared" si="11"/>
        <v>44166</v>
      </c>
    </row>
    <row r="369" spans="1:34" hidden="1">
      <c r="A369">
        <v>8</v>
      </c>
      <c r="B369">
        <v>6072</v>
      </c>
      <c r="C369" t="s">
        <v>231</v>
      </c>
      <c r="D369">
        <v>112</v>
      </c>
      <c r="E369">
        <v>0</v>
      </c>
      <c r="F369">
        <v>0</v>
      </c>
      <c r="G369" t="s">
        <v>177</v>
      </c>
      <c r="H369" t="s">
        <v>177</v>
      </c>
      <c r="I369" s="876">
        <v>44208</v>
      </c>
      <c r="J369">
        <v>8</v>
      </c>
      <c r="K369" t="s">
        <v>231</v>
      </c>
      <c r="L369">
        <v>6072</v>
      </c>
      <c r="M369" t="s">
        <v>177</v>
      </c>
      <c r="N369">
        <v>0</v>
      </c>
      <c r="O369" t="s">
        <v>177</v>
      </c>
      <c r="P369" t="s">
        <v>177</v>
      </c>
      <c r="Q369" t="s">
        <v>177</v>
      </c>
      <c r="R369" t="s">
        <v>177</v>
      </c>
      <c r="S369" t="s">
        <v>177</v>
      </c>
      <c r="T369" t="s">
        <v>177</v>
      </c>
      <c r="U369" t="s">
        <v>177</v>
      </c>
      <c r="V369" t="s">
        <v>177</v>
      </c>
      <c r="W369" t="s">
        <v>177</v>
      </c>
      <c r="X369" t="s">
        <v>177</v>
      </c>
      <c r="Y369" t="s">
        <v>177</v>
      </c>
      <c r="Z369" t="s">
        <v>177</v>
      </c>
      <c r="AA369" t="s">
        <v>177</v>
      </c>
      <c r="AB369" t="s">
        <v>177</v>
      </c>
      <c r="AC369" t="s">
        <v>177</v>
      </c>
      <c r="AD369" t="s">
        <v>177</v>
      </c>
      <c r="AE369" t="s">
        <v>177</v>
      </c>
      <c r="AF369" t="s">
        <v>177</v>
      </c>
      <c r="AG369" s="876">
        <v>44208</v>
      </c>
      <c r="AH369" s="871">
        <f t="shared" si="11"/>
        <v>44197</v>
      </c>
    </row>
    <row r="370" spans="1:34" hidden="1">
      <c r="A370">
        <v>1</v>
      </c>
      <c r="B370">
        <v>383</v>
      </c>
      <c r="C370" t="s">
        <v>202</v>
      </c>
      <c r="D370">
        <v>103</v>
      </c>
      <c r="E370">
        <v>301891659.587273</v>
      </c>
      <c r="F370">
        <v>0</v>
      </c>
      <c r="G370">
        <v>0</v>
      </c>
      <c r="H370">
        <v>0</v>
      </c>
      <c r="I370" s="876">
        <v>44043</v>
      </c>
      <c r="J370">
        <v>1</v>
      </c>
      <c r="K370" t="s">
        <v>202</v>
      </c>
      <c r="L370">
        <v>383</v>
      </c>
      <c r="M370">
        <v>0.11065639352317801</v>
      </c>
      <c r="N370">
        <v>0.59012744711418397</v>
      </c>
      <c r="O370">
        <v>0.203215430544431</v>
      </c>
      <c r="P370">
        <v>9.6000728818207107E-2</v>
      </c>
      <c r="Q370">
        <v>0.124881918460758</v>
      </c>
      <c r="R370">
        <v>0</v>
      </c>
      <c r="S370">
        <v>0</v>
      </c>
      <c r="T370">
        <v>-9.4990904835064293E-3</v>
      </c>
      <c r="U370">
        <v>1.5016564210348501E-3</v>
      </c>
      <c r="V370">
        <v>-6.1022935895979997E-3</v>
      </c>
      <c r="W370">
        <v>-1.2579728551091699E-4</v>
      </c>
      <c r="X370">
        <v>0</v>
      </c>
      <c r="Y370">
        <v>0.91513197899196297</v>
      </c>
      <c r="Z370">
        <v>0</v>
      </c>
      <c r="AA370">
        <v>-9.7113041720769903E-3</v>
      </c>
      <c r="AB370">
        <v>7.2266089573964395E-2</v>
      </c>
      <c r="AC370">
        <v>1.81351501316665E-2</v>
      </c>
      <c r="AD370">
        <v>-0.24553104293383199</v>
      </c>
      <c r="AE370">
        <v>-0.16016342447750101</v>
      </c>
      <c r="AF370">
        <v>0</v>
      </c>
      <c r="AG370" s="876">
        <v>44043</v>
      </c>
      <c r="AH370" s="871">
        <f t="shared" si="11"/>
        <v>44013</v>
      </c>
    </row>
    <row r="371" spans="1:34" hidden="1">
      <c r="A371">
        <v>2</v>
      </c>
      <c r="B371">
        <v>383</v>
      </c>
      <c r="C371" t="s">
        <v>202</v>
      </c>
      <c r="D371">
        <v>103</v>
      </c>
      <c r="E371">
        <v>48138675.727655701</v>
      </c>
      <c r="F371">
        <v>0</v>
      </c>
      <c r="G371" t="s">
        <v>177</v>
      </c>
      <c r="H371" t="s">
        <v>177</v>
      </c>
      <c r="I371" s="876">
        <v>44055</v>
      </c>
      <c r="J371">
        <v>2</v>
      </c>
      <c r="K371" t="s">
        <v>202</v>
      </c>
      <c r="L371">
        <v>383</v>
      </c>
      <c r="M371">
        <v>0.62459078361950904</v>
      </c>
      <c r="N371" t="s">
        <v>177</v>
      </c>
      <c r="O371">
        <v>0.22288981153937101</v>
      </c>
      <c r="P371">
        <v>0.15251940484111901</v>
      </c>
      <c r="Q371">
        <v>0.28682494897710697</v>
      </c>
      <c r="R371">
        <v>0</v>
      </c>
      <c r="S371">
        <v>0</v>
      </c>
      <c r="T371">
        <v>0.39954839942179499</v>
      </c>
      <c r="U371">
        <v>2.4437670216058499E-2</v>
      </c>
      <c r="V371">
        <v>-8.51682974996366E-2</v>
      </c>
      <c r="W371">
        <v>-1.0519374958150201E-3</v>
      </c>
      <c r="X371">
        <v>0</v>
      </c>
      <c r="Y371" t="s">
        <v>177</v>
      </c>
      <c r="Z371" t="s">
        <v>177</v>
      </c>
      <c r="AA371" t="s">
        <v>177</v>
      </c>
      <c r="AB371" t="s">
        <v>177</v>
      </c>
      <c r="AC371" t="s">
        <v>177</v>
      </c>
      <c r="AD371" t="s">
        <v>177</v>
      </c>
      <c r="AE371" t="s">
        <v>177</v>
      </c>
      <c r="AF371" t="s">
        <v>177</v>
      </c>
      <c r="AG371" s="876">
        <v>44055</v>
      </c>
      <c r="AH371" s="871">
        <f t="shared" si="11"/>
        <v>44044</v>
      </c>
    </row>
    <row r="372" spans="1:34" hidden="1">
      <c r="A372">
        <v>3</v>
      </c>
      <c r="B372">
        <v>383</v>
      </c>
      <c r="C372" t="s">
        <v>202</v>
      </c>
      <c r="D372">
        <v>103</v>
      </c>
      <c r="E372">
        <v>67061837.82</v>
      </c>
      <c r="F372">
        <v>0</v>
      </c>
      <c r="G372" t="s">
        <v>177</v>
      </c>
      <c r="H372" t="s">
        <v>177</v>
      </c>
      <c r="I372" s="876">
        <v>44088</v>
      </c>
      <c r="J372">
        <v>3</v>
      </c>
      <c r="K372" t="s">
        <v>202</v>
      </c>
      <c r="L372">
        <v>383</v>
      </c>
      <c r="M372">
        <v>0.64732185223484895</v>
      </c>
      <c r="N372" t="s">
        <v>177</v>
      </c>
      <c r="O372">
        <v>9.79438846314689E-2</v>
      </c>
      <c r="P372">
        <v>0.25473426313368203</v>
      </c>
      <c r="Q372">
        <v>0.39327229026516802</v>
      </c>
      <c r="R372">
        <v>0</v>
      </c>
      <c r="S372">
        <v>7.0932292746619905E-5</v>
      </c>
      <c r="T372">
        <v>0.244119577721196</v>
      </c>
      <c r="U372">
        <v>3.1454155069856E-2</v>
      </c>
      <c r="V372">
        <v>-2.22021323807234E-2</v>
      </c>
      <c r="W372">
        <v>6.07029266606412E-4</v>
      </c>
      <c r="X372">
        <v>0</v>
      </c>
      <c r="Y372" t="s">
        <v>177</v>
      </c>
      <c r="Z372" t="s">
        <v>177</v>
      </c>
      <c r="AA372" t="s">
        <v>177</v>
      </c>
      <c r="AB372" t="s">
        <v>177</v>
      </c>
      <c r="AC372" t="s">
        <v>177</v>
      </c>
      <c r="AD372" t="s">
        <v>177</v>
      </c>
      <c r="AE372" t="s">
        <v>177</v>
      </c>
      <c r="AF372" t="s">
        <v>177</v>
      </c>
      <c r="AG372" s="876">
        <v>44088</v>
      </c>
      <c r="AH372" s="871">
        <f t="shared" si="11"/>
        <v>44075</v>
      </c>
    </row>
    <row r="373" spans="1:34" hidden="1">
      <c r="A373">
        <v>4</v>
      </c>
      <c r="B373">
        <v>383</v>
      </c>
      <c r="C373" t="s">
        <v>202</v>
      </c>
      <c r="D373">
        <v>103</v>
      </c>
      <c r="E373">
        <v>88668323.072982803</v>
      </c>
      <c r="F373">
        <v>0</v>
      </c>
      <c r="G373" t="s">
        <v>177</v>
      </c>
      <c r="H373" t="s">
        <v>177</v>
      </c>
      <c r="I373" s="876">
        <v>44117</v>
      </c>
      <c r="J373">
        <v>4</v>
      </c>
      <c r="K373" t="s">
        <v>202</v>
      </c>
      <c r="L373">
        <v>383</v>
      </c>
      <c r="M373">
        <v>0.72345990132261295</v>
      </c>
      <c r="N373">
        <v>0</v>
      </c>
      <c r="O373">
        <v>0.17400389639266201</v>
      </c>
      <c r="P373">
        <v>0.102536202284726</v>
      </c>
      <c r="Q373">
        <v>0.35196319395884601</v>
      </c>
      <c r="R373">
        <v>0</v>
      </c>
      <c r="S373">
        <v>1.2588600428844199E-4</v>
      </c>
      <c r="T373">
        <v>0.48597018701165801</v>
      </c>
      <c r="U373">
        <v>4.2202831548291998E-2</v>
      </c>
      <c r="V373">
        <v>-0.15787947295563901</v>
      </c>
      <c r="W373">
        <v>1.07727575516601E-3</v>
      </c>
      <c r="X373">
        <v>0</v>
      </c>
      <c r="Y373" t="s">
        <v>177</v>
      </c>
      <c r="Z373" t="s">
        <v>177</v>
      </c>
      <c r="AA373" t="s">
        <v>177</v>
      </c>
      <c r="AB373" t="s">
        <v>177</v>
      </c>
      <c r="AC373" t="s">
        <v>177</v>
      </c>
      <c r="AD373" t="s">
        <v>177</v>
      </c>
      <c r="AE373" t="s">
        <v>177</v>
      </c>
      <c r="AF373" t="s">
        <v>177</v>
      </c>
      <c r="AG373" s="876">
        <v>44117</v>
      </c>
      <c r="AH373" s="871">
        <f t="shared" si="11"/>
        <v>44105</v>
      </c>
    </row>
    <row r="374" spans="1:34" hidden="1">
      <c r="A374">
        <v>5</v>
      </c>
      <c r="B374">
        <v>383</v>
      </c>
      <c r="C374" t="s">
        <v>202</v>
      </c>
      <c r="D374">
        <v>103</v>
      </c>
      <c r="E374">
        <v>37823065.268186398</v>
      </c>
      <c r="F374">
        <v>0</v>
      </c>
      <c r="G374" t="s">
        <v>177</v>
      </c>
      <c r="H374" t="s">
        <v>177</v>
      </c>
      <c r="I374" s="876">
        <v>44147</v>
      </c>
      <c r="J374">
        <v>5</v>
      </c>
      <c r="K374" t="s">
        <v>202</v>
      </c>
      <c r="L374">
        <v>383</v>
      </c>
      <c r="M374">
        <v>0.92919337896606702</v>
      </c>
      <c r="N374">
        <v>0</v>
      </c>
      <c r="O374">
        <v>7.0806621033933301E-2</v>
      </c>
      <c r="P374">
        <v>0</v>
      </c>
      <c r="Q374">
        <v>0.57760284286098396</v>
      </c>
      <c r="R374">
        <v>0</v>
      </c>
      <c r="S374">
        <v>5.2282983065329301E-5</v>
      </c>
      <c r="T374">
        <v>0.191415607759263</v>
      </c>
      <c r="U374">
        <v>1.7016884902783701E-2</v>
      </c>
      <c r="V374">
        <v>0.142658661104165</v>
      </c>
      <c r="W374">
        <v>4.47099355806381E-4</v>
      </c>
      <c r="X374">
        <v>0</v>
      </c>
      <c r="Y374" t="s">
        <v>177</v>
      </c>
      <c r="Z374" t="s">
        <v>177</v>
      </c>
      <c r="AA374" t="s">
        <v>177</v>
      </c>
      <c r="AB374" t="s">
        <v>177</v>
      </c>
      <c r="AC374" t="s">
        <v>177</v>
      </c>
      <c r="AD374" t="s">
        <v>177</v>
      </c>
      <c r="AE374" t="s">
        <v>177</v>
      </c>
      <c r="AF374" t="s">
        <v>177</v>
      </c>
      <c r="AG374" s="876">
        <v>44147</v>
      </c>
      <c r="AH374" s="871">
        <f t="shared" si="11"/>
        <v>44136</v>
      </c>
    </row>
    <row r="375" spans="1:34" hidden="1">
      <c r="A375">
        <v>6</v>
      </c>
      <c r="B375">
        <v>383</v>
      </c>
      <c r="C375" t="s">
        <v>202</v>
      </c>
      <c r="D375">
        <v>103</v>
      </c>
      <c r="E375">
        <v>162711197.78999999</v>
      </c>
      <c r="F375">
        <v>93194330.733902499</v>
      </c>
      <c r="G375" t="s">
        <v>177</v>
      </c>
      <c r="H375" t="s">
        <v>177</v>
      </c>
      <c r="I375" s="876">
        <v>44179</v>
      </c>
      <c r="J375">
        <v>6</v>
      </c>
      <c r="K375" t="s">
        <v>202</v>
      </c>
      <c r="L375">
        <v>383</v>
      </c>
      <c r="M375">
        <v>0.99952300510933401</v>
      </c>
      <c r="N375">
        <v>0</v>
      </c>
      <c r="O375">
        <v>0</v>
      </c>
      <c r="P375">
        <v>4.7699489066615401E-4</v>
      </c>
      <c r="Q375">
        <v>0.87221081835537995</v>
      </c>
      <c r="R375">
        <v>0</v>
      </c>
      <c r="S375">
        <v>2.73255932006497E-5</v>
      </c>
      <c r="T375">
        <v>0.10540378654292</v>
      </c>
      <c r="U375">
        <v>9.2762650665752892E-3</v>
      </c>
      <c r="V375">
        <v>1.2370966395305501E-2</v>
      </c>
      <c r="W375">
        <v>2.33843155952346E-4</v>
      </c>
      <c r="X375">
        <v>0</v>
      </c>
      <c r="Y375" t="s">
        <v>177</v>
      </c>
      <c r="Z375" t="s">
        <v>177</v>
      </c>
      <c r="AA375" t="s">
        <v>177</v>
      </c>
      <c r="AB375" t="s">
        <v>177</v>
      </c>
      <c r="AC375" t="s">
        <v>177</v>
      </c>
      <c r="AD375" t="s">
        <v>177</v>
      </c>
      <c r="AE375" t="s">
        <v>177</v>
      </c>
      <c r="AF375" t="s">
        <v>177</v>
      </c>
      <c r="AG375" s="876">
        <v>44179</v>
      </c>
      <c r="AH375" s="871">
        <f t="shared" si="11"/>
        <v>44166</v>
      </c>
    </row>
    <row r="376" spans="1:34" hidden="1">
      <c r="A376">
        <v>7</v>
      </c>
      <c r="B376">
        <v>383</v>
      </c>
      <c r="C376" t="s">
        <v>202</v>
      </c>
      <c r="D376">
        <v>103</v>
      </c>
      <c r="E376">
        <v>0</v>
      </c>
      <c r="F376">
        <v>0</v>
      </c>
      <c r="G376" t="s">
        <v>177</v>
      </c>
      <c r="H376" t="s">
        <v>177</v>
      </c>
      <c r="I376" s="876">
        <v>44193</v>
      </c>
      <c r="J376">
        <v>7</v>
      </c>
      <c r="K376" t="s">
        <v>202</v>
      </c>
      <c r="L376">
        <v>383</v>
      </c>
      <c r="M376" t="s">
        <v>177</v>
      </c>
      <c r="N376">
        <v>0</v>
      </c>
      <c r="O376" t="s">
        <v>177</v>
      </c>
      <c r="P376" t="s">
        <v>177</v>
      </c>
      <c r="Q376" t="s">
        <v>177</v>
      </c>
      <c r="R376" t="s">
        <v>177</v>
      </c>
      <c r="S376" t="s">
        <v>177</v>
      </c>
      <c r="T376" t="s">
        <v>177</v>
      </c>
      <c r="U376" t="s">
        <v>177</v>
      </c>
      <c r="V376" t="s">
        <v>177</v>
      </c>
      <c r="W376" t="s">
        <v>177</v>
      </c>
      <c r="X376" t="s">
        <v>177</v>
      </c>
      <c r="Y376" t="s">
        <v>177</v>
      </c>
      <c r="Z376" t="s">
        <v>177</v>
      </c>
      <c r="AA376" t="s">
        <v>177</v>
      </c>
      <c r="AB376" t="s">
        <v>177</v>
      </c>
      <c r="AC376" t="s">
        <v>177</v>
      </c>
      <c r="AD376" t="s">
        <v>177</v>
      </c>
      <c r="AE376" t="s">
        <v>177</v>
      </c>
      <c r="AF376" t="s">
        <v>177</v>
      </c>
      <c r="AG376" s="876">
        <v>44193</v>
      </c>
      <c r="AH376" s="871">
        <f t="shared" si="11"/>
        <v>44166</v>
      </c>
    </row>
    <row r="377" spans="1:34" hidden="1">
      <c r="A377">
        <v>8</v>
      </c>
      <c r="B377">
        <v>383</v>
      </c>
      <c r="C377" t="s">
        <v>202</v>
      </c>
      <c r="D377">
        <v>103</v>
      </c>
      <c r="E377">
        <v>0</v>
      </c>
      <c r="F377">
        <v>0</v>
      </c>
      <c r="G377" t="s">
        <v>177</v>
      </c>
      <c r="H377" t="s">
        <v>177</v>
      </c>
      <c r="I377" s="876">
        <v>44208</v>
      </c>
      <c r="J377">
        <v>8</v>
      </c>
      <c r="K377" t="s">
        <v>202</v>
      </c>
      <c r="L377">
        <v>383</v>
      </c>
      <c r="M377" t="s">
        <v>177</v>
      </c>
      <c r="N377">
        <v>0</v>
      </c>
      <c r="O377" t="s">
        <v>177</v>
      </c>
      <c r="P377" t="s">
        <v>177</v>
      </c>
      <c r="Q377" t="s">
        <v>177</v>
      </c>
      <c r="R377" t="s">
        <v>177</v>
      </c>
      <c r="S377" t="s">
        <v>177</v>
      </c>
      <c r="T377" t="s">
        <v>177</v>
      </c>
      <c r="U377" t="s">
        <v>177</v>
      </c>
      <c r="V377" t="s">
        <v>177</v>
      </c>
      <c r="W377" t="s">
        <v>177</v>
      </c>
      <c r="X377" t="s">
        <v>177</v>
      </c>
      <c r="Y377" t="s">
        <v>177</v>
      </c>
      <c r="Z377" t="s">
        <v>177</v>
      </c>
      <c r="AA377" t="s">
        <v>177</v>
      </c>
      <c r="AB377" t="s">
        <v>177</v>
      </c>
      <c r="AC377" t="s">
        <v>177</v>
      </c>
      <c r="AD377" t="s">
        <v>177</v>
      </c>
      <c r="AE377" t="s">
        <v>177</v>
      </c>
      <c r="AF377" t="s">
        <v>177</v>
      </c>
      <c r="AG377" s="876">
        <v>44208</v>
      </c>
      <c r="AH377" s="871">
        <f t="shared" si="11"/>
        <v>44197</v>
      </c>
    </row>
    <row r="378" spans="1:34" hidden="1">
      <c r="A378">
        <v>1</v>
      </c>
      <c r="B378">
        <v>390</v>
      </c>
      <c r="C378" t="s">
        <v>204</v>
      </c>
      <c r="D378">
        <v>148</v>
      </c>
      <c r="E378">
        <v>1389232809</v>
      </c>
      <c r="F378">
        <v>0</v>
      </c>
      <c r="G378">
        <v>0</v>
      </c>
      <c r="H378">
        <v>0</v>
      </c>
      <c r="I378" s="876">
        <v>44043</v>
      </c>
      <c r="J378">
        <v>1</v>
      </c>
      <c r="K378" t="s">
        <v>204</v>
      </c>
      <c r="L378">
        <v>390</v>
      </c>
      <c r="M378">
        <v>8.95418328807117E-2</v>
      </c>
      <c r="N378">
        <v>0.72496939943942895</v>
      </c>
      <c r="O378">
        <v>0.119868881592181</v>
      </c>
      <c r="P378">
        <v>6.5619886087678297E-2</v>
      </c>
      <c r="Q378">
        <v>-2.6511883331309102E-2</v>
      </c>
      <c r="R378">
        <v>7.2497207642874498E-2</v>
      </c>
      <c r="S378">
        <v>-3.67877503973366E-3</v>
      </c>
      <c r="T378">
        <v>-5.3940911841891797E-3</v>
      </c>
      <c r="U378">
        <v>1.04073822573967E-3</v>
      </c>
      <c r="V378">
        <v>-1.33096344983555E-3</v>
      </c>
      <c r="W378">
        <v>5.2919600017165003E-2</v>
      </c>
      <c r="X378">
        <v>0</v>
      </c>
      <c r="Y378">
        <v>0.22884835426459199</v>
      </c>
      <c r="Z378">
        <v>0.60215181921461103</v>
      </c>
      <c r="AA378">
        <v>-1.6054744745602902E-2</v>
      </c>
      <c r="AB378">
        <v>4.45002796306498E-2</v>
      </c>
      <c r="AC378">
        <v>1.52470632649526E-2</v>
      </c>
      <c r="AD378">
        <v>-0.238843049265759</v>
      </c>
      <c r="AE378">
        <v>8.9119677075985004E-2</v>
      </c>
      <c r="AF378">
        <v>0</v>
      </c>
      <c r="AG378" s="876">
        <v>44043</v>
      </c>
      <c r="AH378" s="871">
        <f t="shared" ref="AH378:AH409" si="12">DATE(YEAR(I378),MONTH(I378),1)</f>
        <v>44013</v>
      </c>
    </row>
    <row r="379" spans="1:34" hidden="1">
      <c r="A379">
        <v>2</v>
      </c>
      <c r="B379">
        <v>390</v>
      </c>
      <c r="C379" t="s">
        <v>204</v>
      </c>
      <c r="D379">
        <v>148</v>
      </c>
      <c r="E379">
        <v>0</v>
      </c>
      <c r="F379">
        <v>0</v>
      </c>
      <c r="G379" t="s">
        <v>177</v>
      </c>
      <c r="H379" t="s">
        <v>177</v>
      </c>
      <c r="I379" s="876">
        <v>44055</v>
      </c>
      <c r="J379">
        <v>2</v>
      </c>
      <c r="K379" t="s">
        <v>204</v>
      </c>
      <c r="L379">
        <v>390</v>
      </c>
      <c r="M379">
        <v>0</v>
      </c>
      <c r="N379" t="s">
        <v>177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177</v>
      </c>
      <c r="Z379" t="s">
        <v>177</v>
      </c>
      <c r="AA379" t="s">
        <v>177</v>
      </c>
      <c r="AB379" t="s">
        <v>177</v>
      </c>
      <c r="AC379" t="s">
        <v>177</v>
      </c>
      <c r="AD379" t="s">
        <v>177</v>
      </c>
      <c r="AE379" t="s">
        <v>177</v>
      </c>
      <c r="AF379" t="s">
        <v>177</v>
      </c>
      <c r="AG379" s="876">
        <v>44055</v>
      </c>
      <c r="AH379" s="871">
        <f t="shared" si="12"/>
        <v>44044</v>
      </c>
    </row>
    <row r="380" spans="1:34" hidden="1">
      <c r="A380">
        <v>3</v>
      </c>
      <c r="B380">
        <v>390</v>
      </c>
      <c r="C380" t="s">
        <v>204</v>
      </c>
      <c r="D380">
        <v>148</v>
      </c>
      <c r="E380">
        <v>0</v>
      </c>
      <c r="F380">
        <v>0</v>
      </c>
      <c r="G380" t="s">
        <v>177</v>
      </c>
      <c r="H380" t="s">
        <v>177</v>
      </c>
      <c r="I380" s="876">
        <v>44088</v>
      </c>
      <c r="J380">
        <v>3</v>
      </c>
      <c r="K380" t="s">
        <v>204</v>
      </c>
      <c r="L380">
        <v>390</v>
      </c>
      <c r="M380">
        <v>0</v>
      </c>
      <c r="N380" t="s">
        <v>177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177</v>
      </c>
      <c r="Z380" t="s">
        <v>177</v>
      </c>
      <c r="AA380" t="s">
        <v>177</v>
      </c>
      <c r="AB380" t="s">
        <v>177</v>
      </c>
      <c r="AC380" t="s">
        <v>177</v>
      </c>
      <c r="AD380" t="s">
        <v>177</v>
      </c>
      <c r="AE380" t="s">
        <v>177</v>
      </c>
      <c r="AF380" t="s">
        <v>177</v>
      </c>
      <c r="AG380" s="876">
        <v>44088</v>
      </c>
      <c r="AH380" s="871">
        <f t="shared" si="12"/>
        <v>44075</v>
      </c>
    </row>
    <row r="381" spans="1:34" hidden="1">
      <c r="A381">
        <v>4</v>
      </c>
      <c r="B381">
        <v>390</v>
      </c>
      <c r="C381" t="s">
        <v>204</v>
      </c>
      <c r="D381">
        <v>148</v>
      </c>
      <c r="E381">
        <v>0</v>
      </c>
      <c r="F381">
        <v>0</v>
      </c>
      <c r="G381" t="s">
        <v>177</v>
      </c>
      <c r="H381" t="s">
        <v>177</v>
      </c>
      <c r="I381" s="876">
        <v>44117</v>
      </c>
      <c r="J381">
        <v>4</v>
      </c>
      <c r="K381" t="s">
        <v>204</v>
      </c>
      <c r="L381">
        <v>390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177</v>
      </c>
      <c r="Z381" t="s">
        <v>177</v>
      </c>
      <c r="AA381" t="s">
        <v>177</v>
      </c>
      <c r="AB381" t="s">
        <v>177</v>
      </c>
      <c r="AC381" t="s">
        <v>177</v>
      </c>
      <c r="AD381" t="s">
        <v>177</v>
      </c>
      <c r="AE381" t="s">
        <v>177</v>
      </c>
      <c r="AF381" t="s">
        <v>177</v>
      </c>
      <c r="AG381" s="876">
        <v>44117</v>
      </c>
      <c r="AH381" s="871">
        <f t="shared" si="12"/>
        <v>44105</v>
      </c>
    </row>
    <row r="382" spans="1:34" hidden="1">
      <c r="A382">
        <v>5</v>
      </c>
      <c r="B382">
        <v>390</v>
      </c>
      <c r="C382" t="s">
        <v>204</v>
      </c>
      <c r="D382">
        <v>148</v>
      </c>
      <c r="E382">
        <v>0</v>
      </c>
      <c r="F382">
        <v>0</v>
      </c>
      <c r="G382" t="s">
        <v>177</v>
      </c>
      <c r="H382" t="s">
        <v>177</v>
      </c>
      <c r="I382" s="876">
        <v>44147</v>
      </c>
      <c r="J382">
        <v>5</v>
      </c>
      <c r="K382" t="s">
        <v>204</v>
      </c>
      <c r="L382">
        <v>390</v>
      </c>
      <c r="M382" t="s">
        <v>177</v>
      </c>
      <c r="N382" t="s">
        <v>177</v>
      </c>
      <c r="O382" t="s">
        <v>177</v>
      </c>
      <c r="P382" t="s">
        <v>177</v>
      </c>
      <c r="Q382" t="s">
        <v>177</v>
      </c>
      <c r="R382" t="s">
        <v>177</v>
      </c>
      <c r="S382" t="s">
        <v>177</v>
      </c>
      <c r="T382" t="s">
        <v>177</v>
      </c>
      <c r="U382" t="s">
        <v>177</v>
      </c>
      <c r="V382" t="s">
        <v>177</v>
      </c>
      <c r="W382" t="s">
        <v>177</v>
      </c>
      <c r="X382" t="s">
        <v>177</v>
      </c>
      <c r="Y382" t="s">
        <v>177</v>
      </c>
      <c r="Z382" t="s">
        <v>177</v>
      </c>
      <c r="AA382" t="s">
        <v>177</v>
      </c>
      <c r="AB382" t="s">
        <v>177</v>
      </c>
      <c r="AC382" t="s">
        <v>177</v>
      </c>
      <c r="AD382" t="s">
        <v>177</v>
      </c>
      <c r="AE382" t="s">
        <v>177</v>
      </c>
      <c r="AF382" t="s">
        <v>177</v>
      </c>
      <c r="AG382" s="876">
        <v>44147</v>
      </c>
      <c r="AH382" s="871">
        <f t="shared" si="12"/>
        <v>44136</v>
      </c>
    </row>
    <row r="383" spans="1:34" hidden="1">
      <c r="A383">
        <v>6</v>
      </c>
      <c r="B383">
        <v>390</v>
      </c>
      <c r="C383" t="s">
        <v>204</v>
      </c>
      <c r="D383">
        <v>148</v>
      </c>
      <c r="E383">
        <v>0</v>
      </c>
      <c r="F383">
        <v>0</v>
      </c>
      <c r="G383" t="s">
        <v>177</v>
      </c>
      <c r="H383" t="s">
        <v>177</v>
      </c>
      <c r="I383" s="876">
        <v>44179</v>
      </c>
      <c r="J383">
        <v>6</v>
      </c>
      <c r="K383" t="s">
        <v>204</v>
      </c>
      <c r="L383">
        <v>390</v>
      </c>
      <c r="M383" t="s">
        <v>177</v>
      </c>
      <c r="N383" t="s">
        <v>177</v>
      </c>
      <c r="O383" t="s">
        <v>177</v>
      </c>
      <c r="P383" t="s">
        <v>177</v>
      </c>
      <c r="Q383" t="s">
        <v>177</v>
      </c>
      <c r="R383" t="s">
        <v>177</v>
      </c>
      <c r="S383" t="s">
        <v>177</v>
      </c>
      <c r="T383" t="s">
        <v>177</v>
      </c>
      <c r="U383" t="s">
        <v>177</v>
      </c>
      <c r="V383" t="s">
        <v>177</v>
      </c>
      <c r="W383" t="s">
        <v>177</v>
      </c>
      <c r="X383" t="s">
        <v>177</v>
      </c>
      <c r="Y383" t="s">
        <v>177</v>
      </c>
      <c r="Z383" t="s">
        <v>177</v>
      </c>
      <c r="AA383" t="s">
        <v>177</v>
      </c>
      <c r="AB383" t="s">
        <v>177</v>
      </c>
      <c r="AC383" t="s">
        <v>177</v>
      </c>
      <c r="AD383" t="s">
        <v>177</v>
      </c>
      <c r="AE383" t="s">
        <v>177</v>
      </c>
      <c r="AF383" t="s">
        <v>177</v>
      </c>
      <c r="AG383" s="876">
        <v>44179</v>
      </c>
      <c r="AH383" s="871">
        <f t="shared" si="12"/>
        <v>44166</v>
      </c>
    </row>
    <row r="384" spans="1:34" hidden="1">
      <c r="A384">
        <v>7</v>
      </c>
      <c r="B384">
        <v>390</v>
      </c>
      <c r="C384" t="s">
        <v>204</v>
      </c>
      <c r="D384">
        <v>148</v>
      </c>
      <c r="E384">
        <v>0</v>
      </c>
      <c r="F384">
        <v>0</v>
      </c>
      <c r="G384" t="s">
        <v>177</v>
      </c>
      <c r="H384" t="s">
        <v>177</v>
      </c>
      <c r="I384" s="876">
        <v>44193</v>
      </c>
      <c r="J384">
        <v>7</v>
      </c>
      <c r="K384" t="s">
        <v>204</v>
      </c>
      <c r="L384">
        <v>390</v>
      </c>
      <c r="M384" t="s">
        <v>177</v>
      </c>
      <c r="N384" t="s">
        <v>177</v>
      </c>
      <c r="O384" t="s">
        <v>177</v>
      </c>
      <c r="P384" t="s">
        <v>177</v>
      </c>
      <c r="Q384" t="s">
        <v>177</v>
      </c>
      <c r="R384" t="s">
        <v>177</v>
      </c>
      <c r="S384" t="s">
        <v>177</v>
      </c>
      <c r="T384" t="s">
        <v>177</v>
      </c>
      <c r="U384" t="s">
        <v>177</v>
      </c>
      <c r="V384" t="s">
        <v>177</v>
      </c>
      <c r="W384" t="s">
        <v>177</v>
      </c>
      <c r="X384" t="s">
        <v>177</v>
      </c>
      <c r="Y384" t="s">
        <v>177</v>
      </c>
      <c r="Z384" t="s">
        <v>177</v>
      </c>
      <c r="AA384" t="s">
        <v>177</v>
      </c>
      <c r="AB384" t="s">
        <v>177</v>
      </c>
      <c r="AC384" t="s">
        <v>177</v>
      </c>
      <c r="AD384" t="s">
        <v>177</v>
      </c>
      <c r="AE384" t="s">
        <v>177</v>
      </c>
      <c r="AF384" t="s">
        <v>177</v>
      </c>
      <c r="AG384" s="876">
        <v>44193</v>
      </c>
      <c r="AH384" s="871">
        <f t="shared" si="12"/>
        <v>44166</v>
      </c>
    </row>
    <row r="385" spans="1:34" hidden="1">
      <c r="A385">
        <v>8</v>
      </c>
      <c r="B385">
        <v>390</v>
      </c>
      <c r="C385" t="s">
        <v>204</v>
      </c>
      <c r="D385">
        <v>148</v>
      </c>
      <c r="E385">
        <v>0</v>
      </c>
      <c r="F385">
        <v>0</v>
      </c>
      <c r="G385" t="s">
        <v>177</v>
      </c>
      <c r="H385" t="s">
        <v>177</v>
      </c>
      <c r="I385" s="876">
        <v>44208</v>
      </c>
      <c r="J385">
        <v>8</v>
      </c>
      <c r="K385" t="s">
        <v>204</v>
      </c>
      <c r="L385">
        <v>390</v>
      </c>
      <c r="M385" t="s">
        <v>177</v>
      </c>
      <c r="N385" t="s">
        <v>177</v>
      </c>
      <c r="O385" t="s">
        <v>177</v>
      </c>
      <c r="P385" t="s">
        <v>177</v>
      </c>
      <c r="Q385" t="s">
        <v>177</v>
      </c>
      <c r="R385" t="s">
        <v>177</v>
      </c>
      <c r="S385" t="s">
        <v>177</v>
      </c>
      <c r="T385" t="s">
        <v>177</v>
      </c>
      <c r="U385" t="s">
        <v>177</v>
      </c>
      <c r="V385" t="s">
        <v>177</v>
      </c>
      <c r="W385" t="s">
        <v>177</v>
      </c>
      <c r="X385" t="s">
        <v>177</v>
      </c>
      <c r="Y385" t="s">
        <v>177</v>
      </c>
      <c r="Z385" t="s">
        <v>177</v>
      </c>
      <c r="AA385" t="s">
        <v>177</v>
      </c>
      <c r="AB385" t="s">
        <v>177</v>
      </c>
      <c r="AC385" t="s">
        <v>177</v>
      </c>
      <c r="AD385" t="s">
        <v>177</v>
      </c>
      <c r="AE385" t="s">
        <v>177</v>
      </c>
      <c r="AF385" t="s">
        <v>177</v>
      </c>
      <c r="AG385" s="876">
        <v>44208</v>
      </c>
      <c r="AH385" s="871">
        <f t="shared" si="12"/>
        <v>44197</v>
      </c>
    </row>
    <row r="386" spans="1:34" hidden="1">
      <c r="A386">
        <v>1</v>
      </c>
      <c r="B386">
        <v>6612</v>
      </c>
      <c r="C386" t="s">
        <v>237</v>
      </c>
      <c r="D386">
        <v>152</v>
      </c>
      <c r="E386">
        <v>6628467.2313446105</v>
      </c>
      <c r="F386">
        <v>0</v>
      </c>
      <c r="G386">
        <v>109747</v>
      </c>
      <c r="H386">
        <v>0</v>
      </c>
      <c r="I386" s="876">
        <v>44043</v>
      </c>
      <c r="J386">
        <v>1</v>
      </c>
      <c r="K386" t="s">
        <v>237</v>
      </c>
      <c r="L386">
        <v>6612</v>
      </c>
      <c r="M386">
        <v>0.139590867369285</v>
      </c>
      <c r="N386">
        <v>0.769177516367057</v>
      </c>
      <c r="O386">
        <v>0</v>
      </c>
      <c r="P386">
        <v>9.1231616263658402E-2</v>
      </c>
      <c r="Q386">
        <v>0.13769064962256899</v>
      </c>
      <c r="R386">
        <v>0</v>
      </c>
      <c r="S386">
        <v>-4.4050893233528602E-3</v>
      </c>
      <c r="T386">
        <v>0</v>
      </c>
      <c r="U386">
        <v>0</v>
      </c>
      <c r="V386">
        <v>0</v>
      </c>
      <c r="W386">
        <v>6.3053070700687898E-3</v>
      </c>
      <c r="X386">
        <v>0</v>
      </c>
      <c r="Y386">
        <v>0.63186203366056604</v>
      </c>
      <c r="Z386">
        <v>0</v>
      </c>
      <c r="AA386">
        <v>-3.0057145389974099E-2</v>
      </c>
      <c r="AB386">
        <v>0</v>
      </c>
      <c r="AC386">
        <v>0</v>
      </c>
      <c r="AD386">
        <v>0</v>
      </c>
      <c r="AE386">
        <v>0.167372628096465</v>
      </c>
      <c r="AF386">
        <v>0</v>
      </c>
      <c r="AG386" s="876">
        <v>44043</v>
      </c>
      <c r="AH386" s="871">
        <f t="shared" si="12"/>
        <v>44013</v>
      </c>
    </row>
    <row r="387" spans="1:34" hidden="1">
      <c r="A387">
        <v>2</v>
      </c>
      <c r="B387">
        <v>6612</v>
      </c>
      <c r="C387" t="s">
        <v>237</v>
      </c>
      <c r="D387">
        <v>152</v>
      </c>
      <c r="E387">
        <v>225184.204217133</v>
      </c>
      <c r="F387">
        <v>0</v>
      </c>
      <c r="G387" t="s">
        <v>177</v>
      </c>
      <c r="H387" t="s">
        <v>177</v>
      </c>
      <c r="I387" s="876">
        <v>44055</v>
      </c>
      <c r="J387">
        <v>2</v>
      </c>
      <c r="K387" t="s">
        <v>237</v>
      </c>
      <c r="L387">
        <v>6612</v>
      </c>
      <c r="M387">
        <v>0.74277918137250298</v>
      </c>
      <c r="N387" t="s">
        <v>177</v>
      </c>
      <c r="O387">
        <v>0.25722081862749702</v>
      </c>
      <c r="P387">
        <v>0</v>
      </c>
      <c r="Q387">
        <v>0.74304732321074696</v>
      </c>
      <c r="R387">
        <v>0</v>
      </c>
      <c r="S387">
        <v>-1.3929353081625799E-9</v>
      </c>
      <c r="T387">
        <v>0</v>
      </c>
      <c r="U387">
        <v>0</v>
      </c>
      <c r="V387">
        <v>0</v>
      </c>
      <c r="W387">
        <v>-2.6814044530935102E-4</v>
      </c>
      <c r="X387">
        <v>0</v>
      </c>
      <c r="Y387" t="s">
        <v>177</v>
      </c>
      <c r="Z387" t="s">
        <v>177</v>
      </c>
      <c r="AA387" t="s">
        <v>177</v>
      </c>
      <c r="AB387" t="s">
        <v>177</v>
      </c>
      <c r="AC387" t="s">
        <v>177</v>
      </c>
      <c r="AD387" t="s">
        <v>177</v>
      </c>
      <c r="AE387" t="s">
        <v>177</v>
      </c>
      <c r="AF387" t="s">
        <v>177</v>
      </c>
      <c r="AG387" s="876">
        <v>44055</v>
      </c>
      <c r="AH387" s="871">
        <f t="shared" si="12"/>
        <v>44044</v>
      </c>
    </row>
    <row r="388" spans="1:34" hidden="1">
      <c r="A388">
        <v>3</v>
      </c>
      <c r="B388">
        <v>6612</v>
      </c>
      <c r="C388" t="s">
        <v>237</v>
      </c>
      <c r="D388">
        <v>152</v>
      </c>
      <c r="E388">
        <v>0</v>
      </c>
      <c r="F388">
        <v>0</v>
      </c>
      <c r="G388" t="s">
        <v>177</v>
      </c>
      <c r="H388" t="s">
        <v>177</v>
      </c>
      <c r="I388" s="876">
        <v>44088</v>
      </c>
      <c r="J388">
        <v>3</v>
      </c>
      <c r="K388" t="s">
        <v>237</v>
      </c>
      <c r="L388">
        <v>6612</v>
      </c>
      <c r="M388">
        <v>0</v>
      </c>
      <c r="N388" t="s">
        <v>177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177</v>
      </c>
      <c r="Z388" t="s">
        <v>177</v>
      </c>
      <c r="AA388" t="s">
        <v>177</v>
      </c>
      <c r="AB388" t="s">
        <v>177</v>
      </c>
      <c r="AC388" t="s">
        <v>177</v>
      </c>
      <c r="AD388" t="s">
        <v>177</v>
      </c>
      <c r="AE388" t="s">
        <v>177</v>
      </c>
      <c r="AF388" t="s">
        <v>177</v>
      </c>
      <c r="AG388" s="876">
        <v>44088</v>
      </c>
      <c r="AH388" s="871">
        <f t="shared" si="12"/>
        <v>44075</v>
      </c>
    </row>
    <row r="389" spans="1:34" hidden="1">
      <c r="A389">
        <v>4</v>
      </c>
      <c r="B389">
        <v>6612</v>
      </c>
      <c r="C389" t="s">
        <v>237</v>
      </c>
      <c r="D389">
        <v>152</v>
      </c>
      <c r="E389">
        <v>0</v>
      </c>
      <c r="F389">
        <v>0</v>
      </c>
      <c r="G389" t="s">
        <v>177</v>
      </c>
      <c r="H389" t="s">
        <v>177</v>
      </c>
      <c r="I389" s="876">
        <v>44117</v>
      </c>
      <c r="J389">
        <v>4</v>
      </c>
      <c r="K389" t="s">
        <v>237</v>
      </c>
      <c r="L389">
        <v>6612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177</v>
      </c>
      <c r="Z389" t="s">
        <v>177</v>
      </c>
      <c r="AA389" t="s">
        <v>177</v>
      </c>
      <c r="AB389" t="s">
        <v>177</v>
      </c>
      <c r="AC389" t="s">
        <v>177</v>
      </c>
      <c r="AD389" t="s">
        <v>177</v>
      </c>
      <c r="AE389" t="s">
        <v>177</v>
      </c>
      <c r="AF389" t="s">
        <v>177</v>
      </c>
      <c r="AG389" s="876">
        <v>44117</v>
      </c>
      <c r="AH389" s="871">
        <f t="shared" si="12"/>
        <v>44105</v>
      </c>
    </row>
    <row r="390" spans="1:34" hidden="1">
      <c r="A390">
        <v>5</v>
      </c>
      <c r="B390">
        <v>6612</v>
      </c>
      <c r="C390" t="s">
        <v>237</v>
      </c>
      <c r="D390">
        <v>152</v>
      </c>
      <c r="E390">
        <v>0</v>
      </c>
      <c r="F390">
        <v>0</v>
      </c>
      <c r="G390" t="s">
        <v>177</v>
      </c>
      <c r="H390" t="s">
        <v>177</v>
      </c>
      <c r="I390" s="876">
        <v>44147</v>
      </c>
      <c r="J390">
        <v>5</v>
      </c>
      <c r="K390" t="s">
        <v>237</v>
      </c>
      <c r="L390">
        <v>6612</v>
      </c>
      <c r="M390" t="s">
        <v>177</v>
      </c>
      <c r="N390" t="s">
        <v>177</v>
      </c>
      <c r="O390" t="s">
        <v>177</v>
      </c>
      <c r="P390" t="s">
        <v>177</v>
      </c>
      <c r="Q390" t="s">
        <v>177</v>
      </c>
      <c r="R390" t="s">
        <v>177</v>
      </c>
      <c r="S390" t="s">
        <v>177</v>
      </c>
      <c r="T390" t="s">
        <v>177</v>
      </c>
      <c r="U390" t="s">
        <v>177</v>
      </c>
      <c r="V390" t="s">
        <v>177</v>
      </c>
      <c r="W390" t="s">
        <v>177</v>
      </c>
      <c r="X390" t="s">
        <v>177</v>
      </c>
      <c r="Y390" t="s">
        <v>177</v>
      </c>
      <c r="Z390" t="s">
        <v>177</v>
      </c>
      <c r="AA390" t="s">
        <v>177</v>
      </c>
      <c r="AB390" t="s">
        <v>177</v>
      </c>
      <c r="AC390" t="s">
        <v>177</v>
      </c>
      <c r="AD390" t="s">
        <v>177</v>
      </c>
      <c r="AE390" t="s">
        <v>177</v>
      </c>
      <c r="AF390" t="s">
        <v>177</v>
      </c>
      <c r="AG390" s="876">
        <v>44147</v>
      </c>
      <c r="AH390" s="871">
        <f t="shared" si="12"/>
        <v>44136</v>
      </c>
    </row>
    <row r="391" spans="1:34" hidden="1">
      <c r="A391">
        <v>6</v>
      </c>
      <c r="B391">
        <v>6612</v>
      </c>
      <c r="C391" t="s">
        <v>237</v>
      </c>
      <c r="D391">
        <v>152</v>
      </c>
      <c r="E391">
        <v>0</v>
      </c>
      <c r="F391">
        <v>0</v>
      </c>
      <c r="G391" t="s">
        <v>177</v>
      </c>
      <c r="H391" t="s">
        <v>177</v>
      </c>
      <c r="I391" s="876">
        <v>44179</v>
      </c>
      <c r="J391">
        <v>6</v>
      </c>
      <c r="K391" t="s">
        <v>237</v>
      </c>
      <c r="L391">
        <v>6612</v>
      </c>
      <c r="M391" t="s">
        <v>177</v>
      </c>
      <c r="N391" t="s">
        <v>177</v>
      </c>
      <c r="O391" t="s">
        <v>177</v>
      </c>
      <c r="P391" t="s">
        <v>177</v>
      </c>
      <c r="Q391" t="s">
        <v>177</v>
      </c>
      <c r="R391" t="s">
        <v>177</v>
      </c>
      <c r="S391" t="s">
        <v>177</v>
      </c>
      <c r="T391" t="s">
        <v>177</v>
      </c>
      <c r="U391" t="s">
        <v>177</v>
      </c>
      <c r="V391" t="s">
        <v>177</v>
      </c>
      <c r="W391" t="s">
        <v>177</v>
      </c>
      <c r="X391" t="s">
        <v>177</v>
      </c>
      <c r="Y391" t="s">
        <v>177</v>
      </c>
      <c r="Z391" t="s">
        <v>177</v>
      </c>
      <c r="AA391" t="s">
        <v>177</v>
      </c>
      <c r="AB391" t="s">
        <v>177</v>
      </c>
      <c r="AC391" t="s">
        <v>177</v>
      </c>
      <c r="AD391" t="s">
        <v>177</v>
      </c>
      <c r="AE391" t="s">
        <v>177</v>
      </c>
      <c r="AF391" t="s">
        <v>177</v>
      </c>
      <c r="AG391" s="876">
        <v>44179</v>
      </c>
      <c r="AH391" s="871">
        <f t="shared" si="12"/>
        <v>44166</v>
      </c>
    </row>
    <row r="392" spans="1:34" hidden="1">
      <c r="A392">
        <v>7</v>
      </c>
      <c r="B392">
        <v>6612</v>
      </c>
      <c r="C392" t="s">
        <v>237</v>
      </c>
      <c r="D392">
        <v>152</v>
      </c>
      <c r="E392">
        <v>0</v>
      </c>
      <c r="F392">
        <v>0</v>
      </c>
      <c r="G392" t="s">
        <v>177</v>
      </c>
      <c r="H392" t="s">
        <v>177</v>
      </c>
      <c r="I392" s="876">
        <v>44193</v>
      </c>
      <c r="J392">
        <v>7</v>
      </c>
      <c r="K392" t="s">
        <v>237</v>
      </c>
      <c r="L392">
        <v>6612</v>
      </c>
      <c r="M392" t="s">
        <v>177</v>
      </c>
      <c r="N392" t="s">
        <v>177</v>
      </c>
      <c r="O392" t="s">
        <v>177</v>
      </c>
      <c r="P392" t="s">
        <v>177</v>
      </c>
      <c r="Q392" t="s">
        <v>177</v>
      </c>
      <c r="R392" t="s">
        <v>177</v>
      </c>
      <c r="S392" t="s">
        <v>177</v>
      </c>
      <c r="T392" t="s">
        <v>177</v>
      </c>
      <c r="U392" t="s">
        <v>177</v>
      </c>
      <c r="V392" t="s">
        <v>177</v>
      </c>
      <c r="W392" t="s">
        <v>177</v>
      </c>
      <c r="X392" t="s">
        <v>177</v>
      </c>
      <c r="Y392" t="s">
        <v>177</v>
      </c>
      <c r="Z392" t="s">
        <v>177</v>
      </c>
      <c r="AA392" t="s">
        <v>177</v>
      </c>
      <c r="AB392" t="s">
        <v>177</v>
      </c>
      <c r="AC392" t="s">
        <v>177</v>
      </c>
      <c r="AD392" t="s">
        <v>177</v>
      </c>
      <c r="AE392" t="s">
        <v>177</v>
      </c>
      <c r="AF392" t="s">
        <v>177</v>
      </c>
      <c r="AG392" s="876">
        <v>44193</v>
      </c>
      <c r="AH392" s="871">
        <f t="shared" si="12"/>
        <v>44166</v>
      </c>
    </row>
    <row r="393" spans="1:34" hidden="1">
      <c r="A393">
        <v>8</v>
      </c>
      <c r="B393">
        <v>6612</v>
      </c>
      <c r="C393" t="s">
        <v>237</v>
      </c>
      <c r="D393">
        <v>152</v>
      </c>
      <c r="E393">
        <v>0</v>
      </c>
      <c r="F393">
        <v>0</v>
      </c>
      <c r="G393" t="s">
        <v>177</v>
      </c>
      <c r="H393" t="s">
        <v>177</v>
      </c>
      <c r="I393" s="876">
        <v>44208</v>
      </c>
      <c r="J393">
        <v>8</v>
      </c>
      <c r="K393" t="s">
        <v>237</v>
      </c>
      <c r="L393">
        <v>6612</v>
      </c>
      <c r="M393" t="s">
        <v>177</v>
      </c>
      <c r="N393" t="s">
        <v>177</v>
      </c>
      <c r="O393" t="s">
        <v>177</v>
      </c>
      <c r="P393" t="s">
        <v>177</v>
      </c>
      <c r="Q393" t="s">
        <v>177</v>
      </c>
      <c r="R393" t="s">
        <v>177</v>
      </c>
      <c r="S393" t="s">
        <v>177</v>
      </c>
      <c r="T393" t="s">
        <v>177</v>
      </c>
      <c r="U393" t="s">
        <v>177</v>
      </c>
      <c r="V393" t="s">
        <v>177</v>
      </c>
      <c r="W393" t="s">
        <v>177</v>
      </c>
      <c r="X393" t="s">
        <v>177</v>
      </c>
      <c r="Y393" t="s">
        <v>177</v>
      </c>
      <c r="Z393" t="s">
        <v>177</v>
      </c>
      <c r="AA393" t="s">
        <v>177</v>
      </c>
      <c r="AB393" t="s">
        <v>177</v>
      </c>
      <c r="AC393" t="s">
        <v>177</v>
      </c>
      <c r="AD393" t="s">
        <v>177</v>
      </c>
      <c r="AE393" t="s">
        <v>177</v>
      </c>
      <c r="AF393" t="s">
        <v>177</v>
      </c>
      <c r="AG393" s="876">
        <v>44208</v>
      </c>
      <c r="AH393" s="871">
        <f t="shared" si="12"/>
        <v>44197</v>
      </c>
    </row>
    <row r="394" spans="1:34" hidden="1">
      <c r="A394">
        <v>1</v>
      </c>
      <c r="B394">
        <v>6600</v>
      </c>
      <c r="C394" t="s">
        <v>234</v>
      </c>
      <c r="D394">
        <v>153</v>
      </c>
      <c r="E394">
        <v>61996242.733957499</v>
      </c>
      <c r="F394">
        <v>0</v>
      </c>
      <c r="G394">
        <v>0</v>
      </c>
      <c r="H394">
        <v>0</v>
      </c>
      <c r="I394" s="876">
        <v>44043</v>
      </c>
      <c r="J394">
        <v>1</v>
      </c>
      <c r="K394" t="s">
        <v>234</v>
      </c>
      <c r="L394">
        <v>6600</v>
      </c>
      <c r="M394">
        <v>2.8083238431493698E-2</v>
      </c>
      <c r="N394">
        <v>0.85694344313708504</v>
      </c>
      <c r="O394">
        <v>6.8021681355467795E-2</v>
      </c>
      <c r="P394">
        <v>4.6951637075953602E-2</v>
      </c>
      <c r="Q394">
        <v>7.5438813693698301E-2</v>
      </c>
      <c r="R394">
        <v>0</v>
      </c>
      <c r="S394">
        <v>-8.0522649522284002E-3</v>
      </c>
      <c r="T394">
        <v>-6.2579087983815604E-2</v>
      </c>
      <c r="U394">
        <v>0</v>
      </c>
      <c r="V394">
        <v>8.1339652359184705E-3</v>
      </c>
      <c r="W394">
        <v>1.51418124379209E-2</v>
      </c>
      <c r="X394">
        <v>0</v>
      </c>
      <c r="Y394">
        <v>1.49096068848332</v>
      </c>
      <c r="Z394">
        <v>0</v>
      </c>
      <c r="AA394">
        <v>-2.68221715812011E-2</v>
      </c>
      <c r="AB394">
        <v>0.21844792366073601</v>
      </c>
      <c r="AC394">
        <v>0</v>
      </c>
      <c r="AD394">
        <v>-0.87958122984978304</v>
      </c>
      <c r="AE394">
        <v>5.39382324240174E-2</v>
      </c>
      <c r="AF394">
        <v>0</v>
      </c>
      <c r="AG394" s="876">
        <v>44043</v>
      </c>
      <c r="AH394" s="871">
        <f t="shared" si="12"/>
        <v>44013</v>
      </c>
    </row>
    <row r="395" spans="1:34" hidden="1">
      <c r="A395">
        <v>2</v>
      </c>
      <c r="B395">
        <v>6600</v>
      </c>
      <c r="C395" t="s">
        <v>234</v>
      </c>
      <c r="D395">
        <v>153</v>
      </c>
      <c r="E395">
        <v>11637221.380000001</v>
      </c>
      <c r="F395">
        <v>0</v>
      </c>
      <c r="G395" t="s">
        <v>177</v>
      </c>
      <c r="H395" t="s">
        <v>177</v>
      </c>
      <c r="I395" s="876">
        <v>44055</v>
      </c>
      <c r="J395">
        <v>2</v>
      </c>
      <c r="K395" t="s">
        <v>234</v>
      </c>
      <c r="L395">
        <v>6600</v>
      </c>
      <c r="M395">
        <v>0.79651487938021703</v>
      </c>
      <c r="N395" t="s">
        <v>177</v>
      </c>
      <c r="O395">
        <v>0.20348512061978299</v>
      </c>
      <c r="P395">
        <v>0</v>
      </c>
      <c r="Q395">
        <v>0.39012355915708302</v>
      </c>
      <c r="R395">
        <v>0</v>
      </c>
      <c r="S395">
        <v>-4.3005873611958699E-2</v>
      </c>
      <c r="T395">
        <v>0.197948795834751</v>
      </c>
      <c r="U395">
        <v>0</v>
      </c>
      <c r="V395">
        <v>0.17055370797841199</v>
      </c>
      <c r="W395">
        <v>8.0894690021930102E-2</v>
      </c>
      <c r="X395">
        <v>0</v>
      </c>
      <c r="Y395" t="s">
        <v>177</v>
      </c>
      <c r="Z395" t="s">
        <v>177</v>
      </c>
      <c r="AA395" t="s">
        <v>177</v>
      </c>
      <c r="AB395" t="s">
        <v>177</v>
      </c>
      <c r="AC395" t="s">
        <v>177</v>
      </c>
      <c r="AD395" t="s">
        <v>177</v>
      </c>
      <c r="AE395" t="s">
        <v>177</v>
      </c>
      <c r="AF395" t="s">
        <v>177</v>
      </c>
      <c r="AG395" s="876">
        <v>44055</v>
      </c>
      <c r="AH395" s="871">
        <f t="shared" si="12"/>
        <v>44044</v>
      </c>
    </row>
    <row r="396" spans="1:34" hidden="1">
      <c r="A396">
        <v>3</v>
      </c>
      <c r="B396">
        <v>6600</v>
      </c>
      <c r="C396" t="s">
        <v>234</v>
      </c>
      <c r="D396">
        <v>153</v>
      </c>
      <c r="E396">
        <v>8347681.4105861103</v>
      </c>
      <c r="F396">
        <v>0</v>
      </c>
      <c r="G396" t="s">
        <v>177</v>
      </c>
      <c r="H396" t="s">
        <v>177</v>
      </c>
      <c r="I396" s="876">
        <v>44088</v>
      </c>
      <c r="J396">
        <v>3</v>
      </c>
      <c r="K396" t="s">
        <v>234</v>
      </c>
      <c r="L396">
        <v>6600</v>
      </c>
      <c r="M396">
        <v>0.93567372357471101</v>
      </c>
      <c r="N396" t="s">
        <v>177</v>
      </c>
      <c r="O396">
        <v>6.4326276425288501E-2</v>
      </c>
      <c r="P396">
        <v>0</v>
      </c>
      <c r="Q396">
        <v>0.27662723610633499</v>
      </c>
      <c r="R396">
        <v>0</v>
      </c>
      <c r="S396">
        <v>2.97747325701435E-2</v>
      </c>
      <c r="T396">
        <v>0.53665236861673404</v>
      </c>
      <c r="U396">
        <v>0</v>
      </c>
      <c r="V396">
        <v>3.6429722467305997E-2</v>
      </c>
      <c r="W396">
        <v>5.6189663814192298E-2</v>
      </c>
      <c r="X396">
        <v>0</v>
      </c>
      <c r="Y396" t="s">
        <v>177</v>
      </c>
      <c r="Z396" t="s">
        <v>177</v>
      </c>
      <c r="AA396" t="s">
        <v>177</v>
      </c>
      <c r="AB396" t="s">
        <v>177</v>
      </c>
      <c r="AC396" t="s">
        <v>177</v>
      </c>
      <c r="AD396" t="s">
        <v>177</v>
      </c>
      <c r="AE396" t="s">
        <v>177</v>
      </c>
      <c r="AF396" t="s">
        <v>177</v>
      </c>
      <c r="AG396" s="876">
        <v>44088</v>
      </c>
      <c r="AH396" s="871">
        <f t="shared" si="12"/>
        <v>44075</v>
      </c>
    </row>
    <row r="397" spans="1:34" hidden="1">
      <c r="A397">
        <v>4</v>
      </c>
      <c r="B397">
        <v>6600</v>
      </c>
      <c r="C397" t="s">
        <v>234</v>
      </c>
      <c r="D397">
        <v>153</v>
      </c>
      <c r="E397">
        <v>5010647.6404968901</v>
      </c>
      <c r="F397">
        <v>0</v>
      </c>
      <c r="G397" t="s">
        <v>177</v>
      </c>
      <c r="H397" t="s">
        <v>177</v>
      </c>
      <c r="I397" s="876">
        <v>44117</v>
      </c>
      <c r="J397">
        <v>4</v>
      </c>
      <c r="K397" t="s">
        <v>234</v>
      </c>
      <c r="L397">
        <v>6600</v>
      </c>
      <c r="M397">
        <v>0</v>
      </c>
      <c r="N397">
        <v>0</v>
      </c>
      <c r="O397">
        <v>0.79784097171767498</v>
      </c>
      <c r="P397">
        <v>0.20215902828232499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177</v>
      </c>
      <c r="Z397" t="s">
        <v>177</v>
      </c>
      <c r="AA397" t="s">
        <v>177</v>
      </c>
      <c r="AB397" t="s">
        <v>177</v>
      </c>
      <c r="AC397" t="s">
        <v>177</v>
      </c>
      <c r="AD397" t="s">
        <v>177</v>
      </c>
      <c r="AE397" t="s">
        <v>177</v>
      </c>
      <c r="AF397" t="s">
        <v>177</v>
      </c>
      <c r="AG397" s="876">
        <v>44117</v>
      </c>
      <c r="AH397" s="871">
        <f t="shared" si="12"/>
        <v>44105</v>
      </c>
    </row>
    <row r="398" spans="1:34" hidden="1">
      <c r="A398">
        <v>5</v>
      </c>
      <c r="B398">
        <v>6600</v>
      </c>
      <c r="C398" t="s">
        <v>234</v>
      </c>
      <c r="D398">
        <v>153</v>
      </c>
      <c r="E398">
        <v>0</v>
      </c>
      <c r="F398">
        <v>0</v>
      </c>
      <c r="G398" t="s">
        <v>177</v>
      </c>
      <c r="H398" t="s">
        <v>177</v>
      </c>
      <c r="I398" s="876">
        <v>44147</v>
      </c>
      <c r="J398">
        <v>5</v>
      </c>
      <c r="K398" t="s">
        <v>234</v>
      </c>
      <c r="L398">
        <v>6600</v>
      </c>
      <c r="M398" t="s">
        <v>177</v>
      </c>
      <c r="N398" t="s">
        <v>177</v>
      </c>
      <c r="O398" t="s">
        <v>177</v>
      </c>
      <c r="P398" t="s">
        <v>177</v>
      </c>
      <c r="Q398" t="s">
        <v>177</v>
      </c>
      <c r="R398" t="s">
        <v>177</v>
      </c>
      <c r="S398" t="s">
        <v>177</v>
      </c>
      <c r="T398" t="s">
        <v>177</v>
      </c>
      <c r="U398" t="s">
        <v>177</v>
      </c>
      <c r="V398" t="s">
        <v>177</v>
      </c>
      <c r="W398" t="s">
        <v>177</v>
      </c>
      <c r="X398" t="s">
        <v>177</v>
      </c>
      <c r="Y398" t="s">
        <v>177</v>
      </c>
      <c r="Z398" t="s">
        <v>177</v>
      </c>
      <c r="AA398" t="s">
        <v>177</v>
      </c>
      <c r="AB398" t="s">
        <v>177</v>
      </c>
      <c r="AC398" t="s">
        <v>177</v>
      </c>
      <c r="AD398" t="s">
        <v>177</v>
      </c>
      <c r="AE398" t="s">
        <v>177</v>
      </c>
      <c r="AF398" t="s">
        <v>177</v>
      </c>
      <c r="AG398" s="876">
        <v>44147</v>
      </c>
      <c r="AH398" s="871">
        <f t="shared" si="12"/>
        <v>44136</v>
      </c>
    </row>
    <row r="399" spans="1:34" hidden="1">
      <c r="A399">
        <v>6</v>
      </c>
      <c r="B399">
        <v>6600</v>
      </c>
      <c r="C399" t="s">
        <v>234</v>
      </c>
      <c r="D399">
        <v>153</v>
      </c>
      <c r="E399">
        <v>0</v>
      </c>
      <c r="F399">
        <v>0</v>
      </c>
      <c r="G399" t="s">
        <v>177</v>
      </c>
      <c r="H399" t="s">
        <v>177</v>
      </c>
      <c r="I399" s="876">
        <v>44179</v>
      </c>
      <c r="J399">
        <v>6</v>
      </c>
      <c r="K399" t="s">
        <v>234</v>
      </c>
      <c r="L399">
        <v>6600</v>
      </c>
      <c r="M399" t="s">
        <v>177</v>
      </c>
      <c r="N399" t="s">
        <v>177</v>
      </c>
      <c r="O399" t="s">
        <v>177</v>
      </c>
      <c r="P399" t="s">
        <v>177</v>
      </c>
      <c r="Q399" t="s">
        <v>177</v>
      </c>
      <c r="R399" t="s">
        <v>177</v>
      </c>
      <c r="S399" t="s">
        <v>177</v>
      </c>
      <c r="T399" t="s">
        <v>177</v>
      </c>
      <c r="U399" t="s">
        <v>177</v>
      </c>
      <c r="V399" t="s">
        <v>177</v>
      </c>
      <c r="W399" t="s">
        <v>177</v>
      </c>
      <c r="X399" t="s">
        <v>177</v>
      </c>
      <c r="Y399" t="s">
        <v>177</v>
      </c>
      <c r="Z399" t="s">
        <v>177</v>
      </c>
      <c r="AA399" t="s">
        <v>177</v>
      </c>
      <c r="AB399" t="s">
        <v>177</v>
      </c>
      <c r="AC399" t="s">
        <v>177</v>
      </c>
      <c r="AD399" t="s">
        <v>177</v>
      </c>
      <c r="AE399" t="s">
        <v>177</v>
      </c>
      <c r="AF399" t="s">
        <v>177</v>
      </c>
      <c r="AG399" s="876">
        <v>44179</v>
      </c>
      <c r="AH399" s="871">
        <f t="shared" si="12"/>
        <v>44166</v>
      </c>
    </row>
    <row r="400" spans="1:34" hidden="1">
      <c r="A400">
        <v>7</v>
      </c>
      <c r="B400">
        <v>6600</v>
      </c>
      <c r="C400" t="s">
        <v>234</v>
      </c>
      <c r="D400">
        <v>153</v>
      </c>
      <c r="E400">
        <v>0</v>
      </c>
      <c r="F400">
        <v>0</v>
      </c>
      <c r="G400" t="s">
        <v>177</v>
      </c>
      <c r="H400" t="s">
        <v>177</v>
      </c>
      <c r="I400" s="876">
        <v>44193</v>
      </c>
      <c r="J400">
        <v>7</v>
      </c>
      <c r="K400" t="s">
        <v>234</v>
      </c>
      <c r="L400">
        <v>6600</v>
      </c>
      <c r="M400" t="s">
        <v>177</v>
      </c>
      <c r="N400" t="s">
        <v>177</v>
      </c>
      <c r="O400" t="s">
        <v>177</v>
      </c>
      <c r="P400" t="s">
        <v>177</v>
      </c>
      <c r="Q400" t="s">
        <v>177</v>
      </c>
      <c r="R400" t="s">
        <v>177</v>
      </c>
      <c r="S400" t="s">
        <v>177</v>
      </c>
      <c r="T400" t="s">
        <v>177</v>
      </c>
      <c r="U400" t="s">
        <v>177</v>
      </c>
      <c r="V400" t="s">
        <v>177</v>
      </c>
      <c r="W400" t="s">
        <v>177</v>
      </c>
      <c r="X400" t="s">
        <v>177</v>
      </c>
      <c r="Y400" t="s">
        <v>177</v>
      </c>
      <c r="Z400" t="s">
        <v>177</v>
      </c>
      <c r="AA400" t="s">
        <v>177</v>
      </c>
      <c r="AB400" t="s">
        <v>177</v>
      </c>
      <c r="AC400" t="s">
        <v>177</v>
      </c>
      <c r="AD400" t="s">
        <v>177</v>
      </c>
      <c r="AE400" t="s">
        <v>177</v>
      </c>
      <c r="AF400" t="s">
        <v>177</v>
      </c>
      <c r="AG400" s="876">
        <v>44193</v>
      </c>
      <c r="AH400" s="871">
        <f t="shared" si="12"/>
        <v>44166</v>
      </c>
    </row>
    <row r="401" spans="1:34" hidden="1">
      <c r="A401">
        <v>8</v>
      </c>
      <c r="B401">
        <v>6600</v>
      </c>
      <c r="C401" t="s">
        <v>234</v>
      </c>
      <c r="D401">
        <v>153</v>
      </c>
      <c r="E401">
        <v>0</v>
      </c>
      <c r="F401">
        <v>0</v>
      </c>
      <c r="G401" t="s">
        <v>177</v>
      </c>
      <c r="H401" t="s">
        <v>177</v>
      </c>
      <c r="I401" s="876">
        <v>44208</v>
      </c>
      <c r="J401">
        <v>8</v>
      </c>
      <c r="K401" t="s">
        <v>234</v>
      </c>
      <c r="L401">
        <v>6600</v>
      </c>
      <c r="M401" t="s">
        <v>177</v>
      </c>
      <c r="N401" t="s">
        <v>177</v>
      </c>
      <c r="O401" t="s">
        <v>177</v>
      </c>
      <c r="P401" t="s">
        <v>177</v>
      </c>
      <c r="Q401" t="s">
        <v>177</v>
      </c>
      <c r="R401" t="s">
        <v>177</v>
      </c>
      <c r="S401" t="s">
        <v>177</v>
      </c>
      <c r="T401" t="s">
        <v>177</v>
      </c>
      <c r="U401" t="s">
        <v>177</v>
      </c>
      <c r="V401" t="s">
        <v>177</v>
      </c>
      <c r="W401" t="s">
        <v>177</v>
      </c>
      <c r="X401" t="s">
        <v>177</v>
      </c>
      <c r="Y401" t="s">
        <v>177</v>
      </c>
      <c r="Z401" t="s">
        <v>177</v>
      </c>
      <c r="AA401" t="s">
        <v>177</v>
      </c>
      <c r="AB401" t="s">
        <v>177</v>
      </c>
      <c r="AC401" t="s">
        <v>177</v>
      </c>
      <c r="AD401" t="s">
        <v>177</v>
      </c>
      <c r="AE401" t="s">
        <v>177</v>
      </c>
      <c r="AF401" t="s">
        <v>177</v>
      </c>
      <c r="AG401" s="876">
        <v>44208</v>
      </c>
      <c r="AH401" s="871">
        <f t="shared" si="12"/>
        <v>44197</v>
      </c>
    </row>
    <row r="402" spans="1:34" hidden="1">
      <c r="A402">
        <v>1</v>
      </c>
      <c r="B402">
        <v>6587</v>
      </c>
      <c r="C402" t="s">
        <v>233</v>
      </c>
      <c r="D402">
        <v>155</v>
      </c>
      <c r="E402">
        <v>44143609</v>
      </c>
      <c r="F402">
        <v>0</v>
      </c>
      <c r="G402">
        <v>2851060</v>
      </c>
      <c r="H402">
        <v>0</v>
      </c>
      <c r="I402" s="876">
        <v>44043</v>
      </c>
      <c r="J402">
        <v>1</v>
      </c>
      <c r="K402" t="s">
        <v>233</v>
      </c>
      <c r="L402">
        <v>6587</v>
      </c>
      <c r="M402">
        <v>0</v>
      </c>
      <c r="N402">
        <v>0.86682005154020003</v>
      </c>
      <c r="O402">
        <v>0.104920202411923</v>
      </c>
      <c r="P402">
        <v>2.8259746047876701E-2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1.0291114983784699</v>
      </c>
      <c r="Z402">
        <v>0</v>
      </c>
      <c r="AA402">
        <v>-1.52382174347426E-2</v>
      </c>
      <c r="AB402">
        <v>9.1662001833361997E-2</v>
      </c>
      <c r="AC402">
        <v>0</v>
      </c>
      <c r="AD402">
        <v>-0.31157057770178498</v>
      </c>
      <c r="AE402">
        <v>7.2855346464891002E-2</v>
      </c>
      <c r="AF402">
        <v>0</v>
      </c>
      <c r="AG402" s="876">
        <v>44043</v>
      </c>
      <c r="AH402" s="871">
        <f t="shared" si="12"/>
        <v>44013</v>
      </c>
    </row>
    <row r="403" spans="1:34" hidden="1">
      <c r="A403">
        <v>2</v>
      </c>
      <c r="B403">
        <v>6587</v>
      </c>
      <c r="C403" t="s">
        <v>233</v>
      </c>
      <c r="D403">
        <v>155</v>
      </c>
      <c r="E403">
        <v>0</v>
      </c>
      <c r="F403">
        <v>0</v>
      </c>
      <c r="G403" t="s">
        <v>177</v>
      </c>
      <c r="H403" t="s">
        <v>177</v>
      </c>
      <c r="I403" s="876">
        <v>44055</v>
      </c>
      <c r="J403">
        <v>2</v>
      </c>
      <c r="K403" t="s">
        <v>233</v>
      </c>
      <c r="L403">
        <v>6587</v>
      </c>
      <c r="M403">
        <v>0</v>
      </c>
      <c r="N403" t="s">
        <v>177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177</v>
      </c>
      <c r="Z403" t="s">
        <v>177</v>
      </c>
      <c r="AA403" t="s">
        <v>177</v>
      </c>
      <c r="AB403" t="s">
        <v>177</v>
      </c>
      <c r="AC403" t="s">
        <v>177</v>
      </c>
      <c r="AD403" t="s">
        <v>177</v>
      </c>
      <c r="AE403" t="s">
        <v>177</v>
      </c>
      <c r="AF403" t="s">
        <v>177</v>
      </c>
      <c r="AG403" s="876">
        <v>44055</v>
      </c>
      <c r="AH403" s="871">
        <f t="shared" si="12"/>
        <v>44044</v>
      </c>
    </row>
    <row r="404" spans="1:34" hidden="1">
      <c r="A404">
        <v>3</v>
      </c>
      <c r="B404">
        <v>6587</v>
      </c>
      <c r="C404" t="s">
        <v>233</v>
      </c>
      <c r="D404">
        <v>155</v>
      </c>
      <c r="E404">
        <v>0</v>
      </c>
      <c r="F404">
        <v>0</v>
      </c>
      <c r="G404" t="s">
        <v>177</v>
      </c>
      <c r="H404" t="s">
        <v>177</v>
      </c>
      <c r="I404" s="876">
        <v>44088</v>
      </c>
      <c r="J404">
        <v>3</v>
      </c>
      <c r="K404" t="s">
        <v>233</v>
      </c>
      <c r="L404">
        <v>6587</v>
      </c>
      <c r="M404">
        <v>0</v>
      </c>
      <c r="N404" t="s">
        <v>177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177</v>
      </c>
      <c r="Z404" t="s">
        <v>177</v>
      </c>
      <c r="AA404" t="s">
        <v>177</v>
      </c>
      <c r="AB404" t="s">
        <v>177</v>
      </c>
      <c r="AC404" t="s">
        <v>177</v>
      </c>
      <c r="AD404" t="s">
        <v>177</v>
      </c>
      <c r="AE404" t="s">
        <v>177</v>
      </c>
      <c r="AF404" t="s">
        <v>177</v>
      </c>
      <c r="AG404" s="876">
        <v>44088</v>
      </c>
      <c r="AH404" s="871">
        <f t="shared" si="12"/>
        <v>44075</v>
      </c>
    </row>
    <row r="405" spans="1:34" hidden="1">
      <c r="A405">
        <v>4</v>
      </c>
      <c r="B405">
        <v>6587</v>
      </c>
      <c r="C405" t="s">
        <v>233</v>
      </c>
      <c r="D405">
        <v>155</v>
      </c>
      <c r="E405">
        <v>0</v>
      </c>
      <c r="F405">
        <v>0</v>
      </c>
      <c r="G405" t="s">
        <v>177</v>
      </c>
      <c r="H405" t="s">
        <v>177</v>
      </c>
      <c r="I405" s="876">
        <v>44117</v>
      </c>
      <c r="J405">
        <v>4</v>
      </c>
      <c r="K405" t="s">
        <v>233</v>
      </c>
      <c r="L405">
        <v>6587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177</v>
      </c>
      <c r="Z405" t="s">
        <v>177</v>
      </c>
      <c r="AA405" t="s">
        <v>177</v>
      </c>
      <c r="AB405" t="s">
        <v>177</v>
      </c>
      <c r="AC405" t="s">
        <v>177</v>
      </c>
      <c r="AD405" t="s">
        <v>177</v>
      </c>
      <c r="AE405" t="s">
        <v>177</v>
      </c>
      <c r="AF405" t="s">
        <v>177</v>
      </c>
      <c r="AG405" s="876">
        <v>44117</v>
      </c>
      <c r="AH405" s="871">
        <f t="shared" si="12"/>
        <v>44105</v>
      </c>
    </row>
    <row r="406" spans="1:34" hidden="1">
      <c r="A406">
        <v>5</v>
      </c>
      <c r="B406">
        <v>6587</v>
      </c>
      <c r="C406" t="s">
        <v>233</v>
      </c>
      <c r="D406">
        <v>155</v>
      </c>
      <c r="E406">
        <v>0</v>
      </c>
      <c r="F406">
        <v>0</v>
      </c>
      <c r="G406" t="s">
        <v>177</v>
      </c>
      <c r="H406" t="s">
        <v>177</v>
      </c>
      <c r="I406" s="876">
        <v>44147</v>
      </c>
      <c r="J406">
        <v>5</v>
      </c>
      <c r="K406" t="s">
        <v>233</v>
      </c>
      <c r="L406">
        <v>6587</v>
      </c>
      <c r="M406" t="s">
        <v>177</v>
      </c>
      <c r="N406" t="s">
        <v>177</v>
      </c>
      <c r="O406" t="s">
        <v>177</v>
      </c>
      <c r="P406" t="s">
        <v>177</v>
      </c>
      <c r="Q406" t="s">
        <v>177</v>
      </c>
      <c r="R406" t="s">
        <v>177</v>
      </c>
      <c r="S406" t="s">
        <v>177</v>
      </c>
      <c r="T406" t="s">
        <v>177</v>
      </c>
      <c r="U406" t="s">
        <v>177</v>
      </c>
      <c r="V406" t="s">
        <v>177</v>
      </c>
      <c r="W406" t="s">
        <v>177</v>
      </c>
      <c r="X406" t="s">
        <v>177</v>
      </c>
      <c r="Y406" t="s">
        <v>177</v>
      </c>
      <c r="Z406" t="s">
        <v>177</v>
      </c>
      <c r="AA406" t="s">
        <v>177</v>
      </c>
      <c r="AB406" t="s">
        <v>177</v>
      </c>
      <c r="AC406" t="s">
        <v>177</v>
      </c>
      <c r="AD406" t="s">
        <v>177</v>
      </c>
      <c r="AE406" t="s">
        <v>177</v>
      </c>
      <c r="AF406" t="s">
        <v>177</v>
      </c>
      <c r="AG406" s="876">
        <v>44147</v>
      </c>
      <c r="AH406" s="871">
        <f t="shared" si="12"/>
        <v>44136</v>
      </c>
    </row>
    <row r="407" spans="1:34" hidden="1">
      <c r="A407">
        <v>6</v>
      </c>
      <c r="B407">
        <v>6587</v>
      </c>
      <c r="C407" t="s">
        <v>233</v>
      </c>
      <c r="D407">
        <v>155</v>
      </c>
      <c r="E407">
        <v>0</v>
      </c>
      <c r="F407">
        <v>0</v>
      </c>
      <c r="G407" t="s">
        <v>177</v>
      </c>
      <c r="H407" t="s">
        <v>177</v>
      </c>
      <c r="I407" s="876">
        <v>44179</v>
      </c>
      <c r="J407">
        <v>6</v>
      </c>
      <c r="K407" t="s">
        <v>233</v>
      </c>
      <c r="L407">
        <v>6587</v>
      </c>
      <c r="M407" t="s">
        <v>177</v>
      </c>
      <c r="N407" t="s">
        <v>177</v>
      </c>
      <c r="O407" t="s">
        <v>177</v>
      </c>
      <c r="P407" t="s">
        <v>177</v>
      </c>
      <c r="Q407" t="s">
        <v>177</v>
      </c>
      <c r="R407" t="s">
        <v>177</v>
      </c>
      <c r="S407" t="s">
        <v>177</v>
      </c>
      <c r="T407" t="s">
        <v>177</v>
      </c>
      <c r="U407" t="s">
        <v>177</v>
      </c>
      <c r="V407" t="s">
        <v>177</v>
      </c>
      <c r="W407" t="s">
        <v>177</v>
      </c>
      <c r="X407" t="s">
        <v>177</v>
      </c>
      <c r="Y407" t="s">
        <v>177</v>
      </c>
      <c r="Z407" t="s">
        <v>177</v>
      </c>
      <c r="AA407" t="s">
        <v>177</v>
      </c>
      <c r="AB407" t="s">
        <v>177</v>
      </c>
      <c r="AC407" t="s">
        <v>177</v>
      </c>
      <c r="AD407" t="s">
        <v>177</v>
      </c>
      <c r="AE407" t="s">
        <v>177</v>
      </c>
      <c r="AF407" t="s">
        <v>177</v>
      </c>
      <c r="AG407" s="876">
        <v>44179</v>
      </c>
      <c r="AH407" s="871">
        <f t="shared" si="12"/>
        <v>44166</v>
      </c>
    </row>
    <row r="408" spans="1:34" hidden="1">
      <c r="A408">
        <v>7</v>
      </c>
      <c r="B408">
        <v>6587</v>
      </c>
      <c r="C408" t="s">
        <v>233</v>
      </c>
      <c r="D408">
        <v>155</v>
      </c>
      <c r="E408">
        <v>0</v>
      </c>
      <c r="F408">
        <v>0</v>
      </c>
      <c r="G408" t="s">
        <v>177</v>
      </c>
      <c r="H408" t="s">
        <v>177</v>
      </c>
      <c r="I408" s="876">
        <v>44193</v>
      </c>
      <c r="J408">
        <v>7</v>
      </c>
      <c r="K408" t="s">
        <v>233</v>
      </c>
      <c r="L408">
        <v>6587</v>
      </c>
      <c r="M408" t="s">
        <v>177</v>
      </c>
      <c r="N408" t="s">
        <v>177</v>
      </c>
      <c r="O408" t="s">
        <v>177</v>
      </c>
      <c r="P408" t="s">
        <v>177</v>
      </c>
      <c r="Q408" t="s">
        <v>177</v>
      </c>
      <c r="R408" t="s">
        <v>177</v>
      </c>
      <c r="S408" t="s">
        <v>177</v>
      </c>
      <c r="T408" t="s">
        <v>177</v>
      </c>
      <c r="U408" t="s">
        <v>177</v>
      </c>
      <c r="V408" t="s">
        <v>177</v>
      </c>
      <c r="W408" t="s">
        <v>177</v>
      </c>
      <c r="X408" t="s">
        <v>177</v>
      </c>
      <c r="Y408" t="s">
        <v>177</v>
      </c>
      <c r="Z408" t="s">
        <v>177</v>
      </c>
      <c r="AA408" t="s">
        <v>177</v>
      </c>
      <c r="AB408" t="s">
        <v>177</v>
      </c>
      <c r="AC408" t="s">
        <v>177</v>
      </c>
      <c r="AD408" t="s">
        <v>177</v>
      </c>
      <c r="AE408" t="s">
        <v>177</v>
      </c>
      <c r="AF408" t="s">
        <v>177</v>
      </c>
      <c r="AG408" s="876">
        <v>44193</v>
      </c>
      <c r="AH408" s="871">
        <f t="shared" si="12"/>
        <v>44166</v>
      </c>
    </row>
    <row r="409" spans="1:34" hidden="1">
      <c r="A409">
        <v>8</v>
      </c>
      <c r="B409">
        <v>6587</v>
      </c>
      <c r="C409" t="s">
        <v>233</v>
      </c>
      <c r="D409">
        <v>155</v>
      </c>
      <c r="E409">
        <v>0</v>
      </c>
      <c r="F409">
        <v>0</v>
      </c>
      <c r="G409" t="s">
        <v>177</v>
      </c>
      <c r="H409" t="s">
        <v>177</v>
      </c>
      <c r="I409" s="876">
        <v>44208</v>
      </c>
      <c r="J409">
        <v>8</v>
      </c>
      <c r="K409" t="s">
        <v>233</v>
      </c>
      <c r="L409">
        <v>6587</v>
      </c>
      <c r="M409" t="s">
        <v>177</v>
      </c>
      <c r="N409" t="s">
        <v>177</v>
      </c>
      <c r="O409" t="s">
        <v>177</v>
      </c>
      <c r="P409" t="s">
        <v>177</v>
      </c>
      <c r="Q409" t="s">
        <v>177</v>
      </c>
      <c r="R409" t="s">
        <v>177</v>
      </c>
      <c r="S409" t="s">
        <v>177</v>
      </c>
      <c r="T409" t="s">
        <v>177</v>
      </c>
      <c r="U409" t="s">
        <v>177</v>
      </c>
      <c r="V409" t="s">
        <v>177</v>
      </c>
      <c r="W409" t="s">
        <v>177</v>
      </c>
      <c r="X409" t="s">
        <v>177</v>
      </c>
      <c r="Y409" t="s">
        <v>177</v>
      </c>
      <c r="Z409" t="s">
        <v>177</v>
      </c>
      <c r="AA409" t="s">
        <v>177</v>
      </c>
      <c r="AB409" t="s">
        <v>177</v>
      </c>
      <c r="AC409" t="s">
        <v>177</v>
      </c>
      <c r="AD409" t="s">
        <v>177</v>
      </c>
      <c r="AE409" t="s">
        <v>177</v>
      </c>
      <c r="AF409" t="s">
        <v>177</v>
      </c>
      <c r="AG409" s="876">
        <v>44208</v>
      </c>
      <c r="AH409" s="871">
        <f t="shared" si="12"/>
        <v>44197</v>
      </c>
    </row>
    <row r="410" spans="1:34" hidden="1">
      <c r="A410">
        <v>1</v>
      </c>
      <c r="B410">
        <v>1000040</v>
      </c>
      <c r="C410" t="s">
        <v>241</v>
      </c>
      <c r="D410">
        <v>165</v>
      </c>
      <c r="E410">
        <v>97396427.996694505</v>
      </c>
      <c r="F410">
        <v>0</v>
      </c>
      <c r="G410">
        <v>0</v>
      </c>
      <c r="H410">
        <v>0</v>
      </c>
      <c r="I410" s="876">
        <v>44043</v>
      </c>
      <c r="J410">
        <v>1</v>
      </c>
      <c r="K410" t="s">
        <v>164</v>
      </c>
      <c r="L410">
        <v>1000040</v>
      </c>
      <c r="M410">
        <v>0.11040074720757299</v>
      </c>
      <c r="N410">
        <v>0.770537344132458</v>
      </c>
      <c r="O410">
        <v>8.1614413573386696E-2</v>
      </c>
      <c r="P410">
        <v>3.7447495086582197E-2</v>
      </c>
      <c r="Q410">
        <v>9.6506500755319996E-2</v>
      </c>
      <c r="R410">
        <v>0</v>
      </c>
      <c r="S410">
        <v>-3.6597671820187798E-3</v>
      </c>
      <c r="T410">
        <v>-1.0644741090961301E-3</v>
      </c>
      <c r="U410">
        <v>1.11447219928279E-3</v>
      </c>
      <c r="V410">
        <v>2.80894149348327E-3</v>
      </c>
      <c r="W410">
        <v>1.4695074050602301E-2</v>
      </c>
      <c r="X410">
        <v>0</v>
      </c>
      <c r="Y410">
        <v>0.81262247750501804</v>
      </c>
      <c r="Z410">
        <v>0</v>
      </c>
      <c r="AA410">
        <v>-1.5784685345165299E-2</v>
      </c>
      <c r="AB410">
        <v>0.11241535620476099</v>
      </c>
      <c r="AC410">
        <v>1.54347873407088E-2</v>
      </c>
      <c r="AD410">
        <v>-0.30284395249566798</v>
      </c>
      <c r="AE410">
        <v>0.148693360922803</v>
      </c>
      <c r="AF410">
        <v>0</v>
      </c>
      <c r="AG410" s="876">
        <v>44043</v>
      </c>
    </row>
    <row r="411" spans="1:34" hidden="1">
      <c r="A411">
        <v>2</v>
      </c>
      <c r="B411">
        <v>1000040</v>
      </c>
      <c r="C411" t="s">
        <v>241</v>
      </c>
      <c r="D411">
        <v>165</v>
      </c>
      <c r="E411">
        <v>0</v>
      </c>
      <c r="F411">
        <v>0</v>
      </c>
      <c r="G411" t="s">
        <v>177</v>
      </c>
      <c r="H411" t="s">
        <v>177</v>
      </c>
      <c r="I411" s="876">
        <v>44055</v>
      </c>
      <c r="J411">
        <v>2</v>
      </c>
      <c r="K411" t="s">
        <v>164</v>
      </c>
      <c r="L411">
        <v>1000040</v>
      </c>
      <c r="M411">
        <v>0</v>
      </c>
      <c r="N411" t="s">
        <v>177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177</v>
      </c>
      <c r="Z411" t="s">
        <v>177</v>
      </c>
      <c r="AA411" t="s">
        <v>177</v>
      </c>
      <c r="AB411" t="s">
        <v>177</v>
      </c>
      <c r="AC411" t="s">
        <v>177</v>
      </c>
      <c r="AD411" t="s">
        <v>177</v>
      </c>
      <c r="AE411" t="s">
        <v>177</v>
      </c>
      <c r="AF411" t="s">
        <v>177</v>
      </c>
      <c r="AG411" s="876">
        <v>44055</v>
      </c>
    </row>
    <row r="412" spans="1:34" hidden="1">
      <c r="A412">
        <v>3</v>
      </c>
      <c r="B412">
        <v>1000040</v>
      </c>
      <c r="C412" t="s">
        <v>241</v>
      </c>
      <c r="D412">
        <v>165</v>
      </c>
      <c r="E412">
        <v>0</v>
      </c>
      <c r="F412">
        <v>0</v>
      </c>
      <c r="G412" t="s">
        <v>177</v>
      </c>
      <c r="H412" t="s">
        <v>177</v>
      </c>
      <c r="I412" s="876">
        <v>44088</v>
      </c>
      <c r="J412">
        <v>3</v>
      </c>
      <c r="K412" t="s">
        <v>164</v>
      </c>
      <c r="L412">
        <v>1000040</v>
      </c>
      <c r="M412">
        <v>0</v>
      </c>
      <c r="N412" t="s">
        <v>177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177</v>
      </c>
      <c r="Z412" t="s">
        <v>177</v>
      </c>
      <c r="AA412" t="s">
        <v>177</v>
      </c>
      <c r="AB412" t="s">
        <v>177</v>
      </c>
      <c r="AC412" t="s">
        <v>177</v>
      </c>
      <c r="AD412" t="s">
        <v>177</v>
      </c>
      <c r="AE412" t="s">
        <v>177</v>
      </c>
      <c r="AF412" t="s">
        <v>177</v>
      </c>
      <c r="AG412" s="876">
        <v>44088</v>
      </c>
    </row>
    <row r="413" spans="1:34" hidden="1">
      <c r="A413">
        <v>4</v>
      </c>
      <c r="B413">
        <v>1000040</v>
      </c>
      <c r="C413" t="s">
        <v>241</v>
      </c>
      <c r="D413">
        <v>165</v>
      </c>
      <c r="E413">
        <v>0</v>
      </c>
      <c r="F413">
        <v>0</v>
      </c>
      <c r="G413" t="s">
        <v>177</v>
      </c>
      <c r="H413" t="s">
        <v>177</v>
      </c>
      <c r="I413" s="876">
        <v>44117</v>
      </c>
      <c r="J413">
        <v>4</v>
      </c>
      <c r="K413" t="s">
        <v>164</v>
      </c>
      <c r="L413">
        <v>1000040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177</v>
      </c>
      <c r="Z413" t="s">
        <v>177</v>
      </c>
      <c r="AA413" t="s">
        <v>177</v>
      </c>
      <c r="AB413" t="s">
        <v>177</v>
      </c>
      <c r="AC413" t="s">
        <v>177</v>
      </c>
      <c r="AD413" t="s">
        <v>177</v>
      </c>
      <c r="AE413" t="s">
        <v>177</v>
      </c>
      <c r="AF413" t="s">
        <v>177</v>
      </c>
      <c r="AG413" s="876">
        <v>44117</v>
      </c>
    </row>
    <row r="414" spans="1:34" hidden="1">
      <c r="A414">
        <v>5</v>
      </c>
      <c r="B414">
        <v>1000040</v>
      </c>
      <c r="C414" t="s">
        <v>241</v>
      </c>
      <c r="D414">
        <v>165</v>
      </c>
      <c r="E414">
        <v>0</v>
      </c>
      <c r="F414">
        <v>0</v>
      </c>
      <c r="G414" t="s">
        <v>177</v>
      </c>
      <c r="H414" t="s">
        <v>177</v>
      </c>
      <c r="I414" s="876">
        <v>44147</v>
      </c>
      <c r="J414">
        <v>5</v>
      </c>
      <c r="K414" t="s">
        <v>164</v>
      </c>
      <c r="L414">
        <v>1000040</v>
      </c>
      <c r="M414" t="s">
        <v>177</v>
      </c>
      <c r="N414" t="s">
        <v>177</v>
      </c>
      <c r="O414" t="s">
        <v>177</v>
      </c>
      <c r="P414" t="s">
        <v>177</v>
      </c>
      <c r="Q414" t="s">
        <v>177</v>
      </c>
      <c r="R414" t="s">
        <v>177</v>
      </c>
      <c r="S414" t="s">
        <v>177</v>
      </c>
      <c r="T414" t="s">
        <v>177</v>
      </c>
      <c r="U414" t="s">
        <v>177</v>
      </c>
      <c r="V414" t="s">
        <v>177</v>
      </c>
      <c r="W414" t="s">
        <v>177</v>
      </c>
      <c r="X414" t="s">
        <v>177</v>
      </c>
      <c r="Y414" t="s">
        <v>177</v>
      </c>
      <c r="Z414" t="s">
        <v>177</v>
      </c>
      <c r="AA414" t="s">
        <v>177</v>
      </c>
      <c r="AB414" t="s">
        <v>177</v>
      </c>
      <c r="AC414" t="s">
        <v>177</v>
      </c>
      <c r="AD414" t="s">
        <v>177</v>
      </c>
      <c r="AE414" t="s">
        <v>177</v>
      </c>
      <c r="AF414" t="s">
        <v>177</v>
      </c>
      <c r="AG414" s="876">
        <v>44147</v>
      </c>
    </row>
    <row r="415" spans="1:34" hidden="1">
      <c r="A415">
        <v>6</v>
      </c>
      <c r="B415">
        <v>1000040</v>
      </c>
      <c r="C415" t="s">
        <v>241</v>
      </c>
      <c r="D415">
        <v>165</v>
      </c>
      <c r="E415">
        <v>0</v>
      </c>
      <c r="F415">
        <v>0</v>
      </c>
      <c r="G415" t="s">
        <v>177</v>
      </c>
      <c r="H415" t="s">
        <v>177</v>
      </c>
      <c r="I415" s="876">
        <v>44179</v>
      </c>
      <c r="J415">
        <v>6</v>
      </c>
      <c r="K415" t="s">
        <v>164</v>
      </c>
      <c r="L415">
        <v>1000040</v>
      </c>
      <c r="M415" t="s">
        <v>177</v>
      </c>
      <c r="N415" t="s">
        <v>177</v>
      </c>
      <c r="O415" t="s">
        <v>177</v>
      </c>
      <c r="P415" t="s">
        <v>177</v>
      </c>
      <c r="Q415" t="s">
        <v>177</v>
      </c>
      <c r="R415" t="s">
        <v>177</v>
      </c>
      <c r="S415" t="s">
        <v>177</v>
      </c>
      <c r="T415" t="s">
        <v>177</v>
      </c>
      <c r="U415" t="s">
        <v>177</v>
      </c>
      <c r="V415" t="s">
        <v>177</v>
      </c>
      <c r="W415" t="s">
        <v>177</v>
      </c>
      <c r="X415" t="s">
        <v>177</v>
      </c>
      <c r="Y415" t="s">
        <v>177</v>
      </c>
      <c r="Z415" t="s">
        <v>177</v>
      </c>
      <c r="AA415" t="s">
        <v>177</v>
      </c>
      <c r="AB415" t="s">
        <v>177</v>
      </c>
      <c r="AC415" t="s">
        <v>177</v>
      </c>
      <c r="AD415" t="s">
        <v>177</v>
      </c>
      <c r="AE415" t="s">
        <v>177</v>
      </c>
      <c r="AF415" t="s">
        <v>177</v>
      </c>
      <c r="AG415" s="876">
        <v>44179</v>
      </c>
    </row>
    <row r="416" spans="1:34" hidden="1">
      <c r="A416">
        <v>7</v>
      </c>
      <c r="B416">
        <v>1000040</v>
      </c>
      <c r="C416" t="s">
        <v>241</v>
      </c>
      <c r="D416">
        <v>165</v>
      </c>
      <c r="E416">
        <v>0</v>
      </c>
      <c r="F416">
        <v>0</v>
      </c>
      <c r="G416" t="s">
        <v>177</v>
      </c>
      <c r="H416" t="s">
        <v>177</v>
      </c>
      <c r="I416" s="876">
        <v>44193</v>
      </c>
      <c r="J416">
        <v>7</v>
      </c>
      <c r="K416" t="s">
        <v>164</v>
      </c>
      <c r="L416">
        <v>1000040</v>
      </c>
      <c r="M416" t="s">
        <v>177</v>
      </c>
      <c r="N416" t="s">
        <v>177</v>
      </c>
      <c r="O416" t="s">
        <v>177</v>
      </c>
      <c r="P416" t="s">
        <v>177</v>
      </c>
      <c r="Q416" t="s">
        <v>177</v>
      </c>
      <c r="R416" t="s">
        <v>177</v>
      </c>
      <c r="S416" t="s">
        <v>177</v>
      </c>
      <c r="T416" t="s">
        <v>177</v>
      </c>
      <c r="U416" t="s">
        <v>177</v>
      </c>
      <c r="V416" t="s">
        <v>177</v>
      </c>
      <c r="W416" t="s">
        <v>177</v>
      </c>
      <c r="X416" t="s">
        <v>177</v>
      </c>
      <c r="Y416" t="s">
        <v>177</v>
      </c>
      <c r="Z416" t="s">
        <v>177</v>
      </c>
      <c r="AA416" t="s">
        <v>177</v>
      </c>
      <c r="AB416" t="s">
        <v>177</v>
      </c>
      <c r="AC416" t="s">
        <v>177</v>
      </c>
      <c r="AD416" t="s">
        <v>177</v>
      </c>
      <c r="AE416" t="s">
        <v>177</v>
      </c>
      <c r="AF416" t="s">
        <v>177</v>
      </c>
      <c r="AG416" s="876">
        <v>44193</v>
      </c>
    </row>
    <row r="417" spans="1:34" hidden="1">
      <c r="A417">
        <v>8</v>
      </c>
      <c r="B417">
        <v>1000040</v>
      </c>
      <c r="C417" t="s">
        <v>241</v>
      </c>
      <c r="D417">
        <v>165</v>
      </c>
      <c r="E417">
        <v>0</v>
      </c>
      <c r="F417">
        <v>0</v>
      </c>
      <c r="G417" t="s">
        <v>177</v>
      </c>
      <c r="H417" t="s">
        <v>177</v>
      </c>
      <c r="I417" s="876">
        <v>44208</v>
      </c>
      <c r="J417">
        <v>8</v>
      </c>
      <c r="K417" t="s">
        <v>164</v>
      </c>
      <c r="L417">
        <v>1000040</v>
      </c>
      <c r="M417" t="s">
        <v>177</v>
      </c>
      <c r="N417" t="s">
        <v>177</v>
      </c>
      <c r="O417" t="s">
        <v>177</v>
      </c>
      <c r="P417" t="s">
        <v>177</v>
      </c>
      <c r="Q417" t="s">
        <v>177</v>
      </c>
      <c r="R417" t="s">
        <v>177</v>
      </c>
      <c r="S417" t="s">
        <v>177</v>
      </c>
      <c r="T417" t="s">
        <v>177</v>
      </c>
      <c r="U417" t="s">
        <v>177</v>
      </c>
      <c r="V417" t="s">
        <v>177</v>
      </c>
      <c r="W417" t="s">
        <v>177</v>
      </c>
      <c r="X417" t="s">
        <v>177</v>
      </c>
      <c r="Y417" t="s">
        <v>177</v>
      </c>
      <c r="Z417" t="s">
        <v>177</v>
      </c>
      <c r="AA417" t="s">
        <v>177</v>
      </c>
      <c r="AB417" t="s">
        <v>177</v>
      </c>
      <c r="AC417" t="s">
        <v>177</v>
      </c>
      <c r="AD417" t="s">
        <v>177</v>
      </c>
      <c r="AE417" t="s">
        <v>177</v>
      </c>
      <c r="AF417" t="s">
        <v>177</v>
      </c>
      <c r="AG417" s="876">
        <v>44208</v>
      </c>
    </row>
    <row r="418" spans="1:34" hidden="1">
      <c r="A418">
        <v>1</v>
      </c>
      <c r="B418">
        <v>32</v>
      </c>
      <c r="C418" t="s">
        <v>179</v>
      </c>
      <c r="D418">
        <v>115</v>
      </c>
      <c r="E418">
        <v>23162548.5461297</v>
      </c>
      <c r="F418">
        <v>0</v>
      </c>
      <c r="G418">
        <v>0</v>
      </c>
      <c r="H418">
        <v>0</v>
      </c>
      <c r="I418" s="876">
        <v>44043</v>
      </c>
      <c r="J418">
        <v>1</v>
      </c>
      <c r="K418" t="s">
        <v>179</v>
      </c>
      <c r="L418">
        <v>32</v>
      </c>
      <c r="M418">
        <v>0</v>
      </c>
      <c r="N418">
        <v>0.867194987156233</v>
      </c>
      <c r="O418">
        <v>0.10965920065163</v>
      </c>
      <c r="P418">
        <v>2.3145812192136499E-2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1.5313435947236</v>
      </c>
      <c r="Z418">
        <v>0</v>
      </c>
      <c r="AA418">
        <v>-4.40518570219533E-2</v>
      </c>
      <c r="AB418">
        <v>0.15456964981075799</v>
      </c>
      <c r="AC418">
        <v>0</v>
      </c>
      <c r="AD418">
        <v>-0.98724984488610101</v>
      </c>
      <c r="AE418">
        <v>0.212583444529934</v>
      </c>
      <c r="AF418">
        <v>0</v>
      </c>
      <c r="AG418" s="876">
        <v>44043</v>
      </c>
      <c r="AH418" s="871">
        <f t="shared" ref="AH418:AH425" si="13">DATE(YEAR(I418),MONTH(I418),1)</f>
        <v>44013</v>
      </c>
    </row>
    <row r="419" spans="1:34" hidden="1">
      <c r="A419">
        <v>2</v>
      </c>
      <c r="B419">
        <v>32</v>
      </c>
      <c r="C419" t="s">
        <v>179</v>
      </c>
      <c r="D419">
        <v>115</v>
      </c>
      <c r="E419">
        <v>4045832.8318431899</v>
      </c>
      <c r="F419">
        <v>0</v>
      </c>
      <c r="G419" t="s">
        <v>177</v>
      </c>
      <c r="H419" t="s">
        <v>177</v>
      </c>
      <c r="I419" s="876">
        <v>44055</v>
      </c>
      <c r="J419">
        <v>2</v>
      </c>
      <c r="K419" t="s">
        <v>179</v>
      </c>
      <c r="L419">
        <v>32</v>
      </c>
      <c r="M419">
        <v>0.73114540059084998</v>
      </c>
      <c r="N419" t="s">
        <v>177</v>
      </c>
      <c r="O419">
        <v>0.26885459940915002</v>
      </c>
      <c r="P419">
        <v>0</v>
      </c>
      <c r="Q419">
        <v>0.66164060844544703</v>
      </c>
      <c r="R419">
        <v>0</v>
      </c>
      <c r="S419">
        <v>-5.21243598320014E-2</v>
      </c>
      <c r="T419">
        <v>-1.37793984523891</v>
      </c>
      <c r="U419">
        <v>0</v>
      </c>
      <c r="V419">
        <v>1.4564144245776101</v>
      </c>
      <c r="W419">
        <v>4.3154572638704702E-2</v>
      </c>
      <c r="X419">
        <v>0</v>
      </c>
      <c r="Y419" t="s">
        <v>177</v>
      </c>
      <c r="Z419" t="s">
        <v>177</v>
      </c>
      <c r="AA419" t="s">
        <v>177</v>
      </c>
      <c r="AB419" t="s">
        <v>177</v>
      </c>
      <c r="AC419" t="s">
        <v>177</v>
      </c>
      <c r="AD419" t="s">
        <v>177</v>
      </c>
      <c r="AE419" t="s">
        <v>177</v>
      </c>
      <c r="AF419" t="s">
        <v>177</v>
      </c>
      <c r="AG419" s="876">
        <v>44055</v>
      </c>
      <c r="AH419" s="871">
        <f t="shared" si="13"/>
        <v>44044</v>
      </c>
    </row>
    <row r="420" spans="1:34" hidden="1">
      <c r="A420">
        <v>3</v>
      </c>
      <c r="B420">
        <v>32</v>
      </c>
      <c r="C420" t="s">
        <v>179</v>
      </c>
      <c r="D420">
        <v>115</v>
      </c>
      <c r="E420">
        <v>0</v>
      </c>
      <c r="F420">
        <v>0</v>
      </c>
      <c r="G420" t="s">
        <v>177</v>
      </c>
      <c r="H420" t="s">
        <v>177</v>
      </c>
      <c r="I420" s="876">
        <v>44088</v>
      </c>
      <c r="J420">
        <v>3</v>
      </c>
      <c r="K420" t="s">
        <v>179</v>
      </c>
      <c r="L420">
        <v>32</v>
      </c>
      <c r="M420">
        <v>0</v>
      </c>
      <c r="N420" t="s">
        <v>177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177</v>
      </c>
      <c r="Z420" t="s">
        <v>177</v>
      </c>
      <c r="AA420" t="s">
        <v>177</v>
      </c>
      <c r="AB420" t="s">
        <v>177</v>
      </c>
      <c r="AC420" t="s">
        <v>177</v>
      </c>
      <c r="AD420" t="s">
        <v>177</v>
      </c>
      <c r="AE420" t="s">
        <v>177</v>
      </c>
      <c r="AF420" t="s">
        <v>177</v>
      </c>
      <c r="AG420" s="876">
        <v>44088</v>
      </c>
      <c r="AH420" s="871">
        <f t="shared" si="13"/>
        <v>44075</v>
      </c>
    </row>
    <row r="421" spans="1:34" hidden="1">
      <c r="A421">
        <v>4</v>
      </c>
      <c r="B421">
        <v>32</v>
      </c>
      <c r="C421" t="s">
        <v>179</v>
      </c>
      <c r="D421">
        <v>115</v>
      </c>
      <c r="E421">
        <v>0</v>
      </c>
      <c r="F421">
        <v>0</v>
      </c>
      <c r="G421" t="s">
        <v>177</v>
      </c>
      <c r="H421" t="s">
        <v>177</v>
      </c>
      <c r="I421" s="876">
        <v>44117</v>
      </c>
      <c r="J421">
        <v>4</v>
      </c>
      <c r="K421" t="s">
        <v>179</v>
      </c>
      <c r="L421">
        <v>32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177</v>
      </c>
      <c r="Z421" t="s">
        <v>177</v>
      </c>
      <c r="AA421" t="s">
        <v>177</v>
      </c>
      <c r="AB421" t="s">
        <v>177</v>
      </c>
      <c r="AC421" t="s">
        <v>177</v>
      </c>
      <c r="AD421" t="s">
        <v>177</v>
      </c>
      <c r="AE421" t="s">
        <v>177</v>
      </c>
      <c r="AF421" t="s">
        <v>177</v>
      </c>
      <c r="AG421" s="876">
        <v>44117</v>
      </c>
      <c r="AH421" s="871">
        <f t="shared" si="13"/>
        <v>44105</v>
      </c>
    </row>
    <row r="422" spans="1:34" hidden="1">
      <c r="A422">
        <v>5</v>
      </c>
      <c r="B422">
        <v>32</v>
      </c>
      <c r="C422" t="s">
        <v>179</v>
      </c>
      <c r="D422">
        <v>115</v>
      </c>
      <c r="E422">
        <v>142006.51088978999</v>
      </c>
      <c r="F422">
        <v>0</v>
      </c>
      <c r="G422" t="s">
        <v>177</v>
      </c>
      <c r="H422" t="s">
        <v>177</v>
      </c>
      <c r="I422" s="876">
        <v>44147</v>
      </c>
      <c r="J422">
        <v>5</v>
      </c>
      <c r="K422" t="s">
        <v>179</v>
      </c>
      <c r="L422">
        <v>32</v>
      </c>
      <c r="M422">
        <v>0.69414998016034501</v>
      </c>
      <c r="N422">
        <v>0</v>
      </c>
      <c r="O422">
        <v>0.30585001983965499</v>
      </c>
      <c r="P422">
        <v>0</v>
      </c>
      <c r="Q422">
        <v>0.57788014692206702</v>
      </c>
      <c r="R422">
        <v>0</v>
      </c>
      <c r="S422">
        <v>-5.5351101547697403E-6</v>
      </c>
      <c r="T422">
        <v>9.4293284623221396E-2</v>
      </c>
      <c r="U422">
        <v>0</v>
      </c>
      <c r="V422">
        <v>2.2070702245734701E-2</v>
      </c>
      <c r="W422">
        <v>-8.8618520523318402E-5</v>
      </c>
      <c r="X422">
        <v>0</v>
      </c>
      <c r="Y422" t="s">
        <v>177</v>
      </c>
      <c r="Z422" t="s">
        <v>177</v>
      </c>
      <c r="AA422" t="s">
        <v>177</v>
      </c>
      <c r="AB422" t="s">
        <v>177</v>
      </c>
      <c r="AC422" t="s">
        <v>177</v>
      </c>
      <c r="AD422" t="s">
        <v>177</v>
      </c>
      <c r="AE422" t="s">
        <v>177</v>
      </c>
      <c r="AF422" t="s">
        <v>177</v>
      </c>
      <c r="AG422" s="876">
        <v>44147</v>
      </c>
      <c r="AH422" s="871">
        <f t="shared" si="13"/>
        <v>44136</v>
      </c>
    </row>
    <row r="423" spans="1:34" hidden="1">
      <c r="A423">
        <v>6</v>
      </c>
      <c r="B423">
        <v>32</v>
      </c>
      <c r="C423" t="s">
        <v>179</v>
      </c>
      <c r="D423">
        <v>115</v>
      </c>
      <c r="E423">
        <v>3722767.8101610602</v>
      </c>
      <c r="F423">
        <v>0</v>
      </c>
      <c r="G423" t="s">
        <v>177</v>
      </c>
      <c r="H423" t="s">
        <v>177</v>
      </c>
      <c r="I423" s="876">
        <v>44179</v>
      </c>
      <c r="J423">
        <v>6</v>
      </c>
      <c r="K423" t="s">
        <v>179</v>
      </c>
      <c r="L423">
        <v>32</v>
      </c>
      <c r="M423">
        <v>0.885597306162338</v>
      </c>
      <c r="N423">
        <v>0</v>
      </c>
      <c r="O423">
        <v>0.114402693837662</v>
      </c>
      <c r="P423">
        <v>0</v>
      </c>
      <c r="Q423">
        <v>0.78323862302923297</v>
      </c>
      <c r="R423">
        <v>0</v>
      </c>
      <c r="S423">
        <v>-1.68409944906124E-6</v>
      </c>
      <c r="T423">
        <v>3.0236334062946998E-2</v>
      </c>
      <c r="U423">
        <v>0</v>
      </c>
      <c r="V423">
        <v>7.2150996029859998E-2</v>
      </c>
      <c r="W423">
        <v>-2.6962860253139601E-5</v>
      </c>
      <c r="X423">
        <v>0</v>
      </c>
      <c r="Y423" t="s">
        <v>177</v>
      </c>
      <c r="Z423" t="s">
        <v>177</v>
      </c>
      <c r="AA423" t="s">
        <v>177</v>
      </c>
      <c r="AB423" t="s">
        <v>177</v>
      </c>
      <c r="AC423" t="s">
        <v>177</v>
      </c>
      <c r="AD423" t="s">
        <v>177</v>
      </c>
      <c r="AE423" t="s">
        <v>177</v>
      </c>
      <c r="AF423" t="s">
        <v>177</v>
      </c>
      <c r="AG423" s="876">
        <v>44179</v>
      </c>
      <c r="AH423" s="871">
        <f t="shared" si="13"/>
        <v>44166</v>
      </c>
    </row>
    <row r="424" spans="1:34" hidden="1">
      <c r="A424">
        <v>7</v>
      </c>
      <c r="B424">
        <v>32</v>
      </c>
      <c r="C424" t="s">
        <v>179</v>
      </c>
      <c r="D424">
        <v>115</v>
      </c>
      <c r="E424">
        <v>5486888.5087920399</v>
      </c>
      <c r="F424">
        <v>0</v>
      </c>
      <c r="G424" t="s">
        <v>177</v>
      </c>
      <c r="H424" t="s">
        <v>177</v>
      </c>
      <c r="I424" s="876">
        <v>44193</v>
      </c>
      <c r="J424">
        <v>7</v>
      </c>
      <c r="K424" t="s">
        <v>179</v>
      </c>
      <c r="L424">
        <v>32</v>
      </c>
      <c r="M424">
        <v>0.885597306162338</v>
      </c>
      <c r="N424">
        <v>0</v>
      </c>
      <c r="O424">
        <v>0.114402693837662</v>
      </c>
      <c r="P424">
        <v>0</v>
      </c>
      <c r="Q424">
        <v>0.78323862302923297</v>
      </c>
      <c r="R424">
        <v>0</v>
      </c>
      <c r="S424">
        <v>-1.68409944906124E-6</v>
      </c>
      <c r="T424">
        <v>3.0236334062946998E-2</v>
      </c>
      <c r="U424">
        <v>0</v>
      </c>
      <c r="V424">
        <v>7.2150996029859998E-2</v>
      </c>
      <c r="W424">
        <v>-2.6962860253139601E-5</v>
      </c>
      <c r="X424">
        <v>0</v>
      </c>
      <c r="Y424" t="s">
        <v>177</v>
      </c>
      <c r="Z424" t="s">
        <v>177</v>
      </c>
      <c r="AA424" t="s">
        <v>177</v>
      </c>
      <c r="AB424" t="s">
        <v>177</v>
      </c>
      <c r="AC424" t="s">
        <v>177</v>
      </c>
      <c r="AD424" t="s">
        <v>177</v>
      </c>
      <c r="AE424" t="s">
        <v>177</v>
      </c>
      <c r="AF424" t="s">
        <v>177</v>
      </c>
      <c r="AG424" s="876">
        <v>44193</v>
      </c>
      <c r="AH424" s="871">
        <f t="shared" si="13"/>
        <v>44166</v>
      </c>
    </row>
    <row r="425" spans="1:34" hidden="1">
      <c r="A425">
        <v>8</v>
      </c>
      <c r="B425">
        <v>32</v>
      </c>
      <c r="C425" t="s">
        <v>179</v>
      </c>
      <c r="D425">
        <v>115</v>
      </c>
      <c r="E425">
        <v>0</v>
      </c>
      <c r="F425">
        <v>0</v>
      </c>
      <c r="G425" t="s">
        <v>177</v>
      </c>
      <c r="H425" t="s">
        <v>177</v>
      </c>
      <c r="I425" s="876">
        <v>44208</v>
      </c>
      <c r="J425">
        <v>8</v>
      </c>
      <c r="K425" t="s">
        <v>179</v>
      </c>
      <c r="L425">
        <v>32</v>
      </c>
      <c r="M425">
        <v>0.885597306162338</v>
      </c>
      <c r="N425">
        <v>0</v>
      </c>
      <c r="O425">
        <v>0.114402693837662</v>
      </c>
      <c r="P425">
        <v>0</v>
      </c>
      <c r="Q425">
        <v>0.78323862302923297</v>
      </c>
      <c r="R425">
        <v>0</v>
      </c>
      <c r="S425">
        <v>-1.68409944906124E-6</v>
      </c>
      <c r="T425">
        <v>3.0236334062946998E-2</v>
      </c>
      <c r="U425">
        <v>0</v>
      </c>
      <c r="V425">
        <v>7.2150996029859998E-2</v>
      </c>
      <c r="W425">
        <v>-2.6962860253139601E-5</v>
      </c>
      <c r="X425">
        <v>0</v>
      </c>
      <c r="Y425" t="s">
        <v>177</v>
      </c>
      <c r="Z425" t="s">
        <v>177</v>
      </c>
      <c r="AA425" t="s">
        <v>177</v>
      </c>
      <c r="AB425" t="s">
        <v>177</v>
      </c>
      <c r="AC425" t="s">
        <v>177</v>
      </c>
      <c r="AD425" t="s">
        <v>177</v>
      </c>
      <c r="AE425" t="s">
        <v>177</v>
      </c>
      <c r="AF425" t="s">
        <v>177</v>
      </c>
      <c r="AG425" s="876">
        <v>44208</v>
      </c>
      <c r="AH425" s="871">
        <f t="shared" si="13"/>
        <v>44197</v>
      </c>
    </row>
    <row r="426" spans="1:34" hidden="1">
      <c r="A426" t="s">
        <v>177</v>
      </c>
      <c r="B426" t="s">
        <v>177</v>
      </c>
      <c r="C426" t="e">
        <v>#N/A</v>
      </c>
      <c r="D426" t="e">
        <v>#N/A</v>
      </c>
      <c r="E426" t="s">
        <v>177</v>
      </c>
      <c r="F426" t="s">
        <v>177</v>
      </c>
      <c r="G426" t="s">
        <v>177</v>
      </c>
      <c r="H426" t="s">
        <v>177</v>
      </c>
      <c r="I426" t="s">
        <v>177</v>
      </c>
      <c r="J426">
        <v>1</v>
      </c>
      <c r="K426" t="s">
        <v>246</v>
      </c>
      <c r="L426">
        <v>83</v>
      </c>
      <c r="M426">
        <v>0.192354085172981</v>
      </c>
      <c r="N426">
        <v>0.67066344809699496</v>
      </c>
      <c r="O426">
        <v>0</v>
      </c>
      <c r="P426">
        <v>0.13698246673002301</v>
      </c>
      <c r="Q426">
        <v>0.190963145053827</v>
      </c>
      <c r="R426">
        <v>0</v>
      </c>
      <c r="S426">
        <v>-3.9356578169999204E-3</v>
      </c>
      <c r="T426">
        <v>1.15656158360868E-3</v>
      </c>
      <c r="U426">
        <v>1.5282505898426501E-3</v>
      </c>
      <c r="V426">
        <v>-2.4565615350068799E-2</v>
      </c>
      <c r="W426">
        <v>2.7207401112771801E-2</v>
      </c>
      <c r="X426">
        <v>0</v>
      </c>
      <c r="Y426">
        <v>0.84276788744882503</v>
      </c>
      <c r="Z426">
        <v>0</v>
      </c>
      <c r="AA426">
        <v>-1.8414614647071802E-2</v>
      </c>
      <c r="AB426">
        <v>1.9905009198080099E-2</v>
      </c>
      <c r="AC426">
        <v>2.0521655079857499E-2</v>
      </c>
      <c r="AD426">
        <v>-0.32381914544937201</v>
      </c>
      <c r="AE426">
        <v>0.129702656466677</v>
      </c>
      <c r="AF426">
        <v>0</v>
      </c>
      <c r="AG426" s="876">
        <v>44043</v>
      </c>
    </row>
    <row r="427" spans="1:34" hidden="1">
      <c r="A427" t="s">
        <v>177</v>
      </c>
      <c r="B427" t="s">
        <v>177</v>
      </c>
      <c r="C427" t="e">
        <v>#N/A</v>
      </c>
      <c r="D427" t="e">
        <v>#N/A</v>
      </c>
      <c r="E427" t="s">
        <v>177</v>
      </c>
      <c r="F427" t="s">
        <v>177</v>
      </c>
      <c r="G427" t="s">
        <v>177</v>
      </c>
      <c r="H427" t="s">
        <v>177</v>
      </c>
      <c r="I427" t="s">
        <v>177</v>
      </c>
      <c r="J427">
        <v>2</v>
      </c>
      <c r="K427" t="s">
        <v>246</v>
      </c>
      <c r="L427">
        <v>83</v>
      </c>
      <c r="M427">
        <v>0.485003664106544</v>
      </c>
      <c r="N427" t="s">
        <v>177</v>
      </c>
      <c r="O427">
        <v>0.51499633589345595</v>
      </c>
      <c r="P427">
        <v>0</v>
      </c>
      <c r="Q427">
        <v>-0.47096272951292301</v>
      </c>
      <c r="R427">
        <v>0</v>
      </c>
      <c r="S427">
        <v>-5.0461679651956103E-2</v>
      </c>
      <c r="T427">
        <v>1.7440299581078601E-2</v>
      </c>
      <c r="U427">
        <v>2.4596200085186801E-2</v>
      </c>
      <c r="V427">
        <v>0.532992626503907</v>
      </c>
      <c r="W427">
        <v>0.43139894710125098</v>
      </c>
      <c r="X427">
        <v>0</v>
      </c>
      <c r="Y427" t="s">
        <v>177</v>
      </c>
      <c r="Z427" t="s">
        <v>177</v>
      </c>
      <c r="AA427" t="s">
        <v>177</v>
      </c>
      <c r="AB427" t="s">
        <v>177</v>
      </c>
      <c r="AC427" t="s">
        <v>177</v>
      </c>
      <c r="AD427" t="s">
        <v>177</v>
      </c>
      <c r="AE427" t="s">
        <v>177</v>
      </c>
      <c r="AF427" t="s">
        <v>177</v>
      </c>
      <c r="AG427" s="876">
        <v>44055</v>
      </c>
    </row>
    <row r="428" spans="1:34" hidden="1">
      <c r="A428" t="s">
        <v>177</v>
      </c>
      <c r="B428" t="s">
        <v>177</v>
      </c>
      <c r="C428" t="e">
        <v>#N/A</v>
      </c>
      <c r="D428" t="e">
        <v>#N/A</v>
      </c>
      <c r="E428" t="s">
        <v>177</v>
      </c>
      <c r="F428" t="s">
        <v>177</v>
      </c>
      <c r="G428" t="s">
        <v>177</v>
      </c>
      <c r="H428" t="s">
        <v>177</v>
      </c>
      <c r="I428" t="s">
        <v>177</v>
      </c>
      <c r="J428">
        <v>3</v>
      </c>
      <c r="K428" t="s">
        <v>246</v>
      </c>
      <c r="L428">
        <v>83</v>
      </c>
      <c r="M428">
        <v>0</v>
      </c>
      <c r="N428" t="s">
        <v>177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177</v>
      </c>
      <c r="Z428" t="s">
        <v>177</v>
      </c>
      <c r="AA428" t="s">
        <v>177</v>
      </c>
      <c r="AB428" t="s">
        <v>177</v>
      </c>
      <c r="AC428" t="s">
        <v>177</v>
      </c>
      <c r="AD428" t="s">
        <v>177</v>
      </c>
      <c r="AE428" t="s">
        <v>177</v>
      </c>
      <c r="AF428" t="s">
        <v>177</v>
      </c>
      <c r="AG428" s="876">
        <v>44088</v>
      </c>
    </row>
    <row r="429" spans="1:34" hidden="1">
      <c r="A429" t="s">
        <v>177</v>
      </c>
      <c r="B429" t="s">
        <v>177</v>
      </c>
      <c r="C429" t="e">
        <v>#N/A</v>
      </c>
      <c r="D429" t="e">
        <v>#N/A</v>
      </c>
      <c r="E429" t="s">
        <v>177</v>
      </c>
      <c r="F429" t="s">
        <v>177</v>
      </c>
      <c r="G429" t="s">
        <v>177</v>
      </c>
      <c r="H429" t="s">
        <v>177</v>
      </c>
      <c r="I429" t="s">
        <v>177</v>
      </c>
      <c r="J429">
        <v>4</v>
      </c>
      <c r="K429" t="s">
        <v>246</v>
      </c>
      <c r="L429">
        <v>83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177</v>
      </c>
      <c r="Z429" t="s">
        <v>177</v>
      </c>
      <c r="AA429" t="s">
        <v>177</v>
      </c>
      <c r="AB429" t="s">
        <v>177</v>
      </c>
      <c r="AC429" t="s">
        <v>177</v>
      </c>
      <c r="AD429" t="s">
        <v>177</v>
      </c>
      <c r="AE429" t="s">
        <v>177</v>
      </c>
      <c r="AF429" t="s">
        <v>177</v>
      </c>
      <c r="AG429" s="876">
        <v>44117</v>
      </c>
    </row>
    <row r="430" spans="1:34" hidden="1">
      <c r="A430" t="s">
        <v>177</v>
      </c>
      <c r="B430" t="s">
        <v>177</v>
      </c>
      <c r="C430" t="e">
        <v>#N/A</v>
      </c>
      <c r="D430" t="e">
        <v>#N/A</v>
      </c>
      <c r="E430" t="s">
        <v>177</v>
      </c>
      <c r="F430" t="s">
        <v>177</v>
      </c>
      <c r="G430" t="s">
        <v>177</v>
      </c>
      <c r="H430" t="s">
        <v>177</v>
      </c>
      <c r="I430" t="s">
        <v>177</v>
      </c>
      <c r="J430">
        <v>5</v>
      </c>
      <c r="K430" t="s">
        <v>246</v>
      </c>
      <c r="L430">
        <v>83</v>
      </c>
      <c r="M430" t="s">
        <v>177</v>
      </c>
      <c r="N430" t="s">
        <v>177</v>
      </c>
      <c r="O430" t="s">
        <v>177</v>
      </c>
      <c r="P430" t="s">
        <v>177</v>
      </c>
      <c r="Q430" t="s">
        <v>177</v>
      </c>
      <c r="R430" t="s">
        <v>177</v>
      </c>
      <c r="S430" t="s">
        <v>177</v>
      </c>
      <c r="T430" t="s">
        <v>177</v>
      </c>
      <c r="U430" t="s">
        <v>177</v>
      </c>
      <c r="V430" t="s">
        <v>177</v>
      </c>
      <c r="W430" t="s">
        <v>177</v>
      </c>
      <c r="X430" t="s">
        <v>177</v>
      </c>
      <c r="Y430" t="s">
        <v>177</v>
      </c>
      <c r="Z430" t="s">
        <v>177</v>
      </c>
      <c r="AA430" t="s">
        <v>177</v>
      </c>
      <c r="AB430" t="s">
        <v>177</v>
      </c>
      <c r="AC430" t="s">
        <v>177</v>
      </c>
      <c r="AD430" t="s">
        <v>177</v>
      </c>
      <c r="AE430" t="s">
        <v>177</v>
      </c>
      <c r="AF430" t="s">
        <v>177</v>
      </c>
      <c r="AG430" s="876">
        <v>44147</v>
      </c>
    </row>
    <row r="431" spans="1:34" hidden="1">
      <c r="A431" t="s">
        <v>177</v>
      </c>
      <c r="B431" t="s">
        <v>177</v>
      </c>
      <c r="C431" t="e">
        <v>#N/A</v>
      </c>
      <c r="D431" t="e">
        <v>#N/A</v>
      </c>
      <c r="E431" t="s">
        <v>177</v>
      </c>
      <c r="F431" t="s">
        <v>177</v>
      </c>
      <c r="G431" t="s">
        <v>177</v>
      </c>
      <c r="H431" t="s">
        <v>177</v>
      </c>
      <c r="I431" t="s">
        <v>177</v>
      </c>
      <c r="J431">
        <v>6</v>
      </c>
      <c r="K431" t="s">
        <v>246</v>
      </c>
      <c r="L431">
        <v>83</v>
      </c>
      <c r="M431" t="s">
        <v>177</v>
      </c>
      <c r="N431" t="s">
        <v>177</v>
      </c>
      <c r="O431" t="s">
        <v>177</v>
      </c>
      <c r="P431" t="s">
        <v>177</v>
      </c>
      <c r="Q431" t="s">
        <v>177</v>
      </c>
      <c r="R431" t="s">
        <v>177</v>
      </c>
      <c r="S431" t="s">
        <v>177</v>
      </c>
      <c r="T431" t="s">
        <v>177</v>
      </c>
      <c r="U431" t="s">
        <v>177</v>
      </c>
      <c r="V431" t="s">
        <v>177</v>
      </c>
      <c r="W431" t="s">
        <v>177</v>
      </c>
      <c r="X431" t="s">
        <v>177</v>
      </c>
      <c r="Y431" t="s">
        <v>177</v>
      </c>
      <c r="Z431" t="s">
        <v>177</v>
      </c>
      <c r="AA431" t="s">
        <v>177</v>
      </c>
      <c r="AB431" t="s">
        <v>177</v>
      </c>
      <c r="AC431" t="s">
        <v>177</v>
      </c>
      <c r="AD431" t="s">
        <v>177</v>
      </c>
      <c r="AE431" t="s">
        <v>177</v>
      </c>
      <c r="AF431" t="s">
        <v>177</v>
      </c>
      <c r="AG431" s="876">
        <v>44179</v>
      </c>
    </row>
    <row r="432" spans="1:34" hidden="1">
      <c r="A432" t="s">
        <v>177</v>
      </c>
      <c r="B432" t="s">
        <v>177</v>
      </c>
      <c r="C432" t="e">
        <v>#N/A</v>
      </c>
      <c r="D432" t="e">
        <v>#N/A</v>
      </c>
      <c r="E432" t="s">
        <v>177</v>
      </c>
      <c r="F432" t="s">
        <v>177</v>
      </c>
      <c r="G432" t="s">
        <v>177</v>
      </c>
      <c r="H432" t="s">
        <v>177</v>
      </c>
      <c r="I432" t="s">
        <v>177</v>
      </c>
      <c r="J432">
        <v>7</v>
      </c>
      <c r="K432" t="s">
        <v>246</v>
      </c>
      <c r="L432">
        <v>83</v>
      </c>
      <c r="M432" t="s">
        <v>177</v>
      </c>
      <c r="N432" t="s">
        <v>177</v>
      </c>
      <c r="O432" t="s">
        <v>177</v>
      </c>
      <c r="P432" t="s">
        <v>177</v>
      </c>
      <c r="Q432" t="s">
        <v>177</v>
      </c>
      <c r="R432" t="s">
        <v>177</v>
      </c>
      <c r="S432" t="s">
        <v>177</v>
      </c>
      <c r="T432" t="s">
        <v>177</v>
      </c>
      <c r="U432" t="s">
        <v>177</v>
      </c>
      <c r="V432" t="s">
        <v>177</v>
      </c>
      <c r="W432" t="s">
        <v>177</v>
      </c>
      <c r="X432" t="s">
        <v>177</v>
      </c>
      <c r="Y432" t="s">
        <v>177</v>
      </c>
      <c r="Z432" t="s">
        <v>177</v>
      </c>
      <c r="AA432" t="s">
        <v>177</v>
      </c>
      <c r="AB432" t="s">
        <v>177</v>
      </c>
      <c r="AC432" t="s">
        <v>177</v>
      </c>
      <c r="AD432" t="s">
        <v>177</v>
      </c>
      <c r="AE432" t="s">
        <v>177</v>
      </c>
      <c r="AF432" t="s">
        <v>177</v>
      </c>
      <c r="AG432" s="876">
        <v>44193</v>
      </c>
    </row>
    <row r="433" spans="1:34" hidden="1">
      <c r="A433" t="s">
        <v>177</v>
      </c>
      <c r="B433" t="s">
        <v>177</v>
      </c>
      <c r="C433" t="e">
        <v>#N/A</v>
      </c>
      <c r="D433" t="e">
        <v>#N/A</v>
      </c>
      <c r="E433" t="s">
        <v>177</v>
      </c>
      <c r="F433" t="s">
        <v>177</v>
      </c>
      <c r="G433" t="s">
        <v>177</v>
      </c>
      <c r="H433" t="s">
        <v>177</v>
      </c>
      <c r="I433" t="s">
        <v>177</v>
      </c>
      <c r="J433">
        <v>8</v>
      </c>
      <c r="K433" t="s">
        <v>246</v>
      </c>
      <c r="L433">
        <v>83</v>
      </c>
      <c r="M433" t="s">
        <v>177</v>
      </c>
      <c r="N433" t="s">
        <v>177</v>
      </c>
      <c r="O433" t="s">
        <v>177</v>
      </c>
      <c r="P433" t="s">
        <v>177</v>
      </c>
      <c r="Q433" t="s">
        <v>177</v>
      </c>
      <c r="R433" t="s">
        <v>177</v>
      </c>
      <c r="S433" t="s">
        <v>177</v>
      </c>
      <c r="T433" t="s">
        <v>177</v>
      </c>
      <c r="U433" t="s">
        <v>177</v>
      </c>
      <c r="V433" t="s">
        <v>177</v>
      </c>
      <c r="W433" t="s">
        <v>177</v>
      </c>
      <c r="X433" t="s">
        <v>177</v>
      </c>
      <c r="Y433" t="s">
        <v>177</v>
      </c>
      <c r="Z433" t="s">
        <v>177</v>
      </c>
      <c r="AA433" t="s">
        <v>177</v>
      </c>
      <c r="AB433" t="s">
        <v>177</v>
      </c>
      <c r="AC433" t="s">
        <v>177</v>
      </c>
      <c r="AD433" t="s">
        <v>177</v>
      </c>
      <c r="AE433" t="s">
        <v>177</v>
      </c>
      <c r="AF433" t="s">
        <v>177</v>
      </c>
      <c r="AG433" s="876">
        <v>44208</v>
      </c>
    </row>
    <row r="434" spans="1:34" hidden="1">
      <c r="A434">
        <v>1</v>
      </c>
      <c r="B434">
        <v>399</v>
      </c>
      <c r="C434" t="s">
        <v>207</v>
      </c>
      <c r="D434">
        <v>157</v>
      </c>
      <c r="E434">
        <v>2065831.40182553</v>
      </c>
      <c r="F434">
        <v>0</v>
      </c>
      <c r="G434">
        <v>0</v>
      </c>
      <c r="H434">
        <v>0</v>
      </c>
      <c r="I434" s="876">
        <v>44043</v>
      </c>
      <c r="J434">
        <v>1</v>
      </c>
      <c r="K434" t="s">
        <v>207</v>
      </c>
      <c r="L434">
        <v>399</v>
      </c>
      <c r="M434">
        <v>0.133387415871939</v>
      </c>
      <c r="N434">
        <v>0.69114130491683901</v>
      </c>
      <c r="O434">
        <v>0</v>
      </c>
      <c r="P434">
        <v>0.17547127921122199</v>
      </c>
      <c r="Q434">
        <v>3.98314710158875E-2</v>
      </c>
      <c r="R434">
        <v>0</v>
      </c>
      <c r="S434">
        <v>-4.0969044616736301E-3</v>
      </c>
      <c r="T434">
        <v>-3.05545531915382E-2</v>
      </c>
      <c r="U434">
        <v>0</v>
      </c>
      <c r="V434">
        <v>0</v>
      </c>
      <c r="W434">
        <v>0.12820740250926299</v>
      </c>
      <c r="X434">
        <v>0</v>
      </c>
      <c r="Y434">
        <v>0.36349309513817801</v>
      </c>
      <c r="Z434">
        <v>0</v>
      </c>
      <c r="AA434">
        <v>-3.3092970346247801E-2</v>
      </c>
      <c r="AB434">
        <v>0.18749073580195999</v>
      </c>
      <c r="AC434">
        <v>0</v>
      </c>
      <c r="AD434">
        <v>0</v>
      </c>
      <c r="AE434">
        <v>0.17325044432295</v>
      </c>
      <c r="AF434">
        <v>0</v>
      </c>
      <c r="AG434" s="876">
        <v>44043</v>
      </c>
      <c r="AH434" s="871">
        <f t="shared" ref="AH434:AH465" si="14">DATE(YEAR(I434),MONTH(I434),1)</f>
        <v>44013</v>
      </c>
    </row>
    <row r="435" spans="1:34" hidden="1">
      <c r="A435">
        <v>2</v>
      </c>
      <c r="B435">
        <v>399</v>
      </c>
      <c r="C435" t="s">
        <v>207</v>
      </c>
      <c r="D435">
        <v>157</v>
      </c>
      <c r="E435">
        <v>229191.20075746</v>
      </c>
      <c r="F435">
        <v>0</v>
      </c>
      <c r="G435" t="s">
        <v>177</v>
      </c>
      <c r="H435" t="s">
        <v>177</v>
      </c>
      <c r="I435" s="876">
        <v>44055</v>
      </c>
      <c r="J435">
        <v>2</v>
      </c>
      <c r="K435" t="s">
        <v>207</v>
      </c>
      <c r="L435">
        <v>399</v>
      </c>
      <c r="M435">
        <v>0.466628747902601</v>
      </c>
      <c r="N435" t="s">
        <v>177</v>
      </c>
      <c r="O435">
        <v>0.533371252097399</v>
      </c>
      <c r="P435">
        <v>0</v>
      </c>
      <c r="Q435">
        <v>0.46825438443355999</v>
      </c>
      <c r="R435">
        <v>0</v>
      </c>
      <c r="S435">
        <v>0</v>
      </c>
      <c r="T435">
        <v>-8.1379167948510606E-2</v>
      </c>
      <c r="U435">
        <v>0</v>
      </c>
      <c r="V435">
        <v>0</v>
      </c>
      <c r="W435">
        <v>7.9753531417551995E-2</v>
      </c>
      <c r="X435">
        <v>0</v>
      </c>
      <c r="Y435" t="s">
        <v>177</v>
      </c>
      <c r="Z435" t="s">
        <v>177</v>
      </c>
      <c r="AA435" t="s">
        <v>177</v>
      </c>
      <c r="AB435" t="s">
        <v>177</v>
      </c>
      <c r="AC435" t="s">
        <v>177</v>
      </c>
      <c r="AD435" t="s">
        <v>177</v>
      </c>
      <c r="AE435" t="s">
        <v>177</v>
      </c>
      <c r="AF435" t="s">
        <v>177</v>
      </c>
      <c r="AG435" s="876">
        <v>44055</v>
      </c>
      <c r="AH435" s="871">
        <f t="shared" si="14"/>
        <v>44044</v>
      </c>
    </row>
    <row r="436" spans="1:34" hidden="1">
      <c r="A436">
        <v>3</v>
      </c>
      <c r="B436">
        <v>399</v>
      </c>
      <c r="C436" t="s">
        <v>207</v>
      </c>
      <c r="D436">
        <v>157</v>
      </c>
      <c r="E436">
        <v>314895.05278020701</v>
      </c>
      <c r="F436">
        <v>0</v>
      </c>
      <c r="G436" t="s">
        <v>177</v>
      </c>
      <c r="H436" t="s">
        <v>177</v>
      </c>
      <c r="I436" s="876">
        <v>44088</v>
      </c>
      <c r="J436">
        <v>3</v>
      </c>
      <c r="K436" t="s">
        <v>207</v>
      </c>
      <c r="L436">
        <v>399</v>
      </c>
      <c r="M436">
        <v>0.57507579346573001</v>
      </c>
      <c r="N436" t="s">
        <v>177</v>
      </c>
      <c r="O436">
        <v>0.42492420653426999</v>
      </c>
      <c r="P436">
        <v>0</v>
      </c>
      <c r="Q436">
        <v>0.37990326841099398</v>
      </c>
      <c r="R436">
        <v>0</v>
      </c>
      <c r="S436">
        <v>-3.7864556525546298E-4</v>
      </c>
      <c r="T436">
        <v>0.27079900957310399</v>
      </c>
      <c r="U436">
        <v>0</v>
      </c>
      <c r="V436">
        <v>0</v>
      </c>
      <c r="W436">
        <v>-7.5247838953112905E-2</v>
      </c>
      <c r="X436">
        <v>0</v>
      </c>
      <c r="Y436" t="s">
        <v>177</v>
      </c>
      <c r="Z436" t="s">
        <v>177</v>
      </c>
      <c r="AA436" t="s">
        <v>177</v>
      </c>
      <c r="AB436" t="s">
        <v>177</v>
      </c>
      <c r="AC436" t="s">
        <v>177</v>
      </c>
      <c r="AD436" t="s">
        <v>177</v>
      </c>
      <c r="AE436" t="s">
        <v>177</v>
      </c>
      <c r="AF436" t="s">
        <v>177</v>
      </c>
      <c r="AG436" s="876">
        <v>44088</v>
      </c>
      <c r="AH436" s="871">
        <f t="shared" si="14"/>
        <v>44075</v>
      </c>
    </row>
    <row r="437" spans="1:34" hidden="1">
      <c r="A437">
        <v>4</v>
      </c>
      <c r="B437">
        <v>399</v>
      </c>
      <c r="C437" t="s">
        <v>207</v>
      </c>
      <c r="D437">
        <v>157</v>
      </c>
      <c r="E437">
        <v>258289.53927374</v>
      </c>
      <c r="F437">
        <v>0</v>
      </c>
      <c r="G437" t="s">
        <v>177</v>
      </c>
      <c r="H437" t="s">
        <v>177</v>
      </c>
      <c r="I437" s="876">
        <v>44117</v>
      </c>
      <c r="J437">
        <v>4</v>
      </c>
      <c r="K437" t="s">
        <v>207</v>
      </c>
      <c r="L437">
        <v>399</v>
      </c>
      <c r="M437">
        <v>0.52549806844549396</v>
      </c>
      <c r="N437">
        <v>0</v>
      </c>
      <c r="O437">
        <v>0</v>
      </c>
      <c r="P437">
        <v>0.47450193155450598</v>
      </c>
      <c r="Q437">
        <v>0.36374081681194198</v>
      </c>
      <c r="R437">
        <v>0</v>
      </c>
      <c r="S437">
        <v>0</v>
      </c>
      <c r="T437">
        <v>0.165369084732648</v>
      </c>
      <c r="U437">
        <v>0</v>
      </c>
      <c r="V437">
        <v>0</v>
      </c>
      <c r="W437">
        <v>-3.6118330990959902E-3</v>
      </c>
      <c r="X437">
        <v>0</v>
      </c>
      <c r="Y437" t="s">
        <v>177</v>
      </c>
      <c r="Z437" t="s">
        <v>177</v>
      </c>
      <c r="AA437" t="s">
        <v>177</v>
      </c>
      <c r="AB437" t="s">
        <v>177</v>
      </c>
      <c r="AC437" t="s">
        <v>177</v>
      </c>
      <c r="AD437" t="s">
        <v>177</v>
      </c>
      <c r="AE437" t="s">
        <v>177</v>
      </c>
      <c r="AF437" t="s">
        <v>177</v>
      </c>
      <c r="AG437" s="876">
        <v>44117</v>
      </c>
      <c r="AH437" s="871">
        <f t="shared" si="14"/>
        <v>44105</v>
      </c>
    </row>
    <row r="438" spans="1:34" hidden="1">
      <c r="A438">
        <v>5</v>
      </c>
      <c r="B438">
        <v>399</v>
      </c>
      <c r="C438" t="s">
        <v>207</v>
      </c>
      <c r="D438">
        <v>157</v>
      </c>
      <c r="E438">
        <v>280118.425661129</v>
      </c>
      <c r="F438">
        <v>0</v>
      </c>
      <c r="G438" t="s">
        <v>177</v>
      </c>
      <c r="H438" t="s">
        <v>177</v>
      </c>
      <c r="I438" s="876">
        <v>44147</v>
      </c>
      <c r="J438">
        <v>5</v>
      </c>
      <c r="K438" t="s">
        <v>207</v>
      </c>
      <c r="L438">
        <v>399</v>
      </c>
      <c r="M438">
        <v>0.794605181314742</v>
      </c>
      <c r="N438">
        <v>0</v>
      </c>
      <c r="O438">
        <v>0</v>
      </c>
      <c r="P438">
        <v>0.205394818685258</v>
      </c>
      <c r="Q438">
        <v>0.60499490057718197</v>
      </c>
      <c r="R438">
        <v>0</v>
      </c>
      <c r="S438">
        <v>0</v>
      </c>
      <c r="T438">
        <v>0.19653663476317901</v>
      </c>
      <c r="U438">
        <v>0</v>
      </c>
      <c r="V438">
        <v>0</v>
      </c>
      <c r="W438">
        <v>-6.9263540256193201E-3</v>
      </c>
      <c r="X438">
        <v>0</v>
      </c>
      <c r="Y438" t="s">
        <v>177</v>
      </c>
      <c r="Z438" t="s">
        <v>177</v>
      </c>
      <c r="AA438" t="s">
        <v>177</v>
      </c>
      <c r="AB438" t="s">
        <v>177</v>
      </c>
      <c r="AC438" t="s">
        <v>177</v>
      </c>
      <c r="AD438" t="s">
        <v>177</v>
      </c>
      <c r="AE438" t="s">
        <v>177</v>
      </c>
      <c r="AF438" t="s">
        <v>177</v>
      </c>
      <c r="AG438" s="876">
        <v>44147</v>
      </c>
      <c r="AH438" s="871">
        <f t="shared" si="14"/>
        <v>44136</v>
      </c>
    </row>
    <row r="439" spans="1:34" hidden="1">
      <c r="A439">
        <v>6</v>
      </c>
      <c r="B439">
        <v>399</v>
      </c>
      <c r="C439" t="s">
        <v>207</v>
      </c>
      <c r="D439">
        <v>157</v>
      </c>
      <c r="E439">
        <v>255183.32970193701</v>
      </c>
      <c r="F439">
        <v>27084.5467762144</v>
      </c>
      <c r="G439" t="s">
        <v>177</v>
      </c>
      <c r="H439" t="s">
        <v>177</v>
      </c>
      <c r="I439" s="876">
        <v>44179</v>
      </c>
      <c r="J439">
        <v>6</v>
      </c>
      <c r="K439" t="s">
        <v>207</v>
      </c>
      <c r="L439">
        <v>399</v>
      </c>
      <c r="M439">
        <v>1</v>
      </c>
      <c r="N439">
        <v>0</v>
      </c>
      <c r="O439">
        <v>0</v>
      </c>
      <c r="P439">
        <v>0</v>
      </c>
      <c r="Q439">
        <v>0.80169029067695996</v>
      </c>
      <c r="R439">
        <v>0</v>
      </c>
      <c r="S439">
        <v>0</v>
      </c>
      <c r="T439">
        <v>0.20463124527267601</v>
      </c>
      <c r="U439">
        <v>0</v>
      </c>
      <c r="V439">
        <v>0</v>
      </c>
      <c r="W439">
        <v>-6.3215359496354403E-3</v>
      </c>
      <c r="X439">
        <v>0</v>
      </c>
      <c r="Y439" t="s">
        <v>177</v>
      </c>
      <c r="Z439" t="s">
        <v>177</v>
      </c>
      <c r="AA439" t="s">
        <v>177</v>
      </c>
      <c r="AB439" t="s">
        <v>177</v>
      </c>
      <c r="AC439" t="s">
        <v>177</v>
      </c>
      <c r="AD439" t="s">
        <v>177</v>
      </c>
      <c r="AE439" t="s">
        <v>177</v>
      </c>
      <c r="AF439" t="s">
        <v>177</v>
      </c>
      <c r="AG439" s="876">
        <v>44179</v>
      </c>
      <c r="AH439" s="871">
        <f t="shared" si="14"/>
        <v>44166</v>
      </c>
    </row>
    <row r="440" spans="1:34" hidden="1">
      <c r="A440">
        <v>7</v>
      </c>
      <c r="B440">
        <v>399</v>
      </c>
      <c r="C440" t="s">
        <v>207</v>
      </c>
      <c r="D440">
        <v>157</v>
      </c>
      <c r="E440">
        <v>0</v>
      </c>
      <c r="F440">
        <v>242524.495548159</v>
      </c>
      <c r="G440" t="s">
        <v>177</v>
      </c>
      <c r="H440" t="s">
        <v>177</v>
      </c>
      <c r="I440" s="876">
        <v>44193</v>
      </c>
      <c r="J440">
        <v>7</v>
      </c>
      <c r="K440" t="s">
        <v>207</v>
      </c>
      <c r="L440">
        <v>399</v>
      </c>
      <c r="M440">
        <v>1</v>
      </c>
      <c r="N440">
        <v>0</v>
      </c>
      <c r="O440">
        <v>0</v>
      </c>
      <c r="P440">
        <v>0</v>
      </c>
      <c r="Q440">
        <v>0.80169029067695996</v>
      </c>
      <c r="R440">
        <v>0</v>
      </c>
      <c r="S440">
        <v>0</v>
      </c>
      <c r="T440">
        <v>0.20463124527267601</v>
      </c>
      <c r="U440">
        <v>0</v>
      </c>
      <c r="V440">
        <v>0</v>
      </c>
      <c r="W440">
        <v>-6.3215359496354403E-3</v>
      </c>
      <c r="X440">
        <v>0</v>
      </c>
      <c r="Y440" t="s">
        <v>177</v>
      </c>
      <c r="Z440" t="s">
        <v>177</v>
      </c>
      <c r="AA440" t="s">
        <v>177</v>
      </c>
      <c r="AB440" t="s">
        <v>177</v>
      </c>
      <c r="AC440" t="s">
        <v>177</v>
      </c>
      <c r="AD440" t="s">
        <v>177</v>
      </c>
      <c r="AE440" t="s">
        <v>177</v>
      </c>
      <c r="AF440" t="s">
        <v>177</v>
      </c>
      <c r="AG440" s="876">
        <v>44193</v>
      </c>
      <c r="AH440" s="871">
        <f t="shared" si="14"/>
        <v>44166</v>
      </c>
    </row>
    <row r="441" spans="1:34" hidden="1">
      <c r="A441">
        <v>8</v>
      </c>
      <c r="B441">
        <v>399</v>
      </c>
      <c r="C441" t="s">
        <v>207</v>
      </c>
      <c r="D441">
        <v>157</v>
      </c>
      <c r="E441">
        <v>0</v>
      </c>
      <c r="F441">
        <v>0</v>
      </c>
      <c r="G441" t="s">
        <v>177</v>
      </c>
      <c r="H441" t="s">
        <v>177</v>
      </c>
      <c r="I441" s="876">
        <v>44208</v>
      </c>
      <c r="J441">
        <v>8</v>
      </c>
      <c r="K441" t="s">
        <v>207</v>
      </c>
      <c r="L441">
        <v>399</v>
      </c>
      <c r="M441">
        <v>1</v>
      </c>
      <c r="N441">
        <v>0</v>
      </c>
      <c r="O441">
        <v>0</v>
      </c>
      <c r="P441">
        <v>0</v>
      </c>
      <c r="Q441">
        <v>0.80169029067695996</v>
      </c>
      <c r="R441">
        <v>0</v>
      </c>
      <c r="S441">
        <v>0</v>
      </c>
      <c r="T441">
        <v>0.20463124527267601</v>
      </c>
      <c r="U441">
        <v>0</v>
      </c>
      <c r="V441">
        <v>0</v>
      </c>
      <c r="W441">
        <v>-6.3215359496354403E-3</v>
      </c>
      <c r="X441">
        <v>0</v>
      </c>
      <c r="Y441" t="s">
        <v>177</v>
      </c>
      <c r="Z441" t="s">
        <v>177</v>
      </c>
      <c r="AA441" t="s">
        <v>177</v>
      </c>
      <c r="AB441" t="s">
        <v>177</v>
      </c>
      <c r="AC441" t="s">
        <v>177</v>
      </c>
      <c r="AD441" t="s">
        <v>177</v>
      </c>
      <c r="AE441" t="s">
        <v>177</v>
      </c>
      <c r="AF441" t="s">
        <v>177</v>
      </c>
      <c r="AG441" s="876">
        <v>44208</v>
      </c>
      <c r="AH441" s="871">
        <f t="shared" si="14"/>
        <v>44197</v>
      </c>
    </row>
    <row r="442" spans="1:34" hidden="1">
      <c r="A442">
        <v>1</v>
      </c>
      <c r="B442">
        <v>87</v>
      </c>
      <c r="C442" t="s">
        <v>192</v>
      </c>
      <c r="D442">
        <v>158</v>
      </c>
      <c r="E442">
        <v>3374184.5809788899</v>
      </c>
      <c r="F442">
        <v>0</v>
      </c>
      <c r="G442">
        <v>0</v>
      </c>
      <c r="H442">
        <v>0</v>
      </c>
      <c r="I442" s="876">
        <v>44043</v>
      </c>
      <c r="J442">
        <v>1</v>
      </c>
      <c r="K442" t="s">
        <v>192</v>
      </c>
      <c r="L442">
        <v>87</v>
      </c>
      <c r="M442">
        <v>0.123192366106686</v>
      </c>
      <c r="N442">
        <v>0.86308136807877001</v>
      </c>
      <c r="O442">
        <v>0</v>
      </c>
      <c r="P442">
        <v>1.3726265814543901E-2</v>
      </c>
      <c r="Q442">
        <v>7.68761364007743E-2</v>
      </c>
      <c r="R442">
        <v>0</v>
      </c>
      <c r="S442">
        <v>-1.0934758177190499E-2</v>
      </c>
      <c r="T442">
        <v>-3.95383458519679E-4</v>
      </c>
      <c r="U442">
        <v>2.4593061031906202E-3</v>
      </c>
      <c r="V442">
        <v>1.56843279479474E-3</v>
      </c>
      <c r="W442">
        <v>5.36186324436368E-2</v>
      </c>
      <c r="X442">
        <v>0</v>
      </c>
      <c r="Y442">
        <v>1.1911691258018</v>
      </c>
      <c r="Z442">
        <v>0</v>
      </c>
      <c r="AA442">
        <v>-5.7792977456347101E-2</v>
      </c>
      <c r="AB442">
        <v>3.54866490349216E-3</v>
      </c>
      <c r="AC442">
        <v>3.2906878242614297E-2</v>
      </c>
      <c r="AD442">
        <v>-0.56394367938104994</v>
      </c>
      <c r="AE442">
        <v>0.25719335596826198</v>
      </c>
      <c r="AF442">
        <v>0</v>
      </c>
      <c r="AG442" s="876">
        <v>44043</v>
      </c>
      <c r="AH442" s="871">
        <f t="shared" si="14"/>
        <v>44013</v>
      </c>
    </row>
    <row r="443" spans="1:34" hidden="1">
      <c r="A443">
        <v>2</v>
      </c>
      <c r="B443">
        <v>87</v>
      </c>
      <c r="C443" t="s">
        <v>192</v>
      </c>
      <c r="D443">
        <v>158</v>
      </c>
      <c r="E443">
        <v>585374.22950037697</v>
      </c>
      <c r="F443">
        <v>0</v>
      </c>
      <c r="G443" t="s">
        <v>177</v>
      </c>
      <c r="H443" t="s">
        <v>177</v>
      </c>
      <c r="I443" s="876">
        <v>44055</v>
      </c>
      <c r="J443">
        <v>2</v>
      </c>
      <c r="K443" t="s">
        <v>192</v>
      </c>
      <c r="L443">
        <v>87</v>
      </c>
      <c r="M443">
        <v>1</v>
      </c>
      <c r="N443" t="s">
        <v>177</v>
      </c>
      <c r="O443">
        <v>0</v>
      </c>
      <c r="P443">
        <v>0</v>
      </c>
      <c r="Q443">
        <v>1.7157455832386299</v>
      </c>
      <c r="R443">
        <v>0</v>
      </c>
      <c r="S443">
        <v>-4.8880344373299703E-2</v>
      </c>
      <c r="T443">
        <v>-4.9776535392661502E-3</v>
      </c>
      <c r="U443">
        <v>1.7125975221025001E-3</v>
      </c>
      <c r="V443">
        <v>-0.93704155417023105</v>
      </c>
      <c r="W443">
        <v>0.27344137132206597</v>
      </c>
      <c r="X443">
        <v>0</v>
      </c>
      <c r="Y443" t="s">
        <v>177</v>
      </c>
      <c r="Z443" t="s">
        <v>177</v>
      </c>
      <c r="AA443" t="s">
        <v>177</v>
      </c>
      <c r="AB443" t="s">
        <v>177</v>
      </c>
      <c r="AC443" t="s">
        <v>177</v>
      </c>
      <c r="AD443" t="s">
        <v>177</v>
      </c>
      <c r="AE443" t="s">
        <v>177</v>
      </c>
      <c r="AF443" t="s">
        <v>177</v>
      </c>
      <c r="AG443" s="876">
        <v>44055</v>
      </c>
      <c r="AH443" s="871">
        <f t="shared" si="14"/>
        <v>44044</v>
      </c>
    </row>
    <row r="444" spans="1:34" hidden="1">
      <c r="A444">
        <v>3</v>
      </c>
      <c r="B444">
        <v>87</v>
      </c>
      <c r="C444" t="s">
        <v>192</v>
      </c>
      <c r="D444">
        <v>158</v>
      </c>
      <c r="E444">
        <v>585739.73314096604</v>
      </c>
      <c r="F444">
        <v>0</v>
      </c>
      <c r="G444" t="s">
        <v>177</v>
      </c>
      <c r="H444" t="s">
        <v>177</v>
      </c>
      <c r="I444" s="876">
        <v>44088</v>
      </c>
      <c r="J444">
        <v>3</v>
      </c>
      <c r="K444" t="s">
        <v>192</v>
      </c>
      <c r="L444">
        <v>87</v>
      </c>
      <c r="M444">
        <v>0.91382268035737801</v>
      </c>
      <c r="N444" t="s">
        <v>177</v>
      </c>
      <c r="O444">
        <v>8.6177319642621805E-2</v>
      </c>
      <c r="P444">
        <v>0</v>
      </c>
      <c r="Q444">
        <v>0.64731991166668101</v>
      </c>
      <c r="R444">
        <v>0</v>
      </c>
      <c r="S444">
        <v>0</v>
      </c>
      <c r="T444">
        <v>1.9994794555612001E-2</v>
      </c>
      <c r="U444">
        <v>2.1594434016524101E-2</v>
      </c>
      <c r="V444">
        <v>6.7486870779099997E-2</v>
      </c>
      <c r="W444">
        <v>0.15742666933946101</v>
      </c>
      <c r="X444">
        <v>0</v>
      </c>
      <c r="Y444" t="s">
        <v>177</v>
      </c>
      <c r="Z444" t="s">
        <v>177</v>
      </c>
      <c r="AA444" t="s">
        <v>177</v>
      </c>
      <c r="AB444" t="s">
        <v>177</v>
      </c>
      <c r="AC444" t="s">
        <v>177</v>
      </c>
      <c r="AD444" t="s">
        <v>177</v>
      </c>
      <c r="AE444" t="s">
        <v>177</v>
      </c>
      <c r="AF444" t="s">
        <v>177</v>
      </c>
      <c r="AG444" s="876">
        <v>44088</v>
      </c>
      <c r="AH444" s="871">
        <f t="shared" si="14"/>
        <v>44075</v>
      </c>
    </row>
    <row r="445" spans="1:34" hidden="1">
      <c r="A445">
        <v>4</v>
      </c>
      <c r="B445">
        <v>87</v>
      </c>
      <c r="C445" t="s">
        <v>192</v>
      </c>
      <c r="D445">
        <v>158</v>
      </c>
      <c r="E445">
        <v>586106.27819280303</v>
      </c>
      <c r="F445">
        <v>0</v>
      </c>
      <c r="G445" t="s">
        <v>177</v>
      </c>
      <c r="H445" t="s">
        <v>177</v>
      </c>
      <c r="I445" s="876">
        <v>44117</v>
      </c>
      <c r="J445">
        <v>4</v>
      </c>
      <c r="K445" t="s">
        <v>192</v>
      </c>
      <c r="L445">
        <v>87</v>
      </c>
      <c r="M445">
        <v>0.585900690704248</v>
      </c>
      <c r="N445">
        <v>0</v>
      </c>
      <c r="O445">
        <v>0</v>
      </c>
      <c r="P445">
        <v>0.414099309295752</v>
      </c>
      <c r="Q445">
        <v>0.60260928093160304</v>
      </c>
      <c r="R445">
        <v>0</v>
      </c>
      <c r="S445">
        <v>0</v>
      </c>
      <c r="T445">
        <v>2.4416948499934601E-2</v>
      </c>
      <c r="U445">
        <v>2.8934221397373502E-2</v>
      </c>
      <c r="V445">
        <v>-7.0059760124663098E-2</v>
      </c>
      <c r="W445">
        <v>0</v>
      </c>
      <c r="X445">
        <v>0</v>
      </c>
      <c r="Y445" t="s">
        <v>177</v>
      </c>
      <c r="Z445" t="s">
        <v>177</v>
      </c>
      <c r="AA445" t="s">
        <v>177</v>
      </c>
      <c r="AB445" t="s">
        <v>177</v>
      </c>
      <c r="AC445" t="s">
        <v>177</v>
      </c>
      <c r="AD445" t="s">
        <v>177</v>
      </c>
      <c r="AE445" t="s">
        <v>177</v>
      </c>
      <c r="AF445" t="s">
        <v>177</v>
      </c>
      <c r="AG445" s="876">
        <v>44117</v>
      </c>
      <c r="AH445" s="871">
        <f t="shared" si="14"/>
        <v>44105</v>
      </c>
    </row>
    <row r="446" spans="1:34" hidden="1">
      <c r="A446">
        <v>5</v>
      </c>
      <c r="B446">
        <v>87</v>
      </c>
      <c r="C446" t="s">
        <v>192</v>
      </c>
      <c r="D446">
        <v>158</v>
      </c>
      <c r="E446">
        <v>586473.867623128</v>
      </c>
      <c r="F446">
        <v>0</v>
      </c>
      <c r="G446" t="s">
        <v>177</v>
      </c>
      <c r="H446" t="s">
        <v>177</v>
      </c>
      <c r="I446" s="876">
        <v>44147</v>
      </c>
      <c r="J446">
        <v>5</v>
      </c>
      <c r="K446" t="s">
        <v>192</v>
      </c>
      <c r="L446">
        <v>87</v>
      </c>
      <c r="M446">
        <v>0.74888799608800305</v>
      </c>
      <c r="N446">
        <v>0</v>
      </c>
      <c r="O446">
        <v>0</v>
      </c>
      <c r="P446">
        <v>0.25111200391199701</v>
      </c>
      <c r="Q446">
        <v>0.79363873280095398</v>
      </c>
      <c r="R446">
        <v>0</v>
      </c>
      <c r="S446">
        <v>0</v>
      </c>
      <c r="T446">
        <v>5.9948963541385496E-3</v>
      </c>
      <c r="U446">
        <v>2.3740734681992601E-2</v>
      </c>
      <c r="V446">
        <v>-6.9329647705145395E-2</v>
      </c>
      <c r="W446">
        <v>-5.1567200439369002E-3</v>
      </c>
      <c r="X446">
        <v>0</v>
      </c>
      <c r="Y446" t="s">
        <v>177</v>
      </c>
      <c r="Z446" t="s">
        <v>177</v>
      </c>
      <c r="AA446" t="s">
        <v>177</v>
      </c>
      <c r="AB446" t="s">
        <v>177</v>
      </c>
      <c r="AC446" t="s">
        <v>177</v>
      </c>
      <c r="AD446" t="s">
        <v>177</v>
      </c>
      <c r="AE446" t="s">
        <v>177</v>
      </c>
      <c r="AF446" t="s">
        <v>177</v>
      </c>
      <c r="AG446" s="876">
        <v>44147</v>
      </c>
      <c r="AH446" s="871">
        <f t="shared" si="14"/>
        <v>44136</v>
      </c>
    </row>
    <row r="447" spans="1:34" hidden="1">
      <c r="A447">
        <v>6</v>
      </c>
      <c r="B447">
        <v>87</v>
      </c>
      <c r="C447" t="s">
        <v>192</v>
      </c>
      <c r="D447">
        <v>158</v>
      </c>
      <c r="E447">
        <v>586842.50440763903</v>
      </c>
      <c r="F447">
        <v>0</v>
      </c>
      <c r="G447" t="s">
        <v>177</v>
      </c>
      <c r="H447" t="s">
        <v>177</v>
      </c>
      <c r="I447" s="876">
        <v>44179</v>
      </c>
      <c r="J447">
        <v>6</v>
      </c>
      <c r="K447" t="s">
        <v>192</v>
      </c>
      <c r="L447">
        <v>87</v>
      </c>
      <c r="M447">
        <v>0.42686785254989501</v>
      </c>
      <c r="N447">
        <v>0</v>
      </c>
      <c r="O447">
        <v>0</v>
      </c>
      <c r="P447">
        <v>0.57313214745010499</v>
      </c>
      <c r="Q447">
        <v>1.1389981837360299</v>
      </c>
      <c r="R447">
        <v>0</v>
      </c>
      <c r="S447">
        <v>0</v>
      </c>
      <c r="T447">
        <v>1.44867425393912E-2</v>
      </c>
      <c r="U447">
        <v>3.7961632623660299E-2</v>
      </c>
      <c r="V447">
        <v>-0.76549191055487198</v>
      </c>
      <c r="W447">
        <v>9.1320420568220904E-4</v>
      </c>
      <c r="X447">
        <v>0</v>
      </c>
      <c r="Y447" t="s">
        <v>177</v>
      </c>
      <c r="Z447" t="s">
        <v>177</v>
      </c>
      <c r="AA447" t="s">
        <v>177</v>
      </c>
      <c r="AB447" t="s">
        <v>177</v>
      </c>
      <c r="AC447" t="s">
        <v>177</v>
      </c>
      <c r="AD447" t="s">
        <v>177</v>
      </c>
      <c r="AE447" t="s">
        <v>177</v>
      </c>
      <c r="AF447" t="s">
        <v>177</v>
      </c>
      <c r="AG447" s="876">
        <v>44179</v>
      </c>
      <c r="AH447" s="871">
        <f t="shared" si="14"/>
        <v>44166</v>
      </c>
    </row>
    <row r="448" spans="1:34" hidden="1">
      <c r="A448">
        <v>7</v>
      </c>
      <c r="B448">
        <v>87</v>
      </c>
      <c r="C448" t="s">
        <v>192</v>
      </c>
      <c r="D448">
        <v>158</v>
      </c>
      <c r="E448">
        <v>587212.19153050706</v>
      </c>
      <c r="F448">
        <v>0</v>
      </c>
      <c r="G448" t="s">
        <v>177</v>
      </c>
      <c r="H448" t="s">
        <v>177</v>
      </c>
      <c r="I448" s="876">
        <v>44193</v>
      </c>
      <c r="J448">
        <v>7</v>
      </c>
      <c r="K448" t="s">
        <v>192</v>
      </c>
      <c r="L448">
        <v>87</v>
      </c>
      <c r="M448">
        <v>0.42686785254989501</v>
      </c>
      <c r="N448">
        <v>0</v>
      </c>
      <c r="O448">
        <v>0</v>
      </c>
      <c r="P448">
        <v>0.57313214745010499</v>
      </c>
      <c r="Q448">
        <v>1.1389981837360299</v>
      </c>
      <c r="R448">
        <v>0</v>
      </c>
      <c r="S448">
        <v>0</v>
      </c>
      <c r="T448">
        <v>1.44867425393912E-2</v>
      </c>
      <c r="U448">
        <v>3.7961632623660299E-2</v>
      </c>
      <c r="V448">
        <v>-0.76549191055487198</v>
      </c>
      <c r="W448">
        <v>9.1320420568220904E-4</v>
      </c>
      <c r="X448">
        <v>0</v>
      </c>
      <c r="Y448" t="s">
        <v>177</v>
      </c>
      <c r="Z448" t="s">
        <v>177</v>
      </c>
      <c r="AA448" t="s">
        <v>177</v>
      </c>
      <c r="AB448" t="s">
        <v>177</v>
      </c>
      <c r="AC448" t="s">
        <v>177</v>
      </c>
      <c r="AD448" t="s">
        <v>177</v>
      </c>
      <c r="AE448" t="s">
        <v>177</v>
      </c>
      <c r="AF448" t="s">
        <v>177</v>
      </c>
      <c r="AG448" s="876">
        <v>44193</v>
      </c>
      <c r="AH448" s="871">
        <f t="shared" si="14"/>
        <v>44166</v>
      </c>
    </row>
    <row r="449" spans="1:34" hidden="1">
      <c r="A449">
        <v>8</v>
      </c>
      <c r="B449">
        <v>87</v>
      </c>
      <c r="C449" t="s">
        <v>192</v>
      </c>
      <c r="D449">
        <v>158</v>
      </c>
      <c r="E449">
        <v>0</v>
      </c>
      <c r="F449">
        <v>0</v>
      </c>
      <c r="G449" t="s">
        <v>177</v>
      </c>
      <c r="H449" t="s">
        <v>177</v>
      </c>
      <c r="I449" s="876">
        <v>44208</v>
      </c>
      <c r="J449">
        <v>8</v>
      </c>
      <c r="K449" t="s">
        <v>192</v>
      </c>
      <c r="L449">
        <v>87</v>
      </c>
      <c r="M449">
        <v>0.42686785254989501</v>
      </c>
      <c r="N449">
        <v>0</v>
      </c>
      <c r="O449">
        <v>0</v>
      </c>
      <c r="P449">
        <v>0.57313214745010499</v>
      </c>
      <c r="Q449">
        <v>1.1389981837360299</v>
      </c>
      <c r="R449">
        <v>0</v>
      </c>
      <c r="S449">
        <v>0</v>
      </c>
      <c r="T449">
        <v>1.44867425393912E-2</v>
      </c>
      <c r="U449">
        <v>3.7961632623660299E-2</v>
      </c>
      <c r="V449">
        <v>-0.76549191055487198</v>
      </c>
      <c r="W449">
        <v>9.1320420568220904E-4</v>
      </c>
      <c r="X449">
        <v>0</v>
      </c>
      <c r="Y449" t="s">
        <v>177</v>
      </c>
      <c r="Z449" t="s">
        <v>177</v>
      </c>
      <c r="AA449" t="s">
        <v>177</v>
      </c>
      <c r="AB449" t="s">
        <v>177</v>
      </c>
      <c r="AC449" t="s">
        <v>177</v>
      </c>
      <c r="AD449" t="s">
        <v>177</v>
      </c>
      <c r="AE449" t="s">
        <v>177</v>
      </c>
      <c r="AF449" t="s">
        <v>177</v>
      </c>
      <c r="AG449" s="876">
        <v>44208</v>
      </c>
      <c r="AH449" s="871">
        <f t="shared" si="14"/>
        <v>44197</v>
      </c>
    </row>
    <row r="450" spans="1:34" hidden="1">
      <c r="A450">
        <v>1</v>
      </c>
      <c r="B450">
        <v>382</v>
      </c>
      <c r="C450" t="s">
        <v>201</v>
      </c>
      <c r="D450">
        <v>160</v>
      </c>
      <c r="E450">
        <v>735757874.12087703</v>
      </c>
      <c r="F450">
        <v>149106927.69457901</v>
      </c>
      <c r="G450">
        <v>0</v>
      </c>
      <c r="H450">
        <v>0</v>
      </c>
      <c r="I450" s="876">
        <v>44043</v>
      </c>
      <c r="J450">
        <v>1</v>
      </c>
      <c r="K450" t="s">
        <v>201</v>
      </c>
      <c r="L450">
        <v>382</v>
      </c>
      <c r="M450">
        <v>5.74189421700134E-2</v>
      </c>
      <c r="N450">
        <v>0.63180757622938999</v>
      </c>
      <c r="O450">
        <v>0.21932245335890699</v>
      </c>
      <c r="P450">
        <v>9.1451028241690102E-2</v>
      </c>
      <c r="Q450">
        <v>6.4415123390655998E-2</v>
      </c>
      <c r="R450">
        <v>0</v>
      </c>
      <c r="S450">
        <v>0</v>
      </c>
      <c r="T450">
        <v>-1.27004451482821E-2</v>
      </c>
      <c r="U450">
        <v>1.33121451753779E-3</v>
      </c>
      <c r="V450">
        <v>4.4839839870467798E-3</v>
      </c>
      <c r="W450">
        <v>-1.1093457694516201E-4</v>
      </c>
      <c r="X450">
        <v>0</v>
      </c>
      <c r="Y450">
        <v>0.98671132299799102</v>
      </c>
      <c r="Z450">
        <v>0</v>
      </c>
      <c r="AA450">
        <v>-1.0362777508987101E-2</v>
      </c>
      <c r="AB450">
        <v>7.4327190959855793E-2</v>
      </c>
      <c r="AC450">
        <v>1.8294406982844801E-2</v>
      </c>
      <c r="AD450">
        <v>-0.25633913124661201</v>
      </c>
      <c r="AE450">
        <v>-0.18082343595570199</v>
      </c>
      <c r="AF450">
        <v>0</v>
      </c>
      <c r="AG450" s="876">
        <v>44043</v>
      </c>
      <c r="AH450" s="871">
        <f t="shared" si="14"/>
        <v>44013</v>
      </c>
    </row>
    <row r="451" spans="1:34" hidden="1">
      <c r="A451">
        <v>2</v>
      </c>
      <c r="B451">
        <v>382</v>
      </c>
      <c r="C451" t="s">
        <v>201</v>
      </c>
      <c r="D451">
        <v>160</v>
      </c>
      <c r="E451">
        <v>125540448.730114</v>
      </c>
      <c r="F451">
        <v>0</v>
      </c>
      <c r="G451" t="s">
        <v>177</v>
      </c>
      <c r="H451" t="s">
        <v>177</v>
      </c>
      <c r="I451" s="876">
        <v>44055</v>
      </c>
      <c r="J451">
        <v>2</v>
      </c>
      <c r="K451" t="s">
        <v>201</v>
      </c>
      <c r="L451">
        <v>382</v>
      </c>
      <c r="M451">
        <v>0.39560086502889402</v>
      </c>
      <c r="N451" t="s">
        <v>177</v>
      </c>
      <c r="O451">
        <v>0.20996818761181399</v>
      </c>
      <c r="P451">
        <v>0.39443094735929202</v>
      </c>
      <c r="Q451">
        <v>3.5661512730496003E-2</v>
      </c>
      <c r="R451">
        <v>0</v>
      </c>
      <c r="S451">
        <v>0</v>
      </c>
      <c r="T451">
        <v>0.33136075081229899</v>
      </c>
      <c r="U451">
        <v>1.6652019102241199E-2</v>
      </c>
      <c r="V451">
        <v>1.2465014061460399E-2</v>
      </c>
      <c r="W451">
        <v>-5.3843167760300595E-4</v>
      </c>
      <c r="X451">
        <v>0</v>
      </c>
      <c r="Y451" t="s">
        <v>177</v>
      </c>
      <c r="Z451" t="s">
        <v>177</v>
      </c>
      <c r="AA451" t="s">
        <v>177</v>
      </c>
      <c r="AB451" t="s">
        <v>177</v>
      </c>
      <c r="AC451" t="s">
        <v>177</v>
      </c>
      <c r="AD451" t="s">
        <v>177</v>
      </c>
      <c r="AE451" t="s">
        <v>177</v>
      </c>
      <c r="AF451" t="s">
        <v>177</v>
      </c>
      <c r="AG451" s="876">
        <v>44055</v>
      </c>
      <c r="AH451" s="871">
        <f t="shared" si="14"/>
        <v>44044</v>
      </c>
    </row>
    <row r="452" spans="1:34" hidden="1">
      <c r="A452">
        <v>3</v>
      </c>
      <c r="B452">
        <v>382</v>
      </c>
      <c r="C452" t="s">
        <v>201</v>
      </c>
      <c r="D452">
        <v>160</v>
      </c>
      <c r="E452">
        <v>117306803.410004</v>
      </c>
      <c r="F452">
        <v>0</v>
      </c>
      <c r="G452" t="s">
        <v>177</v>
      </c>
      <c r="H452" t="s">
        <v>177</v>
      </c>
      <c r="I452" s="876">
        <v>44088</v>
      </c>
      <c r="J452">
        <v>3</v>
      </c>
      <c r="K452" t="s">
        <v>201</v>
      </c>
      <c r="L452">
        <v>382</v>
      </c>
      <c r="M452">
        <v>0.53413390841248398</v>
      </c>
      <c r="N452" t="s">
        <v>177</v>
      </c>
      <c r="O452">
        <v>0.132746506124472</v>
      </c>
      <c r="P452">
        <v>0.33311958546304399</v>
      </c>
      <c r="Q452">
        <v>0.29685450796931401</v>
      </c>
      <c r="R452">
        <v>0</v>
      </c>
      <c r="S452">
        <v>0</v>
      </c>
      <c r="T452">
        <v>0.241853285602046</v>
      </c>
      <c r="U452">
        <v>2.5329460768582002E-2</v>
      </c>
      <c r="V452">
        <v>-3.0268625584351401E-2</v>
      </c>
      <c r="W452">
        <v>3.6527965689355998E-4</v>
      </c>
      <c r="X452">
        <v>0</v>
      </c>
      <c r="Y452" t="s">
        <v>177</v>
      </c>
      <c r="Z452" t="s">
        <v>177</v>
      </c>
      <c r="AA452" t="s">
        <v>177</v>
      </c>
      <c r="AB452" t="s">
        <v>177</v>
      </c>
      <c r="AC452" t="s">
        <v>177</v>
      </c>
      <c r="AD452" t="s">
        <v>177</v>
      </c>
      <c r="AE452" t="s">
        <v>177</v>
      </c>
      <c r="AF452" t="s">
        <v>177</v>
      </c>
      <c r="AG452" s="876">
        <v>44088</v>
      </c>
      <c r="AH452" s="871">
        <f t="shared" si="14"/>
        <v>44075</v>
      </c>
    </row>
    <row r="453" spans="1:34" hidden="1">
      <c r="A453">
        <v>4</v>
      </c>
      <c r="B453">
        <v>382</v>
      </c>
      <c r="C453" t="s">
        <v>201</v>
      </c>
      <c r="D453">
        <v>160</v>
      </c>
      <c r="E453">
        <v>91283073.576375306</v>
      </c>
      <c r="F453">
        <v>0</v>
      </c>
      <c r="G453" t="s">
        <v>177</v>
      </c>
      <c r="H453" t="s">
        <v>177</v>
      </c>
      <c r="I453" s="876">
        <v>44117</v>
      </c>
      <c r="J453">
        <v>4</v>
      </c>
      <c r="K453" t="s">
        <v>201</v>
      </c>
      <c r="L453">
        <v>382</v>
      </c>
      <c r="M453">
        <v>0.69466232950986795</v>
      </c>
      <c r="N453">
        <v>0</v>
      </c>
      <c r="O453">
        <v>9.7977723753416499E-2</v>
      </c>
      <c r="P453">
        <v>0.20735994673671601</v>
      </c>
      <c r="Q453">
        <v>0.387171368533477</v>
      </c>
      <c r="R453">
        <v>0</v>
      </c>
      <c r="S453">
        <v>0</v>
      </c>
      <c r="T453">
        <v>0.36668792957572999</v>
      </c>
      <c r="U453">
        <v>2.9843405669903698E-2</v>
      </c>
      <c r="V453">
        <v>-8.8493157306297601E-2</v>
      </c>
      <c r="W453">
        <v>-5.4721696294434698E-4</v>
      </c>
      <c r="X453">
        <v>0</v>
      </c>
      <c r="Y453" t="s">
        <v>177</v>
      </c>
      <c r="Z453" t="s">
        <v>177</v>
      </c>
      <c r="AA453" t="s">
        <v>177</v>
      </c>
      <c r="AB453" t="s">
        <v>177</v>
      </c>
      <c r="AC453" t="s">
        <v>177</v>
      </c>
      <c r="AD453" t="s">
        <v>177</v>
      </c>
      <c r="AE453" t="s">
        <v>177</v>
      </c>
      <c r="AF453" t="s">
        <v>177</v>
      </c>
      <c r="AG453" s="876">
        <v>44117</v>
      </c>
      <c r="AH453" s="871">
        <f t="shared" si="14"/>
        <v>44105</v>
      </c>
    </row>
    <row r="454" spans="1:34" hidden="1">
      <c r="A454">
        <v>5</v>
      </c>
      <c r="B454">
        <v>382</v>
      </c>
      <c r="C454" t="s">
        <v>201</v>
      </c>
      <c r="D454">
        <v>160</v>
      </c>
      <c r="E454">
        <v>54239433.777916603</v>
      </c>
      <c r="F454">
        <v>0</v>
      </c>
      <c r="G454" t="s">
        <v>177</v>
      </c>
      <c r="H454" t="s">
        <v>177</v>
      </c>
      <c r="I454" s="876">
        <v>44147</v>
      </c>
      <c r="J454">
        <v>5</v>
      </c>
      <c r="K454" t="s">
        <v>201</v>
      </c>
      <c r="L454">
        <v>382</v>
      </c>
      <c r="M454">
        <v>0.99003517980279898</v>
      </c>
      <c r="N454">
        <v>0</v>
      </c>
      <c r="O454">
        <v>4.7897921287702204E-3</v>
      </c>
      <c r="P454">
        <v>5.1750280684300402E-3</v>
      </c>
      <c r="Q454">
        <v>0.72003644712748704</v>
      </c>
      <c r="R454">
        <v>0</v>
      </c>
      <c r="S454">
        <v>0</v>
      </c>
      <c r="T454">
        <v>0.24088866713565399</v>
      </c>
      <c r="U454">
        <v>2.22528663675951E-2</v>
      </c>
      <c r="V454">
        <v>7.2781205404195597E-3</v>
      </c>
      <c r="W454">
        <v>-4.20921368355711E-4</v>
      </c>
      <c r="X454">
        <v>0</v>
      </c>
      <c r="Y454" t="s">
        <v>177</v>
      </c>
      <c r="Z454" t="s">
        <v>177</v>
      </c>
      <c r="AA454" t="s">
        <v>177</v>
      </c>
      <c r="AB454" t="s">
        <v>177</v>
      </c>
      <c r="AC454" t="s">
        <v>177</v>
      </c>
      <c r="AD454" t="s">
        <v>177</v>
      </c>
      <c r="AE454" t="s">
        <v>177</v>
      </c>
      <c r="AF454" t="s">
        <v>177</v>
      </c>
      <c r="AG454" s="876">
        <v>44147</v>
      </c>
      <c r="AH454" s="871">
        <f t="shared" si="14"/>
        <v>44136</v>
      </c>
    </row>
    <row r="455" spans="1:34" hidden="1">
      <c r="A455">
        <v>6</v>
      </c>
      <c r="B455">
        <v>382</v>
      </c>
      <c r="C455" t="s">
        <v>201</v>
      </c>
      <c r="D455">
        <v>160</v>
      </c>
      <c r="E455">
        <v>52808613.690133303</v>
      </c>
      <c r="F455">
        <v>0</v>
      </c>
      <c r="G455" t="s">
        <v>177</v>
      </c>
      <c r="H455" t="s">
        <v>177</v>
      </c>
      <c r="I455" s="876">
        <v>44179</v>
      </c>
      <c r="J455">
        <v>6</v>
      </c>
      <c r="K455" t="s">
        <v>201</v>
      </c>
      <c r="L455">
        <v>382</v>
      </c>
      <c r="M455">
        <v>0.97116334076762201</v>
      </c>
      <c r="N455">
        <v>0</v>
      </c>
      <c r="O455">
        <v>0</v>
      </c>
      <c r="P455">
        <v>2.88366592323776E-2</v>
      </c>
      <c r="Q455">
        <v>0.80417011260596805</v>
      </c>
      <c r="R455">
        <v>0</v>
      </c>
      <c r="S455">
        <v>0</v>
      </c>
      <c r="T455">
        <v>0.135143909615875</v>
      </c>
      <c r="U455">
        <v>1.0798929347919E-2</v>
      </c>
      <c r="V455">
        <v>2.1246117967989999E-2</v>
      </c>
      <c r="W455">
        <v>-1.9572877012936601E-4</v>
      </c>
      <c r="X455">
        <v>0</v>
      </c>
      <c r="Y455" t="s">
        <v>177</v>
      </c>
      <c r="Z455" t="s">
        <v>177</v>
      </c>
      <c r="AA455" t="s">
        <v>177</v>
      </c>
      <c r="AB455" t="s">
        <v>177</v>
      </c>
      <c r="AC455" t="s">
        <v>177</v>
      </c>
      <c r="AD455" t="s">
        <v>177</v>
      </c>
      <c r="AE455" t="s">
        <v>177</v>
      </c>
      <c r="AF455" t="s">
        <v>177</v>
      </c>
      <c r="AG455" s="876">
        <v>44179</v>
      </c>
      <c r="AH455" s="871">
        <f t="shared" si="14"/>
        <v>44166</v>
      </c>
    </row>
    <row r="456" spans="1:34" hidden="1">
      <c r="A456">
        <v>7</v>
      </c>
      <c r="B456">
        <v>382</v>
      </c>
      <c r="C456" t="s">
        <v>201</v>
      </c>
      <c r="D456">
        <v>160</v>
      </c>
      <c r="E456">
        <v>0</v>
      </c>
      <c r="F456">
        <v>0</v>
      </c>
      <c r="G456" t="s">
        <v>177</v>
      </c>
      <c r="H456" t="s">
        <v>177</v>
      </c>
      <c r="I456" s="876">
        <v>44193</v>
      </c>
      <c r="J456">
        <v>7</v>
      </c>
      <c r="K456" t="s">
        <v>201</v>
      </c>
      <c r="L456">
        <v>382</v>
      </c>
      <c r="M456" t="s">
        <v>177</v>
      </c>
      <c r="N456">
        <v>0</v>
      </c>
      <c r="O456" t="s">
        <v>177</v>
      </c>
      <c r="P456" t="s">
        <v>177</v>
      </c>
      <c r="Q456" t="s">
        <v>177</v>
      </c>
      <c r="R456" t="s">
        <v>177</v>
      </c>
      <c r="S456" t="s">
        <v>177</v>
      </c>
      <c r="T456" t="s">
        <v>177</v>
      </c>
      <c r="U456" t="s">
        <v>177</v>
      </c>
      <c r="V456" t="s">
        <v>177</v>
      </c>
      <c r="W456" t="s">
        <v>177</v>
      </c>
      <c r="X456" t="s">
        <v>177</v>
      </c>
      <c r="Y456" t="s">
        <v>177</v>
      </c>
      <c r="Z456" t="s">
        <v>177</v>
      </c>
      <c r="AA456" t="s">
        <v>177</v>
      </c>
      <c r="AB456" t="s">
        <v>177</v>
      </c>
      <c r="AC456" t="s">
        <v>177</v>
      </c>
      <c r="AD456" t="s">
        <v>177</v>
      </c>
      <c r="AE456" t="s">
        <v>177</v>
      </c>
      <c r="AF456" t="s">
        <v>177</v>
      </c>
      <c r="AG456" s="876">
        <v>44193</v>
      </c>
      <c r="AH456" s="871">
        <f t="shared" si="14"/>
        <v>44166</v>
      </c>
    </row>
    <row r="457" spans="1:34" hidden="1">
      <c r="A457">
        <v>8</v>
      </c>
      <c r="B457">
        <v>382</v>
      </c>
      <c r="C457" t="s">
        <v>201</v>
      </c>
      <c r="D457">
        <v>160</v>
      </c>
      <c r="E457">
        <v>0</v>
      </c>
      <c r="F457">
        <v>0</v>
      </c>
      <c r="G457" t="s">
        <v>177</v>
      </c>
      <c r="H457" t="s">
        <v>177</v>
      </c>
      <c r="I457" s="876">
        <v>44208</v>
      </c>
      <c r="J457">
        <v>8</v>
      </c>
      <c r="K457" t="s">
        <v>201</v>
      </c>
      <c r="L457">
        <v>382</v>
      </c>
      <c r="M457" t="s">
        <v>177</v>
      </c>
      <c r="N457">
        <v>0</v>
      </c>
      <c r="O457" t="s">
        <v>177</v>
      </c>
      <c r="P457" t="s">
        <v>177</v>
      </c>
      <c r="Q457" t="s">
        <v>177</v>
      </c>
      <c r="R457" t="s">
        <v>177</v>
      </c>
      <c r="S457" t="s">
        <v>177</v>
      </c>
      <c r="T457" t="s">
        <v>177</v>
      </c>
      <c r="U457" t="s">
        <v>177</v>
      </c>
      <c r="V457" t="s">
        <v>177</v>
      </c>
      <c r="W457" t="s">
        <v>177</v>
      </c>
      <c r="X457" t="s">
        <v>177</v>
      </c>
      <c r="Y457" t="s">
        <v>177</v>
      </c>
      <c r="Z457" t="s">
        <v>177</v>
      </c>
      <c r="AA457" t="s">
        <v>177</v>
      </c>
      <c r="AB457" t="s">
        <v>177</v>
      </c>
      <c r="AC457" t="s">
        <v>177</v>
      </c>
      <c r="AD457" t="s">
        <v>177</v>
      </c>
      <c r="AE457" t="s">
        <v>177</v>
      </c>
      <c r="AF457" t="s">
        <v>177</v>
      </c>
      <c r="AG457" s="876">
        <v>44208</v>
      </c>
      <c r="AH457" s="871">
        <f t="shared" si="14"/>
        <v>44197</v>
      </c>
    </row>
    <row r="458" spans="1:34" hidden="1">
      <c r="A458">
        <v>1</v>
      </c>
      <c r="B458">
        <v>401</v>
      </c>
      <c r="C458" t="s">
        <v>209</v>
      </c>
      <c r="D458">
        <v>161</v>
      </c>
      <c r="E458">
        <v>774806.99046985002</v>
      </c>
      <c r="F458">
        <v>0</v>
      </c>
      <c r="G458">
        <v>0</v>
      </c>
      <c r="H458">
        <v>0</v>
      </c>
      <c r="I458" s="876">
        <v>44043</v>
      </c>
      <c r="J458">
        <v>1</v>
      </c>
      <c r="K458" t="s">
        <v>209</v>
      </c>
      <c r="L458">
        <v>401</v>
      </c>
      <c r="M458">
        <v>0.17611290980035901</v>
      </c>
      <c r="N458">
        <v>0.51220161660288099</v>
      </c>
      <c r="O458">
        <v>0</v>
      </c>
      <c r="P458">
        <v>0.31168547359676002</v>
      </c>
      <c r="Q458">
        <v>-4.9447684685025696E-3</v>
      </c>
      <c r="R458">
        <v>0</v>
      </c>
      <c r="S458">
        <v>-4.0110650036578998E-3</v>
      </c>
      <c r="T458">
        <v>1.5139983337622001E-2</v>
      </c>
      <c r="U458">
        <v>2.34080581113567E-3</v>
      </c>
      <c r="V458">
        <v>4.5005221834489302E-2</v>
      </c>
      <c r="W458">
        <v>0.122582732289272</v>
      </c>
      <c r="X458">
        <v>0</v>
      </c>
      <c r="Y458">
        <v>0.81896221986371098</v>
      </c>
      <c r="Z458">
        <v>0</v>
      </c>
      <c r="AA458">
        <v>-2.7577233793146701E-2</v>
      </c>
      <c r="AB458">
        <v>2.1955166593390401E-2</v>
      </c>
      <c r="AC458">
        <v>3.0009877068906898E-2</v>
      </c>
      <c r="AD458">
        <v>-0.57182259927521295</v>
      </c>
      <c r="AE458">
        <v>0.24067418614523201</v>
      </c>
      <c r="AF458">
        <v>0</v>
      </c>
      <c r="AG458" s="876">
        <v>44043</v>
      </c>
      <c r="AH458" s="871">
        <f t="shared" si="14"/>
        <v>44013</v>
      </c>
    </row>
    <row r="459" spans="1:34" hidden="1">
      <c r="A459">
        <v>2</v>
      </c>
      <c r="B459">
        <v>401</v>
      </c>
      <c r="C459" t="s">
        <v>209</v>
      </c>
      <c r="D459">
        <v>161</v>
      </c>
      <c r="E459">
        <v>0</v>
      </c>
      <c r="F459">
        <v>0</v>
      </c>
      <c r="G459" t="s">
        <v>177</v>
      </c>
      <c r="H459" t="s">
        <v>177</v>
      </c>
      <c r="I459" s="876">
        <v>44055</v>
      </c>
      <c r="J459">
        <v>2</v>
      </c>
      <c r="K459" t="s">
        <v>209</v>
      </c>
      <c r="L459">
        <v>401</v>
      </c>
      <c r="M459">
        <v>1</v>
      </c>
      <c r="N459" t="s">
        <v>177</v>
      </c>
      <c r="O459">
        <v>0</v>
      </c>
      <c r="P459">
        <v>0</v>
      </c>
      <c r="Q459">
        <v>1.1052552419252599</v>
      </c>
      <c r="R459">
        <v>0</v>
      </c>
      <c r="S459">
        <v>0</v>
      </c>
      <c r="T459">
        <v>1.95652942978695E-2</v>
      </c>
      <c r="U459">
        <v>2.0653695851076501E-2</v>
      </c>
      <c r="V459">
        <v>-0.33467126579529199</v>
      </c>
      <c r="W459">
        <v>0.18919703372108199</v>
      </c>
      <c r="X459">
        <v>0</v>
      </c>
      <c r="Y459" t="s">
        <v>177</v>
      </c>
      <c r="Z459" t="s">
        <v>177</v>
      </c>
      <c r="AA459" t="s">
        <v>177</v>
      </c>
      <c r="AB459" t="s">
        <v>177</v>
      </c>
      <c r="AC459" t="s">
        <v>177</v>
      </c>
      <c r="AD459" t="s">
        <v>177</v>
      </c>
      <c r="AE459" t="s">
        <v>177</v>
      </c>
      <c r="AF459" t="s">
        <v>177</v>
      </c>
      <c r="AG459" s="876">
        <v>44055</v>
      </c>
      <c r="AH459" s="871">
        <f t="shared" si="14"/>
        <v>44044</v>
      </c>
    </row>
    <row r="460" spans="1:34" hidden="1">
      <c r="A460">
        <v>3</v>
      </c>
      <c r="B460">
        <v>401</v>
      </c>
      <c r="C460" t="s">
        <v>209</v>
      </c>
      <c r="D460">
        <v>161</v>
      </c>
      <c r="E460">
        <v>0</v>
      </c>
      <c r="F460">
        <v>0</v>
      </c>
      <c r="G460" t="s">
        <v>177</v>
      </c>
      <c r="H460" t="s">
        <v>177</v>
      </c>
      <c r="I460" s="876">
        <v>44088</v>
      </c>
      <c r="J460">
        <v>3</v>
      </c>
      <c r="K460" t="s">
        <v>209</v>
      </c>
      <c r="L460">
        <v>401</v>
      </c>
      <c r="M460">
        <v>1</v>
      </c>
      <c r="N460" t="s">
        <v>177</v>
      </c>
      <c r="O460">
        <v>0</v>
      </c>
      <c r="P460">
        <v>0</v>
      </c>
      <c r="Q460">
        <v>1.1501939445442499</v>
      </c>
      <c r="R460">
        <v>0</v>
      </c>
      <c r="S460">
        <v>0</v>
      </c>
      <c r="T460">
        <v>3.28684927046363E-2</v>
      </c>
      <c r="U460">
        <v>3.0324264754660699E-2</v>
      </c>
      <c r="V460">
        <v>-0.14741777672536099</v>
      </c>
      <c r="W460">
        <v>-6.5968925278188706E-2</v>
      </c>
      <c r="X460">
        <v>0</v>
      </c>
      <c r="Y460" t="s">
        <v>177</v>
      </c>
      <c r="Z460" t="s">
        <v>177</v>
      </c>
      <c r="AA460" t="s">
        <v>177</v>
      </c>
      <c r="AB460" t="s">
        <v>177</v>
      </c>
      <c r="AC460" t="s">
        <v>177</v>
      </c>
      <c r="AD460" t="s">
        <v>177</v>
      </c>
      <c r="AE460" t="s">
        <v>177</v>
      </c>
      <c r="AF460" t="s">
        <v>177</v>
      </c>
      <c r="AG460" s="876">
        <v>44088</v>
      </c>
      <c r="AH460" s="871">
        <f t="shared" si="14"/>
        <v>44075</v>
      </c>
    </row>
    <row r="461" spans="1:34" hidden="1">
      <c r="A461">
        <v>4</v>
      </c>
      <c r="B461">
        <v>401</v>
      </c>
      <c r="C461" t="s">
        <v>209</v>
      </c>
      <c r="D461">
        <v>161</v>
      </c>
      <c r="E461">
        <v>0</v>
      </c>
      <c r="F461">
        <v>0</v>
      </c>
      <c r="G461" t="s">
        <v>177</v>
      </c>
      <c r="H461" t="s">
        <v>177</v>
      </c>
      <c r="I461" s="876">
        <v>44117</v>
      </c>
      <c r="J461">
        <v>4</v>
      </c>
      <c r="K461" t="s">
        <v>209</v>
      </c>
      <c r="L461">
        <v>401</v>
      </c>
      <c r="M461">
        <v>1</v>
      </c>
      <c r="N461">
        <v>0</v>
      </c>
      <c r="O461">
        <v>0</v>
      </c>
      <c r="P461">
        <v>0</v>
      </c>
      <c r="Q461">
        <v>1.0282662026624401</v>
      </c>
      <c r="R461">
        <v>0</v>
      </c>
      <c r="S461">
        <v>0</v>
      </c>
      <c r="T461">
        <v>1.8995487430909001E-2</v>
      </c>
      <c r="U461">
        <v>4.3875402469731102E-2</v>
      </c>
      <c r="V461">
        <v>-9.1242057077853295E-2</v>
      </c>
      <c r="W461">
        <v>1.04964514772511E-4</v>
      </c>
      <c r="X461">
        <v>0</v>
      </c>
      <c r="Y461" t="s">
        <v>177</v>
      </c>
      <c r="Z461" t="s">
        <v>177</v>
      </c>
      <c r="AA461" t="s">
        <v>177</v>
      </c>
      <c r="AB461" t="s">
        <v>177</v>
      </c>
      <c r="AC461" t="s">
        <v>177</v>
      </c>
      <c r="AD461" t="s">
        <v>177</v>
      </c>
      <c r="AE461" t="s">
        <v>177</v>
      </c>
      <c r="AF461" t="s">
        <v>177</v>
      </c>
      <c r="AG461" s="876">
        <v>44117</v>
      </c>
      <c r="AH461" s="871">
        <f t="shared" si="14"/>
        <v>44105</v>
      </c>
    </row>
    <row r="462" spans="1:34" hidden="1">
      <c r="A462">
        <v>5</v>
      </c>
      <c r="B462">
        <v>401</v>
      </c>
      <c r="C462" t="s">
        <v>209</v>
      </c>
      <c r="D462">
        <v>161</v>
      </c>
      <c r="E462">
        <v>0</v>
      </c>
      <c r="F462">
        <v>0</v>
      </c>
      <c r="G462" t="s">
        <v>177</v>
      </c>
      <c r="H462" t="s">
        <v>177</v>
      </c>
      <c r="I462" s="876">
        <v>44147</v>
      </c>
      <c r="J462">
        <v>5</v>
      </c>
      <c r="K462" t="s">
        <v>209</v>
      </c>
      <c r="L462">
        <v>401</v>
      </c>
      <c r="M462">
        <v>1</v>
      </c>
      <c r="N462">
        <v>0</v>
      </c>
      <c r="O462">
        <v>0</v>
      </c>
      <c r="P462">
        <v>0</v>
      </c>
      <c r="Q462">
        <v>1.07703909972406</v>
      </c>
      <c r="R462">
        <v>0</v>
      </c>
      <c r="S462">
        <v>0</v>
      </c>
      <c r="T462">
        <v>2.20107994990206E-2</v>
      </c>
      <c r="U462">
        <v>4.6670019689314501E-2</v>
      </c>
      <c r="V462">
        <v>-0.14584568389159899</v>
      </c>
      <c r="W462">
        <v>1.25764979207644E-4</v>
      </c>
      <c r="X462">
        <v>0</v>
      </c>
      <c r="Y462" t="s">
        <v>177</v>
      </c>
      <c r="Z462" t="s">
        <v>177</v>
      </c>
      <c r="AA462" t="s">
        <v>177</v>
      </c>
      <c r="AB462" t="s">
        <v>177</v>
      </c>
      <c r="AC462" t="s">
        <v>177</v>
      </c>
      <c r="AD462" t="s">
        <v>177</v>
      </c>
      <c r="AE462" t="s">
        <v>177</v>
      </c>
      <c r="AF462" t="s">
        <v>177</v>
      </c>
      <c r="AG462" s="876">
        <v>44147</v>
      </c>
      <c r="AH462" s="871">
        <f t="shared" si="14"/>
        <v>44136</v>
      </c>
    </row>
    <row r="463" spans="1:34" hidden="1">
      <c r="A463">
        <v>6</v>
      </c>
      <c r="B463">
        <v>401</v>
      </c>
      <c r="C463" t="s">
        <v>209</v>
      </c>
      <c r="D463">
        <v>161</v>
      </c>
      <c r="E463">
        <v>0</v>
      </c>
      <c r="F463">
        <v>0</v>
      </c>
      <c r="G463" t="s">
        <v>177</v>
      </c>
      <c r="H463" t="s">
        <v>177</v>
      </c>
      <c r="I463" s="876">
        <v>44179</v>
      </c>
      <c r="J463">
        <v>6</v>
      </c>
      <c r="K463" t="s">
        <v>209</v>
      </c>
      <c r="L463">
        <v>401</v>
      </c>
      <c r="M463">
        <v>0.99691743374119002</v>
      </c>
      <c r="N463">
        <v>0</v>
      </c>
      <c r="O463">
        <v>0</v>
      </c>
      <c r="P463">
        <v>3.08256625881069E-3</v>
      </c>
      <c r="Q463">
        <v>1.0370494230123799</v>
      </c>
      <c r="R463">
        <v>0</v>
      </c>
      <c r="S463">
        <v>0</v>
      </c>
      <c r="T463">
        <v>7.1557038520963095E-2</v>
      </c>
      <c r="U463">
        <v>0.15043441395616999</v>
      </c>
      <c r="V463">
        <v>-0.26251832652418999</v>
      </c>
      <c r="W463">
        <v>3.9488477586259202E-4</v>
      </c>
      <c r="X463">
        <v>0</v>
      </c>
      <c r="Y463" t="s">
        <v>177</v>
      </c>
      <c r="Z463" t="s">
        <v>177</v>
      </c>
      <c r="AA463" t="s">
        <v>177</v>
      </c>
      <c r="AB463" t="s">
        <v>177</v>
      </c>
      <c r="AC463" t="s">
        <v>177</v>
      </c>
      <c r="AD463" t="s">
        <v>177</v>
      </c>
      <c r="AE463" t="s">
        <v>177</v>
      </c>
      <c r="AF463" t="s">
        <v>177</v>
      </c>
      <c r="AG463" s="876">
        <v>44179</v>
      </c>
      <c r="AH463" s="871">
        <f t="shared" si="14"/>
        <v>44166</v>
      </c>
    </row>
    <row r="464" spans="1:34" hidden="1">
      <c r="A464">
        <v>7</v>
      </c>
      <c r="B464">
        <v>401</v>
      </c>
      <c r="C464" t="s">
        <v>209</v>
      </c>
      <c r="D464">
        <v>161</v>
      </c>
      <c r="E464">
        <v>0</v>
      </c>
      <c r="F464">
        <v>0</v>
      </c>
      <c r="G464" t="s">
        <v>177</v>
      </c>
      <c r="H464" t="s">
        <v>177</v>
      </c>
      <c r="I464" s="876">
        <v>44193</v>
      </c>
      <c r="J464">
        <v>7</v>
      </c>
      <c r="K464" t="s">
        <v>209</v>
      </c>
      <c r="L464">
        <v>401</v>
      </c>
      <c r="M464">
        <v>1</v>
      </c>
      <c r="N464">
        <v>0</v>
      </c>
      <c r="O464">
        <v>0</v>
      </c>
      <c r="P464">
        <v>0</v>
      </c>
      <c r="Q464">
        <v>0.78455910625380099</v>
      </c>
      <c r="R464">
        <v>0</v>
      </c>
      <c r="S464">
        <v>0</v>
      </c>
      <c r="T464">
        <v>9.7254358565804205E-3</v>
      </c>
      <c r="U464">
        <v>2.0619909664488099E-2</v>
      </c>
      <c r="V464">
        <v>0.185035158650704</v>
      </c>
      <c r="W464">
        <v>6.0389574426303399E-5</v>
      </c>
      <c r="X464">
        <v>0</v>
      </c>
      <c r="Y464" t="s">
        <v>177</v>
      </c>
      <c r="Z464" t="s">
        <v>177</v>
      </c>
      <c r="AA464" t="s">
        <v>177</v>
      </c>
      <c r="AB464" t="s">
        <v>177</v>
      </c>
      <c r="AC464" t="s">
        <v>177</v>
      </c>
      <c r="AD464" t="s">
        <v>177</v>
      </c>
      <c r="AE464" t="s">
        <v>177</v>
      </c>
      <c r="AF464" t="s">
        <v>177</v>
      </c>
      <c r="AG464" s="876">
        <v>44193</v>
      </c>
      <c r="AH464" s="871">
        <f t="shared" si="14"/>
        <v>44166</v>
      </c>
    </row>
    <row r="465" spans="1:34" hidden="1">
      <c r="A465">
        <v>8</v>
      </c>
      <c r="B465">
        <v>401</v>
      </c>
      <c r="C465" t="s">
        <v>209</v>
      </c>
      <c r="D465">
        <v>161</v>
      </c>
      <c r="E465">
        <v>0</v>
      </c>
      <c r="F465">
        <v>0</v>
      </c>
      <c r="G465" t="s">
        <v>177</v>
      </c>
      <c r="H465" t="s">
        <v>177</v>
      </c>
      <c r="I465" s="876">
        <v>44208</v>
      </c>
      <c r="J465">
        <v>8</v>
      </c>
      <c r="K465" t="s">
        <v>209</v>
      </c>
      <c r="L465">
        <v>401</v>
      </c>
      <c r="M465">
        <v>1</v>
      </c>
      <c r="N465">
        <v>0</v>
      </c>
      <c r="O465">
        <v>0</v>
      </c>
      <c r="P465">
        <v>0</v>
      </c>
      <c r="Q465">
        <v>0.78455910625380099</v>
      </c>
      <c r="R465">
        <v>0</v>
      </c>
      <c r="S465">
        <v>0</v>
      </c>
      <c r="T465">
        <v>9.7254358565804205E-3</v>
      </c>
      <c r="U465">
        <v>2.0619909664488099E-2</v>
      </c>
      <c r="V465">
        <v>0.185035158650704</v>
      </c>
      <c r="W465">
        <v>6.0389574426303399E-5</v>
      </c>
      <c r="X465">
        <v>0</v>
      </c>
      <c r="Y465" t="s">
        <v>177</v>
      </c>
      <c r="Z465" t="s">
        <v>177</v>
      </c>
      <c r="AA465" t="s">
        <v>177</v>
      </c>
      <c r="AB465" t="s">
        <v>177</v>
      </c>
      <c r="AC465" t="s">
        <v>177</v>
      </c>
      <c r="AD465" t="s">
        <v>177</v>
      </c>
      <c r="AE465" t="s">
        <v>177</v>
      </c>
      <c r="AF465" t="s">
        <v>177</v>
      </c>
      <c r="AG465" s="876">
        <v>44208</v>
      </c>
      <c r="AH465" s="871">
        <f t="shared" si="14"/>
        <v>44197</v>
      </c>
    </row>
    <row r="466" spans="1:34" hidden="1">
      <c r="A466">
        <v>1</v>
      </c>
      <c r="B466">
        <v>1000042</v>
      </c>
      <c r="C466" t="s">
        <v>244</v>
      </c>
      <c r="D466">
        <v>167</v>
      </c>
      <c r="E466">
        <v>81524285.711015806</v>
      </c>
      <c r="F466">
        <v>0</v>
      </c>
      <c r="G466">
        <v>15083437</v>
      </c>
      <c r="H466">
        <v>0</v>
      </c>
      <c r="I466" s="876">
        <v>44043</v>
      </c>
      <c r="J466">
        <v>1</v>
      </c>
      <c r="K466" t="s">
        <v>245</v>
      </c>
      <c r="L466">
        <v>1000042</v>
      </c>
      <c r="M466">
        <v>0.109326278965189</v>
      </c>
      <c r="N466">
        <v>0.73293327047415602</v>
      </c>
      <c r="O466">
        <v>0.10198958965157701</v>
      </c>
      <c r="P466">
        <v>5.5750860909077597E-2</v>
      </c>
      <c r="Q466">
        <v>-2.3662702376428899E-2</v>
      </c>
      <c r="R466">
        <v>0.113205075220026</v>
      </c>
      <c r="S466">
        <v>-2.8225366220622499E-3</v>
      </c>
      <c r="T466">
        <v>9.0481631442365304E-4</v>
      </c>
      <c r="U466">
        <v>1.8250390045902599E-3</v>
      </c>
      <c r="V466">
        <v>1.38445626496378E-2</v>
      </c>
      <c r="W466">
        <v>6.03202477500271E-3</v>
      </c>
      <c r="X466">
        <v>0</v>
      </c>
      <c r="Y466">
        <v>-0.27071127389704103</v>
      </c>
      <c r="Z466">
        <v>1.12568204246788</v>
      </c>
      <c r="AA466">
        <v>-2.2276505552554601E-2</v>
      </c>
      <c r="AB466">
        <v>0.15448751308115699</v>
      </c>
      <c r="AC466">
        <v>3.1089157763061499E-2</v>
      </c>
      <c r="AD466">
        <v>-0.41760950737318903</v>
      </c>
      <c r="AE466">
        <v>0.13227184398484701</v>
      </c>
      <c r="AF466">
        <v>0</v>
      </c>
      <c r="AG466" s="876">
        <v>44043</v>
      </c>
    </row>
    <row r="467" spans="1:34" hidden="1">
      <c r="A467">
        <v>2</v>
      </c>
      <c r="B467">
        <v>1000042</v>
      </c>
      <c r="C467" t="s">
        <v>244</v>
      </c>
      <c r="D467">
        <v>167</v>
      </c>
      <c r="E467">
        <v>47462583.271848202</v>
      </c>
      <c r="F467">
        <v>0</v>
      </c>
      <c r="G467" t="s">
        <v>177</v>
      </c>
      <c r="H467" t="s">
        <v>177</v>
      </c>
      <c r="I467" s="876">
        <v>44055</v>
      </c>
      <c r="J467">
        <v>2</v>
      </c>
      <c r="K467" t="s">
        <v>245</v>
      </c>
      <c r="L467">
        <v>1000042</v>
      </c>
      <c r="M467">
        <v>7.8970773247570195E-2</v>
      </c>
      <c r="N467" t="s">
        <v>177</v>
      </c>
      <c r="O467">
        <v>0.60732641490454198</v>
      </c>
      <c r="P467">
        <v>0.31370281184788801</v>
      </c>
      <c r="Q467">
        <v>-3.0598382974385099</v>
      </c>
      <c r="R467">
        <v>1.89990368382317</v>
      </c>
      <c r="S467">
        <v>0</v>
      </c>
      <c r="T467">
        <v>1.2606343625404199</v>
      </c>
      <c r="U467">
        <v>0.113617666353135</v>
      </c>
      <c r="V467">
        <v>-0.13479842191440899</v>
      </c>
      <c r="W467">
        <v>-5.4822011623560901E-4</v>
      </c>
      <c r="X467">
        <v>0</v>
      </c>
      <c r="Y467" t="s">
        <v>177</v>
      </c>
      <c r="Z467" t="s">
        <v>177</v>
      </c>
      <c r="AA467" t="s">
        <v>177</v>
      </c>
      <c r="AB467" t="s">
        <v>177</v>
      </c>
      <c r="AC467" t="s">
        <v>177</v>
      </c>
      <c r="AD467" t="s">
        <v>177</v>
      </c>
      <c r="AE467" t="s">
        <v>177</v>
      </c>
      <c r="AF467" t="s">
        <v>177</v>
      </c>
      <c r="AG467" s="876">
        <v>44055</v>
      </c>
    </row>
    <row r="468" spans="1:34" hidden="1">
      <c r="A468">
        <v>3</v>
      </c>
      <c r="B468">
        <v>1000042</v>
      </c>
      <c r="C468" t="s">
        <v>244</v>
      </c>
      <c r="D468">
        <v>167</v>
      </c>
      <c r="E468">
        <v>43654504.444983803</v>
      </c>
      <c r="F468">
        <v>0</v>
      </c>
      <c r="G468" t="s">
        <v>177</v>
      </c>
      <c r="H468" t="s">
        <v>177</v>
      </c>
      <c r="I468" s="876">
        <v>44088</v>
      </c>
      <c r="J468">
        <v>3</v>
      </c>
      <c r="K468" t="s">
        <v>245</v>
      </c>
      <c r="L468">
        <v>1000042</v>
      </c>
      <c r="M468">
        <v>0.407898640665673</v>
      </c>
      <c r="N468" t="s">
        <v>177</v>
      </c>
      <c r="O468">
        <v>0.138378433611895</v>
      </c>
      <c r="P468">
        <v>0.453722925722432</v>
      </c>
      <c r="Q468">
        <v>-0.81300673887619701</v>
      </c>
      <c r="R468">
        <v>0.88337991549564499</v>
      </c>
      <c r="S468">
        <v>1.7125763745277201E-11</v>
      </c>
      <c r="T468">
        <v>0.33866078943365602</v>
      </c>
      <c r="U468">
        <v>5.7547005145652801E-2</v>
      </c>
      <c r="V468">
        <v>-5.8546661866844998E-2</v>
      </c>
      <c r="W468">
        <v>-1.35668683365871E-4</v>
      </c>
      <c r="X468">
        <v>0</v>
      </c>
      <c r="Y468" t="s">
        <v>177</v>
      </c>
      <c r="Z468" t="s">
        <v>177</v>
      </c>
      <c r="AA468" t="s">
        <v>177</v>
      </c>
      <c r="AB468" t="s">
        <v>177</v>
      </c>
      <c r="AC468" t="s">
        <v>177</v>
      </c>
      <c r="AD468" t="s">
        <v>177</v>
      </c>
      <c r="AE468" t="s">
        <v>177</v>
      </c>
      <c r="AF468" t="s">
        <v>177</v>
      </c>
      <c r="AG468" s="876">
        <v>44088</v>
      </c>
    </row>
    <row r="469" spans="1:34" hidden="1">
      <c r="A469">
        <v>4</v>
      </c>
      <c r="B469">
        <v>1000042</v>
      </c>
      <c r="C469" t="s">
        <v>244</v>
      </c>
      <c r="D469">
        <v>167</v>
      </c>
      <c r="E469">
        <v>38005938.800682202</v>
      </c>
      <c r="F469">
        <v>0</v>
      </c>
      <c r="G469" t="s">
        <v>177</v>
      </c>
      <c r="H469" t="s">
        <v>177</v>
      </c>
      <c r="I469" s="876">
        <v>44117</v>
      </c>
      <c r="J469">
        <v>4</v>
      </c>
      <c r="K469" t="s">
        <v>245</v>
      </c>
      <c r="L469">
        <v>1000042</v>
      </c>
      <c r="M469">
        <v>0.59470870278780597</v>
      </c>
      <c r="N469">
        <v>0</v>
      </c>
      <c r="O469">
        <v>0.188177234361801</v>
      </c>
      <c r="P469">
        <v>0.217114062850393</v>
      </c>
      <c r="Q469">
        <v>-0.92525341179968001</v>
      </c>
      <c r="R469">
        <v>1.0842173647483999</v>
      </c>
      <c r="S469">
        <v>2.8731704981253801E-5</v>
      </c>
      <c r="T469">
        <v>0.45483429119586999</v>
      </c>
      <c r="U469">
        <v>5.6979835104035099E-2</v>
      </c>
      <c r="V469">
        <v>-7.5717090498745504E-2</v>
      </c>
      <c r="W469">
        <v>-3.8101766705688801E-4</v>
      </c>
      <c r="X469">
        <v>0</v>
      </c>
      <c r="Y469" t="s">
        <v>177</v>
      </c>
      <c r="Z469" t="s">
        <v>177</v>
      </c>
      <c r="AA469" t="s">
        <v>177</v>
      </c>
      <c r="AB469" t="s">
        <v>177</v>
      </c>
      <c r="AC469" t="s">
        <v>177</v>
      </c>
      <c r="AD469" t="s">
        <v>177</v>
      </c>
      <c r="AE469" t="s">
        <v>177</v>
      </c>
      <c r="AF469" t="s">
        <v>177</v>
      </c>
      <c r="AG469" s="876">
        <v>44117</v>
      </c>
    </row>
    <row r="470" spans="1:34" hidden="1">
      <c r="A470">
        <v>5</v>
      </c>
      <c r="B470">
        <v>1000042</v>
      </c>
      <c r="C470" t="s">
        <v>244</v>
      </c>
      <c r="D470">
        <v>167</v>
      </c>
      <c r="E470">
        <v>15686848.771469999</v>
      </c>
      <c r="F470">
        <v>0</v>
      </c>
      <c r="G470" t="s">
        <v>177</v>
      </c>
      <c r="H470" t="s">
        <v>177</v>
      </c>
      <c r="I470" s="876">
        <v>44147</v>
      </c>
      <c r="J470">
        <v>5</v>
      </c>
      <c r="K470" t="s">
        <v>245</v>
      </c>
      <c r="L470">
        <v>1000042</v>
      </c>
      <c r="M470">
        <v>0.92670959736231895</v>
      </c>
      <c r="N470">
        <v>0</v>
      </c>
      <c r="O470">
        <v>0</v>
      </c>
      <c r="P470">
        <v>7.3290402637681704E-2</v>
      </c>
      <c r="Q470">
        <v>0.103660812835406</v>
      </c>
      <c r="R470">
        <v>0.54938476125132396</v>
      </c>
      <c r="S470">
        <v>-2.5531557595426801E-5</v>
      </c>
      <c r="T470">
        <v>0.182023558764109</v>
      </c>
      <c r="U470">
        <v>2.2232140457099401E-2</v>
      </c>
      <c r="V470">
        <v>6.9534375248792094E-2</v>
      </c>
      <c r="W470">
        <v>-1.00519636816303E-4</v>
      </c>
      <c r="X470">
        <v>0</v>
      </c>
      <c r="Y470" t="s">
        <v>177</v>
      </c>
      <c r="Z470" t="s">
        <v>177</v>
      </c>
      <c r="AA470" t="s">
        <v>177</v>
      </c>
      <c r="AB470" t="s">
        <v>177</v>
      </c>
      <c r="AC470" t="s">
        <v>177</v>
      </c>
      <c r="AD470" t="s">
        <v>177</v>
      </c>
      <c r="AE470" t="s">
        <v>177</v>
      </c>
      <c r="AF470" t="s">
        <v>177</v>
      </c>
      <c r="AG470" s="876">
        <v>44147</v>
      </c>
    </row>
    <row r="471" spans="1:34" hidden="1">
      <c r="A471">
        <v>6</v>
      </c>
      <c r="B471">
        <v>1000042</v>
      </c>
      <c r="C471" t="s">
        <v>244</v>
      </c>
      <c r="D471">
        <v>167</v>
      </c>
      <c r="E471">
        <v>0</v>
      </c>
      <c r="F471">
        <v>0</v>
      </c>
      <c r="G471" t="s">
        <v>177</v>
      </c>
      <c r="H471" t="s">
        <v>177</v>
      </c>
      <c r="I471" s="876">
        <v>44179</v>
      </c>
      <c r="J471">
        <v>6</v>
      </c>
      <c r="K471" t="s">
        <v>245</v>
      </c>
      <c r="L471">
        <v>1000042</v>
      </c>
      <c r="M471" t="s">
        <v>177</v>
      </c>
      <c r="N471">
        <v>0</v>
      </c>
      <c r="O471" t="s">
        <v>177</v>
      </c>
      <c r="P471" t="s">
        <v>177</v>
      </c>
      <c r="Q471" t="s">
        <v>177</v>
      </c>
      <c r="R471" t="s">
        <v>177</v>
      </c>
      <c r="S471" t="s">
        <v>177</v>
      </c>
      <c r="T471" t="s">
        <v>177</v>
      </c>
      <c r="U471" t="s">
        <v>177</v>
      </c>
      <c r="V471" t="s">
        <v>177</v>
      </c>
      <c r="W471" t="s">
        <v>177</v>
      </c>
      <c r="X471" t="s">
        <v>177</v>
      </c>
      <c r="Y471" t="s">
        <v>177</v>
      </c>
      <c r="Z471" t="s">
        <v>177</v>
      </c>
      <c r="AA471" t="s">
        <v>177</v>
      </c>
      <c r="AB471" t="s">
        <v>177</v>
      </c>
      <c r="AC471" t="s">
        <v>177</v>
      </c>
      <c r="AD471" t="s">
        <v>177</v>
      </c>
      <c r="AE471" t="s">
        <v>177</v>
      </c>
      <c r="AF471" t="s">
        <v>177</v>
      </c>
      <c r="AG471" s="876">
        <v>44179</v>
      </c>
    </row>
    <row r="472" spans="1:34" hidden="1">
      <c r="A472">
        <v>7</v>
      </c>
      <c r="B472">
        <v>1000042</v>
      </c>
      <c r="C472" t="s">
        <v>244</v>
      </c>
      <c r="D472">
        <v>167</v>
      </c>
      <c r="E472">
        <v>0</v>
      </c>
      <c r="F472">
        <v>0</v>
      </c>
      <c r="G472" t="s">
        <v>177</v>
      </c>
      <c r="H472" t="s">
        <v>177</v>
      </c>
      <c r="I472" s="876">
        <v>44193</v>
      </c>
      <c r="J472">
        <v>7</v>
      </c>
      <c r="K472" t="s">
        <v>245</v>
      </c>
      <c r="L472">
        <v>1000042</v>
      </c>
      <c r="M472" t="s">
        <v>177</v>
      </c>
      <c r="N472">
        <v>0</v>
      </c>
      <c r="O472" t="s">
        <v>177</v>
      </c>
      <c r="P472" t="s">
        <v>177</v>
      </c>
      <c r="Q472" t="s">
        <v>177</v>
      </c>
      <c r="R472" t="s">
        <v>177</v>
      </c>
      <c r="S472" t="s">
        <v>177</v>
      </c>
      <c r="T472" t="s">
        <v>177</v>
      </c>
      <c r="U472" t="s">
        <v>177</v>
      </c>
      <c r="V472" t="s">
        <v>177</v>
      </c>
      <c r="W472" t="s">
        <v>177</v>
      </c>
      <c r="X472" t="s">
        <v>177</v>
      </c>
      <c r="Y472" t="s">
        <v>177</v>
      </c>
      <c r="Z472" t="s">
        <v>177</v>
      </c>
      <c r="AA472" t="s">
        <v>177</v>
      </c>
      <c r="AB472" t="s">
        <v>177</v>
      </c>
      <c r="AC472" t="s">
        <v>177</v>
      </c>
      <c r="AD472" t="s">
        <v>177</v>
      </c>
      <c r="AE472" t="s">
        <v>177</v>
      </c>
      <c r="AF472" t="s">
        <v>177</v>
      </c>
      <c r="AG472" s="876">
        <v>44193</v>
      </c>
    </row>
    <row r="473" spans="1:34" hidden="1">
      <c r="A473">
        <v>8</v>
      </c>
      <c r="B473">
        <v>1000042</v>
      </c>
      <c r="C473" t="s">
        <v>244</v>
      </c>
      <c r="D473">
        <v>167</v>
      </c>
      <c r="E473">
        <v>0</v>
      </c>
      <c r="F473">
        <v>0</v>
      </c>
      <c r="G473" t="s">
        <v>177</v>
      </c>
      <c r="H473" t="s">
        <v>177</v>
      </c>
      <c r="I473" s="876">
        <v>44208</v>
      </c>
      <c r="J473">
        <v>8</v>
      </c>
      <c r="K473" t="s">
        <v>245</v>
      </c>
      <c r="L473">
        <v>1000042</v>
      </c>
      <c r="M473" t="s">
        <v>177</v>
      </c>
      <c r="N473">
        <v>0</v>
      </c>
      <c r="O473" t="s">
        <v>177</v>
      </c>
      <c r="P473" t="s">
        <v>177</v>
      </c>
      <c r="Q473" t="s">
        <v>177</v>
      </c>
      <c r="R473" t="s">
        <v>177</v>
      </c>
      <c r="S473" t="s">
        <v>177</v>
      </c>
      <c r="T473" t="s">
        <v>177</v>
      </c>
      <c r="U473" t="s">
        <v>177</v>
      </c>
      <c r="V473" t="s">
        <v>177</v>
      </c>
      <c r="W473" t="s">
        <v>177</v>
      </c>
      <c r="X473" t="s">
        <v>177</v>
      </c>
      <c r="Y473" t="s">
        <v>177</v>
      </c>
      <c r="Z473" t="s">
        <v>177</v>
      </c>
      <c r="AA473" t="s">
        <v>177</v>
      </c>
      <c r="AB473" t="s">
        <v>177</v>
      </c>
      <c r="AC473" t="s">
        <v>177</v>
      </c>
      <c r="AD473" t="s">
        <v>177</v>
      </c>
      <c r="AE473" t="s">
        <v>177</v>
      </c>
      <c r="AF473" t="s">
        <v>177</v>
      </c>
      <c r="AG473" s="876">
        <v>44208</v>
      </c>
    </row>
    <row r="474" spans="1:34" hidden="1">
      <c r="A474">
        <v>1</v>
      </c>
      <c r="B474">
        <v>370</v>
      </c>
      <c r="C474" t="s">
        <v>196</v>
      </c>
      <c r="D474">
        <v>105</v>
      </c>
      <c r="E474">
        <v>7512541.7999999998</v>
      </c>
      <c r="F474">
        <v>49806038.193812497</v>
      </c>
      <c r="G474">
        <v>0</v>
      </c>
      <c r="H474">
        <v>0</v>
      </c>
      <c r="I474" s="876">
        <v>44043</v>
      </c>
      <c r="J474">
        <v>1</v>
      </c>
      <c r="K474" t="s">
        <v>197</v>
      </c>
      <c r="L474">
        <v>370</v>
      </c>
      <c r="M474">
        <v>8.2718481513141096E-2</v>
      </c>
      <c r="N474">
        <v>0.91728151848685902</v>
      </c>
      <c r="O474">
        <v>0</v>
      </c>
      <c r="P474">
        <v>0</v>
      </c>
      <c r="Q474">
        <v>3.5943242272542197E-2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4.6775239240599002E-2</v>
      </c>
      <c r="X474">
        <v>0</v>
      </c>
      <c r="Y474">
        <v>0.44462353873358801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0.47265797975327101</v>
      </c>
      <c r="AF474">
        <v>0</v>
      </c>
      <c r="AG474" s="876">
        <v>44043</v>
      </c>
      <c r="AH474" s="871">
        <f t="shared" ref="AH474:AH497" si="15">DATE(YEAR(I474),MONTH(I474),1)</f>
        <v>44013</v>
      </c>
    </row>
    <row r="475" spans="1:34" hidden="1">
      <c r="A475">
        <v>2</v>
      </c>
      <c r="B475">
        <v>370</v>
      </c>
      <c r="C475" t="s">
        <v>196</v>
      </c>
      <c r="D475">
        <v>105</v>
      </c>
      <c r="E475">
        <v>602919.24054725701</v>
      </c>
      <c r="F475">
        <v>0</v>
      </c>
      <c r="G475" t="s">
        <v>177</v>
      </c>
      <c r="H475" t="s">
        <v>177</v>
      </c>
      <c r="I475" s="876">
        <v>44055</v>
      </c>
      <c r="J475">
        <v>2</v>
      </c>
      <c r="K475" t="s">
        <v>197</v>
      </c>
      <c r="L475">
        <v>370</v>
      </c>
      <c r="M475">
        <v>1</v>
      </c>
      <c r="N475" t="s">
        <v>177</v>
      </c>
      <c r="O475">
        <v>0</v>
      </c>
      <c r="P475">
        <v>0</v>
      </c>
      <c r="Q475">
        <v>0.419351224289576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0.58064877571042495</v>
      </c>
      <c r="X475">
        <v>0</v>
      </c>
      <c r="Y475" t="s">
        <v>177</v>
      </c>
      <c r="Z475" t="s">
        <v>177</v>
      </c>
      <c r="AA475" t="s">
        <v>177</v>
      </c>
      <c r="AB475" t="s">
        <v>177</v>
      </c>
      <c r="AC475" t="s">
        <v>177</v>
      </c>
      <c r="AD475" t="s">
        <v>177</v>
      </c>
      <c r="AE475" t="s">
        <v>177</v>
      </c>
      <c r="AF475" t="s">
        <v>177</v>
      </c>
      <c r="AG475" s="876">
        <v>44055</v>
      </c>
      <c r="AH475" s="871">
        <f t="shared" si="15"/>
        <v>44044</v>
      </c>
    </row>
    <row r="476" spans="1:34" hidden="1">
      <c r="A476">
        <v>3</v>
      </c>
      <c r="B476">
        <v>370</v>
      </c>
      <c r="C476" t="s">
        <v>196</v>
      </c>
      <c r="D476">
        <v>105</v>
      </c>
      <c r="E476">
        <v>533194.23945274297</v>
      </c>
      <c r="F476">
        <v>18506.8061874509</v>
      </c>
      <c r="G476" t="s">
        <v>177</v>
      </c>
      <c r="H476" t="s">
        <v>177</v>
      </c>
      <c r="I476" s="876">
        <v>44088</v>
      </c>
      <c r="J476">
        <v>3</v>
      </c>
      <c r="K476" t="s">
        <v>197</v>
      </c>
      <c r="L476">
        <v>370</v>
      </c>
      <c r="M476">
        <v>1</v>
      </c>
      <c r="N476" t="s">
        <v>177</v>
      </c>
      <c r="O476">
        <v>0</v>
      </c>
      <c r="P476">
        <v>0</v>
      </c>
      <c r="Q476">
        <v>0.34452191800215198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0.65547808199784796</v>
      </c>
      <c r="X476">
        <v>0</v>
      </c>
      <c r="Y476" t="s">
        <v>177</v>
      </c>
      <c r="Z476" t="s">
        <v>177</v>
      </c>
      <c r="AA476" t="s">
        <v>177</v>
      </c>
      <c r="AB476" t="s">
        <v>177</v>
      </c>
      <c r="AC476" t="s">
        <v>177</v>
      </c>
      <c r="AD476" t="s">
        <v>177</v>
      </c>
      <c r="AE476" t="s">
        <v>177</v>
      </c>
      <c r="AF476" t="s">
        <v>177</v>
      </c>
      <c r="AG476" s="876">
        <v>44088</v>
      </c>
      <c r="AH476" s="871">
        <f t="shared" si="15"/>
        <v>44075</v>
      </c>
    </row>
    <row r="477" spans="1:34" hidden="1">
      <c r="A477">
        <v>4</v>
      </c>
      <c r="B477">
        <v>370</v>
      </c>
      <c r="C477" t="s">
        <v>196</v>
      </c>
      <c r="D477">
        <v>105</v>
      </c>
      <c r="E477">
        <v>632761.31999999995</v>
      </c>
      <c r="F477">
        <v>0</v>
      </c>
      <c r="G477" t="s">
        <v>177</v>
      </c>
      <c r="H477" t="s">
        <v>177</v>
      </c>
      <c r="I477" s="876">
        <v>44117</v>
      </c>
      <c r="J477">
        <v>4</v>
      </c>
      <c r="K477" t="s">
        <v>197</v>
      </c>
      <c r="L477">
        <v>370</v>
      </c>
      <c r="M477">
        <v>1</v>
      </c>
      <c r="N477">
        <v>0</v>
      </c>
      <c r="O477">
        <v>0</v>
      </c>
      <c r="P477">
        <v>0</v>
      </c>
      <c r="Q477">
        <v>0.45047908427778099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0.54952091572221895</v>
      </c>
      <c r="X477">
        <v>0</v>
      </c>
      <c r="Y477" t="s">
        <v>177</v>
      </c>
      <c r="Z477" t="s">
        <v>177</v>
      </c>
      <c r="AA477" t="s">
        <v>177</v>
      </c>
      <c r="AB477" t="s">
        <v>177</v>
      </c>
      <c r="AC477" t="s">
        <v>177</v>
      </c>
      <c r="AD477" t="s">
        <v>177</v>
      </c>
      <c r="AE477" t="s">
        <v>177</v>
      </c>
      <c r="AF477" t="s">
        <v>177</v>
      </c>
      <c r="AG477" s="876">
        <v>44117</v>
      </c>
      <c r="AH477" s="871">
        <f t="shared" si="15"/>
        <v>44105</v>
      </c>
    </row>
    <row r="478" spans="1:34" hidden="1">
      <c r="A478">
        <v>5</v>
      </c>
      <c r="B478">
        <v>370</v>
      </c>
      <c r="C478" t="s">
        <v>196</v>
      </c>
      <c r="D478">
        <v>105</v>
      </c>
      <c r="E478">
        <v>605232.67000000004</v>
      </c>
      <c r="F478">
        <v>0</v>
      </c>
      <c r="G478" t="s">
        <v>177</v>
      </c>
      <c r="H478" t="s">
        <v>177</v>
      </c>
      <c r="I478" s="876">
        <v>44147</v>
      </c>
      <c r="J478">
        <v>5</v>
      </c>
      <c r="K478" t="s">
        <v>197</v>
      </c>
      <c r="L478">
        <v>370</v>
      </c>
      <c r="M478">
        <v>1</v>
      </c>
      <c r="N478">
        <v>0</v>
      </c>
      <c r="O478">
        <v>0</v>
      </c>
      <c r="P478">
        <v>0</v>
      </c>
      <c r="Q478">
        <v>0.42548445046761901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0.57451554953238104</v>
      </c>
      <c r="X478">
        <v>0</v>
      </c>
      <c r="Y478" t="s">
        <v>177</v>
      </c>
      <c r="Z478" t="s">
        <v>177</v>
      </c>
      <c r="AA478" t="s">
        <v>177</v>
      </c>
      <c r="AB478" t="s">
        <v>177</v>
      </c>
      <c r="AC478" t="s">
        <v>177</v>
      </c>
      <c r="AD478" t="s">
        <v>177</v>
      </c>
      <c r="AE478" t="s">
        <v>177</v>
      </c>
      <c r="AF478" t="s">
        <v>177</v>
      </c>
      <c r="AG478" s="876">
        <v>44147</v>
      </c>
      <c r="AH478" s="871">
        <f t="shared" si="15"/>
        <v>44136</v>
      </c>
    </row>
    <row r="479" spans="1:34" hidden="1">
      <c r="A479">
        <v>6</v>
      </c>
      <c r="B479">
        <v>370</v>
      </c>
      <c r="C479" t="s">
        <v>196</v>
      </c>
      <c r="D479">
        <v>105</v>
      </c>
      <c r="E479">
        <v>591920.73000001197</v>
      </c>
      <c r="F479">
        <v>0</v>
      </c>
      <c r="G479" t="s">
        <v>177</v>
      </c>
      <c r="H479" t="s">
        <v>177</v>
      </c>
      <c r="I479" s="876">
        <v>44179</v>
      </c>
      <c r="J479">
        <v>6</v>
      </c>
      <c r="K479" t="s">
        <v>197</v>
      </c>
      <c r="L479">
        <v>370</v>
      </c>
      <c r="M479">
        <v>1</v>
      </c>
      <c r="N479">
        <v>0</v>
      </c>
      <c r="O479">
        <v>0</v>
      </c>
      <c r="P479">
        <v>0</v>
      </c>
      <c r="Q479">
        <v>0.92350215192110297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7.6497848078896993E-2</v>
      </c>
      <c r="X479">
        <v>0</v>
      </c>
      <c r="Y479" t="s">
        <v>177</v>
      </c>
      <c r="Z479" t="s">
        <v>177</v>
      </c>
      <c r="AA479" t="s">
        <v>177</v>
      </c>
      <c r="AB479" t="s">
        <v>177</v>
      </c>
      <c r="AC479" t="s">
        <v>177</v>
      </c>
      <c r="AD479" t="s">
        <v>177</v>
      </c>
      <c r="AE479" t="s">
        <v>177</v>
      </c>
      <c r="AF479" t="s">
        <v>177</v>
      </c>
      <c r="AG479" s="876">
        <v>44179</v>
      </c>
      <c r="AH479" s="871">
        <f t="shared" si="15"/>
        <v>44166</v>
      </c>
    </row>
    <row r="480" spans="1:34" hidden="1">
      <c r="A480">
        <v>7</v>
      </c>
      <c r="B480">
        <v>370</v>
      </c>
      <c r="C480" t="s">
        <v>196</v>
      </c>
      <c r="D480">
        <v>105</v>
      </c>
      <c r="E480">
        <v>0</v>
      </c>
      <c r="F480">
        <v>0</v>
      </c>
      <c r="G480" t="s">
        <v>177</v>
      </c>
      <c r="H480" t="s">
        <v>177</v>
      </c>
      <c r="I480" s="876">
        <v>44193</v>
      </c>
      <c r="J480">
        <v>7</v>
      </c>
      <c r="K480" t="s">
        <v>197</v>
      </c>
      <c r="L480">
        <v>370</v>
      </c>
      <c r="M480" t="s">
        <v>177</v>
      </c>
      <c r="N480">
        <v>0</v>
      </c>
      <c r="O480" t="s">
        <v>177</v>
      </c>
      <c r="P480" t="s">
        <v>177</v>
      </c>
      <c r="Q480" t="s">
        <v>177</v>
      </c>
      <c r="R480" t="s">
        <v>177</v>
      </c>
      <c r="S480" t="s">
        <v>177</v>
      </c>
      <c r="T480" t="s">
        <v>177</v>
      </c>
      <c r="U480" t="s">
        <v>177</v>
      </c>
      <c r="V480" t="s">
        <v>177</v>
      </c>
      <c r="W480" t="s">
        <v>177</v>
      </c>
      <c r="X480" t="s">
        <v>177</v>
      </c>
      <c r="Y480" t="s">
        <v>177</v>
      </c>
      <c r="Z480" t="s">
        <v>177</v>
      </c>
      <c r="AA480" t="s">
        <v>177</v>
      </c>
      <c r="AB480" t="s">
        <v>177</v>
      </c>
      <c r="AC480" t="s">
        <v>177</v>
      </c>
      <c r="AD480" t="s">
        <v>177</v>
      </c>
      <c r="AE480" t="s">
        <v>177</v>
      </c>
      <c r="AF480" t="s">
        <v>177</v>
      </c>
      <c r="AG480" s="876">
        <v>44193</v>
      </c>
      <c r="AH480" s="871">
        <f t="shared" si="15"/>
        <v>44166</v>
      </c>
    </row>
    <row r="481" spans="1:34" hidden="1">
      <c r="A481">
        <v>8</v>
      </c>
      <c r="B481">
        <v>370</v>
      </c>
      <c r="C481" t="s">
        <v>196</v>
      </c>
      <c r="D481">
        <v>105</v>
      </c>
      <c r="E481">
        <v>0</v>
      </c>
      <c r="F481">
        <v>0</v>
      </c>
      <c r="G481" t="s">
        <v>177</v>
      </c>
      <c r="H481" t="s">
        <v>177</v>
      </c>
      <c r="I481" s="876">
        <v>44208</v>
      </c>
      <c r="J481">
        <v>8</v>
      </c>
      <c r="K481" t="s">
        <v>197</v>
      </c>
      <c r="L481">
        <v>370</v>
      </c>
      <c r="M481" t="s">
        <v>177</v>
      </c>
      <c r="N481">
        <v>0</v>
      </c>
      <c r="O481" t="s">
        <v>177</v>
      </c>
      <c r="P481" t="s">
        <v>177</v>
      </c>
      <c r="Q481" t="s">
        <v>177</v>
      </c>
      <c r="R481" t="s">
        <v>177</v>
      </c>
      <c r="S481" t="s">
        <v>177</v>
      </c>
      <c r="T481" t="s">
        <v>177</v>
      </c>
      <c r="U481" t="s">
        <v>177</v>
      </c>
      <c r="V481" t="s">
        <v>177</v>
      </c>
      <c r="W481" t="s">
        <v>177</v>
      </c>
      <c r="X481" t="s">
        <v>177</v>
      </c>
      <c r="Y481" t="s">
        <v>177</v>
      </c>
      <c r="Z481" t="s">
        <v>177</v>
      </c>
      <c r="AA481" t="s">
        <v>177</v>
      </c>
      <c r="AB481" t="s">
        <v>177</v>
      </c>
      <c r="AC481" t="s">
        <v>177</v>
      </c>
      <c r="AD481" t="s">
        <v>177</v>
      </c>
      <c r="AE481" t="s">
        <v>177</v>
      </c>
      <c r="AF481" t="s">
        <v>177</v>
      </c>
      <c r="AG481" s="876">
        <v>44208</v>
      </c>
      <c r="AH481" s="871">
        <f t="shared" si="15"/>
        <v>44197</v>
      </c>
    </row>
    <row r="482" spans="1:34" hidden="1">
      <c r="A482">
        <v>1</v>
      </c>
      <c r="B482">
        <v>46</v>
      </c>
      <c r="C482" t="s">
        <v>186</v>
      </c>
      <c r="D482">
        <v>163</v>
      </c>
      <c r="E482">
        <v>5328346.22</v>
      </c>
      <c r="F482">
        <v>295939.60466835898</v>
      </c>
      <c r="G482">
        <v>0</v>
      </c>
      <c r="H482">
        <v>0</v>
      </c>
      <c r="I482" s="876">
        <v>44043</v>
      </c>
      <c r="J482">
        <v>1</v>
      </c>
      <c r="K482" t="s">
        <v>186</v>
      </c>
      <c r="L482">
        <v>46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0.51688045151090101</v>
      </c>
      <c r="Z482">
        <v>0</v>
      </c>
      <c r="AA482">
        <v>-7.9383711668796209E-3</v>
      </c>
      <c r="AB482">
        <v>0.33872342101673703</v>
      </c>
      <c r="AC482">
        <v>0</v>
      </c>
      <c r="AD482">
        <v>0</v>
      </c>
      <c r="AE482">
        <v>0.15233449863924201</v>
      </c>
      <c r="AF482">
        <v>0</v>
      </c>
      <c r="AG482" s="876">
        <v>44043</v>
      </c>
      <c r="AH482" s="871">
        <f t="shared" si="15"/>
        <v>44013</v>
      </c>
    </row>
    <row r="483" spans="1:34" hidden="1">
      <c r="A483">
        <v>2</v>
      </c>
      <c r="B483">
        <v>46</v>
      </c>
      <c r="C483" t="s">
        <v>186</v>
      </c>
      <c r="D483">
        <v>163</v>
      </c>
      <c r="E483">
        <v>67939.73</v>
      </c>
      <c r="F483">
        <v>301217.75170634402</v>
      </c>
      <c r="G483" t="s">
        <v>177</v>
      </c>
      <c r="H483" t="s">
        <v>177</v>
      </c>
      <c r="I483" s="876">
        <v>44055</v>
      </c>
      <c r="J483">
        <v>2</v>
      </c>
      <c r="K483" t="s">
        <v>186</v>
      </c>
      <c r="L483">
        <v>46</v>
      </c>
      <c r="M483">
        <v>1</v>
      </c>
      <c r="N483" t="s">
        <v>177</v>
      </c>
      <c r="O483">
        <v>0</v>
      </c>
      <c r="P483">
        <v>0</v>
      </c>
      <c r="Q483">
        <v>1.34864234975771</v>
      </c>
      <c r="R483">
        <v>0</v>
      </c>
      <c r="S483">
        <v>0.19618522135064301</v>
      </c>
      <c r="T483">
        <v>-0.534665385942514</v>
      </c>
      <c r="U483">
        <v>0</v>
      </c>
      <c r="V483">
        <v>0</v>
      </c>
      <c r="W483">
        <v>-1.01621851658383E-2</v>
      </c>
      <c r="X483">
        <v>0</v>
      </c>
      <c r="Y483" t="s">
        <v>177</v>
      </c>
      <c r="Z483" t="s">
        <v>177</v>
      </c>
      <c r="AA483" t="s">
        <v>177</v>
      </c>
      <c r="AB483" t="s">
        <v>177</v>
      </c>
      <c r="AC483" t="s">
        <v>177</v>
      </c>
      <c r="AD483" t="s">
        <v>177</v>
      </c>
      <c r="AE483" t="s">
        <v>177</v>
      </c>
      <c r="AF483" t="s">
        <v>177</v>
      </c>
      <c r="AG483" s="876">
        <v>44055</v>
      </c>
      <c r="AH483" s="871">
        <f t="shared" si="15"/>
        <v>44044</v>
      </c>
    </row>
    <row r="484" spans="1:34" hidden="1">
      <c r="A484">
        <v>3</v>
      </c>
      <c r="B484">
        <v>46</v>
      </c>
      <c r="C484" t="s">
        <v>186</v>
      </c>
      <c r="D484">
        <v>163</v>
      </c>
      <c r="E484">
        <v>786145.29</v>
      </c>
      <c r="F484">
        <v>305683.80688622198</v>
      </c>
      <c r="G484" t="s">
        <v>177</v>
      </c>
      <c r="H484" t="s">
        <v>177</v>
      </c>
      <c r="I484" s="876">
        <v>44088</v>
      </c>
      <c r="J484">
        <v>3</v>
      </c>
      <c r="K484" t="s">
        <v>186</v>
      </c>
      <c r="L484">
        <v>46</v>
      </c>
      <c r="M484">
        <v>0.905151952220839</v>
      </c>
      <c r="N484" t="s">
        <v>177</v>
      </c>
      <c r="O484">
        <v>9.4848047779160699E-2</v>
      </c>
      <c r="P484">
        <v>0</v>
      </c>
      <c r="Q484">
        <v>0.29496846809613297</v>
      </c>
      <c r="R484">
        <v>0</v>
      </c>
      <c r="S484">
        <v>0</v>
      </c>
      <c r="T484">
        <v>0.610907415731477</v>
      </c>
      <c r="U484">
        <v>0</v>
      </c>
      <c r="V484">
        <v>0</v>
      </c>
      <c r="W484">
        <v>-7.2393160677142502E-4</v>
      </c>
      <c r="X484">
        <v>0</v>
      </c>
      <c r="Y484" t="s">
        <v>177</v>
      </c>
      <c r="Z484" t="s">
        <v>177</v>
      </c>
      <c r="AA484" t="s">
        <v>177</v>
      </c>
      <c r="AB484" t="s">
        <v>177</v>
      </c>
      <c r="AC484" t="s">
        <v>177</v>
      </c>
      <c r="AD484" t="s">
        <v>177</v>
      </c>
      <c r="AE484" t="s">
        <v>177</v>
      </c>
      <c r="AF484" t="s">
        <v>177</v>
      </c>
      <c r="AG484" s="876">
        <v>44088</v>
      </c>
      <c r="AH484" s="871">
        <f t="shared" si="15"/>
        <v>44075</v>
      </c>
    </row>
    <row r="485" spans="1:34" hidden="1">
      <c r="A485">
        <v>4</v>
      </c>
      <c r="B485">
        <v>46</v>
      </c>
      <c r="C485" t="s">
        <v>186</v>
      </c>
      <c r="D485">
        <v>163</v>
      </c>
      <c r="E485">
        <v>988742.25581026904</v>
      </c>
      <c r="F485">
        <v>309595.28161982098</v>
      </c>
      <c r="G485" t="s">
        <v>177</v>
      </c>
      <c r="H485" t="s">
        <v>177</v>
      </c>
      <c r="I485" s="876">
        <v>44117</v>
      </c>
      <c r="J485">
        <v>4</v>
      </c>
      <c r="K485" t="s">
        <v>186</v>
      </c>
      <c r="L485">
        <v>46</v>
      </c>
      <c r="M485">
        <v>0.96744180820549697</v>
      </c>
      <c r="N485">
        <v>0</v>
      </c>
      <c r="O485">
        <v>0</v>
      </c>
      <c r="P485">
        <v>3.25581917945027E-2</v>
      </c>
      <c r="Q485">
        <v>0.29261399013128198</v>
      </c>
      <c r="R485">
        <v>0</v>
      </c>
      <c r="S485">
        <v>0</v>
      </c>
      <c r="T485">
        <v>0.67539379287345502</v>
      </c>
      <c r="U485">
        <v>0</v>
      </c>
      <c r="V485">
        <v>0</v>
      </c>
      <c r="W485">
        <v>-5.6597479923968497E-4</v>
      </c>
      <c r="X485">
        <v>0</v>
      </c>
      <c r="Y485" t="s">
        <v>177</v>
      </c>
      <c r="Z485" t="s">
        <v>177</v>
      </c>
      <c r="AA485" t="s">
        <v>177</v>
      </c>
      <c r="AB485" t="s">
        <v>177</v>
      </c>
      <c r="AC485" t="s">
        <v>177</v>
      </c>
      <c r="AD485" t="s">
        <v>177</v>
      </c>
      <c r="AE485" t="s">
        <v>177</v>
      </c>
      <c r="AF485" t="s">
        <v>177</v>
      </c>
      <c r="AG485" s="876">
        <v>44117</v>
      </c>
      <c r="AH485" s="871">
        <f t="shared" si="15"/>
        <v>44105</v>
      </c>
    </row>
    <row r="486" spans="1:34" hidden="1">
      <c r="A486">
        <v>5</v>
      </c>
      <c r="B486">
        <v>46</v>
      </c>
      <c r="C486" t="s">
        <v>186</v>
      </c>
      <c r="D486">
        <v>163</v>
      </c>
      <c r="E486">
        <v>922646.55641199998</v>
      </c>
      <c r="F486">
        <v>327243.17350868299</v>
      </c>
      <c r="G486" t="s">
        <v>177</v>
      </c>
      <c r="H486" t="s">
        <v>177</v>
      </c>
      <c r="I486" s="876">
        <v>44147</v>
      </c>
      <c r="J486">
        <v>5</v>
      </c>
      <c r="K486" t="s">
        <v>186</v>
      </c>
      <c r="L486">
        <v>46</v>
      </c>
      <c r="M486">
        <v>0.98867678023011396</v>
      </c>
      <c r="N486">
        <v>0</v>
      </c>
      <c r="O486">
        <v>0</v>
      </c>
      <c r="P486">
        <v>1.1323219769886501E-2</v>
      </c>
      <c r="Q486">
        <v>0.265587060834995</v>
      </c>
      <c r="R486">
        <v>0</v>
      </c>
      <c r="S486">
        <v>0</v>
      </c>
      <c r="T486">
        <v>0.723697191003284</v>
      </c>
      <c r="U486">
        <v>0</v>
      </c>
      <c r="V486">
        <v>0</v>
      </c>
      <c r="W486">
        <v>-6.0747160816564203E-4</v>
      </c>
      <c r="X486">
        <v>0</v>
      </c>
      <c r="Y486" t="s">
        <v>177</v>
      </c>
      <c r="Z486" t="s">
        <v>177</v>
      </c>
      <c r="AA486" t="s">
        <v>177</v>
      </c>
      <c r="AB486" t="s">
        <v>177</v>
      </c>
      <c r="AC486" t="s">
        <v>177</v>
      </c>
      <c r="AD486" t="s">
        <v>177</v>
      </c>
      <c r="AE486" t="s">
        <v>177</v>
      </c>
      <c r="AF486" t="s">
        <v>177</v>
      </c>
      <c r="AG486" s="876">
        <v>44147</v>
      </c>
      <c r="AH486" s="871">
        <f t="shared" si="15"/>
        <v>44136</v>
      </c>
    </row>
    <row r="487" spans="1:34" hidden="1">
      <c r="A487">
        <v>6</v>
      </c>
      <c r="B487">
        <v>46</v>
      </c>
      <c r="C487" t="s">
        <v>186</v>
      </c>
      <c r="D487">
        <v>163</v>
      </c>
      <c r="E487">
        <v>868976.73846716504</v>
      </c>
      <c r="F487">
        <v>290902.44957750902</v>
      </c>
      <c r="G487" t="s">
        <v>177</v>
      </c>
      <c r="H487" t="s">
        <v>177</v>
      </c>
      <c r="I487" s="876">
        <v>44179</v>
      </c>
      <c r="J487">
        <v>6</v>
      </c>
      <c r="K487" t="s">
        <v>186</v>
      </c>
      <c r="L487">
        <v>46</v>
      </c>
      <c r="M487">
        <v>1</v>
      </c>
      <c r="N487">
        <v>0</v>
      </c>
      <c r="O487">
        <v>0</v>
      </c>
      <c r="P487">
        <v>0</v>
      </c>
      <c r="Q487">
        <v>0.23378401250978401</v>
      </c>
      <c r="R487">
        <v>0</v>
      </c>
      <c r="S487">
        <v>0</v>
      </c>
      <c r="T487">
        <v>0.76683119731500304</v>
      </c>
      <c r="U487">
        <v>0</v>
      </c>
      <c r="V487">
        <v>0</v>
      </c>
      <c r="W487">
        <v>-6.1520982478679303E-4</v>
      </c>
      <c r="X487">
        <v>0</v>
      </c>
      <c r="Y487" t="s">
        <v>177</v>
      </c>
      <c r="Z487" t="s">
        <v>177</v>
      </c>
      <c r="AA487" t="s">
        <v>177</v>
      </c>
      <c r="AB487" t="s">
        <v>177</v>
      </c>
      <c r="AC487" t="s">
        <v>177</v>
      </c>
      <c r="AD487" t="s">
        <v>177</v>
      </c>
      <c r="AE487" t="s">
        <v>177</v>
      </c>
      <c r="AF487" t="s">
        <v>177</v>
      </c>
      <c r="AG487" s="876">
        <v>44179</v>
      </c>
      <c r="AH487" s="871">
        <f t="shared" si="15"/>
        <v>44166</v>
      </c>
    </row>
    <row r="488" spans="1:34" hidden="1">
      <c r="A488">
        <v>7</v>
      </c>
      <c r="B488">
        <v>46</v>
      </c>
      <c r="C488" t="s">
        <v>186</v>
      </c>
      <c r="D488">
        <v>163</v>
      </c>
      <c r="E488">
        <v>0</v>
      </c>
      <c r="F488">
        <v>311667.774571285</v>
      </c>
      <c r="G488" t="s">
        <v>177</v>
      </c>
      <c r="H488" t="s">
        <v>177</v>
      </c>
      <c r="I488" s="876">
        <v>44193</v>
      </c>
      <c r="J488">
        <v>7</v>
      </c>
      <c r="K488" t="s">
        <v>186</v>
      </c>
      <c r="L488">
        <v>46</v>
      </c>
      <c r="M488">
        <v>1</v>
      </c>
      <c r="N488">
        <v>0</v>
      </c>
      <c r="O488">
        <v>0</v>
      </c>
      <c r="P488">
        <v>0</v>
      </c>
      <c r="Q488">
        <v>0.22091975656124599</v>
      </c>
      <c r="R488">
        <v>0</v>
      </c>
      <c r="S488">
        <v>-5.8746107630892698E-2</v>
      </c>
      <c r="T488">
        <v>0.83854441427808801</v>
      </c>
      <c r="U488">
        <v>0</v>
      </c>
      <c r="V488">
        <v>0</v>
      </c>
      <c r="W488">
        <v>-7.18063208440912E-4</v>
      </c>
      <c r="X488">
        <v>0</v>
      </c>
      <c r="Y488" t="s">
        <v>177</v>
      </c>
      <c r="Z488" t="s">
        <v>177</v>
      </c>
      <c r="AA488" t="s">
        <v>177</v>
      </c>
      <c r="AB488" t="s">
        <v>177</v>
      </c>
      <c r="AC488" t="s">
        <v>177</v>
      </c>
      <c r="AD488" t="s">
        <v>177</v>
      </c>
      <c r="AE488" t="s">
        <v>177</v>
      </c>
      <c r="AF488" t="s">
        <v>177</v>
      </c>
      <c r="AG488" s="876">
        <v>44193</v>
      </c>
      <c r="AH488" s="871">
        <f t="shared" si="15"/>
        <v>44166</v>
      </c>
    </row>
    <row r="489" spans="1:34" hidden="1">
      <c r="A489">
        <v>8</v>
      </c>
      <c r="B489">
        <v>46</v>
      </c>
      <c r="C489" t="s">
        <v>186</v>
      </c>
      <c r="D489">
        <v>163</v>
      </c>
      <c r="E489">
        <v>820248.74603349704</v>
      </c>
      <c r="F489">
        <v>0</v>
      </c>
      <c r="G489" t="s">
        <v>177</v>
      </c>
      <c r="H489" t="s">
        <v>177</v>
      </c>
      <c r="I489" s="876">
        <v>44208</v>
      </c>
      <c r="J489">
        <v>8</v>
      </c>
      <c r="K489" t="s">
        <v>186</v>
      </c>
      <c r="L489">
        <v>46</v>
      </c>
      <c r="M489">
        <v>1</v>
      </c>
      <c r="N489">
        <v>0</v>
      </c>
      <c r="O489">
        <v>0</v>
      </c>
      <c r="P489">
        <v>0</v>
      </c>
      <c r="Q489">
        <v>0.22091975656124599</v>
      </c>
      <c r="R489">
        <v>0</v>
      </c>
      <c r="S489">
        <v>-5.8746107630892698E-2</v>
      </c>
      <c r="T489">
        <v>0.83854441427808801</v>
      </c>
      <c r="U489">
        <v>0</v>
      </c>
      <c r="V489">
        <v>0</v>
      </c>
      <c r="W489">
        <v>-7.18063208440912E-4</v>
      </c>
      <c r="X489">
        <v>0</v>
      </c>
      <c r="Y489" t="s">
        <v>177</v>
      </c>
      <c r="Z489" t="s">
        <v>177</v>
      </c>
      <c r="AA489" t="s">
        <v>177</v>
      </c>
      <c r="AB489" t="s">
        <v>177</v>
      </c>
      <c r="AC489" t="s">
        <v>177</v>
      </c>
      <c r="AD489" t="s">
        <v>177</v>
      </c>
      <c r="AE489" t="s">
        <v>177</v>
      </c>
      <c r="AF489" t="s">
        <v>177</v>
      </c>
      <c r="AG489" s="876">
        <v>44208</v>
      </c>
      <c r="AH489" s="871">
        <f t="shared" si="15"/>
        <v>44197</v>
      </c>
    </row>
    <row r="490" spans="1:34" hidden="1">
      <c r="A490">
        <v>1</v>
      </c>
      <c r="B490">
        <v>400</v>
      </c>
      <c r="C490" t="s">
        <v>208</v>
      </c>
      <c r="D490">
        <v>164</v>
      </c>
      <c r="E490">
        <v>606130.75</v>
      </c>
      <c r="F490">
        <v>0</v>
      </c>
      <c r="G490">
        <v>0</v>
      </c>
      <c r="H490">
        <v>0</v>
      </c>
      <c r="I490" s="876">
        <v>44043</v>
      </c>
      <c r="J490">
        <v>1</v>
      </c>
      <c r="K490" t="s">
        <v>208</v>
      </c>
      <c r="L490">
        <v>400</v>
      </c>
      <c r="M490">
        <v>7.6012959085599005E-2</v>
      </c>
      <c r="N490">
        <v>0.84479792233245998</v>
      </c>
      <c r="O490">
        <v>0</v>
      </c>
      <c r="P490">
        <v>7.9189118581940304E-2</v>
      </c>
      <c r="Q490">
        <v>6.6662092542354695E-2</v>
      </c>
      <c r="R490">
        <v>2.2209448757552199E-3</v>
      </c>
      <c r="S490">
        <v>0</v>
      </c>
      <c r="T490">
        <v>1.9497628866647901E-3</v>
      </c>
      <c r="U490">
        <v>0</v>
      </c>
      <c r="V490">
        <v>5.0207520594868302E-3</v>
      </c>
      <c r="W490">
        <v>1.5940672133741199E-4</v>
      </c>
      <c r="X490">
        <v>0</v>
      </c>
      <c r="Y490">
        <v>0.88777391705116904</v>
      </c>
      <c r="Z490">
        <v>3.1009995787544199E-2</v>
      </c>
      <c r="AA490">
        <v>-1.6356168454088799E-2</v>
      </c>
      <c r="AB490">
        <v>2.46157067220488E-2</v>
      </c>
      <c r="AC490">
        <v>-2.6653817675805799E-3</v>
      </c>
      <c r="AD490">
        <v>-0.265586463497965</v>
      </c>
      <c r="AE490">
        <v>0.18600631649133301</v>
      </c>
      <c r="AF490">
        <v>0</v>
      </c>
      <c r="AG490" s="876">
        <v>44043</v>
      </c>
      <c r="AH490" s="871">
        <f t="shared" si="15"/>
        <v>44013</v>
      </c>
    </row>
    <row r="491" spans="1:34" hidden="1">
      <c r="A491">
        <v>2</v>
      </c>
      <c r="B491">
        <v>400</v>
      </c>
      <c r="C491" t="s">
        <v>208</v>
      </c>
      <c r="D491">
        <v>164</v>
      </c>
      <c r="E491">
        <v>260914.8</v>
      </c>
      <c r="F491">
        <v>0</v>
      </c>
      <c r="G491" t="s">
        <v>177</v>
      </c>
      <c r="H491" t="s">
        <v>177</v>
      </c>
      <c r="I491" s="876">
        <v>44055</v>
      </c>
      <c r="J491">
        <v>2</v>
      </c>
      <c r="K491" t="s">
        <v>208</v>
      </c>
      <c r="L491">
        <v>400</v>
      </c>
      <c r="M491">
        <v>0.96682267418804702</v>
      </c>
      <c r="N491" t="s">
        <v>177</v>
      </c>
      <c r="O491">
        <v>3.31773258119532E-2</v>
      </c>
      <c r="P491">
        <v>0</v>
      </c>
      <c r="Q491">
        <v>0.92047069132674098</v>
      </c>
      <c r="R491">
        <v>1.7875809672716701E-2</v>
      </c>
      <c r="S491">
        <v>0</v>
      </c>
      <c r="T491">
        <v>7.1820303073985899E-3</v>
      </c>
      <c r="U491">
        <v>0</v>
      </c>
      <c r="V491">
        <v>2.0565087126764799E-2</v>
      </c>
      <c r="W491">
        <v>7.2905575442548404E-4</v>
      </c>
      <c r="X491">
        <v>0</v>
      </c>
      <c r="Y491" t="s">
        <v>177</v>
      </c>
      <c r="Z491" t="s">
        <v>177</v>
      </c>
      <c r="AA491" t="s">
        <v>177</v>
      </c>
      <c r="AB491" t="s">
        <v>177</v>
      </c>
      <c r="AC491" t="s">
        <v>177</v>
      </c>
      <c r="AD491" t="s">
        <v>177</v>
      </c>
      <c r="AE491" t="s">
        <v>177</v>
      </c>
      <c r="AF491" t="s">
        <v>177</v>
      </c>
      <c r="AG491" s="876">
        <v>44055</v>
      </c>
      <c r="AH491" s="871">
        <f t="shared" si="15"/>
        <v>44044</v>
      </c>
    </row>
    <row r="492" spans="1:34" hidden="1">
      <c r="A492">
        <v>3</v>
      </c>
      <c r="B492">
        <v>400</v>
      </c>
      <c r="C492" t="s">
        <v>208</v>
      </c>
      <c r="D492">
        <v>164</v>
      </c>
      <c r="E492">
        <v>232349.68</v>
      </c>
      <c r="F492">
        <v>0</v>
      </c>
      <c r="G492" t="s">
        <v>177</v>
      </c>
      <c r="H492" t="s">
        <v>177</v>
      </c>
      <c r="I492" s="876">
        <v>44088</v>
      </c>
      <c r="J492">
        <v>3</v>
      </c>
      <c r="K492" t="s">
        <v>208</v>
      </c>
      <c r="L492">
        <v>400</v>
      </c>
      <c r="M492">
        <v>1</v>
      </c>
      <c r="N492" t="s">
        <v>177</v>
      </c>
      <c r="O492">
        <v>0</v>
      </c>
      <c r="P492">
        <v>0</v>
      </c>
      <c r="Q492">
        <v>1.0301957984380301</v>
      </c>
      <c r="R492">
        <v>3.9573930635308598E-2</v>
      </c>
      <c r="S492">
        <v>0</v>
      </c>
      <c r="T492">
        <v>4.6146543291718398E-2</v>
      </c>
      <c r="U492">
        <v>0</v>
      </c>
      <c r="V492">
        <v>-0.11571475224945001</v>
      </c>
      <c r="W492">
        <v>-2.01520115602464E-4</v>
      </c>
      <c r="X492">
        <v>0</v>
      </c>
      <c r="Y492" t="s">
        <v>177</v>
      </c>
      <c r="Z492" t="s">
        <v>177</v>
      </c>
      <c r="AA492" t="s">
        <v>177</v>
      </c>
      <c r="AB492" t="s">
        <v>177</v>
      </c>
      <c r="AC492" t="s">
        <v>177</v>
      </c>
      <c r="AD492" t="s">
        <v>177</v>
      </c>
      <c r="AE492" t="s">
        <v>177</v>
      </c>
      <c r="AF492" t="s">
        <v>177</v>
      </c>
      <c r="AG492" s="876">
        <v>44088</v>
      </c>
      <c r="AH492" s="871">
        <f t="shared" si="15"/>
        <v>44075</v>
      </c>
    </row>
    <row r="493" spans="1:34" hidden="1">
      <c r="A493">
        <v>4</v>
      </c>
      <c r="B493">
        <v>400</v>
      </c>
      <c r="C493" t="s">
        <v>208</v>
      </c>
      <c r="D493">
        <v>164</v>
      </c>
      <c r="E493">
        <v>327826.55</v>
      </c>
      <c r="F493">
        <v>0</v>
      </c>
      <c r="G493" t="s">
        <v>177</v>
      </c>
      <c r="H493" t="s">
        <v>177</v>
      </c>
      <c r="I493" s="876">
        <v>44117</v>
      </c>
      <c r="J493">
        <v>4</v>
      </c>
      <c r="K493" t="s">
        <v>208</v>
      </c>
      <c r="L493">
        <v>400</v>
      </c>
      <c r="M493">
        <v>1</v>
      </c>
      <c r="N493">
        <v>0</v>
      </c>
      <c r="O493">
        <v>0</v>
      </c>
      <c r="P493">
        <v>0</v>
      </c>
      <c r="Q493">
        <v>0.87567072773341903</v>
      </c>
      <c r="R493">
        <v>7.8868299387976404E-2</v>
      </c>
      <c r="S493">
        <v>0</v>
      </c>
      <c r="T493">
        <v>7.1271161949601702E-2</v>
      </c>
      <c r="U493">
        <v>0</v>
      </c>
      <c r="V493">
        <v>-2.6295357849826801E-2</v>
      </c>
      <c r="W493">
        <v>4.85168778829526E-4</v>
      </c>
      <c r="X493">
        <v>0</v>
      </c>
      <c r="Y493" t="s">
        <v>177</v>
      </c>
      <c r="Z493" t="s">
        <v>177</v>
      </c>
      <c r="AA493" t="s">
        <v>177</v>
      </c>
      <c r="AB493" t="s">
        <v>177</v>
      </c>
      <c r="AC493" t="s">
        <v>177</v>
      </c>
      <c r="AD493" t="s">
        <v>177</v>
      </c>
      <c r="AE493" t="s">
        <v>177</v>
      </c>
      <c r="AF493" t="s">
        <v>177</v>
      </c>
      <c r="AG493" s="876">
        <v>44117</v>
      </c>
      <c r="AH493" s="871">
        <f t="shared" si="15"/>
        <v>44105</v>
      </c>
    </row>
    <row r="494" spans="1:34" hidden="1">
      <c r="A494">
        <v>5</v>
      </c>
      <c r="B494">
        <v>400</v>
      </c>
      <c r="C494" t="s">
        <v>208</v>
      </c>
      <c r="D494">
        <v>164</v>
      </c>
      <c r="E494">
        <v>386015.89</v>
      </c>
      <c r="F494">
        <v>0</v>
      </c>
      <c r="G494" t="s">
        <v>177</v>
      </c>
      <c r="H494" t="s">
        <v>177</v>
      </c>
      <c r="I494" s="876">
        <v>44147</v>
      </c>
      <c r="J494">
        <v>5</v>
      </c>
      <c r="K494" t="s">
        <v>208</v>
      </c>
      <c r="L494">
        <v>400</v>
      </c>
      <c r="M494">
        <v>1</v>
      </c>
      <c r="N494">
        <v>0</v>
      </c>
      <c r="O494">
        <v>0</v>
      </c>
      <c r="P494">
        <v>0</v>
      </c>
      <c r="Q494">
        <v>0.90071615852249898</v>
      </c>
      <c r="R494">
        <v>0.12747504863345699</v>
      </c>
      <c r="S494">
        <v>0</v>
      </c>
      <c r="T494">
        <v>0.11462105203341801</v>
      </c>
      <c r="U494">
        <v>0</v>
      </c>
      <c r="V494">
        <v>-0.14402640944086501</v>
      </c>
      <c r="W494">
        <v>1.2141502514919299E-3</v>
      </c>
      <c r="X494">
        <v>0</v>
      </c>
      <c r="Y494" t="s">
        <v>177</v>
      </c>
      <c r="Z494" t="s">
        <v>177</v>
      </c>
      <c r="AA494" t="s">
        <v>177</v>
      </c>
      <c r="AB494" t="s">
        <v>177</v>
      </c>
      <c r="AC494" t="s">
        <v>177</v>
      </c>
      <c r="AD494" t="s">
        <v>177</v>
      </c>
      <c r="AE494" t="s">
        <v>177</v>
      </c>
      <c r="AF494" t="s">
        <v>177</v>
      </c>
      <c r="AG494" s="876">
        <v>44147</v>
      </c>
      <c r="AH494" s="871">
        <f t="shared" si="15"/>
        <v>44136</v>
      </c>
    </row>
    <row r="495" spans="1:34" hidden="1">
      <c r="A495">
        <v>6</v>
      </c>
      <c r="B495">
        <v>400</v>
      </c>
      <c r="C495" t="s">
        <v>208</v>
      </c>
      <c r="D495">
        <v>164</v>
      </c>
      <c r="E495">
        <v>435454.63</v>
      </c>
      <c r="F495">
        <v>0</v>
      </c>
      <c r="G495" t="s">
        <v>177</v>
      </c>
      <c r="H495" t="s">
        <v>177</v>
      </c>
      <c r="I495" s="876">
        <v>44179</v>
      </c>
      <c r="J495">
        <v>6</v>
      </c>
      <c r="K495" t="s">
        <v>208</v>
      </c>
      <c r="L495">
        <v>400</v>
      </c>
      <c r="M495">
        <v>1</v>
      </c>
      <c r="N495">
        <v>0</v>
      </c>
      <c r="O495">
        <v>0</v>
      </c>
      <c r="P495">
        <v>0</v>
      </c>
      <c r="Q495">
        <v>0.94598170365656298</v>
      </c>
      <c r="R495">
        <v>5.6778569582843698E-2</v>
      </c>
      <c r="S495">
        <v>0</v>
      </c>
      <c r="T495">
        <v>5.19750491218453E-2</v>
      </c>
      <c r="U495">
        <v>0</v>
      </c>
      <c r="V495">
        <v>-5.4722333647415099E-2</v>
      </c>
      <c r="W495">
        <v>-1.298871383697E-5</v>
      </c>
      <c r="X495">
        <v>0</v>
      </c>
      <c r="Y495" t="s">
        <v>177</v>
      </c>
      <c r="Z495" t="s">
        <v>177</v>
      </c>
      <c r="AA495" t="s">
        <v>177</v>
      </c>
      <c r="AB495" t="s">
        <v>177</v>
      </c>
      <c r="AC495" t="s">
        <v>177</v>
      </c>
      <c r="AD495" t="s">
        <v>177</v>
      </c>
      <c r="AE495" t="s">
        <v>177</v>
      </c>
      <c r="AF495" t="s">
        <v>177</v>
      </c>
      <c r="AG495" s="876">
        <v>44179</v>
      </c>
      <c r="AH495" s="871">
        <f t="shared" si="15"/>
        <v>44166</v>
      </c>
    </row>
    <row r="496" spans="1:34" hidden="1">
      <c r="A496">
        <v>7</v>
      </c>
      <c r="B496">
        <v>400</v>
      </c>
      <c r="C496" t="s">
        <v>208</v>
      </c>
      <c r="D496">
        <v>164</v>
      </c>
      <c r="E496">
        <v>415411.06</v>
      </c>
      <c r="F496">
        <v>0</v>
      </c>
      <c r="G496" t="s">
        <v>177</v>
      </c>
      <c r="H496" t="s">
        <v>177</v>
      </c>
      <c r="I496" s="876">
        <v>44193</v>
      </c>
      <c r="J496">
        <v>7</v>
      </c>
      <c r="K496" t="s">
        <v>208</v>
      </c>
      <c r="L496">
        <v>400</v>
      </c>
      <c r="M496">
        <v>1</v>
      </c>
      <c r="N496">
        <v>0</v>
      </c>
      <c r="O496">
        <v>0</v>
      </c>
      <c r="P496">
        <v>0</v>
      </c>
      <c r="Q496">
        <v>0.94598170365656298</v>
      </c>
      <c r="R496">
        <v>5.6778569582843698E-2</v>
      </c>
      <c r="S496">
        <v>0</v>
      </c>
      <c r="T496">
        <v>5.19750491218453E-2</v>
      </c>
      <c r="U496">
        <v>0</v>
      </c>
      <c r="V496">
        <v>-5.4722333647415099E-2</v>
      </c>
      <c r="W496">
        <v>-1.298871383697E-5</v>
      </c>
      <c r="X496">
        <v>0</v>
      </c>
      <c r="Y496" t="s">
        <v>177</v>
      </c>
      <c r="Z496" t="s">
        <v>177</v>
      </c>
      <c r="AA496" t="s">
        <v>177</v>
      </c>
      <c r="AB496" t="s">
        <v>177</v>
      </c>
      <c r="AC496" t="s">
        <v>177</v>
      </c>
      <c r="AD496" t="s">
        <v>177</v>
      </c>
      <c r="AE496" t="s">
        <v>177</v>
      </c>
      <c r="AF496" t="s">
        <v>177</v>
      </c>
      <c r="AG496" s="876">
        <v>44193</v>
      </c>
      <c r="AH496" s="871">
        <f t="shared" si="15"/>
        <v>44166</v>
      </c>
    </row>
    <row r="497" spans="1:34" hidden="1">
      <c r="A497">
        <v>8</v>
      </c>
      <c r="B497">
        <v>400</v>
      </c>
      <c r="C497" t="s">
        <v>208</v>
      </c>
      <c r="D497">
        <v>164</v>
      </c>
      <c r="E497">
        <v>0</v>
      </c>
      <c r="F497">
        <v>0</v>
      </c>
      <c r="G497" t="s">
        <v>177</v>
      </c>
      <c r="H497" t="s">
        <v>177</v>
      </c>
      <c r="I497" s="876">
        <v>44208</v>
      </c>
      <c r="J497">
        <v>8</v>
      </c>
      <c r="K497" t="s">
        <v>208</v>
      </c>
      <c r="L497">
        <v>400</v>
      </c>
      <c r="M497">
        <v>1</v>
      </c>
      <c r="N497">
        <v>0</v>
      </c>
      <c r="O497">
        <v>0</v>
      </c>
      <c r="P497">
        <v>0</v>
      </c>
      <c r="Q497">
        <v>0.94598170365656298</v>
      </c>
      <c r="R497">
        <v>5.6778569582843698E-2</v>
      </c>
      <c r="S497">
        <v>0</v>
      </c>
      <c r="T497">
        <v>5.19750491218453E-2</v>
      </c>
      <c r="U497">
        <v>0</v>
      </c>
      <c r="V497">
        <v>-5.4722333647415099E-2</v>
      </c>
      <c r="W497">
        <v>-1.298871383697E-5</v>
      </c>
      <c r="X497">
        <v>0</v>
      </c>
      <c r="Y497" t="s">
        <v>177</v>
      </c>
      <c r="Z497" t="s">
        <v>177</v>
      </c>
      <c r="AA497" t="s">
        <v>177</v>
      </c>
      <c r="AB497" t="s">
        <v>177</v>
      </c>
      <c r="AC497" t="s">
        <v>177</v>
      </c>
      <c r="AD497" t="s">
        <v>177</v>
      </c>
      <c r="AE497" t="s">
        <v>177</v>
      </c>
      <c r="AF497" t="s">
        <v>177</v>
      </c>
      <c r="AG497" s="876">
        <v>44208</v>
      </c>
      <c r="AH497" s="871">
        <f t="shared" si="15"/>
        <v>44197</v>
      </c>
    </row>
  </sheetData>
  <autoFilter ref="A1:AH497" xr:uid="{844F8760-4D77-4DBF-A815-C43DDCED0DD9}">
    <filterColumn colId="2">
      <filters>
        <filter val="Creluz"/>
      </filters>
    </filterColumn>
    <sortState xmlns:xlrd2="http://schemas.microsoft.com/office/spreadsheetml/2017/richdata2" ref="A2:AH497">
      <sortCondition ref="K1:K497"/>
    </sortState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1134"/>
  <sheetViews>
    <sheetView topLeftCell="E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247</v>
      </c>
      <c r="B1" t="s">
        <v>248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36</v>
      </c>
      <c r="J1" s="744" t="s">
        <v>247</v>
      </c>
      <c r="K1" s="744" t="s">
        <v>253</v>
      </c>
      <c r="L1" s="744" t="s">
        <v>252</v>
      </c>
      <c r="M1" s="744" t="s">
        <v>252</v>
      </c>
      <c r="O1" t="s">
        <v>247</v>
      </c>
      <c r="P1" t="s">
        <v>248</v>
      </c>
      <c r="Q1" t="s">
        <v>249</v>
      </c>
      <c r="R1" t="s">
        <v>250</v>
      </c>
      <c r="S1" t="s">
        <v>251</v>
      </c>
      <c r="T1" t="s">
        <v>252</v>
      </c>
      <c r="U1" t="s">
        <v>253</v>
      </c>
      <c r="V1" t="s">
        <v>36</v>
      </c>
      <c r="X1" t="s">
        <v>249</v>
      </c>
      <c r="Y1" t="s">
        <v>250</v>
      </c>
      <c r="Z1" t="s">
        <v>251</v>
      </c>
      <c r="AB1" t="s">
        <v>249</v>
      </c>
      <c r="AC1" t="s">
        <v>250</v>
      </c>
      <c r="AD1" t="s">
        <v>251</v>
      </c>
      <c r="AE1" t="s">
        <v>253</v>
      </c>
      <c r="AH1" t="s">
        <v>249</v>
      </c>
      <c r="AI1" t="s">
        <v>254</v>
      </c>
      <c r="AJ1" t="s">
        <v>255</v>
      </c>
    </row>
    <row r="2" spans="1:36">
      <c r="A2" t="s">
        <v>2292</v>
      </c>
      <c r="B2" t="s">
        <v>2293</v>
      </c>
      <c r="C2" t="s">
        <v>2294</v>
      </c>
      <c r="D2" t="s">
        <v>2295</v>
      </c>
      <c r="E2" t="s">
        <v>2296</v>
      </c>
      <c r="F2">
        <v>202104</v>
      </c>
      <c r="G2" t="s">
        <v>256</v>
      </c>
      <c r="H2">
        <v>0</v>
      </c>
      <c r="J2" s="745">
        <f>CAPA!K12</f>
        <v>598</v>
      </c>
      <c r="K2" s="745" t="s">
        <v>257</v>
      </c>
      <c r="L2" s="745" t="str">
        <f>"&gt;="&amp;K6</f>
        <v>&gt;=202107</v>
      </c>
      <c r="M2" s="745" t="str">
        <f>"&lt;="&amp;K7</f>
        <v>&lt;=202206</v>
      </c>
      <c r="O2" t="s">
        <v>2292</v>
      </c>
      <c r="P2" t="s">
        <v>2293</v>
      </c>
      <c r="Q2" t="s">
        <v>2294</v>
      </c>
      <c r="R2" t="s">
        <v>2295</v>
      </c>
      <c r="S2" t="s">
        <v>2296</v>
      </c>
      <c r="T2">
        <v>202107</v>
      </c>
      <c r="U2" t="s">
        <v>258</v>
      </c>
      <c r="V2">
        <v>19000</v>
      </c>
      <c r="X2" t="s">
        <v>2294</v>
      </c>
      <c r="Y2" t="s">
        <v>2295</v>
      </c>
      <c r="Z2" t="s">
        <v>2296</v>
      </c>
      <c r="AB2" t="s">
        <v>2294</v>
      </c>
      <c r="AC2" t="s">
        <v>2295</v>
      </c>
      <c r="AD2" t="s">
        <v>2296</v>
      </c>
      <c r="AE2" t="s">
        <v>258</v>
      </c>
      <c r="AH2" t="s">
        <v>2294</v>
      </c>
      <c r="AI2">
        <f>_xlfn.MAXIFS(F:F,C:C,AH2)</f>
        <v>202205</v>
      </c>
      <c r="AJ2">
        <f>IFERROR(ROUND((DATE(ROUND($K$7/100,0),$K$7-ROUND($K$7/100,0)*100,1)-DATE(ROUND(AI2/100,0),AI2-ROUND(AI2/100,0)*100,1))/30,0),"Nada")</f>
        <v>1</v>
      </c>
    </row>
    <row r="3" spans="1:36">
      <c r="A3" t="s">
        <v>2292</v>
      </c>
      <c r="B3" t="s">
        <v>2293</v>
      </c>
      <c r="C3" t="s">
        <v>2294</v>
      </c>
      <c r="D3" t="s">
        <v>2295</v>
      </c>
      <c r="E3" t="s">
        <v>2296</v>
      </c>
      <c r="F3">
        <v>202105</v>
      </c>
      <c r="G3" t="s">
        <v>256</v>
      </c>
      <c r="H3">
        <v>0</v>
      </c>
      <c r="J3" s="745">
        <f>J2</f>
        <v>598</v>
      </c>
      <c r="K3" s="745" t="s">
        <v>259</v>
      </c>
      <c r="L3" s="745" t="str">
        <f>L2</f>
        <v>&gt;=202107</v>
      </c>
      <c r="M3" s="745" t="str">
        <f>M2</f>
        <v>&lt;=202206</v>
      </c>
      <c r="O3" t="s">
        <v>2292</v>
      </c>
      <c r="P3" t="s">
        <v>2293</v>
      </c>
      <c r="Q3" t="s">
        <v>2294</v>
      </c>
      <c r="R3" t="s">
        <v>2295</v>
      </c>
      <c r="S3" t="s">
        <v>2296</v>
      </c>
      <c r="T3">
        <v>202107</v>
      </c>
      <c r="U3" t="s">
        <v>260</v>
      </c>
      <c r="V3">
        <v>13856.59</v>
      </c>
      <c r="X3" t="s">
        <v>2294</v>
      </c>
      <c r="Y3" t="s">
        <v>2295</v>
      </c>
      <c r="Z3" t="s">
        <v>261</v>
      </c>
      <c r="AB3" t="s">
        <v>2294</v>
      </c>
      <c r="AC3" t="s">
        <v>2295</v>
      </c>
      <c r="AD3" t="s">
        <v>2296</v>
      </c>
      <c r="AE3" t="s">
        <v>260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2292</v>
      </c>
      <c r="B4" t="s">
        <v>2293</v>
      </c>
      <c r="C4" t="s">
        <v>2294</v>
      </c>
      <c r="D4" t="s">
        <v>2295</v>
      </c>
      <c r="E4" t="s">
        <v>2296</v>
      </c>
      <c r="F4">
        <v>202106</v>
      </c>
      <c r="G4" t="s">
        <v>256</v>
      </c>
      <c r="H4">
        <v>-0.01</v>
      </c>
      <c r="J4" s="747">
        <f>J3</f>
        <v>598</v>
      </c>
      <c r="K4" s="745" t="s">
        <v>262</v>
      </c>
      <c r="L4" s="746" t="str">
        <f>L2</f>
        <v>&gt;=202107</v>
      </c>
      <c r="M4" s="746" t="str">
        <f>M2</f>
        <v>&lt;=202206</v>
      </c>
      <c r="O4" t="s">
        <v>2292</v>
      </c>
      <c r="P4" t="s">
        <v>2293</v>
      </c>
      <c r="Q4" t="s">
        <v>2294</v>
      </c>
      <c r="R4" t="s">
        <v>2295</v>
      </c>
      <c r="S4" t="s">
        <v>2296</v>
      </c>
      <c r="T4">
        <v>202108</v>
      </c>
      <c r="U4" t="s">
        <v>258</v>
      </c>
      <c r="V4">
        <v>19000</v>
      </c>
      <c r="AB4" t="s">
        <v>2294</v>
      </c>
      <c r="AC4" t="s">
        <v>2295</v>
      </c>
      <c r="AD4" t="s">
        <v>261</v>
      </c>
      <c r="AE4" t="s">
        <v>258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2292</v>
      </c>
      <c r="B5" t="s">
        <v>2293</v>
      </c>
      <c r="C5" t="s">
        <v>2294</v>
      </c>
      <c r="D5" t="s">
        <v>2295</v>
      </c>
      <c r="E5" t="s">
        <v>2296</v>
      </c>
      <c r="F5">
        <v>202107</v>
      </c>
      <c r="G5" t="s">
        <v>256</v>
      </c>
      <c r="H5">
        <v>-0.01</v>
      </c>
      <c r="J5" s="747">
        <f>J4</f>
        <v>598</v>
      </c>
      <c r="K5" s="975" t="s">
        <v>263</v>
      </c>
      <c r="L5" s="746" t="str">
        <f>L3</f>
        <v>&gt;=202107</v>
      </c>
      <c r="M5" s="746" t="str">
        <f>M3</f>
        <v>&lt;=202206</v>
      </c>
      <c r="O5" t="s">
        <v>2292</v>
      </c>
      <c r="P5" t="s">
        <v>2293</v>
      </c>
      <c r="Q5" t="s">
        <v>2294</v>
      </c>
      <c r="R5" t="s">
        <v>2295</v>
      </c>
      <c r="S5" t="s">
        <v>2296</v>
      </c>
      <c r="T5">
        <v>202108</v>
      </c>
      <c r="U5" t="s">
        <v>260</v>
      </c>
      <c r="V5">
        <v>13712.84</v>
      </c>
      <c r="AB5" t="s">
        <v>2294</v>
      </c>
      <c r="AC5" t="s">
        <v>2295</v>
      </c>
      <c r="AD5" t="s">
        <v>261</v>
      </c>
      <c r="AE5" t="s">
        <v>260</v>
      </c>
      <c r="AI5">
        <f t="shared" si="0"/>
        <v>0</v>
      </c>
      <c r="AJ5" t="str">
        <f t="shared" si="1"/>
        <v>Nada</v>
      </c>
    </row>
    <row r="6" spans="1:36">
      <c r="A6" t="s">
        <v>2292</v>
      </c>
      <c r="B6" t="s">
        <v>2293</v>
      </c>
      <c r="C6" t="s">
        <v>2294</v>
      </c>
      <c r="D6" t="s">
        <v>2295</v>
      </c>
      <c r="E6" t="s">
        <v>2296</v>
      </c>
      <c r="F6">
        <v>202108</v>
      </c>
      <c r="G6" t="s">
        <v>256</v>
      </c>
      <c r="H6">
        <v>0</v>
      </c>
      <c r="J6" t="s">
        <v>264</v>
      </c>
      <c r="K6">
        <f>(YEAR(SAS_RA0_DataInicio)*100+MONTH(SAS_RA0_DataInicio))</f>
        <v>202107</v>
      </c>
      <c r="O6" t="s">
        <v>2292</v>
      </c>
      <c r="P6" t="s">
        <v>2293</v>
      </c>
      <c r="Q6" t="s">
        <v>2294</v>
      </c>
      <c r="R6" t="s">
        <v>2295</v>
      </c>
      <c r="S6" t="s">
        <v>2296</v>
      </c>
      <c r="T6">
        <v>202109</v>
      </c>
      <c r="U6" t="s">
        <v>258</v>
      </c>
      <c r="V6">
        <v>19000</v>
      </c>
      <c r="AB6" t="s">
        <v>2294</v>
      </c>
      <c r="AC6" t="s">
        <v>2295</v>
      </c>
      <c r="AD6" t="s">
        <v>2296</v>
      </c>
      <c r="AE6" t="s">
        <v>266</v>
      </c>
      <c r="AI6">
        <f t="shared" si="0"/>
        <v>0</v>
      </c>
      <c r="AJ6" t="str">
        <f t="shared" si="1"/>
        <v>Nada</v>
      </c>
    </row>
    <row r="7" spans="1:36">
      <c r="A7" t="s">
        <v>2292</v>
      </c>
      <c r="B7" t="s">
        <v>2293</v>
      </c>
      <c r="C7" t="s">
        <v>2294</v>
      </c>
      <c r="D7" t="s">
        <v>2295</v>
      </c>
      <c r="E7" t="s">
        <v>2296</v>
      </c>
      <c r="F7">
        <v>202109</v>
      </c>
      <c r="G7" t="s">
        <v>256</v>
      </c>
      <c r="H7">
        <v>-0.02</v>
      </c>
      <c r="J7" t="s">
        <v>265</v>
      </c>
      <c r="K7">
        <f>YEAR(SAS_RA0_DataFim)*100+MONTH(SAS_RA0_DataFim)</f>
        <v>202206</v>
      </c>
      <c r="O7" t="s">
        <v>2292</v>
      </c>
      <c r="P7" t="s">
        <v>2293</v>
      </c>
      <c r="Q7" t="s">
        <v>2294</v>
      </c>
      <c r="R7" t="s">
        <v>2295</v>
      </c>
      <c r="S7" t="s">
        <v>2296</v>
      </c>
      <c r="T7">
        <v>202109</v>
      </c>
      <c r="U7" t="s">
        <v>260</v>
      </c>
      <c r="V7">
        <v>13651.57</v>
      </c>
      <c r="AB7" t="s">
        <v>2294</v>
      </c>
      <c r="AC7" t="s">
        <v>2295</v>
      </c>
      <c r="AD7" t="s">
        <v>2296</v>
      </c>
      <c r="AE7" t="s">
        <v>267</v>
      </c>
      <c r="AI7">
        <f t="shared" si="0"/>
        <v>0</v>
      </c>
      <c r="AJ7" t="str">
        <f t="shared" si="1"/>
        <v>Nada</v>
      </c>
    </row>
    <row r="8" spans="1:36">
      <c r="A8" t="s">
        <v>2292</v>
      </c>
      <c r="B8" t="s">
        <v>2293</v>
      </c>
      <c r="C8" t="s">
        <v>2294</v>
      </c>
      <c r="D8" t="s">
        <v>2295</v>
      </c>
      <c r="E8" t="s">
        <v>2296</v>
      </c>
      <c r="F8">
        <v>202110</v>
      </c>
      <c r="G8" t="s">
        <v>256</v>
      </c>
      <c r="H8">
        <v>0</v>
      </c>
      <c r="J8" t="s">
        <v>254</v>
      </c>
      <c r="K8" s="656">
        <f>MAX(AI:AI)</f>
        <v>202205</v>
      </c>
      <c r="O8" t="s">
        <v>2292</v>
      </c>
      <c r="P8" t="s">
        <v>2293</v>
      </c>
      <c r="Q8" t="s">
        <v>2294</v>
      </c>
      <c r="R8" t="s">
        <v>2295</v>
      </c>
      <c r="S8" t="s">
        <v>2296</v>
      </c>
      <c r="T8">
        <v>202110</v>
      </c>
      <c r="U8" t="s">
        <v>258</v>
      </c>
      <c r="V8">
        <v>19000</v>
      </c>
      <c r="AB8" t="s">
        <v>2294</v>
      </c>
      <c r="AC8" t="s">
        <v>2295</v>
      </c>
      <c r="AD8" t="s">
        <v>2296</v>
      </c>
      <c r="AE8" t="s">
        <v>268</v>
      </c>
      <c r="AI8">
        <f t="shared" si="0"/>
        <v>0</v>
      </c>
      <c r="AJ8" t="str">
        <f t="shared" si="1"/>
        <v>Nada</v>
      </c>
    </row>
    <row r="9" spans="1:36">
      <c r="A9" t="s">
        <v>2292</v>
      </c>
      <c r="B9" t="s">
        <v>2293</v>
      </c>
      <c r="C9" t="s">
        <v>2294</v>
      </c>
      <c r="D9" t="s">
        <v>2295</v>
      </c>
      <c r="E9" t="s">
        <v>2296</v>
      </c>
      <c r="F9">
        <v>202111</v>
      </c>
      <c r="G9" t="s">
        <v>256</v>
      </c>
      <c r="H9">
        <v>-213.7</v>
      </c>
      <c r="J9" t="s">
        <v>255</v>
      </c>
      <c r="K9" s="656">
        <f>MAX(AJ:AJ)</f>
        <v>1</v>
      </c>
      <c r="O9" t="s">
        <v>2292</v>
      </c>
      <c r="P9" t="s">
        <v>2293</v>
      </c>
      <c r="Q9" t="s">
        <v>2294</v>
      </c>
      <c r="R9" t="s">
        <v>2295</v>
      </c>
      <c r="S9" t="s">
        <v>2296</v>
      </c>
      <c r="T9">
        <v>202110</v>
      </c>
      <c r="U9" t="s">
        <v>260</v>
      </c>
      <c r="V9">
        <v>13620.36</v>
      </c>
      <c r="AB9" t="s">
        <v>2294</v>
      </c>
      <c r="AC9" t="s">
        <v>2295</v>
      </c>
      <c r="AD9" t="s">
        <v>261</v>
      </c>
      <c r="AE9" t="s">
        <v>266</v>
      </c>
    </row>
    <row r="10" spans="1:36">
      <c r="A10" t="s">
        <v>2292</v>
      </c>
      <c r="B10" t="s">
        <v>2293</v>
      </c>
      <c r="C10" t="s">
        <v>2294</v>
      </c>
      <c r="D10" t="s">
        <v>2295</v>
      </c>
      <c r="E10" t="s">
        <v>2296</v>
      </c>
      <c r="F10">
        <v>202112</v>
      </c>
      <c r="G10" t="s">
        <v>256</v>
      </c>
      <c r="H10">
        <v>0</v>
      </c>
      <c r="O10" t="s">
        <v>2292</v>
      </c>
      <c r="P10" t="s">
        <v>2293</v>
      </c>
      <c r="Q10" t="s">
        <v>2294</v>
      </c>
      <c r="R10" t="s">
        <v>2295</v>
      </c>
      <c r="S10" t="s">
        <v>2296</v>
      </c>
      <c r="T10">
        <v>202111</v>
      </c>
      <c r="U10" t="s">
        <v>258</v>
      </c>
      <c r="V10">
        <v>19000</v>
      </c>
      <c r="AB10" t="s">
        <v>2294</v>
      </c>
      <c r="AC10" t="s">
        <v>2295</v>
      </c>
      <c r="AD10" t="s">
        <v>261</v>
      </c>
      <c r="AE10" t="s">
        <v>267</v>
      </c>
    </row>
    <row r="11" spans="1:36">
      <c r="A11" t="s">
        <v>2292</v>
      </c>
      <c r="B11" t="s">
        <v>2293</v>
      </c>
      <c r="C11" t="s">
        <v>2294</v>
      </c>
      <c r="D11" t="s">
        <v>2295</v>
      </c>
      <c r="E11" t="s">
        <v>2296</v>
      </c>
      <c r="F11">
        <v>202201</v>
      </c>
      <c r="G11" t="s">
        <v>256</v>
      </c>
      <c r="H11">
        <v>-24861.77</v>
      </c>
      <c r="J11" s="810">
        <f>VALUE(A2)</f>
        <v>598</v>
      </c>
      <c r="O11" t="s">
        <v>2292</v>
      </c>
      <c r="P11" t="s">
        <v>2293</v>
      </c>
      <c r="Q11" t="s">
        <v>2294</v>
      </c>
      <c r="R11" t="s">
        <v>2295</v>
      </c>
      <c r="S11" t="s">
        <v>2296</v>
      </c>
      <c r="T11">
        <v>202111</v>
      </c>
      <c r="U11" t="s">
        <v>260</v>
      </c>
      <c r="V11">
        <v>13589.61</v>
      </c>
      <c r="AB11" t="s">
        <v>2294</v>
      </c>
      <c r="AC11" t="s">
        <v>2295</v>
      </c>
      <c r="AD11" t="s">
        <v>261</v>
      </c>
      <c r="AE11" t="s">
        <v>268</v>
      </c>
    </row>
    <row r="12" spans="1:36">
      <c r="A12" t="s">
        <v>2292</v>
      </c>
      <c r="B12" t="s">
        <v>2293</v>
      </c>
      <c r="C12" t="s">
        <v>2294</v>
      </c>
      <c r="D12" t="s">
        <v>2295</v>
      </c>
      <c r="E12" t="s">
        <v>2296</v>
      </c>
      <c r="F12">
        <v>202202</v>
      </c>
      <c r="G12" t="s">
        <v>256</v>
      </c>
      <c r="H12">
        <v>0</v>
      </c>
      <c r="K12" s="8"/>
      <c r="O12" t="s">
        <v>2292</v>
      </c>
      <c r="P12" t="s">
        <v>2293</v>
      </c>
      <c r="Q12" t="s">
        <v>2294</v>
      </c>
      <c r="R12" t="s">
        <v>2295</v>
      </c>
      <c r="S12" t="s">
        <v>2296</v>
      </c>
      <c r="T12">
        <v>202112</v>
      </c>
      <c r="U12" t="s">
        <v>258</v>
      </c>
      <c r="V12">
        <v>19000</v>
      </c>
    </row>
    <row r="13" spans="1:36">
      <c r="A13" t="s">
        <v>2292</v>
      </c>
      <c r="B13" t="s">
        <v>2293</v>
      </c>
      <c r="C13" t="s">
        <v>2294</v>
      </c>
      <c r="D13" t="s">
        <v>2295</v>
      </c>
      <c r="E13" t="s">
        <v>2296</v>
      </c>
      <c r="F13">
        <v>202203</v>
      </c>
      <c r="G13" t="s">
        <v>256</v>
      </c>
      <c r="H13">
        <v>0</v>
      </c>
      <c r="O13" t="s">
        <v>2292</v>
      </c>
      <c r="P13" t="s">
        <v>2293</v>
      </c>
      <c r="Q13" t="s">
        <v>2294</v>
      </c>
      <c r="R13" t="s">
        <v>2295</v>
      </c>
      <c r="S13" t="s">
        <v>2296</v>
      </c>
      <c r="T13">
        <v>202112</v>
      </c>
      <c r="U13" t="s">
        <v>260</v>
      </c>
      <c r="V13">
        <v>13974.65</v>
      </c>
    </row>
    <row r="14" spans="1:36">
      <c r="A14" t="s">
        <v>2292</v>
      </c>
      <c r="B14" t="s">
        <v>2293</v>
      </c>
      <c r="C14" t="s">
        <v>2294</v>
      </c>
      <c r="D14" t="s">
        <v>2295</v>
      </c>
      <c r="E14" t="s">
        <v>2296</v>
      </c>
      <c r="F14">
        <v>202204</v>
      </c>
      <c r="G14" t="s">
        <v>256</v>
      </c>
      <c r="H14">
        <v>-2596.85</v>
      </c>
      <c r="O14" t="s">
        <v>2292</v>
      </c>
      <c r="P14" t="s">
        <v>2293</v>
      </c>
      <c r="Q14" t="s">
        <v>2294</v>
      </c>
      <c r="R14" t="s">
        <v>2295</v>
      </c>
      <c r="S14" t="s">
        <v>2296</v>
      </c>
      <c r="T14">
        <v>202201</v>
      </c>
      <c r="U14" t="s">
        <v>258</v>
      </c>
      <c r="V14">
        <v>18959.45</v>
      </c>
    </row>
    <row r="15" spans="1:36">
      <c r="A15" t="s">
        <v>2292</v>
      </c>
      <c r="B15" t="s">
        <v>2293</v>
      </c>
      <c r="C15" t="s">
        <v>2294</v>
      </c>
      <c r="D15" t="s">
        <v>2295</v>
      </c>
      <c r="E15" t="s">
        <v>2296</v>
      </c>
      <c r="F15">
        <v>202205</v>
      </c>
      <c r="G15" t="s">
        <v>256</v>
      </c>
      <c r="H15">
        <v>-14187.78</v>
      </c>
      <c r="O15" t="s">
        <v>2292</v>
      </c>
      <c r="P15" t="s">
        <v>2293</v>
      </c>
      <c r="Q15" t="s">
        <v>2294</v>
      </c>
      <c r="R15" t="s">
        <v>2295</v>
      </c>
      <c r="S15" t="s">
        <v>2296</v>
      </c>
      <c r="T15">
        <v>202201</v>
      </c>
      <c r="U15" t="s">
        <v>260</v>
      </c>
      <c r="V15">
        <v>15113.26</v>
      </c>
    </row>
    <row r="16" spans="1:36">
      <c r="A16" t="s">
        <v>2292</v>
      </c>
      <c r="B16" t="s">
        <v>2293</v>
      </c>
      <c r="C16" t="s">
        <v>2294</v>
      </c>
      <c r="D16" t="s">
        <v>2295</v>
      </c>
      <c r="E16" t="s">
        <v>261</v>
      </c>
      <c r="F16">
        <v>202104</v>
      </c>
      <c r="G16" t="s">
        <v>256</v>
      </c>
      <c r="H16">
        <v>-0.01</v>
      </c>
      <c r="O16" t="s">
        <v>2292</v>
      </c>
      <c r="P16" t="s">
        <v>2293</v>
      </c>
      <c r="Q16" t="s">
        <v>2294</v>
      </c>
      <c r="R16" t="s">
        <v>2295</v>
      </c>
      <c r="S16" t="s">
        <v>2296</v>
      </c>
      <c r="T16">
        <v>202202</v>
      </c>
      <c r="U16" t="s">
        <v>258</v>
      </c>
      <c r="V16">
        <v>18085.93</v>
      </c>
    </row>
    <row r="17" spans="1:22">
      <c r="A17" t="s">
        <v>2292</v>
      </c>
      <c r="B17" t="s">
        <v>2293</v>
      </c>
      <c r="C17" t="s">
        <v>2294</v>
      </c>
      <c r="D17" t="s">
        <v>2295</v>
      </c>
      <c r="E17" t="s">
        <v>261</v>
      </c>
      <c r="F17">
        <v>202105</v>
      </c>
      <c r="G17" t="s">
        <v>256</v>
      </c>
      <c r="H17">
        <v>-14262.7</v>
      </c>
      <c r="O17" t="s">
        <v>2292</v>
      </c>
      <c r="P17" t="s">
        <v>2293</v>
      </c>
      <c r="Q17" t="s">
        <v>2294</v>
      </c>
      <c r="R17" t="s">
        <v>2295</v>
      </c>
      <c r="S17" t="s">
        <v>2296</v>
      </c>
      <c r="T17">
        <v>202202</v>
      </c>
      <c r="U17" t="s">
        <v>260</v>
      </c>
      <c r="V17">
        <v>14150.57</v>
      </c>
    </row>
    <row r="18" spans="1:22">
      <c r="A18" t="s">
        <v>2292</v>
      </c>
      <c r="B18" t="s">
        <v>2293</v>
      </c>
      <c r="C18" t="s">
        <v>2294</v>
      </c>
      <c r="D18" t="s">
        <v>2295</v>
      </c>
      <c r="E18" t="s">
        <v>261</v>
      </c>
      <c r="F18">
        <v>202106</v>
      </c>
      <c r="G18" t="s">
        <v>256</v>
      </c>
      <c r="H18">
        <v>-36.020000000000003</v>
      </c>
      <c r="O18" t="s">
        <v>2292</v>
      </c>
      <c r="P18" t="s">
        <v>2293</v>
      </c>
      <c r="Q18" t="s">
        <v>2294</v>
      </c>
      <c r="R18" t="s">
        <v>2295</v>
      </c>
      <c r="S18" t="s">
        <v>2296</v>
      </c>
      <c r="T18">
        <v>202203</v>
      </c>
      <c r="U18" t="s">
        <v>258</v>
      </c>
      <c r="V18">
        <v>17000</v>
      </c>
    </row>
    <row r="19" spans="1:22">
      <c r="A19" t="s">
        <v>2292</v>
      </c>
      <c r="B19" t="s">
        <v>2293</v>
      </c>
      <c r="C19" t="s">
        <v>2294</v>
      </c>
      <c r="D19" t="s">
        <v>2295</v>
      </c>
      <c r="E19" t="s">
        <v>261</v>
      </c>
      <c r="F19">
        <v>202107</v>
      </c>
      <c r="G19" t="s">
        <v>256</v>
      </c>
      <c r="H19">
        <v>-10021.93</v>
      </c>
      <c r="O19" t="s">
        <v>2292</v>
      </c>
      <c r="P19" t="s">
        <v>2293</v>
      </c>
      <c r="Q19" t="s">
        <v>2294</v>
      </c>
      <c r="R19" t="s">
        <v>2295</v>
      </c>
      <c r="S19" t="s">
        <v>2296</v>
      </c>
      <c r="T19">
        <v>202203</v>
      </c>
      <c r="U19" t="s">
        <v>260</v>
      </c>
      <c r="V19">
        <v>14333.22</v>
      </c>
    </row>
    <row r="20" spans="1:22">
      <c r="A20" t="s">
        <v>2292</v>
      </c>
      <c r="B20" t="s">
        <v>2293</v>
      </c>
      <c r="C20" t="s">
        <v>2294</v>
      </c>
      <c r="D20" t="s">
        <v>2295</v>
      </c>
      <c r="E20" t="s">
        <v>261</v>
      </c>
      <c r="F20">
        <v>202108</v>
      </c>
      <c r="G20" t="s">
        <v>256</v>
      </c>
      <c r="H20">
        <v>-1044.79</v>
      </c>
      <c r="O20" t="s">
        <v>2292</v>
      </c>
      <c r="P20" t="s">
        <v>2293</v>
      </c>
      <c r="Q20" t="s">
        <v>2294</v>
      </c>
      <c r="R20" t="s">
        <v>2295</v>
      </c>
      <c r="S20" t="s">
        <v>2296</v>
      </c>
      <c r="T20">
        <v>202204</v>
      </c>
      <c r="U20" t="s">
        <v>258</v>
      </c>
      <c r="V20">
        <v>17000</v>
      </c>
    </row>
    <row r="21" spans="1:22">
      <c r="A21" t="s">
        <v>2292</v>
      </c>
      <c r="B21" t="s">
        <v>2293</v>
      </c>
      <c r="C21" t="s">
        <v>2294</v>
      </c>
      <c r="D21" t="s">
        <v>2295</v>
      </c>
      <c r="E21" t="s">
        <v>261</v>
      </c>
      <c r="F21">
        <v>202109</v>
      </c>
      <c r="G21" t="s">
        <v>256</v>
      </c>
      <c r="H21">
        <v>0</v>
      </c>
      <c r="O21" t="s">
        <v>2292</v>
      </c>
      <c r="P21" t="s">
        <v>2293</v>
      </c>
      <c r="Q21" t="s">
        <v>2294</v>
      </c>
      <c r="R21" t="s">
        <v>2295</v>
      </c>
      <c r="S21" t="s">
        <v>2296</v>
      </c>
      <c r="T21">
        <v>202204</v>
      </c>
      <c r="U21" t="s">
        <v>260</v>
      </c>
      <c r="V21">
        <v>13500</v>
      </c>
    </row>
    <row r="22" spans="1:22">
      <c r="A22" t="s">
        <v>2292</v>
      </c>
      <c r="B22" t="s">
        <v>2293</v>
      </c>
      <c r="C22" t="s">
        <v>2294</v>
      </c>
      <c r="D22" t="s">
        <v>2295</v>
      </c>
      <c r="E22" t="s">
        <v>261</v>
      </c>
      <c r="F22">
        <v>202110</v>
      </c>
      <c r="G22" t="s">
        <v>256</v>
      </c>
      <c r="H22">
        <v>0</v>
      </c>
      <c r="O22" t="s">
        <v>2292</v>
      </c>
      <c r="P22" t="s">
        <v>2293</v>
      </c>
      <c r="Q22" t="s">
        <v>2294</v>
      </c>
      <c r="R22" t="s">
        <v>2295</v>
      </c>
      <c r="S22" t="s">
        <v>2296</v>
      </c>
      <c r="T22">
        <v>202205</v>
      </c>
      <c r="U22" t="s">
        <v>258</v>
      </c>
      <c r="V22">
        <v>17000</v>
      </c>
    </row>
    <row r="23" spans="1:22">
      <c r="A23" t="s">
        <v>2292</v>
      </c>
      <c r="B23" t="s">
        <v>2293</v>
      </c>
      <c r="C23" t="s">
        <v>2294</v>
      </c>
      <c r="D23" t="s">
        <v>2295</v>
      </c>
      <c r="E23" t="s">
        <v>261</v>
      </c>
      <c r="F23">
        <v>202111</v>
      </c>
      <c r="G23" t="s">
        <v>256</v>
      </c>
      <c r="H23">
        <v>-3324.07</v>
      </c>
      <c r="O23" t="s">
        <v>2292</v>
      </c>
      <c r="P23" t="s">
        <v>2293</v>
      </c>
      <c r="Q23" t="s">
        <v>2294</v>
      </c>
      <c r="R23" t="s">
        <v>2295</v>
      </c>
      <c r="S23" t="s">
        <v>2296</v>
      </c>
      <c r="T23">
        <v>202205</v>
      </c>
      <c r="U23" t="s">
        <v>260</v>
      </c>
      <c r="V23">
        <v>19068.16</v>
      </c>
    </row>
    <row r="24" spans="1:22">
      <c r="A24" t="s">
        <v>2292</v>
      </c>
      <c r="B24" t="s">
        <v>2293</v>
      </c>
      <c r="C24" t="s">
        <v>2294</v>
      </c>
      <c r="D24" t="s">
        <v>2295</v>
      </c>
      <c r="E24" t="s">
        <v>261</v>
      </c>
      <c r="F24">
        <v>202112</v>
      </c>
      <c r="G24" t="s">
        <v>256</v>
      </c>
      <c r="H24">
        <v>0</v>
      </c>
      <c r="O24" t="s">
        <v>2292</v>
      </c>
      <c r="P24" t="s">
        <v>2293</v>
      </c>
      <c r="Q24" t="s">
        <v>2294</v>
      </c>
      <c r="R24" t="s">
        <v>2295</v>
      </c>
      <c r="S24" t="s">
        <v>261</v>
      </c>
      <c r="T24">
        <v>202107</v>
      </c>
      <c r="U24" t="s">
        <v>258</v>
      </c>
      <c r="V24">
        <v>16438.63</v>
      </c>
    </row>
    <row r="25" spans="1:22">
      <c r="A25" t="s">
        <v>2292</v>
      </c>
      <c r="B25" t="s">
        <v>2293</v>
      </c>
      <c r="C25" t="s">
        <v>2294</v>
      </c>
      <c r="D25" t="s">
        <v>2295</v>
      </c>
      <c r="E25" t="s">
        <v>261</v>
      </c>
      <c r="F25">
        <v>202201</v>
      </c>
      <c r="G25" t="s">
        <v>256</v>
      </c>
      <c r="H25">
        <v>-22899.86</v>
      </c>
      <c r="O25" t="s">
        <v>2292</v>
      </c>
      <c r="P25" t="s">
        <v>2293</v>
      </c>
      <c r="Q25" t="s">
        <v>2294</v>
      </c>
      <c r="R25" t="s">
        <v>2295</v>
      </c>
      <c r="S25" t="s">
        <v>261</v>
      </c>
      <c r="T25">
        <v>202107</v>
      </c>
      <c r="U25" t="s">
        <v>260</v>
      </c>
      <c r="V25">
        <v>13454.31</v>
      </c>
    </row>
    <row r="26" spans="1:22">
      <c r="A26" t="s">
        <v>2292</v>
      </c>
      <c r="B26" t="s">
        <v>2293</v>
      </c>
      <c r="C26" t="s">
        <v>2294</v>
      </c>
      <c r="D26" t="s">
        <v>2295</v>
      </c>
      <c r="E26" t="s">
        <v>261</v>
      </c>
      <c r="F26">
        <v>202202</v>
      </c>
      <c r="G26" t="s">
        <v>256</v>
      </c>
      <c r="H26">
        <v>-107897.97</v>
      </c>
      <c r="O26" t="s">
        <v>2292</v>
      </c>
      <c r="P26" t="s">
        <v>2293</v>
      </c>
      <c r="Q26" t="s">
        <v>2294</v>
      </c>
      <c r="R26" t="s">
        <v>2295</v>
      </c>
      <c r="S26" t="s">
        <v>261</v>
      </c>
      <c r="T26">
        <v>202108</v>
      </c>
      <c r="U26" t="s">
        <v>258</v>
      </c>
      <c r="V26">
        <v>18798.16</v>
      </c>
    </row>
    <row r="27" spans="1:22">
      <c r="A27" t="s">
        <v>2292</v>
      </c>
      <c r="B27" t="s">
        <v>2293</v>
      </c>
      <c r="C27" t="s">
        <v>2294</v>
      </c>
      <c r="D27" t="s">
        <v>2295</v>
      </c>
      <c r="E27" t="s">
        <v>261</v>
      </c>
      <c r="F27">
        <v>202203</v>
      </c>
      <c r="G27" t="s">
        <v>256</v>
      </c>
      <c r="H27">
        <v>-31670.19</v>
      </c>
      <c r="O27" t="s">
        <v>2292</v>
      </c>
      <c r="P27" t="s">
        <v>2293</v>
      </c>
      <c r="Q27" t="s">
        <v>2294</v>
      </c>
      <c r="R27" t="s">
        <v>2295</v>
      </c>
      <c r="S27" t="s">
        <v>261</v>
      </c>
      <c r="T27">
        <v>202108</v>
      </c>
      <c r="U27" t="s">
        <v>260</v>
      </c>
      <c r="V27">
        <v>15631.16</v>
      </c>
    </row>
    <row r="28" spans="1:22">
      <c r="A28" t="s">
        <v>2292</v>
      </c>
      <c r="B28" t="s">
        <v>2293</v>
      </c>
      <c r="C28" t="s">
        <v>2294</v>
      </c>
      <c r="D28" t="s">
        <v>2295</v>
      </c>
      <c r="E28" t="s">
        <v>261</v>
      </c>
      <c r="F28">
        <v>202204</v>
      </c>
      <c r="G28" t="s">
        <v>256</v>
      </c>
      <c r="H28">
        <v>-5519.84</v>
      </c>
      <c r="O28" t="s">
        <v>2292</v>
      </c>
      <c r="P28" t="s">
        <v>2293</v>
      </c>
      <c r="Q28" t="s">
        <v>2294</v>
      </c>
      <c r="R28" t="s">
        <v>2295</v>
      </c>
      <c r="S28" t="s">
        <v>261</v>
      </c>
      <c r="T28">
        <v>202109</v>
      </c>
      <c r="U28" t="s">
        <v>258</v>
      </c>
      <c r="V28">
        <v>18190.32</v>
      </c>
    </row>
    <row r="29" spans="1:22">
      <c r="A29" t="s">
        <v>2292</v>
      </c>
      <c r="B29" t="s">
        <v>2293</v>
      </c>
      <c r="C29" t="s">
        <v>2294</v>
      </c>
      <c r="D29" t="s">
        <v>2295</v>
      </c>
      <c r="E29" t="s">
        <v>261</v>
      </c>
      <c r="F29">
        <v>202205</v>
      </c>
      <c r="G29" t="s">
        <v>256</v>
      </c>
      <c r="H29">
        <v>-4881.4399999999996</v>
      </c>
      <c r="O29" t="s">
        <v>2292</v>
      </c>
      <c r="P29" t="s">
        <v>2293</v>
      </c>
      <c r="Q29" t="s">
        <v>2294</v>
      </c>
      <c r="R29" t="s">
        <v>2295</v>
      </c>
      <c r="S29" t="s">
        <v>261</v>
      </c>
      <c r="T29">
        <v>202109</v>
      </c>
      <c r="U29" t="s">
        <v>260</v>
      </c>
      <c r="V29">
        <v>14642.2</v>
      </c>
    </row>
    <row r="30" spans="1:22">
      <c r="A30" t="s">
        <v>2292</v>
      </c>
      <c r="B30" t="s">
        <v>2293</v>
      </c>
      <c r="C30" t="s">
        <v>2294</v>
      </c>
      <c r="D30" t="s">
        <v>2295</v>
      </c>
      <c r="E30" t="s">
        <v>2296</v>
      </c>
      <c r="F30">
        <v>202104</v>
      </c>
      <c r="G30" t="s">
        <v>269</v>
      </c>
      <c r="H30">
        <v>77297.570000000007</v>
      </c>
      <c r="O30" t="s">
        <v>2292</v>
      </c>
      <c r="P30" t="s">
        <v>2293</v>
      </c>
      <c r="Q30" t="s">
        <v>2294</v>
      </c>
      <c r="R30" t="s">
        <v>2295</v>
      </c>
      <c r="S30" t="s">
        <v>261</v>
      </c>
      <c r="T30">
        <v>202110</v>
      </c>
      <c r="U30" t="s">
        <v>258</v>
      </c>
      <c r="V30">
        <v>17916.96</v>
      </c>
    </row>
    <row r="31" spans="1:22">
      <c r="A31" t="s">
        <v>2292</v>
      </c>
      <c r="B31" t="s">
        <v>2293</v>
      </c>
      <c r="C31" t="s">
        <v>2294</v>
      </c>
      <c r="D31" t="s">
        <v>2295</v>
      </c>
      <c r="E31" t="s">
        <v>2296</v>
      </c>
      <c r="F31">
        <v>202105</v>
      </c>
      <c r="G31" t="s">
        <v>269</v>
      </c>
      <c r="H31">
        <v>98622.75</v>
      </c>
      <c r="O31" t="s">
        <v>2292</v>
      </c>
      <c r="P31" t="s">
        <v>2293</v>
      </c>
      <c r="Q31" t="s">
        <v>2294</v>
      </c>
      <c r="R31" t="s">
        <v>2295</v>
      </c>
      <c r="S31" t="s">
        <v>261</v>
      </c>
      <c r="T31">
        <v>202110</v>
      </c>
      <c r="U31" t="s">
        <v>260</v>
      </c>
      <c r="V31">
        <v>14670.8</v>
      </c>
    </row>
    <row r="32" spans="1:22">
      <c r="A32" t="s">
        <v>2292</v>
      </c>
      <c r="B32" t="s">
        <v>2293</v>
      </c>
      <c r="C32" t="s">
        <v>2294</v>
      </c>
      <c r="D32" t="s">
        <v>2295</v>
      </c>
      <c r="E32" t="s">
        <v>2296</v>
      </c>
      <c r="F32">
        <v>202106</v>
      </c>
      <c r="G32" t="s">
        <v>269</v>
      </c>
      <c r="H32">
        <v>116815.18</v>
      </c>
      <c r="O32" t="s">
        <v>2292</v>
      </c>
      <c r="P32" t="s">
        <v>2293</v>
      </c>
      <c r="Q32" t="s">
        <v>2294</v>
      </c>
      <c r="R32" t="s">
        <v>2295</v>
      </c>
      <c r="S32" t="s">
        <v>261</v>
      </c>
      <c r="T32">
        <v>202111</v>
      </c>
      <c r="U32" t="s">
        <v>258</v>
      </c>
      <c r="V32">
        <v>17784.16</v>
      </c>
    </row>
    <row r="33" spans="1:22">
      <c r="A33" t="s">
        <v>2292</v>
      </c>
      <c r="B33" t="s">
        <v>2293</v>
      </c>
      <c r="C33" t="s">
        <v>2294</v>
      </c>
      <c r="D33" t="s">
        <v>2295</v>
      </c>
      <c r="E33" t="s">
        <v>2296</v>
      </c>
      <c r="F33">
        <v>202107</v>
      </c>
      <c r="G33" t="s">
        <v>269</v>
      </c>
      <c r="H33">
        <v>135558.04999999999</v>
      </c>
      <c r="O33" t="s">
        <v>2292</v>
      </c>
      <c r="P33" t="s">
        <v>2293</v>
      </c>
      <c r="Q33" t="s">
        <v>2294</v>
      </c>
      <c r="R33" t="s">
        <v>2295</v>
      </c>
      <c r="S33" t="s">
        <v>261</v>
      </c>
      <c r="T33">
        <v>202111</v>
      </c>
      <c r="U33" t="s">
        <v>260</v>
      </c>
      <c r="V33">
        <v>14837.68</v>
      </c>
    </row>
    <row r="34" spans="1:22">
      <c r="A34" t="s">
        <v>2292</v>
      </c>
      <c r="B34" t="s">
        <v>2293</v>
      </c>
      <c r="C34" t="s">
        <v>2294</v>
      </c>
      <c r="D34" t="s">
        <v>2295</v>
      </c>
      <c r="E34" t="s">
        <v>2296</v>
      </c>
      <c r="F34">
        <v>202108</v>
      </c>
      <c r="G34" t="s">
        <v>269</v>
      </c>
      <c r="H34">
        <v>22677.56</v>
      </c>
      <c r="O34" t="s">
        <v>2292</v>
      </c>
      <c r="P34" t="s">
        <v>2293</v>
      </c>
      <c r="Q34" t="s">
        <v>2294</v>
      </c>
      <c r="R34" t="s">
        <v>2295</v>
      </c>
      <c r="S34" t="s">
        <v>261</v>
      </c>
      <c r="T34">
        <v>202112</v>
      </c>
      <c r="U34" t="s">
        <v>258</v>
      </c>
      <c r="V34">
        <v>18223.12</v>
      </c>
    </row>
    <row r="35" spans="1:22">
      <c r="A35" t="s">
        <v>2292</v>
      </c>
      <c r="B35" t="s">
        <v>2293</v>
      </c>
      <c r="C35" t="s">
        <v>2294</v>
      </c>
      <c r="D35" t="s">
        <v>2295</v>
      </c>
      <c r="E35" t="s">
        <v>2296</v>
      </c>
      <c r="F35">
        <v>202109</v>
      </c>
      <c r="G35" t="s">
        <v>269</v>
      </c>
      <c r="H35">
        <v>23600.36</v>
      </c>
      <c r="O35" t="s">
        <v>2292</v>
      </c>
      <c r="P35" t="s">
        <v>2293</v>
      </c>
      <c r="Q35" t="s">
        <v>2294</v>
      </c>
      <c r="R35" t="s">
        <v>2295</v>
      </c>
      <c r="S35" t="s">
        <v>261</v>
      </c>
      <c r="T35">
        <v>202112</v>
      </c>
      <c r="U35" t="s">
        <v>260</v>
      </c>
      <c r="V35">
        <v>14832.92</v>
      </c>
    </row>
    <row r="36" spans="1:22">
      <c r="A36" t="s">
        <v>2292</v>
      </c>
      <c r="B36" t="s">
        <v>2293</v>
      </c>
      <c r="C36" t="s">
        <v>2294</v>
      </c>
      <c r="D36" t="s">
        <v>2295</v>
      </c>
      <c r="E36" t="s">
        <v>2296</v>
      </c>
      <c r="F36">
        <v>202110</v>
      </c>
      <c r="G36" t="s">
        <v>269</v>
      </c>
      <c r="H36">
        <v>21597.35</v>
      </c>
      <c r="O36" t="s">
        <v>2292</v>
      </c>
      <c r="P36" t="s">
        <v>2293</v>
      </c>
      <c r="Q36" t="s">
        <v>2294</v>
      </c>
      <c r="R36" t="s">
        <v>2295</v>
      </c>
      <c r="S36" t="s">
        <v>261</v>
      </c>
      <c r="T36">
        <v>202201</v>
      </c>
      <c r="U36" t="s">
        <v>258</v>
      </c>
      <c r="V36">
        <v>19832.96</v>
      </c>
    </row>
    <row r="37" spans="1:22">
      <c r="A37" t="s">
        <v>2292</v>
      </c>
      <c r="B37" t="s">
        <v>2293</v>
      </c>
      <c r="C37" t="s">
        <v>2294</v>
      </c>
      <c r="D37" t="s">
        <v>2295</v>
      </c>
      <c r="E37" t="s">
        <v>2296</v>
      </c>
      <c r="F37">
        <v>202111</v>
      </c>
      <c r="G37" t="s">
        <v>269</v>
      </c>
      <c r="H37">
        <v>17642.669999999998</v>
      </c>
      <c r="O37" t="s">
        <v>2292</v>
      </c>
      <c r="P37" t="s">
        <v>2293</v>
      </c>
      <c r="Q37" t="s">
        <v>2294</v>
      </c>
      <c r="R37" t="s">
        <v>2295</v>
      </c>
      <c r="S37" t="s">
        <v>261</v>
      </c>
      <c r="T37">
        <v>202201</v>
      </c>
      <c r="U37" t="s">
        <v>260</v>
      </c>
      <c r="V37">
        <v>15826</v>
      </c>
    </row>
    <row r="38" spans="1:22">
      <c r="A38" t="s">
        <v>2292</v>
      </c>
      <c r="B38" t="s">
        <v>2293</v>
      </c>
      <c r="C38" t="s">
        <v>2294</v>
      </c>
      <c r="D38" t="s">
        <v>2295</v>
      </c>
      <c r="E38" t="s">
        <v>2296</v>
      </c>
      <c r="F38">
        <v>202112</v>
      </c>
      <c r="G38" t="s">
        <v>269</v>
      </c>
      <c r="H38">
        <v>9132.85</v>
      </c>
      <c r="O38" t="s">
        <v>2292</v>
      </c>
      <c r="P38" t="s">
        <v>2293</v>
      </c>
      <c r="Q38" t="s">
        <v>2294</v>
      </c>
      <c r="R38" t="s">
        <v>2295</v>
      </c>
      <c r="S38" t="s">
        <v>261</v>
      </c>
      <c r="T38">
        <v>202202</v>
      </c>
      <c r="U38" t="s">
        <v>258</v>
      </c>
      <c r="V38">
        <v>19615.919999999998</v>
      </c>
    </row>
    <row r="39" spans="1:22">
      <c r="A39" t="s">
        <v>2292</v>
      </c>
      <c r="B39" t="s">
        <v>2293</v>
      </c>
      <c r="C39" t="s">
        <v>2294</v>
      </c>
      <c r="D39" t="s">
        <v>2295</v>
      </c>
      <c r="E39" t="s">
        <v>2296</v>
      </c>
      <c r="F39">
        <v>202201</v>
      </c>
      <c r="G39" t="s">
        <v>269</v>
      </c>
      <c r="H39">
        <v>852.45</v>
      </c>
      <c r="O39" t="s">
        <v>2292</v>
      </c>
      <c r="P39" t="s">
        <v>2293</v>
      </c>
      <c r="Q39" t="s">
        <v>2294</v>
      </c>
      <c r="R39" t="s">
        <v>2295</v>
      </c>
      <c r="S39" t="s">
        <v>261</v>
      </c>
      <c r="T39">
        <v>202202</v>
      </c>
      <c r="U39" t="s">
        <v>260</v>
      </c>
      <c r="V39">
        <v>15785.12</v>
      </c>
    </row>
    <row r="40" spans="1:22">
      <c r="A40" t="s">
        <v>2292</v>
      </c>
      <c r="B40" t="s">
        <v>2293</v>
      </c>
      <c r="C40" t="s">
        <v>2294</v>
      </c>
      <c r="D40" t="s">
        <v>2295</v>
      </c>
      <c r="E40" t="s">
        <v>2296</v>
      </c>
      <c r="F40">
        <v>202202</v>
      </c>
      <c r="G40" t="s">
        <v>269</v>
      </c>
      <c r="H40">
        <v>4475.21</v>
      </c>
      <c r="O40" t="s">
        <v>2292</v>
      </c>
      <c r="P40" t="s">
        <v>2293</v>
      </c>
      <c r="Q40" t="s">
        <v>2294</v>
      </c>
      <c r="R40" t="s">
        <v>2295</v>
      </c>
      <c r="S40" t="s">
        <v>261</v>
      </c>
      <c r="T40">
        <v>202203</v>
      </c>
      <c r="U40" t="s">
        <v>258</v>
      </c>
      <c r="V40">
        <v>18368.32</v>
      </c>
    </row>
    <row r="41" spans="1:22">
      <c r="A41" t="s">
        <v>2292</v>
      </c>
      <c r="B41" t="s">
        <v>2293</v>
      </c>
      <c r="C41" t="s">
        <v>2294</v>
      </c>
      <c r="D41" t="s">
        <v>2295</v>
      </c>
      <c r="E41" t="s">
        <v>2296</v>
      </c>
      <c r="F41">
        <v>202203</v>
      </c>
      <c r="G41" t="s">
        <v>269</v>
      </c>
      <c r="H41">
        <v>20017.86</v>
      </c>
      <c r="O41" t="s">
        <v>2292</v>
      </c>
      <c r="P41" t="s">
        <v>2293</v>
      </c>
      <c r="Q41" t="s">
        <v>2294</v>
      </c>
      <c r="R41" t="s">
        <v>2295</v>
      </c>
      <c r="S41" t="s">
        <v>261</v>
      </c>
      <c r="T41">
        <v>202203</v>
      </c>
      <c r="U41" t="s">
        <v>260</v>
      </c>
      <c r="V41">
        <v>14779.6</v>
      </c>
    </row>
    <row r="42" spans="1:22">
      <c r="A42" t="s">
        <v>2292</v>
      </c>
      <c r="B42" t="s">
        <v>2293</v>
      </c>
      <c r="C42" t="s">
        <v>2294</v>
      </c>
      <c r="D42" t="s">
        <v>2295</v>
      </c>
      <c r="E42" t="s">
        <v>2296</v>
      </c>
      <c r="F42">
        <v>202204</v>
      </c>
      <c r="G42" t="s">
        <v>269</v>
      </c>
      <c r="H42">
        <v>20630.509999999998</v>
      </c>
      <c r="O42" t="s">
        <v>2292</v>
      </c>
      <c r="P42" t="s">
        <v>2293</v>
      </c>
      <c r="Q42" t="s">
        <v>2294</v>
      </c>
      <c r="R42" t="s">
        <v>2295</v>
      </c>
      <c r="S42" t="s">
        <v>261</v>
      </c>
      <c r="T42">
        <v>202204</v>
      </c>
      <c r="U42" t="s">
        <v>258</v>
      </c>
      <c r="V42">
        <v>11712.56</v>
      </c>
    </row>
    <row r="43" spans="1:22">
      <c r="A43" t="s">
        <v>2292</v>
      </c>
      <c r="B43" t="s">
        <v>2293</v>
      </c>
      <c r="C43" t="s">
        <v>2294</v>
      </c>
      <c r="D43" t="s">
        <v>2295</v>
      </c>
      <c r="E43" t="s">
        <v>2296</v>
      </c>
      <c r="F43">
        <v>202205</v>
      </c>
      <c r="G43" t="s">
        <v>269</v>
      </c>
      <c r="H43">
        <v>24646.36</v>
      </c>
      <c r="O43" t="s">
        <v>2292</v>
      </c>
      <c r="P43" t="s">
        <v>2293</v>
      </c>
      <c r="Q43" t="s">
        <v>2294</v>
      </c>
      <c r="R43" t="s">
        <v>2295</v>
      </c>
      <c r="S43" t="s">
        <v>261</v>
      </c>
      <c r="T43">
        <v>202204</v>
      </c>
      <c r="U43" t="s">
        <v>260</v>
      </c>
      <c r="V43">
        <v>8861.52</v>
      </c>
    </row>
    <row r="44" spans="1:22">
      <c r="A44" t="s">
        <v>2292</v>
      </c>
      <c r="B44" t="s">
        <v>2293</v>
      </c>
      <c r="C44" t="s">
        <v>2294</v>
      </c>
      <c r="D44" t="s">
        <v>2295</v>
      </c>
      <c r="E44" t="s">
        <v>261</v>
      </c>
      <c r="F44">
        <v>202104</v>
      </c>
      <c r="G44" t="s">
        <v>269</v>
      </c>
      <c r="H44">
        <v>101039.03999999999</v>
      </c>
      <c r="O44" t="s">
        <v>2292</v>
      </c>
      <c r="P44" t="s">
        <v>2293</v>
      </c>
      <c r="Q44" t="s">
        <v>2294</v>
      </c>
      <c r="R44" t="s">
        <v>2295</v>
      </c>
      <c r="S44" t="s">
        <v>261</v>
      </c>
      <c r="T44">
        <v>202205</v>
      </c>
      <c r="U44" t="s">
        <v>258</v>
      </c>
      <c r="V44">
        <v>13701.76</v>
      </c>
    </row>
    <row r="45" spans="1:22">
      <c r="A45" t="s">
        <v>2292</v>
      </c>
      <c r="B45" t="s">
        <v>2293</v>
      </c>
      <c r="C45" t="s">
        <v>2294</v>
      </c>
      <c r="D45" t="s">
        <v>2295</v>
      </c>
      <c r="E45" t="s">
        <v>261</v>
      </c>
      <c r="F45">
        <v>202105</v>
      </c>
      <c r="G45" t="s">
        <v>269</v>
      </c>
      <c r="H45">
        <v>70947.37</v>
      </c>
      <c r="O45" t="s">
        <v>2292</v>
      </c>
      <c r="P45" t="s">
        <v>2293</v>
      </c>
      <c r="Q45" t="s">
        <v>2294</v>
      </c>
      <c r="R45" t="s">
        <v>2295</v>
      </c>
      <c r="S45" t="s">
        <v>261</v>
      </c>
      <c r="T45">
        <v>202205</v>
      </c>
      <c r="U45" t="s">
        <v>260</v>
      </c>
      <c r="V45">
        <v>10275.36</v>
      </c>
    </row>
    <row r="46" spans="1:22">
      <c r="A46" t="s">
        <v>2292</v>
      </c>
      <c r="B46" t="s">
        <v>2293</v>
      </c>
      <c r="C46" t="s">
        <v>2294</v>
      </c>
      <c r="D46" t="s">
        <v>2295</v>
      </c>
      <c r="E46" t="s">
        <v>261</v>
      </c>
      <c r="F46">
        <v>202106</v>
      </c>
      <c r="G46" t="s">
        <v>269</v>
      </c>
      <c r="H46">
        <v>81228.86</v>
      </c>
      <c r="O46" t="s">
        <v>2292</v>
      </c>
      <c r="P46" t="s">
        <v>2293</v>
      </c>
      <c r="Q46" t="s">
        <v>2294</v>
      </c>
      <c r="R46" t="s">
        <v>2295</v>
      </c>
      <c r="S46" t="s">
        <v>2296</v>
      </c>
      <c r="T46">
        <v>202107</v>
      </c>
      <c r="U46" t="s">
        <v>270</v>
      </c>
      <c r="V46">
        <v>5844540.3399999999</v>
      </c>
    </row>
    <row r="47" spans="1:22">
      <c r="A47" t="s">
        <v>2292</v>
      </c>
      <c r="B47" t="s">
        <v>2293</v>
      </c>
      <c r="C47" t="s">
        <v>2294</v>
      </c>
      <c r="D47" t="s">
        <v>2295</v>
      </c>
      <c r="E47" t="s">
        <v>261</v>
      </c>
      <c r="F47">
        <v>202107</v>
      </c>
      <c r="G47" t="s">
        <v>269</v>
      </c>
      <c r="H47">
        <v>88998.85</v>
      </c>
      <c r="O47" t="s">
        <v>2292</v>
      </c>
      <c r="P47" t="s">
        <v>2293</v>
      </c>
      <c r="Q47" t="s">
        <v>2294</v>
      </c>
      <c r="R47" t="s">
        <v>2295</v>
      </c>
      <c r="S47" t="s">
        <v>2296</v>
      </c>
      <c r="T47">
        <v>202107</v>
      </c>
      <c r="U47" t="s">
        <v>271</v>
      </c>
      <c r="V47">
        <v>763428.11</v>
      </c>
    </row>
    <row r="48" spans="1:22">
      <c r="A48" t="s">
        <v>2292</v>
      </c>
      <c r="B48" t="s">
        <v>2293</v>
      </c>
      <c r="C48" t="s">
        <v>2294</v>
      </c>
      <c r="D48" t="s">
        <v>2295</v>
      </c>
      <c r="E48" t="s">
        <v>261</v>
      </c>
      <c r="F48">
        <v>202108</v>
      </c>
      <c r="G48" t="s">
        <v>269</v>
      </c>
      <c r="H48">
        <v>56727.37</v>
      </c>
      <c r="O48" t="s">
        <v>2292</v>
      </c>
      <c r="P48" t="s">
        <v>2293</v>
      </c>
      <c r="Q48" t="s">
        <v>2294</v>
      </c>
      <c r="R48" t="s">
        <v>2295</v>
      </c>
      <c r="S48" t="s">
        <v>2296</v>
      </c>
      <c r="T48">
        <v>202107</v>
      </c>
      <c r="U48" t="s">
        <v>266</v>
      </c>
      <c r="V48">
        <v>5953994.5099999998</v>
      </c>
    </row>
    <row r="49" spans="1:22">
      <c r="A49" t="s">
        <v>2292</v>
      </c>
      <c r="B49" t="s">
        <v>2293</v>
      </c>
      <c r="C49" t="s">
        <v>2294</v>
      </c>
      <c r="D49" t="s">
        <v>2295</v>
      </c>
      <c r="E49" t="s">
        <v>261</v>
      </c>
      <c r="F49">
        <v>202109</v>
      </c>
      <c r="G49" t="s">
        <v>269</v>
      </c>
      <c r="H49">
        <v>52650.41</v>
      </c>
      <c r="O49" t="s">
        <v>2292</v>
      </c>
      <c r="P49" t="s">
        <v>2293</v>
      </c>
      <c r="Q49" t="s">
        <v>2294</v>
      </c>
      <c r="R49" t="s">
        <v>2295</v>
      </c>
      <c r="S49" t="s">
        <v>2296</v>
      </c>
      <c r="T49">
        <v>202107</v>
      </c>
      <c r="U49" t="s">
        <v>267</v>
      </c>
      <c r="V49">
        <v>777725.28</v>
      </c>
    </row>
    <row r="50" spans="1:22">
      <c r="A50" t="s">
        <v>2292</v>
      </c>
      <c r="B50" t="s">
        <v>2293</v>
      </c>
      <c r="C50" t="s">
        <v>2294</v>
      </c>
      <c r="D50" t="s">
        <v>2295</v>
      </c>
      <c r="E50" t="s">
        <v>261</v>
      </c>
      <c r="F50">
        <v>202110</v>
      </c>
      <c r="G50" t="s">
        <v>269</v>
      </c>
      <c r="H50">
        <v>48123.02</v>
      </c>
      <c r="O50" t="s">
        <v>2292</v>
      </c>
      <c r="P50" t="s">
        <v>2293</v>
      </c>
      <c r="Q50" t="s">
        <v>2294</v>
      </c>
      <c r="R50" t="s">
        <v>2295</v>
      </c>
      <c r="S50" t="s">
        <v>2296</v>
      </c>
      <c r="T50">
        <v>202107</v>
      </c>
      <c r="U50" t="s">
        <v>268</v>
      </c>
      <c r="V50">
        <v>123751.34</v>
      </c>
    </row>
    <row r="51" spans="1:22">
      <c r="A51" t="s">
        <v>2292</v>
      </c>
      <c r="B51" t="s">
        <v>2293</v>
      </c>
      <c r="C51" t="s">
        <v>2294</v>
      </c>
      <c r="D51" t="s">
        <v>2295</v>
      </c>
      <c r="E51" t="s">
        <v>261</v>
      </c>
      <c r="F51">
        <v>202111</v>
      </c>
      <c r="G51" t="s">
        <v>269</v>
      </c>
      <c r="H51">
        <v>39180.31</v>
      </c>
      <c r="O51" t="s">
        <v>2292</v>
      </c>
      <c r="P51" t="s">
        <v>2293</v>
      </c>
      <c r="Q51" t="s">
        <v>2294</v>
      </c>
      <c r="R51" t="s">
        <v>2295</v>
      </c>
      <c r="S51" t="s">
        <v>2296</v>
      </c>
      <c r="T51">
        <v>202108</v>
      </c>
      <c r="U51" t="s">
        <v>270</v>
      </c>
      <c r="V51">
        <v>0</v>
      </c>
    </row>
    <row r="52" spans="1:22">
      <c r="A52" t="s">
        <v>2292</v>
      </c>
      <c r="B52" t="s">
        <v>2293</v>
      </c>
      <c r="C52" t="s">
        <v>2294</v>
      </c>
      <c r="D52" t="s">
        <v>2295</v>
      </c>
      <c r="E52" t="s">
        <v>261</v>
      </c>
      <c r="F52">
        <v>202112</v>
      </c>
      <c r="G52" t="s">
        <v>269</v>
      </c>
      <c r="H52">
        <v>21548.32</v>
      </c>
      <c r="O52" t="s">
        <v>2292</v>
      </c>
      <c r="P52" t="s">
        <v>2293</v>
      </c>
      <c r="Q52" t="s">
        <v>2294</v>
      </c>
      <c r="R52" t="s">
        <v>2295</v>
      </c>
      <c r="S52" t="s">
        <v>2296</v>
      </c>
      <c r="T52">
        <v>202108</v>
      </c>
      <c r="U52" t="s">
        <v>271</v>
      </c>
      <c r="V52">
        <v>0</v>
      </c>
    </row>
    <row r="53" spans="1:22">
      <c r="A53" t="s">
        <v>2292</v>
      </c>
      <c r="B53" t="s">
        <v>2293</v>
      </c>
      <c r="C53" t="s">
        <v>2294</v>
      </c>
      <c r="D53" t="s">
        <v>2295</v>
      </c>
      <c r="E53" t="s">
        <v>261</v>
      </c>
      <c r="F53">
        <v>202201</v>
      </c>
      <c r="G53" t="s">
        <v>269</v>
      </c>
      <c r="H53">
        <v>1589.44</v>
      </c>
      <c r="O53" t="s">
        <v>2292</v>
      </c>
      <c r="P53" t="s">
        <v>2293</v>
      </c>
      <c r="Q53" t="s">
        <v>2294</v>
      </c>
      <c r="R53" t="s">
        <v>2295</v>
      </c>
      <c r="S53" t="s">
        <v>2296</v>
      </c>
      <c r="T53">
        <v>202108</v>
      </c>
      <c r="U53" t="s">
        <v>266</v>
      </c>
      <c r="V53">
        <v>5183115.6500000004</v>
      </c>
    </row>
    <row r="54" spans="1:22">
      <c r="A54" t="s">
        <v>2292</v>
      </c>
      <c r="B54" t="s">
        <v>2293</v>
      </c>
      <c r="C54" t="s">
        <v>2294</v>
      </c>
      <c r="D54" t="s">
        <v>2295</v>
      </c>
      <c r="E54" t="s">
        <v>261</v>
      </c>
      <c r="F54">
        <v>202202</v>
      </c>
      <c r="G54" t="s">
        <v>269</v>
      </c>
      <c r="H54">
        <v>10596.83</v>
      </c>
      <c r="O54" t="s">
        <v>2292</v>
      </c>
      <c r="P54" t="s">
        <v>2293</v>
      </c>
      <c r="Q54" t="s">
        <v>2294</v>
      </c>
      <c r="R54" t="s">
        <v>2295</v>
      </c>
      <c r="S54" t="s">
        <v>2296</v>
      </c>
      <c r="T54">
        <v>202108</v>
      </c>
      <c r="U54" t="s">
        <v>267</v>
      </c>
      <c r="V54">
        <v>710062.38</v>
      </c>
    </row>
    <row r="55" spans="1:22">
      <c r="A55" t="s">
        <v>2292</v>
      </c>
      <c r="B55" t="s">
        <v>2293</v>
      </c>
      <c r="C55" t="s">
        <v>2294</v>
      </c>
      <c r="D55" t="s">
        <v>2295</v>
      </c>
      <c r="E55" t="s">
        <v>261</v>
      </c>
      <c r="F55">
        <v>202203</v>
      </c>
      <c r="G55" t="s">
        <v>269</v>
      </c>
      <c r="H55">
        <v>47308.59</v>
      </c>
      <c r="O55" t="s">
        <v>2292</v>
      </c>
      <c r="P55" t="s">
        <v>2293</v>
      </c>
      <c r="Q55" t="s">
        <v>2294</v>
      </c>
      <c r="R55" t="s">
        <v>2295</v>
      </c>
      <c r="S55" t="s">
        <v>2296</v>
      </c>
      <c r="T55">
        <v>202108</v>
      </c>
      <c r="U55" t="s">
        <v>268</v>
      </c>
      <c r="V55">
        <v>0</v>
      </c>
    </row>
    <row r="56" spans="1:22">
      <c r="A56" t="s">
        <v>2292</v>
      </c>
      <c r="B56" t="s">
        <v>2293</v>
      </c>
      <c r="C56" t="s">
        <v>2294</v>
      </c>
      <c r="D56" t="s">
        <v>2295</v>
      </c>
      <c r="E56" t="s">
        <v>261</v>
      </c>
      <c r="F56">
        <v>202204</v>
      </c>
      <c r="G56" t="s">
        <v>269</v>
      </c>
      <c r="H56">
        <v>31995.08</v>
      </c>
      <c r="O56" t="s">
        <v>2292</v>
      </c>
      <c r="P56" t="s">
        <v>2293</v>
      </c>
      <c r="Q56" t="s">
        <v>2294</v>
      </c>
      <c r="R56" t="s">
        <v>2295</v>
      </c>
      <c r="S56" t="s">
        <v>2296</v>
      </c>
      <c r="T56">
        <v>202109</v>
      </c>
      <c r="U56" t="s">
        <v>270</v>
      </c>
      <c r="V56">
        <v>0</v>
      </c>
    </row>
    <row r="57" spans="1:22">
      <c r="A57" t="s">
        <v>2292</v>
      </c>
      <c r="B57" t="s">
        <v>2293</v>
      </c>
      <c r="C57" t="s">
        <v>2294</v>
      </c>
      <c r="D57" t="s">
        <v>2295</v>
      </c>
      <c r="E57" t="s">
        <v>261</v>
      </c>
      <c r="F57">
        <v>202205</v>
      </c>
      <c r="G57" t="s">
        <v>269</v>
      </c>
      <c r="H57">
        <v>27871.21</v>
      </c>
      <c r="O57" t="s">
        <v>2292</v>
      </c>
      <c r="P57" t="s">
        <v>2293</v>
      </c>
      <c r="Q57" t="s">
        <v>2294</v>
      </c>
      <c r="R57" t="s">
        <v>2295</v>
      </c>
      <c r="S57" t="s">
        <v>2296</v>
      </c>
      <c r="T57">
        <v>202109</v>
      </c>
      <c r="U57" t="s">
        <v>271</v>
      </c>
      <c r="V57">
        <v>0</v>
      </c>
    </row>
    <row r="58" spans="1:22">
      <c r="A58" t="s">
        <v>2292</v>
      </c>
      <c r="B58" t="s">
        <v>2293</v>
      </c>
      <c r="C58" t="s">
        <v>2294</v>
      </c>
      <c r="D58" t="s">
        <v>2295</v>
      </c>
      <c r="E58" t="s">
        <v>2296</v>
      </c>
      <c r="F58">
        <v>202104</v>
      </c>
      <c r="G58" t="s">
        <v>272</v>
      </c>
      <c r="H58">
        <v>0</v>
      </c>
      <c r="O58" t="s">
        <v>2292</v>
      </c>
      <c r="P58" t="s">
        <v>2293</v>
      </c>
      <c r="Q58" t="s">
        <v>2294</v>
      </c>
      <c r="R58" t="s">
        <v>2295</v>
      </c>
      <c r="S58" t="s">
        <v>2296</v>
      </c>
      <c r="T58">
        <v>202109</v>
      </c>
      <c r="U58" t="s">
        <v>266</v>
      </c>
      <c r="V58">
        <v>5315372.87</v>
      </c>
    </row>
    <row r="59" spans="1:22">
      <c r="A59" t="s">
        <v>2292</v>
      </c>
      <c r="B59" t="s">
        <v>2293</v>
      </c>
      <c r="C59" t="s">
        <v>2294</v>
      </c>
      <c r="D59" t="s">
        <v>2295</v>
      </c>
      <c r="E59" t="s">
        <v>2296</v>
      </c>
      <c r="F59">
        <v>202105</v>
      </c>
      <c r="G59" t="s">
        <v>272</v>
      </c>
      <c r="H59">
        <v>0</v>
      </c>
      <c r="O59" t="s">
        <v>2292</v>
      </c>
      <c r="P59" t="s">
        <v>2293</v>
      </c>
      <c r="Q59" t="s">
        <v>2294</v>
      </c>
      <c r="R59" t="s">
        <v>2295</v>
      </c>
      <c r="S59" t="s">
        <v>2296</v>
      </c>
      <c r="T59">
        <v>202109</v>
      </c>
      <c r="U59" t="s">
        <v>267</v>
      </c>
      <c r="V59">
        <v>664980.41</v>
      </c>
    </row>
    <row r="60" spans="1:22">
      <c r="A60" t="s">
        <v>2292</v>
      </c>
      <c r="B60" t="s">
        <v>2293</v>
      </c>
      <c r="C60" t="s">
        <v>2294</v>
      </c>
      <c r="D60" t="s">
        <v>2295</v>
      </c>
      <c r="E60" t="s">
        <v>2296</v>
      </c>
      <c r="F60">
        <v>202106</v>
      </c>
      <c r="G60" t="s">
        <v>272</v>
      </c>
      <c r="H60">
        <v>0</v>
      </c>
      <c r="O60" t="s">
        <v>2292</v>
      </c>
      <c r="P60" t="s">
        <v>2293</v>
      </c>
      <c r="Q60" t="s">
        <v>2294</v>
      </c>
      <c r="R60" t="s">
        <v>2295</v>
      </c>
      <c r="S60" t="s">
        <v>2296</v>
      </c>
      <c r="T60">
        <v>202109</v>
      </c>
      <c r="U60" t="s">
        <v>268</v>
      </c>
      <c r="V60">
        <v>0</v>
      </c>
    </row>
    <row r="61" spans="1:22">
      <c r="A61" t="s">
        <v>2292</v>
      </c>
      <c r="B61" t="s">
        <v>2293</v>
      </c>
      <c r="C61" t="s">
        <v>2294</v>
      </c>
      <c r="D61" t="s">
        <v>2295</v>
      </c>
      <c r="E61" t="s">
        <v>2296</v>
      </c>
      <c r="F61">
        <v>202107</v>
      </c>
      <c r="G61" t="s">
        <v>272</v>
      </c>
      <c r="H61">
        <v>0</v>
      </c>
      <c r="O61" t="s">
        <v>2292</v>
      </c>
      <c r="P61" t="s">
        <v>2293</v>
      </c>
      <c r="Q61" t="s">
        <v>2294</v>
      </c>
      <c r="R61" t="s">
        <v>2295</v>
      </c>
      <c r="S61" t="s">
        <v>2296</v>
      </c>
      <c r="T61">
        <v>202110</v>
      </c>
      <c r="U61" t="s">
        <v>270</v>
      </c>
      <c r="V61">
        <v>0</v>
      </c>
    </row>
    <row r="62" spans="1:22">
      <c r="A62" t="s">
        <v>2292</v>
      </c>
      <c r="B62" t="s">
        <v>2293</v>
      </c>
      <c r="C62" t="s">
        <v>2294</v>
      </c>
      <c r="D62" t="s">
        <v>2295</v>
      </c>
      <c r="E62" t="s">
        <v>2296</v>
      </c>
      <c r="F62">
        <v>202108</v>
      </c>
      <c r="G62" t="s">
        <v>272</v>
      </c>
      <c r="H62">
        <v>0</v>
      </c>
      <c r="O62" t="s">
        <v>2292</v>
      </c>
      <c r="P62" t="s">
        <v>2293</v>
      </c>
      <c r="Q62" t="s">
        <v>2294</v>
      </c>
      <c r="R62" t="s">
        <v>2295</v>
      </c>
      <c r="S62" t="s">
        <v>2296</v>
      </c>
      <c r="T62">
        <v>202110</v>
      </c>
      <c r="U62" t="s">
        <v>271</v>
      </c>
      <c r="V62">
        <v>0</v>
      </c>
    </row>
    <row r="63" spans="1:22">
      <c r="A63" t="s">
        <v>2292</v>
      </c>
      <c r="B63" t="s">
        <v>2293</v>
      </c>
      <c r="C63" t="s">
        <v>2294</v>
      </c>
      <c r="D63" t="s">
        <v>2295</v>
      </c>
      <c r="E63" t="s">
        <v>2296</v>
      </c>
      <c r="F63">
        <v>202109</v>
      </c>
      <c r="G63" t="s">
        <v>272</v>
      </c>
      <c r="H63">
        <v>0</v>
      </c>
      <c r="O63" t="s">
        <v>2292</v>
      </c>
      <c r="P63" t="s">
        <v>2293</v>
      </c>
      <c r="Q63" t="s">
        <v>2294</v>
      </c>
      <c r="R63" t="s">
        <v>2295</v>
      </c>
      <c r="S63" t="s">
        <v>2296</v>
      </c>
      <c r="T63">
        <v>202110</v>
      </c>
      <c r="U63" t="s">
        <v>266</v>
      </c>
      <c r="V63">
        <v>5332680.3899999997</v>
      </c>
    </row>
    <row r="64" spans="1:22">
      <c r="A64" t="s">
        <v>2292</v>
      </c>
      <c r="B64" t="s">
        <v>2293</v>
      </c>
      <c r="C64" t="s">
        <v>2294</v>
      </c>
      <c r="D64" t="s">
        <v>2295</v>
      </c>
      <c r="E64" t="s">
        <v>2296</v>
      </c>
      <c r="F64">
        <v>202110</v>
      </c>
      <c r="G64" t="s">
        <v>272</v>
      </c>
      <c r="H64">
        <v>0</v>
      </c>
      <c r="O64" t="s">
        <v>2292</v>
      </c>
      <c r="P64" t="s">
        <v>2293</v>
      </c>
      <c r="Q64" t="s">
        <v>2294</v>
      </c>
      <c r="R64" t="s">
        <v>2295</v>
      </c>
      <c r="S64" t="s">
        <v>2296</v>
      </c>
      <c r="T64">
        <v>202110</v>
      </c>
      <c r="U64" t="s">
        <v>267</v>
      </c>
      <c r="V64">
        <v>647244.01</v>
      </c>
    </row>
    <row r="65" spans="1:22">
      <c r="A65" t="s">
        <v>2292</v>
      </c>
      <c r="B65" t="s">
        <v>2293</v>
      </c>
      <c r="C65" t="s">
        <v>2294</v>
      </c>
      <c r="D65" t="s">
        <v>2295</v>
      </c>
      <c r="E65" t="s">
        <v>2296</v>
      </c>
      <c r="F65">
        <v>202111</v>
      </c>
      <c r="G65" t="s">
        <v>272</v>
      </c>
      <c r="H65">
        <v>0</v>
      </c>
      <c r="O65" t="s">
        <v>2292</v>
      </c>
      <c r="P65" t="s">
        <v>2293</v>
      </c>
      <c r="Q65" t="s">
        <v>2294</v>
      </c>
      <c r="R65" t="s">
        <v>2295</v>
      </c>
      <c r="S65" t="s">
        <v>2296</v>
      </c>
      <c r="T65">
        <v>202110</v>
      </c>
      <c r="U65" t="s">
        <v>268</v>
      </c>
      <c r="V65">
        <v>0</v>
      </c>
    </row>
    <row r="66" spans="1:22">
      <c r="A66" t="s">
        <v>2292</v>
      </c>
      <c r="B66" t="s">
        <v>2293</v>
      </c>
      <c r="C66" t="s">
        <v>2294</v>
      </c>
      <c r="D66" t="s">
        <v>2295</v>
      </c>
      <c r="E66" t="s">
        <v>2296</v>
      </c>
      <c r="F66">
        <v>202112</v>
      </c>
      <c r="G66" t="s">
        <v>272</v>
      </c>
      <c r="H66">
        <v>0</v>
      </c>
      <c r="O66" t="s">
        <v>2292</v>
      </c>
      <c r="P66" t="s">
        <v>2293</v>
      </c>
      <c r="Q66" t="s">
        <v>2294</v>
      </c>
      <c r="R66" t="s">
        <v>2295</v>
      </c>
      <c r="S66" t="s">
        <v>2296</v>
      </c>
      <c r="T66">
        <v>202111</v>
      </c>
      <c r="U66" t="s">
        <v>270</v>
      </c>
      <c r="V66">
        <v>0</v>
      </c>
    </row>
    <row r="67" spans="1:22">
      <c r="A67" t="s">
        <v>2292</v>
      </c>
      <c r="B67" t="s">
        <v>2293</v>
      </c>
      <c r="C67" t="s">
        <v>2294</v>
      </c>
      <c r="D67" t="s">
        <v>2295</v>
      </c>
      <c r="E67" t="s">
        <v>2296</v>
      </c>
      <c r="F67">
        <v>202201</v>
      </c>
      <c r="G67" t="s">
        <v>272</v>
      </c>
      <c r="H67">
        <v>0</v>
      </c>
      <c r="O67" t="s">
        <v>2292</v>
      </c>
      <c r="P67" t="s">
        <v>2293</v>
      </c>
      <c r="Q67" t="s">
        <v>2294</v>
      </c>
      <c r="R67" t="s">
        <v>2295</v>
      </c>
      <c r="S67" t="s">
        <v>2296</v>
      </c>
      <c r="T67">
        <v>202111</v>
      </c>
      <c r="U67" t="s">
        <v>271</v>
      </c>
      <c r="V67">
        <v>0</v>
      </c>
    </row>
    <row r="68" spans="1:22">
      <c r="A68" t="s">
        <v>2292</v>
      </c>
      <c r="B68" t="s">
        <v>2293</v>
      </c>
      <c r="C68" t="s">
        <v>2294</v>
      </c>
      <c r="D68" t="s">
        <v>2295</v>
      </c>
      <c r="E68" t="s">
        <v>2296</v>
      </c>
      <c r="F68">
        <v>202202</v>
      </c>
      <c r="G68" t="s">
        <v>272</v>
      </c>
      <c r="H68">
        <v>0</v>
      </c>
      <c r="O68" t="s">
        <v>2292</v>
      </c>
      <c r="P68" t="s">
        <v>2293</v>
      </c>
      <c r="Q68" t="s">
        <v>2294</v>
      </c>
      <c r="R68" t="s">
        <v>2295</v>
      </c>
      <c r="S68" t="s">
        <v>2296</v>
      </c>
      <c r="T68">
        <v>202111</v>
      </c>
      <c r="U68" t="s">
        <v>266</v>
      </c>
      <c r="V68">
        <v>5990818.5800000001</v>
      </c>
    </row>
    <row r="69" spans="1:22">
      <c r="A69" t="s">
        <v>2292</v>
      </c>
      <c r="B69" t="s">
        <v>2293</v>
      </c>
      <c r="C69" t="s">
        <v>2294</v>
      </c>
      <c r="D69" t="s">
        <v>2295</v>
      </c>
      <c r="E69" t="s">
        <v>2296</v>
      </c>
      <c r="F69">
        <v>202203</v>
      </c>
      <c r="G69" t="s">
        <v>272</v>
      </c>
      <c r="H69">
        <v>0</v>
      </c>
      <c r="O69" t="s">
        <v>2292</v>
      </c>
      <c r="P69" t="s">
        <v>2293</v>
      </c>
      <c r="Q69" t="s">
        <v>2294</v>
      </c>
      <c r="R69" t="s">
        <v>2295</v>
      </c>
      <c r="S69" t="s">
        <v>2296</v>
      </c>
      <c r="T69">
        <v>202111</v>
      </c>
      <c r="U69" t="s">
        <v>267</v>
      </c>
      <c r="V69">
        <v>646127.92000000004</v>
      </c>
    </row>
    <row r="70" spans="1:22">
      <c r="A70" t="s">
        <v>2292</v>
      </c>
      <c r="B70" t="s">
        <v>2293</v>
      </c>
      <c r="C70" t="s">
        <v>2294</v>
      </c>
      <c r="D70" t="s">
        <v>2295</v>
      </c>
      <c r="E70" t="s">
        <v>2296</v>
      </c>
      <c r="F70">
        <v>202204</v>
      </c>
      <c r="G70" t="s">
        <v>272</v>
      </c>
      <c r="H70">
        <v>0</v>
      </c>
      <c r="O70" t="s">
        <v>2292</v>
      </c>
      <c r="P70" t="s">
        <v>2293</v>
      </c>
      <c r="Q70" t="s">
        <v>2294</v>
      </c>
      <c r="R70" t="s">
        <v>2295</v>
      </c>
      <c r="S70" t="s">
        <v>2296</v>
      </c>
      <c r="T70">
        <v>202111</v>
      </c>
      <c r="U70" t="s">
        <v>268</v>
      </c>
      <c r="V70">
        <v>0</v>
      </c>
    </row>
    <row r="71" spans="1:22">
      <c r="A71" t="s">
        <v>2292</v>
      </c>
      <c r="B71" t="s">
        <v>2293</v>
      </c>
      <c r="C71" t="s">
        <v>2294</v>
      </c>
      <c r="D71" t="s">
        <v>2295</v>
      </c>
      <c r="E71" t="s">
        <v>2296</v>
      </c>
      <c r="F71">
        <v>202205</v>
      </c>
      <c r="G71" t="s">
        <v>272</v>
      </c>
      <c r="H71">
        <v>0</v>
      </c>
      <c r="O71" t="s">
        <v>2292</v>
      </c>
      <c r="P71" t="s">
        <v>2293</v>
      </c>
      <c r="Q71" t="s">
        <v>2294</v>
      </c>
      <c r="R71" t="s">
        <v>2295</v>
      </c>
      <c r="S71" t="s">
        <v>2296</v>
      </c>
      <c r="T71">
        <v>202112</v>
      </c>
      <c r="U71" t="s">
        <v>270</v>
      </c>
      <c r="V71">
        <v>0</v>
      </c>
    </row>
    <row r="72" spans="1:22">
      <c r="A72" t="s">
        <v>2292</v>
      </c>
      <c r="B72" t="s">
        <v>2293</v>
      </c>
      <c r="C72" t="s">
        <v>2294</v>
      </c>
      <c r="D72" t="s">
        <v>2295</v>
      </c>
      <c r="E72" t="s">
        <v>261</v>
      </c>
      <c r="F72">
        <v>202104</v>
      </c>
      <c r="G72" t="s">
        <v>272</v>
      </c>
      <c r="H72">
        <v>0</v>
      </c>
      <c r="O72" t="s">
        <v>2292</v>
      </c>
      <c r="P72" t="s">
        <v>2293</v>
      </c>
      <c r="Q72" t="s">
        <v>2294</v>
      </c>
      <c r="R72" t="s">
        <v>2295</v>
      </c>
      <c r="S72" t="s">
        <v>2296</v>
      </c>
      <c r="T72">
        <v>202112</v>
      </c>
      <c r="U72" t="s">
        <v>271</v>
      </c>
      <c r="V72">
        <v>0</v>
      </c>
    </row>
    <row r="73" spans="1:22">
      <c r="A73" t="s">
        <v>2292</v>
      </c>
      <c r="B73" t="s">
        <v>2293</v>
      </c>
      <c r="C73" t="s">
        <v>2294</v>
      </c>
      <c r="D73" t="s">
        <v>2295</v>
      </c>
      <c r="E73" t="s">
        <v>261</v>
      </c>
      <c r="F73">
        <v>202105</v>
      </c>
      <c r="G73" t="s">
        <v>272</v>
      </c>
      <c r="H73">
        <v>0</v>
      </c>
      <c r="O73" t="s">
        <v>2292</v>
      </c>
      <c r="P73" t="s">
        <v>2293</v>
      </c>
      <c r="Q73" t="s">
        <v>2294</v>
      </c>
      <c r="R73" t="s">
        <v>2295</v>
      </c>
      <c r="S73" t="s">
        <v>2296</v>
      </c>
      <c r="T73">
        <v>202112</v>
      </c>
      <c r="U73" t="s">
        <v>266</v>
      </c>
      <c r="V73">
        <v>7203462.7199999997</v>
      </c>
    </row>
    <row r="74" spans="1:22">
      <c r="A74" t="s">
        <v>2292</v>
      </c>
      <c r="B74" t="s">
        <v>2293</v>
      </c>
      <c r="C74" t="s">
        <v>2294</v>
      </c>
      <c r="D74" t="s">
        <v>2295</v>
      </c>
      <c r="E74" t="s">
        <v>261</v>
      </c>
      <c r="F74">
        <v>202106</v>
      </c>
      <c r="G74" t="s">
        <v>272</v>
      </c>
      <c r="H74">
        <v>0</v>
      </c>
      <c r="O74" t="s">
        <v>2292</v>
      </c>
      <c r="P74" t="s">
        <v>2293</v>
      </c>
      <c r="Q74" t="s">
        <v>2294</v>
      </c>
      <c r="R74" t="s">
        <v>2295</v>
      </c>
      <c r="S74" t="s">
        <v>2296</v>
      </c>
      <c r="T74">
        <v>202112</v>
      </c>
      <c r="U74" t="s">
        <v>267</v>
      </c>
      <c r="V74">
        <v>823713.93</v>
      </c>
    </row>
    <row r="75" spans="1:22">
      <c r="A75" t="s">
        <v>2292</v>
      </c>
      <c r="B75" t="s">
        <v>2293</v>
      </c>
      <c r="C75" t="s">
        <v>2294</v>
      </c>
      <c r="D75" t="s">
        <v>2295</v>
      </c>
      <c r="E75" t="s">
        <v>261</v>
      </c>
      <c r="F75">
        <v>202107</v>
      </c>
      <c r="G75" t="s">
        <v>272</v>
      </c>
      <c r="H75">
        <v>0</v>
      </c>
      <c r="O75" t="s">
        <v>2292</v>
      </c>
      <c r="P75" t="s">
        <v>2293</v>
      </c>
      <c r="Q75" t="s">
        <v>2294</v>
      </c>
      <c r="R75" t="s">
        <v>2295</v>
      </c>
      <c r="S75" t="s">
        <v>2296</v>
      </c>
      <c r="T75">
        <v>202112</v>
      </c>
      <c r="U75" t="s">
        <v>268</v>
      </c>
      <c r="V75">
        <v>0</v>
      </c>
    </row>
    <row r="76" spans="1:22">
      <c r="A76" t="s">
        <v>2292</v>
      </c>
      <c r="B76" t="s">
        <v>2293</v>
      </c>
      <c r="C76" t="s">
        <v>2294</v>
      </c>
      <c r="D76" t="s">
        <v>2295</v>
      </c>
      <c r="E76" t="s">
        <v>261</v>
      </c>
      <c r="F76">
        <v>202108</v>
      </c>
      <c r="G76" t="s">
        <v>272</v>
      </c>
      <c r="H76">
        <v>0</v>
      </c>
      <c r="O76" t="s">
        <v>2292</v>
      </c>
      <c r="P76" t="s">
        <v>2293</v>
      </c>
      <c r="Q76" t="s">
        <v>2294</v>
      </c>
      <c r="R76" t="s">
        <v>2295</v>
      </c>
      <c r="S76" t="s">
        <v>2296</v>
      </c>
      <c r="T76">
        <v>202201</v>
      </c>
      <c r="U76" t="s">
        <v>270</v>
      </c>
      <c r="V76">
        <v>0</v>
      </c>
    </row>
    <row r="77" spans="1:22">
      <c r="A77" t="s">
        <v>2292</v>
      </c>
      <c r="B77" t="s">
        <v>2293</v>
      </c>
      <c r="C77" t="s">
        <v>2294</v>
      </c>
      <c r="D77" t="s">
        <v>2295</v>
      </c>
      <c r="E77" t="s">
        <v>261</v>
      </c>
      <c r="F77">
        <v>202109</v>
      </c>
      <c r="G77" t="s">
        <v>272</v>
      </c>
      <c r="H77">
        <v>0</v>
      </c>
      <c r="O77" t="s">
        <v>2292</v>
      </c>
      <c r="P77" t="s">
        <v>2293</v>
      </c>
      <c r="Q77" t="s">
        <v>2294</v>
      </c>
      <c r="R77" t="s">
        <v>2295</v>
      </c>
      <c r="S77" t="s">
        <v>2296</v>
      </c>
      <c r="T77">
        <v>202201</v>
      </c>
      <c r="U77" t="s">
        <v>271</v>
      </c>
      <c r="V77">
        <v>0</v>
      </c>
    </row>
    <row r="78" spans="1:22">
      <c r="A78" t="s">
        <v>2292</v>
      </c>
      <c r="B78" t="s">
        <v>2293</v>
      </c>
      <c r="C78" t="s">
        <v>2294</v>
      </c>
      <c r="D78" t="s">
        <v>2295</v>
      </c>
      <c r="E78" t="s">
        <v>261</v>
      </c>
      <c r="F78">
        <v>202110</v>
      </c>
      <c r="G78" t="s">
        <v>272</v>
      </c>
      <c r="H78">
        <v>0</v>
      </c>
      <c r="O78" t="s">
        <v>2292</v>
      </c>
      <c r="P78" t="s">
        <v>2293</v>
      </c>
      <c r="Q78" t="s">
        <v>2294</v>
      </c>
      <c r="R78" t="s">
        <v>2295</v>
      </c>
      <c r="S78" t="s">
        <v>2296</v>
      </c>
      <c r="T78">
        <v>202201</v>
      </c>
      <c r="U78" t="s">
        <v>266</v>
      </c>
      <c r="V78">
        <v>8018372.7400000002</v>
      </c>
    </row>
    <row r="79" spans="1:22">
      <c r="A79" t="s">
        <v>2292</v>
      </c>
      <c r="B79" t="s">
        <v>2293</v>
      </c>
      <c r="C79" t="s">
        <v>2294</v>
      </c>
      <c r="D79" t="s">
        <v>2295</v>
      </c>
      <c r="E79" t="s">
        <v>261</v>
      </c>
      <c r="F79">
        <v>202111</v>
      </c>
      <c r="G79" t="s">
        <v>272</v>
      </c>
      <c r="H79">
        <v>0</v>
      </c>
      <c r="O79" t="s">
        <v>2292</v>
      </c>
      <c r="P79" t="s">
        <v>2293</v>
      </c>
      <c r="Q79" t="s">
        <v>2294</v>
      </c>
      <c r="R79" t="s">
        <v>2295</v>
      </c>
      <c r="S79" t="s">
        <v>2296</v>
      </c>
      <c r="T79">
        <v>202201</v>
      </c>
      <c r="U79" t="s">
        <v>267</v>
      </c>
      <c r="V79">
        <v>790581.07</v>
      </c>
    </row>
    <row r="80" spans="1:22">
      <c r="A80" t="s">
        <v>2292</v>
      </c>
      <c r="B80" t="s">
        <v>2293</v>
      </c>
      <c r="C80" t="s">
        <v>2294</v>
      </c>
      <c r="D80" t="s">
        <v>2295</v>
      </c>
      <c r="E80" t="s">
        <v>261</v>
      </c>
      <c r="F80">
        <v>202112</v>
      </c>
      <c r="G80" t="s">
        <v>272</v>
      </c>
      <c r="H80">
        <v>0</v>
      </c>
      <c r="O80" t="s">
        <v>2292</v>
      </c>
      <c r="P80" t="s">
        <v>2293</v>
      </c>
      <c r="Q80" t="s">
        <v>2294</v>
      </c>
      <c r="R80" t="s">
        <v>2295</v>
      </c>
      <c r="S80" t="s">
        <v>2296</v>
      </c>
      <c r="T80">
        <v>202201</v>
      </c>
      <c r="U80" t="s">
        <v>268</v>
      </c>
      <c r="V80">
        <v>0</v>
      </c>
    </row>
    <row r="81" spans="1:22">
      <c r="A81" t="s">
        <v>2292</v>
      </c>
      <c r="B81" t="s">
        <v>2293</v>
      </c>
      <c r="C81" t="s">
        <v>2294</v>
      </c>
      <c r="D81" t="s">
        <v>2295</v>
      </c>
      <c r="E81" t="s">
        <v>261</v>
      </c>
      <c r="F81">
        <v>202201</v>
      </c>
      <c r="G81" t="s">
        <v>272</v>
      </c>
      <c r="H81">
        <v>0</v>
      </c>
      <c r="O81" t="s">
        <v>2292</v>
      </c>
      <c r="P81" t="s">
        <v>2293</v>
      </c>
      <c r="Q81" t="s">
        <v>2294</v>
      </c>
      <c r="R81" t="s">
        <v>2295</v>
      </c>
      <c r="S81" t="s">
        <v>2296</v>
      </c>
      <c r="T81">
        <v>202202</v>
      </c>
      <c r="U81" t="s">
        <v>270</v>
      </c>
      <c r="V81">
        <v>0</v>
      </c>
    </row>
    <row r="82" spans="1:22">
      <c r="A82" t="s">
        <v>2292</v>
      </c>
      <c r="B82" t="s">
        <v>2293</v>
      </c>
      <c r="C82" t="s">
        <v>2294</v>
      </c>
      <c r="D82" t="s">
        <v>2295</v>
      </c>
      <c r="E82" t="s">
        <v>261</v>
      </c>
      <c r="F82">
        <v>202202</v>
      </c>
      <c r="G82" t="s">
        <v>272</v>
      </c>
      <c r="H82">
        <v>0</v>
      </c>
      <c r="O82" t="s">
        <v>2292</v>
      </c>
      <c r="P82" t="s">
        <v>2293</v>
      </c>
      <c r="Q82" t="s">
        <v>2294</v>
      </c>
      <c r="R82" t="s">
        <v>2295</v>
      </c>
      <c r="S82" t="s">
        <v>2296</v>
      </c>
      <c r="T82">
        <v>202202</v>
      </c>
      <c r="U82" t="s">
        <v>271</v>
      </c>
      <c r="V82">
        <v>0</v>
      </c>
    </row>
    <row r="83" spans="1:22">
      <c r="A83" t="s">
        <v>2292</v>
      </c>
      <c r="B83" t="s">
        <v>2293</v>
      </c>
      <c r="C83" t="s">
        <v>2294</v>
      </c>
      <c r="D83" t="s">
        <v>2295</v>
      </c>
      <c r="E83" t="s">
        <v>261</v>
      </c>
      <c r="F83">
        <v>202203</v>
      </c>
      <c r="G83" t="s">
        <v>272</v>
      </c>
      <c r="H83">
        <v>0</v>
      </c>
      <c r="O83" t="s">
        <v>2292</v>
      </c>
      <c r="P83" t="s">
        <v>2293</v>
      </c>
      <c r="Q83" t="s">
        <v>2294</v>
      </c>
      <c r="R83" t="s">
        <v>2295</v>
      </c>
      <c r="S83" t="s">
        <v>2296</v>
      </c>
      <c r="T83">
        <v>202202</v>
      </c>
      <c r="U83" t="s">
        <v>266</v>
      </c>
      <c r="V83">
        <v>6172238.4100000001</v>
      </c>
    </row>
    <row r="84" spans="1:22">
      <c r="A84" t="s">
        <v>2292</v>
      </c>
      <c r="B84" t="s">
        <v>2293</v>
      </c>
      <c r="C84" t="s">
        <v>2294</v>
      </c>
      <c r="D84" t="s">
        <v>2295</v>
      </c>
      <c r="E84" t="s">
        <v>261</v>
      </c>
      <c r="F84">
        <v>202204</v>
      </c>
      <c r="G84" t="s">
        <v>272</v>
      </c>
      <c r="H84">
        <v>0</v>
      </c>
      <c r="O84" t="s">
        <v>2292</v>
      </c>
      <c r="P84" t="s">
        <v>2293</v>
      </c>
      <c r="Q84" t="s">
        <v>2294</v>
      </c>
      <c r="R84" t="s">
        <v>2295</v>
      </c>
      <c r="S84" t="s">
        <v>2296</v>
      </c>
      <c r="T84">
        <v>202202</v>
      </c>
      <c r="U84" t="s">
        <v>267</v>
      </c>
      <c r="V84">
        <v>694542.76</v>
      </c>
    </row>
    <row r="85" spans="1:22">
      <c r="A85" t="s">
        <v>2292</v>
      </c>
      <c r="B85" t="s">
        <v>2293</v>
      </c>
      <c r="C85" t="s">
        <v>2294</v>
      </c>
      <c r="D85" t="s">
        <v>2295</v>
      </c>
      <c r="E85" t="s">
        <v>261</v>
      </c>
      <c r="F85">
        <v>202205</v>
      </c>
      <c r="G85" t="s">
        <v>272</v>
      </c>
      <c r="H85">
        <v>0</v>
      </c>
      <c r="O85" t="s">
        <v>2292</v>
      </c>
      <c r="P85" t="s">
        <v>2293</v>
      </c>
      <c r="Q85" t="s">
        <v>2294</v>
      </c>
      <c r="R85" t="s">
        <v>2295</v>
      </c>
      <c r="S85" t="s">
        <v>2296</v>
      </c>
      <c r="T85">
        <v>202202</v>
      </c>
      <c r="U85" t="s">
        <v>268</v>
      </c>
      <c r="V85">
        <v>0</v>
      </c>
    </row>
    <row r="86" spans="1:22">
      <c r="A86" t="s">
        <v>2292</v>
      </c>
      <c r="B86" t="s">
        <v>2293</v>
      </c>
      <c r="C86" t="s">
        <v>2294</v>
      </c>
      <c r="D86" t="s">
        <v>2295</v>
      </c>
      <c r="E86" t="s">
        <v>2296</v>
      </c>
      <c r="F86">
        <v>202104</v>
      </c>
      <c r="G86" t="s">
        <v>258</v>
      </c>
      <c r="H86">
        <v>15282.4</v>
      </c>
      <c r="O86" t="s">
        <v>2292</v>
      </c>
      <c r="P86" t="s">
        <v>2293</v>
      </c>
      <c r="Q86" t="s">
        <v>2294</v>
      </c>
      <c r="R86" t="s">
        <v>2295</v>
      </c>
      <c r="S86" t="s">
        <v>2296</v>
      </c>
      <c r="T86">
        <v>202203</v>
      </c>
      <c r="U86" t="s">
        <v>270</v>
      </c>
      <c r="V86">
        <v>0</v>
      </c>
    </row>
    <row r="87" spans="1:22">
      <c r="A87" t="s">
        <v>2292</v>
      </c>
      <c r="B87" t="s">
        <v>2293</v>
      </c>
      <c r="C87" t="s">
        <v>2294</v>
      </c>
      <c r="D87" t="s">
        <v>2295</v>
      </c>
      <c r="E87" t="s">
        <v>2296</v>
      </c>
      <c r="F87">
        <v>202104</v>
      </c>
      <c r="G87" t="s">
        <v>260</v>
      </c>
      <c r="H87">
        <v>13031.41</v>
      </c>
      <c r="O87" t="s">
        <v>2292</v>
      </c>
      <c r="P87" t="s">
        <v>2293</v>
      </c>
      <c r="Q87" t="s">
        <v>2294</v>
      </c>
      <c r="R87" t="s">
        <v>2295</v>
      </c>
      <c r="S87" t="s">
        <v>2296</v>
      </c>
      <c r="T87">
        <v>202203</v>
      </c>
      <c r="U87" t="s">
        <v>271</v>
      </c>
      <c r="V87">
        <v>0</v>
      </c>
    </row>
    <row r="88" spans="1:22">
      <c r="A88" t="s">
        <v>2292</v>
      </c>
      <c r="B88" t="s">
        <v>2293</v>
      </c>
      <c r="C88" t="s">
        <v>2294</v>
      </c>
      <c r="D88" t="s">
        <v>2295</v>
      </c>
      <c r="E88" t="s">
        <v>2296</v>
      </c>
      <c r="F88">
        <v>202105</v>
      </c>
      <c r="G88" t="s">
        <v>258</v>
      </c>
      <c r="H88">
        <v>14934.65</v>
      </c>
      <c r="O88" t="s">
        <v>2292</v>
      </c>
      <c r="P88" t="s">
        <v>2293</v>
      </c>
      <c r="Q88" t="s">
        <v>2294</v>
      </c>
      <c r="R88" t="s">
        <v>2295</v>
      </c>
      <c r="S88" t="s">
        <v>2296</v>
      </c>
      <c r="T88">
        <v>202203</v>
      </c>
      <c r="U88" t="s">
        <v>266</v>
      </c>
      <c r="V88">
        <v>6090986.3399999999</v>
      </c>
    </row>
    <row r="89" spans="1:22">
      <c r="A89" t="s">
        <v>2292</v>
      </c>
      <c r="B89" t="s">
        <v>2293</v>
      </c>
      <c r="C89" t="s">
        <v>2294</v>
      </c>
      <c r="D89" t="s">
        <v>2295</v>
      </c>
      <c r="E89" t="s">
        <v>2296</v>
      </c>
      <c r="F89">
        <v>202105</v>
      </c>
      <c r="G89" t="s">
        <v>260</v>
      </c>
      <c r="H89">
        <v>14966.31</v>
      </c>
      <c r="O89" t="s">
        <v>2292</v>
      </c>
      <c r="P89" t="s">
        <v>2293</v>
      </c>
      <c r="Q89" t="s">
        <v>2294</v>
      </c>
      <c r="R89" t="s">
        <v>2295</v>
      </c>
      <c r="S89" t="s">
        <v>2296</v>
      </c>
      <c r="T89">
        <v>202203</v>
      </c>
      <c r="U89" t="s">
        <v>267</v>
      </c>
      <c r="V89">
        <v>733879.29</v>
      </c>
    </row>
    <row r="90" spans="1:22">
      <c r="A90" t="s">
        <v>2292</v>
      </c>
      <c r="B90" t="s">
        <v>2293</v>
      </c>
      <c r="C90" t="s">
        <v>2294</v>
      </c>
      <c r="D90" t="s">
        <v>2295</v>
      </c>
      <c r="E90" t="s">
        <v>2296</v>
      </c>
      <c r="F90">
        <v>202106</v>
      </c>
      <c r="G90" t="s">
        <v>258</v>
      </c>
      <c r="H90">
        <v>19000</v>
      </c>
      <c r="O90" t="s">
        <v>2292</v>
      </c>
      <c r="P90" t="s">
        <v>2293</v>
      </c>
      <c r="Q90" t="s">
        <v>2294</v>
      </c>
      <c r="R90" t="s">
        <v>2295</v>
      </c>
      <c r="S90" t="s">
        <v>2296</v>
      </c>
      <c r="T90">
        <v>202203</v>
      </c>
      <c r="U90" t="s">
        <v>268</v>
      </c>
      <c r="V90">
        <v>0</v>
      </c>
    </row>
    <row r="91" spans="1:22">
      <c r="A91" t="s">
        <v>2292</v>
      </c>
      <c r="B91" t="s">
        <v>2293</v>
      </c>
      <c r="C91" t="s">
        <v>2294</v>
      </c>
      <c r="D91" t="s">
        <v>2295</v>
      </c>
      <c r="E91" t="s">
        <v>2296</v>
      </c>
      <c r="F91">
        <v>202106</v>
      </c>
      <c r="G91" t="s">
        <v>260</v>
      </c>
      <c r="H91">
        <v>13822.73</v>
      </c>
      <c r="O91" t="s">
        <v>2292</v>
      </c>
      <c r="P91" t="s">
        <v>2293</v>
      </c>
      <c r="Q91" t="s">
        <v>2294</v>
      </c>
      <c r="R91" t="s">
        <v>2295</v>
      </c>
      <c r="S91" t="s">
        <v>2296</v>
      </c>
      <c r="T91">
        <v>202204</v>
      </c>
      <c r="U91" t="s">
        <v>270</v>
      </c>
      <c r="V91">
        <v>0</v>
      </c>
    </row>
    <row r="92" spans="1:22">
      <c r="A92" t="s">
        <v>2292</v>
      </c>
      <c r="B92" t="s">
        <v>2293</v>
      </c>
      <c r="C92" t="s">
        <v>2294</v>
      </c>
      <c r="D92" t="s">
        <v>2295</v>
      </c>
      <c r="E92" t="s">
        <v>2296</v>
      </c>
      <c r="F92">
        <v>202107</v>
      </c>
      <c r="G92" t="s">
        <v>258</v>
      </c>
      <c r="H92">
        <v>19000</v>
      </c>
      <c r="O92" t="s">
        <v>2292</v>
      </c>
      <c r="P92" t="s">
        <v>2293</v>
      </c>
      <c r="Q92" t="s">
        <v>2294</v>
      </c>
      <c r="R92" t="s">
        <v>2295</v>
      </c>
      <c r="S92" t="s">
        <v>2296</v>
      </c>
      <c r="T92">
        <v>202204</v>
      </c>
      <c r="U92" t="s">
        <v>271</v>
      </c>
      <c r="V92">
        <v>0</v>
      </c>
    </row>
    <row r="93" spans="1:22">
      <c r="A93" t="s">
        <v>2292</v>
      </c>
      <c r="B93" t="s">
        <v>2293</v>
      </c>
      <c r="C93" t="s">
        <v>2294</v>
      </c>
      <c r="D93" t="s">
        <v>2295</v>
      </c>
      <c r="E93" t="s">
        <v>2296</v>
      </c>
      <c r="F93">
        <v>202107</v>
      </c>
      <c r="G93" t="s">
        <v>260</v>
      </c>
      <c r="H93">
        <v>13856.59</v>
      </c>
      <c r="O93" t="s">
        <v>2292</v>
      </c>
      <c r="P93" t="s">
        <v>2293</v>
      </c>
      <c r="Q93" t="s">
        <v>2294</v>
      </c>
      <c r="R93" t="s">
        <v>2295</v>
      </c>
      <c r="S93" t="s">
        <v>2296</v>
      </c>
      <c r="T93">
        <v>202204</v>
      </c>
      <c r="U93" t="s">
        <v>266</v>
      </c>
      <c r="V93">
        <v>4486209.91</v>
      </c>
    </row>
    <row r="94" spans="1:22">
      <c r="A94" t="s">
        <v>2292</v>
      </c>
      <c r="B94" t="s">
        <v>2293</v>
      </c>
      <c r="C94" t="s">
        <v>2294</v>
      </c>
      <c r="D94" t="s">
        <v>2295</v>
      </c>
      <c r="E94" t="s">
        <v>2296</v>
      </c>
      <c r="F94">
        <v>202108</v>
      </c>
      <c r="G94" t="s">
        <v>258</v>
      </c>
      <c r="H94">
        <v>19000</v>
      </c>
      <c r="O94" t="s">
        <v>2292</v>
      </c>
      <c r="P94" t="s">
        <v>2293</v>
      </c>
      <c r="Q94" t="s">
        <v>2294</v>
      </c>
      <c r="R94" t="s">
        <v>2295</v>
      </c>
      <c r="S94" t="s">
        <v>2296</v>
      </c>
      <c r="T94">
        <v>202204</v>
      </c>
      <c r="U94" t="s">
        <v>267</v>
      </c>
      <c r="V94">
        <v>557652.68999999994</v>
      </c>
    </row>
    <row r="95" spans="1:22">
      <c r="A95" t="s">
        <v>2292</v>
      </c>
      <c r="B95" t="s">
        <v>2293</v>
      </c>
      <c r="C95" t="s">
        <v>2294</v>
      </c>
      <c r="D95" t="s">
        <v>2295</v>
      </c>
      <c r="E95" t="s">
        <v>2296</v>
      </c>
      <c r="F95">
        <v>202108</v>
      </c>
      <c r="G95" t="s">
        <v>260</v>
      </c>
      <c r="H95">
        <v>13712.84</v>
      </c>
      <c r="O95" t="s">
        <v>2292</v>
      </c>
      <c r="P95" t="s">
        <v>2293</v>
      </c>
      <c r="Q95" t="s">
        <v>2294</v>
      </c>
      <c r="R95" t="s">
        <v>2295</v>
      </c>
      <c r="S95" t="s">
        <v>2296</v>
      </c>
      <c r="T95">
        <v>202204</v>
      </c>
      <c r="U95" t="s">
        <v>268</v>
      </c>
      <c r="V95">
        <v>0</v>
      </c>
    </row>
    <row r="96" spans="1:22">
      <c r="A96" t="s">
        <v>2292</v>
      </c>
      <c r="B96" t="s">
        <v>2293</v>
      </c>
      <c r="C96" t="s">
        <v>2294</v>
      </c>
      <c r="D96" t="s">
        <v>2295</v>
      </c>
      <c r="E96" t="s">
        <v>2296</v>
      </c>
      <c r="F96">
        <v>202109</v>
      </c>
      <c r="G96" t="s">
        <v>258</v>
      </c>
      <c r="H96">
        <v>19000</v>
      </c>
      <c r="O96" t="s">
        <v>2292</v>
      </c>
      <c r="P96" t="s">
        <v>2293</v>
      </c>
      <c r="Q96" t="s">
        <v>2294</v>
      </c>
      <c r="R96" t="s">
        <v>2295</v>
      </c>
      <c r="S96" t="s">
        <v>2296</v>
      </c>
      <c r="T96">
        <v>202205</v>
      </c>
      <c r="U96" t="s">
        <v>270</v>
      </c>
      <c r="V96">
        <v>0</v>
      </c>
    </row>
    <row r="97" spans="1:22">
      <c r="A97" t="s">
        <v>2292</v>
      </c>
      <c r="B97" t="s">
        <v>2293</v>
      </c>
      <c r="C97" t="s">
        <v>2294</v>
      </c>
      <c r="D97" t="s">
        <v>2295</v>
      </c>
      <c r="E97" t="s">
        <v>2296</v>
      </c>
      <c r="F97">
        <v>202109</v>
      </c>
      <c r="G97" t="s">
        <v>260</v>
      </c>
      <c r="H97">
        <v>13651.57</v>
      </c>
      <c r="O97" t="s">
        <v>2292</v>
      </c>
      <c r="P97" t="s">
        <v>2293</v>
      </c>
      <c r="Q97" t="s">
        <v>2294</v>
      </c>
      <c r="R97" t="s">
        <v>2295</v>
      </c>
      <c r="S97" t="s">
        <v>2296</v>
      </c>
      <c r="T97">
        <v>202205</v>
      </c>
      <c r="U97" t="s">
        <v>271</v>
      </c>
      <c r="V97">
        <v>0</v>
      </c>
    </row>
    <row r="98" spans="1:22">
      <c r="A98" t="s">
        <v>2292</v>
      </c>
      <c r="B98" t="s">
        <v>2293</v>
      </c>
      <c r="C98" t="s">
        <v>2294</v>
      </c>
      <c r="D98" t="s">
        <v>2295</v>
      </c>
      <c r="E98" t="s">
        <v>2296</v>
      </c>
      <c r="F98">
        <v>202110</v>
      </c>
      <c r="G98" t="s">
        <v>258</v>
      </c>
      <c r="H98">
        <v>19000</v>
      </c>
      <c r="O98" t="s">
        <v>2292</v>
      </c>
      <c r="P98" t="s">
        <v>2293</v>
      </c>
      <c r="Q98" t="s">
        <v>2294</v>
      </c>
      <c r="R98" t="s">
        <v>2295</v>
      </c>
      <c r="S98" t="s">
        <v>2296</v>
      </c>
      <c r="T98">
        <v>202205</v>
      </c>
      <c r="U98" t="s">
        <v>266</v>
      </c>
      <c r="V98">
        <v>4767386.42</v>
      </c>
    </row>
    <row r="99" spans="1:22">
      <c r="A99" t="s">
        <v>2292</v>
      </c>
      <c r="B99" t="s">
        <v>2293</v>
      </c>
      <c r="C99" t="s">
        <v>2294</v>
      </c>
      <c r="D99" t="s">
        <v>2295</v>
      </c>
      <c r="E99" t="s">
        <v>2296</v>
      </c>
      <c r="F99">
        <v>202110</v>
      </c>
      <c r="G99" t="s">
        <v>260</v>
      </c>
      <c r="H99">
        <v>13620.36</v>
      </c>
      <c r="O99" t="s">
        <v>2292</v>
      </c>
      <c r="P99" t="s">
        <v>2293</v>
      </c>
      <c r="Q99" t="s">
        <v>2294</v>
      </c>
      <c r="R99" t="s">
        <v>2295</v>
      </c>
      <c r="S99" t="s">
        <v>2296</v>
      </c>
      <c r="T99">
        <v>202205</v>
      </c>
      <c r="U99" t="s">
        <v>267</v>
      </c>
      <c r="V99">
        <v>650989.88</v>
      </c>
    </row>
    <row r="100" spans="1:22">
      <c r="A100" t="s">
        <v>2292</v>
      </c>
      <c r="B100" t="s">
        <v>2293</v>
      </c>
      <c r="C100" t="s">
        <v>2294</v>
      </c>
      <c r="D100" t="s">
        <v>2295</v>
      </c>
      <c r="E100" t="s">
        <v>2296</v>
      </c>
      <c r="F100">
        <v>202111</v>
      </c>
      <c r="G100" t="s">
        <v>258</v>
      </c>
      <c r="H100">
        <v>19000</v>
      </c>
      <c r="O100" t="s">
        <v>2292</v>
      </c>
      <c r="P100" t="s">
        <v>2293</v>
      </c>
      <c r="Q100" t="s">
        <v>2294</v>
      </c>
      <c r="R100" t="s">
        <v>2295</v>
      </c>
      <c r="S100" t="s">
        <v>2296</v>
      </c>
      <c r="T100">
        <v>202205</v>
      </c>
      <c r="U100" t="s">
        <v>268</v>
      </c>
      <c r="V100">
        <v>0</v>
      </c>
    </row>
    <row r="101" spans="1:22">
      <c r="A101" t="s">
        <v>2292</v>
      </c>
      <c r="B101" t="s">
        <v>2293</v>
      </c>
      <c r="C101" t="s">
        <v>2294</v>
      </c>
      <c r="D101" t="s">
        <v>2295</v>
      </c>
      <c r="E101" t="s">
        <v>2296</v>
      </c>
      <c r="F101">
        <v>202111</v>
      </c>
      <c r="G101" t="s">
        <v>260</v>
      </c>
      <c r="H101">
        <v>13589.61</v>
      </c>
      <c r="O101" t="s">
        <v>2292</v>
      </c>
      <c r="P101" t="s">
        <v>2293</v>
      </c>
      <c r="Q101" t="s">
        <v>2294</v>
      </c>
      <c r="R101" t="s">
        <v>2295</v>
      </c>
      <c r="S101" t="s">
        <v>261</v>
      </c>
      <c r="T101">
        <v>202107</v>
      </c>
      <c r="U101" t="s">
        <v>270</v>
      </c>
      <c r="V101">
        <v>2434985.5099999998</v>
      </c>
    </row>
    <row r="102" spans="1:22">
      <c r="A102" t="s">
        <v>2292</v>
      </c>
      <c r="B102" t="s">
        <v>2293</v>
      </c>
      <c r="C102" t="s">
        <v>2294</v>
      </c>
      <c r="D102" t="s">
        <v>2295</v>
      </c>
      <c r="E102" t="s">
        <v>2296</v>
      </c>
      <c r="F102">
        <v>202112</v>
      </c>
      <c r="G102" t="s">
        <v>258</v>
      </c>
      <c r="H102">
        <v>19000</v>
      </c>
      <c r="O102" t="s">
        <v>2292</v>
      </c>
      <c r="P102" t="s">
        <v>2293</v>
      </c>
      <c r="Q102" t="s">
        <v>2294</v>
      </c>
      <c r="R102" t="s">
        <v>2295</v>
      </c>
      <c r="S102" t="s">
        <v>261</v>
      </c>
      <c r="T102">
        <v>202107</v>
      </c>
      <c r="U102" t="s">
        <v>271</v>
      </c>
      <c r="V102">
        <v>351526.06</v>
      </c>
    </row>
    <row r="103" spans="1:22">
      <c r="A103" t="s">
        <v>2292</v>
      </c>
      <c r="B103" t="s">
        <v>2293</v>
      </c>
      <c r="C103" t="s">
        <v>2294</v>
      </c>
      <c r="D103" t="s">
        <v>2295</v>
      </c>
      <c r="E103" t="s">
        <v>2296</v>
      </c>
      <c r="F103">
        <v>202112</v>
      </c>
      <c r="G103" t="s">
        <v>260</v>
      </c>
      <c r="H103">
        <v>13974.65</v>
      </c>
      <c r="O103" t="s">
        <v>2292</v>
      </c>
      <c r="P103" t="s">
        <v>2293</v>
      </c>
      <c r="Q103" t="s">
        <v>2294</v>
      </c>
      <c r="R103" t="s">
        <v>2295</v>
      </c>
      <c r="S103" t="s">
        <v>261</v>
      </c>
      <c r="T103">
        <v>202107</v>
      </c>
      <c r="U103" t="s">
        <v>266</v>
      </c>
      <c r="V103">
        <v>2480586.94</v>
      </c>
    </row>
    <row r="104" spans="1:22">
      <c r="A104" t="s">
        <v>2292</v>
      </c>
      <c r="B104" t="s">
        <v>2293</v>
      </c>
      <c r="C104" t="s">
        <v>2294</v>
      </c>
      <c r="D104" t="s">
        <v>2295</v>
      </c>
      <c r="E104" t="s">
        <v>2296</v>
      </c>
      <c r="F104">
        <v>202201</v>
      </c>
      <c r="G104" t="s">
        <v>258</v>
      </c>
      <c r="H104">
        <v>18959.45</v>
      </c>
      <c r="O104" t="s">
        <v>2292</v>
      </c>
      <c r="P104" t="s">
        <v>2293</v>
      </c>
      <c r="Q104" t="s">
        <v>2294</v>
      </c>
      <c r="R104" t="s">
        <v>2295</v>
      </c>
      <c r="S104" t="s">
        <v>261</v>
      </c>
      <c r="T104">
        <v>202107</v>
      </c>
      <c r="U104" t="s">
        <v>267</v>
      </c>
      <c r="V104">
        <v>358109.29</v>
      </c>
    </row>
    <row r="105" spans="1:22">
      <c r="A105" t="s">
        <v>2292</v>
      </c>
      <c r="B105" t="s">
        <v>2293</v>
      </c>
      <c r="C105" t="s">
        <v>2294</v>
      </c>
      <c r="D105" t="s">
        <v>2295</v>
      </c>
      <c r="E105" t="s">
        <v>2296</v>
      </c>
      <c r="F105">
        <v>202201</v>
      </c>
      <c r="G105" t="s">
        <v>260</v>
      </c>
      <c r="H105">
        <v>15113.26</v>
      </c>
      <c r="O105" t="s">
        <v>2292</v>
      </c>
      <c r="P105" t="s">
        <v>2293</v>
      </c>
      <c r="Q105" t="s">
        <v>2294</v>
      </c>
      <c r="R105" t="s">
        <v>2295</v>
      </c>
      <c r="S105" t="s">
        <v>261</v>
      </c>
      <c r="T105">
        <v>202107</v>
      </c>
      <c r="U105" t="s">
        <v>268</v>
      </c>
      <c r="V105">
        <v>52181.65</v>
      </c>
    </row>
    <row r="106" spans="1:22">
      <c r="A106" t="s">
        <v>2292</v>
      </c>
      <c r="B106" t="s">
        <v>2293</v>
      </c>
      <c r="C106" t="s">
        <v>2294</v>
      </c>
      <c r="D106" t="s">
        <v>2295</v>
      </c>
      <c r="E106" t="s">
        <v>2296</v>
      </c>
      <c r="F106">
        <v>202202</v>
      </c>
      <c r="G106" t="s">
        <v>258</v>
      </c>
      <c r="H106">
        <v>18085.93</v>
      </c>
      <c r="O106" t="s">
        <v>2292</v>
      </c>
      <c r="P106" t="s">
        <v>2293</v>
      </c>
      <c r="Q106" t="s">
        <v>2294</v>
      </c>
      <c r="R106" t="s">
        <v>2295</v>
      </c>
      <c r="S106" t="s">
        <v>261</v>
      </c>
      <c r="T106">
        <v>202108</v>
      </c>
      <c r="U106" t="s">
        <v>270</v>
      </c>
      <c r="V106">
        <v>100000</v>
      </c>
    </row>
    <row r="107" spans="1:22">
      <c r="A107" t="s">
        <v>2292</v>
      </c>
      <c r="B107" t="s">
        <v>2293</v>
      </c>
      <c r="C107" t="s">
        <v>2294</v>
      </c>
      <c r="D107" t="s">
        <v>2295</v>
      </c>
      <c r="E107" t="s">
        <v>2296</v>
      </c>
      <c r="F107">
        <v>202202</v>
      </c>
      <c r="G107" t="s">
        <v>260</v>
      </c>
      <c r="H107">
        <v>14150.57</v>
      </c>
      <c r="O107" t="s">
        <v>2292</v>
      </c>
      <c r="P107" t="s">
        <v>2293</v>
      </c>
      <c r="Q107" t="s">
        <v>2294</v>
      </c>
      <c r="R107" t="s">
        <v>2295</v>
      </c>
      <c r="S107" t="s">
        <v>261</v>
      </c>
      <c r="T107">
        <v>202108</v>
      </c>
      <c r="U107" t="s">
        <v>271</v>
      </c>
      <c r="V107">
        <v>0</v>
      </c>
    </row>
    <row r="108" spans="1:22">
      <c r="A108" t="s">
        <v>2292</v>
      </c>
      <c r="B108" t="s">
        <v>2293</v>
      </c>
      <c r="C108" t="s">
        <v>2294</v>
      </c>
      <c r="D108" t="s">
        <v>2295</v>
      </c>
      <c r="E108" t="s">
        <v>2296</v>
      </c>
      <c r="F108">
        <v>202203</v>
      </c>
      <c r="G108" t="s">
        <v>258</v>
      </c>
      <c r="H108">
        <v>17000</v>
      </c>
      <c r="O108" t="s">
        <v>2292</v>
      </c>
      <c r="P108" t="s">
        <v>2293</v>
      </c>
      <c r="Q108" t="s">
        <v>2294</v>
      </c>
      <c r="R108" t="s">
        <v>2295</v>
      </c>
      <c r="S108" t="s">
        <v>261</v>
      </c>
      <c r="T108">
        <v>202108</v>
      </c>
      <c r="U108" t="s">
        <v>266</v>
      </c>
      <c r="V108">
        <v>1992358.68</v>
      </c>
    </row>
    <row r="109" spans="1:22">
      <c r="A109" t="s">
        <v>2292</v>
      </c>
      <c r="B109" t="s">
        <v>2293</v>
      </c>
      <c r="C109" t="s">
        <v>2294</v>
      </c>
      <c r="D109" t="s">
        <v>2295</v>
      </c>
      <c r="E109" t="s">
        <v>2296</v>
      </c>
      <c r="F109">
        <v>202203</v>
      </c>
      <c r="G109" t="s">
        <v>260</v>
      </c>
      <c r="H109">
        <v>14333.22</v>
      </c>
      <c r="O109" t="s">
        <v>2292</v>
      </c>
      <c r="P109" t="s">
        <v>2293</v>
      </c>
      <c r="Q109" t="s">
        <v>2294</v>
      </c>
      <c r="R109" t="s">
        <v>2295</v>
      </c>
      <c r="S109" t="s">
        <v>261</v>
      </c>
      <c r="T109">
        <v>202108</v>
      </c>
      <c r="U109" t="s">
        <v>267</v>
      </c>
      <c r="V109">
        <v>307476.56</v>
      </c>
    </row>
    <row r="110" spans="1:22">
      <c r="A110" t="s">
        <v>2292</v>
      </c>
      <c r="B110" t="s">
        <v>2293</v>
      </c>
      <c r="C110" t="s">
        <v>2294</v>
      </c>
      <c r="D110" t="s">
        <v>2295</v>
      </c>
      <c r="E110" t="s">
        <v>2296</v>
      </c>
      <c r="F110">
        <v>202204</v>
      </c>
      <c r="G110" t="s">
        <v>258</v>
      </c>
      <c r="H110">
        <v>17000</v>
      </c>
      <c r="O110" t="s">
        <v>2292</v>
      </c>
      <c r="P110" t="s">
        <v>2293</v>
      </c>
      <c r="Q110" t="s">
        <v>2294</v>
      </c>
      <c r="R110" t="s">
        <v>2295</v>
      </c>
      <c r="S110" t="s">
        <v>261</v>
      </c>
      <c r="T110">
        <v>202108</v>
      </c>
      <c r="U110" t="s">
        <v>268</v>
      </c>
      <c r="V110">
        <v>0</v>
      </c>
    </row>
    <row r="111" spans="1:22">
      <c r="A111" t="s">
        <v>2292</v>
      </c>
      <c r="B111" t="s">
        <v>2293</v>
      </c>
      <c r="C111" t="s">
        <v>2294</v>
      </c>
      <c r="D111" t="s">
        <v>2295</v>
      </c>
      <c r="E111" t="s">
        <v>2296</v>
      </c>
      <c r="F111">
        <v>202204</v>
      </c>
      <c r="G111" t="s">
        <v>260</v>
      </c>
      <c r="H111">
        <v>13500</v>
      </c>
      <c r="O111" t="s">
        <v>2292</v>
      </c>
      <c r="P111" t="s">
        <v>2293</v>
      </c>
      <c r="Q111" t="s">
        <v>2294</v>
      </c>
      <c r="R111" t="s">
        <v>2295</v>
      </c>
      <c r="S111" t="s">
        <v>261</v>
      </c>
      <c r="T111">
        <v>202109</v>
      </c>
      <c r="U111" t="s">
        <v>270</v>
      </c>
      <c r="V111">
        <v>100000</v>
      </c>
    </row>
    <row r="112" spans="1:22">
      <c r="A112" t="s">
        <v>2292</v>
      </c>
      <c r="B112" t="s">
        <v>2293</v>
      </c>
      <c r="C112" t="s">
        <v>2294</v>
      </c>
      <c r="D112" t="s">
        <v>2295</v>
      </c>
      <c r="E112" t="s">
        <v>2296</v>
      </c>
      <c r="F112">
        <v>202205</v>
      </c>
      <c r="G112" t="s">
        <v>258</v>
      </c>
      <c r="H112">
        <v>17000</v>
      </c>
      <c r="O112" t="s">
        <v>2292</v>
      </c>
      <c r="P112" t="s">
        <v>2293</v>
      </c>
      <c r="Q112" t="s">
        <v>2294</v>
      </c>
      <c r="R112" t="s">
        <v>2295</v>
      </c>
      <c r="S112" t="s">
        <v>261</v>
      </c>
      <c r="T112">
        <v>202109</v>
      </c>
      <c r="U112" t="s">
        <v>271</v>
      </c>
      <c r="V112">
        <v>0</v>
      </c>
    </row>
    <row r="113" spans="1:22">
      <c r="A113" t="s">
        <v>2292</v>
      </c>
      <c r="B113" t="s">
        <v>2293</v>
      </c>
      <c r="C113" t="s">
        <v>2294</v>
      </c>
      <c r="D113" t="s">
        <v>2295</v>
      </c>
      <c r="E113" t="s">
        <v>2296</v>
      </c>
      <c r="F113">
        <v>202205</v>
      </c>
      <c r="G113" t="s">
        <v>260</v>
      </c>
      <c r="H113">
        <v>19068.16</v>
      </c>
      <c r="O113" t="s">
        <v>2292</v>
      </c>
      <c r="P113" t="s">
        <v>2293</v>
      </c>
      <c r="Q113" t="s">
        <v>2294</v>
      </c>
      <c r="R113" t="s">
        <v>2295</v>
      </c>
      <c r="S113" t="s">
        <v>261</v>
      </c>
      <c r="T113">
        <v>202109</v>
      </c>
      <c r="U113" t="s">
        <v>266</v>
      </c>
      <c r="V113">
        <v>1892586.2</v>
      </c>
    </row>
    <row r="114" spans="1:22">
      <c r="A114" t="s">
        <v>2292</v>
      </c>
      <c r="B114" t="s">
        <v>2293</v>
      </c>
      <c r="C114" t="s">
        <v>2294</v>
      </c>
      <c r="D114" t="s">
        <v>2295</v>
      </c>
      <c r="E114" t="s">
        <v>261</v>
      </c>
      <c r="F114">
        <v>202104</v>
      </c>
      <c r="G114" t="s">
        <v>258</v>
      </c>
      <c r="H114">
        <v>20380.509999999998</v>
      </c>
      <c r="O114" t="s">
        <v>2292</v>
      </c>
      <c r="P114" t="s">
        <v>2293</v>
      </c>
      <c r="Q114" t="s">
        <v>2294</v>
      </c>
      <c r="R114" t="s">
        <v>2295</v>
      </c>
      <c r="S114" t="s">
        <v>261</v>
      </c>
      <c r="T114">
        <v>202109</v>
      </c>
      <c r="U114" t="s">
        <v>267</v>
      </c>
      <c r="V114">
        <v>286114.86</v>
      </c>
    </row>
    <row r="115" spans="1:22">
      <c r="A115" t="s">
        <v>2292</v>
      </c>
      <c r="B115" t="s">
        <v>2293</v>
      </c>
      <c r="C115" t="s">
        <v>2294</v>
      </c>
      <c r="D115" t="s">
        <v>2295</v>
      </c>
      <c r="E115" t="s">
        <v>261</v>
      </c>
      <c r="F115">
        <v>202104</v>
      </c>
      <c r="G115" t="s">
        <v>260</v>
      </c>
      <c r="H115">
        <v>16578.66</v>
      </c>
      <c r="O115" t="s">
        <v>2292</v>
      </c>
      <c r="P115" t="s">
        <v>2293</v>
      </c>
      <c r="Q115" t="s">
        <v>2294</v>
      </c>
      <c r="R115" t="s">
        <v>2295</v>
      </c>
      <c r="S115" t="s">
        <v>261</v>
      </c>
      <c r="T115">
        <v>202109</v>
      </c>
      <c r="U115" t="s">
        <v>268</v>
      </c>
      <c r="V115">
        <v>0</v>
      </c>
    </row>
    <row r="116" spans="1:22">
      <c r="A116" t="s">
        <v>2292</v>
      </c>
      <c r="B116" t="s">
        <v>2293</v>
      </c>
      <c r="C116" t="s">
        <v>2294</v>
      </c>
      <c r="D116" t="s">
        <v>2295</v>
      </c>
      <c r="E116" t="s">
        <v>261</v>
      </c>
      <c r="F116">
        <v>202105</v>
      </c>
      <c r="G116" t="s">
        <v>258</v>
      </c>
      <c r="H116">
        <v>16918.150000000001</v>
      </c>
      <c r="O116" t="s">
        <v>2292</v>
      </c>
      <c r="P116" t="s">
        <v>2293</v>
      </c>
      <c r="Q116" t="s">
        <v>2294</v>
      </c>
      <c r="R116" t="s">
        <v>2295</v>
      </c>
      <c r="S116" t="s">
        <v>261</v>
      </c>
      <c r="T116">
        <v>202110</v>
      </c>
      <c r="U116" t="s">
        <v>270</v>
      </c>
      <c r="V116">
        <v>100000</v>
      </c>
    </row>
    <row r="117" spans="1:22">
      <c r="A117" t="s">
        <v>2292</v>
      </c>
      <c r="B117" t="s">
        <v>2293</v>
      </c>
      <c r="C117" t="s">
        <v>2294</v>
      </c>
      <c r="D117" t="s">
        <v>2295</v>
      </c>
      <c r="E117" t="s">
        <v>261</v>
      </c>
      <c r="F117">
        <v>202105</v>
      </c>
      <c r="G117" t="s">
        <v>260</v>
      </c>
      <c r="H117">
        <v>13563.06</v>
      </c>
      <c r="O117" t="s">
        <v>2292</v>
      </c>
      <c r="P117" t="s">
        <v>2293</v>
      </c>
      <c r="Q117" t="s">
        <v>2294</v>
      </c>
      <c r="R117" t="s">
        <v>2295</v>
      </c>
      <c r="S117" t="s">
        <v>261</v>
      </c>
      <c r="T117">
        <v>202110</v>
      </c>
      <c r="U117" t="s">
        <v>271</v>
      </c>
      <c r="V117">
        <v>0</v>
      </c>
    </row>
    <row r="118" spans="1:22">
      <c r="A118" t="s">
        <v>2292</v>
      </c>
      <c r="B118" t="s">
        <v>2293</v>
      </c>
      <c r="C118" t="s">
        <v>2294</v>
      </c>
      <c r="D118" t="s">
        <v>2295</v>
      </c>
      <c r="E118" t="s">
        <v>261</v>
      </c>
      <c r="F118">
        <v>202106</v>
      </c>
      <c r="G118" t="s">
        <v>258</v>
      </c>
      <c r="H118">
        <v>16914.36</v>
      </c>
      <c r="O118" t="s">
        <v>2292</v>
      </c>
      <c r="P118" t="s">
        <v>2293</v>
      </c>
      <c r="Q118" t="s">
        <v>2294</v>
      </c>
      <c r="R118" t="s">
        <v>2295</v>
      </c>
      <c r="S118" t="s">
        <v>261</v>
      </c>
      <c r="T118">
        <v>202110</v>
      </c>
      <c r="U118" t="s">
        <v>266</v>
      </c>
      <c r="V118">
        <v>1879512.16</v>
      </c>
    </row>
    <row r="119" spans="1:22">
      <c r="A119" t="s">
        <v>2292</v>
      </c>
      <c r="B119" t="s">
        <v>2293</v>
      </c>
      <c r="C119" t="s">
        <v>2294</v>
      </c>
      <c r="D119" t="s">
        <v>2295</v>
      </c>
      <c r="E119" t="s">
        <v>261</v>
      </c>
      <c r="F119">
        <v>202106</v>
      </c>
      <c r="G119" t="s">
        <v>260</v>
      </c>
      <c r="H119">
        <v>13697.59</v>
      </c>
      <c r="O119" t="s">
        <v>2292</v>
      </c>
      <c r="P119" t="s">
        <v>2293</v>
      </c>
      <c r="Q119" t="s">
        <v>2294</v>
      </c>
      <c r="R119" t="s">
        <v>2295</v>
      </c>
      <c r="S119" t="s">
        <v>261</v>
      </c>
      <c r="T119">
        <v>202110</v>
      </c>
      <c r="U119" t="s">
        <v>267</v>
      </c>
      <c r="V119">
        <v>270663.92</v>
      </c>
    </row>
    <row r="120" spans="1:22">
      <c r="A120" t="s">
        <v>2292</v>
      </c>
      <c r="B120" t="s">
        <v>2293</v>
      </c>
      <c r="C120" t="s">
        <v>2294</v>
      </c>
      <c r="D120" t="s">
        <v>2295</v>
      </c>
      <c r="E120" t="s">
        <v>261</v>
      </c>
      <c r="F120">
        <v>202107</v>
      </c>
      <c r="G120" t="s">
        <v>258</v>
      </c>
      <c r="H120">
        <v>16438.63</v>
      </c>
      <c r="O120" t="s">
        <v>2292</v>
      </c>
      <c r="P120" t="s">
        <v>2293</v>
      </c>
      <c r="Q120" t="s">
        <v>2294</v>
      </c>
      <c r="R120" t="s">
        <v>2295</v>
      </c>
      <c r="S120" t="s">
        <v>261</v>
      </c>
      <c r="T120">
        <v>202110</v>
      </c>
      <c r="U120" t="s">
        <v>268</v>
      </c>
      <c r="V120">
        <v>0</v>
      </c>
    </row>
    <row r="121" spans="1:22">
      <c r="A121" t="s">
        <v>2292</v>
      </c>
      <c r="B121" t="s">
        <v>2293</v>
      </c>
      <c r="C121" t="s">
        <v>2294</v>
      </c>
      <c r="D121" t="s">
        <v>2295</v>
      </c>
      <c r="E121" t="s">
        <v>261</v>
      </c>
      <c r="F121">
        <v>202107</v>
      </c>
      <c r="G121" t="s">
        <v>260</v>
      </c>
      <c r="H121">
        <v>13454.31</v>
      </c>
      <c r="O121" t="s">
        <v>2292</v>
      </c>
      <c r="P121" t="s">
        <v>2293</v>
      </c>
      <c r="Q121" t="s">
        <v>2294</v>
      </c>
      <c r="R121" t="s">
        <v>2295</v>
      </c>
      <c r="S121" t="s">
        <v>261</v>
      </c>
      <c r="T121">
        <v>202111</v>
      </c>
      <c r="U121" t="s">
        <v>270</v>
      </c>
      <c r="V121">
        <v>100000</v>
      </c>
    </row>
    <row r="122" spans="1:22">
      <c r="A122" t="s">
        <v>2292</v>
      </c>
      <c r="B122" t="s">
        <v>2293</v>
      </c>
      <c r="C122" t="s">
        <v>2294</v>
      </c>
      <c r="D122" t="s">
        <v>2295</v>
      </c>
      <c r="E122" t="s">
        <v>261</v>
      </c>
      <c r="F122">
        <v>202108</v>
      </c>
      <c r="G122" t="s">
        <v>258</v>
      </c>
      <c r="H122">
        <v>18798.16</v>
      </c>
      <c r="O122" t="s">
        <v>2292</v>
      </c>
      <c r="P122" t="s">
        <v>2293</v>
      </c>
      <c r="Q122" t="s">
        <v>2294</v>
      </c>
      <c r="R122" t="s">
        <v>2295</v>
      </c>
      <c r="S122" t="s">
        <v>261</v>
      </c>
      <c r="T122">
        <v>202111</v>
      </c>
      <c r="U122" t="s">
        <v>271</v>
      </c>
      <c r="V122">
        <v>0</v>
      </c>
    </row>
    <row r="123" spans="1:22">
      <c r="A123" t="s">
        <v>2292</v>
      </c>
      <c r="B123" t="s">
        <v>2293</v>
      </c>
      <c r="C123" t="s">
        <v>2294</v>
      </c>
      <c r="D123" t="s">
        <v>2295</v>
      </c>
      <c r="E123" t="s">
        <v>261</v>
      </c>
      <c r="F123">
        <v>202108</v>
      </c>
      <c r="G123" t="s">
        <v>260</v>
      </c>
      <c r="H123">
        <v>15631.16</v>
      </c>
      <c r="O123" t="s">
        <v>2292</v>
      </c>
      <c r="P123" t="s">
        <v>2293</v>
      </c>
      <c r="Q123" t="s">
        <v>2294</v>
      </c>
      <c r="R123" t="s">
        <v>2295</v>
      </c>
      <c r="S123" t="s">
        <v>261</v>
      </c>
      <c r="T123">
        <v>202111</v>
      </c>
      <c r="U123" t="s">
        <v>266</v>
      </c>
      <c r="V123">
        <v>2448302.04</v>
      </c>
    </row>
    <row r="124" spans="1:22">
      <c r="A124" t="s">
        <v>2292</v>
      </c>
      <c r="B124" t="s">
        <v>2293</v>
      </c>
      <c r="C124" t="s">
        <v>2294</v>
      </c>
      <c r="D124" t="s">
        <v>2295</v>
      </c>
      <c r="E124" t="s">
        <v>261</v>
      </c>
      <c r="F124">
        <v>202109</v>
      </c>
      <c r="G124" t="s">
        <v>258</v>
      </c>
      <c r="H124">
        <v>18190.32</v>
      </c>
      <c r="O124" t="s">
        <v>2292</v>
      </c>
      <c r="P124" t="s">
        <v>2293</v>
      </c>
      <c r="Q124" t="s">
        <v>2294</v>
      </c>
      <c r="R124" t="s">
        <v>2295</v>
      </c>
      <c r="S124" t="s">
        <v>261</v>
      </c>
      <c r="T124">
        <v>202111</v>
      </c>
      <c r="U124" t="s">
        <v>267</v>
      </c>
      <c r="V124">
        <v>290031.15999999997</v>
      </c>
    </row>
    <row r="125" spans="1:22">
      <c r="A125" t="s">
        <v>2292</v>
      </c>
      <c r="B125" t="s">
        <v>2293</v>
      </c>
      <c r="C125" t="s">
        <v>2294</v>
      </c>
      <c r="D125" t="s">
        <v>2295</v>
      </c>
      <c r="E125" t="s">
        <v>261</v>
      </c>
      <c r="F125">
        <v>202109</v>
      </c>
      <c r="G125" t="s">
        <v>260</v>
      </c>
      <c r="H125">
        <v>14642.2</v>
      </c>
      <c r="O125" t="s">
        <v>2292</v>
      </c>
      <c r="P125" t="s">
        <v>2293</v>
      </c>
      <c r="Q125" t="s">
        <v>2294</v>
      </c>
      <c r="R125" t="s">
        <v>2295</v>
      </c>
      <c r="S125" t="s">
        <v>261</v>
      </c>
      <c r="T125">
        <v>202111</v>
      </c>
      <c r="U125" t="s">
        <v>268</v>
      </c>
      <c r="V125">
        <v>0</v>
      </c>
    </row>
    <row r="126" spans="1:22">
      <c r="A126" t="s">
        <v>2292</v>
      </c>
      <c r="B126" t="s">
        <v>2293</v>
      </c>
      <c r="C126" t="s">
        <v>2294</v>
      </c>
      <c r="D126" t="s">
        <v>2295</v>
      </c>
      <c r="E126" t="s">
        <v>261</v>
      </c>
      <c r="F126">
        <v>202110</v>
      </c>
      <c r="G126" t="s">
        <v>258</v>
      </c>
      <c r="H126">
        <v>17916.96</v>
      </c>
      <c r="O126" t="s">
        <v>2292</v>
      </c>
      <c r="P126" t="s">
        <v>2293</v>
      </c>
      <c r="Q126" t="s">
        <v>2294</v>
      </c>
      <c r="R126" t="s">
        <v>2295</v>
      </c>
      <c r="S126" t="s">
        <v>261</v>
      </c>
      <c r="T126">
        <v>202112</v>
      </c>
      <c r="U126" t="s">
        <v>270</v>
      </c>
      <c r="V126">
        <v>109535.67999999999</v>
      </c>
    </row>
    <row r="127" spans="1:22">
      <c r="A127" t="s">
        <v>2292</v>
      </c>
      <c r="B127" t="s">
        <v>2293</v>
      </c>
      <c r="C127" t="s">
        <v>2294</v>
      </c>
      <c r="D127" t="s">
        <v>2295</v>
      </c>
      <c r="E127" t="s">
        <v>261</v>
      </c>
      <c r="F127">
        <v>202110</v>
      </c>
      <c r="G127" t="s">
        <v>260</v>
      </c>
      <c r="H127">
        <v>14670.8</v>
      </c>
      <c r="O127" t="s">
        <v>2292</v>
      </c>
      <c r="P127" t="s">
        <v>2293</v>
      </c>
      <c r="Q127" t="s">
        <v>2294</v>
      </c>
      <c r="R127" t="s">
        <v>2295</v>
      </c>
      <c r="S127" t="s">
        <v>261</v>
      </c>
      <c r="T127">
        <v>202112</v>
      </c>
      <c r="U127" t="s">
        <v>271</v>
      </c>
      <c r="V127">
        <v>2836.8</v>
      </c>
    </row>
    <row r="128" spans="1:22">
      <c r="A128" t="s">
        <v>2292</v>
      </c>
      <c r="B128" t="s">
        <v>2293</v>
      </c>
      <c r="C128" t="s">
        <v>2294</v>
      </c>
      <c r="D128" t="s">
        <v>2295</v>
      </c>
      <c r="E128" t="s">
        <v>261</v>
      </c>
      <c r="F128">
        <v>202111</v>
      </c>
      <c r="G128" t="s">
        <v>258</v>
      </c>
      <c r="H128">
        <v>17784.16</v>
      </c>
      <c r="O128" t="s">
        <v>2292</v>
      </c>
      <c r="P128" t="s">
        <v>2293</v>
      </c>
      <c r="Q128" t="s">
        <v>2294</v>
      </c>
      <c r="R128" t="s">
        <v>2295</v>
      </c>
      <c r="S128" t="s">
        <v>261</v>
      </c>
      <c r="T128">
        <v>202112</v>
      </c>
      <c r="U128" t="s">
        <v>266</v>
      </c>
      <c r="V128">
        <v>3110688.12</v>
      </c>
    </row>
    <row r="129" spans="1:22">
      <c r="A129" t="s">
        <v>2292</v>
      </c>
      <c r="B129" t="s">
        <v>2293</v>
      </c>
      <c r="C129" t="s">
        <v>2294</v>
      </c>
      <c r="D129" t="s">
        <v>2295</v>
      </c>
      <c r="E129" t="s">
        <v>261</v>
      </c>
      <c r="F129">
        <v>202111</v>
      </c>
      <c r="G129" t="s">
        <v>260</v>
      </c>
      <c r="H129">
        <v>14837.68</v>
      </c>
      <c r="O129" t="s">
        <v>2292</v>
      </c>
      <c r="P129" t="s">
        <v>2293</v>
      </c>
      <c r="Q129" t="s">
        <v>2294</v>
      </c>
      <c r="R129" t="s">
        <v>2295</v>
      </c>
      <c r="S129" t="s">
        <v>261</v>
      </c>
      <c r="T129">
        <v>202112</v>
      </c>
      <c r="U129" t="s">
        <v>267</v>
      </c>
      <c r="V129">
        <v>366572.6</v>
      </c>
    </row>
    <row r="130" spans="1:22">
      <c r="A130" t="s">
        <v>2292</v>
      </c>
      <c r="B130" t="s">
        <v>2293</v>
      </c>
      <c r="C130" t="s">
        <v>2294</v>
      </c>
      <c r="D130" t="s">
        <v>2295</v>
      </c>
      <c r="E130" t="s">
        <v>261</v>
      </c>
      <c r="F130">
        <v>202112</v>
      </c>
      <c r="G130" t="s">
        <v>258</v>
      </c>
      <c r="H130">
        <v>18223.12</v>
      </c>
      <c r="O130" t="s">
        <v>2292</v>
      </c>
      <c r="P130" t="s">
        <v>2293</v>
      </c>
      <c r="Q130" t="s">
        <v>2294</v>
      </c>
      <c r="R130" t="s">
        <v>2295</v>
      </c>
      <c r="S130" t="s">
        <v>261</v>
      </c>
      <c r="T130">
        <v>202112</v>
      </c>
      <c r="U130" t="s">
        <v>268</v>
      </c>
      <c r="V130">
        <v>0</v>
      </c>
    </row>
    <row r="131" spans="1:22">
      <c r="A131" t="s">
        <v>2292</v>
      </c>
      <c r="B131" t="s">
        <v>2293</v>
      </c>
      <c r="C131" t="s">
        <v>2294</v>
      </c>
      <c r="D131" t="s">
        <v>2295</v>
      </c>
      <c r="E131" t="s">
        <v>261</v>
      </c>
      <c r="F131">
        <v>202112</v>
      </c>
      <c r="G131" t="s">
        <v>260</v>
      </c>
      <c r="H131">
        <v>14832.92</v>
      </c>
      <c r="O131" t="s">
        <v>2292</v>
      </c>
      <c r="P131" t="s">
        <v>2293</v>
      </c>
      <c r="Q131" t="s">
        <v>2294</v>
      </c>
      <c r="R131" t="s">
        <v>2295</v>
      </c>
      <c r="S131" t="s">
        <v>261</v>
      </c>
      <c r="T131">
        <v>202201</v>
      </c>
      <c r="U131" t="s">
        <v>270</v>
      </c>
      <c r="V131">
        <v>100000</v>
      </c>
    </row>
    <row r="132" spans="1:22">
      <c r="A132" t="s">
        <v>2292</v>
      </c>
      <c r="B132" t="s">
        <v>2293</v>
      </c>
      <c r="C132" t="s">
        <v>2294</v>
      </c>
      <c r="D132" t="s">
        <v>2295</v>
      </c>
      <c r="E132" t="s">
        <v>261</v>
      </c>
      <c r="F132">
        <v>202201</v>
      </c>
      <c r="G132" t="s">
        <v>258</v>
      </c>
      <c r="H132">
        <v>19832.96</v>
      </c>
      <c r="O132" t="s">
        <v>2292</v>
      </c>
      <c r="P132" t="s">
        <v>2293</v>
      </c>
      <c r="Q132" t="s">
        <v>2294</v>
      </c>
      <c r="R132" t="s">
        <v>2295</v>
      </c>
      <c r="S132" t="s">
        <v>261</v>
      </c>
      <c r="T132">
        <v>202201</v>
      </c>
      <c r="U132" t="s">
        <v>271</v>
      </c>
      <c r="V132">
        <v>0</v>
      </c>
    </row>
    <row r="133" spans="1:22">
      <c r="A133" t="s">
        <v>2292</v>
      </c>
      <c r="B133" t="s">
        <v>2293</v>
      </c>
      <c r="C133" t="s">
        <v>2294</v>
      </c>
      <c r="D133" t="s">
        <v>2295</v>
      </c>
      <c r="E133" t="s">
        <v>261</v>
      </c>
      <c r="F133">
        <v>202201</v>
      </c>
      <c r="G133" t="s">
        <v>260</v>
      </c>
      <c r="H133">
        <v>15826</v>
      </c>
      <c r="O133" t="s">
        <v>2292</v>
      </c>
      <c r="P133" t="s">
        <v>2293</v>
      </c>
      <c r="Q133" t="s">
        <v>2294</v>
      </c>
      <c r="R133" t="s">
        <v>2295</v>
      </c>
      <c r="S133" t="s">
        <v>261</v>
      </c>
      <c r="T133">
        <v>202201</v>
      </c>
      <c r="U133" t="s">
        <v>266</v>
      </c>
      <c r="V133">
        <v>3725376.36</v>
      </c>
    </row>
    <row r="134" spans="1:22">
      <c r="A134" t="s">
        <v>2292</v>
      </c>
      <c r="B134" t="s">
        <v>2293</v>
      </c>
      <c r="C134" t="s">
        <v>2294</v>
      </c>
      <c r="D134" t="s">
        <v>2295</v>
      </c>
      <c r="E134" t="s">
        <v>261</v>
      </c>
      <c r="F134">
        <v>202202</v>
      </c>
      <c r="G134" t="s">
        <v>258</v>
      </c>
      <c r="H134">
        <v>19615.919999999998</v>
      </c>
      <c r="O134" t="s">
        <v>2292</v>
      </c>
      <c r="P134" t="s">
        <v>2293</v>
      </c>
      <c r="Q134" t="s">
        <v>2294</v>
      </c>
      <c r="R134" t="s">
        <v>2295</v>
      </c>
      <c r="S134" t="s">
        <v>261</v>
      </c>
      <c r="T134">
        <v>202201</v>
      </c>
      <c r="U134" t="s">
        <v>267</v>
      </c>
      <c r="V134">
        <v>392449.84</v>
      </c>
    </row>
    <row r="135" spans="1:22">
      <c r="A135" t="s">
        <v>2292</v>
      </c>
      <c r="B135" t="s">
        <v>2293</v>
      </c>
      <c r="C135" t="s">
        <v>2294</v>
      </c>
      <c r="D135" t="s">
        <v>2295</v>
      </c>
      <c r="E135" t="s">
        <v>261</v>
      </c>
      <c r="F135">
        <v>202202</v>
      </c>
      <c r="G135" t="s">
        <v>260</v>
      </c>
      <c r="H135">
        <v>15785.12</v>
      </c>
      <c r="O135" t="s">
        <v>2292</v>
      </c>
      <c r="P135" t="s">
        <v>2293</v>
      </c>
      <c r="Q135" t="s">
        <v>2294</v>
      </c>
      <c r="R135" t="s">
        <v>2295</v>
      </c>
      <c r="S135" t="s">
        <v>261</v>
      </c>
      <c r="T135">
        <v>202201</v>
      </c>
      <c r="U135" t="s">
        <v>268</v>
      </c>
      <c r="V135">
        <v>0</v>
      </c>
    </row>
    <row r="136" spans="1:22">
      <c r="A136" t="s">
        <v>2292</v>
      </c>
      <c r="B136" t="s">
        <v>2293</v>
      </c>
      <c r="C136" t="s">
        <v>2294</v>
      </c>
      <c r="D136" t="s">
        <v>2295</v>
      </c>
      <c r="E136" t="s">
        <v>261</v>
      </c>
      <c r="F136">
        <v>202203</v>
      </c>
      <c r="G136" t="s">
        <v>258</v>
      </c>
      <c r="H136">
        <v>18368.32</v>
      </c>
      <c r="O136" t="s">
        <v>2292</v>
      </c>
      <c r="P136" t="s">
        <v>2293</v>
      </c>
      <c r="Q136" t="s">
        <v>2294</v>
      </c>
      <c r="R136" t="s">
        <v>2295</v>
      </c>
      <c r="S136" t="s">
        <v>261</v>
      </c>
      <c r="T136">
        <v>202202</v>
      </c>
      <c r="U136" t="s">
        <v>270</v>
      </c>
      <c r="V136">
        <v>100000</v>
      </c>
    </row>
    <row r="137" spans="1:22">
      <c r="A137" t="s">
        <v>2292</v>
      </c>
      <c r="B137" t="s">
        <v>2293</v>
      </c>
      <c r="C137" t="s">
        <v>2294</v>
      </c>
      <c r="D137" t="s">
        <v>2295</v>
      </c>
      <c r="E137" t="s">
        <v>261</v>
      </c>
      <c r="F137">
        <v>202203</v>
      </c>
      <c r="G137" t="s">
        <v>260</v>
      </c>
      <c r="H137">
        <v>14779.6</v>
      </c>
      <c r="O137" t="s">
        <v>2292</v>
      </c>
      <c r="P137" t="s">
        <v>2293</v>
      </c>
      <c r="Q137" t="s">
        <v>2294</v>
      </c>
      <c r="R137" t="s">
        <v>2295</v>
      </c>
      <c r="S137" t="s">
        <v>261</v>
      </c>
      <c r="T137">
        <v>202202</v>
      </c>
      <c r="U137" t="s">
        <v>271</v>
      </c>
      <c r="V137">
        <v>0</v>
      </c>
    </row>
    <row r="138" spans="1:22">
      <c r="A138" t="s">
        <v>2292</v>
      </c>
      <c r="B138" t="s">
        <v>2293</v>
      </c>
      <c r="C138" t="s">
        <v>2294</v>
      </c>
      <c r="D138" t="s">
        <v>2295</v>
      </c>
      <c r="E138" t="s">
        <v>261</v>
      </c>
      <c r="F138">
        <v>202204</v>
      </c>
      <c r="G138" t="s">
        <v>258</v>
      </c>
      <c r="H138">
        <v>11712.56</v>
      </c>
      <c r="O138" t="s">
        <v>2292</v>
      </c>
      <c r="P138" t="s">
        <v>2293</v>
      </c>
      <c r="Q138" t="s">
        <v>2294</v>
      </c>
      <c r="R138" t="s">
        <v>2295</v>
      </c>
      <c r="S138" t="s">
        <v>261</v>
      </c>
      <c r="T138">
        <v>202202</v>
      </c>
      <c r="U138" t="s">
        <v>266</v>
      </c>
      <c r="V138">
        <v>2943366.32</v>
      </c>
    </row>
    <row r="139" spans="1:22">
      <c r="A139" t="s">
        <v>2292</v>
      </c>
      <c r="B139" t="s">
        <v>2293</v>
      </c>
      <c r="C139" t="s">
        <v>2294</v>
      </c>
      <c r="D139" t="s">
        <v>2295</v>
      </c>
      <c r="E139" t="s">
        <v>261</v>
      </c>
      <c r="F139">
        <v>202204</v>
      </c>
      <c r="G139" t="s">
        <v>260</v>
      </c>
      <c r="H139">
        <v>8861.52</v>
      </c>
      <c r="O139" t="s">
        <v>2292</v>
      </c>
      <c r="P139" t="s">
        <v>2293</v>
      </c>
      <c r="Q139" t="s">
        <v>2294</v>
      </c>
      <c r="R139" t="s">
        <v>2295</v>
      </c>
      <c r="S139" t="s">
        <v>261</v>
      </c>
      <c r="T139">
        <v>202202</v>
      </c>
      <c r="U139" t="s">
        <v>267</v>
      </c>
      <c r="V139">
        <v>367870.16</v>
      </c>
    </row>
    <row r="140" spans="1:22">
      <c r="A140" t="s">
        <v>2292</v>
      </c>
      <c r="B140" t="s">
        <v>2293</v>
      </c>
      <c r="C140" t="s">
        <v>2294</v>
      </c>
      <c r="D140" t="s">
        <v>2295</v>
      </c>
      <c r="E140" t="s">
        <v>261</v>
      </c>
      <c r="F140">
        <v>202205</v>
      </c>
      <c r="G140" t="s">
        <v>258</v>
      </c>
      <c r="H140">
        <v>13701.76</v>
      </c>
      <c r="O140" t="s">
        <v>2292</v>
      </c>
      <c r="P140" t="s">
        <v>2293</v>
      </c>
      <c r="Q140" t="s">
        <v>2294</v>
      </c>
      <c r="R140" t="s">
        <v>2295</v>
      </c>
      <c r="S140" t="s">
        <v>261</v>
      </c>
      <c r="T140">
        <v>202202</v>
      </c>
      <c r="U140" t="s">
        <v>268</v>
      </c>
      <c r="V140">
        <v>0</v>
      </c>
    </row>
    <row r="141" spans="1:22">
      <c r="A141" t="s">
        <v>2292</v>
      </c>
      <c r="B141" t="s">
        <v>2293</v>
      </c>
      <c r="C141" t="s">
        <v>2294</v>
      </c>
      <c r="D141" t="s">
        <v>2295</v>
      </c>
      <c r="E141" t="s">
        <v>261</v>
      </c>
      <c r="F141">
        <v>202205</v>
      </c>
      <c r="G141" t="s">
        <v>260</v>
      </c>
      <c r="H141">
        <v>10275.36</v>
      </c>
      <c r="O141" t="s">
        <v>2292</v>
      </c>
      <c r="P141" t="s">
        <v>2293</v>
      </c>
      <c r="Q141" t="s">
        <v>2294</v>
      </c>
      <c r="R141" t="s">
        <v>2295</v>
      </c>
      <c r="S141" t="s">
        <v>261</v>
      </c>
      <c r="T141">
        <v>202203</v>
      </c>
      <c r="U141" t="s">
        <v>270</v>
      </c>
      <c r="V141">
        <v>100000</v>
      </c>
    </row>
    <row r="142" spans="1:22">
      <c r="A142" t="s">
        <v>2292</v>
      </c>
      <c r="B142" t="s">
        <v>2293</v>
      </c>
      <c r="C142" t="s">
        <v>2294</v>
      </c>
      <c r="D142" t="s">
        <v>2295</v>
      </c>
      <c r="E142" t="s">
        <v>2296</v>
      </c>
      <c r="F142">
        <v>202104</v>
      </c>
      <c r="G142" t="s">
        <v>270</v>
      </c>
      <c r="H142">
        <v>3524820.51</v>
      </c>
      <c r="O142" t="s">
        <v>2292</v>
      </c>
      <c r="P142" t="s">
        <v>2293</v>
      </c>
      <c r="Q142" t="s">
        <v>2294</v>
      </c>
      <c r="R142" t="s">
        <v>2295</v>
      </c>
      <c r="S142" t="s">
        <v>261</v>
      </c>
      <c r="T142">
        <v>202203</v>
      </c>
      <c r="U142" t="s">
        <v>271</v>
      </c>
      <c r="V142">
        <v>0</v>
      </c>
    </row>
    <row r="143" spans="1:22">
      <c r="A143" t="s">
        <v>2292</v>
      </c>
      <c r="B143" t="s">
        <v>2293</v>
      </c>
      <c r="C143" t="s">
        <v>2294</v>
      </c>
      <c r="D143" t="s">
        <v>2295</v>
      </c>
      <c r="E143" t="s">
        <v>2296</v>
      </c>
      <c r="F143">
        <v>202104</v>
      </c>
      <c r="G143" t="s">
        <v>271</v>
      </c>
      <c r="H143">
        <v>397481.39</v>
      </c>
      <c r="O143" t="s">
        <v>2292</v>
      </c>
      <c r="P143" t="s">
        <v>2293</v>
      </c>
      <c r="Q143" t="s">
        <v>2294</v>
      </c>
      <c r="R143" t="s">
        <v>2295</v>
      </c>
      <c r="S143" t="s">
        <v>261</v>
      </c>
      <c r="T143">
        <v>202203</v>
      </c>
      <c r="U143" t="s">
        <v>266</v>
      </c>
      <c r="V143">
        <v>3243675.52</v>
      </c>
    </row>
    <row r="144" spans="1:22">
      <c r="A144" t="s">
        <v>2292</v>
      </c>
      <c r="B144" t="s">
        <v>2293</v>
      </c>
      <c r="C144" t="s">
        <v>2294</v>
      </c>
      <c r="D144" t="s">
        <v>2295</v>
      </c>
      <c r="E144" t="s">
        <v>2296</v>
      </c>
      <c r="F144">
        <v>202104</v>
      </c>
      <c r="G144" t="s">
        <v>266</v>
      </c>
      <c r="H144">
        <v>3594182.49</v>
      </c>
      <c r="O144" t="s">
        <v>2292</v>
      </c>
      <c r="P144" t="s">
        <v>2293</v>
      </c>
      <c r="Q144" t="s">
        <v>2294</v>
      </c>
      <c r="R144" t="s">
        <v>2295</v>
      </c>
      <c r="S144" t="s">
        <v>261</v>
      </c>
      <c r="T144">
        <v>202203</v>
      </c>
      <c r="U144" t="s">
        <v>267</v>
      </c>
      <c r="V144">
        <v>451432.4</v>
      </c>
    </row>
    <row r="145" spans="1:22">
      <c r="A145" t="s">
        <v>2292</v>
      </c>
      <c r="B145" t="s">
        <v>2293</v>
      </c>
      <c r="C145" t="s">
        <v>2294</v>
      </c>
      <c r="D145" t="s">
        <v>2295</v>
      </c>
      <c r="E145" t="s">
        <v>2296</v>
      </c>
      <c r="F145">
        <v>202104</v>
      </c>
      <c r="G145" t="s">
        <v>267</v>
      </c>
      <c r="H145">
        <v>405303.09</v>
      </c>
      <c r="O145" t="s">
        <v>2292</v>
      </c>
      <c r="P145" t="s">
        <v>2293</v>
      </c>
      <c r="Q145" t="s">
        <v>2294</v>
      </c>
      <c r="R145" t="s">
        <v>2295</v>
      </c>
      <c r="S145" t="s">
        <v>261</v>
      </c>
      <c r="T145">
        <v>202203</v>
      </c>
      <c r="U145" t="s">
        <v>268</v>
      </c>
      <c r="V145">
        <v>0</v>
      </c>
    </row>
    <row r="146" spans="1:22">
      <c r="A146" t="s">
        <v>2292</v>
      </c>
      <c r="B146" t="s">
        <v>2293</v>
      </c>
      <c r="C146" t="s">
        <v>2294</v>
      </c>
      <c r="D146" t="s">
        <v>2295</v>
      </c>
      <c r="E146" t="s">
        <v>2296</v>
      </c>
      <c r="F146">
        <v>202104</v>
      </c>
      <c r="G146" t="s">
        <v>268</v>
      </c>
      <c r="H146">
        <v>77183.679999999993</v>
      </c>
      <c r="O146" t="s">
        <v>2292</v>
      </c>
      <c r="P146" t="s">
        <v>2293</v>
      </c>
      <c r="Q146" t="s">
        <v>2294</v>
      </c>
      <c r="R146" t="s">
        <v>2295</v>
      </c>
      <c r="S146" t="s">
        <v>261</v>
      </c>
      <c r="T146">
        <v>202204</v>
      </c>
      <c r="U146" t="s">
        <v>270</v>
      </c>
      <c r="V146">
        <v>100000</v>
      </c>
    </row>
    <row r="147" spans="1:22">
      <c r="A147" t="s">
        <v>2292</v>
      </c>
      <c r="B147" t="s">
        <v>2293</v>
      </c>
      <c r="C147" t="s">
        <v>2294</v>
      </c>
      <c r="D147" t="s">
        <v>2295</v>
      </c>
      <c r="E147" t="s">
        <v>2296</v>
      </c>
      <c r="F147">
        <v>202105</v>
      </c>
      <c r="G147" t="s">
        <v>270</v>
      </c>
      <c r="H147">
        <v>6004183.2000000002</v>
      </c>
      <c r="O147" t="s">
        <v>2292</v>
      </c>
      <c r="P147" t="s">
        <v>2293</v>
      </c>
      <c r="Q147" t="s">
        <v>2294</v>
      </c>
      <c r="R147" t="s">
        <v>2295</v>
      </c>
      <c r="S147" t="s">
        <v>261</v>
      </c>
      <c r="T147">
        <v>202204</v>
      </c>
      <c r="U147" t="s">
        <v>271</v>
      </c>
      <c r="V147">
        <v>0</v>
      </c>
    </row>
    <row r="148" spans="1:22">
      <c r="A148" t="s">
        <v>2292</v>
      </c>
      <c r="B148" t="s">
        <v>2293</v>
      </c>
      <c r="C148" t="s">
        <v>2294</v>
      </c>
      <c r="D148" t="s">
        <v>2295</v>
      </c>
      <c r="E148" t="s">
        <v>2296</v>
      </c>
      <c r="F148">
        <v>202105</v>
      </c>
      <c r="G148" t="s">
        <v>271</v>
      </c>
      <c r="H148">
        <v>674107.61</v>
      </c>
      <c r="O148" t="s">
        <v>2292</v>
      </c>
      <c r="P148" t="s">
        <v>2293</v>
      </c>
      <c r="Q148" t="s">
        <v>2294</v>
      </c>
      <c r="R148" t="s">
        <v>2295</v>
      </c>
      <c r="S148" t="s">
        <v>261</v>
      </c>
      <c r="T148">
        <v>202204</v>
      </c>
      <c r="U148" t="s">
        <v>266</v>
      </c>
      <c r="V148">
        <v>1895811.4</v>
      </c>
    </row>
    <row r="149" spans="1:22">
      <c r="A149" t="s">
        <v>2292</v>
      </c>
      <c r="B149" t="s">
        <v>2293</v>
      </c>
      <c r="C149" t="s">
        <v>2294</v>
      </c>
      <c r="D149" t="s">
        <v>2295</v>
      </c>
      <c r="E149" t="s">
        <v>2296</v>
      </c>
      <c r="F149">
        <v>202105</v>
      </c>
      <c r="G149" t="s">
        <v>266</v>
      </c>
      <c r="H149">
        <v>6098186.8099999996</v>
      </c>
      <c r="O149" t="s">
        <v>2292</v>
      </c>
      <c r="P149" t="s">
        <v>2293</v>
      </c>
      <c r="Q149" t="s">
        <v>2294</v>
      </c>
      <c r="R149" t="s">
        <v>2295</v>
      </c>
      <c r="S149" t="s">
        <v>261</v>
      </c>
      <c r="T149">
        <v>202204</v>
      </c>
      <c r="U149" t="s">
        <v>267</v>
      </c>
      <c r="V149">
        <v>244493.88</v>
      </c>
    </row>
    <row r="150" spans="1:22">
      <c r="A150" t="s">
        <v>2292</v>
      </c>
      <c r="B150" t="s">
        <v>2293</v>
      </c>
      <c r="C150" t="s">
        <v>2294</v>
      </c>
      <c r="D150" t="s">
        <v>2295</v>
      </c>
      <c r="E150" t="s">
        <v>2296</v>
      </c>
      <c r="F150">
        <v>202105</v>
      </c>
      <c r="G150" t="s">
        <v>267</v>
      </c>
      <c r="H150">
        <v>684661.68</v>
      </c>
      <c r="O150" t="s">
        <v>2292</v>
      </c>
      <c r="P150" t="s">
        <v>2293</v>
      </c>
      <c r="Q150" t="s">
        <v>2294</v>
      </c>
      <c r="R150" t="s">
        <v>2295</v>
      </c>
      <c r="S150" t="s">
        <v>261</v>
      </c>
      <c r="T150">
        <v>202204</v>
      </c>
      <c r="U150" t="s">
        <v>268</v>
      </c>
      <c r="V150">
        <v>0</v>
      </c>
    </row>
    <row r="151" spans="1:22">
      <c r="A151" t="s">
        <v>2292</v>
      </c>
      <c r="B151" t="s">
        <v>2293</v>
      </c>
      <c r="C151" t="s">
        <v>2294</v>
      </c>
      <c r="D151" t="s">
        <v>2295</v>
      </c>
      <c r="E151" t="s">
        <v>2296</v>
      </c>
      <c r="F151">
        <v>202105</v>
      </c>
      <c r="G151" t="s">
        <v>268</v>
      </c>
      <c r="H151">
        <v>104557.67</v>
      </c>
      <c r="O151" t="s">
        <v>2292</v>
      </c>
      <c r="P151" t="s">
        <v>2293</v>
      </c>
      <c r="Q151" t="s">
        <v>2294</v>
      </c>
      <c r="R151" t="s">
        <v>2295</v>
      </c>
      <c r="S151" t="s">
        <v>261</v>
      </c>
      <c r="T151">
        <v>202205</v>
      </c>
      <c r="U151" t="s">
        <v>270</v>
      </c>
      <c r="V151">
        <v>100000</v>
      </c>
    </row>
    <row r="152" spans="1:22">
      <c r="A152" t="s">
        <v>2292</v>
      </c>
      <c r="B152" t="s">
        <v>2293</v>
      </c>
      <c r="C152" t="s">
        <v>2294</v>
      </c>
      <c r="D152" t="s">
        <v>2295</v>
      </c>
      <c r="E152" t="s">
        <v>2296</v>
      </c>
      <c r="F152">
        <v>202106</v>
      </c>
      <c r="G152" t="s">
        <v>270</v>
      </c>
      <c r="H152">
        <v>5760301.8499999996</v>
      </c>
      <c r="O152" t="s">
        <v>2292</v>
      </c>
      <c r="P152" t="s">
        <v>2293</v>
      </c>
      <c r="Q152" t="s">
        <v>2294</v>
      </c>
      <c r="R152" t="s">
        <v>2295</v>
      </c>
      <c r="S152" t="s">
        <v>261</v>
      </c>
      <c r="T152">
        <v>202205</v>
      </c>
      <c r="U152" t="s">
        <v>271</v>
      </c>
      <c r="V152">
        <v>0</v>
      </c>
    </row>
    <row r="153" spans="1:22">
      <c r="A153" t="s">
        <v>2292</v>
      </c>
      <c r="B153" t="s">
        <v>2293</v>
      </c>
      <c r="C153" t="s">
        <v>2294</v>
      </c>
      <c r="D153" t="s">
        <v>2295</v>
      </c>
      <c r="E153" t="s">
        <v>2296</v>
      </c>
      <c r="F153">
        <v>202106</v>
      </c>
      <c r="G153" t="s">
        <v>271</v>
      </c>
      <c r="H153">
        <v>672948.16</v>
      </c>
      <c r="O153" t="s">
        <v>2292</v>
      </c>
      <c r="P153" t="s">
        <v>2293</v>
      </c>
      <c r="Q153" t="s">
        <v>2294</v>
      </c>
      <c r="R153" t="s">
        <v>2295</v>
      </c>
      <c r="S153" t="s">
        <v>261</v>
      </c>
      <c r="T153">
        <v>202205</v>
      </c>
      <c r="U153" t="s">
        <v>266</v>
      </c>
      <c r="V153">
        <v>1903522.8</v>
      </c>
    </row>
    <row r="154" spans="1:22">
      <c r="A154" t="s">
        <v>2292</v>
      </c>
      <c r="B154" t="s">
        <v>2293</v>
      </c>
      <c r="C154" t="s">
        <v>2294</v>
      </c>
      <c r="D154" t="s">
        <v>2295</v>
      </c>
      <c r="E154" t="s">
        <v>2296</v>
      </c>
      <c r="F154">
        <v>202106</v>
      </c>
      <c r="G154" t="s">
        <v>266</v>
      </c>
      <c r="H154">
        <v>5867531.0899999999</v>
      </c>
      <c r="O154" t="s">
        <v>2292</v>
      </c>
      <c r="P154" t="s">
        <v>2293</v>
      </c>
      <c r="Q154" t="s">
        <v>2294</v>
      </c>
      <c r="R154" t="s">
        <v>2295</v>
      </c>
      <c r="S154" t="s">
        <v>261</v>
      </c>
      <c r="T154">
        <v>202205</v>
      </c>
      <c r="U154" t="s">
        <v>267</v>
      </c>
      <c r="V154">
        <v>248360.36</v>
      </c>
    </row>
    <row r="155" spans="1:22">
      <c r="A155" t="s">
        <v>2292</v>
      </c>
      <c r="B155" t="s">
        <v>2293</v>
      </c>
      <c r="C155" t="s">
        <v>2294</v>
      </c>
      <c r="D155" t="s">
        <v>2295</v>
      </c>
      <c r="E155" t="s">
        <v>2296</v>
      </c>
      <c r="F155">
        <v>202106</v>
      </c>
      <c r="G155" t="s">
        <v>267</v>
      </c>
      <c r="H155">
        <v>685475.23</v>
      </c>
      <c r="O155" t="s">
        <v>2292</v>
      </c>
      <c r="P155" t="s">
        <v>2293</v>
      </c>
      <c r="Q155" t="s">
        <v>2294</v>
      </c>
      <c r="R155" t="s">
        <v>2295</v>
      </c>
      <c r="S155" t="s">
        <v>261</v>
      </c>
      <c r="T155">
        <v>202205</v>
      </c>
      <c r="U155" t="s">
        <v>268</v>
      </c>
      <c r="V155">
        <v>0</v>
      </c>
    </row>
    <row r="156" spans="1:22">
      <c r="A156" t="s">
        <v>2292</v>
      </c>
      <c r="B156" t="s">
        <v>2293</v>
      </c>
      <c r="C156" t="s">
        <v>2294</v>
      </c>
      <c r="D156" t="s">
        <v>2295</v>
      </c>
      <c r="E156" t="s">
        <v>2296</v>
      </c>
      <c r="F156">
        <v>202106</v>
      </c>
      <c r="G156" t="s">
        <v>268</v>
      </c>
      <c r="H156">
        <v>119756.32</v>
      </c>
    </row>
    <row r="157" spans="1:22">
      <c r="A157" t="s">
        <v>2292</v>
      </c>
      <c r="B157" t="s">
        <v>2293</v>
      </c>
      <c r="C157" t="s">
        <v>2294</v>
      </c>
      <c r="D157" t="s">
        <v>2295</v>
      </c>
      <c r="E157" t="s">
        <v>2296</v>
      </c>
      <c r="F157">
        <v>202107</v>
      </c>
      <c r="G157" t="s">
        <v>270</v>
      </c>
      <c r="H157">
        <v>5844540.3399999999</v>
      </c>
      <c r="O157" t="s">
        <v>2292</v>
      </c>
      <c r="P157" t="s">
        <v>2293</v>
      </c>
      <c r="Q157" t="s">
        <v>2294</v>
      </c>
      <c r="R157" t="s">
        <v>2295</v>
      </c>
      <c r="S157" t="s">
        <v>2296</v>
      </c>
      <c r="T157">
        <v>202205</v>
      </c>
      <c r="U157" t="s">
        <v>258</v>
      </c>
      <c r="V157">
        <v>17000</v>
      </c>
    </row>
    <row r="158" spans="1:22">
      <c r="A158" t="s">
        <v>2292</v>
      </c>
      <c r="B158" t="s">
        <v>2293</v>
      </c>
      <c r="C158" t="s">
        <v>2294</v>
      </c>
      <c r="D158" t="s">
        <v>2295</v>
      </c>
      <c r="E158" t="s">
        <v>2296</v>
      </c>
      <c r="F158">
        <v>202107</v>
      </c>
      <c r="G158" t="s">
        <v>271</v>
      </c>
      <c r="H158">
        <v>763428.11</v>
      </c>
      <c r="O158" t="s">
        <v>2292</v>
      </c>
      <c r="P158" t="s">
        <v>2293</v>
      </c>
      <c r="Q158" t="s">
        <v>2294</v>
      </c>
      <c r="R158" t="s">
        <v>2295</v>
      </c>
      <c r="S158" t="s">
        <v>2296</v>
      </c>
      <c r="T158">
        <v>202205</v>
      </c>
      <c r="U158" t="s">
        <v>260</v>
      </c>
      <c r="V158">
        <v>19068.16</v>
      </c>
    </row>
    <row r="159" spans="1:22">
      <c r="A159" t="s">
        <v>2292</v>
      </c>
      <c r="B159" t="s">
        <v>2293</v>
      </c>
      <c r="C159" t="s">
        <v>2294</v>
      </c>
      <c r="D159" t="s">
        <v>2295</v>
      </c>
      <c r="E159" t="s">
        <v>2296</v>
      </c>
      <c r="F159">
        <v>202107</v>
      </c>
      <c r="G159" t="s">
        <v>266</v>
      </c>
      <c r="H159">
        <v>5953994.5099999998</v>
      </c>
      <c r="O159" t="s">
        <v>2292</v>
      </c>
      <c r="P159" t="s">
        <v>2293</v>
      </c>
      <c r="Q159" t="s">
        <v>2294</v>
      </c>
      <c r="R159" t="s">
        <v>2295</v>
      </c>
      <c r="S159" t="s">
        <v>261</v>
      </c>
      <c r="T159">
        <v>202205</v>
      </c>
      <c r="U159" t="s">
        <v>258</v>
      </c>
      <c r="V159">
        <v>13701.76</v>
      </c>
    </row>
    <row r="160" spans="1:22">
      <c r="A160" t="s">
        <v>2292</v>
      </c>
      <c r="B160" t="s">
        <v>2293</v>
      </c>
      <c r="C160" t="s">
        <v>2294</v>
      </c>
      <c r="D160" t="s">
        <v>2295</v>
      </c>
      <c r="E160" t="s">
        <v>2296</v>
      </c>
      <c r="F160">
        <v>202107</v>
      </c>
      <c r="G160" t="s">
        <v>267</v>
      </c>
      <c r="H160">
        <v>777725.28</v>
      </c>
      <c r="O160" t="s">
        <v>2292</v>
      </c>
      <c r="P160" t="s">
        <v>2293</v>
      </c>
      <c r="Q160" t="s">
        <v>2294</v>
      </c>
      <c r="R160" t="s">
        <v>2295</v>
      </c>
      <c r="S160" t="s">
        <v>261</v>
      </c>
      <c r="T160">
        <v>202205</v>
      </c>
      <c r="U160" t="s">
        <v>260</v>
      </c>
      <c r="V160">
        <v>10275.36</v>
      </c>
    </row>
    <row r="161" spans="1:22">
      <c r="A161" t="s">
        <v>2292</v>
      </c>
      <c r="B161" t="s">
        <v>2293</v>
      </c>
      <c r="C161" t="s">
        <v>2294</v>
      </c>
      <c r="D161" t="s">
        <v>2295</v>
      </c>
      <c r="E161" t="s">
        <v>2296</v>
      </c>
      <c r="F161">
        <v>202107</v>
      </c>
      <c r="G161" t="s">
        <v>268</v>
      </c>
      <c r="H161">
        <v>123751.34</v>
      </c>
      <c r="O161" t="s">
        <v>2292</v>
      </c>
      <c r="P161" t="s">
        <v>2293</v>
      </c>
      <c r="Q161" t="s">
        <v>2294</v>
      </c>
      <c r="R161" t="s">
        <v>2295</v>
      </c>
      <c r="S161" t="s">
        <v>2296</v>
      </c>
      <c r="T161">
        <v>202205</v>
      </c>
      <c r="U161" t="s">
        <v>270</v>
      </c>
      <c r="V161">
        <v>0</v>
      </c>
    </row>
    <row r="162" spans="1:22">
      <c r="A162" t="s">
        <v>2292</v>
      </c>
      <c r="B162" t="s">
        <v>2293</v>
      </c>
      <c r="C162" t="s">
        <v>2294</v>
      </c>
      <c r="D162" t="s">
        <v>2295</v>
      </c>
      <c r="E162" t="s">
        <v>2296</v>
      </c>
      <c r="F162">
        <v>202108</v>
      </c>
      <c r="G162" t="s">
        <v>270</v>
      </c>
      <c r="H162">
        <v>0</v>
      </c>
      <c r="O162" t="s">
        <v>2292</v>
      </c>
      <c r="P162" t="s">
        <v>2293</v>
      </c>
      <c r="Q162" t="s">
        <v>2294</v>
      </c>
      <c r="R162" t="s">
        <v>2295</v>
      </c>
      <c r="S162" t="s">
        <v>2296</v>
      </c>
      <c r="T162">
        <v>202205</v>
      </c>
      <c r="U162" t="s">
        <v>271</v>
      </c>
      <c r="V162">
        <v>0</v>
      </c>
    </row>
    <row r="163" spans="1:22">
      <c r="A163" t="s">
        <v>2292</v>
      </c>
      <c r="B163" t="s">
        <v>2293</v>
      </c>
      <c r="C163" t="s">
        <v>2294</v>
      </c>
      <c r="D163" t="s">
        <v>2295</v>
      </c>
      <c r="E163" t="s">
        <v>2296</v>
      </c>
      <c r="F163">
        <v>202108</v>
      </c>
      <c r="G163" t="s">
        <v>271</v>
      </c>
      <c r="H163">
        <v>0</v>
      </c>
      <c r="O163" t="s">
        <v>2292</v>
      </c>
      <c r="P163" t="s">
        <v>2293</v>
      </c>
      <c r="Q163" t="s">
        <v>2294</v>
      </c>
      <c r="R163" t="s">
        <v>2295</v>
      </c>
      <c r="S163" t="s">
        <v>2296</v>
      </c>
      <c r="T163">
        <v>202205</v>
      </c>
      <c r="U163" t="s">
        <v>266</v>
      </c>
      <c r="V163">
        <v>4767386.42</v>
      </c>
    </row>
    <row r="164" spans="1:22">
      <c r="A164" t="s">
        <v>2292</v>
      </c>
      <c r="B164" t="s">
        <v>2293</v>
      </c>
      <c r="C164" t="s">
        <v>2294</v>
      </c>
      <c r="D164" t="s">
        <v>2295</v>
      </c>
      <c r="E164" t="s">
        <v>2296</v>
      </c>
      <c r="F164">
        <v>202108</v>
      </c>
      <c r="G164" t="s">
        <v>266</v>
      </c>
      <c r="H164">
        <v>5183115.6500000004</v>
      </c>
      <c r="O164" t="s">
        <v>2292</v>
      </c>
      <c r="P164" t="s">
        <v>2293</v>
      </c>
      <c r="Q164" t="s">
        <v>2294</v>
      </c>
      <c r="R164" t="s">
        <v>2295</v>
      </c>
      <c r="S164" t="s">
        <v>2296</v>
      </c>
      <c r="T164">
        <v>202205</v>
      </c>
      <c r="U164" t="s">
        <v>267</v>
      </c>
      <c r="V164">
        <v>650989.88</v>
      </c>
    </row>
    <row r="165" spans="1:22">
      <c r="A165" t="s">
        <v>2292</v>
      </c>
      <c r="B165" t="s">
        <v>2293</v>
      </c>
      <c r="C165" t="s">
        <v>2294</v>
      </c>
      <c r="D165" t="s">
        <v>2295</v>
      </c>
      <c r="E165" t="s">
        <v>2296</v>
      </c>
      <c r="F165">
        <v>202108</v>
      </c>
      <c r="G165" t="s">
        <v>267</v>
      </c>
      <c r="H165">
        <v>710062.38</v>
      </c>
      <c r="O165" t="s">
        <v>2292</v>
      </c>
      <c r="P165" t="s">
        <v>2293</v>
      </c>
      <c r="Q165" t="s">
        <v>2294</v>
      </c>
      <c r="R165" t="s">
        <v>2295</v>
      </c>
      <c r="S165" t="s">
        <v>2296</v>
      </c>
      <c r="T165">
        <v>202205</v>
      </c>
      <c r="U165" t="s">
        <v>268</v>
      </c>
      <c r="V165">
        <v>0</v>
      </c>
    </row>
    <row r="166" spans="1:22">
      <c r="A166" t="s">
        <v>2292</v>
      </c>
      <c r="B166" t="s">
        <v>2293</v>
      </c>
      <c r="C166" t="s">
        <v>2294</v>
      </c>
      <c r="D166" t="s">
        <v>2295</v>
      </c>
      <c r="E166" t="s">
        <v>2296</v>
      </c>
      <c r="F166">
        <v>202108</v>
      </c>
      <c r="G166" t="s">
        <v>268</v>
      </c>
      <c r="H166">
        <v>0</v>
      </c>
      <c r="O166" t="s">
        <v>2292</v>
      </c>
      <c r="P166" t="s">
        <v>2293</v>
      </c>
      <c r="Q166" t="s">
        <v>2294</v>
      </c>
      <c r="R166" t="s">
        <v>2295</v>
      </c>
      <c r="S166" t="s">
        <v>261</v>
      </c>
      <c r="T166">
        <v>202205</v>
      </c>
      <c r="U166" t="s">
        <v>270</v>
      </c>
      <c r="V166">
        <v>100000</v>
      </c>
    </row>
    <row r="167" spans="1:22">
      <c r="A167" t="s">
        <v>2292</v>
      </c>
      <c r="B167" t="s">
        <v>2293</v>
      </c>
      <c r="C167" t="s">
        <v>2294</v>
      </c>
      <c r="D167" t="s">
        <v>2295</v>
      </c>
      <c r="E167" t="s">
        <v>2296</v>
      </c>
      <c r="F167">
        <v>202109</v>
      </c>
      <c r="G167" t="s">
        <v>270</v>
      </c>
      <c r="H167">
        <v>0</v>
      </c>
      <c r="O167" t="s">
        <v>2292</v>
      </c>
      <c r="P167" t="s">
        <v>2293</v>
      </c>
      <c r="Q167" t="s">
        <v>2294</v>
      </c>
      <c r="R167" t="s">
        <v>2295</v>
      </c>
      <c r="S167" t="s">
        <v>261</v>
      </c>
      <c r="T167">
        <v>202205</v>
      </c>
      <c r="U167" t="s">
        <v>271</v>
      </c>
      <c r="V167">
        <v>0</v>
      </c>
    </row>
    <row r="168" spans="1:22">
      <c r="A168" t="s">
        <v>2292</v>
      </c>
      <c r="B168" t="s">
        <v>2293</v>
      </c>
      <c r="C168" t="s">
        <v>2294</v>
      </c>
      <c r="D168" t="s">
        <v>2295</v>
      </c>
      <c r="E168" t="s">
        <v>2296</v>
      </c>
      <c r="F168">
        <v>202109</v>
      </c>
      <c r="G168" t="s">
        <v>271</v>
      </c>
      <c r="H168">
        <v>0</v>
      </c>
      <c r="O168" t="s">
        <v>2292</v>
      </c>
      <c r="P168" t="s">
        <v>2293</v>
      </c>
      <c r="Q168" t="s">
        <v>2294</v>
      </c>
      <c r="R168" t="s">
        <v>2295</v>
      </c>
      <c r="S168" t="s">
        <v>261</v>
      </c>
      <c r="T168">
        <v>202205</v>
      </c>
      <c r="U168" t="s">
        <v>266</v>
      </c>
      <c r="V168">
        <v>1903522.8</v>
      </c>
    </row>
    <row r="169" spans="1:22">
      <c r="A169" t="s">
        <v>2292</v>
      </c>
      <c r="B169" t="s">
        <v>2293</v>
      </c>
      <c r="C169" t="s">
        <v>2294</v>
      </c>
      <c r="D169" t="s">
        <v>2295</v>
      </c>
      <c r="E169" t="s">
        <v>2296</v>
      </c>
      <c r="F169">
        <v>202109</v>
      </c>
      <c r="G169" t="s">
        <v>266</v>
      </c>
      <c r="H169">
        <v>5315372.87</v>
      </c>
      <c r="O169" t="s">
        <v>2292</v>
      </c>
      <c r="P169" t="s">
        <v>2293</v>
      </c>
      <c r="Q169" t="s">
        <v>2294</v>
      </c>
      <c r="R169" t="s">
        <v>2295</v>
      </c>
      <c r="S169" t="s">
        <v>261</v>
      </c>
      <c r="T169">
        <v>202205</v>
      </c>
      <c r="U169" t="s">
        <v>267</v>
      </c>
      <c r="V169">
        <v>248360.36</v>
      </c>
    </row>
    <row r="170" spans="1:22">
      <c r="A170" t="s">
        <v>2292</v>
      </c>
      <c r="B170" t="s">
        <v>2293</v>
      </c>
      <c r="C170" t="s">
        <v>2294</v>
      </c>
      <c r="D170" t="s">
        <v>2295</v>
      </c>
      <c r="E170" t="s">
        <v>2296</v>
      </c>
      <c r="F170">
        <v>202109</v>
      </c>
      <c r="G170" t="s">
        <v>267</v>
      </c>
      <c r="H170">
        <v>664980.41</v>
      </c>
      <c r="O170" t="s">
        <v>2292</v>
      </c>
      <c r="P170" t="s">
        <v>2293</v>
      </c>
      <c r="Q170" t="s">
        <v>2294</v>
      </c>
      <c r="R170" t="s">
        <v>2295</v>
      </c>
      <c r="S170" t="s">
        <v>261</v>
      </c>
      <c r="T170">
        <v>202205</v>
      </c>
      <c r="U170" t="s">
        <v>268</v>
      </c>
      <c r="V170">
        <v>0</v>
      </c>
    </row>
    <row r="171" spans="1:22">
      <c r="A171" t="s">
        <v>2292</v>
      </c>
      <c r="B171" t="s">
        <v>2293</v>
      </c>
      <c r="C171" t="s">
        <v>2294</v>
      </c>
      <c r="D171" t="s">
        <v>2295</v>
      </c>
      <c r="E171" t="s">
        <v>2296</v>
      </c>
      <c r="F171">
        <v>202109</v>
      </c>
      <c r="G171" t="s">
        <v>268</v>
      </c>
      <c r="H171">
        <v>0</v>
      </c>
    </row>
    <row r="172" spans="1:22">
      <c r="A172" t="s">
        <v>2292</v>
      </c>
      <c r="B172" t="s">
        <v>2293</v>
      </c>
      <c r="C172" t="s">
        <v>2294</v>
      </c>
      <c r="D172" t="s">
        <v>2295</v>
      </c>
      <c r="E172" t="s">
        <v>2296</v>
      </c>
      <c r="F172">
        <v>202110</v>
      </c>
      <c r="G172" t="s">
        <v>270</v>
      </c>
      <c r="H172">
        <v>0</v>
      </c>
    </row>
    <row r="173" spans="1:22">
      <c r="A173" t="s">
        <v>2292</v>
      </c>
      <c r="B173" t="s">
        <v>2293</v>
      </c>
      <c r="C173" t="s">
        <v>2294</v>
      </c>
      <c r="D173" t="s">
        <v>2295</v>
      </c>
      <c r="E173" t="s">
        <v>2296</v>
      </c>
      <c r="F173">
        <v>202110</v>
      </c>
      <c r="G173" t="s">
        <v>271</v>
      </c>
      <c r="H173">
        <v>0</v>
      </c>
    </row>
    <row r="174" spans="1:22">
      <c r="A174" t="s">
        <v>2292</v>
      </c>
      <c r="B174" t="s">
        <v>2293</v>
      </c>
      <c r="C174" t="s">
        <v>2294</v>
      </c>
      <c r="D174" t="s">
        <v>2295</v>
      </c>
      <c r="E174" t="s">
        <v>2296</v>
      </c>
      <c r="F174">
        <v>202110</v>
      </c>
      <c r="G174" t="s">
        <v>266</v>
      </c>
      <c r="H174">
        <v>5332680.3899999997</v>
      </c>
    </row>
    <row r="175" spans="1:22">
      <c r="A175" t="s">
        <v>2292</v>
      </c>
      <c r="B175" t="s">
        <v>2293</v>
      </c>
      <c r="C175" t="s">
        <v>2294</v>
      </c>
      <c r="D175" t="s">
        <v>2295</v>
      </c>
      <c r="E175" t="s">
        <v>2296</v>
      </c>
      <c r="F175">
        <v>202110</v>
      </c>
      <c r="G175" t="s">
        <v>267</v>
      </c>
      <c r="H175">
        <v>647244.01</v>
      </c>
    </row>
    <row r="176" spans="1:22">
      <c r="A176" t="s">
        <v>2292</v>
      </c>
      <c r="B176" t="s">
        <v>2293</v>
      </c>
      <c r="C176" t="s">
        <v>2294</v>
      </c>
      <c r="D176" t="s">
        <v>2295</v>
      </c>
      <c r="E176" t="s">
        <v>2296</v>
      </c>
      <c r="F176">
        <v>202110</v>
      </c>
      <c r="G176" t="s">
        <v>268</v>
      </c>
      <c r="H176">
        <v>0</v>
      </c>
    </row>
    <row r="177" spans="1:8">
      <c r="A177" t="s">
        <v>2292</v>
      </c>
      <c r="B177" t="s">
        <v>2293</v>
      </c>
      <c r="C177" t="s">
        <v>2294</v>
      </c>
      <c r="D177" t="s">
        <v>2295</v>
      </c>
      <c r="E177" t="s">
        <v>2296</v>
      </c>
      <c r="F177">
        <v>202111</v>
      </c>
      <c r="G177" t="s">
        <v>270</v>
      </c>
      <c r="H177">
        <v>0</v>
      </c>
    </row>
    <row r="178" spans="1:8">
      <c r="A178" t="s">
        <v>2292</v>
      </c>
      <c r="B178" t="s">
        <v>2293</v>
      </c>
      <c r="C178" t="s">
        <v>2294</v>
      </c>
      <c r="D178" t="s">
        <v>2295</v>
      </c>
      <c r="E178" t="s">
        <v>2296</v>
      </c>
      <c r="F178">
        <v>202111</v>
      </c>
      <c r="G178" t="s">
        <v>271</v>
      </c>
      <c r="H178">
        <v>0</v>
      </c>
    </row>
    <row r="179" spans="1:8">
      <c r="A179" t="s">
        <v>2292</v>
      </c>
      <c r="B179" t="s">
        <v>2293</v>
      </c>
      <c r="C179" t="s">
        <v>2294</v>
      </c>
      <c r="D179" t="s">
        <v>2295</v>
      </c>
      <c r="E179" t="s">
        <v>2296</v>
      </c>
      <c r="F179">
        <v>202111</v>
      </c>
      <c r="G179" t="s">
        <v>266</v>
      </c>
      <c r="H179">
        <v>5990818.5800000001</v>
      </c>
    </row>
    <row r="180" spans="1:8">
      <c r="A180" t="s">
        <v>2292</v>
      </c>
      <c r="B180" t="s">
        <v>2293</v>
      </c>
      <c r="C180" t="s">
        <v>2294</v>
      </c>
      <c r="D180" t="s">
        <v>2295</v>
      </c>
      <c r="E180" t="s">
        <v>2296</v>
      </c>
      <c r="F180">
        <v>202111</v>
      </c>
      <c r="G180" t="s">
        <v>267</v>
      </c>
      <c r="H180">
        <v>646127.92000000004</v>
      </c>
    </row>
    <row r="181" spans="1:8">
      <c r="A181" t="s">
        <v>2292</v>
      </c>
      <c r="B181" t="s">
        <v>2293</v>
      </c>
      <c r="C181" t="s">
        <v>2294</v>
      </c>
      <c r="D181" t="s">
        <v>2295</v>
      </c>
      <c r="E181" t="s">
        <v>2296</v>
      </c>
      <c r="F181">
        <v>202111</v>
      </c>
      <c r="G181" t="s">
        <v>268</v>
      </c>
      <c r="H181">
        <v>0</v>
      </c>
    </row>
    <row r="182" spans="1:8">
      <c r="A182" t="s">
        <v>2292</v>
      </c>
      <c r="B182" t="s">
        <v>2293</v>
      </c>
      <c r="C182" t="s">
        <v>2294</v>
      </c>
      <c r="D182" t="s">
        <v>2295</v>
      </c>
      <c r="E182" t="s">
        <v>2296</v>
      </c>
      <c r="F182">
        <v>202112</v>
      </c>
      <c r="G182" t="s">
        <v>270</v>
      </c>
      <c r="H182">
        <v>0</v>
      </c>
    </row>
    <row r="183" spans="1:8">
      <c r="A183" t="s">
        <v>2292</v>
      </c>
      <c r="B183" t="s">
        <v>2293</v>
      </c>
      <c r="C183" t="s">
        <v>2294</v>
      </c>
      <c r="D183" t="s">
        <v>2295</v>
      </c>
      <c r="E183" t="s">
        <v>2296</v>
      </c>
      <c r="F183">
        <v>202112</v>
      </c>
      <c r="G183" t="s">
        <v>271</v>
      </c>
      <c r="H183">
        <v>0</v>
      </c>
    </row>
    <row r="184" spans="1:8">
      <c r="A184" t="s">
        <v>2292</v>
      </c>
      <c r="B184" t="s">
        <v>2293</v>
      </c>
      <c r="C184" t="s">
        <v>2294</v>
      </c>
      <c r="D184" t="s">
        <v>2295</v>
      </c>
      <c r="E184" t="s">
        <v>2296</v>
      </c>
      <c r="F184">
        <v>202112</v>
      </c>
      <c r="G184" t="s">
        <v>266</v>
      </c>
      <c r="H184">
        <v>7203462.7199999997</v>
      </c>
    </row>
    <row r="185" spans="1:8">
      <c r="A185" t="s">
        <v>2292</v>
      </c>
      <c r="B185" t="s">
        <v>2293</v>
      </c>
      <c r="C185" t="s">
        <v>2294</v>
      </c>
      <c r="D185" t="s">
        <v>2295</v>
      </c>
      <c r="E185" t="s">
        <v>2296</v>
      </c>
      <c r="F185">
        <v>202112</v>
      </c>
      <c r="G185" t="s">
        <v>267</v>
      </c>
      <c r="H185">
        <v>823713.93</v>
      </c>
    </row>
    <row r="186" spans="1:8">
      <c r="A186" t="s">
        <v>2292</v>
      </c>
      <c r="B186" t="s">
        <v>2293</v>
      </c>
      <c r="C186" t="s">
        <v>2294</v>
      </c>
      <c r="D186" t="s">
        <v>2295</v>
      </c>
      <c r="E186" t="s">
        <v>2296</v>
      </c>
      <c r="F186">
        <v>202112</v>
      </c>
      <c r="G186" t="s">
        <v>268</v>
      </c>
      <c r="H186">
        <v>0</v>
      </c>
    </row>
    <row r="187" spans="1:8">
      <c r="A187" t="s">
        <v>2292</v>
      </c>
      <c r="B187" t="s">
        <v>2293</v>
      </c>
      <c r="C187" t="s">
        <v>2294</v>
      </c>
      <c r="D187" t="s">
        <v>2295</v>
      </c>
      <c r="E187" t="s">
        <v>2296</v>
      </c>
      <c r="F187">
        <v>202201</v>
      </c>
      <c r="G187" t="s">
        <v>270</v>
      </c>
      <c r="H187">
        <v>0</v>
      </c>
    </row>
    <row r="188" spans="1:8">
      <c r="A188" t="s">
        <v>2292</v>
      </c>
      <c r="B188" t="s">
        <v>2293</v>
      </c>
      <c r="C188" t="s">
        <v>2294</v>
      </c>
      <c r="D188" t="s">
        <v>2295</v>
      </c>
      <c r="E188" t="s">
        <v>2296</v>
      </c>
      <c r="F188">
        <v>202201</v>
      </c>
      <c r="G188" t="s">
        <v>271</v>
      </c>
      <c r="H188">
        <v>0</v>
      </c>
    </row>
    <row r="189" spans="1:8">
      <c r="A189" t="s">
        <v>2292</v>
      </c>
      <c r="B189" t="s">
        <v>2293</v>
      </c>
      <c r="C189" t="s">
        <v>2294</v>
      </c>
      <c r="D189" t="s">
        <v>2295</v>
      </c>
      <c r="E189" t="s">
        <v>2296</v>
      </c>
      <c r="F189">
        <v>202201</v>
      </c>
      <c r="G189" t="s">
        <v>266</v>
      </c>
      <c r="H189">
        <v>8018372.7400000002</v>
      </c>
    </row>
    <row r="190" spans="1:8">
      <c r="A190" t="s">
        <v>2292</v>
      </c>
      <c r="B190" t="s">
        <v>2293</v>
      </c>
      <c r="C190" t="s">
        <v>2294</v>
      </c>
      <c r="D190" t="s">
        <v>2295</v>
      </c>
      <c r="E190" t="s">
        <v>2296</v>
      </c>
      <c r="F190">
        <v>202201</v>
      </c>
      <c r="G190" t="s">
        <v>267</v>
      </c>
      <c r="H190">
        <v>790581.07</v>
      </c>
    </row>
    <row r="191" spans="1:8">
      <c r="A191" t="s">
        <v>2292</v>
      </c>
      <c r="B191" t="s">
        <v>2293</v>
      </c>
      <c r="C191" t="s">
        <v>2294</v>
      </c>
      <c r="D191" t="s">
        <v>2295</v>
      </c>
      <c r="E191" t="s">
        <v>2296</v>
      </c>
      <c r="F191">
        <v>202201</v>
      </c>
      <c r="G191" t="s">
        <v>268</v>
      </c>
      <c r="H191">
        <v>0</v>
      </c>
    </row>
    <row r="192" spans="1:8">
      <c r="A192" t="s">
        <v>2292</v>
      </c>
      <c r="B192" t="s">
        <v>2293</v>
      </c>
      <c r="C192" t="s">
        <v>2294</v>
      </c>
      <c r="D192" t="s">
        <v>2295</v>
      </c>
      <c r="E192" t="s">
        <v>2296</v>
      </c>
      <c r="F192">
        <v>202202</v>
      </c>
      <c r="G192" t="s">
        <v>270</v>
      </c>
      <c r="H192">
        <v>0</v>
      </c>
    </row>
    <row r="193" spans="1:8">
      <c r="A193" t="s">
        <v>2292</v>
      </c>
      <c r="B193" t="s">
        <v>2293</v>
      </c>
      <c r="C193" t="s">
        <v>2294</v>
      </c>
      <c r="D193" t="s">
        <v>2295</v>
      </c>
      <c r="E193" t="s">
        <v>2296</v>
      </c>
      <c r="F193">
        <v>202202</v>
      </c>
      <c r="G193" t="s">
        <v>271</v>
      </c>
      <c r="H193">
        <v>0</v>
      </c>
    </row>
    <row r="194" spans="1:8">
      <c r="A194" t="s">
        <v>2292</v>
      </c>
      <c r="B194" t="s">
        <v>2293</v>
      </c>
      <c r="C194" t="s">
        <v>2294</v>
      </c>
      <c r="D194" t="s">
        <v>2295</v>
      </c>
      <c r="E194" t="s">
        <v>2296</v>
      </c>
      <c r="F194">
        <v>202202</v>
      </c>
      <c r="G194" t="s">
        <v>266</v>
      </c>
      <c r="H194">
        <v>6172238.4100000001</v>
      </c>
    </row>
    <row r="195" spans="1:8">
      <c r="A195" t="s">
        <v>2292</v>
      </c>
      <c r="B195" t="s">
        <v>2293</v>
      </c>
      <c r="C195" t="s">
        <v>2294</v>
      </c>
      <c r="D195" t="s">
        <v>2295</v>
      </c>
      <c r="E195" t="s">
        <v>2296</v>
      </c>
      <c r="F195">
        <v>202202</v>
      </c>
      <c r="G195" t="s">
        <v>267</v>
      </c>
      <c r="H195">
        <v>694542.76</v>
      </c>
    </row>
    <row r="196" spans="1:8">
      <c r="A196" t="s">
        <v>2292</v>
      </c>
      <c r="B196" t="s">
        <v>2293</v>
      </c>
      <c r="C196" t="s">
        <v>2294</v>
      </c>
      <c r="D196" t="s">
        <v>2295</v>
      </c>
      <c r="E196" t="s">
        <v>2296</v>
      </c>
      <c r="F196">
        <v>202202</v>
      </c>
      <c r="G196" t="s">
        <v>268</v>
      </c>
      <c r="H196">
        <v>0</v>
      </c>
    </row>
    <row r="197" spans="1:8">
      <c r="A197" t="s">
        <v>2292</v>
      </c>
      <c r="B197" t="s">
        <v>2293</v>
      </c>
      <c r="C197" t="s">
        <v>2294</v>
      </c>
      <c r="D197" t="s">
        <v>2295</v>
      </c>
      <c r="E197" t="s">
        <v>2296</v>
      </c>
      <c r="F197">
        <v>202203</v>
      </c>
      <c r="G197" t="s">
        <v>270</v>
      </c>
      <c r="H197">
        <v>0</v>
      </c>
    </row>
    <row r="198" spans="1:8">
      <c r="A198" t="s">
        <v>2292</v>
      </c>
      <c r="B198" t="s">
        <v>2293</v>
      </c>
      <c r="C198" t="s">
        <v>2294</v>
      </c>
      <c r="D198" t="s">
        <v>2295</v>
      </c>
      <c r="E198" t="s">
        <v>2296</v>
      </c>
      <c r="F198">
        <v>202203</v>
      </c>
      <c r="G198" t="s">
        <v>271</v>
      </c>
      <c r="H198">
        <v>0</v>
      </c>
    </row>
    <row r="199" spans="1:8">
      <c r="A199" t="s">
        <v>2292</v>
      </c>
      <c r="B199" t="s">
        <v>2293</v>
      </c>
      <c r="C199" t="s">
        <v>2294</v>
      </c>
      <c r="D199" t="s">
        <v>2295</v>
      </c>
      <c r="E199" t="s">
        <v>2296</v>
      </c>
      <c r="F199">
        <v>202203</v>
      </c>
      <c r="G199" t="s">
        <v>266</v>
      </c>
      <c r="H199">
        <v>6090986.3399999999</v>
      </c>
    </row>
    <row r="200" spans="1:8">
      <c r="A200" t="s">
        <v>2292</v>
      </c>
      <c r="B200" t="s">
        <v>2293</v>
      </c>
      <c r="C200" t="s">
        <v>2294</v>
      </c>
      <c r="D200" t="s">
        <v>2295</v>
      </c>
      <c r="E200" t="s">
        <v>2296</v>
      </c>
      <c r="F200">
        <v>202203</v>
      </c>
      <c r="G200" t="s">
        <v>267</v>
      </c>
      <c r="H200">
        <v>733879.29</v>
      </c>
    </row>
    <row r="201" spans="1:8">
      <c r="A201" t="s">
        <v>2292</v>
      </c>
      <c r="B201" t="s">
        <v>2293</v>
      </c>
      <c r="C201" t="s">
        <v>2294</v>
      </c>
      <c r="D201" t="s">
        <v>2295</v>
      </c>
      <c r="E201" t="s">
        <v>2296</v>
      </c>
      <c r="F201">
        <v>202203</v>
      </c>
      <c r="G201" t="s">
        <v>268</v>
      </c>
      <c r="H201">
        <v>0</v>
      </c>
    </row>
    <row r="202" spans="1:8">
      <c r="A202" t="s">
        <v>2292</v>
      </c>
      <c r="B202" t="s">
        <v>2293</v>
      </c>
      <c r="C202" t="s">
        <v>2294</v>
      </c>
      <c r="D202" t="s">
        <v>2295</v>
      </c>
      <c r="E202" t="s">
        <v>2296</v>
      </c>
      <c r="F202">
        <v>202204</v>
      </c>
      <c r="G202" t="s">
        <v>270</v>
      </c>
      <c r="H202">
        <v>0</v>
      </c>
    </row>
    <row r="203" spans="1:8">
      <c r="A203" t="s">
        <v>2292</v>
      </c>
      <c r="B203" t="s">
        <v>2293</v>
      </c>
      <c r="C203" t="s">
        <v>2294</v>
      </c>
      <c r="D203" t="s">
        <v>2295</v>
      </c>
      <c r="E203" t="s">
        <v>2296</v>
      </c>
      <c r="F203">
        <v>202204</v>
      </c>
      <c r="G203" t="s">
        <v>271</v>
      </c>
      <c r="H203">
        <v>0</v>
      </c>
    </row>
    <row r="204" spans="1:8">
      <c r="A204" t="s">
        <v>2292</v>
      </c>
      <c r="B204" t="s">
        <v>2293</v>
      </c>
      <c r="C204" t="s">
        <v>2294</v>
      </c>
      <c r="D204" t="s">
        <v>2295</v>
      </c>
      <c r="E204" t="s">
        <v>2296</v>
      </c>
      <c r="F204">
        <v>202204</v>
      </c>
      <c r="G204" t="s">
        <v>266</v>
      </c>
      <c r="H204">
        <v>4486209.91</v>
      </c>
    </row>
    <row r="205" spans="1:8">
      <c r="A205" t="s">
        <v>2292</v>
      </c>
      <c r="B205" t="s">
        <v>2293</v>
      </c>
      <c r="C205" t="s">
        <v>2294</v>
      </c>
      <c r="D205" t="s">
        <v>2295</v>
      </c>
      <c r="E205" t="s">
        <v>2296</v>
      </c>
      <c r="F205">
        <v>202204</v>
      </c>
      <c r="G205" t="s">
        <v>267</v>
      </c>
      <c r="H205">
        <v>557652.68999999994</v>
      </c>
    </row>
    <row r="206" spans="1:8">
      <c r="A206" t="s">
        <v>2292</v>
      </c>
      <c r="B206" t="s">
        <v>2293</v>
      </c>
      <c r="C206" t="s">
        <v>2294</v>
      </c>
      <c r="D206" t="s">
        <v>2295</v>
      </c>
      <c r="E206" t="s">
        <v>2296</v>
      </c>
      <c r="F206">
        <v>202204</v>
      </c>
      <c r="G206" t="s">
        <v>268</v>
      </c>
      <c r="H206">
        <v>0</v>
      </c>
    </row>
    <row r="207" spans="1:8">
      <c r="A207" t="s">
        <v>2292</v>
      </c>
      <c r="B207" t="s">
        <v>2293</v>
      </c>
      <c r="C207" t="s">
        <v>2294</v>
      </c>
      <c r="D207" t="s">
        <v>2295</v>
      </c>
      <c r="E207" t="s">
        <v>2296</v>
      </c>
      <c r="F207">
        <v>202205</v>
      </c>
      <c r="G207" t="s">
        <v>270</v>
      </c>
      <c r="H207">
        <v>0</v>
      </c>
    </row>
    <row r="208" spans="1:8">
      <c r="A208" t="s">
        <v>2292</v>
      </c>
      <c r="B208" t="s">
        <v>2293</v>
      </c>
      <c r="C208" t="s">
        <v>2294</v>
      </c>
      <c r="D208" t="s">
        <v>2295</v>
      </c>
      <c r="E208" t="s">
        <v>2296</v>
      </c>
      <c r="F208">
        <v>202205</v>
      </c>
      <c r="G208" t="s">
        <v>271</v>
      </c>
      <c r="H208">
        <v>0</v>
      </c>
    </row>
    <row r="209" spans="1:8">
      <c r="A209" t="s">
        <v>2292</v>
      </c>
      <c r="B209" t="s">
        <v>2293</v>
      </c>
      <c r="C209" t="s">
        <v>2294</v>
      </c>
      <c r="D209" t="s">
        <v>2295</v>
      </c>
      <c r="E209" t="s">
        <v>2296</v>
      </c>
      <c r="F209">
        <v>202205</v>
      </c>
      <c r="G209" t="s">
        <v>266</v>
      </c>
      <c r="H209">
        <v>4767386.42</v>
      </c>
    </row>
    <row r="210" spans="1:8">
      <c r="A210" t="s">
        <v>2292</v>
      </c>
      <c r="B210" t="s">
        <v>2293</v>
      </c>
      <c r="C210" t="s">
        <v>2294</v>
      </c>
      <c r="D210" t="s">
        <v>2295</v>
      </c>
      <c r="E210" t="s">
        <v>2296</v>
      </c>
      <c r="F210">
        <v>202205</v>
      </c>
      <c r="G210" t="s">
        <v>267</v>
      </c>
      <c r="H210">
        <v>650989.88</v>
      </c>
    </row>
    <row r="211" spans="1:8">
      <c r="A211" t="s">
        <v>2292</v>
      </c>
      <c r="B211" t="s">
        <v>2293</v>
      </c>
      <c r="C211" t="s">
        <v>2294</v>
      </c>
      <c r="D211" t="s">
        <v>2295</v>
      </c>
      <c r="E211" t="s">
        <v>2296</v>
      </c>
      <c r="F211">
        <v>202205</v>
      </c>
      <c r="G211" t="s">
        <v>268</v>
      </c>
      <c r="H211">
        <v>0</v>
      </c>
    </row>
    <row r="212" spans="1:8">
      <c r="A212" t="s">
        <v>2292</v>
      </c>
      <c r="B212" t="s">
        <v>2293</v>
      </c>
      <c r="C212" t="s">
        <v>2294</v>
      </c>
      <c r="D212" t="s">
        <v>2295</v>
      </c>
      <c r="E212" t="s">
        <v>261</v>
      </c>
      <c r="F212">
        <v>202104</v>
      </c>
      <c r="G212" t="s">
        <v>270</v>
      </c>
      <c r="H212">
        <v>3212465.25</v>
      </c>
    </row>
    <row r="213" spans="1:8">
      <c r="A213" t="s">
        <v>2292</v>
      </c>
      <c r="B213" t="s">
        <v>2293</v>
      </c>
      <c r="C213" t="s">
        <v>2294</v>
      </c>
      <c r="D213" t="s">
        <v>2295</v>
      </c>
      <c r="E213" t="s">
        <v>261</v>
      </c>
      <c r="F213">
        <v>202104</v>
      </c>
      <c r="G213" t="s">
        <v>271</v>
      </c>
      <c r="H213">
        <v>401913.61</v>
      </c>
    </row>
    <row r="214" spans="1:8">
      <c r="A214" t="s">
        <v>2292</v>
      </c>
      <c r="B214" t="s">
        <v>2293</v>
      </c>
      <c r="C214" t="s">
        <v>2294</v>
      </c>
      <c r="D214" t="s">
        <v>2295</v>
      </c>
      <c r="E214" t="s">
        <v>261</v>
      </c>
      <c r="F214">
        <v>202104</v>
      </c>
      <c r="G214" t="s">
        <v>266</v>
      </c>
      <c r="H214">
        <v>3275680.64</v>
      </c>
    </row>
    <row r="215" spans="1:8">
      <c r="A215" t="s">
        <v>2292</v>
      </c>
      <c r="B215" t="s">
        <v>2293</v>
      </c>
      <c r="C215" t="s">
        <v>2294</v>
      </c>
      <c r="D215" t="s">
        <v>2295</v>
      </c>
      <c r="E215" t="s">
        <v>261</v>
      </c>
      <c r="F215">
        <v>202104</v>
      </c>
      <c r="G215" t="s">
        <v>267</v>
      </c>
      <c r="H215">
        <v>409870.07</v>
      </c>
    </row>
    <row r="216" spans="1:8">
      <c r="A216" t="s">
        <v>2292</v>
      </c>
      <c r="B216" t="s">
        <v>2293</v>
      </c>
      <c r="C216" t="s">
        <v>2294</v>
      </c>
      <c r="D216" t="s">
        <v>2295</v>
      </c>
      <c r="E216" t="s">
        <v>261</v>
      </c>
      <c r="F216">
        <v>202104</v>
      </c>
      <c r="G216" t="s">
        <v>268</v>
      </c>
      <c r="H216">
        <v>71124.33</v>
      </c>
    </row>
    <row r="217" spans="1:8">
      <c r="A217" t="s">
        <v>2292</v>
      </c>
      <c r="B217" t="s">
        <v>2293</v>
      </c>
      <c r="C217" t="s">
        <v>2294</v>
      </c>
      <c r="D217" t="s">
        <v>2295</v>
      </c>
      <c r="E217" t="s">
        <v>261</v>
      </c>
      <c r="F217">
        <v>202105</v>
      </c>
      <c r="G217" t="s">
        <v>270</v>
      </c>
      <c r="H217">
        <v>2972098.17</v>
      </c>
    </row>
    <row r="218" spans="1:8">
      <c r="A218" t="s">
        <v>2292</v>
      </c>
      <c r="B218" t="s">
        <v>2293</v>
      </c>
      <c r="C218" t="s">
        <v>2294</v>
      </c>
      <c r="D218" t="s">
        <v>2295</v>
      </c>
      <c r="E218" t="s">
        <v>261</v>
      </c>
      <c r="F218">
        <v>202105</v>
      </c>
      <c r="G218" t="s">
        <v>271</v>
      </c>
      <c r="H218">
        <v>325242.52</v>
      </c>
    </row>
    <row r="219" spans="1:8">
      <c r="A219" t="s">
        <v>2292</v>
      </c>
      <c r="B219" t="s">
        <v>2293</v>
      </c>
      <c r="C219" t="s">
        <v>2294</v>
      </c>
      <c r="D219" t="s">
        <v>2295</v>
      </c>
      <c r="E219" t="s">
        <v>261</v>
      </c>
      <c r="F219">
        <v>202105</v>
      </c>
      <c r="G219" t="s">
        <v>266</v>
      </c>
      <c r="H219">
        <v>3018630.37</v>
      </c>
    </row>
    <row r="220" spans="1:8">
      <c r="A220" t="s">
        <v>2292</v>
      </c>
      <c r="B220" t="s">
        <v>2293</v>
      </c>
      <c r="C220" t="s">
        <v>2294</v>
      </c>
      <c r="D220" t="s">
        <v>2295</v>
      </c>
      <c r="E220" t="s">
        <v>261</v>
      </c>
      <c r="F220">
        <v>202105</v>
      </c>
      <c r="G220" t="s">
        <v>267</v>
      </c>
      <c r="H220">
        <v>330334.62</v>
      </c>
    </row>
    <row r="221" spans="1:8">
      <c r="A221" t="s">
        <v>2292</v>
      </c>
      <c r="B221" t="s">
        <v>2293</v>
      </c>
      <c r="C221" t="s">
        <v>2294</v>
      </c>
      <c r="D221" t="s">
        <v>2295</v>
      </c>
      <c r="E221" t="s">
        <v>261</v>
      </c>
      <c r="F221">
        <v>202105</v>
      </c>
      <c r="G221" t="s">
        <v>268</v>
      </c>
      <c r="H221">
        <v>51624.34</v>
      </c>
    </row>
    <row r="222" spans="1:8">
      <c r="A222" t="s">
        <v>2292</v>
      </c>
      <c r="B222" t="s">
        <v>2293</v>
      </c>
      <c r="C222" t="s">
        <v>2294</v>
      </c>
      <c r="D222" t="s">
        <v>2295</v>
      </c>
      <c r="E222" t="s">
        <v>261</v>
      </c>
      <c r="F222">
        <v>202106</v>
      </c>
      <c r="G222" t="s">
        <v>270</v>
      </c>
      <c r="H222">
        <v>2655222.36</v>
      </c>
    </row>
    <row r="223" spans="1:8">
      <c r="A223" t="s">
        <v>2292</v>
      </c>
      <c r="B223" t="s">
        <v>2293</v>
      </c>
      <c r="C223" t="s">
        <v>2294</v>
      </c>
      <c r="D223" t="s">
        <v>2295</v>
      </c>
      <c r="E223" t="s">
        <v>261</v>
      </c>
      <c r="F223">
        <v>202106</v>
      </c>
      <c r="G223" t="s">
        <v>271</v>
      </c>
      <c r="H223">
        <v>346337.64</v>
      </c>
    </row>
    <row r="224" spans="1:8">
      <c r="A224" t="s">
        <v>2292</v>
      </c>
      <c r="B224" t="s">
        <v>2293</v>
      </c>
      <c r="C224" t="s">
        <v>2294</v>
      </c>
      <c r="D224" t="s">
        <v>2295</v>
      </c>
      <c r="E224" t="s">
        <v>261</v>
      </c>
      <c r="F224">
        <v>202106</v>
      </c>
      <c r="G224" t="s">
        <v>266</v>
      </c>
      <c r="H224">
        <v>2704649.89</v>
      </c>
    </row>
    <row r="225" spans="1:10">
      <c r="A225" t="s">
        <v>2292</v>
      </c>
      <c r="B225" t="s">
        <v>2293</v>
      </c>
      <c r="C225" t="s">
        <v>2294</v>
      </c>
      <c r="D225" t="s">
        <v>2295</v>
      </c>
      <c r="E225" t="s">
        <v>261</v>
      </c>
      <c r="F225">
        <v>202106</v>
      </c>
      <c r="G225" t="s">
        <v>267</v>
      </c>
      <c r="H225">
        <v>352784.78</v>
      </c>
    </row>
    <row r="226" spans="1:10">
      <c r="A226" t="s">
        <v>2292</v>
      </c>
      <c r="B226" t="s">
        <v>2293</v>
      </c>
      <c r="C226" t="s">
        <v>2294</v>
      </c>
      <c r="D226" t="s">
        <v>2295</v>
      </c>
      <c r="E226" t="s">
        <v>261</v>
      </c>
      <c r="F226">
        <v>202106</v>
      </c>
      <c r="G226" t="s">
        <v>268</v>
      </c>
      <c r="H226">
        <v>55874.67</v>
      </c>
    </row>
    <row r="227" spans="1:10">
      <c r="A227" t="s">
        <v>2292</v>
      </c>
      <c r="B227" t="s">
        <v>2293</v>
      </c>
      <c r="C227" t="s">
        <v>2294</v>
      </c>
      <c r="D227" t="s">
        <v>2295</v>
      </c>
      <c r="E227" t="s">
        <v>261</v>
      </c>
      <c r="F227">
        <v>202107</v>
      </c>
      <c r="G227" t="s">
        <v>270</v>
      </c>
      <c r="H227">
        <v>2434985.5099999998</v>
      </c>
    </row>
    <row r="228" spans="1:10">
      <c r="A228" t="s">
        <v>2292</v>
      </c>
      <c r="B228" t="s">
        <v>2293</v>
      </c>
      <c r="C228" t="s">
        <v>2294</v>
      </c>
      <c r="D228" t="s">
        <v>2295</v>
      </c>
      <c r="E228" t="s">
        <v>261</v>
      </c>
      <c r="F228">
        <v>202107</v>
      </c>
      <c r="G228" t="s">
        <v>271</v>
      </c>
      <c r="H228">
        <v>351526.06</v>
      </c>
      <c r="J228" s="233">
        <f>H157+H158+H227+Consulta2[[#This Row],[Valor]]</f>
        <v>9394480.0200000014</v>
      </c>
    </row>
    <row r="229" spans="1:10">
      <c r="A229" t="s">
        <v>2292</v>
      </c>
      <c r="B229" t="s">
        <v>2293</v>
      </c>
      <c r="C229" t="s">
        <v>2294</v>
      </c>
      <c r="D229" t="s">
        <v>2295</v>
      </c>
      <c r="E229" t="s">
        <v>261</v>
      </c>
      <c r="F229">
        <v>202107</v>
      </c>
      <c r="G229" t="s">
        <v>266</v>
      </c>
      <c r="H229">
        <v>2480586.94</v>
      </c>
    </row>
    <row r="230" spans="1:10">
      <c r="A230" t="s">
        <v>2292</v>
      </c>
      <c r="B230" t="s">
        <v>2293</v>
      </c>
      <c r="C230" t="s">
        <v>2294</v>
      </c>
      <c r="D230" t="s">
        <v>2295</v>
      </c>
      <c r="E230" t="s">
        <v>261</v>
      </c>
      <c r="F230">
        <v>202107</v>
      </c>
      <c r="G230" t="s">
        <v>267</v>
      </c>
      <c r="H230">
        <v>358109.29</v>
      </c>
    </row>
    <row r="231" spans="1:10">
      <c r="A231" t="s">
        <v>2292</v>
      </c>
      <c r="B231" t="s">
        <v>2293</v>
      </c>
      <c r="C231" t="s">
        <v>2294</v>
      </c>
      <c r="D231" t="s">
        <v>2295</v>
      </c>
      <c r="E231" t="s">
        <v>261</v>
      </c>
      <c r="F231">
        <v>202107</v>
      </c>
      <c r="G231" t="s">
        <v>268</v>
      </c>
      <c r="H231">
        <v>52181.65</v>
      </c>
    </row>
    <row r="232" spans="1:10">
      <c r="A232" t="s">
        <v>2292</v>
      </c>
      <c r="B232" t="s">
        <v>2293</v>
      </c>
      <c r="C232" t="s">
        <v>2294</v>
      </c>
      <c r="D232" t="s">
        <v>2295</v>
      </c>
      <c r="E232" t="s">
        <v>261</v>
      </c>
      <c r="F232">
        <v>202108</v>
      </c>
      <c r="G232" t="s">
        <v>270</v>
      </c>
      <c r="H232">
        <v>100000</v>
      </c>
    </row>
    <row r="233" spans="1:10">
      <c r="A233" t="s">
        <v>2292</v>
      </c>
      <c r="B233" t="s">
        <v>2293</v>
      </c>
      <c r="C233" t="s">
        <v>2294</v>
      </c>
      <c r="D233" t="s">
        <v>2295</v>
      </c>
      <c r="E233" t="s">
        <v>261</v>
      </c>
      <c r="F233">
        <v>202108</v>
      </c>
      <c r="G233" t="s">
        <v>271</v>
      </c>
      <c r="H233">
        <v>0</v>
      </c>
    </row>
    <row r="234" spans="1:10">
      <c r="A234" t="s">
        <v>2292</v>
      </c>
      <c r="B234" t="s">
        <v>2293</v>
      </c>
      <c r="C234" t="s">
        <v>2294</v>
      </c>
      <c r="D234" t="s">
        <v>2295</v>
      </c>
      <c r="E234" t="s">
        <v>261</v>
      </c>
      <c r="F234">
        <v>202108</v>
      </c>
      <c r="G234" t="s">
        <v>266</v>
      </c>
      <c r="H234">
        <v>1992358.68</v>
      </c>
    </row>
    <row r="235" spans="1:10">
      <c r="A235" t="s">
        <v>2292</v>
      </c>
      <c r="B235" t="s">
        <v>2293</v>
      </c>
      <c r="C235" t="s">
        <v>2294</v>
      </c>
      <c r="D235" t="s">
        <v>2295</v>
      </c>
      <c r="E235" t="s">
        <v>261</v>
      </c>
      <c r="F235">
        <v>202108</v>
      </c>
      <c r="G235" t="s">
        <v>267</v>
      </c>
      <c r="H235">
        <v>307476.56</v>
      </c>
    </row>
    <row r="236" spans="1:10">
      <c r="A236" t="s">
        <v>2292</v>
      </c>
      <c r="B236" t="s">
        <v>2293</v>
      </c>
      <c r="C236" t="s">
        <v>2294</v>
      </c>
      <c r="D236" t="s">
        <v>2295</v>
      </c>
      <c r="E236" t="s">
        <v>261</v>
      </c>
      <c r="F236">
        <v>202108</v>
      </c>
      <c r="G236" t="s">
        <v>268</v>
      </c>
      <c r="H236">
        <v>0</v>
      </c>
    </row>
    <row r="237" spans="1:10">
      <c r="A237" t="s">
        <v>2292</v>
      </c>
      <c r="B237" t="s">
        <v>2293</v>
      </c>
      <c r="C237" t="s">
        <v>2294</v>
      </c>
      <c r="D237" t="s">
        <v>2295</v>
      </c>
      <c r="E237" t="s">
        <v>261</v>
      </c>
      <c r="F237">
        <v>202109</v>
      </c>
      <c r="G237" t="s">
        <v>270</v>
      </c>
      <c r="H237">
        <v>100000</v>
      </c>
    </row>
    <row r="238" spans="1:10">
      <c r="A238" t="s">
        <v>2292</v>
      </c>
      <c r="B238" t="s">
        <v>2293</v>
      </c>
      <c r="C238" t="s">
        <v>2294</v>
      </c>
      <c r="D238" t="s">
        <v>2295</v>
      </c>
      <c r="E238" t="s">
        <v>261</v>
      </c>
      <c r="F238">
        <v>202109</v>
      </c>
      <c r="G238" t="s">
        <v>271</v>
      </c>
      <c r="H238">
        <v>0</v>
      </c>
    </row>
    <row r="239" spans="1:10">
      <c r="A239" t="s">
        <v>2292</v>
      </c>
      <c r="B239" t="s">
        <v>2293</v>
      </c>
      <c r="C239" t="s">
        <v>2294</v>
      </c>
      <c r="D239" t="s">
        <v>2295</v>
      </c>
      <c r="E239" t="s">
        <v>261</v>
      </c>
      <c r="F239">
        <v>202109</v>
      </c>
      <c r="G239" t="s">
        <v>266</v>
      </c>
      <c r="H239">
        <v>1892586.2</v>
      </c>
    </row>
    <row r="240" spans="1:10">
      <c r="A240" t="s">
        <v>2292</v>
      </c>
      <c r="B240" t="s">
        <v>2293</v>
      </c>
      <c r="C240" t="s">
        <v>2294</v>
      </c>
      <c r="D240" t="s">
        <v>2295</v>
      </c>
      <c r="E240" t="s">
        <v>261</v>
      </c>
      <c r="F240">
        <v>202109</v>
      </c>
      <c r="G240" t="s">
        <v>267</v>
      </c>
      <c r="H240">
        <v>286114.86</v>
      </c>
    </row>
    <row r="241" spans="1:8">
      <c r="A241" t="s">
        <v>2292</v>
      </c>
      <c r="B241" t="s">
        <v>2293</v>
      </c>
      <c r="C241" t="s">
        <v>2294</v>
      </c>
      <c r="D241" t="s">
        <v>2295</v>
      </c>
      <c r="E241" t="s">
        <v>261</v>
      </c>
      <c r="F241">
        <v>202109</v>
      </c>
      <c r="G241" t="s">
        <v>268</v>
      </c>
      <c r="H241">
        <v>0</v>
      </c>
    </row>
    <row r="242" spans="1:8">
      <c r="A242" t="s">
        <v>2292</v>
      </c>
      <c r="B242" t="s">
        <v>2293</v>
      </c>
      <c r="C242" t="s">
        <v>2294</v>
      </c>
      <c r="D242" t="s">
        <v>2295</v>
      </c>
      <c r="E242" t="s">
        <v>261</v>
      </c>
      <c r="F242">
        <v>202110</v>
      </c>
      <c r="G242" t="s">
        <v>270</v>
      </c>
      <c r="H242">
        <v>100000</v>
      </c>
    </row>
    <row r="243" spans="1:8">
      <c r="A243" t="s">
        <v>2292</v>
      </c>
      <c r="B243" t="s">
        <v>2293</v>
      </c>
      <c r="C243" t="s">
        <v>2294</v>
      </c>
      <c r="D243" t="s">
        <v>2295</v>
      </c>
      <c r="E243" t="s">
        <v>261</v>
      </c>
      <c r="F243">
        <v>202110</v>
      </c>
      <c r="G243" t="s">
        <v>271</v>
      </c>
      <c r="H243">
        <v>0</v>
      </c>
    </row>
    <row r="244" spans="1:8">
      <c r="A244" t="s">
        <v>2292</v>
      </c>
      <c r="B244" t="s">
        <v>2293</v>
      </c>
      <c r="C244" t="s">
        <v>2294</v>
      </c>
      <c r="D244" t="s">
        <v>2295</v>
      </c>
      <c r="E244" t="s">
        <v>261</v>
      </c>
      <c r="F244">
        <v>202110</v>
      </c>
      <c r="G244" t="s">
        <v>266</v>
      </c>
      <c r="H244">
        <v>1879512.16</v>
      </c>
    </row>
    <row r="245" spans="1:8">
      <c r="A245" t="s">
        <v>2292</v>
      </c>
      <c r="B245" t="s">
        <v>2293</v>
      </c>
      <c r="C245" t="s">
        <v>2294</v>
      </c>
      <c r="D245" t="s">
        <v>2295</v>
      </c>
      <c r="E245" t="s">
        <v>261</v>
      </c>
      <c r="F245">
        <v>202110</v>
      </c>
      <c r="G245" t="s">
        <v>267</v>
      </c>
      <c r="H245">
        <v>270663.92</v>
      </c>
    </row>
    <row r="246" spans="1:8">
      <c r="A246" t="s">
        <v>2292</v>
      </c>
      <c r="B246" t="s">
        <v>2293</v>
      </c>
      <c r="C246" t="s">
        <v>2294</v>
      </c>
      <c r="D246" t="s">
        <v>2295</v>
      </c>
      <c r="E246" t="s">
        <v>261</v>
      </c>
      <c r="F246">
        <v>202110</v>
      </c>
      <c r="G246" t="s">
        <v>268</v>
      </c>
      <c r="H246">
        <v>0</v>
      </c>
    </row>
    <row r="247" spans="1:8">
      <c r="A247" t="s">
        <v>2292</v>
      </c>
      <c r="B247" t="s">
        <v>2293</v>
      </c>
      <c r="C247" t="s">
        <v>2294</v>
      </c>
      <c r="D247" t="s">
        <v>2295</v>
      </c>
      <c r="E247" t="s">
        <v>261</v>
      </c>
      <c r="F247">
        <v>202111</v>
      </c>
      <c r="G247" t="s">
        <v>270</v>
      </c>
      <c r="H247">
        <v>100000</v>
      </c>
    </row>
    <row r="248" spans="1:8">
      <c r="A248" t="s">
        <v>2292</v>
      </c>
      <c r="B248" t="s">
        <v>2293</v>
      </c>
      <c r="C248" t="s">
        <v>2294</v>
      </c>
      <c r="D248" t="s">
        <v>2295</v>
      </c>
      <c r="E248" t="s">
        <v>261</v>
      </c>
      <c r="F248">
        <v>202111</v>
      </c>
      <c r="G248" t="s">
        <v>271</v>
      </c>
      <c r="H248">
        <v>0</v>
      </c>
    </row>
    <row r="249" spans="1:8">
      <c r="A249" t="s">
        <v>2292</v>
      </c>
      <c r="B249" t="s">
        <v>2293</v>
      </c>
      <c r="C249" t="s">
        <v>2294</v>
      </c>
      <c r="D249" t="s">
        <v>2295</v>
      </c>
      <c r="E249" t="s">
        <v>261</v>
      </c>
      <c r="F249">
        <v>202111</v>
      </c>
      <c r="G249" t="s">
        <v>266</v>
      </c>
      <c r="H249">
        <v>2448302.04</v>
      </c>
    </row>
    <row r="250" spans="1:8">
      <c r="A250" t="s">
        <v>2292</v>
      </c>
      <c r="B250" t="s">
        <v>2293</v>
      </c>
      <c r="C250" t="s">
        <v>2294</v>
      </c>
      <c r="D250" t="s">
        <v>2295</v>
      </c>
      <c r="E250" t="s">
        <v>261</v>
      </c>
      <c r="F250">
        <v>202111</v>
      </c>
      <c r="G250" t="s">
        <v>267</v>
      </c>
      <c r="H250">
        <v>290031.15999999997</v>
      </c>
    </row>
    <row r="251" spans="1:8">
      <c r="A251" t="s">
        <v>2292</v>
      </c>
      <c r="B251" t="s">
        <v>2293</v>
      </c>
      <c r="C251" t="s">
        <v>2294</v>
      </c>
      <c r="D251" t="s">
        <v>2295</v>
      </c>
      <c r="E251" t="s">
        <v>261</v>
      </c>
      <c r="F251">
        <v>202111</v>
      </c>
      <c r="G251" t="s">
        <v>268</v>
      </c>
      <c r="H251">
        <v>0</v>
      </c>
    </row>
    <row r="252" spans="1:8">
      <c r="A252" t="s">
        <v>2292</v>
      </c>
      <c r="B252" t="s">
        <v>2293</v>
      </c>
      <c r="C252" t="s">
        <v>2294</v>
      </c>
      <c r="D252" t="s">
        <v>2295</v>
      </c>
      <c r="E252" t="s">
        <v>261</v>
      </c>
      <c r="F252">
        <v>202112</v>
      </c>
      <c r="G252" t="s">
        <v>270</v>
      </c>
      <c r="H252">
        <v>109535.67999999999</v>
      </c>
    </row>
    <row r="253" spans="1:8">
      <c r="A253" t="s">
        <v>2292</v>
      </c>
      <c r="B253" t="s">
        <v>2293</v>
      </c>
      <c r="C253" t="s">
        <v>2294</v>
      </c>
      <c r="D253" t="s">
        <v>2295</v>
      </c>
      <c r="E253" t="s">
        <v>261</v>
      </c>
      <c r="F253">
        <v>202112</v>
      </c>
      <c r="G253" t="s">
        <v>271</v>
      </c>
      <c r="H253">
        <v>2836.8</v>
      </c>
    </row>
    <row r="254" spans="1:8">
      <c r="A254" t="s">
        <v>2292</v>
      </c>
      <c r="B254" t="s">
        <v>2293</v>
      </c>
      <c r="C254" t="s">
        <v>2294</v>
      </c>
      <c r="D254" t="s">
        <v>2295</v>
      </c>
      <c r="E254" t="s">
        <v>261</v>
      </c>
      <c r="F254">
        <v>202112</v>
      </c>
      <c r="G254" t="s">
        <v>266</v>
      </c>
      <c r="H254">
        <v>3110688.12</v>
      </c>
    </row>
    <row r="255" spans="1:8">
      <c r="A255" t="s">
        <v>2292</v>
      </c>
      <c r="B255" t="s">
        <v>2293</v>
      </c>
      <c r="C255" t="s">
        <v>2294</v>
      </c>
      <c r="D255" t="s">
        <v>2295</v>
      </c>
      <c r="E255" t="s">
        <v>261</v>
      </c>
      <c r="F255">
        <v>202112</v>
      </c>
      <c r="G255" t="s">
        <v>267</v>
      </c>
      <c r="H255">
        <v>366572.6</v>
      </c>
    </row>
    <row r="256" spans="1:8">
      <c r="A256" t="s">
        <v>2292</v>
      </c>
      <c r="B256" t="s">
        <v>2293</v>
      </c>
      <c r="C256" t="s">
        <v>2294</v>
      </c>
      <c r="D256" t="s">
        <v>2295</v>
      </c>
      <c r="E256" t="s">
        <v>261</v>
      </c>
      <c r="F256">
        <v>202112</v>
      </c>
      <c r="G256" t="s">
        <v>268</v>
      </c>
      <c r="H256">
        <v>0</v>
      </c>
    </row>
    <row r="257" spans="1:8">
      <c r="A257" t="s">
        <v>2292</v>
      </c>
      <c r="B257" t="s">
        <v>2293</v>
      </c>
      <c r="C257" t="s">
        <v>2294</v>
      </c>
      <c r="D257" t="s">
        <v>2295</v>
      </c>
      <c r="E257" t="s">
        <v>261</v>
      </c>
      <c r="F257">
        <v>202201</v>
      </c>
      <c r="G257" t="s">
        <v>270</v>
      </c>
      <c r="H257">
        <v>100000</v>
      </c>
    </row>
    <row r="258" spans="1:8">
      <c r="A258" t="s">
        <v>2292</v>
      </c>
      <c r="B258" t="s">
        <v>2293</v>
      </c>
      <c r="C258" t="s">
        <v>2294</v>
      </c>
      <c r="D258" t="s">
        <v>2295</v>
      </c>
      <c r="E258" t="s">
        <v>261</v>
      </c>
      <c r="F258">
        <v>202201</v>
      </c>
      <c r="G258" t="s">
        <v>271</v>
      </c>
      <c r="H258">
        <v>0</v>
      </c>
    </row>
    <row r="259" spans="1:8">
      <c r="A259" t="s">
        <v>2292</v>
      </c>
      <c r="B259" t="s">
        <v>2293</v>
      </c>
      <c r="C259" t="s">
        <v>2294</v>
      </c>
      <c r="D259" t="s">
        <v>2295</v>
      </c>
      <c r="E259" t="s">
        <v>261</v>
      </c>
      <c r="F259">
        <v>202201</v>
      </c>
      <c r="G259" t="s">
        <v>266</v>
      </c>
      <c r="H259">
        <v>3725376.36</v>
      </c>
    </row>
    <row r="260" spans="1:8">
      <c r="A260" t="s">
        <v>2292</v>
      </c>
      <c r="B260" t="s">
        <v>2293</v>
      </c>
      <c r="C260" t="s">
        <v>2294</v>
      </c>
      <c r="D260" t="s">
        <v>2295</v>
      </c>
      <c r="E260" t="s">
        <v>261</v>
      </c>
      <c r="F260">
        <v>202201</v>
      </c>
      <c r="G260" t="s">
        <v>267</v>
      </c>
      <c r="H260">
        <v>392449.84</v>
      </c>
    </row>
    <row r="261" spans="1:8">
      <c r="A261" t="s">
        <v>2292</v>
      </c>
      <c r="B261" t="s">
        <v>2293</v>
      </c>
      <c r="C261" t="s">
        <v>2294</v>
      </c>
      <c r="D261" t="s">
        <v>2295</v>
      </c>
      <c r="E261" t="s">
        <v>261</v>
      </c>
      <c r="F261">
        <v>202201</v>
      </c>
      <c r="G261" t="s">
        <v>268</v>
      </c>
      <c r="H261">
        <v>0</v>
      </c>
    </row>
    <row r="262" spans="1:8">
      <c r="A262" t="s">
        <v>2292</v>
      </c>
      <c r="B262" t="s">
        <v>2293</v>
      </c>
      <c r="C262" t="s">
        <v>2294</v>
      </c>
      <c r="D262" t="s">
        <v>2295</v>
      </c>
      <c r="E262" t="s">
        <v>261</v>
      </c>
      <c r="F262">
        <v>202202</v>
      </c>
      <c r="G262" t="s">
        <v>270</v>
      </c>
      <c r="H262">
        <v>100000</v>
      </c>
    </row>
    <row r="263" spans="1:8">
      <c r="A263" t="s">
        <v>2292</v>
      </c>
      <c r="B263" t="s">
        <v>2293</v>
      </c>
      <c r="C263" t="s">
        <v>2294</v>
      </c>
      <c r="D263" t="s">
        <v>2295</v>
      </c>
      <c r="E263" t="s">
        <v>261</v>
      </c>
      <c r="F263">
        <v>202202</v>
      </c>
      <c r="G263" t="s">
        <v>271</v>
      </c>
      <c r="H263">
        <v>0</v>
      </c>
    </row>
    <row r="264" spans="1:8">
      <c r="A264" t="s">
        <v>2292</v>
      </c>
      <c r="B264" t="s">
        <v>2293</v>
      </c>
      <c r="C264" t="s">
        <v>2294</v>
      </c>
      <c r="D264" t="s">
        <v>2295</v>
      </c>
      <c r="E264" t="s">
        <v>261</v>
      </c>
      <c r="F264">
        <v>202202</v>
      </c>
      <c r="G264" t="s">
        <v>266</v>
      </c>
      <c r="H264">
        <v>2943366.32</v>
      </c>
    </row>
    <row r="265" spans="1:8">
      <c r="A265" t="s">
        <v>2292</v>
      </c>
      <c r="B265" t="s">
        <v>2293</v>
      </c>
      <c r="C265" t="s">
        <v>2294</v>
      </c>
      <c r="D265" t="s">
        <v>2295</v>
      </c>
      <c r="E265" t="s">
        <v>261</v>
      </c>
      <c r="F265">
        <v>202202</v>
      </c>
      <c r="G265" t="s">
        <v>267</v>
      </c>
      <c r="H265">
        <v>367870.16</v>
      </c>
    </row>
    <row r="266" spans="1:8">
      <c r="A266" t="s">
        <v>2292</v>
      </c>
      <c r="B266" t="s">
        <v>2293</v>
      </c>
      <c r="C266" t="s">
        <v>2294</v>
      </c>
      <c r="D266" t="s">
        <v>2295</v>
      </c>
      <c r="E266" t="s">
        <v>261</v>
      </c>
      <c r="F266">
        <v>202202</v>
      </c>
      <c r="G266" t="s">
        <v>268</v>
      </c>
      <c r="H266">
        <v>0</v>
      </c>
    </row>
    <row r="267" spans="1:8">
      <c r="A267" t="s">
        <v>2292</v>
      </c>
      <c r="B267" t="s">
        <v>2293</v>
      </c>
      <c r="C267" t="s">
        <v>2294</v>
      </c>
      <c r="D267" t="s">
        <v>2295</v>
      </c>
      <c r="E267" t="s">
        <v>261</v>
      </c>
      <c r="F267">
        <v>202203</v>
      </c>
      <c r="G267" t="s">
        <v>270</v>
      </c>
      <c r="H267">
        <v>100000</v>
      </c>
    </row>
    <row r="268" spans="1:8">
      <c r="A268" t="s">
        <v>2292</v>
      </c>
      <c r="B268" t="s">
        <v>2293</v>
      </c>
      <c r="C268" t="s">
        <v>2294</v>
      </c>
      <c r="D268" t="s">
        <v>2295</v>
      </c>
      <c r="E268" t="s">
        <v>261</v>
      </c>
      <c r="F268">
        <v>202203</v>
      </c>
      <c r="G268" t="s">
        <v>271</v>
      </c>
      <c r="H268">
        <v>0</v>
      </c>
    </row>
    <row r="269" spans="1:8">
      <c r="A269" t="s">
        <v>2292</v>
      </c>
      <c r="B269" t="s">
        <v>2293</v>
      </c>
      <c r="C269" t="s">
        <v>2294</v>
      </c>
      <c r="D269" t="s">
        <v>2295</v>
      </c>
      <c r="E269" t="s">
        <v>261</v>
      </c>
      <c r="F269">
        <v>202203</v>
      </c>
      <c r="G269" t="s">
        <v>266</v>
      </c>
      <c r="H269">
        <v>3243675.52</v>
      </c>
    </row>
    <row r="270" spans="1:8">
      <c r="A270" t="s">
        <v>2292</v>
      </c>
      <c r="B270" t="s">
        <v>2293</v>
      </c>
      <c r="C270" t="s">
        <v>2294</v>
      </c>
      <c r="D270" t="s">
        <v>2295</v>
      </c>
      <c r="E270" t="s">
        <v>261</v>
      </c>
      <c r="F270">
        <v>202203</v>
      </c>
      <c r="G270" t="s">
        <v>267</v>
      </c>
      <c r="H270">
        <v>451432.4</v>
      </c>
    </row>
    <row r="271" spans="1:8">
      <c r="A271" t="s">
        <v>2292</v>
      </c>
      <c r="B271" t="s">
        <v>2293</v>
      </c>
      <c r="C271" t="s">
        <v>2294</v>
      </c>
      <c r="D271" t="s">
        <v>2295</v>
      </c>
      <c r="E271" t="s">
        <v>261</v>
      </c>
      <c r="F271">
        <v>202203</v>
      </c>
      <c r="G271" t="s">
        <v>268</v>
      </c>
      <c r="H271">
        <v>0</v>
      </c>
    </row>
    <row r="272" spans="1:8">
      <c r="A272" t="s">
        <v>2292</v>
      </c>
      <c r="B272" t="s">
        <v>2293</v>
      </c>
      <c r="C272" t="s">
        <v>2294</v>
      </c>
      <c r="D272" t="s">
        <v>2295</v>
      </c>
      <c r="E272" t="s">
        <v>261</v>
      </c>
      <c r="F272">
        <v>202204</v>
      </c>
      <c r="G272" t="s">
        <v>270</v>
      </c>
      <c r="H272">
        <v>100000</v>
      </c>
    </row>
    <row r="273" spans="1:8">
      <c r="A273" t="s">
        <v>2292</v>
      </c>
      <c r="B273" t="s">
        <v>2293</v>
      </c>
      <c r="C273" t="s">
        <v>2294</v>
      </c>
      <c r="D273" t="s">
        <v>2295</v>
      </c>
      <c r="E273" t="s">
        <v>261</v>
      </c>
      <c r="F273">
        <v>202204</v>
      </c>
      <c r="G273" t="s">
        <v>271</v>
      </c>
      <c r="H273">
        <v>0</v>
      </c>
    </row>
    <row r="274" spans="1:8">
      <c r="A274" t="s">
        <v>2292</v>
      </c>
      <c r="B274" t="s">
        <v>2293</v>
      </c>
      <c r="C274" t="s">
        <v>2294</v>
      </c>
      <c r="D274" t="s">
        <v>2295</v>
      </c>
      <c r="E274" t="s">
        <v>261</v>
      </c>
      <c r="F274">
        <v>202204</v>
      </c>
      <c r="G274" t="s">
        <v>266</v>
      </c>
      <c r="H274">
        <v>1895811.4</v>
      </c>
    </row>
    <row r="275" spans="1:8">
      <c r="A275" t="s">
        <v>2292</v>
      </c>
      <c r="B275" t="s">
        <v>2293</v>
      </c>
      <c r="C275" t="s">
        <v>2294</v>
      </c>
      <c r="D275" t="s">
        <v>2295</v>
      </c>
      <c r="E275" t="s">
        <v>261</v>
      </c>
      <c r="F275">
        <v>202204</v>
      </c>
      <c r="G275" t="s">
        <v>267</v>
      </c>
      <c r="H275">
        <v>244493.88</v>
      </c>
    </row>
    <row r="276" spans="1:8">
      <c r="A276" t="s">
        <v>2292</v>
      </c>
      <c r="B276" t="s">
        <v>2293</v>
      </c>
      <c r="C276" t="s">
        <v>2294</v>
      </c>
      <c r="D276" t="s">
        <v>2295</v>
      </c>
      <c r="E276" t="s">
        <v>261</v>
      </c>
      <c r="F276">
        <v>202204</v>
      </c>
      <c r="G276" t="s">
        <v>268</v>
      </c>
      <c r="H276">
        <v>0</v>
      </c>
    </row>
    <row r="277" spans="1:8">
      <c r="A277" t="s">
        <v>2292</v>
      </c>
      <c r="B277" t="s">
        <v>2293</v>
      </c>
      <c r="C277" t="s">
        <v>2294</v>
      </c>
      <c r="D277" t="s">
        <v>2295</v>
      </c>
      <c r="E277" t="s">
        <v>261</v>
      </c>
      <c r="F277">
        <v>202205</v>
      </c>
      <c r="G277" t="s">
        <v>270</v>
      </c>
      <c r="H277">
        <v>100000</v>
      </c>
    </row>
    <row r="278" spans="1:8">
      <c r="A278" t="s">
        <v>2292</v>
      </c>
      <c r="B278" t="s">
        <v>2293</v>
      </c>
      <c r="C278" t="s">
        <v>2294</v>
      </c>
      <c r="D278" t="s">
        <v>2295</v>
      </c>
      <c r="E278" t="s">
        <v>261</v>
      </c>
      <c r="F278">
        <v>202205</v>
      </c>
      <c r="G278" t="s">
        <v>271</v>
      </c>
      <c r="H278">
        <v>0</v>
      </c>
    </row>
    <row r="279" spans="1:8">
      <c r="A279" t="s">
        <v>2292</v>
      </c>
      <c r="B279" t="s">
        <v>2293</v>
      </c>
      <c r="C279" t="s">
        <v>2294</v>
      </c>
      <c r="D279" t="s">
        <v>2295</v>
      </c>
      <c r="E279" t="s">
        <v>261</v>
      </c>
      <c r="F279">
        <v>202205</v>
      </c>
      <c r="G279" t="s">
        <v>266</v>
      </c>
      <c r="H279">
        <v>1903522.8</v>
      </c>
    </row>
    <row r="280" spans="1:8">
      <c r="A280" t="s">
        <v>2292</v>
      </c>
      <c r="B280" t="s">
        <v>2293</v>
      </c>
      <c r="C280" t="s">
        <v>2294</v>
      </c>
      <c r="D280" t="s">
        <v>2295</v>
      </c>
      <c r="E280" t="s">
        <v>261</v>
      </c>
      <c r="F280">
        <v>202205</v>
      </c>
      <c r="G280" t="s">
        <v>267</v>
      </c>
      <c r="H280">
        <v>248360.36</v>
      </c>
    </row>
    <row r="281" spans="1:8">
      <c r="A281" t="s">
        <v>2292</v>
      </c>
      <c r="B281" t="s">
        <v>2293</v>
      </c>
      <c r="C281" t="s">
        <v>2294</v>
      </c>
      <c r="D281" t="s">
        <v>2295</v>
      </c>
      <c r="E281" t="s">
        <v>261</v>
      </c>
      <c r="F281">
        <v>202205</v>
      </c>
      <c r="G281" t="s">
        <v>268</v>
      </c>
      <c r="H281">
        <v>0</v>
      </c>
    </row>
    <row r="1134" spans="10:10">
      <c r="J1134">
        <f>H161+H231</f>
        <v>175932.99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="115" zoomScaleNormal="115" workbookViewId="0">
      <pane xSplit="1" topLeftCell="F1" activePane="topRight" state="frozen"/>
      <selection activeCell="A7" sqref="A7"/>
      <selection pane="topRight" activeCell="H43" sqref="H43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3" bestFit="1" customWidth="1"/>
    <col min="46" max="46" width="14.5703125" bestFit="1" customWidth="1"/>
    <col min="49" max="49" width="18.7109375" bestFit="1" customWidth="1"/>
    <col min="50" max="50" width="14" style="233" bestFit="1" customWidth="1"/>
  </cols>
  <sheetData>
    <row r="1" spans="1:50">
      <c r="A1" s="9" t="s">
        <v>273</v>
      </c>
    </row>
    <row r="2" spans="1:50">
      <c r="A2" s="63" t="s">
        <v>274</v>
      </c>
      <c r="AI2" t="s">
        <v>275</v>
      </c>
    </row>
    <row r="3" spans="1:50">
      <c r="A3" s="63" t="s">
        <v>276</v>
      </c>
      <c r="AI3" t="s">
        <v>277</v>
      </c>
    </row>
    <row r="4" spans="1:50">
      <c r="A4" s="63" t="s">
        <v>278</v>
      </c>
    </row>
    <row r="7" spans="1:50">
      <c r="A7" s="651" t="s">
        <v>279</v>
      </c>
      <c r="M7" t="s">
        <v>280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1583" t="s">
        <v>281</v>
      </c>
      <c r="B9" s="1583" t="s">
        <v>282</v>
      </c>
      <c r="C9" s="1583" t="s">
        <v>283</v>
      </c>
      <c r="D9" s="1583" t="s">
        <v>284</v>
      </c>
      <c r="E9" s="1583" t="s">
        <v>285</v>
      </c>
      <c r="F9" s="1583" t="s">
        <v>286</v>
      </c>
      <c r="G9" s="1583" t="s">
        <v>287</v>
      </c>
      <c r="H9" s="1583" t="s">
        <v>288</v>
      </c>
      <c r="I9" s="1583" t="s">
        <v>289</v>
      </c>
      <c r="J9" s="1583" t="s">
        <v>290</v>
      </c>
      <c r="K9" s="1583" t="s">
        <v>291</v>
      </c>
      <c r="L9" s="1583" t="s">
        <v>292</v>
      </c>
      <c r="M9" s="1583" t="s">
        <v>293</v>
      </c>
      <c r="N9" s="1583" t="s">
        <v>294</v>
      </c>
      <c r="O9" s="1583" t="s">
        <v>295</v>
      </c>
      <c r="P9" s="1583" t="s">
        <v>296</v>
      </c>
      <c r="Q9" s="1583" t="s">
        <v>297</v>
      </c>
      <c r="R9" s="1583" t="s">
        <v>298</v>
      </c>
      <c r="S9" s="1583" t="s">
        <v>299</v>
      </c>
      <c r="T9" s="1583" t="s">
        <v>300</v>
      </c>
      <c r="U9" s="1584" t="s">
        <v>301</v>
      </c>
      <c r="V9" s="1583" t="s">
        <v>302</v>
      </c>
      <c r="W9" s="1583" t="s">
        <v>303</v>
      </c>
      <c r="X9" s="1584" t="s">
        <v>304</v>
      </c>
      <c r="Y9" s="1584" t="s">
        <v>305</v>
      </c>
      <c r="Z9" s="1584" t="s">
        <v>306</v>
      </c>
      <c r="AA9" s="1584" t="s">
        <v>307</v>
      </c>
      <c r="AB9" s="1584" t="s">
        <v>308</v>
      </c>
      <c r="AC9" s="1584" t="s">
        <v>309</v>
      </c>
      <c r="AD9" s="1584" t="s">
        <v>310</v>
      </c>
      <c r="AE9" s="1584" t="s">
        <v>311</v>
      </c>
      <c r="AF9" s="1584" t="s">
        <v>312</v>
      </c>
      <c r="AG9" s="1584" t="s">
        <v>313</v>
      </c>
      <c r="AH9" s="1584" t="s">
        <v>314</v>
      </c>
      <c r="AI9" s="1584" t="s">
        <v>315</v>
      </c>
      <c r="AJ9" s="1584" t="s">
        <v>316</v>
      </c>
      <c r="AK9" s="1584" t="s">
        <v>317</v>
      </c>
      <c r="AL9" s="1584" t="s">
        <v>318</v>
      </c>
      <c r="AM9" s="1584" t="s">
        <v>319</v>
      </c>
      <c r="AN9" s="1584" t="s">
        <v>320</v>
      </c>
      <c r="AR9" s="803" t="s">
        <v>281</v>
      </c>
      <c r="AS9" s="804" t="s">
        <v>321</v>
      </c>
    </row>
    <row r="10" spans="1:50" s="9" customFormat="1" ht="31.5" hidden="1">
      <c r="A10" s="625" t="s">
        <v>322</v>
      </c>
      <c r="B10" s="625" t="s">
        <v>323</v>
      </c>
      <c r="C10" s="625">
        <v>5381</v>
      </c>
      <c r="D10" s="625" t="s">
        <v>324</v>
      </c>
      <c r="E10" s="625" t="s">
        <v>325</v>
      </c>
      <c r="F10" s="625" t="s">
        <v>326</v>
      </c>
      <c r="G10" s="625" t="s">
        <v>327</v>
      </c>
      <c r="H10" s="625">
        <v>3.7699999999999997E-2</v>
      </c>
      <c r="I10" s="625" t="s">
        <v>328</v>
      </c>
      <c r="J10" s="625">
        <v>104</v>
      </c>
      <c r="K10" s="625" t="s">
        <v>203</v>
      </c>
      <c r="L10" s="625">
        <v>145</v>
      </c>
      <c r="M10" s="806">
        <v>0</v>
      </c>
      <c r="N10" s="1534"/>
      <c r="O10" s="1534" t="s">
        <v>329</v>
      </c>
      <c r="P10" s="1531">
        <v>0.18360000000000001</v>
      </c>
      <c r="Q10" s="1534">
        <v>16758759.762993418</v>
      </c>
      <c r="R10" s="1542">
        <v>44531</v>
      </c>
      <c r="S10" s="1534" t="s">
        <v>330</v>
      </c>
      <c r="T10" s="625" t="s">
        <v>331</v>
      </c>
      <c r="U10" s="732" t="s">
        <v>332</v>
      </c>
      <c r="V10" s="625">
        <v>2024</v>
      </c>
      <c r="W10" s="1529">
        <v>2974</v>
      </c>
      <c r="X10" s="1530" t="s">
        <v>333</v>
      </c>
      <c r="Y10" s="1531">
        <v>1.15E-2</v>
      </c>
      <c r="Z10" s="1532">
        <v>0</v>
      </c>
      <c r="AA10" s="1532" t="s">
        <v>334</v>
      </c>
      <c r="AB10" s="489">
        <v>39.72</v>
      </c>
      <c r="AC10" s="489">
        <v>539.16</v>
      </c>
      <c r="AD10" s="489">
        <v>3502812.67</v>
      </c>
      <c r="AE10" s="1533">
        <v>42300</v>
      </c>
      <c r="AF10" s="1533">
        <v>42300</v>
      </c>
      <c r="AG10" s="1534">
        <v>0</v>
      </c>
      <c r="AH10" s="625"/>
      <c r="AI10" s="732">
        <v>41472</v>
      </c>
      <c r="AJ10" s="732">
        <v>42613</v>
      </c>
      <c r="AK10" s="732" t="s">
        <v>335</v>
      </c>
      <c r="AL10" s="732"/>
      <c r="AM10" s="732"/>
      <c r="AN10" s="848"/>
      <c r="AO10" s="234"/>
      <c r="AP10" s="17"/>
      <c r="AR10" s="809" t="s">
        <v>336</v>
      </c>
      <c r="AS10" s="234"/>
      <c r="AT10" s="234"/>
      <c r="AX10" s="234"/>
    </row>
    <row r="11" spans="1:50" s="9" customFormat="1" ht="31.5" hidden="1">
      <c r="A11" s="625" t="s">
        <v>226</v>
      </c>
      <c r="B11" s="625" t="s">
        <v>337</v>
      </c>
      <c r="C11" s="625">
        <v>5366</v>
      </c>
      <c r="D11" s="625" t="s">
        <v>338</v>
      </c>
      <c r="E11" s="625" t="s">
        <v>325</v>
      </c>
      <c r="F11" s="625" t="s">
        <v>339</v>
      </c>
      <c r="G11" s="625" t="s">
        <v>327</v>
      </c>
      <c r="H11" s="625">
        <v>9.9699999999999997E-2</v>
      </c>
      <c r="I11" s="625" t="s">
        <v>203</v>
      </c>
      <c r="J11" s="625">
        <v>145</v>
      </c>
      <c r="K11" s="625"/>
      <c r="L11" s="625"/>
      <c r="M11" s="806">
        <v>0</v>
      </c>
      <c r="N11" s="1534"/>
      <c r="O11" s="1534" t="str">
        <f>O10</f>
        <v>ReH 2.995/2021</v>
      </c>
      <c r="P11" s="1543">
        <v>8.7599999999999997E-2</v>
      </c>
      <c r="Q11" s="1534">
        <v>12051594.579145933</v>
      </c>
      <c r="R11" s="1542">
        <v>44531</v>
      </c>
      <c r="S11" s="1534" t="str">
        <f>S10</f>
        <v>Desp. 521/2022</v>
      </c>
      <c r="T11" s="625" t="s">
        <v>340</v>
      </c>
      <c r="U11" s="732" t="s">
        <v>341</v>
      </c>
      <c r="V11" s="625">
        <v>2024</v>
      </c>
      <c r="W11" s="1529">
        <v>2944</v>
      </c>
      <c r="X11" s="1530" t="s">
        <v>342</v>
      </c>
      <c r="Y11" s="625"/>
      <c r="AA11" s="1532" t="s">
        <v>203</v>
      </c>
      <c r="AB11" s="1534">
        <v>39.799999999999997</v>
      </c>
      <c r="AC11" s="1535">
        <v>133.91999999999999</v>
      </c>
      <c r="AD11" s="1535">
        <v>2423958.41</v>
      </c>
      <c r="AE11" s="732">
        <v>43678</v>
      </c>
      <c r="AF11" s="732">
        <v>43678</v>
      </c>
      <c r="AG11" s="1534">
        <v>0</v>
      </c>
      <c r="AH11" s="625"/>
      <c r="AI11" s="732">
        <v>41472</v>
      </c>
      <c r="AJ11" s="732">
        <v>42613</v>
      </c>
      <c r="AK11" s="732" t="s">
        <v>335</v>
      </c>
      <c r="AL11" s="732"/>
      <c r="AM11" s="732"/>
      <c r="AN11" s="848"/>
      <c r="AO11" s="234"/>
      <c r="AP11" s="17"/>
      <c r="AR11" s="809" t="s">
        <v>322</v>
      </c>
      <c r="AS11" s="234"/>
      <c r="AT11" s="234"/>
      <c r="AX11" s="234"/>
    </row>
    <row r="12" spans="1:50" s="9" customFormat="1" ht="31.5" hidden="1">
      <c r="A12" s="625" t="s">
        <v>343</v>
      </c>
      <c r="B12" s="625" t="s">
        <v>344</v>
      </c>
      <c r="C12" s="625">
        <v>5386</v>
      </c>
      <c r="D12" s="625" t="s">
        <v>345</v>
      </c>
      <c r="E12" s="625" t="s">
        <v>325</v>
      </c>
      <c r="F12" s="625" t="s">
        <v>346</v>
      </c>
      <c r="G12" s="625" t="s">
        <v>327</v>
      </c>
      <c r="H12" s="625">
        <v>3.7699999999999997E-2</v>
      </c>
      <c r="I12" s="625" t="s">
        <v>217</v>
      </c>
      <c r="J12" s="625">
        <v>135</v>
      </c>
      <c r="K12" s="625"/>
      <c r="L12" s="625"/>
      <c r="M12" s="806">
        <v>0</v>
      </c>
      <c r="N12" s="1534"/>
      <c r="O12" s="1534" t="str">
        <f t="shared" ref="O12:O61" si="9">O11</f>
        <v>ReH 2.995/2021</v>
      </c>
      <c r="P12" s="1543">
        <v>0.1298</v>
      </c>
      <c r="Q12" s="1534">
        <v>17888427.870995689</v>
      </c>
      <c r="R12" s="1542">
        <v>44531</v>
      </c>
      <c r="S12" s="1534" t="str">
        <f t="shared" ref="S12:S61" si="10">S11</f>
        <v>Desp. 521/2022</v>
      </c>
      <c r="T12" s="625" t="s">
        <v>347</v>
      </c>
      <c r="U12" s="732" t="s">
        <v>341</v>
      </c>
      <c r="V12" s="625">
        <v>2024</v>
      </c>
      <c r="W12" s="1529">
        <v>2977</v>
      </c>
      <c r="X12" s="1530" t="s">
        <v>333</v>
      </c>
      <c r="Y12" s="1531">
        <v>1.15E-2</v>
      </c>
      <c r="Z12" s="1532">
        <v>-0.02</v>
      </c>
      <c r="AA12" s="1532" t="s">
        <v>348</v>
      </c>
      <c r="AB12" s="1534">
        <v>45.63</v>
      </c>
      <c r="AC12" s="1535">
        <v>532.64</v>
      </c>
      <c r="AD12" s="1535">
        <v>5694629.8099999996</v>
      </c>
      <c r="AE12" s="732">
        <v>43739</v>
      </c>
      <c r="AF12" s="732">
        <v>43739</v>
      </c>
      <c r="AG12" s="1534">
        <v>0</v>
      </c>
      <c r="AH12" s="625"/>
      <c r="AI12" s="732">
        <v>41472</v>
      </c>
      <c r="AJ12" s="732">
        <v>42673</v>
      </c>
      <c r="AK12" s="732" t="s">
        <v>335</v>
      </c>
      <c r="AL12" s="732"/>
      <c r="AM12" s="732"/>
      <c r="AN12" s="848"/>
      <c r="AO12" s="234"/>
      <c r="AP12" s="17"/>
      <c r="AR12" s="809" t="s">
        <v>226</v>
      </c>
      <c r="AS12" s="234"/>
      <c r="AT12" s="234"/>
      <c r="AX12" s="234"/>
    </row>
    <row r="13" spans="1:50" s="9" customFormat="1" ht="31.5" hidden="1">
      <c r="A13" s="625" t="s">
        <v>349</v>
      </c>
      <c r="B13" s="625" t="s">
        <v>350</v>
      </c>
      <c r="C13" s="625">
        <v>5378</v>
      </c>
      <c r="D13" s="625" t="s">
        <v>351</v>
      </c>
      <c r="E13" s="625" t="s">
        <v>325</v>
      </c>
      <c r="F13" s="625" t="s">
        <v>352</v>
      </c>
      <c r="G13" s="625" t="s">
        <v>327</v>
      </c>
      <c r="H13" s="625">
        <v>9.9699999999999997E-2</v>
      </c>
      <c r="I13" s="625" t="s">
        <v>243</v>
      </c>
      <c r="J13" s="625">
        <v>166</v>
      </c>
      <c r="K13" s="625" t="s">
        <v>203</v>
      </c>
      <c r="L13" s="625">
        <v>145</v>
      </c>
      <c r="M13" s="806">
        <v>0</v>
      </c>
      <c r="N13" s="1534"/>
      <c r="O13" s="1534" t="str">
        <f t="shared" si="9"/>
        <v>ReH 2.995/2021</v>
      </c>
      <c r="P13" s="1543">
        <v>0.1832</v>
      </c>
      <c r="Q13" s="1534">
        <v>51573900.56414932</v>
      </c>
      <c r="R13" s="1542">
        <v>44531</v>
      </c>
      <c r="S13" s="1534" t="str">
        <f t="shared" si="10"/>
        <v>Desp. 521/2022</v>
      </c>
      <c r="T13" s="625" t="s">
        <v>353</v>
      </c>
      <c r="U13" s="732" t="s">
        <v>341</v>
      </c>
      <c r="V13" s="625">
        <v>2024</v>
      </c>
      <c r="W13" s="1529">
        <v>2863</v>
      </c>
      <c r="X13" s="1530" t="s">
        <v>354</v>
      </c>
      <c r="Y13" s="625"/>
      <c r="AA13" s="1532" t="s">
        <v>355</v>
      </c>
      <c r="AB13" s="1534">
        <v>60.67</v>
      </c>
      <c r="AC13" s="1535">
        <v>128.56</v>
      </c>
      <c r="AD13" s="1535">
        <v>16751978.699999999</v>
      </c>
      <c r="AE13" s="732">
        <v>44256</v>
      </c>
      <c r="AF13" s="732">
        <v>44277</v>
      </c>
      <c r="AG13" s="1534">
        <v>0</v>
      </c>
      <c r="AH13" s="625"/>
      <c r="AI13" s="732">
        <v>41472</v>
      </c>
      <c r="AJ13" s="732">
        <v>42410</v>
      </c>
      <c r="AK13" s="732" t="s">
        <v>335</v>
      </c>
      <c r="AL13" s="732"/>
      <c r="AM13" s="732"/>
      <c r="AN13" s="848"/>
      <c r="AO13" s="234"/>
      <c r="AP13" s="17"/>
      <c r="AR13" s="809" t="s">
        <v>225</v>
      </c>
      <c r="AS13" s="234"/>
      <c r="AT13" s="234"/>
      <c r="AX13" s="234"/>
    </row>
    <row r="14" spans="1:50" s="9" customFormat="1" ht="31.5" hidden="1">
      <c r="A14" s="625" t="s">
        <v>356</v>
      </c>
      <c r="B14" s="625" t="s">
        <v>357</v>
      </c>
      <c r="C14" s="625">
        <v>5382</v>
      </c>
      <c r="D14" s="625" t="s">
        <v>358</v>
      </c>
      <c r="E14" s="625" t="s">
        <v>325</v>
      </c>
      <c r="F14" s="625" t="s">
        <v>359</v>
      </c>
      <c r="G14" s="625" t="s">
        <v>327</v>
      </c>
      <c r="H14" s="625">
        <v>3.7699999999999997E-2</v>
      </c>
      <c r="I14" s="625" t="s">
        <v>360</v>
      </c>
      <c r="J14" s="625">
        <v>148</v>
      </c>
      <c r="K14" s="625"/>
      <c r="L14" s="625"/>
      <c r="M14" s="806">
        <v>0</v>
      </c>
      <c r="N14" s="1534"/>
      <c r="O14" s="1534" t="str">
        <f t="shared" si="9"/>
        <v>ReH 2.995/2021</v>
      </c>
      <c r="P14" s="1543">
        <v>8.9499999999999996E-2</v>
      </c>
      <c r="Q14" s="1544">
        <v>8419443.0538159572</v>
      </c>
      <c r="R14" s="1542">
        <v>44531</v>
      </c>
      <c r="S14" s="1534" t="str">
        <f t="shared" si="10"/>
        <v>Desp. 521/2022</v>
      </c>
      <c r="T14" s="625" t="s">
        <v>361</v>
      </c>
      <c r="U14" s="732" t="s">
        <v>341</v>
      </c>
      <c r="V14" s="625">
        <v>2024</v>
      </c>
      <c r="W14" s="1529">
        <v>2910</v>
      </c>
      <c r="X14" s="1530" t="s">
        <v>362</v>
      </c>
      <c r="Y14" s="1531">
        <v>1.15E-2</v>
      </c>
      <c r="Z14" s="1532">
        <v>0</v>
      </c>
      <c r="AA14" s="1532" t="s">
        <v>360</v>
      </c>
      <c r="AB14" s="1534">
        <v>33.24</v>
      </c>
      <c r="AC14" s="1535">
        <v>986.44</v>
      </c>
      <c r="AD14" s="1535">
        <v>2124774.87</v>
      </c>
      <c r="AE14" s="732">
        <v>43647</v>
      </c>
      <c r="AF14" s="732">
        <v>43647</v>
      </c>
      <c r="AG14" s="1534">
        <v>0</v>
      </c>
      <c r="AH14" s="625"/>
      <c r="AI14" s="732">
        <v>41472</v>
      </c>
      <c r="AJ14" s="732">
        <v>42562</v>
      </c>
      <c r="AK14" s="732" t="s">
        <v>335</v>
      </c>
      <c r="AL14" s="732"/>
      <c r="AM14" s="732"/>
      <c r="AN14" s="848"/>
      <c r="AO14" s="234"/>
      <c r="AP14" s="17"/>
      <c r="AR14" s="809" t="s">
        <v>363</v>
      </c>
      <c r="AS14" s="234"/>
      <c r="AT14" s="234"/>
      <c r="AX14" s="234"/>
    </row>
    <row r="15" spans="1:50" s="9" customFormat="1" ht="31.5" hidden="1">
      <c r="A15" s="625" t="s">
        <v>364</v>
      </c>
      <c r="B15" s="625" t="s">
        <v>365</v>
      </c>
      <c r="C15" s="625">
        <v>6610</v>
      </c>
      <c r="D15" s="625" t="s">
        <v>366</v>
      </c>
      <c r="E15" s="625" t="s">
        <v>325</v>
      </c>
      <c r="F15" s="625" t="s">
        <v>367</v>
      </c>
      <c r="G15" s="625" t="s">
        <v>327</v>
      </c>
      <c r="H15" s="625">
        <v>9.9699999999999997E-2</v>
      </c>
      <c r="I15" s="625" t="s">
        <v>328</v>
      </c>
      <c r="J15" s="625">
        <v>104</v>
      </c>
      <c r="K15" s="625"/>
      <c r="L15" s="625"/>
      <c r="M15" s="806">
        <v>0</v>
      </c>
      <c r="N15" s="1534"/>
      <c r="O15" s="1534" t="str">
        <f t="shared" si="9"/>
        <v>ReH 2.995/2021</v>
      </c>
      <c r="P15" s="1543">
        <v>0.14800000000000002</v>
      </c>
      <c r="Q15" s="1544">
        <v>5024282.8201926984</v>
      </c>
      <c r="R15" s="1542">
        <v>44531</v>
      </c>
      <c r="S15" s="1534" t="str">
        <f t="shared" si="10"/>
        <v>Desp. 521/2022</v>
      </c>
      <c r="T15" s="625" t="s">
        <v>368</v>
      </c>
      <c r="U15" s="732" t="s">
        <v>332</v>
      </c>
      <c r="V15" s="625">
        <v>2024</v>
      </c>
      <c r="W15" s="1529">
        <v>2978</v>
      </c>
      <c r="X15" s="1530" t="s">
        <v>333</v>
      </c>
      <c r="Y15" s="625"/>
      <c r="AA15" s="1532" t="s">
        <v>334</v>
      </c>
      <c r="AB15" s="1534">
        <v>98.54</v>
      </c>
      <c r="AC15" s="1535">
        <v>492.16</v>
      </c>
      <c r="AD15" s="1535">
        <v>607256.85</v>
      </c>
      <c r="AE15" s="732">
        <v>43739</v>
      </c>
      <c r="AF15" s="732">
        <v>43739</v>
      </c>
      <c r="AG15" s="1534">
        <v>0</v>
      </c>
      <c r="AH15" s="625"/>
      <c r="AI15" s="732">
        <v>41472</v>
      </c>
      <c r="AJ15" s="732">
        <v>42673</v>
      </c>
      <c r="AK15" s="732" t="s">
        <v>335</v>
      </c>
      <c r="AL15" s="732"/>
      <c r="AM15" s="732"/>
      <c r="AN15" s="848"/>
      <c r="AO15" s="234"/>
      <c r="AP15" s="17"/>
      <c r="AR15" s="809" t="s">
        <v>369</v>
      </c>
      <c r="AS15" s="234"/>
      <c r="AT15" s="234"/>
      <c r="AX15" s="234"/>
    </row>
    <row r="16" spans="1:50" s="9" customFormat="1" ht="31.5" hidden="1">
      <c r="A16" s="625" t="s">
        <v>370</v>
      </c>
      <c r="B16" s="625" t="s">
        <v>371</v>
      </c>
      <c r="C16" s="625">
        <v>6609</v>
      </c>
      <c r="D16" s="625" t="s">
        <v>372</v>
      </c>
      <c r="E16" s="625" t="s">
        <v>325</v>
      </c>
      <c r="F16" s="625" t="s">
        <v>373</v>
      </c>
      <c r="G16" s="625" t="s">
        <v>327</v>
      </c>
      <c r="H16" s="625">
        <v>3.7699999999999997E-2</v>
      </c>
      <c r="I16" s="625" t="s">
        <v>164</v>
      </c>
      <c r="J16" s="625">
        <v>165</v>
      </c>
      <c r="K16" s="625"/>
      <c r="L16" s="625"/>
      <c r="M16" s="806">
        <v>0</v>
      </c>
      <c r="N16" s="1534"/>
      <c r="O16" s="1534" t="str">
        <f t="shared" si="9"/>
        <v>ReH 2.995/2021</v>
      </c>
      <c r="P16" s="1543">
        <v>0.1585</v>
      </c>
      <c r="Q16" s="1534">
        <v>13523024.849047249</v>
      </c>
      <c r="R16" s="1542">
        <v>44531</v>
      </c>
      <c r="S16" s="1534" t="str">
        <f t="shared" si="10"/>
        <v>Desp. 521/2022</v>
      </c>
      <c r="T16" s="625" t="s">
        <v>374</v>
      </c>
      <c r="U16" s="732" t="s">
        <v>375</v>
      </c>
      <c r="V16" s="625">
        <v>2024</v>
      </c>
      <c r="W16" s="1529">
        <v>2903</v>
      </c>
      <c r="X16" s="1530" t="s">
        <v>362</v>
      </c>
      <c r="Y16" s="1531">
        <v>1.15E-2</v>
      </c>
      <c r="Z16" s="486">
        <v>0</v>
      </c>
      <c r="AA16" s="486" t="s">
        <v>164</v>
      </c>
      <c r="AB16" s="1534">
        <v>23.817216620837154</v>
      </c>
      <c r="AC16" s="1535">
        <v>102.39004092957872</v>
      </c>
      <c r="AD16" s="1535">
        <v>8424461.6320540309</v>
      </c>
      <c r="AE16" s="732">
        <v>44389</v>
      </c>
      <c r="AF16" s="732">
        <v>44389</v>
      </c>
      <c r="AG16" s="1534">
        <v>0</v>
      </c>
      <c r="AH16" s="625"/>
      <c r="AI16" s="732">
        <v>41472</v>
      </c>
      <c r="AJ16" s="732">
        <v>42507</v>
      </c>
      <c r="AK16" s="732" t="s">
        <v>335</v>
      </c>
      <c r="AL16" s="732"/>
      <c r="AM16" s="732"/>
      <c r="AN16" s="848"/>
      <c r="AO16" s="234"/>
      <c r="AP16" s="17"/>
      <c r="AR16" s="809" t="s">
        <v>376</v>
      </c>
      <c r="AS16" s="234"/>
      <c r="AT16" s="234"/>
      <c r="AX16" s="234"/>
    </row>
    <row r="17" spans="1:50" s="9" customFormat="1" ht="31.5" hidden="1">
      <c r="A17" s="625" t="s">
        <v>377</v>
      </c>
      <c r="B17" s="625" t="s">
        <v>378</v>
      </c>
      <c r="C17" s="625">
        <v>5384</v>
      </c>
      <c r="D17" s="625" t="s">
        <v>379</v>
      </c>
      <c r="E17" s="625" t="s">
        <v>325</v>
      </c>
      <c r="F17" s="625" t="s">
        <v>380</v>
      </c>
      <c r="G17" s="625" t="s">
        <v>327</v>
      </c>
      <c r="H17" s="625">
        <v>9.9699999999999997E-2</v>
      </c>
      <c r="I17" s="625" t="s">
        <v>189</v>
      </c>
      <c r="J17" s="625">
        <v>136</v>
      </c>
      <c r="K17" s="625"/>
      <c r="L17" s="625"/>
      <c r="M17" s="806">
        <v>0</v>
      </c>
      <c r="N17" s="1534"/>
      <c r="O17" s="1534" t="str">
        <f t="shared" si="9"/>
        <v>ReH 2.995/2021</v>
      </c>
      <c r="P17" s="1543">
        <v>0.36620000000000003</v>
      </c>
      <c r="Q17" s="1534">
        <v>10580562.183376934</v>
      </c>
      <c r="R17" s="1542">
        <v>44531</v>
      </c>
      <c r="S17" s="1534" t="str">
        <f t="shared" si="10"/>
        <v>Desp. 521/2022</v>
      </c>
      <c r="T17" s="625" t="s">
        <v>381</v>
      </c>
      <c r="U17" s="732" t="s">
        <v>341</v>
      </c>
      <c r="V17" s="625">
        <v>2024</v>
      </c>
      <c r="W17" s="1529">
        <v>2873</v>
      </c>
      <c r="X17" s="1530" t="s">
        <v>382</v>
      </c>
      <c r="Y17" s="625"/>
      <c r="AA17" s="1532" t="s">
        <v>189</v>
      </c>
      <c r="AB17" s="1534">
        <v>90.43</v>
      </c>
      <c r="AC17" s="1535">
        <v>237.88</v>
      </c>
      <c r="AD17" s="1535">
        <v>1254128.21</v>
      </c>
      <c r="AE17" s="732">
        <v>43198</v>
      </c>
      <c r="AF17" s="732">
        <v>43198</v>
      </c>
      <c r="AG17" s="1534">
        <v>0</v>
      </c>
      <c r="AH17" s="625"/>
      <c r="AI17" s="732">
        <v>41472</v>
      </c>
      <c r="AJ17" s="732">
        <v>42475</v>
      </c>
      <c r="AK17" s="732" t="s">
        <v>335</v>
      </c>
      <c r="AL17" s="732"/>
      <c r="AM17" s="732"/>
      <c r="AN17" s="848"/>
      <c r="AO17" s="234"/>
      <c r="AP17" s="17"/>
      <c r="AR17" s="809" t="s">
        <v>383</v>
      </c>
      <c r="AS17" s="234"/>
      <c r="AT17" s="234"/>
      <c r="AX17" s="234"/>
    </row>
    <row r="18" spans="1:50" s="9" customFormat="1" ht="31.5" hidden="1">
      <c r="A18" s="625" t="s">
        <v>384</v>
      </c>
      <c r="B18" s="625" t="s">
        <v>385</v>
      </c>
      <c r="C18" s="625">
        <v>5385</v>
      </c>
      <c r="D18" s="625" t="s">
        <v>386</v>
      </c>
      <c r="E18" s="625" t="s">
        <v>325</v>
      </c>
      <c r="F18" s="625" t="s">
        <v>387</v>
      </c>
      <c r="G18" s="625" t="s">
        <v>327</v>
      </c>
      <c r="H18" s="625">
        <v>3.7699999999999997E-2</v>
      </c>
      <c r="I18" s="625" t="s">
        <v>189</v>
      </c>
      <c r="J18" s="625">
        <v>136</v>
      </c>
      <c r="K18" s="625" t="s">
        <v>164</v>
      </c>
      <c r="L18" s="625">
        <v>165</v>
      </c>
      <c r="M18" s="806">
        <v>0</v>
      </c>
      <c r="N18" s="1534"/>
      <c r="O18" s="1534" t="str">
        <f t="shared" si="9"/>
        <v>ReH 2.995/2021</v>
      </c>
      <c r="P18" s="1543">
        <v>0.18079999999999999</v>
      </c>
      <c r="Q18" s="1534">
        <v>19362081.83872563</v>
      </c>
      <c r="R18" s="1542">
        <v>44531</v>
      </c>
      <c r="S18" s="1534" t="str">
        <f t="shared" si="10"/>
        <v>Desp. 521/2022</v>
      </c>
      <c r="T18" s="625" t="s">
        <v>388</v>
      </c>
      <c r="U18" s="732" t="s">
        <v>375</v>
      </c>
      <c r="V18" s="625">
        <v>2024</v>
      </c>
      <c r="W18" s="1529">
        <v>2874</v>
      </c>
      <c r="X18" s="1530" t="s">
        <v>382</v>
      </c>
      <c r="Y18" s="1531">
        <v>1.15E-2</v>
      </c>
      <c r="Z18" s="486">
        <v>-7.9000000000000008E-3</v>
      </c>
      <c r="AA18" s="486" t="s">
        <v>189</v>
      </c>
      <c r="AB18" s="1534">
        <v>70.27</v>
      </c>
      <c r="AC18" s="1535">
        <v>237.88</v>
      </c>
      <c r="AD18" s="1535">
        <v>3687472.37</v>
      </c>
      <c r="AE18" s="732">
        <v>43198</v>
      </c>
      <c r="AF18" s="732">
        <v>43198</v>
      </c>
      <c r="AG18" s="1534">
        <v>0</v>
      </c>
      <c r="AH18" s="625"/>
      <c r="AI18" s="732">
        <v>41472</v>
      </c>
      <c r="AJ18" s="732">
        <v>42475</v>
      </c>
      <c r="AK18" s="732" t="s">
        <v>335</v>
      </c>
      <c r="AL18" s="732"/>
      <c r="AM18" s="732"/>
      <c r="AN18" s="848"/>
      <c r="AO18" s="234"/>
      <c r="AP18" s="17"/>
      <c r="AR18" s="809" t="s">
        <v>389</v>
      </c>
      <c r="AS18" s="234"/>
      <c r="AT18" s="234"/>
      <c r="AX18" s="234"/>
    </row>
    <row r="19" spans="1:50" s="9" customFormat="1" ht="31.5" hidden="1">
      <c r="A19" s="625" t="s">
        <v>390</v>
      </c>
      <c r="B19" s="625" t="s">
        <v>391</v>
      </c>
      <c r="C19" s="625">
        <v>5379</v>
      </c>
      <c r="D19" s="625" t="s">
        <v>392</v>
      </c>
      <c r="E19" s="625" t="s">
        <v>325</v>
      </c>
      <c r="F19" s="625" t="s">
        <v>393</v>
      </c>
      <c r="G19" s="625" t="s">
        <v>327</v>
      </c>
      <c r="H19" s="625">
        <v>3.7699999999999997E-2</v>
      </c>
      <c r="I19" s="625" t="s">
        <v>217</v>
      </c>
      <c r="J19" s="625">
        <v>135</v>
      </c>
      <c r="K19" s="625" t="s">
        <v>203</v>
      </c>
      <c r="L19" s="625">
        <v>145</v>
      </c>
      <c r="M19" s="806">
        <v>0</v>
      </c>
      <c r="N19" s="1534"/>
      <c r="O19" s="1534" t="str">
        <f t="shared" si="9"/>
        <v>ReH 2.995/2021</v>
      </c>
      <c r="P19" s="1543">
        <v>0.1321</v>
      </c>
      <c r="Q19" s="1534">
        <v>39394175.109390005</v>
      </c>
      <c r="R19" s="1542">
        <v>44531</v>
      </c>
      <c r="S19" s="1534" t="str">
        <f t="shared" si="10"/>
        <v>Desp. 521/2022</v>
      </c>
      <c r="T19" s="625" t="s">
        <v>394</v>
      </c>
      <c r="U19" s="732" t="s">
        <v>341</v>
      </c>
      <c r="V19" s="625">
        <v>2024</v>
      </c>
      <c r="W19" s="1529">
        <v>2975</v>
      </c>
      <c r="X19" s="1530" t="s">
        <v>333</v>
      </c>
      <c r="Y19" s="1531">
        <v>1.15E-2</v>
      </c>
      <c r="Z19" s="486">
        <v>0</v>
      </c>
      <c r="AA19" s="1532" t="s">
        <v>348</v>
      </c>
      <c r="AB19" s="1536">
        <v>39.53</v>
      </c>
      <c r="AC19" s="1535">
        <v>532.64</v>
      </c>
      <c r="AD19" s="1535">
        <v>12412486.630000001</v>
      </c>
      <c r="AE19" s="732">
        <v>43739</v>
      </c>
      <c r="AF19" s="732">
        <v>43739</v>
      </c>
      <c r="AG19" s="1534">
        <v>0</v>
      </c>
      <c r="AH19" s="625"/>
      <c r="AI19" s="732">
        <v>41472</v>
      </c>
      <c r="AJ19" s="732">
        <v>42673</v>
      </c>
      <c r="AK19" s="732" t="s">
        <v>335</v>
      </c>
      <c r="AL19" s="732"/>
      <c r="AM19" s="732"/>
      <c r="AN19" s="848"/>
      <c r="AO19" s="234"/>
      <c r="AP19" s="17"/>
      <c r="AR19" s="809" t="s">
        <v>223</v>
      </c>
      <c r="AS19" s="234"/>
      <c r="AT19" s="234"/>
      <c r="AX19" s="234"/>
    </row>
    <row r="20" spans="1:50" s="9" customFormat="1" ht="31.5" hidden="1">
      <c r="A20" s="625" t="s">
        <v>363</v>
      </c>
      <c r="B20" s="625" t="s">
        <v>395</v>
      </c>
      <c r="C20" s="625">
        <v>5372</v>
      </c>
      <c r="D20" s="625" t="s">
        <v>396</v>
      </c>
      <c r="E20" s="625" t="s">
        <v>325</v>
      </c>
      <c r="F20" s="625" t="s">
        <v>397</v>
      </c>
      <c r="G20" s="625" t="s">
        <v>398</v>
      </c>
      <c r="H20" s="625">
        <v>9.9699999999999997E-2</v>
      </c>
      <c r="I20" s="625" t="s">
        <v>228</v>
      </c>
      <c r="J20" s="625">
        <v>111</v>
      </c>
      <c r="K20" s="625"/>
      <c r="L20" s="625"/>
      <c r="M20" s="806">
        <v>0</v>
      </c>
      <c r="N20" s="1534"/>
      <c r="O20" s="1534" t="str">
        <f t="shared" si="9"/>
        <v>ReH 2.995/2021</v>
      </c>
      <c r="P20" s="1543">
        <v>0.1079</v>
      </c>
      <c r="Q20" s="1544">
        <v>9742223.1963606756</v>
      </c>
      <c r="R20" s="1542">
        <v>44531</v>
      </c>
      <c r="S20" s="1534" t="str">
        <f t="shared" si="10"/>
        <v>Desp. 521/2022</v>
      </c>
      <c r="T20" s="625" t="s">
        <v>399</v>
      </c>
      <c r="U20" s="732" t="s">
        <v>400</v>
      </c>
      <c r="V20" s="625">
        <v>2024</v>
      </c>
      <c r="W20" s="1529">
        <v>2946</v>
      </c>
      <c r="X20" s="1530" t="s">
        <v>342</v>
      </c>
      <c r="Y20" s="625"/>
      <c r="AA20" s="1532" t="s">
        <v>228</v>
      </c>
      <c r="AB20" s="1534">
        <v>59.846956156846908</v>
      </c>
      <c r="AC20" s="1535">
        <v>180.36</v>
      </c>
      <c r="AD20" s="1535">
        <v>3290792.2979728933</v>
      </c>
      <c r="AE20" s="732">
        <v>44430</v>
      </c>
      <c r="AF20" s="732">
        <v>44430</v>
      </c>
      <c r="AG20" s="1534">
        <v>0</v>
      </c>
      <c r="AH20" s="625"/>
      <c r="AI20" s="732">
        <v>41472</v>
      </c>
      <c r="AJ20" s="732">
        <v>42641</v>
      </c>
      <c r="AK20" s="732" t="s">
        <v>335</v>
      </c>
      <c r="AL20" s="732"/>
      <c r="AM20" s="732"/>
      <c r="AN20" s="848"/>
      <c r="AO20" s="234"/>
      <c r="AP20" s="17"/>
      <c r="AR20" s="809" t="s">
        <v>235</v>
      </c>
      <c r="AS20" s="234"/>
      <c r="AT20" s="234"/>
      <c r="AX20" s="234"/>
    </row>
    <row r="21" spans="1:50" s="9" customFormat="1" ht="31.5" hidden="1">
      <c r="A21" s="625" t="s">
        <v>383</v>
      </c>
      <c r="B21" s="625" t="s">
        <v>401</v>
      </c>
      <c r="C21" s="625">
        <v>5367</v>
      </c>
      <c r="D21" s="625" t="s">
        <v>402</v>
      </c>
      <c r="E21" s="625" t="s">
        <v>325</v>
      </c>
      <c r="F21" s="625" t="s">
        <v>403</v>
      </c>
      <c r="G21" s="625" t="s">
        <v>398</v>
      </c>
      <c r="H21" s="625">
        <v>9.9699999999999997E-2</v>
      </c>
      <c r="I21" s="625" t="s">
        <v>228</v>
      </c>
      <c r="J21" s="625">
        <v>111</v>
      </c>
      <c r="K21" s="625" t="s">
        <v>404</v>
      </c>
      <c r="L21" s="625">
        <v>110</v>
      </c>
      <c r="M21" s="806">
        <v>0</v>
      </c>
      <c r="N21" s="1534"/>
      <c r="O21" s="1534" t="str">
        <f t="shared" si="9"/>
        <v>ReH 2.995/2021</v>
      </c>
      <c r="P21" s="1543">
        <v>8.7999999999999995E-2</v>
      </c>
      <c r="Q21" s="1534">
        <v>28257854.842311971</v>
      </c>
      <c r="R21" s="1542">
        <v>44531</v>
      </c>
      <c r="S21" s="1534" t="str">
        <f t="shared" si="10"/>
        <v>Desp. 521/2022</v>
      </c>
      <c r="T21" s="625" t="s">
        <v>405</v>
      </c>
      <c r="U21" s="732" t="s">
        <v>406</v>
      </c>
      <c r="V21" s="625">
        <v>2025</v>
      </c>
      <c r="W21" s="1529">
        <v>3000</v>
      </c>
      <c r="X21" s="1530" t="s">
        <v>407</v>
      </c>
      <c r="Y21" s="625"/>
      <c r="AA21" s="1532" t="s">
        <v>228</v>
      </c>
      <c r="AB21" s="1534">
        <v>46.284812313198138</v>
      </c>
      <c r="AC21" s="1535">
        <v>180.36</v>
      </c>
      <c r="AD21" s="1535">
        <v>11703468.880194727</v>
      </c>
      <c r="AE21" s="732">
        <v>44430</v>
      </c>
      <c r="AF21" s="732">
        <v>44430</v>
      </c>
      <c r="AG21" s="1534">
        <v>0</v>
      </c>
      <c r="AH21" s="625"/>
      <c r="AI21" s="732">
        <v>41365</v>
      </c>
      <c r="AJ21" s="732">
        <v>42641</v>
      </c>
      <c r="AK21" s="732" t="s">
        <v>335</v>
      </c>
      <c r="AL21" s="732"/>
      <c r="AM21" s="732"/>
      <c r="AN21" s="848"/>
      <c r="AO21" s="234"/>
      <c r="AP21" s="17"/>
      <c r="AR21" s="809" t="s">
        <v>408</v>
      </c>
      <c r="AS21" s="234"/>
      <c r="AT21" s="234"/>
      <c r="AX21" s="234"/>
    </row>
    <row r="22" spans="1:50" s="9" customFormat="1" ht="31.5" hidden="1">
      <c r="A22" s="625" t="s">
        <v>389</v>
      </c>
      <c r="B22" s="625" t="s">
        <v>409</v>
      </c>
      <c r="C22" s="625">
        <v>6897</v>
      </c>
      <c r="D22" s="625" t="s">
        <v>410</v>
      </c>
      <c r="E22" s="625" t="s">
        <v>325</v>
      </c>
      <c r="F22" s="625" t="s">
        <v>411</v>
      </c>
      <c r="G22" s="625" t="s">
        <v>398</v>
      </c>
      <c r="H22" s="625">
        <v>9.9699999999999997E-2</v>
      </c>
      <c r="I22" s="625" t="s">
        <v>228</v>
      </c>
      <c r="J22" s="625">
        <v>111</v>
      </c>
      <c r="K22" s="625"/>
      <c r="L22" s="625"/>
      <c r="M22" s="806">
        <v>0</v>
      </c>
      <c r="N22" s="1534"/>
      <c r="O22" s="1534" t="str">
        <f t="shared" si="9"/>
        <v>ReH 2.995/2021</v>
      </c>
      <c r="P22" s="1543">
        <v>0.11210000000000001</v>
      </c>
      <c r="Q22" s="1534">
        <v>25814070.878469311</v>
      </c>
      <c r="R22" s="1542">
        <v>44531</v>
      </c>
      <c r="S22" s="1534" t="str">
        <f t="shared" si="10"/>
        <v>Desp. 521/2022</v>
      </c>
      <c r="T22" s="625" t="s">
        <v>412</v>
      </c>
      <c r="U22" s="732" t="s">
        <v>400</v>
      </c>
      <c r="V22" s="625">
        <v>2024</v>
      </c>
      <c r="W22" s="1529">
        <v>2939</v>
      </c>
      <c r="X22" s="1530" t="s">
        <v>342</v>
      </c>
      <c r="Y22" s="625"/>
      <c r="AA22" s="1532" t="s">
        <v>228</v>
      </c>
      <c r="AB22" s="1534">
        <v>48.427014093503388</v>
      </c>
      <c r="AC22" s="1535">
        <v>180.36</v>
      </c>
      <c r="AD22" s="1535">
        <v>10692706.342225492</v>
      </c>
      <c r="AE22" s="732">
        <v>44430</v>
      </c>
      <c r="AF22" s="732">
        <v>44430</v>
      </c>
      <c r="AG22" s="1534">
        <v>0</v>
      </c>
      <c r="AH22" s="625"/>
      <c r="AI22" s="732">
        <v>41472</v>
      </c>
      <c r="AJ22" s="732">
        <v>42641</v>
      </c>
      <c r="AK22" s="732" t="s">
        <v>335</v>
      </c>
      <c r="AL22" s="732"/>
      <c r="AM22" s="732"/>
      <c r="AN22" s="848"/>
      <c r="AO22" s="234"/>
      <c r="AP22" s="17"/>
      <c r="AR22" s="809" t="s">
        <v>413</v>
      </c>
      <c r="AS22" s="234"/>
      <c r="AT22" s="234"/>
      <c r="AX22" s="234"/>
    </row>
    <row r="23" spans="1:50" s="9" customFormat="1" ht="31.5" hidden="1">
      <c r="A23" s="625" t="s">
        <v>223</v>
      </c>
      <c r="B23" s="625" t="s">
        <v>414</v>
      </c>
      <c r="C23" s="625">
        <v>5351</v>
      </c>
      <c r="D23" s="625" t="s">
        <v>415</v>
      </c>
      <c r="E23" s="625" t="s">
        <v>325</v>
      </c>
      <c r="F23" s="625" t="s">
        <v>416</v>
      </c>
      <c r="G23" s="625" t="s">
        <v>398</v>
      </c>
      <c r="H23" s="625">
        <v>9.9699999999999997E-2</v>
      </c>
      <c r="I23" s="625" t="s">
        <v>413</v>
      </c>
      <c r="J23" s="625">
        <v>220</v>
      </c>
      <c r="K23" s="625"/>
      <c r="L23" s="625"/>
      <c r="M23" s="806">
        <v>0</v>
      </c>
      <c r="N23" s="1534"/>
      <c r="O23" s="1534" t="str">
        <f t="shared" si="9"/>
        <v>ReH 2.995/2021</v>
      </c>
      <c r="P23" s="1543">
        <v>5.1200000000000002E-2</v>
      </c>
      <c r="Q23" s="1534">
        <v>6592780.5451776758</v>
      </c>
      <c r="R23" s="1542">
        <v>44531</v>
      </c>
      <c r="S23" s="1534" t="str">
        <f t="shared" si="10"/>
        <v>Desp. 521/2022</v>
      </c>
      <c r="T23" s="625" t="s">
        <v>417</v>
      </c>
      <c r="U23" s="732" t="s">
        <v>400</v>
      </c>
      <c r="V23" s="625">
        <v>2024</v>
      </c>
      <c r="W23" s="1529">
        <v>2976</v>
      </c>
      <c r="X23" s="1530" t="s">
        <v>333</v>
      </c>
      <c r="Y23" s="625"/>
      <c r="AA23" s="1532" t="s">
        <v>228</v>
      </c>
      <c r="AB23" s="1534">
        <v>16.172212694965044</v>
      </c>
      <c r="AC23" s="1535">
        <v>180.36</v>
      </c>
      <c r="AD23" s="1535">
        <v>3766690.3356666476</v>
      </c>
      <c r="AE23" s="732">
        <v>44430</v>
      </c>
      <c r="AF23" s="732">
        <v>44430</v>
      </c>
      <c r="AG23" s="1534">
        <v>0</v>
      </c>
      <c r="AH23" s="625"/>
      <c r="AI23" s="732">
        <v>41472</v>
      </c>
      <c r="AJ23" s="732">
        <v>42641</v>
      </c>
      <c r="AK23" s="732" t="s">
        <v>335</v>
      </c>
      <c r="AL23" s="732"/>
      <c r="AM23" s="732"/>
      <c r="AN23" s="848">
        <v>415113.21</v>
      </c>
      <c r="AO23" s="234"/>
      <c r="AP23" s="17"/>
      <c r="AR23" s="809" t="s">
        <v>418</v>
      </c>
      <c r="AS23" s="234"/>
      <c r="AT23" s="234"/>
      <c r="AX23" s="234"/>
    </row>
    <row r="24" spans="1:50" s="9" customFormat="1" ht="31.5" hidden="1">
      <c r="A24" s="625" t="s">
        <v>413</v>
      </c>
      <c r="B24" s="625" t="s">
        <v>419</v>
      </c>
      <c r="C24" s="625">
        <v>6898</v>
      </c>
      <c r="D24" s="625" t="s">
        <v>420</v>
      </c>
      <c r="E24" s="625" t="s">
        <v>325</v>
      </c>
      <c r="F24" s="625" t="s">
        <v>421</v>
      </c>
      <c r="G24" s="625" t="s">
        <v>398</v>
      </c>
      <c r="H24" s="625">
        <v>9.9699999999999997E-2</v>
      </c>
      <c r="I24" s="625" t="s">
        <v>228</v>
      </c>
      <c r="J24" s="625">
        <v>111</v>
      </c>
      <c r="K24" s="625"/>
      <c r="L24" s="625"/>
      <c r="M24" s="806">
        <v>0</v>
      </c>
      <c r="N24" s="1534"/>
      <c r="O24" s="1534" t="str">
        <f t="shared" si="9"/>
        <v>ReH 2.995/2021</v>
      </c>
      <c r="P24" s="1543">
        <v>7.1800000000000003E-2</v>
      </c>
      <c r="Q24" s="1534">
        <v>32515799.777980469</v>
      </c>
      <c r="R24" s="1542">
        <v>44531</v>
      </c>
      <c r="S24" s="1534" t="str">
        <f t="shared" si="10"/>
        <v>Desp. 521/2022</v>
      </c>
      <c r="T24" s="625" t="s">
        <v>422</v>
      </c>
      <c r="U24" s="732" t="s">
        <v>400</v>
      </c>
      <c r="V24" s="625">
        <v>2024</v>
      </c>
      <c r="W24" s="1529">
        <v>2949</v>
      </c>
      <c r="X24" s="1530" t="s">
        <v>342</v>
      </c>
      <c r="Y24" s="625"/>
      <c r="AA24" s="1532" t="s">
        <v>228</v>
      </c>
      <c r="AB24" s="1534">
        <v>77.349128723029523</v>
      </c>
      <c r="AC24" s="1535">
        <v>180.36</v>
      </c>
      <c r="AD24" s="1535">
        <v>9354913.9292200413</v>
      </c>
      <c r="AE24" s="732">
        <v>44430</v>
      </c>
      <c r="AF24" s="732">
        <v>44430</v>
      </c>
      <c r="AG24" s="1534">
        <v>0</v>
      </c>
      <c r="AH24" s="625"/>
      <c r="AI24" s="732">
        <v>41472</v>
      </c>
      <c r="AJ24" s="732">
        <v>42641</v>
      </c>
      <c r="AK24" s="732" t="s">
        <v>335</v>
      </c>
      <c r="AL24" s="732"/>
      <c r="AM24" s="732"/>
      <c r="AN24" s="848"/>
      <c r="AO24" s="234"/>
      <c r="AP24" s="17"/>
      <c r="AR24" s="809" t="s">
        <v>423</v>
      </c>
      <c r="AS24" s="234"/>
      <c r="AT24" s="234"/>
      <c r="AX24" s="234"/>
    </row>
    <row r="25" spans="1:50" s="9" customFormat="1" ht="31.5" hidden="1">
      <c r="A25" s="625" t="s">
        <v>424</v>
      </c>
      <c r="B25" s="625" t="s">
        <v>425</v>
      </c>
      <c r="C25" s="625">
        <v>5352</v>
      </c>
      <c r="D25" s="625" t="s">
        <v>426</v>
      </c>
      <c r="E25" s="625" t="s">
        <v>325</v>
      </c>
      <c r="F25" s="625" t="s">
        <v>427</v>
      </c>
      <c r="G25" s="625" t="s">
        <v>398</v>
      </c>
      <c r="H25" s="625">
        <v>9.9699999999999997E-2</v>
      </c>
      <c r="I25" s="625" t="s">
        <v>228</v>
      </c>
      <c r="J25" s="625">
        <v>111</v>
      </c>
      <c r="K25" s="625"/>
      <c r="L25" s="625"/>
      <c r="M25" s="806">
        <v>0</v>
      </c>
      <c r="N25" s="1534"/>
      <c r="O25" s="1534" t="str">
        <f t="shared" si="9"/>
        <v>ReH 2.995/2021</v>
      </c>
      <c r="P25" s="1543">
        <v>8.72E-2</v>
      </c>
      <c r="Q25" s="1534">
        <v>27692113.474028908</v>
      </c>
      <c r="R25" s="1542">
        <v>44531</v>
      </c>
      <c r="S25" s="1534" t="str">
        <f t="shared" si="10"/>
        <v>Desp. 521/2022</v>
      </c>
      <c r="T25" s="625" t="s">
        <v>428</v>
      </c>
      <c r="U25" s="732" t="s">
        <v>429</v>
      </c>
      <c r="V25" s="625">
        <v>2024</v>
      </c>
      <c r="W25" s="1529">
        <v>2940</v>
      </c>
      <c r="X25" s="1530" t="s">
        <v>342</v>
      </c>
      <c r="Y25" s="625"/>
      <c r="AA25" s="1532" t="s">
        <v>228</v>
      </c>
      <c r="AB25" s="1534">
        <v>22.580552842543515</v>
      </c>
      <c r="AC25" s="1535">
        <v>180.36</v>
      </c>
      <c r="AD25" s="1535">
        <v>16232843.86472071</v>
      </c>
      <c r="AE25" s="732">
        <v>44430</v>
      </c>
      <c r="AF25" s="732">
        <v>44430</v>
      </c>
      <c r="AG25" s="1534">
        <v>0</v>
      </c>
      <c r="AH25" s="625"/>
      <c r="AI25" s="732">
        <v>41472</v>
      </c>
      <c r="AJ25" s="732">
        <v>42641</v>
      </c>
      <c r="AK25" s="732" t="s">
        <v>335</v>
      </c>
      <c r="AL25" s="732"/>
      <c r="AM25" s="732"/>
      <c r="AN25" s="848"/>
      <c r="AO25" s="234"/>
      <c r="AP25" s="17"/>
      <c r="AR25" s="809" t="s">
        <v>424</v>
      </c>
      <c r="AS25" s="234"/>
      <c r="AT25" s="234"/>
      <c r="AX25" s="234"/>
    </row>
    <row r="26" spans="1:50" s="9" customFormat="1" ht="31.5" hidden="1">
      <c r="A26" s="625" t="s">
        <v>224</v>
      </c>
      <c r="B26" s="625" t="s">
        <v>430</v>
      </c>
      <c r="C26" s="625">
        <v>5353</v>
      </c>
      <c r="D26" s="625" t="s">
        <v>431</v>
      </c>
      <c r="E26" s="625" t="s">
        <v>325</v>
      </c>
      <c r="F26" s="625" t="s">
        <v>432</v>
      </c>
      <c r="G26" s="625" t="s">
        <v>398</v>
      </c>
      <c r="H26" s="625">
        <v>9.9699999999999997E-2</v>
      </c>
      <c r="I26" s="625" t="s">
        <v>228</v>
      </c>
      <c r="J26" s="625">
        <v>111</v>
      </c>
      <c r="K26" s="625"/>
      <c r="L26" s="625"/>
      <c r="M26" s="806">
        <v>0</v>
      </c>
      <c r="N26" s="1534"/>
      <c r="O26" s="1534" t="str">
        <f t="shared" si="9"/>
        <v>ReH 2.995/2021</v>
      </c>
      <c r="P26" s="1543">
        <v>5.5899999999999998E-2</v>
      </c>
      <c r="Q26" s="1544">
        <v>21470201.670165978</v>
      </c>
      <c r="R26" s="1542">
        <v>44531</v>
      </c>
      <c r="S26" s="1534" t="str">
        <f t="shared" si="10"/>
        <v>Desp. 521/2022</v>
      </c>
      <c r="T26" s="625" t="s">
        <v>433</v>
      </c>
      <c r="U26" s="732" t="s">
        <v>434</v>
      </c>
      <c r="V26" s="625">
        <v>2024</v>
      </c>
      <c r="W26" s="1529">
        <v>2950</v>
      </c>
      <c r="X26" s="1530" t="s">
        <v>342</v>
      </c>
      <c r="Y26" s="625"/>
      <c r="AA26" s="1532" t="s">
        <v>228</v>
      </c>
      <c r="AB26" s="1534">
        <v>133.2436333697292</v>
      </c>
      <c r="AC26" s="1535">
        <v>180.36</v>
      </c>
      <c r="AD26" s="1535">
        <v>755772.02907041553</v>
      </c>
      <c r="AE26" s="732">
        <v>44430</v>
      </c>
      <c r="AF26" s="732">
        <v>44430</v>
      </c>
      <c r="AG26" s="1534">
        <v>0</v>
      </c>
      <c r="AH26" s="625"/>
      <c r="AI26" s="732">
        <v>41472</v>
      </c>
      <c r="AJ26" s="732">
        <v>42641</v>
      </c>
      <c r="AK26" s="732" t="s">
        <v>335</v>
      </c>
      <c r="AL26" s="732"/>
      <c r="AM26" s="732"/>
      <c r="AN26" s="848">
        <v>1175911.3899999999</v>
      </c>
      <c r="AO26" s="234"/>
      <c r="AP26" s="17"/>
      <c r="AR26" s="809" t="s">
        <v>221</v>
      </c>
      <c r="AS26" s="234"/>
      <c r="AT26" s="234"/>
      <c r="AX26" s="234"/>
    </row>
    <row r="27" spans="1:50" s="9" customFormat="1" ht="31.5" hidden="1">
      <c r="A27" s="625" t="s">
        <v>435</v>
      </c>
      <c r="B27" s="625" t="s">
        <v>436</v>
      </c>
      <c r="C27" s="625">
        <v>5355</v>
      </c>
      <c r="D27" s="625" t="s">
        <v>437</v>
      </c>
      <c r="E27" s="625" t="s">
        <v>325</v>
      </c>
      <c r="F27" s="625" t="s">
        <v>438</v>
      </c>
      <c r="G27" s="625" t="s">
        <v>398</v>
      </c>
      <c r="H27" s="625">
        <v>9.9699999999999997E-2</v>
      </c>
      <c r="I27" s="625" t="s">
        <v>228</v>
      </c>
      <c r="J27" s="625">
        <v>111</v>
      </c>
      <c r="K27" s="625"/>
      <c r="L27" s="625"/>
      <c r="M27" s="806">
        <v>0</v>
      </c>
      <c r="N27" s="1534"/>
      <c r="O27" s="1534" t="str">
        <f t="shared" si="9"/>
        <v>ReH 2.995/2021</v>
      </c>
      <c r="P27" s="1543">
        <v>9.4600000000000004E-2</v>
      </c>
      <c r="Q27" s="1534">
        <v>8199512.497046981</v>
      </c>
      <c r="R27" s="1542">
        <v>44531</v>
      </c>
      <c r="S27" s="1534" t="str">
        <f t="shared" si="10"/>
        <v>Desp. 521/2022</v>
      </c>
      <c r="T27" s="625" t="s">
        <v>439</v>
      </c>
      <c r="U27" s="732" t="s">
        <v>440</v>
      </c>
      <c r="V27" s="625">
        <v>2025</v>
      </c>
      <c r="W27" s="1529">
        <v>2957</v>
      </c>
      <c r="X27" s="1530" t="s">
        <v>342</v>
      </c>
      <c r="Y27" s="625"/>
      <c r="AA27" s="1532" t="s">
        <v>228</v>
      </c>
      <c r="AB27" s="1534">
        <v>52.855625463016914</v>
      </c>
      <c r="AC27" s="1535">
        <v>180.36</v>
      </c>
      <c r="AD27" s="1535">
        <v>3264076.527192608</v>
      </c>
      <c r="AE27" s="732">
        <v>44430</v>
      </c>
      <c r="AF27" s="732">
        <v>44430</v>
      </c>
      <c r="AG27" s="1534">
        <v>0</v>
      </c>
      <c r="AH27" s="625"/>
      <c r="AI27" s="732">
        <v>41365</v>
      </c>
      <c r="AJ27" s="732">
        <v>42641</v>
      </c>
      <c r="AK27" s="732" t="s">
        <v>335</v>
      </c>
      <c r="AL27" s="732"/>
      <c r="AM27" s="732"/>
      <c r="AN27" s="848"/>
      <c r="AO27" s="234"/>
      <c r="AP27" s="17"/>
      <c r="AR27" s="809" t="s">
        <v>441</v>
      </c>
      <c r="AS27" s="234"/>
      <c r="AT27" s="234"/>
      <c r="AX27" s="234"/>
    </row>
    <row r="28" spans="1:50" s="9" customFormat="1" ht="31.5" hidden="1">
      <c r="A28" s="625" t="s">
        <v>442</v>
      </c>
      <c r="B28" s="625" t="s">
        <v>443</v>
      </c>
      <c r="C28" s="625">
        <v>5363</v>
      </c>
      <c r="D28" s="625" t="s">
        <v>444</v>
      </c>
      <c r="E28" s="625" t="s">
        <v>325</v>
      </c>
      <c r="F28" s="625" t="s">
        <v>445</v>
      </c>
      <c r="G28" s="625" t="s">
        <v>398</v>
      </c>
      <c r="H28" s="625">
        <v>9.9699999999999997E-2</v>
      </c>
      <c r="I28" s="625" t="s">
        <v>228</v>
      </c>
      <c r="J28" s="625">
        <v>111</v>
      </c>
      <c r="K28" s="625"/>
      <c r="L28" s="625"/>
      <c r="M28" s="806">
        <v>0</v>
      </c>
      <c r="N28" s="1534"/>
      <c r="O28" s="1534" t="str">
        <f t="shared" si="9"/>
        <v>ReH 2.995/2021</v>
      </c>
      <c r="P28" s="1543">
        <v>8.7799999999999989E-2</v>
      </c>
      <c r="Q28" s="1534">
        <v>9453809.4927214365</v>
      </c>
      <c r="R28" s="1542">
        <v>44531</v>
      </c>
      <c r="S28" s="1534" t="str">
        <f t="shared" si="10"/>
        <v>Desp. 521/2022</v>
      </c>
      <c r="T28" s="625" t="s">
        <v>446</v>
      </c>
      <c r="U28" s="732" t="s">
        <v>400</v>
      </c>
      <c r="V28" s="625">
        <v>2024</v>
      </c>
      <c r="W28" s="1529">
        <v>2947</v>
      </c>
      <c r="X28" s="1530" t="s">
        <v>342</v>
      </c>
      <c r="Y28" s="625"/>
      <c r="AA28" s="1532" t="s">
        <v>228</v>
      </c>
      <c r="AB28" s="1534">
        <v>58.247314361695402</v>
      </c>
      <c r="AC28" s="1535">
        <v>180.36</v>
      </c>
      <c r="AD28" s="1535">
        <v>2499952.1881573107</v>
      </c>
      <c r="AE28" s="732">
        <v>44430</v>
      </c>
      <c r="AF28" s="732">
        <v>44430</v>
      </c>
      <c r="AG28" s="1534">
        <v>0</v>
      </c>
      <c r="AH28" s="625"/>
      <c r="AI28" s="732">
        <v>41472</v>
      </c>
      <c r="AJ28" s="732">
        <v>42641</v>
      </c>
      <c r="AK28" s="732" t="s">
        <v>335</v>
      </c>
      <c r="AL28" s="732"/>
      <c r="AM28" s="732"/>
      <c r="AN28" s="848"/>
      <c r="AO28" s="234"/>
      <c r="AP28" s="17"/>
      <c r="AR28" s="809" t="s">
        <v>224</v>
      </c>
      <c r="AS28" s="234"/>
      <c r="AT28" s="234"/>
      <c r="AX28" s="234"/>
    </row>
    <row r="29" spans="1:50" s="9" customFormat="1" ht="31.5" hidden="1">
      <c r="A29" s="625" t="s">
        <v>447</v>
      </c>
      <c r="B29" s="625" t="s">
        <v>448</v>
      </c>
      <c r="C29" s="625">
        <v>5364</v>
      </c>
      <c r="D29" s="625" t="s">
        <v>449</v>
      </c>
      <c r="E29" s="625" t="s">
        <v>325</v>
      </c>
      <c r="F29" s="625" t="s">
        <v>450</v>
      </c>
      <c r="G29" s="625" t="s">
        <v>398</v>
      </c>
      <c r="H29" s="625">
        <v>9.9699999999999997E-2</v>
      </c>
      <c r="I29" s="625" t="s">
        <v>228</v>
      </c>
      <c r="J29" s="625">
        <v>111</v>
      </c>
      <c r="K29" s="625"/>
      <c r="L29" s="625"/>
      <c r="M29" s="806">
        <v>0</v>
      </c>
      <c r="N29" s="1534"/>
      <c r="O29" s="1534" t="str">
        <f t="shared" si="9"/>
        <v>ReH 2.995/2021</v>
      </c>
      <c r="P29" s="1543">
        <v>8.8100000000000012E-2</v>
      </c>
      <c r="Q29" s="1534">
        <v>28651980.425397582</v>
      </c>
      <c r="R29" s="1542">
        <v>44531</v>
      </c>
      <c r="S29" s="1534" t="str">
        <f t="shared" si="10"/>
        <v>Desp. 521/2022</v>
      </c>
      <c r="T29" s="625" t="s">
        <v>451</v>
      </c>
      <c r="U29" s="732" t="s">
        <v>452</v>
      </c>
      <c r="V29" s="625">
        <v>2022</v>
      </c>
      <c r="W29" s="1529">
        <v>2951</v>
      </c>
      <c r="X29" s="1530" t="s">
        <v>342</v>
      </c>
      <c r="Y29" s="625"/>
      <c r="AA29" s="1532" t="s">
        <v>228</v>
      </c>
      <c r="AB29" s="1534">
        <v>179.67819908532709</v>
      </c>
      <c r="AC29" s="1535">
        <v>180.36</v>
      </c>
      <c r="AD29" s="1535">
        <v>1205667.8282342954</v>
      </c>
      <c r="AE29" s="732">
        <v>44430</v>
      </c>
      <c r="AF29" s="732">
        <v>44430</v>
      </c>
      <c r="AG29" s="1534">
        <v>0</v>
      </c>
      <c r="AH29" s="625"/>
      <c r="AI29" s="732">
        <v>41365</v>
      </c>
      <c r="AJ29" s="732">
        <v>42641</v>
      </c>
      <c r="AK29" s="732" t="s">
        <v>335</v>
      </c>
      <c r="AL29" s="732"/>
      <c r="AM29" s="732"/>
      <c r="AN29" s="848"/>
      <c r="AO29" s="234"/>
      <c r="AP29" s="17"/>
      <c r="AR29" s="809" t="s">
        <v>435</v>
      </c>
      <c r="AS29" s="234"/>
      <c r="AT29" s="234"/>
      <c r="AX29" s="234"/>
    </row>
    <row r="30" spans="1:50" s="9" customFormat="1" ht="31.5" hidden="1">
      <c r="A30" s="625" t="s">
        <v>453</v>
      </c>
      <c r="B30" s="625" t="s">
        <v>454</v>
      </c>
      <c r="C30" s="625">
        <v>5365</v>
      </c>
      <c r="D30" s="625" t="s">
        <v>455</v>
      </c>
      <c r="E30" s="625" t="s">
        <v>325</v>
      </c>
      <c r="F30" s="625" t="s">
        <v>456</v>
      </c>
      <c r="G30" s="625" t="s">
        <v>398</v>
      </c>
      <c r="H30" s="625">
        <v>9.9699999999999997E-2</v>
      </c>
      <c r="I30" s="625" t="s">
        <v>228</v>
      </c>
      <c r="J30" s="625">
        <v>111</v>
      </c>
      <c r="K30" s="625"/>
      <c r="L30" s="625"/>
      <c r="M30" s="806">
        <v>0</v>
      </c>
      <c r="N30" s="1534"/>
      <c r="O30" s="1534" t="str">
        <f t="shared" si="9"/>
        <v>ReH 2.995/2021</v>
      </c>
      <c r="P30" s="1543">
        <v>8.5999999999999993E-2</v>
      </c>
      <c r="Q30" s="1534">
        <v>22196667.859687008</v>
      </c>
      <c r="R30" s="1542">
        <v>44531</v>
      </c>
      <c r="S30" s="1534" t="str">
        <f t="shared" si="10"/>
        <v>Desp. 521/2022</v>
      </c>
      <c r="T30" s="625" t="s">
        <v>457</v>
      </c>
      <c r="U30" s="732" t="s">
        <v>400</v>
      </c>
      <c r="V30" s="625">
        <v>2024</v>
      </c>
      <c r="W30" s="1529">
        <v>2941</v>
      </c>
      <c r="X30" s="1530" t="s">
        <v>342</v>
      </c>
      <c r="Y30" s="625"/>
      <c r="AA30" s="1532" t="s">
        <v>228</v>
      </c>
      <c r="AB30" s="1534">
        <v>91.699587599428298</v>
      </c>
      <c r="AC30" s="1535">
        <v>180.36</v>
      </c>
      <c r="AD30" s="1535">
        <v>3495955.8527844017</v>
      </c>
      <c r="AE30" s="732">
        <v>44430</v>
      </c>
      <c r="AF30" s="732">
        <v>44430</v>
      </c>
      <c r="AG30" s="1534">
        <v>0</v>
      </c>
      <c r="AH30" s="625"/>
      <c r="AI30" s="732">
        <v>41472</v>
      </c>
      <c r="AJ30" s="732">
        <v>42641</v>
      </c>
      <c r="AK30" s="732" t="s">
        <v>335</v>
      </c>
      <c r="AL30" s="732"/>
      <c r="AM30" s="732"/>
      <c r="AN30" s="848"/>
      <c r="AO30" s="234"/>
      <c r="AP30" s="17"/>
      <c r="AR30" s="809" t="s">
        <v>442</v>
      </c>
      <c r="AS30" s="234"/>
      <c r="AT30" s="234"/>
      <c r="AX30" s="234"/>
    </row>
    <row r="31" spans="1:50" s="9" customFormat="1" ht="31.5" hidden="1">
      <c r="A31" s="625" t="s">
        <v>458</v>
      </c>
      <c r="B31" s="625" t="s">
        <v>459</v>
      </c>
      <c r="C31" s="625">
        <v>5368</v>
      </c>
      <c r="D31" s="625" t="s">
        <v>460</v>
      </c>
      <c r="E31" s="625" t="s">
        <v>325</v>
      </c>
      <c r="F31" s="625" t="s">
        <v>461</v>
      </c>
      <c r="G31" s="625" t="s">
        <v>398</v>
      </c>
      <c r="H31" s="625">
        <v>9.9699999999999997E-2</v>
      </c>
      <c r="I31" s="625" t="s">
        <v>228</v>
      </c>
      <c r="J31" s="625">
        <v>111</v>
      </c>
      <c r="K31" s="625"/>
      <c r="L31" s="625"/>
      <c r="M31" s="806">
        <v>0</v>
      </c>
      <c r="N31" s="1534"/>
      <c r="O31" s="1534" t="str">
        <f t="shared" si="9"/>
        <v>ReH 2.995/2021</v>
      </c>
      <c r="P31" s="1543">
        <v>0.15049999999999999</v>
      </c>
      <c r="Q31" s="1544">
        <v>35954089.405949146</v>
      </c>
      <c r="R31" s="1542">
        <v>44531</v>
      </c>
      <c r="S31" s="1534" t="str">
        <f t="shared" si="10"/>
        <v>Desp. 521/2022</v>
      </c>
      <c r="T31" s="625" t="s">
        <v>462</v>
      </c>
      <c r="U31" s="732" t="s">
        <v>400</v>
      </c>
      <c r="V31" s="625">
        <v>2024</v>
      </c>
      <c r="W31" s="1529">
        <v>2953</v>
      </c>
      <c r="X31" s="1530" t="s">
        <v>342</v>
      </c>
      <c r="Y31" s="625"/>
      <c r="AA31" s="1532" t="s">
        <v>228</v>
      </c>
      <c r="AB31" s="1534">
        <v>61.746716264073157</v>
      </c>
      <c r="AC31" s="1535">
        <v>180.36</v>
      </c>
      <c r="AD31" s="1535">
        <v>18151717.219335504</v>
      </c>
      <c r="AE31" s="732">
        <v>44430</v>
      </c>
      <c r="AF31" s="732">
        <v>44430</v>
      </c>
      <c r="AG31" s="1534">
        <v>0</v>
      </c>
      <c r="AH31" s="625"/>
      <c r="AI31" s="732">
        <v>41472</v>
      </c>
      <c r="AJ31" s="732">
        <v>42641</v>
      </c>
      <c r="AK31" s="732" t="s">
        <v>335</v>
      </c>
      <c r="AL31" s="732"/>
      <c r="AM31" s="732"/>
      <c r="AN31" s="848"/>
      <c r="AO31" s="234"/>
      <c r="AP31" s="17"/>
      <c r="AR31" s="809" t="s">
        <v>214</v>
      </c>
      <c r="AS31" s="234"/>
      <c r="AT31" s="234"/>
      <c r="AX31" s="234"/>
    </row>
    <row r="32" spans="1:50" s="9" customFormat="1" ht="31.5" hidden="1">
      <c r="A32" s="625" t="s">
        <v>463</v>
      </c>
      <c r="B32" s="625" t="s">
        <v>464</v>
      </c>
      <c r="C32" s="625">
        <v>5369</v>
      </c>
      <c r="D32" s="625" t="s">
        <v>465</v>
      </c>
      <c r="E32" s="625" t="s">
        <v>325</v>
      </c>
      <c r="F32" s="625" t="s">
        <v>466</v>
      </c>
      <c r="G32" s="625" t="s">
        <v>398</v>
      </c>
      <c r="H32" s="625">
        <v>9.9699999999999997E-2</v>
      </c>
      <c r="I32" s="625" t="s">
        <v>228</v>
      </c>
      <c r="J32" s="625">
        <v>111</v>
      </c>
      <c r="K32" s="625"/>
      <c r="L32" s="625"/>
      <c r="M32" s="806">
        <v>0</v>
      </c>
      <c r="N32" s="1534"/>
      <c r="O32" s="1534" t="str">
        <f t="shared" si="9"/>
        <v>ReH 2.995/2021</v>
      </c>
      <c r="P32" s="1543">
        <v>8.4100000000000008E-2</v>
      </c>
      <c r="Q32" s="1544">
        <v>13590865.443045003</v>
      </c>
      <c r="R32" s="1542">
        <v>44531</v>
      </c>
      <c r="S32" s="1534" t="str">
        <f t="shared" si="10"/>
        <v>Desp. 521/2022</v>
      </c>
      <c r="T32" s="625" t="s">
        <v>467</v>
      </c>
      <c r="U32" s="732" t="s">
        <v>440</v>
      </c>
      <c r="V32" s="625">
        <v>2025</v>
      </c>
      <c r="W32" s="1529">
        <v>2943</v>
      </c>
      <c r="X32" s="1530" t="s">
        <v>342</v>
      </c>
      <c r="Y32" s="625"/>
      <c r="AA32" s="1532" t="s">
        <v>228</v>
      </c>
      <c r="AB32" s="1534">
        <v>81.509152888329083</v>
      </c>
      <c r="AC32" s="1535">
        <v>180.36</v>
      </c>
      <c r="AD32" s="1535">
        <v>2315515.5721165724</v>
      </c>
      <c r="AE32" s="732">
        <v>44430</v>
      </c>
      <c r="AF32" s="732">
        <v>44430</v>
      </c>
      <c r="AG32" s="1534">
        <v>0</v>
      </c>
      <c r="AH32" s="625"/>
      <c r="AI32" s="732">
        <v>41365</v>
      </c>
      <c r="AJ32" s="732">
        <v>42641</v>
      </c>
      <c r="AK32" s="732" t="s">
        <v>335</v>
      </c>
      <c r="AL32" s="732"/>
      <c r="AM32" s="732"/>
      <c r="AN32" s="848"/>
      <c r="AO32" s="234"/>
      <c r="AP32" s="17"/>
      <c r="AR32" s="809" t="s">
        <v>343</v>
      </c>
      <c r="AS32" s="234"/>
      <c r="AT32" s="234"/>
      <c r="AX32" s="234"/>
    </row>
    <row r="33" spans="1:50" s="9" customFormat="1" ht="31.5" hidden="1">
      <c r="A33" s="625" t="s">
        <v>227</v>
      </c>
      <c r="B33" s="625" t="s">
        <v>468</v>
      </c>
      <c r="C33" s="625">
        <v>5370</v>
      </c>
      <c r="D33" s="625" t="s">
        <v>469</v>
      </c>
      <c r="E33" s="625" t="s">
        <v>325</v>
      </c>
      <c r="F33" s="625" t="s">
        <v>470</v>
      </c>
      <c r="G33" s="625" t="s">
        <v>398</v>
      </c>
      <c r="H33" s="625">
        <v>9.9699999999999997E-2</v>
      </c>
      <c r="I33" s="625" t="s">
        <v>228</v>
      </c>
      <c r="J33" s="625">
        <v>111</v>
      </c>
      <c r="K33" s="625"/>
      <c r="L33" s="625"/>
      <c r="M33" s="806">
        <v>0</v>
      </c>
      <c r="N33" s="1534"/>
      <c r="O33" s="1534" t="str">
        <f t="shared" si="9"/>
        <v>ReH 2.995/2021</v>
      </c>
      <c r="P33" s="1543">
        <v>0.1076</v>
      </c>
      <c r="Q33" s="1544">
        <v>60899756.095931061</v>
      </c>
      <c r="R33" s="1542">
        <v>44531</v>
      </c>
      <c r="S33" s="1534" t="str">
        <f t="shared" si="10"/>
        <v>Desp. 521/2022</v>
      </c>
      <c r="T33" s="625" t="s">
        <v>471</v>
      </c>
      <c r="U33" s="732" t="s">
        <v>400</v>
      </c>
      <c r="V33" s="625">
        <v>2024</v>
      </c>
      <c r="W33" s="1529">
        <v>2937</v>
      </c>
      <c r="X33" s="1530" t="s">
        <v>342</v>
      </c>
      <c r="Y33" s="625"/>
      <c r="AA33" s="1532" t="s">
        <v>228</v>
      </c>
      <c r="AB33" s="1534">
        <v>214.41662426644362</v>
      </c>
      <c r="AC33" s="1535">
        <v>180.36</v>
      </c>
      <c r="AD33" s="1535">
        <v>0</v>
      </c>
      <c r="AE33" s="732">
        <v>44430</v>
      </c>
      <c r="AF33" s="732">
        <v>44430</v>
      </c>
      <c r="AG33" s="1534">
        <v>0</v>
      </c>
      <c r="AH33" s="625"/>
      <c r="AI33" s="732">
        <v>41472</v>
      </c>
      <c r="AJ33" s="732">
        <v>42641</v>
      </c>
      <c r="AK33" s="732" t="s">
        <v>335</v>
      </c>
      <c r="AL33" s="732"/>
      <c r="AM33" s="732"/>
      <c r="AN33" s="848">
        <v>9419991.3800000008</v>
      </c>
      <c r="AO33" s="234"/>
      <c r="AP33" s="17"/>
      <c r="AR33" s="809" t="s">
        <v>349</v>
      </c>
      <c r="AS33" s="234"/>
      <c r="AT33" s="234"/>
      <c r="AX33" s="234"/>
    </row>
    <row r="34" spans="1:50" s="9" customFormat="1" ht="31.5" hidden="1">
      <c r="A34" s="625" t="s">
        <v>472</v>
      </c>
      <c r="B34" s="625" t="s">
        <v>473</v>
      </c>
      <c r="C34" s="625">
        <v>5371</v>
      </c>
      <c r="D34" s="625" t="s">
        <v>474</v>
      </c>
      <c r="E34" s="625" t="s">
        <v>325</v>
      </c>
      <c r="F34" s="625" t="s">
        <v>475</v>
      </c>
      <c r="G34" s="625" t="s">
        <v>398</v>
      </c>
      <c r="H34" s="625">
        <v>9.9699999999999997E-2</v>
      </c>
      <c r="I34" s="625" t="s">
        <v>228</v>
      </c>
      <c r="J34" s="625">
        <v>111</v>
      </c>
      <c r="K34" s="625" t="s">
        <v>476</v>
      </c>
      <c r="L34" s="625">
        <v>144</v>
      </c>
      <c r="M34" s="806">
        <v>0</v>
      </c>
      <c r="N34" s="1534"/>
      <c r="O34" s="1534" t="str">
        <f t="shared" si="9"/>
        <v>ReH 2.995/2021</v>
      </c>
      <c r="P34" s="1543">
        <v>9.5000000000000001E-2</v>
      </c>
      <c r="Q34" s="1534">
        <v>19126030.720523704</v>
      </c>
      <c r="R34" s="1542">
        <v>44531</v>
      </c>
      <c r="S34" s="1534" t="str">
        <f t="shared" si="10"/>
        <v>Desp. 521/2022</v>
      </c>
      <c r="T34" s="625" t="s">
        <v>477</v>
      </c>
      <c r="U34" s="732" t="s">
        <v>478</v>
      </c>
      <c r="V34" s="625">
        <v>2022</v>
      </c>
      <c r="W34" s="1529">
        <v>2948</v>
      </c>
      <c r="X34" s="1530" t="s">
        <v>342</v>
      </c>
      <c r="Y34" s="625"/>
      <c r="AA34" s="1532" t="s">
        <v>228</v>
      </c>
      <c r="AB34" s="1534">
        <v>144.17854635765113</v>
      </c>
      <c r="AC34" s="1535">
        <v>180.36</v>
      </c>
      <c r="AD34" s="1535">
        <v>3162343.6648914311</v>
      </c>
      <c r="AE34" s="732">
        <v>44430</v>
      </c>
      <c r="AF34" s="732">
        <v>44430</v>
      </c>
      <c r="AG34" s="1534">
        <v>0</v>
      </c>
      <c r="AH34" s="625"/>
      <c r="AI34" s="732">
        <v>41365</v>
      </c>
      <c r="AJ34" s="732">
        <v>42641</v>
      </c>
      <c r="AK34" s="732" t="s">
        <v>335</v>
      </c>
      <c r="AL34" s="732"/>
      <c r="AM34" s="732"/>
      <c r="AN34" s="848"/>
      <c r="AO34" s="234"/>
      <c r="AP34" s="17"/>
      <c r="AR34" s="809" t="s">
        <v>356</v>
      </c>
      <c r="AS34" s="234"/>
      <c r="AT34" s="234"/>
      <c r="AX34" s="234"/>
    </row>
    <row r="35" spans="1:50" s="9" customFormat="1" ht="31.5" hidden="1">
      <c r="A35" s="625" t="s">
        <v>479</v>
      </c>
      <c r="B35" s="625" t="s">
        <v>480</v>
      </c>
      <c r="C35" s="625">
        <v>5373</v>
      </c>
      <c r="D35" s="625" t="s">
        <v>481</v>
      </c>
      <c r="E35" s="625" t="s">
        <v>325</v>
      </c>
      <c r="F35" s="625" t="s">
        <v>482</v>
      </c>
      <c r="G35" s="625" t="s">
        <v>398</v>
      </c>
      <c r="H35" s="625">
        <v>9.9699999999999997E-2</v>
      </c>
      <c r="I35" s="625" t="s">
        <v>228</v>
      </c>
      <c r="J35" s="625">
        <v>111</v>
      </c>
      <c r="K35" s="625"/>
      <c r="L35" s="625"/>
      <c r="M35" s="806">
        <v>0</v>
      </c>
      <c r="N35" s="1534"/>
      <c r="O35" s="1534" t="str">
        <f t="shared" si="9"/>
        <v>ReH 2.995/2021</v>
      </c>
      <c r="P35" s="1543">
        <v>0.1487</v>
      </c>
      <c r="Q35" s="1534">
        <v>2738505.6826723199</v>
      </c>
      <c r="R35" s="1542">
        <v>44531</v>
      </c>
      <c r="S35" s="1534" t="str">
        <f t="shared" si="10"/>
        <v>Desp. 521/2022</v>
      </c>
      <c r="T35" s="625" t="s">
        <v>483</v>
      </c>
      <c r="U35" s="732" t="s">
        <v>434</v>
      </c>
      <c r="V35" s="625">
        <v>2024</v>
      </c>
      <c r="W35" s="1529">
        <v>2942</v>
      </c>
      <c r="X35" s="1530" t="s">
        <v>342</v>
      </c>
      <c r="Y35" s="625"/>
      <c r="AA35" s="1532" t="s">
        <v>228</v>
      </c>
      <c r="AB35" s="1534">
        <v>63.276120153090822</v>
      </c>
      <c r="AC35" s="1535">
        <v>180.36</v>
      </c>
      <c r="AD35" s="1535">
        <v>1357439.1316492993</v>
      </c>
      <c r="AE35" s="732">
        <v>44430</v>
      </c>
      <c r="AF35" s="732">
        <v>44430</v>
      </c>
      <c r="AG35" s="1534">
        <v>0</v>
      </c>
      <c r="AH35" s="625"/>
      <c r="AI35" s="732">
        <v>41472</v>
      </c>
      <c r="AJ35" s="732">
        <v>42641</v>
      </c>
      <c r="AK35" s="732" t="s">
        <v>335</v>
      </c>
      <c r="AL35" s="732"/>
      <c r="AM35" s="732"/>
      <c r="AN35" s="848"/>
      <c r="AO35" s="234"/>
      <c r="AP35" s="17"/>
      <c r="AR35" s="809" t="s">
        <v>364</v>
      </c>
      <c r="AS35" s="234"/>
      <c r="AT35" s="234"/>
      <c r="AX35" s="234"/>
    </row>
    <row r="36" spans="1:50" s="9" customFormat="1" ht="31.5" hidden="1">
      <c r="A36" s="625" t="s">
        <v>484</v>
      </c>
      <c r="B36" s="625" t="s">
        <v>485</v>
      </c>
      <c r="C36" s="625">
        <v>7016</v>
      </c>
      <c r="D36" s="625" t="s">
        <v>486</v>
      </c>
      <c r="E36" s="625" t="s">
        <v>325</v>
      </c>
      <c r="F36" s="625" t="s">
        <v>487</v>
      </c>
      <c r="G36" s="625" t="s">
        <v>398</v>
      </c>
      <c r="H36" s="625">
        <v>9.9699999999999997E-2</v>
      </c>
      <c r="I36" s="625" t="s">
        <v>228</v>
      </c>
      <c r="J36" s="625">
        <v>111</v>
      </c>
      <c r="K36" s="625"/>
      <c r="L36" s="625"/>
      <c r="M36" s="806">
        <v>0</v>
      </c>
      <c r="N36" s="1534"/>
      <c r="O36" s="1534" t="str">
        <f t="shared" si="9"/>
        <v>ReH 2.995/2021</v>
      </c>
      <c r="P36" s="1543">
        <v>0.14050000000000001</v>
      </c>
      <c r="Q36" s="1544">
        <v>17300202.805932775</v>
      </c>
      <c r="R36" s="1542">
        <v>44531</v>
      </c>
      <c r="S36" s="1534" t="str">
        <f t="shared" si="10"/>
        <v>Desp. 521/2022</v>
      </c>
      <c r="T36" s="625" t="s">
        <v>488</v>
      </c>
      <c r="U36" s="732" t="s">
        <v>400</v>
      </c>
      <c r="V36" s="625">
        <v>2024</v>
      </c>
      <c r="W36" s="1529">
        <v>2956</v>
      </c>
      <c r="X36" s="1530" t="s">
        <v>342</v>
      </c>
      <c r="Y36" s="625"/>
      <c r="AA36" s="1532" t="s">
        <v>228</v>
      </c>
      <c r="AB36" s="1534">
        <v>49.410527393388534</v>
      </c>
      <c r="AC36" s="1535">
        <v>180.36</v>
      </c>
      <c r="AD36" s="1535">
        <v>6872759.7273220662</v>
      </c>
      <c r="AE36" s="732">
        <v>44430</v>
      </c>
      <c r="AF36" s="732">
        <v>44430</v>
      </c>
      <c r="AG36" s="1534">
        <v>0</v>
      </c>
      <c r="AH36" s="625"/>
      <c r="AI36" s="732">
        <v>41472</v>
      </c>
      <c r="AJ36" s="732">
        <v>42641</v>
      </c>
      <c r="AK36" s="732" t="s">
        <v>335</v>
      </c>
      <c r="AL36" s="732"/>
      <c r="AM36" s="732"/>
      <c r="AN36" s="848"/>
      <c r="AO36" s="234"/>
      <c r="AP36" s="17"/>
      <c r="AR36" s="809" t="s">
        <v>489</v>
      </c>
      <c r="AS36" s="234"/>
      <c r="AT36" s="234"/>
      <c r="AX36" s="234"/>
    </row>
    <row r="37" spans="1:50" s="9" customFormat="1" ht="31.5" hidden="1">
      <c r="A37" s="625" t="s">
        <v>214</v>
      </c>
      <c r="B37" s="625" t="s">
        <v>490</v>
      </c>
      <c r="C37" s="625">
        <v>2763</v>
      </c>
      <c r="D37" s="625" t="s">
        <v>491</v>
      </c>
      <c r="E37" s="625" t="s">
        <v>325</v>
      </c>
      <c r="F37" s="625" t="s">
        <v>492</v>
      </c>
      <c r="G37" s="625" t="s">
        <v>493</v>
      </c>
      <c r="H37" s="625">
        <v>9.9699999999999997E-2</v>
      </c>
      <c r="I37" s="625" t="s">
        <v>245</v>
      </c>
      <c r="J37" s="625">
        <v>167</v>
      </c>
      <c r="K37" s="625"/>
      <c r="L37" s="625"/>
      <c r="M37" s="806">
        <v>0</v>
      </c>
      <c r="N37" s="1534"/>
      <c r="O37" s="1534" t="str">
        <f t="shared" si="9"/>
        <v>ReH 2.995/2021</v>
      </c>
      <c r="P37" s="1543">
        <v>0.21060000000000001</v>
      </c>
      <c r="Q37" s="1534">
        <v>40296212.128956385</v>
      </c>
      <c r="R37" s="1542">
        <v>44531</v>
      </c>
      <c r="S37" s="1534" t="str">
        <f t="shared" si="10"/>
        <v>Desp. 521/2022</v>
      </c>
      <c r="T37" s="625" t="s">
        <v>494</v>
      </c>
      <c r="U37" s="732" t="s">
        <v>495</v>
      </c>
      <c r="V37" s="625">
        <v>2022</v>
      </c>
      <c r="W37" s="1529">
        <v>2917</v>
      </c>
      <c r="X37" s="1530" t="s">
        <v>362</v>
      </c>
      <c r="Y37" s="625"/>
      <c r="AA37" s="1532" t="s">
        <v>245</v>
      </c>
      <c r="AB37" s="1534">
        <v>29.55</v>
      </c>
      <c r="AC37" s="1535">
        <v>108.15</v>
      </c>
      <c r="AD37" s="1535">
        <v>14515437.369999999</v>
      </c>
      <c r="AE37" s="732">
        <v>43270</v>
      </c>
      <c r="AF37" s="732">
        <v>43270</v>
      </c>
      <c r="AG37" s="1534">
        <v>0</v>
      </c>
      <c r="AH37" s="625"/>
      <c r="AI37" s="732">
        <v>41365</v>
      </c>
      <c r="AJ37" s="732">
        <v>42551</v>
      </c>
      <c r="AK37" s="732" t="s">
        <v>335</v>
      </c>
      <c r="AL37" s="732"/>
      <c r="AM37" s="732"/>
      <c r="AN37" s="848">
        <v>2202975.46</v>
      </c>
      <c r="AO37" s="234"/>
      <c r="AP37" s="17"/>
      <c r="AR37" s="809" t="s">
        <v>447</v>
      </c>
      <c r="AS37" s="234"/>
      <c r="AT37" s="234"/>
      <c r="AX37" s="234"/>
    </row>
    <row r="38" spans="1:50" s="9" customFormat="1" ht="31.5" hidden="1">
      <c r="A38" s="625" t="s">
        <v>489</v>
      </c>
      <c r="B38" s="625" t="s">
        <v>496</v>
      </c>
      <c r="C38" s="625">
        <v>2381</v>
      </c>
      <c r="D38" s="625" t="s">
        <v>497</v>
      </c>
      <c r="E38" s="625" t="s">
        <v>325</v>
      </c>
      <c r="F38" s="625" t="s">
        <v>498</v>
      </c>
      <c r="G38" s="625" t="s">
        <v>493</v>
      </c>
      <c r="H38" s="625">
        <v>9.9699999999999997E-2</v>
      </c>
      <c r="I38" s="625" t="s">
        <v>245</v>
      </c>
      <c r="J38" s="625">
        <v>167</v>
      </c>
      <c r="K38" s="625"/>
      <c r="L38" s="625"/>
      <c r="M38" s="806">
        <v>0</v>
      </c>
      <c r="N38" s="1534"/>
      <c r="O38" s="1534" t="str">
        <f t="shared" si="9"/>
        <v>ReH 2.995/2021</v>
      </c>
      <c r="P38" s="1543">
        <v>0.1535</v>
      </c>
      <c r="Q38" s="1534">
        <v>57163108.857696883</v>
      </c>
      <c r="R38" s="1542">
        <v>44531</v>
      </c>
      <c r="S38" s="1534" t="str">
        <f t="shared" si="10"/>
        <v>Desp. 521/2022</v>
      </c>
      <c r="T38" s="625" t="s">
        <v>499</v>
      </c>
      <c r="U38" s="732" t="s">
        <v>500</v>
      </c>
      <c r="V38" s="625">
        <v>2025</v>
      </c>
      <c r="W38" s="1529">
        <v>2904</v>
      </c>
      <c r="X38" s="1530" t="s">
        <v>362</v>
      </c>
      <c r="Y38" s="625"/>
      <c r="AA38" s="1532" t="s">
        <v>245</v>
      </c>
      <c r="AB38" s="1534">
        <v>18.75</v>
      </c>
      <c r="AC38" s="1535">
        <v>108.15</v>
      </c>
      <c r="AD38" s="1535">
        <v>22607799.66</v>
      </c>
      <c r="AE38" s="732">
        <v>43270</v>
      </c>
      <c r="AF38" s="732">
        <v>43270</v>
      </c>
      <c r="AG38" s="1534">
        <v>69.23</v>
      </c>
      <c r="AH38" s="732">
        <v>42917</v>
      </c>
      <c r="AI38" s="732">
        <v>41365</v>
      </c>
      <c r="AJ38" s="732">
        <v>42551</v>
      </c>
      <c r="AK38" s="732" t="s">
        <v>335</v>
      </c>
      <c r="AL38" s="732"/>
      <c r="AM38" s="732"/>
      <c r="AN38" s="848"/>
      <c r="AO38" s="234"/>
      <c r="AP38" s="17"/>
      <c r="AR38" s="809" t="s">
        <v>370</v>
      </c>
      <c r="AS38" s="234"/>
      <c r="AT38" s="234"/>
      <c r="AX38" s="234"/>
    </row>
    <row r="39" spans="1:50" s="9" customFormat="1" ht="31.5" hidden="1">
      <c r="A39" s="625" t="s">
        <v>501</v>
      </c>
      <c r="B39" s="625" t="s">
        <v>502</v>
      </c>
      <c r="C39" s="625">
        <v>3223</v>
      </c>
      <c r="D39" s="625" t="s">
        <v>503</v>
      </c>
      <c r="E39" s="625" t="s">
        <v>325</v>
      </c>
      <c r="F39" s="625" t="s">
        <v>504</v>
      </c>
      <c r="G39" s="625" t="s">
        <v>493</v>
      </c>
      <c r="H39" s="625">
        <v>9.9699999999999997E-2</v>
      </c>
      <c r="I39" s="625" t="s">
        <v>245</v>
      </c>
      <c r="J39" s="625">
        <v>167</v>
      </c>
      <c r="K39" s="625" t="s">
        <v>404</v>
      </c>
      <c r="L39" s="625">
        <v>110</v>
      </c>
      <c r="M39" s="806">
        <v>0</v>
      </c>
      <c r="N39" s="1534"/>
      <c r="O39" s="1534" t="str">
        <f t="shared" si="9"/>
        <v>ReH 2.995/2021</v>
      </c>
      <c r="P39" s="1543">
        <v>0.1507</v>
      </c>
      <c r="Q39" s="1534">
        <v>44907656.56835518</v>
      </c>
      <c r="R39" s="1542">
        <v>44531</v>
      </c>
      <c r="S39" s="1534" t="str">
        <f t="shared" si="10"/>
        <v>Desp. 521/2022</v>
      </c>
      <c r="T39" s="625" t="s">
        <v>505</v>
      </c>
      <c r="U39" s="732" t="s">
        <v>506</v>
      </c>
      <c r="V39" s="625">
        <v>2025</v>
      </c>
      <c r="W39" s="1529">
        <v>2914</v>
      </c>
      <c r="X39" s="1530" t="s">
        <v>362</v>
      </c>
      <c r="Y39" s="625"/>
      <c r="AA39" s="1532" t="s">
        <v>245</v>
      </c>
      <c r="AB39" s="1534">
        <v>23.94</v>
      </c>
      <c r="AC39" s="1535">
        <v>131.34</v>
      </c>
      <c r="AD39" s="1535">
        <v>17583006.989999998</v>
      </c>
      <c r="AE39" s="732">
        <v>43209</v>
      </c>
      <c r="AF39" s="732">
        <v>43270</v>
      </c>
      <c r="AG39" s="1534">
        <v>0</v>
      </c>
      <c r="AH39" s="625"/>
      <c r="AI39" s="732">
        <v>41472</v>
      </c>
      <c r="AJ39" s="732">
        <v>42486</v>
      </c>
      <c r="AK39" s="732" t="s">
        <v>335</v>
      </c>
      <c r="AL39" s="732"/>
      <c r="AM39" s="732"/>
      <c r="AN39" s="848"/>
      <c r="AO39" s="234"/>
      <c r="AP39" s="17"/>
      <c r="AR39" s="809" t="s">
        <v>453</v>
      </c>
      <c r="AS39" s="234"/>
      <c r="AT39" s="234"/>
      <c r="AX39" s="234"/>
    </row>
    <row r="40" spans="1:50" s="9" customFormat="1" ht="31.5" hidden="1">
      <c r="A40" s="625" t="s">
        <v>240</v>
      </c>
      <c r="B40" s="625" t="s">
        <v>507</v>
      </c>
      <c r="C40" s="625">
        <v>7371</v>
      </c>
      <c r="D40" s="625" t="s">
        <v>508</v>
      </c>
      <c r="E40" s="625" t="s">
        <v>325</v>
      </c>
      <c r="F40" s="625" t="s">
        <v>509</v>
      </c>
      <c r="G40" s="625" t="s">
        <v>493</v>
      </c>
      <c r="H40" s="625">
        <v>9.9699999999999997E-2</v>
      </c>
      <c r="I40" s="625" t="s">
        <v>245</v>
      </c>
      <c r="J40" s="625">
        <v>167</v>
      </c>
      <c r="K40" s="625"/>
      <c r="L40" s="625"/>
      <c r="M40" s="806">
        <v>0</v>
      </c>
      <c r="N40" s="1534"/>
      <c r="O40" s="1534" t="str">
        <f t="shared" si="9"/>
        <v>ReH 2.995/2021</v>
      </c>
      <c r="P40" s="1543">
        <v>0.15609999999999999</v>
      </c>
      <c r="Q40" s="1534">
        <v>93567555.592848957</v>
      </c>
      <c r="R40" s="1542">
        <v>44531</v>
      </c>
      <c r="S40" s="1534" t="str">
        <f t="shared" si="10"/>
        <v>Desp. 521/2022</v>
      </c>
      <c r="T40" s="625" t="s">
        <v>510</v>
      </c>
      <c r="U40" s="732" t="s">
        <v>511</v>
      </c>
      <c r="V40" s="625">
        <v>2022</v>
      </c>
      <c r="W40" s="1529">
        <v>2916</v>
      </c>
      <c r="X40" s="1530" t="s">
        <v>362</v>
      </c>
      <c r="Y40" s="625"/>
      <c r="AA40" s="1532" t="s">
        <v>245</v>
      </c>
      <c r="AB40" s="1534">
        <v>68.319999999999993</v>
      </c>
      <c r="AC40" s="1535">
        <v>131.34</v>
      </c>
      <c r="AD40" s="1535">
        <v>13728441.029999999</v>
      </c>
      <c r="AE40" s="732">
        <v>43209</v>
      </c>
      <c r="AF40" s="732">
        <v>43270</v>
      </c>
      <c r="AG40" s="1534">
        <v>0</v>
      </c>
      <c r="AH40" s="625"/>
      <c r="AI40" s="732">
        <v>41365</v>
      </c>
      <c r="AJ40" s="732">
        <v>42547</v>
      </c>
      <c r="AK40" s="732" t="s">
        <v>335</v>
      </c>
      <c r="AL40" s="732"/>
      <c r="AM40" s="732"/>
      <c r="AN40" s="848">
        <v>6350526.4100000001</v>
      </c>
      <c r="AO40" s="234"/>
      <c r="AP40" s="17"/>
      <c r="AR40" s="809" t="s">
        <v>377</v>
      </c>
      <c r="AS40" s="234"/>
      <c r="AT40" s="234"/>
      <c r="AX40" s="234"/>
    </row>
    <row r="41" spans="1:50" s="9" customFormat="1" ht="31.5" hidden="1">
      <c r="A41" s="625" t="s">
        <v>512</v>
      </c>
      <c r="B41" s="625" t="s">
        <v>513</v>
      </c>
      <c r="C41" s="625">
        <v>3627</v>
      </c>
      <c r="D41" s="625" t="s">
        <v>514</v>
      </c>
      <c r="E41" s="625" t="s">
        <v>325</v>
      </c>
      <c r="F41" s="625" t="s">
        <v>515</v>
      </c>
      <c r="G41" s="625" t="s">
        <v>493</v>
      </c>
      <c r="H41" s="625">
        <v>9.9699999999999997E-2</v>
      </c>
      <c r="I41" s="625" t="s">
        <v>245</v>
      </c>
      <c r="J41" s="625">
        <v>167</v>
      </c>
      <c r="K41" s="625"/>
      <c r="L41" s="625"/>
      <c r="M41" s="806">
        <v>0</v>
      </c>
      <c r="N41" s="1534"/>
      <c r="O41" s="1534" t="str">
        <f t="shared" si="9"/>
        <v>ReH 2.995/2021</v>
      </c>
      <c r="P41" s="1543">
        <v>0.1338</v>
      </c>
      <c r="Q41" s="1534">
        <v>35123897.452622667</v>
      </c>
      <c r="R41" s="1542">
        <v>44531</v>
      </c>
      <c r="S41" s="1534" t="str">
        <f t="shared" si="10"/>
        <v>Desp. 521/2022</v>
      </c>
      <c r="T41" s="625" t="s">
        <v>516</v>
      </c>
      <c r="U41" s="732" t="s">
        <v>511</v>
      </c>
      <c r="V41" s="625">
        <v>2025</v>
      </c>
      <c r="W41" s="1529">
        <v>2909</v>
      </c>
      <c r="X41" s="1530" t="s">
        <v>362</v>
      </c>
      <c r="Y41" s="625"/>
      <c r="AA41" s="1532" t="s">
        <v>245</v>
      </c>
      <c r="AB41" s="1534">
        <v>13.93</v>
      </c>
      <c r="AC41" s="1535">
        <v>108.15</v>
      </c>
      <c r="AD41" s="1535">
        <v>18556964.23</v>
      </c>
      <c r="AE41" s="732">
        <v>43270</v>
      </c>
      <c r="AF41" s="732">
        <v>43270</v>
      </c>
      <c r="AG41" s="1534">
        <v>0</v>
      </c>
      <c r="AH41" s="625"/>
      <c r="AI41" s="732">
        <v>41365</v>
      </c>
      <c r="AJ41" s="732">
        <v>42551</v>
      </c>
      <c r="AK41" s="732" t="s">
        <v>335</v>
      </c>
      <c r="AL41" s="732"/>
      <c r="AM41" s="732"/>
      <c r="AN41" s="848"/>
      <c r="AO41" s="234"/>
      <c r="AP41" s="17"/>
      <c r="AR41" s="809" t="s">
        <v>384</v>
      </c>
      <c r="AS41" s="234"/>
      <c r="AT41" s="234"/>
      <c r="AX41" s="234"/>
    </row>
    <row r="42" spans="1:50" s="9" customFormat="1" ht="31.5" hidden="1">
      <c r="A42" s="625" t="s">
        <v>517</v>
      </c>
      <c r="B42" s="625" t="s">
        <v>518</v>
      </c>
      <c r="C42" s="625">
        <v>2351</v>
      </c>
      <c r="D42" s="625" t="s">
        <v>519</v>
      </c>
      <c r="E42" s="625" t="s">
        <v>325</v>
      </c>
      <c r="F42" s="625" t="s">
        <v>520</v>
      </c>
      <c r="G42" s="625" t="s">
        <v>493</v>
      </c>
      <c r="H42" s="625">
        <v>9.9699999999999997E-2</v>
      </c>
      <c r="I42" s="625" t="s">
        <v>245</v>
      </c>
      <c r="J42" s="625">
        <v>167</v>
      </c>
      <c r="K42" s="625"/>
      <c r="L42" s="625"/>
      <c r="M42" s="806">
        <v>0</v>
      </c>
      <c r="N42" s="1534"/>
      <c r="O42" s="1534" t="str">
        <f t="shared" si="9"/>
        <v>ReH 2.995/2021</v>
      </c>
      <c r="P42" s="1543">
        <v>0.1832</v>
      </c>
      <c r="Q42" s="1534">
        <v>118984269.89510354</v>
      </c>
      <c r="R42" s="1542">
        <v>44531</v>
      </c>
      <c r="S42" s="1534" t="str">
        <f t="shared" si="10"/>
        <v>Desp. 521/2022</v>
      </c>
      <c r="T42" s="625" t="s">
        <v>521</v>
      </c>
      <c r="U42" s="732" t="s">
        <v>522</v>
      </c>
      <c r="V42" s="625">
        <v>2025</v>
      </c>
      <c r="W42" s="1529">
        <v>2912</v>
      </c>
      <c r="X42" s="1530" t="s">
        <v>362</v>
      </c>
      <c r="Y42" s="625"/>
      <c r="AA42" s="1532" t="s">
        <v>245</v>
      </c>
      <c r="AB42" s="1534">
        <v>22.64</v>
      </c>
      <c r="AC42" s="1535">
        <v>108.15</v>
      </c>
      <c r="AD42" s="1535">
        <v>55770868.960000001</v>
      </c>
      <c r="AE42" s="732">
        <v>43270</v>
      </c>
      <c r="AF42" s="732">
        <v>43270</v>
      </c>
      <c r="AG42" s="1534">
        <v>0</v>
      </c>
      <c r="AH42" s="625"/>
      <c r="AI42" s="732">
        <v>41365</v>
      </c>
      <c r="AJ42" s="732">
        <v>42551</v>
      </c>
      <c r="AK42" s="732" t="s">
        <v>335</v>
      </c>
      <c r="AL42" s="732"/>
      <c r="AM42" s="732"/>
      <c r="AN42" s="848"/>
      <c r="AO42" s="234"/>
      <c r="AP42" s="17"/>
      <c r="AR42" s="809" t="s">
        <v>523</v>
      </c>
      <c r="AS42" s="234"/>
      <c r="AT42" s="234"/>
      <c r="AX42" s="234"/>
    </row>
    <row r="43" spans="1:50" s="9" customFormat="1" ht="31.5">
      <c r="A43" s="625" t="s">
        <v>213</v>
      </c>
      <c r="B43" s="625" t="s">
        <v>524</v>
      </c>
      <c r="C43" s="625">
        <v>598</v>
      </c>
      <c r="D43" s="625" t="s">
        <v>525</v>
      </c>
      <c r="E43" s="625" t="s">
        <v>325</v>
      </c>
      <c r="F43" s="625" t="s">
        <v>526</v>
      </c>
      <c r="G43" s="625" t="s">
        <v>493</v>
      </c>
      <c r="H43" s="1743">
        <v>8.1942000000000001E-2</v>
      </c>
      <c r="I43" s="625" t="s">
        <v>245</v>
      </c>
      <c r="J43" s="625">
        <v>167</v>
      </c>
      <c r="K43" s="625"/>
      <c r="L43" s="625"/>
      <c r="M43" s="806">
        <v>0</v>
      </c>
      <c r="N43" s="1534"/>
      <c r="O43" s="1534" t="str">
        <f t="shared" si="9"/>
        <v>ReH 2.995/2021</v>
      </c>
      <c r="P43" s="1543">
        <v>0.4078</v>
      </c>
      <c r="Q43" s="1534">
        <v>48668444.767228298</v>
      </c>
      <c r="R43" s="1542">
        <v>44531</v>
      </c>
      <c r="S43" s="1534" t="str">
        <f t="shared" si="10"/>
        <v>Desp. 521/2022</v>
      </c>
      <c r="T43" s="625" t="s">
        <v>527</v>
      </c>
      <c r="U43" s="732" t="s">
        <v>511</v>
      </c>
      <c r="V43" s="625">
        <v>2022</v>
      </c>
      <c r="W43" s="1529">
        <v>2917</v>
      </c>
      <c r="X43" s="1530" t="s">
        <v>362</v>
      </c>
      <c r="Y43" s="625"/>
      <c r="AA43" s="1532" t="s">
        <v>245</v>
      </c>
      <c r="AB43" s="1534">
        <v>20.55</v>
      </c>
      <c r="AC43" s="1535">
        <v>108.15</v>
      </c>
      <c r="AD43" s="1535">
        <v>16127887.460000001</v>
      </c>
      <c r="AE43" s="732">
        <v>43270</v>
      </c>
      <c r="AF43" s="732">
        <v>43270</v>
      </c>
      <c r="AG43" s="1534">
        <v>0</v>
      </c>
      <c r="AH43" s="625"/>
      <c r="AI43" s="732">
        <v>41365</v>
      </c>
      <c r="AJ43" s="732">
        <v>42551</v>
      </c>
      <c r="AK43" s="732" t="s">
        <v>335</v>
      </c>
      <c r="AL43" s="732"/>
      <c r="AM43" s="732"/>
      <c r="AN43" s="848">
        <v>3110206.14</v>
      </c>
      <c r="AO43" s="234"/>
      <c r="AP43" s="17"/>
      <c r="AR43" s="809" t="s">
        <v>458</v>
      </c>
      <c r="AS43" s="234"/>
      <c r="AT43" s="234"/>
      <c r="AX43" s="234"/>
    </row>
    <row r="44" spans="1:50" s="9" customFormat="1" ht="31.5" hidden="1">
      <c r="A44" s="625" t="s">
        <v>528</v>
      </c>
      <c r="B44" s="625" t="s">
        <v>529</v>
      </c>
      <c r="C44" s="625">
        <v>2783</v>
      </c>
      <c r="D44" s="625" t="s">
        <v>530</v>
      </c>
      <c r="E44" s="625" t="s">
        <v>325</v>
      </c>
      <c r="F44" s="625" t="s">
        <v>531</v>
      </c>
      <c r="G44" s="625" t="s">
        <v>493</v>
      </c>
      <c r="H44" s="625">
        <v>9.9699999999999997E-2</v>
      </c>
      <c r="I44" s="625" t="s">
        <v>245</v>
      </c>
      <c r="J44" s="625">
        <v>167</v>
      </c>
      <c r="K44" s="625"/>
      <c r="L44" s="625"/>
      <c r="M44" s="806">
        <v>0</v>
      </c>
      <c r="N44" s="1534"/>
      <c r="O44" s="1534" t="str">
        <f t="shared" si="9"/>
        <v>ReH 2.995/2021</v>
      </c>
      <c r="P44" s="1543">
        <v>0.17430000000000001</v>
      </c>
      <c r="Q44" s="1534">
        <v>23632870.756335247</v>
      </c>
      <c r="R44" s="1542">
        <v>44531</v>
      </c>
      <c r="S44" s="1534" t="str">
        <f t="shared" si="10"/>
        <v>Desp. 521/2022</v>
      </c>
      <c r="T44" s="625" t="s">
        <v>532</v>
      </c>
      <c r="U44" s="732" t="s">
        <v>511</v>
      </c>
      <c r="V44" s="625">
        <v>2022</v>
      </c>
      <c r="W44" s="1529">
        <v>2911</v>
      </c>
      <c r="X44" s="1530" t="s">
        <v>362</v>
      </c>
      <c r="Y44" s="625"/>
      <c r="AA44" s="1532" t="s">
        <v>245</v>
      </c>
      <c r="AB44" s="1534">
        <v>26.42</v>
      </c>
      <c r="AC44" s="1535">
        <v>108.15</v>
      </c>
      <c r="AD44" s="1535">
        <v>7627285.8200000003</v>
      </c>
      <c r="AE44" s="732">
        <v>43270</v>
      </c>
      <c r="AF44" s="732">
        <v>43270</v>
      </c>
      <c r="AG44" s="1534">
        <v>0</v>
      </c>
      <c r="AH44" s="625"/>
      <c r="AI44" s="732">
        <v>41365</v>
      </c>
      <c r="AJ44" s="732">
        <v>42551</v>
      </c>
      <c r="AK44" s="732" t="s">
        <v>335</v>
      </c>
      <c r="AL44" s="732"/>
      <c r="AM44" s="732"/>
      <c r="AN44" s="848"/>
      <c r="AO44" s="234"/>
      <c r="AP44" s="17"/>
      <c r="AR44" s="809" t="s">
        <v>501</v>
      </c>
      <c r="AS44" s="234"/>
      <c r="AT44" s="234"/>
      <c r="AX44" s="234"/>
    </row>
    <row r="45" spans="1:50" s="9" customFormat="1" ht="31.5" hidden="1">
      <c r="A45" s="625" t="s">
        <v>408</v>
      </c>
      <c r="B45" s="625" t="s">
        <v>533</v>
      </c>
      <c r="C45" s="625">
        <v>4248</v>
      </c>
      <c r="D45" s="625" t="s">
        <v>534</v>
      </c>
      <c r="E45" s="625" t="s">
        <v>325</v>
      </c>
      <c r="F45" s="625" t="s">
        <v>535</v>
      </c>
      <c r="G45" s="625" t="s">
        <v>536</v>
      </c>
      <c r="H45" s="625">
        <v>9.9699999999999997E-2</v>
      </c>
      <c r="I45" s="625" t="s">
        <v>537</v>
      </c>
      <c r="J45" s="625">
        <v>132</v>
      </c>
      <c r="K45" s="625"/>
      <c r="L45" s="625"/>
      <c r="M45" s="806">
        <v>0</v>
      </c>
      <c r="N45" s="1534"/>
      <c r="O45" s="1534" t="str">
        <f t="shared" si="9"/>
        <v>ReH 2.995/2021</v>
      </c>
      <c r="P45" s="1543">
        <v>0.2072</v>
      </c>
      <c r="Q45" s="1534">
        <v>5741724.6974191396</v>
      </c>
      <c r="R45" s="1542">
        <v>44531</v>
      </c>
      <c r="S45" s="1534" t="str">
        <f t="shared" si="10"/>
        <v>Desp. 521/2022</v>
      </c>
      <c r="T45" s="625" t="s">
        <v>538</v>
      </c>
      <c r="U45" s="732" t="s">
        <v>400</v>
      </c>
      <c r="V45" s="625">
        <v>2024</v>
      </c>
      <c r="W45" s="1529">
        <v>2908</v>
      </c>
      <c r="X45" s="1530" t="s">
        <v>362</v>
      </c>
      <c r="Y45" s="625"/>
      <c r="AA45" s="1532" t="s">
        <v>537</v>
      </c>
      <c r="AB45" s="1534">
        <v>58.392923981821539</v>
      </c>
      <c r="AC45" s="1535">
        <v>117.43916412021785</v>
      </c>
      <c r="AD45" s="1535">
        <v>1371216.9263933776</v>
      </c>
      <c r="AE45" s="732">
        <v>44371</v>
      </c>
      <c r="AF45" s="732">
        <v>44371</v>
      </c>
      <c r="AG45" s="1534">
        <v>0</v>
      </c>
      <c r="AH45" s="625"/>
      <c r="AI45" s="732">
        <v>41472</v>
      </c>
      <c r="AJ45" s="732">
        <v>42551</v>
      </c>
      <c r="AK45" s="732" t="s">
        <v>335</v>
      </c>
      <c r="AL45" s="732"/>
      <c r="AM45" s="732"/>
      <c r="AN45" s="848"/>
      <c r="AO45" s="234"/>
      <c r="AP45" s="17"/>
      <c r="AR45" s="809" t="s">
        <v>240</v>
      </c>
      <c r="AS45" s="234"/>
      <c r="AT45" s="234"/>
      <c r="AX45" s="234"/>
    </row>
    <row r="46" spans="1:50" s="9" customFormat="1" ht="31.5" hidden="1">
      <c r="A46" s="625" t="s">
        <v>221</v>
      </c>
      <c r="B46" s="625" t="s">
        <v>539</v>
      </c>
      <c r="C46" s="625">
        <v>5274</v>
      </c>
      <c r="D46" s="625" t="s">
        <v>540</v>
      </c>
      <c r="E46" s="625" t="s">
        <v>325</v>
      </c>
      <c r="F46" s="625" t="s">
        <v>541</v>
      </c>
      <c r="G46" s="625" t="s">
        <v>542</v>
      </c>
      <c r="H46" s="625">
        <v>9.9699999999999997E-2</v>
      </c>
      <c r="I46" s="625" t="s">
        <v>202</v>
      </c>
      <c r="J46" s="625">
        <v>103</v>
      </c>
      <c r="K46" s="625"/>
      <c r="L46" s="625"/>
      <c r="M46" s="806">
        <v>0.128</v>
      </c>
      <c r="N46" s="1534"/>
      <c r="O46" s="1534" t="str">
        <f t="shared" si="9"/>
        <v>ReH 2.995/2021</v>
      </c>
      <c r="P46" s="1543">
        <v>7.9699999999999993E-2</v>
      </c>
      <c r="Q46" s="1544">
        <v>9559924.0871568415</v>
      </c>
      <c r="R46" s="1542">
        <v>44531</v>
      </c>
      <c r="S46" s="1534" t="str">
        <f t="shared" si="10"/>
        <v>Desp. 521/2022</v>
      </c>
      <c r="T46" s="625" t="s">
        <v>543</v>
      </c>
      <c r="U46" s="732" t="s">
        <v>332</v>
      </c>
      <c r="V46" s="625">
        <v>2024</v>
      </c>
      <c r="W46" s="1529">
        <v>2865</v>
      </c>
      <c r="X46" s="1530" t="s">
        <v>354</v>
      </c>
      <c r="Y46" s="625"/>
      <c r="AA46" s="1532" t="s">
        <v>544</v>
      </c>
      <c r="AB46" s="1534">
        <v>49.06</v>
      </c>
      <c r="AC46" s="1535">
        <v>187.05</v>
      </c>
      <c r="AD46" s="1535">
        <v>95315.39</v>
      </c>
      <c r="AE46" s="732">
        <v>43174</v>
      </c>
      <c r="AF46" s="732">
        <v>43174</v>
      </c>
      <c r="AG46" s="1534">
        <v>0</v>
      </c>
      <c r="AH46" s="625"/>
      <c r="AI46" s="732">
        <v>41472</v>
      </c>
      <c r="AJ46" s="732">
        <v>42451</v>
      </c>
      <c r="AK46" s="732" t="s">
        <v>335</v>
      </c>
      <c r="AL46" s="732"/>
      <c r="AM46" s="732"/>
      <c r="AN46" s="848">
        <v>940401.96</v>
      </c>
      <c r="AO46" s="234"/>
      <c r="AP46" s="17"/>
      <c r="AR46" s="809" t="s">
        <v>545</v>
      </c>
      <c r="AS46" s="234"/>
      <c r="AT46" s="234"/>
      <c r="AX46" s="234"/>
    </row>
    <row r="47" spans="1:50" s="9" customFormat="1" ht="31.5" hidden="1">
      <c r="A47" s="625" t="s">
        <v>423</v>
      </c>
      <c r="B47" s="625" t="s">
        <v>546</v>
      </c>
      <c r="C47" s="625">
        <v>5377</v>
      </c>
      <c r="D47" s="625" t="s">
        <v>547</v>
      </c>
      <c r="E47" s="625" t="s">
        <v>325</v>
      </c>
      <c r="F47" s="625" t="s">
        <v>548</v>
      </c>
      <c r="G47" s="625" t="s">
        <v>549</v>
      </c>
      <c r="H47" s="625">
        <v>3.7699999999999997E-2</v>
      </c>
      <c r="I47" s="625" t="s">
        <v>550</v>
      </c>
      <c r="J47" s="625">
        <v>155</v>
      </c>
      <c r="K47" s="625"/>
      <c r="L47" s="625"/>
      <c r="M47" s="806">
        <v>0</v>
      </c>
      <c r="N47" s="1534"/>
      <c r="O47" s="1534" t="str">
        <f t="shared" si="9"/>
        <v>ReH 2.995/2021</v>
      </c>
      <c r="P47" s="1543">
        <v>6.2799999999999995E-2</v>
      </c>
      <c r="Q47" s="1534">
        <v>5170019.3743311316</v>
      </c>
      <c r="R47" s="1542">
        <v>44531</v>
      </c>
      <c r="S47" s="1534" t="str">
        <f t="shared" si="10"/>
        <v>Desp. 521/2022</v>
      </c>
      <c r="T47" s="625" t="s">
        <v>551</v>
      </c>
      <c r="U47" s="732" t="s">
        <v>552</v>
      </c>
      <c r="V47" s="625">
        <v>2024</v>
      </c>
      <c r="W47" s="1529">
        <v>2872</v>
      </c>
      <c r="X47" s="1530" t="s">
        <v>382</v>
      </c>
      <c r="Y47" s="1531">
        <v>1.15E-2</v>
      </c>
      <c r="Z47" s="1532">
        <v>-0.02</v>
      </c>
      <c r="AA47" s="1532" t="s">
        <v>233</v>
      </c>
      <c r="AB47" s="1534">
        <v>43</v>
      </c>
      <c r="AC47" s="1535">
        <v>122.01</v>
      </c>
      <c r="AD47" s="1535">
        <v>807332.96</v>
      </c>
      <c r="AE47" s="732">
        <v>43212</v>
      </c>
      <c r="AF47" s="732">
        <v>43212</v>
      </c>
      <c r="AG47" s="1534">
        <v>0</v>
      </c>
      <c r="AH47" s="625"/>
      <c r="AI47" s="732">
        <v>41472</v>
      </c>
      <c r="AJ47" s="732">
        <v>42489</v>
      </c>
      <c r="AK47" s="732" t="s">
        <v>335</v>
      </c>
      <c r="AL47" s="732"/>
      <c r="AM47" s="732"/>
      <c r="AN47" s="848"/>
      <c r="AO47" s="234"/>
      <c r="AP47" s="17"/>
      <c r="AR47" s="809" t="s">
        <v>463</v>
      </c>
      <c r="AS47" s="234"/>
      <c r="AT47" s="234"/>
      <c r="AX47" s="234"/>
    </row>
    <row r="48" spans="1:50" s="9" customFormat="1" ht="31.5" hidden="1">
      <c r="A48" s="625" t="s">
        <v>418</v>
      </c>
      <c r="B48" s="625" t="s">
        <v>553</v>
      </c>
      <c r="C48" s="625">
        <v>5279</v>
      </c>
      <c r="D48" s="625" t="s">
        <v>554</v>
      </c>
      <c r="E48" s="625" t="s">
        <v>325</v>
      </c>
      <c r="F48" s="625" t="s">
        <v>555</v>
      </c>
      <c r="G48" s="625" t="s">
        <v>542</v>
      </c>
      <c r="H48" s="625">
        <v>9.9699999999999997E-2</v>
      </c>
      <c r="I48" s="625" t="s">
        <v>202</v>
      </c>
      <c r="J48" s="625">
        <v>103</v>
      </c>
      <c r="K48" s="625"/>
      <c r="L48" s="625"/>
      <c r="M48" s="806">
        <v>0.1166</v>
      </c>
      <c r="N48" s="1534"/>
      <c r="O48" s="1534" t="str">
        <f t="shared" si="9"/>
        <v>ReH 2.995/2021</v>
      </c>
      <c r="P48" s="1531">
        <v>0.4052</v>
      </c>
      <c r="Q48" s="1534">
        <v>25601019.68723011</v>
      </c>
      <c r="R48" s="1542">
        <v>44531</v>
      </c>
      <c r="S48" s="1534" t="str">
        <f t="shared" si="10"/>
        <v>Desp. 521/2022</v>
      </c>
      <c r="T48" s="1545" t="s">
        <v>556</v>
      </c>
      <c r="U48" s="732" t="s">
        <v>557</v>
      </c>
      <c r="V48" s="625">
        <v>2022</v>
      </c>
      <c r="W48" s="1529">
        <v>2866</v>
      </c>
      <c r="X48" s="1530" t="s">
        <v>354</v>
      </c>
      <c r="Y48" s="1531"/>
      <c r="AA48" s="1532" t="s">
        <v>544</v>
      </c>
      <c r="AB48" s="1536">
        <v>29.23</v>
      </c>
      <c r="AC48" s="1535">
        <v>183.67</v>
      </c>
      <c r="AD48" s="1535">
        <v>3906806.73</v>
      </c>
      <c r="AE48" s="732">
        <v>42809</v>
      </c>
      <c r="AF48" s="732">
        <v>42809</v>
      </c>
      <c r="AG48" s="732" t="s">
        <v>558</v>
      </c>
      <c r="AH48" s="625"/>
      <c r="AI48" s="732"/>
      <c r="AJ48" s="732"/>
      <c r="AK48" s="732" t="s">
        <v>559</v>
      </c>
      <c r="AL48" s="732">
        <v>43374</v>
      </c>
      <c r="AM48" s="1531">
        <v>0.2465</v>
      </c>
      <c r="AN48" s="848">
        <v>939575.3</v>
      </c>
      <c r="AO48" s="234"/>
      <c r="AP48" s="17"/>
      <c r="AR48" s="809" t="s">
        <v>560</v>
      </c>
      <c r="AS48" s="234"/>
      <c r="AT48" s="234"/>
      <c r="AX48" s="234"/>
    </row>
    <row r="49" spans="1:50" s="9" customFormat="1" ht="31.5" hidden="1">
      <c r="A49" s="625" t="s">
        <v>235</v>
      </c>
      <c r="B49" s="625" t="s">
        <v>561</v>
      </c>
      <c r="C49" s="625">
        <v>6603</v>
      </c>
      <c r="D49" s="625" t="s">
        <v>562</v>
      </c>
      <c r="E49" s="625" t="s">
        <v>325</v>
      </c>
      <c r="F49" s="625" t="s">
        <v>563</v>
      </c>
      <c r="G49" s="625" t="s">
        <v>542</v>
      </c>
      <c r="H49" s="625">
        <v>9.9699999999999997E-2</v>
      </c>
      <c r="I49" s="625" t="s">
        <v>202</v>
      </c>
      <c r="J49" s="625">
        <v>103</v>
      </c>
      <c r="K49" s="625"/>
      <c r="L49" s="625"/>
      <c r="M49" s="806">
        <v>0</v>
      </c>
      <c r="N49" s="1534"/>
      <c r="O49" s="1534" t="str">
        <f t="shared" si="9"/>
        <v>ReH 2.995/2021</v>
      </c>
      <c r="P49" s="1531">
        <v>0.4052</v>
      </c>
      <c r="Q49" s="1534">
        <v>10809195.059114244</v>
      </c>
      <c r="R49" s="1542">
        <v>44531</v>
      </c>
      <c r="S49" s="1534" t="str">
        <f t="shared" si="10"/>
        <v>Desp. 521/2022</v>
      </c>
      <c r="T49" s="1545" t="s">
        <v>564</v>
      </c>
      <c r="U49" s="732" t="s">
        <v>565</v>
      </c>
      <c r="V49" s="625">
        <v>2022</v>
      </c>
      <c r="W49" s="1529">
        <v>2867</v>
      </c>
      <c r="X49" s="1530" t="s">
        <v>354</v>
      </c>
      <c r="Y49" s="1531"/>
      <c r="AA49" s="1532" t="s">
        <v>544</v>
      </c>
      <c r="AB49" s="1536">
        <v>30.78</v>
      </c>
      <c r="AC49" s="1535">
        <v>183.67</v>
      </c>
      <c r="AD49" s="1535">
        <v>1224360.38437886</v>
      </c>
      <c r="AE49" s="732">
        <v>42809</v>
      </c>
      <c r="AF49" s="732">
        <v>42809</v>
      </c>
      <c r="AG49" s="732" t="s">
        <v>558</v>
      </c>
      <c r="AH49" s="625"/>
      <c r="AI49" s="732"/>
      <c r="AJ49" s="732"/>
      <c r="AK49" s="732" t="s">
        <v>559</v>
      </c>
      <c r="AL49" s="732">
        <v>43405</v>
      </c>
      <c r="AM49" s="1537">
        <v>0</v>
      </c>
      <c r="AN49" s="848">
        <v>234949.9</v>
      </c>
      <c r="AO49" s="234"/>
      <c r="AP49" s="17"/>
      <c r="AR49" s="809" t="s">
        <v>390</v>
      </c>
      <c r="AS49" s="234"/>
      <c r="AT49" s="234"/>
      <c r="AX49" s="234"/>
    </row>
    <row r="50" spans="1:50" s="9" customFormat="1" ht="31.5" hidden="1">
      <c r="A50" s="625" t="s">
        <v>441</v>
      </c>
      <c r="B50" s="625" t="s">
        <v>566</v>
      </c>
      <c r="C50" s="625">
        <v>504</v>
      </c>
      <c r="D50" s="625" t="s">
        <v>567</v>
      </c>
      <c r="E50" s="625" t="s">
        <v>325</v>
      </c>
      <c r="F50" s="625" t="s">
        <v>568</v>
      </c>
      <c r="G50" s="625" t="s">
        <v>493</v>
      </c>
      <c r="H50" s="625">
        <v>9.9699999999999997E-2</v>
      </c>
      <c r="I50" s="625" t="s">
        <v>245</v>
      </c>
      <c r="J50" s="625">
        <v>167</v>
      </c>
      <c r="K50" s="625"/>
      <c r="L50" s="625"/>
      <c r="M50" s="806">
        <v>0</v>
      </c>
      <c r="N50" s="1534"/>
      <c r="O50" s="1534" t="str">
        <f t="shared" si="9"/>
        <v>ReH 2.995/2021</v>
      </c>
      <c r="P50" s="1531">
        <v>0.36820000000000003</v>
      </c>
      <c r="Q50" s="1534">
        <v>34114621.739632338</v>
      </c>
      <c r="R50" s="1542">
        <v>44531</v>
      </c>
      <c r="S50" s="1534" t="str">
        <f t="shared" si="10"/>
        <v>Desp. 521/2022</v>
      </c>
      <c r="T50" s="1545" t="s">
        <v>569</v>
      </c>
      <c r="U50" s="732" t="s">
        <v>570</v>
      </c>
      <c r="V50" s="625">
        <v>2022</v>
      </c>
      <c r="W50" s="1529">
        <v>2906</v>
      </c>
      <c r="X50" s="1530" t="s">
        <v>362</v>
      </c>
      <c r="Y50" s="1531"/>
      <c r="AA50" s="1532" t="s">
        <v>245</v>
      </c>
      <c r="AB50" s="1536">
        <v>13.9</v>
      </c>
      <c r="AC50" s="1535">
        <v>108.15</v>
      </c>
      <c r="AD50" s="1535">
        <v>16697250.359999999</v>
      </c>
      <c r="AE50" s="732">
        <v>43270</v>
      </c>
      <c r="AF50" s="732">
        <v>43270</v>
      </c>
      <c r="AG50" s="732" t="s">
        <v>558</v>
      </c>
      <c r="AH50" s="625"/>
      <c r="AI50" s="732"/>
      <c r="AJ50" s="732"/>
      <c r="AK50" s="732" t="s">
        <v>559</v>
      </c>
      <c r="AL50" s="732">
        <v>43405</v>
      </c>
      <c r="AM50" s="732"/>
      <c r="AN50" s="848"/>
      <c r="AO50" s="234"/>
      <c r="AP50" s="17"/>
      <c r="AR50" s="809" t="s">
        <v>571</v>
      </c>
      <c r="AS50" s="234"/>
      <c r="AT50" s="234"/>
      <c r="AX50" s="234"/>
    </row>
    <row r="51" spans="1:50" s="9" customFormat="1" ht="31.5" hidden="1">
      <c r="A51" s="625" t="s">
        <v>545</v>
      </c>
      <c r="B51" s="625" t="s">
        <v>572</v>
      </c>
      <c r="C51" s="625">
        <v>527</v>
      </c>
      <c r="D51" s="625" t="s">
        <v>573</v>
      </c>
      <c r="E51" s="625" t="s">
        <v>325</v>
      </c>
      <c r="F51" s="625" t="s">
        <v>574</v>
      </c>
      <c r="G51" s="625" t="s">
        <v>493</v>
      </c>
      <c r="H51" s="625">
        <v>3.7699999999999997E-2</v>
      </c>
      <c r="I51" s="625" t="s">
        <v>245</v>
      </c>
      <c r="J51" s="625">
        <v>167</v>
      </c>
      <c r="K51" s="625"/>
      <c r="L51" s="625"/>
      <c r="M51" s="806">
        <v>0</v>
      </c>
      <c r="N51" s="1534"/>
      <c r="O51" s="1534" t="str">
        <f t="shared" si="9"/>
        <v>ReH 2.995/2021</v>
      </c>
      <c r="P51" s="1531">
        <v>0.36820000000000003</v>
      </c>
      <c r="Q51" s="1534">
        <v>19676334.273381419</v>
      </c>
      <c r="R51" s="1542">
        <v>44531</v>
      </c>
      <c r="S51" s="1534" t="str">
        <f t="shared" si="10"/>
        <v>Desp. 521/2022</v>
      </c>
      <c r="T51" s="1545" t="s">
        <v>575</v>
      </c>
      <c r="U51" s="732" t="s">
        <v>576</v>
      </c>
      <c r="V51" s="625">
        <v>2022</v>
      </c>
      <c r="W51" s="1529">
        <v>2907</v>
      </c>
      <c r="X51" s="1530" t="s">
        <v>362</v>
      </c>
      <c r="Y51" s="1531"/>
      <c r="AA51" s="1532" t="s">
        <v>245</v>
      </c>
      <c r="AB51" s="1536">
        <v>17.5</v>
      </c>
      <c r="AC51" s="1535">
        <v>108.15</v>
      </c>
      <c r="AD51" s="1535">
        <v>8473358.1899999995</v>
      </c>
      <c r="AE51" s="732">
        <v>43270</v>
      </c>
      <c r="AF51" s="732">
        <v>43270</v>
      </c>
      <c r="AG51" s="732" t="s">
        <v>558</v>
      </c>
      <c r="AH51" s="625"/>
      <c r="AI51" s="732"/>
      <c r="AJ51" s="732"/>
      <c r="AK51" s="732" t="s">
        <v>559</v>
      </c>
      <c r="AL51" s="732">
        <v>43405</v>
      </c>
      <c r="AM51" s="732"/>
      <c r="AN51" s="848"/>
      <c r="AO51" s="234"/>
      <c r="AP51" s="17"/>
      <c r="AR51" s="809" t="s">
        <v>227</v>
      </c>
      <c r="AS51" s="234"/>
      <c r="AT51" s="234"/>
      <c r="AX51" s="234"/>
    </row>
    <row r="52" spans="1:50" s="9" customFormat="1" ht="31.5" hidden="1">
      <c r="A52" s="625" t="s">
        <v>336</v>
      </c>
      <c r="B52" s="625" t="s">
        <v>577</v>
      </c>
      <c r="C52" s="625">
        <v>11825</v>
      </c>
      <c r="D52" s="625" t="s">
        <v>578</v>
      </c>
      <c r="E52" s="625" t="s">
        <v>325</v>
      </c>
      <c r="F52" s="625" t="s">
        <v>579</v>
      </c>
      <c r="G52" s="625" t="s">
        <v>536</v>
      </c>
      <c r="H52" s="625">
        <v>9.9699999999999997E-2</v>
      </c>
      <c r="I52" s="625" t="s">
        <v>580</v>
      </c>
      <c r="J52" s="625">
        <v>132</v>
      </c>
      <c r="K52" s="625"/>
      <c r="L52" s="625"/>
      <c r="M52" s="808">
        <v>0</v>
      </c>
      <c r="N52" s="1534"/>
      <c r="O52" s="1534" t="str">
        <f t="shared" si="9"/>
        <v>ReH 2.995/2021</v>
      </c>
      <c r="P52" s="1531">
        <v>0.30030000000000001</v>
      </c>
      <c r="Q52" s="1534">
        <v>3990174.7268110593</v>
      </c>
      <c r="R52" s="1542">
        <v>44531</v>
      </c>
      <c r="S52" s="1534" t="str">
        <f t="shared" si="10"/>
        <v>Desp. 521/2022</v>
      </c>
      <c r="T52" s="1545" t="s">
        <v>581</v>
      </c>
      <c r="U52" s="732" t="s">
        <v>582</v>
      </c>
      <c r="V52" s="625">
        <v>2022</v>
      </c>
      <c r="W52" s="1529">
        <v>2905</v>
      </c>
      <c r="X52" s="1530" t="s">
        <v>362</v>
      </c>
      <c r="Y52" s="1531"/>
      <c r="AA52" s="1532" t="s">
        <v>537</v>
      </c>
      <c r="AB52" s="1536">
        <v>108.32837360722637</v>
      </c>
      <c r="AC52" s="1535">
        <v>117.43916412021785</v>
      </c>
      <c r="AD52" s="1535">
        <v>0</v>
      </c>
      <c r="AE52" s="732">
        <v>44371</v>
      </c>
      <c r="AF52" s="732">
        <v>44371</v>
      </c>
      <c r="AG52" s="732" t="s">
        <v>558</v>
      </c>
      <c r="AH52" s="625"/>
      <c r="AI52" s="732"/>
      <c r="AJ52" s="732"/>
      <c r="AK52" s="732" t="s">
        <v>559</v>
      </c>
      <c r="AL52" s="732">
        <v>43405</v>
      </c>
      <c r="AM52" s="732"/>
      <c r="AN52" s="848"/>
      <c r="AO52" s="234"/>
      <c r="AP52" s="17"/>
      <c r="AR52" s="809" t="s">
        <v>472</v>
      </c>
      <c r="AS52" s="234"/>
      <c r="AT52" s="234"/>
      <c r="AX52" s="234"/>
    </row>
    <row r="53" spans="1:50" s="9" customFormat="1" ht="31.5" hidden="1">
      <c r="A53" s="625" t="s">
        <v>560</v>
      </c>
      <c r="B53" s="625" t="s">
        <v>583</v>
      </c>
      <c r="C53" s="625">
        <v>5375</v>
      </c>
      <c r="D53" s="625" t="s">
        <v>584</v>
      </c>
      <c r="E53" s="625" t="s">
        <v>325</v>
      </c>
      <c r="F53" s="625" t="s">
        <v>585</v>
      </c>
      <c r="G53" s="625" t="s">
        <v>327</v>
      </c>
      <c r="H53" s="625">
        <v>9.9699999999999997E-2</v>
      </c>
      <c r="I53" s="625" t="s">
        <v>586</v>
      </c>
      <c r="J53" s="625">
        <v>145</v>
      </c>
      <c r="K53" s="625" t="s">
        <v>587</v>
      </c>
      <c r="L53" s="625">
        <v>136</v>
      </c>
      <c r="M53" s="808">
        <v>0</v>
      </c>
      <c r="N53" s="1534"/>
      <c r="O53" s="1534" t="str">
        <f t="shared" si="9"/>
        <v>ReH 2.995/2021</v>
      </c>
      <c r="P53" s="1531">
        <v>0.26960000000000001</v>
      </c>
      <c r="Q53" s="1534">
        <v>9179104.7891964447</v>
      </c>
      <c r="R53" s="1542">
        <v>44531</v>
      </c>
      <c r="S53" s="1534" t="str">
        <f t="shared" si="10"/>
        <v>Desp. 521/2022</v>
      </c>
      <c r="T53" s="1545" t="s">
        <v>588</v>
      </c>
      <c r="U53" s="732" t="s">
        <v>589</v>
      </c>
      <c r="V53" s="625">
        <v>2022</v>
      </c>
      <c r="W53" s="1529">
        <v>2945</v>
      </c>
      <c r="X53" s="1530" t="s">
        <v>342</v>
      </c>
      <c r="Y53" s="1531"/>
      <c r="AA53" s="1532" t="s">
        <v>586</v>
      </c>
      <c r="AB53" s="1536">
        <v>56.75</v>
      </c>
      <c r="AC53" s="1535">
        <v>133.91999999999999</v>
      </c>
      <c r="AD53" s="1535">
        <v>1818143.6</v>
      </c>
      <c r="AE53" s="732">
        <v>43678</v>
      </c>
      <c r="AF53" s="732">
        <v>43678</v>
      </c>
      <c r="AG53" s="732" t="s">
        <v>558</v>
      </c>
      <c r="AH53" s="625"/>
      <c r="AI53" s="732"/>
      <c r="AJ53" s="732"/>
      <c r="AK53" s="732" t="s">
        <v>559</v>
      </c>
      <c r="AL53" s="732">
        <v>43466</v>
      </c>
      <c r="AM53" s="732"/>
      <c r="AN53" s="848"/>
      <c r="AO53" s="234"/>
      <c r="AP53" s="17"/>
      <c r="AR53" s="809" t="s">
        <v>512</v>
      </c>
      <c r="AS53" s="234"/>
      <c r="AT53" s="234"/>
      <c r="AX53" s="234"/>
    </row>
    <row r="54" spans="1:50" s="9" customFormat="1" ht="31.5" hidden="1">
      <c r="A54" s="625" t="s">
        <v>225</v>
      </c>
      <c r="B54" s="625" t="s">
        <v>590</v>
      </c>
      <c r="C54" s="625">
        <v>5356</v>
      </c>
      <c r="D54" s="625" t="s">
        <v>591</v>
      </c>
      <c r="E54" s="625" t="s">
        <v>325</v>
      </c>
      <c r="F54" s="625" t="s">
        <v>592</v>
      </c>
      <c r="G54" s="625" t="s">
        <v>398</v>
      </c>
      <c r="H54" s="625">
        <v>9.9699999999999997E-2</v>
      </c>
      <c r="I54" s="625" t="s">
        <v>593</v>
      </c>
      <c r="J54" s="625">
        <v>111</v>
      </c>
      <c r="K54" s="625"/>
      <c r="L54" s="625"/>
      <c r="M54" s="808">
        <v>0</v>
      </c>
      <c r="N54" s="1534"/>
      <c r="O54" s="1534" t="str">
        <f t="shared" si="9"/>
        <v>ReH 2.995/2021</v>
      </c>
      <c r="P54" s="1531">
        <v>0.26719999999999999</v>
      </c>
      <c r="Q54" s="1534">
        <v>12311896.529185077</v>
      </c>
      <c r="R54" s="1542">
        <v>44531</v>
      </c>
      <c r="S54" s="1534" t="str">
        <f t="shared" si="10"/>
        <v>Desp. 521/2022</v>
      </c>
      <c r="T54" s="1545" t="s">
        <v>594</v>
      </c>
      <c r="U54" s="732" t="s">
        <v>595</v>
      </c>
      <c r="V54" s="625">
        <v>2022</v>
      </c>
      <c r="W54" s="1529">
        <v>2938</v>
      </c>
      <c r="X54" s="1530" t="s">
        <v>342</v>
      </c>
      <c r="Y54" s="1531"/>
      <c r="AA54" s="1532" t="s">
        <v>593</v>
      </c>
      <c r="AB54" s="1536">
        <v>349.3569320960537</v>
      </c>
      <c r="AC54" s="1535">
        <v>180.36</v>
      </c>
      <c r="AD54" s="1535">
        <v>0</v>
      </c>
      <c r="AE54" s="732">
        <v>44430</v>
      </c>
      <c r="AF54" s="732">
        <v>44430</v>
      </c>
      <c r="AG54" s="732" t="s">
        <v>558</v>
      </c>
      <c r="AH54" s="625"/>
      <c r="AI54" s="732"/>
      <c r="AJ54" s="732"/>
      <c r="AK54" s="732" t="s">
        <v>559</v>
      </c>
      <c r="AL54" s="732">
        <v>43435</v>
      </c>
      <c r="AM54" s="732"/>
      <c r="AN54" s="848"/>
      <c r="AO54" s="234"/>
      <c r="AP54" s="17"/>
      <c r="AR54" s="809" t="s">
        <v>479</v>
      </c>
      <c r="AS54" s="234"/>
      <c r="AT54" s="234"/>
      <c r="AX54" s="234"/>
    </row>
    <row r="55" spans="1:50" s="9" customFormat="1" ht="31.5" hidden="1">
      <c r="A55" s="625" t="s">
        <v>523</v>
      </c>
      <c r="B55" s="625" t="s">
        <v>596</v>
      </c>
      <c r="C55" s="625">
        <v>7883</v>
      </c>
      <c r="D55" s="625" t="s">
        <v>597</v>
      </c>
      <c r="E55" s="625" t="s">
        <v>325</v>
      </c>
      <c r="F55" s="625" t="s">
        <v>598</v>
      </c>
      <c r="G55" s="625" t="s">
        <v>398</v>
      </c>
      <c r="H55" s="625">
        <v>9.9699999999999997E-2</v>
      </c>
      <c r="I55" s="625" t="s">
        <v>593</v>
      </c>
      <c r="J55" s="625">
        <v>111</v>
      </c>
      <c r="K55" s="625"/>
      <c r="L55" s="625"/>
      <c r="M55" s="808">
        <v>0</v>
      </c>
      <c r="N55" s="1534"/>
      <c r="O55" s="1534" t="str">
        <f t="shared" si="9"/>
        <v>ReH 2.995/2021</v>
      </c>
      <c r="P55" s="1531">
        <v>0.26719999999999999</v>
      </c>
      <c r="Q55" s="1534">
        <v>2747645.1312338929</v>
      </c>
      <c r="R55" s="1542">
        <v>44531</v>
      </c>
      <c r="S55" s="1534" t="str">
        <f t="shared" si="10"/>
        <v>Desp. 521/2022</v>
      </c>
      <c r="T55" s="1545" t="s">
        <v>599</v>
      </c>
      <c r="U55" s="732" t="s">
        <v>600</v>
      </c>
      <c r="V55" s="625">
        <v>2022</v>
      </c>
      <c r="W55" s="1529">
        <v>2952</v>
      </c>
      <c r="X55" s="1530" t="s">
        <v>342</v>
      </c>
      <c r="Y55" s="1531"/>
      <c r="AA55" s="1532" t="s">
        <v>593</v>
      </c>
      <c r="AB55" s="1536">
        <v>66.75041888804266</v>
      </c>
      <c r="AC55" s="1535">
        <v>180.36</v>
      </c>
      <c r="AD55" s="1535">
        <v>1128622.9917918474</v>
      </c>
      <c r="AE55" s="732">
        <v>44430</v>
      </c>
      <c r="AF55" s="732">
        <v>44430</v>
      </c>
      <c r="AG55" s="732" t="s">
        <v>558</v>
      </c>
      <c r="AH55" s="625"/>
      <c r="AI55" s="732"/>
      <c r="AJ55" s="732"/>
      <c r="AK55" s="732" t="s">
        <v>559</v>
      </c>
      <c r="AL55" s="732">
        <v>43435</v>
      </c>
      <c r="AM55" s="732"/>
      <c r="AN55" s="848"/>
      <c r="AO55" s="234"/>
      <c r="AP55" s="17"/>
      <c r="AR55" s="809" t="s">
        <v>601</v>
      </c>
      <c r="AS55" s="234"/>
      <c r="AT55" s="234"/>
      <c r="AX55" s="234"/>
    </row>
    <row r="56" spans="1:50" s="9" customFormat="1" ht="31.5" hidden="1">
      <c r="A56" s="625" t="s">
        <v>571</v>
      </c>
      <c r="B56" s="625" t="s">
        <v>602</v>
      </c>
      <c r="C56" s="625">
        <v>11763</v>
      </c>
      <c r="D56" s="625" t="s">
        <v>603</v>
      </c>
      <c r="E56" s="625" t="s">
        <v>325</v>
      </c>
      <c r="F56" s="625" t="s">
        <v>604</v>
      </c>
      <c r="G56" s="625" t="s">
        <v>398</v>
      </c>
      <c r="H56" s="625">
        <v>9.9699999999999997E-2</v>
      </c>
      <c r="I56" s="625" t="s">
        <v>593</v>
      </c>
      <c r="J56" s="625">
        <v>111</v>
      </c>
      <c r="K56" s="625"/>
      <c r="L56" s="625"/>
      <c r="M56" s="808">
        <v>0</v>
      </c>
      <c r="N56" s="1534"/>
      <c r="O56" s="1534" t="str">
        <f t="shared" si="9"/>
        <v>ReH 2.995/2021</v>
      </c>
      <c r="P56" s="1531">
        <v>0.26719999999999999</v>
      </c>
      <c r="Q56" s="1534">
        <v>4273903.2129018996</v>
      </c>
      <c r="R56" s="1542">
        <v>44531</v>
      </c>
      <c r="S56" s="1534" t="str">
        <f t="shared" si="10"/>
        <v>Desp. 521/2022</v>
      </c>
      <c r="T56" s="1545" t="s">
        <v>605</v>
      </c>
      <c r="U56" s="732" t="s">
        <v>606</v>
      </c>
      <c r="V56" s="625">
        <v>2022</v>
      </c>
      <c r="W56" s="1529">
        <v>2954</v>
      </c>
      <c r="X56" s="1530" t="s">
        <v>342</v>
      </c>
      <c r="Y56" s="1531"/>
      <c r="AA56" s="1532" t="s">
        <v>593</v>
      </c>
      <c r="AB56" s="1536">
        <v>340.16724180581309</v>
      </c>
      <c r="AC56" s="1535">
        <v>180.36</v>
      </c>
      <c r="AD56" s="1535">
        <v>0</v>
      </c>
      <c r="AE56" s="732">
        <v>44430</v>
      </c>
      <c r="AF56" s="732">
        <v>44430</v>
      </c>
      <c r="AG56" s="732" t="s">
        <v>558</v>
      </c>
      <c r="AH56" s="625"/>
      <c r="AI56" s="732"/>
      <c r="AJ56" s="732"/>
      <c r="AK56" s="732" t="s">
        <v>559</v>
      </c>
      <c r="AL56" s="732">
        <v>43466</v>
      </c>
      <c r="AM56" s="732"/>
      <c r="AN56" s="848"/>
      <c r="AO56" s="234"/>
      <c r="AP56" s="17"/>
      <c r="AR56" s="625" t="s">
        <v>607</v>
      </c>
      <c r="AS56" s="234"/>
      <c r="AT56" s="234"/>
      <c r="AX56" s="234"/>
    </row>
    <row r="57" spans="1:50" s="9" customFormat="1" ht="31.5" hidden="1">
      <c r="A57" s="625" t="s">
        <v>608</v>
      </c>
      <c r="B57" s="625" t="s">
        <v>609</v>
      </c>
      <c r="C57" s="625">
        <v>5374</v>
      </c>
      <c r="D57" s="625" t="s">
        <v>610</v>
      </c>
      <c r="E57" s="625" t="s">
        <v>325</v>
      </c>
      <c r="F57" s="625" t="s">
        <v>611</v>
      </c>
      <c r="G57" s="625" t="s">
        <v>398</v>
      </c>
      <c r="H57" s="625">
        <v>9.9699999999999997E-2</v>
      </c>
      <c r="I57" s="625" t="s">
        <v>593</v>
      </c>
      <c r="J57" s="625">
        <v>111</v>
      </c>
      <c r="K57" s="625"/>
      <c r="L57" s="625"/>
      <c r="M57" s="808">
        <v>0</v>
      </c>
      <c r="N57" s="1534"/>
      <c r="O57" s="1534" t="str">
        <f t="shared" si="9"/>
        <v>ReH 2.995/2021</v>
      </c>
      <c r="P57" s="1531">
        <v>0.26719999999999999</v>
      </c>
      <c r="Q57" s="1534">
        <v>14887159.462181535</v>
      </c>
      <c r="R57" s="1542">
        <v>44531</v>
      </c>
      <c r="S57" s="1534" t="str">
        <f t="shared" si="10"/>
        <v>Desp. 521/2022</v>
      </c>
      <c r="T57" s="1545" t="s">
        <v>612</v>
      </c>
      <c r="U57" s="732" t="s">
        <v>613</v>
      </c>
      <c r="V57" s="625">
        <v>2022</v>
      </c>
      <c r="W57" s="1529">
        <v>2955</v>
      </c>
      <c r="X57" s="1530" t="s">
        <v>342</v>
      </c>
      <c r="Y57" s="1531"/>
      <c r="AA57" s="1532" t="s">
        <v>593</v>
      </c>
      <c r="AB57" s="1536">
        <v>42.479589945809131</v>
      </c>
      <c r="AC57" s="1535">
        <v>180.36</v>
      </c>
      <c r="AD57" s="1535">
        <v>4958818.1676888634</v>
      </c>
      <c r="AE57" s="732">
        <v>44430</v>
      </c>
      <c r="AF57" s="732">
        <v>44430</v>
      </c>
      <c r="AG57" s="732" t="s">
        <v>558</v>
      </c>
      <c r="AH57" s="625"/>
      <c r="AI57" s="732"/>
      <c r="AJ57" s="732"/>
      <c r="AK57" s="732" t="s">
        <v>559</v>
      </c>
      <c r="AL57" s="732">
        <v>43435</v>
      </c>
      <c r="AM57" s="732"/>
      <c r="AN57" s="848"/>
      <c r="AO57" s="234"/>
      <c r="AP57" s="17"/>
      <c r="AR57" s="875" t="s">
        <v>614</v>
      </c>
      <c r="AS57" s="234"/>
      <c r="AT57" s="234"/>
      <c r="AX57" s="234"/>
    </row>
    <row r="58" spans="1:50" s="9" customFormat="1" ht="31.5" hidden="1">
      <c r="A58" s="625" t="s">
        <v>607</v>
      </c>
      <c r="B58" s="625" t="s">
        <v>615</v>
      </c>
      <c r="C58" s="625">
        <v>5346</v>
      </c>
      <c r="D58" s="625" t="s">
        <v>616</v>
      </c>
      <c r="E58" s="625" t="s">
        <v>325</v>
      </c>
      <c r="F58" s="625" t="s">
        <v>617</v>
      </c>
      <c r="G58" s="625" t="s">
        <v>493</v>
      </c>
      <c r="H58" s="625">
        <v>9.9699999999999997E-2</v>
      </c>
      <c r="I58" s="625" t="s">
        <v>404</v>
      </c>
      <c r="J58" s="625">
        <v>110</v>
      </c>
      <c r="K58" s="625"/>
      <c r="L58" s="625"/>
      <c r="M58" s="808">
        <v>0</v>
      </c>
      <c r="N58" s="1534"/>
      <c r="O58" s="1534" t="str">
        <f t="shared" si="9"/>
        <v>ReH 2.995/2021</v>
      </c>
      <c r="P58" s="1531">
        <v>0.29220000000000002</v>
      </c>
      <c r="Q58" s="1534">
        <v>12150493.896013878</v>
      </c>
      <c r="R58" s="1542">
        <v>44531</v>
      </c>
      <c r="S58" s="1534" t="str">
        <f t="shared" si="10"/>
        <v>Desp. 521/2022</v>
      </c>
      <c r="T58" s="625" t="s">
        <v>618</v>
      </c>
      <c r="U58" s="732" t="s">
        <v>619</v>
      </c>
      <c r="V58" s="625">
        <v>2022</v>
      </c>
      <c r="W58" s="1529">
        <v>2993</v>
      </c>
      <c r="X58" s="1530" t="s">
        <v>407</v>
      </c>
      <c r="Y58" s="625"/>
      <c r="AA58" s="1532" t="s">
        <v>404</v>
      </c>
      <c r="AB58" s="1534">
        <v>12.14</v>
      </c>
      <c r="AC58" s="1535">
        <v>127.47</v>
      </c>
      <c r="AD58" s="1535">
        <v>10002090.66</v>
      </c>
      <c r="AE58" s="732">
        <v>44501</v>
      </c>
      <c r="AF58" s="732">
        <v>44522</v>
      </c>
      <c r="AG58" s="732"/>
      <c r="AH58" s="625"/>
      <c r="AI58" s="732"/>
      <c r="AJ58" s="732"/>
      <c r="AK58" s="732" t="s">
        <v>559</v>
      </c>
      <c r="AL58" s="732">
        <v>43525</v>
      </c>
      <c r="AM58" s="732"/>
      <c r="AN58" s="848"/>
      <c r="AO58" s="234"/>
      <c r="AP58" s="17"/>
      <c r="AR58" s="809" t="s">
        <v>484</v>
      </c>
      <c r="AS58" s="234"/>
      <c r="AT58" s="234"/>
      <c r="AX58" s="234"/>
    </row>
    <row r="59" spans="1:50" s="9" customFormat="1" ht="31.5" hidden="1">
      <c r="A59" s="625" t="s">
        <v>601</v>
      </c>
      <c r="B59" s="625" t="s">
        <v>620</v>
      </c>
      <c r="C59" s="625">
        <v>5345</v>
      </c>
      <c r="D59" s="625" t="s">
        <v>621</v>
      </c>
      <c r="E59" s="625" t="s">
        <v>325</v>
      </c>
      <c r="F59" s="625" t="s">
        <v>622</v>
      </c>
      <c r="G59" s="625" t="s">
        <v>493</v>
      </c>
      <c r="H59" s="625">
        <v>9.9699999999999997E-2</v>
      </c>
      <c r="I59" s="625" t="s">
        <v>404</v>
      </c>
      <c r="J59" s="625">
        <v>110</v>
      </c>
      <c r="K59" s="625"/>
      <c r="L59" s="625"/>
      <c r="M59" s="808">
        <v>0</v>
      </c>
      <c r="N59" s="1534"/>
      <c r="O59" s="1534" t="str">
        <f t="shared" si="9"/>
        <v>ReH 2.995/2021</v>
      </c>
      <c r="P59" s="1531">
        <v>0.29220000000000002</v>
      </c>
      <c r="Q59" s="1534">
        <v>12126674.039789611</v>
      </c>
      <c r="R59" s="1542">
        <v>44531</v>
      </c>
      <c r="S59" s="1534" t="str">
        <f t="shared" si="10"/>
        <v>Desp. 521/2022</v>
      </c>
      <c r="T59" s="625" t="s">
        <v>623</v>
      </c>
      <c r="U59" s="732" t="s">
        <v>624</v>
      </c>
      <c r="V59" s="625">
        <v>2022</v>
      </c>
      <c r="W59" s="1529">
        <v>2999</v>
      </c>
      <c r="X59" s="1530" t="s">
        <v>407</v>
      </c>
      <c r="Y59" s="625"/>
      <c r="AA59" s="1532" t="s">
        <v>404</v>
      </c>
      <c r="AB59" s="1534">
        <v>24.63</v>
      </c>
      <c r="AC59" s="1535">
        <v>127.47</v>
      </c>
      <c r="AD59" s="1535">
        <v>5510422.0099999998</v>
      </c>
      <c r="AE59" s="732">
        <v>44197</v>
      </c>
      <c r="AF59" s="732">
        <v>44522</v>
      </c>
      <c r="AG59" s="732"/>
      <c r="AH59" s="625"/>
      <c r="AI59" s="732"/>
      <c r="AJ59" s="732"/>
      <c r="AK59" s="732" t="s">
        <v>559</v>
      </c>
      <c r="AL59" s="732">
        <v>43525</v>
      </c>
      <c r="AM59" s="732"/>
      <c r="AN59" s="848"/>
      <c r="AO59" s="234"/>
      <c r="AP59" s="17"/>
      <c r="AR59" s="809" t="s">
        <v>517</v>
      </c>
      <c r="AS59" s="234"/>
      <c r="AT59" s="234"/>
      <c r="AX59" s="234"/>
    </row>
    <row r="60" spans="1:50" s="9" customFormat="1" ht="31.5" hidden="1">
      <c r="A60" s="625" t="s">
        <v>376</v>
      </c>
      <c r="B60" s="625" t="s">
        <v>625</v>
      </c>
      <c r="C60" s="625">
        <v>7467</v>
      </c>
      <c r="D60" s="625" t="s">
        <v>626</v>
      </c>
      <c r="E60" s="625" t="s">
        <v>325</v>
      </c>
      <c r="F60" s="625" t="s">
        <v>627</v>
      </c>
      <c r="G60" s="625" t="s">
        <v>327</v>
      </c>
      <c r="H60" s="625">
        <v>9.9699999999999997E-2</v>
      </c>
      <c r="I60" s="625" t="s">
        <v>189</v>
      </c>
      <c r="J60" s="625">
        <v>136</v>
      </c>
      <c r="K60" s="625" t="s">
        <v>203</v>
      </c>
      <c r="L60" s="625">
        <v>145</v>
      </c>
      <c r="M60" s="808">
        <v>0</v>
      </c>
      <c r="N60" s="1534"/>
      <c r="O60" s="1534" t="str">
        <f t="shared" si="9"/>
        <v>ReH 2.995/2021</v>
      </c>
      <c r="P60" s="1531">
        <v>0.31130000000000002</v>
      </c>
      <c r="Q60" s="1534">
        <v>26138615.684229702</v>
      </c>
      <c r="R60" s="1542">
        <v>44531</v>
      </c>
      <c r="S60" s="1534" t="str">
        <f t="shared" si="10"/>
        <v>Desp. 521/2022</v>
      </c>
      <c r="T60" s="625" t="s">
        <v>628</v>
      </c>
      <c r="U60" s="732" t="s">
        <v>629</v>
      </c>
      <c r="V60" s="625">
        <v>2023</v>
      </c>
      <c r="W60" s="1529">
        <v>2871</v>
      </c>
      <c r="X60" s="1530" t="s">
        <v>382</v>
      </c>
      <c r="Y60" s="625"/>
      <c r="AA60" s="1532" t="s">
        <v>189</v>
      </c>
      <c r="AB60" s="1534">
        <v>109.7</v>
      </c>
      <c r="AC60" s="1535">
        <v>237.88</v>
      </c>
      <c r="AD60" s="1535">
        <v>7537395.7800000003</v>
      </c>
      <c r="AE60" s="732">
        <v>43198</v>
      </c>
      <c r="AF60" s="732">
        <v>43198</v>
      </c>
      <c r="AG60" s="732"/>
      <c r="AH60" s="625"/>
      <c r="AI60" s="732"/>
      <c r="AJ60" s="732"/>
      <c r="AK60" s="732" t="s">
        <v>559</v>
      </c>
      <c r="AL60" s="732">
        <v>43614</v>
      </c>
      <c r="AM60" s="1538">
        <v>0</v>
      </c>
      <c r="AN60" s="848"/>
      <c r="AR60" s="809" t="s">
        <v>213</v>
      </c>
      <c r="AS60" s="234"/>
      <c r="AT60" s="234"/>
      <c r="AX60" s="234"/>
    </row>
    <row r="61" spans="1:50" ht="31.5" hidden="1">
      <c r="A61" s="506" t="s">
        <v>369</v>
      </c>
      <c r="B61" s="506" t="s">
        <v>630</v>
      </c>
      <c r="C61" s="506">
        <v>5343</v>
      </c>
      <c r="D61" s="625" t="s">
        <v>631</v>
      </c>
      <c r="E61" s="506" t="s">
        <v>325</v>
      </c>
      <c r="F61" s="506" t="s">
        <v>632</v>
      </c>
      <c r="G61" s="506" t="s">
        <v>493</v>
      </c>
      <c r="H61" s="506">
        <v>9.9699999999999997E-2</v>
      </c>
      <c r="I61" s="506" t="s">
        <v>245</v>
      </c>
      <c r="J61" s="506">
        <v>167</v>
      </c>
      <c r="K61" s="506" t="s">
        <v>633</v>
      </c>
      <c r="L61" s="506">
        <v>164</v>
      </c>
      <c r="M61" s="849">
        <v>0</v>
      </c>
      <c r="N61" s="848"/>
      <c r="O61" s="1534" t="str">
        <f t="shared" si="9"/>
        <v>ReH 2.995/2021</v>
      </c>
      <c r="P61" s="1546">
        <v>0.3589</v>
      </c>
      <c r="Q61" s="848">
        <v>45272621.042895459</v>
      </c>
      <c r="R61" s="1542">
        <v>44531</v>
      </c>
      <c r="S61" s="1534" t="str">
        <f t="shared" si="10"/>
        <v>Desp. 521/2022</v>
      </c>
      <c r="T61" s="732">
        <v>43831</v>
      </c>
      <c r="U61" s="850" t="s">
        <v>634</v>
      </c>
      <c r="V61" s="506">
        <v>2022</v>
      </c>
      <c r="W61" s="1539">
        <v>2913</v>
      </c>
      <c r="X61" s="506" t="s">
        <v>362</v>
      </c>
      <c r="Y61" s="506"/>
      <c r="AA61" s="1540" t="s">
        <v>245</v>
      </c>
      <c r="AB61" s="848">
        <v>16.32</v>
      </c>
      <c r="AC61" s="1541">
        <v>131.34</v>
      </c>
      <c r="AD61" s="1541">
        <v>22619960.88284716</v>
      </c>
      <c r="AE61" s="850">
        <v>43209</v>
      </c>
      <c r="AF61" s="850">
        <v>43270</v>
      </c>
      <c r="AG61" s="506"/>
      <c r="AH61" s="850"/>
      <c r="AI61" s="850"/>
      <c r="AJ61" s="850"/>
      <c r="AK61" s="732" t="s">
        <v>635</v>
      </c>
      <c r="AL61" s="850">
        <v>44105</v>
      </c>
      <c r="AM61" s="850"/>
      <c r="AN61" s="848"/>
      <c r="AR61" s="625" t="s">
        <v>528</v>
      </c>
      <c r="AS61" s="843"/>
      <c r="AX61" s="843"/>
    </row>
    <row r="62" spans="1:50">
      <c r="AD62" s="775"/>
    </row>
    <row r="64" spans="1:50">
      <c r="B64">
        <v>6896</v>
      </c>
    </row>
    <row r="66" spans="1:14">
      <c r="A66" s="651" t="s">
        <v>636</v>
      </c>
    </row>
    <row r="68" spans="1:14">
      <c r="A68" s="507" t="s">
        <v>637</v>
      </c>
      <c r="B68" s="507" t="s">
        <v>25</v>
      </c>
      <c r="C68" s="507" t="s">
        <v>638</v>
      </c>
      <c r="D68" s="507" t="s">
        <v>639</v>
      </c>
      <c r="E68" s="507" t="s">
        <v>640</v>
      </c>
      <c r="F68" s="507" t="s">
        <v>641</v>
      </c>
      <c r="G68" s="507" t="s">
        <v>642</v>
      </c>
      <c r="H68" s="507" t="s">
        <v>643</v>
      </c>
      <c r="I68" s="507" t="s">
        <v>644</v>
      </c>
      <c r="J68" s="507" t="s">
        <v>645</v>
      </c>
      <c r="K68" s="511" t="s">
        <v>646</v>
      </c>
      <c r="L68" s="507" t="s">
        <v>647</v>
      </c>
      <c r="M68" s="511" t="s">
        <v>648</v>
      </c>
      <c r="N68" s="511" t="s">
        <v>649</v>
      </c>
    </row>
    <row r="69" spans="1:14" hidden="1">
      <c r="A69" s="480" t="s">
        <v>322</v>
      </c>
      <c r="B69" s="625" t="s">
        <v>328</v>
      </c>
      <c r="C69" s="480">
        <v>104</v>
      </c>
      <c r="D69" s="480">
        <v>391</v>
      </c>
      <c r="E69" s="480" t="s">
        <v>650</v>
      </c>
      <c r="F69" s="480" t="str">
        <f>CONCATENATE(DescontosTE[[#This Row],[Permissionária]],DescontosTE[[#This Row],[codsariSUP]],DescontosTE[[#This Row],[Classe]])</f>
        <v>Cedrap391A4</v>
      </c>
      <c r="G69" s="508">
        <v>0.85740000000000005</v>
      </c>
      <c r="H69" s="508">
        <v>0.64305000000000001</v>
      </c>
      <c r="I69" s="508">
        <v>0.33069999999999999</v>
      </c>
      <c r="J69" s="510">
        <v>0.33069999999999999</v>
      </c>
      <c r="K69" s="678">
        <v>0.26350000000000001</v>
      </c>
      <c r="L69" s="851">
        <v>0</v>
      </c>
      <c r="M69" s="851">
        <v>0</v>
      </c>
    </row>
    <row r="70" spans="1:14" hidden="1">
      <c r="A70" s="480" t="s">
        <v>322</v>
      </c>
      <c r="B70" s="480" t="s">
        <v>203</v>
      </c>
      <c r="C70" s="480">
        <v>145</v>
      </c>
      <c r="D70" s="480">
        <v>385</v>
      </c>
      <c r="E70" s="480" t="s">
        <v>650</v>
      </c>
      <c r="F70" s="480" t="str">
        <f>CONCATENATE(DescontosTE[[#This Row],[Permissionária]],DescontosTE[[#This Row],[codsariSUP]],DescontosTE[[#This Row],[Classe]])</f>
        <v>Cedrap385A4</v>
      </c>
      <c r="G70" s="508">
        <v>0.81920000000000004</v>
      </c>
      <c r="H70" s="508">
        <v>0.61440000000000006</v>
      </c>
      <c r="I70" s="508">
        <v>0.33069999999999999</v>
      </c>
      <c r="J70" s="510">
        <v>0.33069999999999999</v>
      </c>
      <c r="K70" s="678">
        <v>0.26350000000000001</v>
      </c>
      <c r="L70" s="851">
        <v>0</v>
      </c>
      <c r="M70" s="851">
        <v>0</v>
      </c>
    </row>
    <row r="71" spans="1:14" hidden="1">
      <c r="A71" s="480" t="s">
        <v>226</v>
      </c>
      <c r="B71" s="480" t="s">
        <v>203</v>
      </c>
      <c r="C71" s="480">
        <v>145</v>
      </c>
      <c r="D71" s="480">
        <v>385</v>
      </c>
      <c r="E71" s="480" t="s">
        <v>650</v>
      </c>
      <c r="F71" s="480" t="str">
        <f>CONCATENATE(DescontosTE[[#This Row],[Permissionária]],DescontosTE[[#This Row],[codsariSUP]],DescontosTE[[#This Row],[Classe]])</f>
        <v>Cedri385A4</v>
      </c>
      <c r="G71" s="508">
        <v>0.62490000000000001</v>
      </c>
      <c r="H71" s="508">
        <v>0.46867500000000001</v>
      </c>
      <c r="I71" s="508">
        <v>0.45379999999999998</v>
      </c>
      <c r="J71" s="510">
        <v>0.45379999999999998</v>
      </c>
      <c r="K71" s="678">
        <v>0</v>
      </c>
      <c r="L71" s="851">
        <v>0</v>
      </c>
      <c r="M71" s="851">
        <v>0</v>
      </c>
    </row>
    <row r="72" spans="1:14" hidden="1">
      <c r="A72" s="480" t="s">
        <v>363</v>
      </c>
      <c r="B72" s="480" t="s">
        <v>228</v>
      </c>
      <c r="C72" s="480">
        <v>111</v>
      </c>
      <c r="D72" s="480">
        <v>5697</v>
      </c>
      <c r="E72" s="480" t="s">
        <v>650</v>
      </c>
      <c r="F72" s="480" t="str">
        <f>CONCATENATE(DescontosTE[[#This Row],[Permissionária]],DescontosTE[[#This Row],[codsariSUP]],DescontosTE[[#This Row],[Classe]])</f>
        <v>Cejama5697A4</v>
      </c>
      <c r="G72" s="508">
        <v>0.53426551936078681</v>
      </c>
      <c r="H72" s="508">
        <v>0.40069913952059011</v>
      </c>
      <c r="I72" s="508">
        <v>0.40069913952059011</v>
      </c>
      <c r="J72" s="510">
        <v>0.4007</v>
      </c>
      <c r="K72" s="678">
        <v>0.22989999999999999</v>
      </c>
      <c r="L72" s="851">
        <v>0</v>
      </c>
      <c r="M72" s="851">
        <v>0</v>
      </c>
    </row>
    <row r="73" spans="1:14" hidden="1">
      <c r="A73" s="480" t="s">
        <v>363</v>
      </c>
      <c r="B73" s="485" t="s">
        <v>458</v>
      </c>
      <c r="C73" s="480">
        <v>228</v>
      </c>
      <c r="D73" s="480">
        <v>5368</v>
      </c>
      <c r="E73" s="480" t="s">
        <v>650</v>
      </c>
      <c r="F73" s="480" t="str">
        <f>CONCATENATE(DescontosTE[[#This Row],[Permissionária]],DescontosTE[[#This Row],[codsariSUP]],DescontosTE[[#This Row],[Classe]])</f>
        <v>Cejama5368A4</v>
      </c>
      <c r="G73" s="678">
        <v>0</v>
      </c>
      <c r="H73" s="678">
        <v>0</v>
      </c>
      <c r="I73" s="678">
        <v>0</v>
      </c>
      <c r="J73" s="509">
        <v>0</v>
      </c>
      <c r="K73" s="678">
        <v>0</v>
      </c>
      <c r="L73" s="851">
        <v>0</v>
      </c>
      <c r="M73" s="851">
        <v>0</v>
      </c>
    </row>
    <row r="74" spans="1:14" hidden="1">
      <c r="A74" s="480" t="s">
        <v>383</v>
      </c>
      <c r="B74" s="480" t="s">
        <v>651</v>
      </c>
      <c r="C74" s="480">
        <v>110</v>
      </c>
      <c r="D74" s="480">
        <v>5707</v>
      </c>
      <c r="E74" s="480" t="s">
        <v>650</v>
      </c>
      <c r="F74" s="480" t="str">
        <f>CONCATENATE(DescontosTE[[#This Row],[Permissionária]],DescontosTE[[#This Row],[codsariSUP]],DescontosTE[[#This Row],[Classe]])</f>
        <v>Ceprag5707A4</v>
      </c>
      <c r="G74" s="508">
        <v>0.57969814099024475</v>
      </c>
      <c r="H74" s="508">
        <v>0.57969814099024475</v>
      </c>
      <c r="I74" s="508">
        <v>0.57969814099024475</v>
      </c>
      <c r="J74" s="508">
        <v>0.57969814099024475</v>
      </c>
      <c r="K74" s="678">
        <v>0.30859999999999999</v>
      </c>
      <c r="L74" s="851">
        <v>0</v>
      </c>
      <c r="M74" s="1510">
        <v>0</v>
      </c>
    </row>
    <row r="75" spans="1:14" hidden="1">
      <c r="A75" s="480" t="s">
        <v>383</v>
      </c>
      <c r="B75" s="480" t="s">
        <v>228</v>
      </c>
      <c r="C75" s="480">
        <v>111</v>
      </c>
      <c r="D75" s="480">
        <v>5697</v>
      </c>
      <c r="E75" s="480" t="s">
        <v>652</v>
      </c>
      <c r="F75" s="480" t="str">
        <f>CONCATENATE(DescontosTE[[#This Row],[Permissionária]],DescontosTE[[#This Row],[codsariSUP]],DescontosTE[[#This Row],[Classe]])</f>
        <v>Ceprag5697A3</v>
      </c>
      <c r="G75" s="508">
        <v>0.54564975934838955</v>
      </c>
      <c r="H75" s="508">
        <v>0.54564975934838955</v>
      </c>
      <c r="I75" s="508">
        <v>0.54564975934838955</v>
      </c>
      <c r="J75" s="508">
        <v>0.54564975934838955</v>
      </c>
      <c r="K75" s="678">
        <v>0.30859999999999999</v>
      </c>
      <c r="L75" s="851">
        <v>0.29099999999999998</v>
      </c>
      <c r="M75" s="1511">
        <v>0</v>
      </c>
    </row>
    <row r="76" spans="1:14" hidden="1">
      <c r="A76" s="480" t="s">
        <v>389</v>
      </c>
      <c r="B76" s="480" t="s">
        <v>228</v>
      </c>
      <c r="C76" s="480">
        <v>111</v>
      </c>
      <c r="D76" s="480">
        <v>5697</v>
      </c>
      <c r="E76" s="480" t="s">
        <v>650</v>
      </c>
      <c r="F76" s="480" t="str">
        <f>CONCATENATE(DescontosTE[[#This Row],[Permissionária]],DescontosTE[[#This Row],[codsariSUP]],DescontosTE[[#This Row],[Classe]])</f>
        <v>Ceraçá5697A4</v>
      </c>
      <c r="G76" s="508">
        <v>0.89512907191149349</v>
      </c>
      <c r="H76" s="508">
        <v>0.67134680393362012</v>
      </c>
      <c r="I76" s="508">
        <v>0.67134680393362012</v>
      </c>
      <c r="J76" s="510">
        <v>0.65039999999999998</v>
      </c>
      <c r="K76" s="678">
        <v>0.57469999999999999</v>
      </c>
      <c r="L76" s="851">
        <v>0.56379999999999997</v>
      </c>
      <c r="M76" s="1511">
        <v>0.54410000000000003</v>
      </c>
    </row>
    <row r="77" spans="1:14" hidden="1">
      <c r="A77" s="480" t="s">
        <v>223</v>
      </c>
      <c r="B77" s="480" t="s">
        <v>413</v>
      </c>
      <c r="C77" s="480">
        <v>220</v>
      </c>
      <c r="D77" s="480">
        <v>6898</v>
      </c>
      <c r="E77" s="480" t="s">
        <v>650</v>
      </c>
      <c r="F77" s="480" t="str">
        <f>CONCATENATE(DescontosTE[[#This Row],[Permissionária]],DescontosTE[[#This Row],[codsariSUP]],DescontosTE[[#This Row],[Classe]])</f>
        <v>Ceral Anitápolis6898A4</v>
      </c>
      <c r="G77" s="508">
        <v>0.90610167159661548</v>
      </c>
      <c r="H77" s="508">
        <v>0.67957625369746166</v>
      </c>
      <c r="I77" s="508">
        <v>0.222</v>
      </c>
      <c r="J77" s="510">
        <v>0.1933</v>
      </c>
      <c r="K77" s="678">
        <v>0.1933</v>
      </c>
      <c r="L77" s="851">
        <v>0</v>
      </c>
      <c r="M77" s="851">
        <v>0</v>
      </c>
    </row>
    <row r="78" spans="1:14" hidden="1">
      <c r="A78" s="480" t="s">
        <v>408</v>
      </c>
      <c r="B78" s="480" t="s">
        <v>653</v>
      </c>
      <c r="C78" s="480">
        <v>132</v>
      </c>
      <c r="D78" s="480">
        <v>2866</v>
      </c>
      <c r="E78" s="480" t="s">
        <v>650</v>
      </c>
      <c r="F78" s="480" t="str">
        <f>CONCATENATE(DescontosTE[[#This Row],[Permissionária]],DescontosTE[[#This Row],[codsariSUP]],DescontosTE[[#This Row],[Classe]])</f>
        <v>Ceral Dis2866A4</v>
      </c>
      <c r="G78" s="508">
        <v>0.73094654242275625</v>
      </c>
      <c r="H78" s="508">
        <v>0.54820990681706716</v>
      </c>
      <c r="I78" s="508">
        <v>0.40820000000000001</v>
      </c>
      <c r="J78" s="510">
        <v>0.40816629218792566</v>
      </c>
      <c r="K78" s="678">
        <v>0.38150000000000001</v>
      </c>
      <c r="L78" s="851">
        <v>0.2326</v>
      </c>
      <c r="M78" s="1511">
        <v>0.2326</v>
      </c>
    </row>
    <row r="79" spans="1:14" hidden="1">
      <c r="A79" s="480" t="s">
        <v>408</v>
      </c>
      <c r="B79" s="480" t="s">
        <v>653</v>
      </c>
      <c r="C79" s="480">
        <v>132</v>
      </c>
      <c r="D79" s="480">
        <v>2866</v>
      </c>
      <c r="E79" s="480" t="s">
        <v>654</v>
      </c>
      <c r="F79" s="480" t="str">
        <f>CONCATENATE(DescontosTE[[#This Row],[Permissionária]],DescontosTE[[#This Row],[codsariSUP]],DescontosTE[[#This Row],[Classe]])</f>
        <v>Ceral Dis2866A3a</v>
      </c>
      <c r="G79" s="508">
        <v>0.73094654242275625</v>
      </c>
      <c r="H79" s="508">
        <v>0.54820990681706716</v>
      </c>
      <c r="I79" s="508">
        <v>0.40820000000000001</v>
      </c>
      <c r="J79" s="510">
        <v>0.40816629218792566</v>
      </c>
      <c r="K79" s="678">
        <v>0.38150000000000001</v>
      </c>
      <c r="L79" s="851">
        <v>0.2326</v>
      </c>
      <c r="M79" s="1511">
        <v>0.2326</v>
      </c>
    </row>
    <row r="80" spans="1:14" hidden="1">
      <c r="A80" s="480" t="s">
        <v>413</v>
      </c>
      <c r="B80" s="480" t="s">
        <v>228</v>
      </c>
      <c r="C80" s="480">
        <v>111</v>
      </c>
      <c r="D80" s="480">
        <v>5697</v>
      </c>
      <c r="E80" s="480" t="s">
        <v>655</v>
      </c>
      <c r="F80" s="480" t="str">
        <f>CONCATENATE(DescontosTE[[#This Row],[Permissionária]],DescontosTE[[#This Row],[codsariSUP]],DescontosTE[[#This Row],[Classe]])</f>
        <v>Cerbranorte5697A2</v>
      </c>
      <c r="G80" s="508">
        <v>0.47579901659496004</v>
      </c>
      <c r="H80" s="508">
        <v>0.35684926244622006</v>
      </c>
      <c r="I80" s="508">
        <v>0.35684926244622006</v>
      </c>
      <c r="J80" s="510">
        <v>0.34470000000000001</v>
      </c>
      <c r="K80" s="678">
        <v>0.1027</v>
      </c>
      <c r="L80" s="851">
        <v>9.9400000000000002E-2</v>
      </c>
      <c r="M80" s="1511">
        <v>0</v>
      </c>
    </row>
    <row r="81" spans="1:14" hidden="1">
      <c r="A81" s="480" t="s">
        <v>413</v>
      </c>
      <c r="B81" s="480" t="s">
        <v>228</v>
      </c>
      <c r="C81" s="480">
        <v>111</v>
      </c>
      <c r="D81" s="480">
        <v>5697</v>
      </c>
      <c r="E81" s="480" t="s">
        <v>650</v>
      </c>
      <c r="F81" s="480" t="str">
        <f>CONCATENATE(DescontosTE[[#This Row],[Permissionária]],DescontosTE[[#This Row],[codsariSUP]],DescontosTE[[#This Row],[Classe]])</f>
        <v>Cerbranorte5697A4</v>
      </c>
      <c r="G81" s="508">
        <v>0.47579901659496004</v>
      </c>
      <c r="H81" s="508">
        <v>0.35684926244622006</v>
      </c>
      <c r="I81" s="508">
        <v>0.35684926244622006</v>
      </c>
      <c r="J81" s="510">
        <v>0.34470000000000001</v>
      </c>
      <c r="K81" s="678">
        <v>0.1027</v>
      </c>
      <c r="L81" s="851">
        <v>9.9400000000000002E-2</v>
      </c>
      <c r="M81" s="1511">
        <v>0</v>
      </c>
    </row>
    <row r="82" spans="1:14" hidden="1">
      <c r="A82" s="480" t="s">
        <v>423</v>
      </c>
      <c r="B82" s="480" t="s">
        <v>656</v>
      </c>
      <c r="C82" s="480">
        <v>155</v>
      </c>
      <c r="D82" s="480">
        <v>6587</v>
      </c>
      <c r="E82" s="480" t="s">
        <v>650</v>
      </c>
      <c r="F82" s="480" t="str">
        <f>CONCATENATE(DescontosTE[[#This Row],[Permissionária]],DescontosTE[[#This Row],[codsariSUP]],DescontosTE[[#This Row],[Classe]])</f>
        <v>Cercos6587A4</v>
      </c>
      <c r="G82" s="508">
        <v>0.71649852236828693</v>
      </c>
      <c r="H82" s="508">
        <v>0.5373738917762152</v>
      </c>
      <c r="I82" s="508">
        <v>0.35820000000000002</v>
      </c>
      <c r="J82" s="510">
        <v>0</v>
      </c>
      <c r="K82" s="678">
        <v>0</v>
      </c>
      <c r="L82" s="851">
        <v>0</v>
      </c>
      <c r="M82" s="851">
        <v>0</v>
      </c>
    </row>
    <row r="83" spans="1:14" hidden="1">
      <c r="A83" s="480" t="s">
        <v>424</v>
      </c>
      <c r="B83" s="480" t="s">
        <v>228</v>
      </c>
      <c r="C83" s="480">
        <v>111</v>
      </c>
      <c r="D83" s="480">
        <v>5697</v>
      </c>
      <c r="E83" s="480" t="s">
        <v>650</v>
      </c>
      <c r="F83" s="480" t="str">
        <f>CONCATENATE(DescontosTE[[#This Row],[Permissionária]],DescontosTE[[#This Row],[codsariSUP]],DescontosTE[[#This Row],[Classe]])</f>
        <v>Cerej5697A4</v>
      </c>
      <c r="G83" s="508">
        <v>0.89474492931776273</v>
      </c>
      <c r="H83" s="508">
        <v>0.6710586969883221</v>
      </c>
      <c r="I83" s="508">
        <v>0.6710586969883221</v>
      </c>
      <c r="J83" s="510">
        <v>0.67110000000000003</v>
      </c>
      <c r="K83" s="678">
        <v>0.67110000000000003</v>
      </c>
      <c r="L83" s="851">
        <v>0.63749999999999996</v>
      </c>
      <c r="M83" s="1511">
        <v>0.41699999999999998</v>
      </c>
    </row>
    <row r="84" spans="1:14" hidden="1">
      <c r="A84" s="480" t="s">
        <v>221</v>
      </c>
      <c r="B84" s="485" t="s">
        <v>202</v>
      </c>
      <c r="C84" s="480">
        <v>103</v>
      </c>
      <c r="D84" s="480">
        <v>383</v>
      </c>
      <c r="E84" s="480" t="s">
        <v>650</v>
      </c>
      <c r="F84" s="480" t="str">
        <f>CONCATENATE(DescontosTE[[#This Row],[Permissionária]],DescontosTE[[#This Row],[codsariSUP]],DescontosTE[[#This Row],[Classe]])</f>
        <v>Ceres383A4</v>
      </c>
      <c r="G84" s="508">
        <v>0.87464280342908707</v>
      </c>
      <c r="H84" s="508">
        <v>0.65598210257181533</v>
      </c>
      <c r="I84" s="508">
        <v>0.43730000000000002</v>
      </c>
      <c r="J84" s="508">
        <v>0.43730000000000002</v>
      </c>
      <c r="K84" s="678">
        <v>0.43730000000000002</v>
      </c>
      <c r="L84" s="851">
        <f>DescontosTE[[#This Row],[2019]]</f>
        <v>0.43730000000000002</v>
      </c>
      <c r="M84" s="1512">
        <f>DescontosTE[[#This Row],[2020]]</f>
        <v>0.43730000000000002</v>
      </c>
      <c r="N84" s="1512">
        <f>DescontosTE[[#This Row],[2020]]</f>
        <v>0.43730000000000002</v>
      </c>
    </row>
    <row r="85" spans="1:14" hidden="1">
      <c r="A85" s="480" t="s">
        <v>224</v>
      </c>
      <c r="B85" s="480" t="s">
        <v>228</v>
      </c>
      <c r="C85" s="480">
        <v>111</v>
      </c>
      <c r="D85" s="480">
        <v>5697</v>
      </c>
      <c r="E85" s="480" t="s">
        <v>650</v>
      </c>
      <c r="F85" s="480" t="str">
        <f>CONCATENATE(DescontosTE[[#This Row],[Permissionária]],DescontosTE[[#This Row],[codsariSUP]],DescontosTE[[#This Row],[Classe]])</f>
        <v>Cergal5697A4</v>
      </c>
      <c r="G85" s="508">
        <v>0.72464658881376764</v>
      </c>
      <c r="H85" s="508">
        <v>0.54348494161032579</v>
      </c>
      <c r="I85" s="508">
        <v>0.54348494161032579</v>
      </c>
      <c r="J85" s="510">
        <v>0.54349999999999998</v>
      </c>
      <c r="K85" s="678">
        <v>0.33379999999999999</v>
      </c>
      <c r="L85" s="851">
        <v>0.25619999999999998</v>
      </c>
      <c r="M85" s="1511">
        <v>0.25619999999999998</v>
      </c>
    </row>
    <row r="86" spans="1:14" hidden="1">
      <c r="A86" s="480" t="s">
        <v>435</v>
      </c>
      <c r="B86" s="480" t="s">
        <v>228</v>
      </c>
      <c r="C86" s="480">
        <v>111</v>
      </c>
      <c r="D86" s="480">
        <v>5697</v>
      </c>
      <c r="E86" s="480" t="s">
        <v>650</v>
      </c>
      <c r="F86" s="480" t="str">
        <f>CONCATENATE(DescontosTE[[#This Row],[Permissionária]],DescontosTE[[#This Row],[codsariSUP]],DescontosTE[[#This Row],[Classe]])</f>
        <v>Cergapa5697A4</v>
      </c>
      <c r="G86" s="508">
        <v>0.69825990373935576</v>
      </c>
      <c r="H86" s="508">
        <v>0.69825990373935576</v>
      </c>
      <c r="I86" s="508">
        <v>0.54749999999999999</v>
      </c>
      <c r="J86" s="510">
        <v>0.48209999999999997</v>
      </c>
      <c r="K86" s="678">
        <v>0.42549999999999999</v>
      </c>
      <c r="L86" s="851">
        <v>0.37969999999999998</v>
      </c>
      <c r="M86" s="1511">
        <v>0.36749999999999999</v>
      </c>
    </row>
    <row r="87" spans="1:14" hidden="1">
      <c r="A87" s="480" t="s">
        <v>442</v>
      </c>
      <c r="B87" s="480" t="s">
        <v>228</v>
      </c>
      <c r="C87" s="480">
        <v>111</v>
      </c>
      <c r="D87" s="480">
        <v>5697</v>
      </c>
      <c r="E87" s="480" t="s">
        <v>650</v>
      </c>
      <c r="F87" s="480" t="str">
        <f>CONCATENATE(DescontosTE[[#This Row],[Permissionária]],DescontosTE[[#This Row],[codsariSUP]],DescontosTE[[#This Row],[Classe]])</f>
        <v>Cergral5697A4</v>
      </c>
      <c r="G87" s="508">
        <v>0.7833435771358328</v>
      </c>
      <c r="H87" s="508">
        <v>0.5875076828518746</v>
      </c>
      <c r="I87" s="508">
        <v>0.5875076828518746</v>
      </c>
      <c r="J87" s="510">
        <v>0.58750000000000002</v>
      </c>
      <c r="K87" s="678">
        <v>0.56830000000000003</v>
      </c>
      <c r="L87" s="851">
        <v>0.55110000000000003</v>
      </c>
      <c r="M87" s="1511">
        <v>0.48010000000000003</v>
      </c>
    </row>
    <row r="88" spans="1:14" hidden="1">
      <c r="A88" s="480" t="s">
        <v>214</v>
      </c>
      <c r="B88" s="480" t="s">
        <v>245</v>
      </c>
      <c r="C88" s="603">
        <v>167</v>
      </c>
      <c r="D88" s="603">
        <v>396</v>
      </c>
      <c r="E88" s="480" t="s">
        <v>652</v>
      </c>
      <c r="F88" s="480" t="str">
        <f>CONCATENATE(DescontosTE[[#This Row],[Permissionária]],DescontosTE[[#This Row],[codsariSUP]],DescontosTE[[#This Row],[Classe]])</f>
        <v>Ceriluz396A3</v>
      </c>
      <c r="G88" s="508">
        <v>0.82731282784930849</v>
      </c>
      <c r="H88" s="508">
        <v>0.82731282784930849</v>
      </c>
      <c r="I88" s="508">
        <v>0.82731282784930849</v>
      </c>
      <c r="J88" s="510">
        <v>0.2782</v>
      </c>
      <c r="K88" s="678">
        <v>0.2782</v>
      </c>
      <c r="L88" s="851">
        <v>0.2132</v>
      </c>
      <c r="M88" s="1511">
        <v>0.2132</v>
      </c>
    </row>
    <row r="89" spans="1:14" hidden="1">
      <c r="A89" s="480" t="s">
        <v>214</v>
      </c>
      <c r="B89" s="480" t="s">
        <v>245</v>
      </c>
      <c r="C89" s="603">
        <v>167</v>
      </c>
      <c r="D89" s="603">
        <v>396</v>
      </c>
      <c r="E89" s="480" t="s">
        <v>650</v>
      </c>
      <c r="F89" s="480" t="str">
        <f>CONCATENATE(DescontosTE[[#This Row],[Permissionária]],DescontosTE[[#This Row],[codsariSUP]],DescontosTE[[#This Row],[Classe]])</f>
        <v>Ceriluz396A4</v>
      </c>
      <c r="G89" s="508">
        <v>0.73575345731998087</v>
      </c>
      <c r="H89" s="508">
        <v>0.73575345731998087</v>
      </c>
      <c r="I89" s="508">
        <v>0.73575345731998087</v>
      </c>
      <c r="J89" s="510">
        <v>0.2782</v>
      </c>
      <c r="K89" s="678">
        <v>0.2782</v>
      </c>
      <c r="L89" s="851">
        <v>0.2132</v>
      </c>
      <c r="M89" s="1511">
        <v>0.2132</v>
      </c>
    </row>
    <row r="90" spans="1:14" hidden="1">
      <c r="A90" s="480" t="s">
        <v>214</v>
      </c>
      <c r="B90" s="480" t="s">
        <v>245</v>
      </c>
      <c r="C90" s="603">
        <v>167</v>
      </c>
      <c r="D90" s="603">
        <v>396</v>
      </c>
      <c r="E90" s="480" t="s">
        <v>657</v>
      </c>
      <c r="F90" s="480" t="str">
        <f>CONCATENATE(DescontosTE[[#This Row],[Permissionária]],DescontosTE[[#This Row],[codsariSUP]],DescontosTE[[#This Row],[Classe]])</f>
        <v>Ceriluz396B</v>
      </c>
      <c r="G90" s="508">
        <v>0.73033677201026148</v>
      </c>
      <c r="H90" s="508">
        <v>0.73033677201026148</v>
      </c>
      <c r="I90" s="508">
        <v>0.73033677201026148</v>
      </c>
      <c r="J90" s="510">
        <v>0.2782</v>
      </c>
      <c r="K90" s="678">
        <v>0.2782</v>
      </c>
      <c r="L90" s="851">
        <v>0.2132</v>
      </c>
      <c r="M90" s="1511">
        <v>0.2132</v>
      </c>
    </row>
    <row r="91" spans="1:14" hidden="1">
      <c r="A91" s="480" t="s">
        <v>343</v>
      </c>
      <c r="B91" s="480" t="s">
        <v>217</v>
      </c>
      <c r="C91" s="480">
        <v>135</v>
      </c>
      <c r="D91" s="480">
        <v>2937</v>
      </c>
      <c r="E91" s="480" t="s">
        <v>650</v>
      </c>
      <c r="F91" s="480" t="str">
        <f>CONCATENATE(DescontosTE[[#This Row],[Permissionária]],DescontosTE[[#This Row],[codsariSUP]],DescontosTE[[#This Row],[Classe]])</f>
        <v>Cerim2937A4</v>
      </c>
      <c r="G91" s="508">
        <v>0.63275249814187795</v>
      </c>
      <c r="H91" s="508">
        <v>0.47456437360640846</v>
      </c>
      <c r="I91" s="508">
        <v>0.3463</v>
      </c>
      <c r="J91" s="510">
        <v>0.33600000000000002</v>
      </c>
      <c r="K91" s="802">
        <v>5.0599999999999999E-2</v>
      </c>
      <c r="L91" s="851">
        <v>0</v>
      </c>
      <c r="M91" s="851">
        <v>0</v>
      </c>
    </row>
    <row r="92" spans="1:14" hidden="1">
      <c r="A92" s="480" t="s">
        <v>349</v>
      </c>
      <c r="B92" s="480" t="s">
        <v>203</v>
      </c>
      <c r="C92" s="480">
        <v>145</v>
      </c>
      <c r="D92" s="480">
        <v>385</v>
      </c>
      <c r="E92" s="480" t="s">
        <v>654</v>
      </c>
      <c r="F92" s="480" t="str">
        <f>CONCATENATE(DescontosTE[[#This Row],[Permissionária]],DescontosTE[[#This Row],[codsariSUP]],DescontosTE[[#This Row],[Classe]])</f>
        <v>Ceripa385A3a</v>
      </c>
      <c r="G92" s="508">
        <v>0.76371671876684266</v>
      </c>
      <c r="H92" s="508">
        <v>0.57278753907513202</v>
      </c>
      <c r="I92" s="508">
        <v>0.38190000000000002</v>
      </c>
      <c r="J92" s="510">
        <v>1.2E-2</v>
      </c>
      <c r="K92" s="807">
        <v>1.2E-2</v>
      </c>
      <c r="L92" s="851">
        <f>DescontosTE[[#This Row],[2019]]</f>
        <v>1.2E-2</v>
      </c>
      <c r="M92" s="510">
        <f>DescontosTE[[#This Row],[2020]]</f>
        <v>1.2E-2</v>
      </c>
      <c r="N92" s="248">
        <v>1.2E-2</v>
      </c>
    </row>
    <row r="93" spans="1:14" hidden="1">
      <c r="A93" s="480" t="s">
        <v>349</v>
      </c>
      <c r="B93" s="480" t="s">
        <v>203</v>
      </c>
      <c r="C93" s="480">
        <v>145</v>
      </c>
      <c r="D93" s="480">
        <v>385</v>
      </c>
      <c r="E93" s="480" t="s">
        <v>650</v>
      </c>
      <c r="F93" s="480" t="str">
        <f>CONCATENATE(DescontosTE[[#This Row],[Permissionária]],DescontosTE[[#This Row],[codsariSUP]],DescontosTE[[#This Row],[Classe]])</f>
        <v>Ceripa385A4</v>
      </c>
      <c r="G93" s="508">
        <v>0.76627856834842611</v>
      </c>
      <c r="H93" s="508">
        <v>0.57470892626131964</v>
      </c>
      <c r="I93" s="508">
        <v>0.3831</v>
      </c>
      <c r="J93" s="510">
        <v>1.2E-2</v>
      </c>
      <c r="K93" s="807">
        <v>1.2E-2</v>
      </c>
      <c r="L93" s="851">
        <f>DescontosTE[[#This Row],[2019]]</f>
        <v>1.2E-2</v>
      </c>
      <c r="M93" s="510">
        <f>DescontosTE[[#This Row],[2020]]</f>
        <v>1.2E-2</v>
      </c>
      <c r="N93" s="248">
        <v>1.2E-2</v>
      </c>
    </row>
    <row r="94" spans="1:14" hidden="1">
      <c r="A94" s="480" t="s">
        <v>349</v>
      </c>
      <c r="B94" s="480" t="s">
        <v>243</v>
      </c>
      <c r="C94" s="480">
        <v>166</v>
      </c>
      <c r="D94" s="480">
        <v>72</v>
      </c>
      <c r="E94" s="480" t="s">
        <v>652</v>
      </c>
      <c r="F94" s="480" t="str">
        <f>CONCATENATE(DescontosTE[[#This Row],[Permissionária]],DescontosTE[[#This Row],[codsariSUP]],DescontosTE[[#This Row],[Classe]])</f>
        <v>Ceripa72A3</v>
      </c>
      <c r="G94" s="508">
        <v>0.85982875805455028</v>
      </c>
      <c r="H94" s="508">
        <v>0.64487156854091277</v>
      </c>
      <c r="I94" s="508">
        <v>0.4299</v>
      </c>
      <c r="J94" s="510">
        <v>1.2E-2</v>
      </c>
      <c r="K94" s="807">
        <v>1.2E-2</v>
      </c>
      <c r="L94" s="851">
        <f>DescontosTE[[#This Row],[2019]]</f>
        <v>1.2E-2</v>
      </c>
      <c r="M94" s="510">
        <f>DescontosTE[[#This Row],[2020]]</f>
        <v>1.2E-2</v>
      </c>
      <c r="N94" s="248">
        <v>1.2E-2</v>
      </c>
    </row>
    <row r="95" spans="1:14" hidden="1">
      <c r="A95" s="480" t="s">
        <v>349</v>
      </c>
      <c r="B95" s="480" t="s">
        <v>243</v>
      </c>
      <c r="C95" s="480">
        <v>166</v>
      </c>
      <c r="D95" s="480">
        <v>72</v>
      </c>
      <c r="E95" s="480" t="s">
        <v>654</v>
      </c>
      <c r="F95" s="480" t="str">
        <f>CONCATENATE(DescontosTE[[#This Row],[Permissionária]],DescontosTE[[#This Row],[codsariSUP]],DescontosTE[[#This Row],[Classe]])</f>
        <v>Ceripa72A3a</v>
      </c>
      <c r="G95" s="508">
        <v>0.72071674463765556</v>
      </c>
      <c r="H95" s="508">
        <v>0.5405375584782417</v>
      </c>
      <c r="I95" s="508">
        <v>0.3604</v>
      </c>
      <c r="J95" s="510">
        <v>1.2E-2</v>
      </c>
      <c r="K95" s="807">
        <v>1.2E-2</v>
      </c>
      <c r="L95" s="851">
        <f>DescontosTE[[#This Row],[2019]]</f>
        <v>1.2E-2</v>
      </c>
      <c r="M95" s="510">
        <f>DescontosTE[[#This Row],[2020]]</f>
        <v>1.2E-2</v>
      </c>
      <c r="N95" s="248">
        <v>1.2E-2</v>
      </c>
    </row>
    <row r="96" spans="1:14" hidden="1">
      <c r="A96" s="480" t="s">
        <v>349</v>
      </c>
      <c r="B96" s="480" t="s">
        <v>243</v>
      </c>
      <c r="C96" s="480">
        <v>166</v>
      </c>
      <c r="D96" s="480">
        <v>72</v>
      </c>
      <c r="E96" s="480" t="s">
        <v>650</v>
      </c>
      <c r="F96" s="480" t="str">
        <f>CONCATENATE(DescontosTE[[#This Row],[Permissionária]],DescontosTE[[#This Row],[codsariSUP]],DescontosTE[[#This Row],[Classe]])</f>
        <v>Ceripa72A4</v>
      </c>
      <c r="G96" s="508">
        <v>0.69352987907140973</v>
      </c>
      <c r="H96" s="508">
        <v>0.5201474093035573</v>
      </c>
      <c r="I96" s="508">
        <v>0.3468</v>
      </c>
      <c r="J96" s="510">
        <v>1.2E-2</v>
      </c>
      <c r="K96" s="807">
        <v>1.2E-2</v>
      </c>
      <c r="L96" s="851">
        <f>DescontosTE[[#This Row],[2019]]</f>
        <v>1.2E-2</v>
      </c>
      <c r="M96" s="510">
        <f>DescontosTE[[#This Row],[2020]]</f>
        <v>1.2E-2</v>
      </c>
      <c r="N96" s="248">
        <v>1.2E-2</v>
      </c>
    </row>
    <row r="97" spans="1:13" hidden="1">
      <c r="A97" s="480" t="s">
        <v>356</v>
      </c>
      <c r="B97" s="480" t="s">
        <v>360</v>
      </c>
      <c r="C97" s="480">
        <v>148</v>
      </c>
      <c r="D97" s="480">
        <v>390</v>
      </c>
      <c r="E97" s="480" t="s">
        <v>650</v>
      </c>
      <c r="F97" s="480" t="str">
        <f>CONCATENATE(DescontosTE[[#This Row],[Permissionária]],DescontosTE[[#This Row],[codsariSUP]],DescontosTE[[#This Row],[Classe]])</f>
        <v>Ceris390A4</v>
      </c>
      <c r="G97" s="508">
        <v>0.88419999999999999</v>
      </c>
      <c r="H97" s="508">
        <v>0.66315000000000002</v>
      </c>
      <c r="I97" s="508">
        <v>0.61850000000000005</v>
      </c>
      <c r="J97" s="510">
        <v>0.59560000000000002</v>
      </c>
      <c r="K97" s="678">
        <v>0.58150000000000002</v>
      </c>
      <c r="L97" s="851">
        <v>0.58150000000000002</v>
      </c>
      <c r="M97" s="1511">
        <v>0.58150000000000002</v>
      </c>
    </row>
    <row r="98" spans="1:13" hidden="1">
      <c r="A98" s="480" t="s">
        <v>658</v>
      </c>
      <c r="B98" s="625" t="s">
        <v>328</v>
      </c>
      <c r="C98" s="480">
        <v>104</v>
      </c>
      <c r="D98" s="480">
        <v>391</v>
      </c>
      <c r="E98" s="480" t="s">
        <v>650</v>
      </c>
      <c r="F98" s="480" t="str">
        <f>CONCATENATE(DescontosTE[[#This Row],[Permissionária]],DescontosTE[[#This Row],[codsariSUP]],DescontosTE[[#This Row],[Classe]])</f>
        <v>Cermc391A4</v>
      </c>
      <c r="G98" s="508">
        <v>0.36708496982469596</v>
      </c>
      <c r="H98" s="508">
        <v>0.275313727368522</v>
      </c>
      <c r="I98" s="508">
        <v>0.275313727368522</v>
      </c>
      <c r="J98" s="510">
        <v>0.22059999999999999</v>
      </c>
      <c r="K98" s="678">
        <v>0</v>
      </c>
      <c r="L98" s="851">
        <v>0</v>
      </c>
      <c r="M98" s="851">
        <v>0</v>
      </c>
    </row>
    <row r="99" spans="1:13" hidden="1">
      <c r="A99" s="480" t="s">
        <v>489</v>
      </c>
      <c r="B99" s="480" t="s">
        <v>245</v>
      </c>
      <c r="C99" s="603">
        <v>167</v>
      </c>
      <c r="D99" s="603">
        <v>396</v>
      </c>
      <c r="E99" s="480" t="s">
        <v>652</v>
      </c>
      <c r="F99" s="480" t="str">
        <f>CONCATENATE(DescontosTE[[#This Row],[Permissionária]],DescontosTE[[#This Row],[codsariSUP]],DescontosTE[[#This Row],[Classe]])</f>
        <v>Cermissões396A3</v>
      </c>
      <c r="G99" s="508">
        <v>0.5923752369117381</v>
      </c>
      <c r="H99" s="508">
        <v>0.5923752369117381</v>
      </c>
      <c r="I99" s="508">
        <v>0.44429999999999997</v>
      </c>
      <c r="J99" s="510">
        <v>0</v>
      </c>
      <c r="K99" s="678">
        <v>0</v>
      </c>
      <c r="L99" s="851">
        <v>0</v>
      </c>
      <c r="M99" s="851">
        <v>0</v>
      </c>
    </row>
    <row r="100" spans="1:13" hidden="1">
      <c r="A100" s="480" t="s">
        <v>489</v>
      </c>
      <c r="B100" s="480" t="s">
        <v>245</v>
      </c>
      <c r="C100" s="603">
        <v>167</v>
      </c>
      <c r="D100" s="603">
        <v>396</v>
      </c>
      <c r="E100" s="480" t="s">
        <v>650</v>
      </c>
      <c r="F100" s="480" t="str">
        <f>CONCATENATE(DescontosTE[[#This Row],[Permissionária]],DescontosTE[[#This Row],[codsariSUP]],DescontosTE[[#This Row],[Classe]])</f>
        <v>Cermissões396A4</v>
      </c>
      <c r="G100" s="508">
        <v>0.5923752369117381</v>
      </c>
      <c r="H100" s="508">
        <v>0.5923752369117381</v>
      </c>
      <c r="I100" s="508">
        <v>0.44429999999999997</v>
      </c>
      <c r="J100" s="510">
        <v>0</v>
      </c>
      <c r="K100" s="678">
        <v>0</v>
      </c>
      <c r="L100" s="851">
        <v>0</v>
      </c>
      <c r="M100" s="851">
        <v>0</v>
      </c>
    </row>
    <row r="101" spans="1:13" hidden="1">
      <c r="A101" s="480" t="s">
        <v>489</v>
      </c>
      <c r="B101" s="480" t="s">
        <v>245</v>
      </c>
      <c r="C101" s="603">
        <v>167</v>
      </c>
      <c r="D101" s="603">
        <v>396</v>
      </c>
      <c r="E101" s="480" t="s">
        <v>657</v>
      </c>
      <c r="F101" s="480" t="str">
        <f>CONCATENATE(DescontosTE[[#This Row],[Permissionária]],DescontosTE[[#This Row],[codsariSUP]],DescontosTE[[#This Row],[Classe]])</f>
        <v>Cermissões396B</v>
      </c>
      <c r="G101" s="508">
        <v>8.6300000000000002E-2</v>
      </c>
      <c r="H101" s="508">
        <v>8.6300000000000002E-2</v>
      </c>
      <c r="I101" s="508">
        <v>6.4699999999999994E-2</v>
      </c>
      <c r="J101" s="510">
        <v>0</v>
      </c>
      <c r="K101" s="678">
        <v>0</v>
      </c>
      <c r="L101" s="851">
        <v>0</v>
      </c>
      <c r="M101" s="851">
        <v>0</v>
      </c>
    </row>
    <row r="102" spans="1:13" hidden="1">
      <c r="A102" s="480" t="s">
        <v>447</v>
      </c>
      <c r="B102" s="480" t="s">
        <v>228</v>
      </c>
      <c r="C102" s="480">
        <v>111</v>
      </c>
      <c r="D102" s="480">
        <v>5697</v>
      </c>
      <c r="E102" s="480" t="s">
        <v>652</v>
      </c>
      <c r="F102" s="480" t="str">
        <f>CONCATENATE(DescontosTE[[#This Row],[Permissionária]],DescontosTE[[#This Row],[codsariSUP]],DescontosTE[[#This Row],[Classe]])</f>
        <v>Cermoful5697A3</v>
      </c>
      <c r="G102" s="508">
        <v>0.71025546094039238</v>
      </c>
      <c r="H102" s="508">
        <v>0.71025546094039238</v>
      </c>
      <c r="I102" s="508">
        <v>0.71025546094039238</v>
      </c>
      <c r="J102" s="510">
        <v>0.67859999999999998</v>
      </c>
      <c r="K102" s="678">
        <v>0.61480000000000001</v>
      </c>
      <c r="L102" s="851">
        <v>0.55579999999999996</v>
      </c>
      <c r="M102" s="1511">
        <v>0.53969999999999996</v>
      </c>
    </row>
    <row r="103" spans="1:13" hidden="1">
      <c r="A103" s="480" t="s">
        <v>447</v>
      </c>
      <c r="B103" s="480" t="s">
        <v>228</v>
      </c>
      <c r="C103" s="480">
        <v>111</v>
      </c>
      <c r="D103" s="480">
        <v>5697</v>
      </c>
      <c r="E103" s="480" t="s">
        <v>650</v>
      </c>
      <c r="F103" s="480" t="str">
        <f>CONCATENATE(DescontosTE[[#This Row],[Permissionária]],DescontosTE[[#This Row],[codsariSUP]],DescontosTE[[#This Row],[Classe]])</f>
        <v>Cermoful5697A4</v>
      </c>
      <c r="G103" s="508">
        <v>0.71025546094039238</v>
      </c>
      <c r="H103" s="508">
        <v>0.71025546094039238</v>
      </c>
      <c r="I103" s="508">
        <v>0.71025546094039238</v>
      </c>
      <c r="J103" s="510">
        <v>0.67859999999999998</v>
      </c>
      <c r="K103" s="678">
        <v>0.61480000000000001</v>
      </c>
      <c r="L103" s="851">
        <v>0.55579999999999996</v>
      </c>
      <c r="M103" s="1511">
        <v>0.53969999999999996</v>
      </c>
    </row>
    <row r="104" spans="1:13" hidden="1">
      <c r="A104" s="480" t="s">
        <v>370</v>
      </c>
      <c r="B104" s="485" t="s">
        <v>164</v>
      </c>
      <c r="C104" s="480">
        <v>165</v>
      </c>
      <c r="D104" s="480">
        <v>5216</v>
      </c>
      <c r="E104" s="480" t="s">
        <v>650</v>
      </c>
      <c r="F104" s="480" t="str">
        <f>CONCATENATE(DescontosTE[[#This Row],[Permissionária]],DescontosTE[[#This Row],[codsariSUP]],DescontosTE[[#This Row],[Classe]])</f>
        <v>Cernhe5216A4</v>
      </c>
      <c r="G104" s="508">
        <v>0.90173092774063557</v>
      </c>
      <c r="H104" s="508">
        <v>0.67629819580547668</v>
      </c>
      <c r="I104" s="508">
        <v>0.45090000000000002</v>
      </c>
      <c r="J104" s="510">
        <v>0</v>
      </c>
      <c r="K104" s="678">
        <v>0</v>
      </c>
      <c r="L104" s="851">
        <v>0</v>
      </c>
      <c r="M104" s="851">
        <v>0</v>
      </c>
    </row>
    <row r="105" spans="1:13" hidden="1">
      <c r="A105" s="480" t="s">
        <v>453</v>
      </c>
      <c r="B105" s="480" t="s">
        <v>228</v>
      </c>
      <c r="C105" s="480">
        <v>111</v>
      </c>
      <c r="D105" s="480">
        <v>5697</v>
      </c>
      <c r="E105" s="480" t="s">
        <v>654</v>
      </c>
      <c r="F105" s="480" t="str">
        <f>CONCATENATE(DescontosTE[[#This Row],[Permissionária]],DescontosTE[[#This Row],[codsariSUP]],DescontosTE[[#This Row],[Classe]])</f>
        <v>Cerpalo5697A3a</v>
      </c>
      <c r="G105" s="508">
        <v>0.89981561155500922</v>
      </c>
      <c r="H105" s="508">
        <v>0.67486170866625694</v>
      </c>
      <c r="I105" s="508">
        <v>0.59530000000000005</v>
      </c>
      <c r="J105" s="510">
        <v>0.59530000000000005</v>
      </c>
      <c r="K105" s="678">
        <v>0.44540000000000002</v>
      </c>
      <c r="L105" s="851">
        <v>0.44540000000000002</v>
      </c>
      <c r="M105" s="1511">
        <v>0.31740000000000002</v>
      </c>
    </row>
    <row r="106" spans="1:13" hidden="1">
      <c r="A106" s="480" t="s">
        <v>377</v>
      </c>
      <c r="B106" s="480" t="s">
        <v>189</v>
      </c>
      <c r="C106" s="480">
        <v>136</v>
      </c>
      <c r="D106" s="480">
        <v>63</v>
      </c>
      <c r="E106" s="480" t="s">
        <v>650</v>
      </c>
      <c r="F106" s="480" t="str">
        <f>CONCATENATE(DescontosTE[[#This Row],[Permissionária]],DescontosTE[[#This Row],[codsariSUP]],DescontosTE[[#This Row],[Classe]])</f>
        <v>Cerpro63A4</v>
      </c>
      <c r="G106" s="508">
        <v>0.90147665925690701</v>
      </c>
      <c r="H106" s="508">
        <v>0.67610749444268026</v>
      </c>
      <c r="I106" s="508">
        <v>0.45069999999999999</v>
      </c>
      <c r="J106" s="731">
        <v>0</v>
      </c>
      <c r="K106" s="678">
        <v>0</v>
      </c>
      <c r="L106" s="851">
        <v>0</v>
      </c>
      <c r="M106" s="851">
        <v>0</v>
      </c>
    </row>
    <row r="107" spans="1:13" hidden="1">
      <c r="A107" s="480" t="s">
        <v>659</v>
      </c>
      <c r="B107" s="485" t="s">
        <v>164</v>
      </c>
      <c r="C107" s="480">
        <v>165</v>
      </c>
      <c r="D107" s="480">
        <v>5216</v>
      </c>
      <c r="E107" s="485" t="s">
        <v>650</v>
      </c>
      <c r="F107" s="480" t="str">
        <f>CONCATENATE(DescontosTE[[#This Row],[Permissionária]],DescontosTE[[#This Row],[codsariSUP]],DescontosTE[[#This Row],[Classe]])</f>
        <v>Cerrp5216A4</v>
      </c>
      <c r="G107" s="508">
        <v>0.74668009891015652</v>
      </c>
      <c r="H107" s="508">
        <v>0.56001007418261739</v>
      </c>
      <c r="I107" s="508">
        <v>0.37330000000000002</v>
      </c>
      <c r="J107" s="731">
        <v>0.31390000000000001</v>
      </c>
      <c r="K107" s="678">
        <v>0.31390000000000001</v>
      </c>
      <c r="L107" s="851">
        <v>7.5600000000000001E-2</v>
      </c>
      <c r="M107" s="1511">
        <v>6.0199999999999997E-2</v>
      </c>
    </row>
    <row r="108" spans="1:13" hidden="1">
      <c r="A108" s="480" t="s">
        <v>659</v>
      </c>
      <c r="B108" s="480" t="s">
        <v>189</v>
      </c>
      <c r="C108" s="480">
        <v>136</v>
      </c>
      <c r="D108" s="480">
        <v>63</v>
      </c>
      <c r="E108" s="480" t="s">
        <v>650</v>
      </c>
      <c r="F108" s="480" t="str">
        <f>CONCATENATE(DescontosTE[[#This Row],[Permissionária]],DescontosTE[[#This Row],[codsariSUP]],DescontosTE[[#This Row],[Classe]])</f>
        <v>Cerrp63A4</v>
      </c>
      <c r="G108" s="508">
        <v>0.7457129247380121</v>
      </c>
      <c r="H108" s="508">
        <v>0.55928469355350907</v>
      </c>
      <c r="I108" s="508">
        <v>0.37290000000000001</v>
      </c>
      <c r="J108" s="731">
        <v>0.31390000000000001</v>
      </c>
      <c r="K108" s="678">
        <v>0.31390000000000001</v>
      </c>
      <c r="L108" s="851">
        <v>7.5600000000000001E-2</v>
      </c>
      <c r="M108" s="1511">
        <v>6.0199999999999997E-2</v>
      </c>
    </row>
    <row r="109" spans="1:13" hidden="1">
      <c r="A109" s="480" t="s">
        <v>458</v>
      </c>
      <c r="B109" s="480" t="s">
        <v>228</v>
      </c>
      <c r="C109" s="480">
        <v>111</v>
      </c>
      <c r="D109" s="480">
        <v>5697</v>
      </c>
      <c r="E109" s="480" t="s">
        <v>650</v>
      </c>
      <c r="F109" s="480" t="str">
        <f>CONCATENATE(DescontosTE[[#This Row],[Permissionária]],DescontosTE[[#This Row],[codsariSUP]],DescontosTE[[#This Row],[Classe]])</f>
        <v>Cersul5697A4</v>
      </c>
      <c r="G109" s="508">
        <v>0.6419022741241549</v>
      </c>
      <c r="H109" s="508">
        <v>0.48142670559311618</v>
      </c>
      <c r="I109" s="508">
        <v>0.48139999999999999</v>
      </c>
      <c r="J109" s="510">
        <v>0.48139999999999999</v>
      </c>
      <c r="K109" s="678">
        <v>0.48139999999999999</v>
      </c>
      <c r="L109" s="851">
        <v>0.48139999999999999</v>
      </c>
      <c r="M109" s="1511">
        <v>0.48139999999999999</v>
      </c>
    </row>
    <row r="110" spans="1:13" hidden="1">
      <c r="A110" s="480" t="s">
        <v>458</v>
      </c>
      <c r="B110" s="480" t="s">
        <v>228</v>
      </c>
      <c r="C110" s="480">
        <v>111</v>
      </c>
      <c r="D110" s="480">
        <v>5697</v>
      </c>
      <c r="E110" s="480" t="s">
        <v>652</v>
      </c>
      <c r="F110" s="480" t="str">
        <f>CONCATENATE(DescontosTE[[#This Row],[Permissionária]],DescontosTE[[#This Row],[codsariSUP]],DescontosTE[[#This Row],[Classe]])</f>
        <v>Cersul5697A3</v>
      </c>
      <c r="G110" s="508">
        <v>0.83597111247695144</v>
      </c>
      <c r="H110" s="508">
        <v>0.62697833435771355</v>
      </c>
      <c r="I110" s="508">
        <v>0.59899999999999998</v>
      </c>
      <c r="J110" s="510">
        <v>0.59009999999999996</v>
      </c>
      <c r="K110" s="678">
        <v>0.59009999999999996</v>
      </c>
      <c r="L110" s="851">
        <v>0.55869999999999997</v>
      </c>
      <c r="M110" s="1511">
        <v>0.55869999999999997</v>
      </c>
    </row>
    <row r="111" spans="1:13" hidden="1">
      <c r="A111" s="480" t="s">
        <v>501</v>
      </c>
      <c r="B111" s="480" t="s">
        <v>245</v>
      </c>
      <c r="C111" s="603">
        <v>167</v>
      </c>
      <c r="D111" s="480">
        <v>396</v>
      </c>
      <c r="E111" s="480" t="s">
        <v>652</v>
      </c>
      <c r="F111" s="480" t="str">
        <f>CONCATENATE(DescontosTE[[#This Row],[Permissionária]],DescontosTE[[#This Row],[codsariSUP]],DescontosTE[[#This Row],[Classe]])</f>
        <v>Certaja396A3</v>
      </c>
      <c r="G111" s="508">
        <v>0.8415330252786084</v>
      </c>
      <c r="H111" s="508">
        <v>0.63114976895895625</v>
      </c>
      <c r="I111" s="508">
        <v>0.42080000000000001</v>
      </c>
      <c r="J111" s="510">
        <v>0.21149999999999999</v>
      </c>
      <c r="K111" s="678">
        <v>0</v>
      </c>
      <c r="L111" s="851">
        <v>0</v>
      </c>
      <c r="M111" s="851">
        <v>0</v>
      </c>
    </row>
    <row r="112" spans="1:13" hidden="1">
      <c r="A112" s="480" t="s">
        <v>501</v>
      </c>
      <c r="B112" s="480" t="s">
        <v>245</v>
      </c>
      <c r="C112" s="603">
        <v>167</v>
      </c>
      <c r="D112" s="480">
        <v>396</v>
      </c>
      <c r="E112" s="480" t="s">
        <v>650</v>
      </c>
      <c r="F112" s="480" t="str">
        <f>CONCATENATE(DescontosTE[[#This Row],[Permissionária]],DescontosTE[[#This Row],[codsariSUP]],DescontosTE[[#This Row],[Classe]])</f>
        <v>Certaja396A4</v>
      </c>
      <c r="G112" s="508">
        <v>0.8415330252786084</v>
      </c>
      <c r="H112" s="508">
        <v>0.63114976895895625</v>
      </c>
      <c r="I112" s="508">
        <v>0.42080000000000001</v>
      </c>
      <c r="J112" s="510">
        <v>0.21149999999999999</v>
      </c>
      <c r="K112" s="678">
        <v>0</v>
      </c>
      <c r="L112" s="851">
        <v>0</v>
      </c>
      <c r="M112" s="851">
        <v>0</v>
      </c>
    </row>
    <row r="113" spans="1:13" hidden="1">
      <c r="A113" s="480" t="s">
        <v>501</v>
      </c>
      <c r="B113" s="480" t="s">
        <v>404</v>
      </c>
      <c r="C113" s="480">
        <v>110</v>
      </c>
      <c r="D113" s="480">
        <v>5707</v>
      </c>
      <c r="E113" s="480" t="s">
        <v>650</v>
      </c>
      <c r="F113" s="480" t="str">
        <f>CONCATENATE(DescontosTE[[#This Row],[Permissionária]],DescontosTE[[#This Row],[codsariSUP]],DescontosTE[[#This Row],[Classe]])</f>
        <v>Certaja5707A4</v>
      </c>
      <c r="G113" s="508">
        <v>0.8239405071230177</v>
      </c>
      <c r="H113" s="508">
        <v>0.61795538034226327</v>
      </c>
      <c r="I113" s="508">
        <v>0.41199999999999998</v>
      </c>
      <c r="J113" s="510">
        <v>0.21149999999999999</v>
      </c>
      <c r="K113" s="678">
        <v>0</v>
      </c>
      <c r="L113" s="851">
        <v>0</v>
      </c>
      <c r="M113" s="851">
        <v>0</v>
      </c>
    </row>
    <row r="114" spans="1:13" hidden="1">
      <c r="A114" s="480" t="s">
        <v>240</v>
      </c>
      <c r="B114" s="480" t="s">
        <v>245</v>
      </c>
      <c r="C114" s="603">
        <v>167</v>
      </c>
      <c r="D114" s="480">
        <v>396</v>
      </c>
      <c r="E114" s="480" t="s">
        <v>652</v>
      </c>
      <c r="F114" s="480" t="str">
        <f>CONCATENATE(DescontosTE[[#This Row],[Permissionária]],DescontosTE[[#This Row],[codsariSUP]],DescontosTE[[#This Row],[Classe]])</f>
        <v>Certel396A3</v>
      </c>
      <c r="G114" s="508">
        <v>0.60488390712570062</v>
      </c>
      <c r="H114" s="508">
        <v>0.60488390712570062</v>
      </c>
      <c r="I114" s="508">
        <v>0.60488390712570062</v>
      </c>
      <c r="J114" s="510">
        <v>0.58309999999999995</v>
      </c>
      <c r="K114" s="678">
        <v>0.48330000000000001</v>
      </c>
      <c r="L114" s="851">
        <v>0.35730000000000001</v>
      </c>
      <c r="M114" s="1511">
        <v>0.32969999999999999</v>
      </c>
    </row>
    <row r="115" spans="1:13" hidden="1">
      <c r="A115" s="480" t="s">
        <v>240</v>
      </c>
      <c r="B115" s="480" t="s">
        <v>245</v>
      </c>
      <c r="C115" s="603">
        <v>167</v>
      </c>
      <c r="D115" s="603">
        <v>396</v>
      </c>
      <c r="E115" s="480" t="s">
        <v>650</v>
      </c>
      <c r="F115" s="480" t="str">
        <f>CONCATENATE(DescontosTE[[#This Row],[Permissionária]],DescontosTE[[#This Row],[codsariSUP]],DescontosTE[[#This Row],[Classe]])</f>
        <v>Certel396A4</v>
      </c>
      <c r="G115" s="508">
        <v>0.54613733905579398</v>
      </c>
      <c r="H115" s="508">
        <v>0.54613733905579398</v>
      </c>
      <c r="I115" s="508">
        <v>0.54613733905579398</v>
      </c>
      <c r="J115" s="510">
        <v>0.54610000000000003</v>
      </c>
      <c r="K115" s="678">
        <v>0.48330000000000001</v>
      </c>
      <c r="L115" s="851">
        <v>0.35730000000000001</v>
      </c>
      <c r="M115" s="1511">
        <v>0.32969999999999999</v>
      </c>
    </row>
    <row r="116" spans="1:13" hidden="1">
      <c r="A116" s="480" t="s">
        <v>463</v>
      </c>
      <c r="B116" s="480" t="s">
        <v>228</v>
      </c>
      <c r="C116" s="480">
        <v>111</v>
      </c>
      <c r="D116" s="480">
        <v>5697</v>
      </c>
      <c r="E116" s="480" t="s">
        <v>650</v>
      </c>
      <c r="F116" s="480" t="str">
        <f>CONCATENATE(DescontosTE[[#This Row],[Permissionária]],DescontosTE[[#This Row],[codsariSUP]],DescontosTE[[#This Row],[Classe]])</f>
        <v>Certrel5697A4</v>
      </c>
      <c r="G116" s="508">
        <v>0.88707885968159939</v>
      </c>
      <c r="H116" s="508">
        <v>0.88707885968159939</v>
      </c>
      <c r="I116" s="508">
        <v>0.88707885968159939</v>
      </c>
      <c r="J116" s="510">
        <v>0.81359999999999999</v>
      </c>
      <c r="K116" s="678">
        <v>0.81359999999999999</v>
      </c>
      <c r="L116" s="851">
        <v>0.81359999999999999</v>
      </c>
      <c r="M116" s="1511">
        <v>0.61460000000000004</v>
      </c>
    </row>
    <row r="117" spans="1:13" hidden="1">
      <c r="A117" s="480" t="s">
        <v>390</v>
      </c>
      <c r="B117" s="480" t="s">
        <v>217</v>
      </c>
      <c r="C117" s="480">
        <v>135</v>
      </c>
      <c r="D117" s="480">
        <v>2937</v>
      </c>
      <c r="E117" s="480" t="s">
        <v>650</v>
      </c>
      <c r="F117" s="480" t="str">
        <f>CONCATENATE(DescontosTE[[#This Row],[Permissionária]],DescontosTE[[#This Row],[codsariSUP]],DescontosTE[[#This Row],[Classe]])</f>
        <v>Cetril2937A4</v>
      </c>
      <c r="G117" s="508">
        <v>0.50648278140226277</v>
      </c>
      <c r="H117" s="508">
        <v>0.37986208605169708</v>
      </c>
      <c r="I117" s="508">
        <v>0.1396</v>
      </c>
      <c r="J117" s="510">
        <v>0.1396</v>
      </c>
      <c r="K117" s="678">
        <v>0</v>
      </c>
      <c r="L117" s="851">
        <v>0</v>
      </c>
      <c r="M117" s="851">
        <v>0</v>
      </c>
    </row>
    <row r="118" spans="1:13" hidden="1">
      <c r="A118" s="480" t="s">
        <v>390</v>
      </c>
      <c r="B118" s="480" t="s">
        <v>203</v>
      </c>
      <c r="C118" s="480">
        <v>145</v>
      </c>
      <c r="D118" s="480">
        <v>385</v>
      </c>
      <c r="E118" s="480" t="s">
        <v>650</v>
      </c>
      <c r="F118" s="480" t="str">
        <f>CONCATENATE(DescontosTE[[#This Row],[Permissionária]],DescontosTE[[#This Row],[codsariSUP]],DescontosTE[[#This Row],[Classe]])</f>
        <v>Cetril385A4</v>
      </c>
      <c r="G118" s="508">
        <v>0.66580422595946531</v>
      </c>
      <c r="H118" s="508">
        <v>0.49935316946959896</v>
      </c>
      <c r="I118" s="508">
        <v>0.1396</v>
      </c>
      <c r="J118" s="510">
        <v>0.1396</v>
      </c>
      <c r="K118" s="678">
        <v>0</v>
      </c>
      <c r="L118" s="851">
        <v>0</v>
      </c>
      <c r="M118" s="851">
        <v>0</v>
      </c>
    </row>
    <row r="119" spans="1:13" hidden="1">
      <c r="A119" s="480" t="s">
        <v>227</v>
      </c>
      <c r="B119" s="480" t="s">
        <v>228</v>
      </c>
      <c r="C119" s="480">
        <v>111</v>
      </c>
      <c r="D119" s="480">
        <v>5697</v>
      </c>
      <c r="E119" s="480" t="s">
        <v>652</v>
      </c>
      <c r="F119" s="480" t="str">
        <f>CONCATENATE(DescontosTE[[#This Row],[Permissionária]],DescontosTE[[#This Row],[codsariSUP]],DescontosTE[[#This Row],[Classe]])</f>
        <v>Coopera5697A3</v>
      </c>
      <c r="G119" s="508">
        <v>0.78664720344191763</v>
      </c>
      <c r="H119" s="508">
        <v>0.58998540258143817</v>
      </c>
      <c r="I119" s="508">
        <v>0.58998540258143817</v>
      </c>
      <c r="J119" s="510">
        <v>0.59</v>
      </c>
      <c r="K119" s="678">
        <v>0.59</v>
      </c>
      <c r="L119" s="851">
        <v>0.59</v>
      </c>
      <c r="M119" s="1511">
        <v>0.59</v>
      </c>
    </row>
    <row r="120" spans="1:13" hidden="1">
      <c r="A120" s="480" t="s">
        <v>472</v>
      </c>
      <c r="B120" s="480" t="s">
        <v>228</v>
      </c>
      <c r="C120" s="480">
        <v>111</v>
      </c>
      <c r="D120" s="480">
        <v>5697</v>
      </c>
      <c r="E120" s="480" t="s">
        <v>650</v>
      </c>
      <c r="F120" s="480" t="str">
        <f>CONCATENATE(DescontosTE[[#This Row],[Permissionária]],DescontosTE[[#This Row],[codsariSUP]],DescontosTE[[#This Row],[Classe]])</f>
        <v>Coopercocal5697A4</v>
      </c>
      <c r="G120" s="508">
        <v>0.43784572833435764</v>
      </c>
      <c r="H120" s="508">
        <v>0.43784572833435764</v>
      </c>
      <c r="I120" s="508">
        <v>0.43780000000000002</v>
      </c>
      <c r="J120" s="510">
        <v>0.43780000000000002</v>
      </c>
      <c r="K120" s="678">
        <v>0.43780000000000002</v>
      </c>
      <c r="L120" s="851">
        <v>0.42730000000000001</v>
      </c>
      <c r="M120" s="1511">
        <v>0.42730000000000001</v>
      </c>
    </row>
    <row r="121" spans="1:13" hidden="1">
      <c r="A121" s="480" t="s">
        <v>472</v>
      </c>
      <c r="B121" s="480" t="s">
        <v>228</v>
      </c>
      <c r="C121" s="480">
        <v>111</v>
      </c>
      <c r="D121" s="480">
        <v>5697</v>
      </c>
      <c r="E121" s="480" t="s">
        <v>652</v>
      </c>
      <c r="F121" s="480" t="str">
        <f>CONCATENATE(DescontosTE[[#This Row],[Permissionária]],DescontosTE[[#This Row],[codsariSUP]],DescontosTE[[#This Row],[Classe]])</f>
        <v>Coopercocal5697A3</v>
      </c>
      <c r="G121" s="508">
        <v>0.74423786109403811</v>
      </c>
      <c r="H121" s="508">
        <v>0.74423786109403811</v>
      </c>
      <c r="I121" s="508">
        <v>0.66139999999999999</v>
      </c>
      <c r="J121" s="510">
        <v>0.6452</v>
      </c>
      <c r="K121" s="678">
        <v>0.4995</v>
      </c>
      <c r="L121" s="851">
        <v>0.42730000000000001</v>
      </c>
      <c r="M121" s="1511">
        <v>0.42730000000000001</v>
      </c>
    </row>
    <row r="122" spans="1:13" hidden="1">
      <c r="A122" s="480" t="s">
        <v>472</v>
      </c>
      <c r="B122" s="506" t="s">
        <v>476</v>
      </c>
      <c r="C122" s="506">
        <v>144</v>
      </c>
      <c r="D122" s="506">
        <v>86</v>
      </c>
      <c r="E122" s="480" t="s">
        <v>650</v>
      </c>
      <c r="F122" s="480" t="str">
        <f>CONCATENATE(DescontosTE[[#This Row],[Permissionária]],DescontosTE[[#This Row],[codsariSUP]],DescontosTE[[#This Row],[Classe]])</f>
        <v>Coopercocal86A4</v>
      </c>
      <c r="G122" s="508">
        <v>0.75887474882786332</v>
      </c>
      <c r="H122" s="508">
        <v>0.75887474882786332</v>
      </c>
      <c r="I122" s="508">
        <v>0.66139999999999999</v>
      </c>
      <c r="J122" s="510">
        <v>0.6452</v>
      </c>
      <c r="K122" s="678">
        <v>0.4995</v>
      </c>
      <c r="L122" s="851">
        <v>0.42730000000000001</v>
      </c>
      <c r="M122" s="1511">
        <v>0.42730000000000001</v>
      </c>
    </row>
    <row r="123" spans="1:13" hidden="1">
      <c r="A123" s="480" t="s">
        <v>512</v>
      </c>
      <c r="B123" s="480" t="s">
        <v>245</v>
      </c>
      <c r="C123" s="603">
        <v>167</v>
      </c>
      <c r="D123" s="603">
        <v>396</v>
      </c>
      <c r="E123" s="480" t="s">
        <v>650</v>
      </c>
      <c r="F123" s="480" t="str">
        <f>CONCATENATE(DescontosTE[[#This Row],[Permissionária]],DescontosTE[[#This Row],[codsariSUP]],DescontosTE[[#This Row],[Classe]])</f>
        <v>Cooperluz396A4</v>
      </c>
      <c r="G123" s="508">
        <v>0.81789999999999996</v>
      </c>
      <c r="H123" s="508">
        <v>0.81789999999999996</v>
      </c>
      <c r="I123" s="508">
        <v>0.65900000000000003</v>
      </c>
      <c r="J123" s="510">
        <v>0</v>
      </c>
      <c r="K123" s="678">
        <v>0</v>
      </c>
      <c r="L123" s="851">
        <v>0</v>
      </c>
      <c r="M123" s="851">
        <v>0</v>
      </c>
    </row>
    <row r="124" spans="1:13" hidden="1">
      <c r="A124" s="480" t="s">
        <v>512</v>
      </c>
      <c r="B124" s="480" t="s">
        <v>245</v>
      </c>
      <c r="C124" s="603">
        <v>167</v>
      </c>
      <c r="D124" s="603">
        <v>396</v>
      </c>
      <c r="E124" s="480" t="s">
        <v>652</v>
      </c>
      <c r="F124" s="480" t="str">
        <f>CONCATENATE(DescontosTE[[#This Row],[Permissionária]],DescontosTE[[#This Row],[codsariSUP]],DescontosTE[[#This Row],[Classe]])</f>
        <v>Cooperluz396A3</v>
      </c>
      <c r="G124" s="508">
        <v>0.81789999999999996</v>
      </c>
      <c r="H124" s="508">
        <v>0.81789999999999996</v>
      </c>
      <c r="I124" s="508">
        <v>0.65900000000000003</v>
      </c>
      <c r="J124" s="510">
        <v>0</v>
      </c>
      <c r="K124" s="678">
        <v>0</v>
      </c>
      <c r="L124" s="851">
        <v>0</v>
      </c>
      <c r="M124" s="851">
        <v>0</v>
      </c>
    </row>
    <row r="125" spans="1:13" hidden="1">
      <c r="A125" s="480" t="s">
        <v>479</v>
      </c>
      <c r="B125" s="480" t="s">
        <v>228</v>
      </c>
      <c r="C125" s="480">
        <v>111</v>
      </c>
      <c r="D125" s="480">
        <v>5697</v>
      </c>
      <c r="E125" s="480" t="s">
        <v>650</v>
      </c>
      <c r="F125" s="480" t="str">
        <f>CONCATENATE(DescontosTE[[#This Row],[Permissionária]],DescontosTE[[#This Row],[codsariSUP]],DescontosTE[[#This Row],[Classe]])</f>
        <v>Coopermila5697A4</v>
      </c>
      <c r="G125" s="508">
        <v>0.53672403196066387</v>
      </c>
      <c r="H125" s="508">
        <v>0.4025430239704979</v>
      </c>
      <c r="I125" s="508">
        <v>0.38200000000000001</v>
      </c>
      <c r="J125" s="510">
        <v>0.35849999999999999</v>
      </c>
      <c r="K125" s="678">
        <v>4.9599999999999998E-2</v>
      </c>
      <c r="L125" s="851">
        <v>3.3399999999999999E-2</v>
      </c>
      <c r="M125" s="1511">
        <v>3.3399999999999999E-2</v>
      </c>
    </row>
    <row r="126" spans="1:13" hidden="1">
      <c r="A126" s="480" t="s">
        <v>484</v>
      </c>
      <c r="B126" s="480" t="s">
        <v>228</v>
      </c>
      <c r="C126" s="480">
        <v>111</v>
      </c>
      <c r="D126" s="480">
        <v>5697</v>
      </c>
      <c r="E126" s="480" t="s">
        <v>650</v>
      </c>
      <c r="F126" s="480" t="str">
        <f>CONCATENATE(DescontosTE[[#This Row],[Permissionária]],DescontosTE[[#This Row],[codsariSUP]],DescontosTE[[#This Row],[Classe]])</f>
        <v>Coorsel5697A4</v>
      </c>
      <c r="G126" s="508">
        <v>0.88667793484941604</v>
      </c>
      <c r="H126" s="508">
        <v>0.66500845113706197</v>
      </c>
      <c r="I126" s="508">
        <v>0.36559999999999998</v>
      </c>
      <c r="J126" s="510">
        <v>0.29060000000000002</v>
      </c>
      <c r="K126" s="678">
        <v>2.6599999999999999E-2</v>
      </c>
      <c r="L126" s="851">
        <v>0</v>
      </c>
      <c r="M126" s="851">
        <v>0</v>
      </c>
    </row>
    <row r="127" spans="1:13" hidden="1">
      <c r="A127" s="480" t="s">
        <v>517</v>
      </c>
      <c r="B127" s="480" t="s">
        <v>245</v>
      </c>
      <c r="C127" s="603">
        <v>167</v>
      </c>
      <c r="D127" s="603">
        <v>396</v>
      </c>
      <c r="E127" s="480" t="s">
        <v>655</v>
      </c>
      <c r="F127" s="480" t="str">
        <f>CONCATENATE(DescontosTE[[#This Row],[Permissionária]],DescontosTE[[#This Row],[codsariSUP]],DescontosTE[[#This Row],[Classe]])</f>
        <v>Coprel396A2</v>
      </c>
      <c r="G127" s="508">
        <v>0.63819999999999999</v>
      </c>
      <c r="H127" s="508">
        <v>0.63819999999999999</v>
      </c>
      <c r="I127" s="508">
        <v>0.44450000000000001</v>
      </c>
      <c r="J127" s="510">
        <v>0</v>
      </c>
      <c r="K127" s="678">
        <v>0</v>
      </c>
      <c r="L127" s="851">
        <v>0</v>
      </c>
      <c r="M127" s="851">
        <v>0</v>
      </c>
    </row>
    <row r="128" spans="1:13" hidden="1">
      <c r="A128" s="480" t="s">
        <v>517</v>
      </c>
      <c r="B128" s="480" t="s">
        <v>245</v>
      </c>
      <c r="C128" s="603">
        <v>167</v>
      </c>
      <c r="D128" s="603">
        <v>396</v>
      </c>
      <c r="E128" s="480" t="s">
        <v>652</v>
      </c>
      <c r="F128" s="480" t="str">
        <f>CONCATENATE(DescontosTE[[#This Row],[Permissionária]],DescontosTE[[#This Row],[codsariSUP]],DescontosTE[[#This Row],[Classe]])</f>
        <v>Coprel396A3</v>
      </c>
      <c r="G128" s="508">
        <v>0.63819999999999999</v>
      </c>
      <c r="H128" s="508">
        <v>0.63819999999999999</v>
      </c>
      <c r="I128" s="508">
        <v>0.47870000000000001</v>
      </c>
      <c r="J128" s="510">
        <v>0</v>
      </c>
      <c r="K128" s="678">
        <v>0</v>
      </c>
      <c r="L128" s="851">
        <v>0</v>
      </c>
      <c r="M128" s="851">
        <v>0</v>
      </c>
    </row>
    <row r="129" spans="1:14" hidden="1">
      <c r="A129" s="480" t="s">
        <v>517</v>
      </c>
      <c r="B129" s="480" t="s">
        <v>245</v>
      </c>
      <c r="C129" s="603">
        <v>167</v>
      </c>
      <c r="D129" s="603">
        <v>396</v>
      </c>
      <c r="E129" s="480" t="s">
        <v>650</v>
      </c>
      <c r="F129" s="480" t="str">
        <f>CONCATENATE(DescontosTE[[#This Row],[Permissionária]],DescontosTE[[#This Row],[codsariSUP]],DescontosTE[[#This Row],[Classe]])</f>
        <v>Coprel396A4</v>
      </c>
      <c r="G129" s="508">
        <v>0.53600000000000003</v>
      </c>
      <c r="H129" s="508">
        <v>0.53600000000000003</v>
      </c>
      <c r="I129" s="508">
        <v>0.40200000000000002</v>
      </c>
      <c r="J129" s="510">
        <v>0</v>
      </c>
      <c r="K129" s="678">
        <v>0</v>
      </c>
      <c r="L129" s="851">
        <v>0</v>
      </c>
      <c r="M129" s="851">
        <v>0</v>
      </c>
    </row>
    <row r="130" spans="1:14">
      <c r="A130" s="480" t="s">
        <v>213</v>
      </c>
      <c r="B130" s="480" t="s">
        <v>245</v>
      </c>
      <c r="C130" s="603">
        <v>167</v>
      </c>
      <c r="D130" s="603">
        <v>396</v>
      </c>
      <c r="E130" s="480" t="s">
        <v>650</v>
      </c>
      <c r="F130" s="480" t="str">
        <f>CONCATENATE(DescontosTE[[#This Row],[Permissionária]],DescontosTE[[#This Row],[codsariSUP]],DescontosTE[[#This Row],[Classe]])</f>
        <v>Creluz396A4</v>
      </c>
      <c r="G130" s="508">
        <v>0.83053171196948017</v>
      </c>
      <c r="H130" s="508">
        <v>0.83053171196948017</v>
      </c>
      <c r="I130" s="508">
        <v>0.83053171196948017</v>
      </c>
      <c r="J130" s="510">
        <v>0.34849999999999998</v>
      </c>
      <c r="K130" s="678">
        <v>0.34849999999999998</v>
      </c>
      <c r="L130" s="851">
        <v>0.28499999999999998</v>
      </c>
      <c r="M130" s="1511">
        <v>0.28499999999999998</v>
      </c>
    </row>
    <row r="131" spans="1:14" hidden="1">
      <c r="A131" s="480" t="s">
        <v>528</v>
      </c>
      <c r="B131" s="480" t="s">
        <v>245</v>
      </c>
      <c r="C131" s="603">
        <v>167</v>
      </c>
      <c r="D131" s="603">
        <v>396</v>
      </c>
      <c r="E131" s="480" t="s">
        <v>650</v>
      </c>
      <c r="F131" s="480" t="str">
        <f>CONCATENATE(DescontosTE[[#This Row],[Permissionária]],DescontosTE[[#This Row],[codsariSUP]],DescontosTE[[#This Row],[Classe]])</f>
        <v>Creral396A4</v>
      </c>
      <c r="G131" s="508">
        <v>0.76871721506914636</v>
      </c>
      <c r="H131" s="508">
        <v>0.76871721506914636</v>
      </c>
      <c r="I131" s="508">
        <v>0.76871721506914636</v>
      </c>
      <c r="J131" s="510">
        <v>0.46889999999999998</v>
      </c>
      <c r="K131" s="678">
        <v>0.46889999999999998</v>
      </c>
      <c r="L131" s="851">
        <v>0.214</v>
      </c>
      <c r="M131" s="1511">
        <v>0.214</v>
      </c>
    </row>
    <row r="132" spans="1:14" hidden="1">
      <c r="A132" s="480" t="s">
        <v>528</v>
      </c>
      <c r="B132" s="480" t="s">
        <v>245</v>
      </c>
      <c r="C132" s="603">
        <v>167</v>
      </c>
      <c r="D132" s="603">
        <v>396</v>
      </c>
      <c r="E132" s="480" t="s">
        <v>657</v>
      </c>
      <c r="F132" s="480" t="str">
        <f>CONCATENATE(DescontosTE[[#This Row],[Permissionária]],DescontosTE[[#This Row],[codsariSUP]],DescontosTE[[#This Row],[Classe]])</f>
        <v>Creral396B</v>
      </c>
      <c r="G132" s="508">
        <v>2.0743919885550688E-2</v>
      </c>
      <c r="H132" s="508">
        <v>2.0743919885550688E-2</v>
      </c>
      <c r="I132" s="508">
        <v>2.0743919885550688E-2</v>
      </c>
      <c r="J132" s="510">
        <v>2.07E-2</v>
      </c>
      <c r="K132" s="678">
        <v>2.07E-2</v>
      </c>
      <c r="L132" s="851">
        <v>2.07E-2</v>
      </c>
      <c r="M132" s="1511">
        <v>2.07E-2</v>
      </c>
    </row>
    <row r="133" spans="1:14" hidden="1">
      <c r="A133" s="480" t="s">
        <v>418</v>
      </c>
      <c r="B133" s="485" t="s">
        <v>202</v>
      </c>
      <c r="C133" s="480">
        <v>103</v>
      </c>
      <c r="D133" s="480">
        <v>383</v>
      </c>
      <c r="E133" s="480" t="s">
        <v>650</v>
      </c>
      <c r="F133" s="480" t="str">
        <f>CONCATENATE(DescontosTE[[#This Row],[Permissionária]],DescontosTE[[#This Row],[codsariSUP]],DescontosTE[[#This Row],[Classe]])</f>
        <v>Cerci383A4</v>
      </c>
      <c r="G133" s="508"/>
      <c r="H133" s="508"/>
      <c r="I133" s="508"/>
      <c r="J133" s="510">
        <v>0.38529999999999998</v>
      </c>
      <c r="K133" s="807">
        <v>0.38529999999999998</v>
      </c>
      <c r="L133" s="851">
        <f>DescontosTE[[#This Row],[2019]]</f>
        <v>0.38529999999999998</v>
      </c>
      <c r="M133" s="510">
        <f>DescontosTE[[#This Row],[2020]]</f>
        <v>0.38529999999999998</v>
      </c>
      <c r="N133" s="510">
        <f>DescontosTE[[#This Row],[2020]]</f>
        <v>0.38529999999999998</v>
      </c>
    </row>
    <row r="134" spans="1:14" hidden="1">
      <c r="A134" s="480" t="s">
        <v>235</v>
      </c>
      <c r="B134" s="485" t="s">
        <v>202</v>
      </c>
      <c r="C134" s="480">
        <v>103</v>
      </c>
      <c r="D134" s="480">
        <v>383</v>
      </c>
      <c r="E134" s="480" t="s">
        <v>650</v>
      </c>
      <c r="F134" s="480" t="str">
        <f>CONCATENATE(DescontosTE[[#This Row],[Permissionária]],DescontosTE[[#This Row],[codsariSUP]],DescontosTE[[#This Row],[Classe]])</f>
        <v>Ceral Araruama383A4</v>
      </c>
      <c r="G134" s="508"/>
      <c r="H134" s="508"/>
      <c r="I134" s="508"/>
      <c r="J134" s="510">
        <v>0.38529999999999998</v>
      </c>
      <c r="K134" s="807">
        <v>0.38030000000000003</v>
      </c>
      <c r="L134" s="851">
        <f>DescontosTE[[#This Row],[2019]]</f>
        <v>0.38030000000000003</v>
      </c>
      <c r="M134" s="508">
        <v>0.26430999999999999</v>
      </c>
      <c r="N134" s="508">
        <v>0.26430999999999999</v>
      </c>
    </row>
    <row r="135" spans="1:14" hidden="1">
      <c r="A135" s="480" t="s">
        <v>441</v>
      </c>
      <c r="B135" s="480" t="s">
        <v>245</v>
      </c>
      <c r="C135" s="603">
        <v>167</v>
      </c>
      <c r="D135" s="603">
        <v>396</v>
      </c>
      <c r="E135" s="480" t="s">
        <v>650</v>
      </c>
      <c r="F135" s="480" t="str">
        <f>CONCATENATE(DescontosTE[[#This Row],[Permissionária]],DescontosTE[[#This Row],[codsariSUP]],DescontosTE[[#This Row],[Classe]])</f>
        <v>Cerfox396A4</v>
      </c>
      <c r="G135" s="508"/>
      <c r="H135" s="508"/>
      <c r="I135" s="508"/>
      <c r="J135" s="510">
        <v>0.1401</v>
      </c>
      <c r="K135" s="807">
        <v>0.1401</v>
      </c>
      <c r="L135" s="851">
        <v>0.1401</v>
      </c>
      <c r="M135" s="1511">
        <v>0.1401</v>
      </c>
    </row>
    <row r="136" spans="1:14" hidden="1">
      <c r="A136" s="480" t="s">
        <v>545</v>
      </c>
      <c r="B136" s="480" t="s">
        <v>245</v>
      </c>
      <c r="C136" s="603">
        <v>167</v>
      </c>
      <c r="D136" s="603">
        <v>396</v>
      </c>
      <c r="E136" s="480" t="s">
        <v>650</v>
      </c>
      <c r="F136" s="480" t="str">
        <f>CONCATENATE(DescontosTE[[#This Row],[Permissionária]],DescontosTE[[#This Row],[codsariSUP]],DescontosTE[[#This Row],[Classe]])</f>
        <v>Certhil396A4</v>
      </c>
      <c r="G136" s="508"/>
      <c r="H136" s="508"/>
      <c r="I136" s="508"/>
      <c r="J136" s="510">
        <v>0.25359999999999999</v>
      </c>
      <c r="K136" s="807">
        <v>0.22370000000000001</v>
      </c>
      <c r="L136" s="851">
        <v>0.1273</v>
      </c>
      <c r="M136" s="1511">
        <v>0</v>
      </c>
    </row>
    <row r="137" spans="1:14" hidden="1">
      <c r="A137" s="480" t="s">
        <v>336</v>
      </c>
      <c r="B137" s="480" t="s">
        <v>660</v>
      </c>
      <c r="C137" s="480">
        <v>132</v>
      </c>
      <c r="D137" s="480">
        <v>2866</v>
      </c>
      <c r="E137" s="480" t="s">
        <v>654</v>
      </c>
      <c r="F137" s="480" t="str">
        <f>CONCATENATE(DescontosTE[[#This Row],[Permissionária]],DescontosTE[[#This Row],[codsariSUP]],DescontosTE[[#This Row],[Classe]])</f>
        <v>Castro Dis2866A3a</v>
      </c>
      <c r="G137" s="508"/>
      <c r="H137" s="508"/>
      <c r="I137" s="508"/>
      <c r="J137" s="510">
        <v>0.42030000000000001</v>
      </c>
      <c r="K137" s="807">
        <v>0.42030000000000001</v>
      </c>
      <c r="L137" s="851">
        <v>0.33839999999999998</v>
      </c>
      <c r="M137" s="1511">
        <v>0.33839999999999998</v>
      </c>
    </row>
    <row r="138" spans="1:14" hidden="1">
      <c r="A138" s="480" t="s">
        <v>336</v>
      </c>
      <c r="B138" s="480" t="s">
        <v>660</v>
      </c>
      <c r="C138" s="480">
        <v>132</v>
      </c>
      <c r="D138" s="480">
        <v>2866</v>
      </c>
      <c r="E138" s="480" t="s">
        <v>650</v>
      </c>
      <c r="F138" s="480" t="str">
        <f>CONCATENATE(DescontosTE[[#This Row],[Permissionária]],DescontosTE[[#This Row],[codsariSUP]],DescontosTE[[#This Row],[Classe]])</f>
        <v>Castro Dis2866A4</v>
      </c>
      <c r="G138" s="508"/>
      <c r="H138" s="508"/>
      <c r="I138" s="508"/>
      <c r="J138" s="510">
        <v>0.4153</v>
      </c>
      <c r="K138" s="807">
        <v>0.4153</v>
      </c>
      <c r="L138" s="851">
        <v>0.33839999999999998</v>
      </c>
      <c r="M138" s="1511">
        <v>0.33839999999999998</v>
      </c>
    </row>
    <row r="139" spans="1:14" hidden="1">
      <c r="A139" s="480" t="s">
        <v>560</v>
      </c>
      <c r="B139" s="480" t="s">
        <v>661</v>
      </c>
      <c r="C139" s="480">
        <v>145</v>
      </c>
      <c r="D139" s="480">
        <v>385</v>
      </c>
      <c r="E139" s="480" t="s">
        <v>650</v>
      </c>
      <c r="F139" s="480" t="str">
        <f>CONCATENATE(DescontosTE[[#This Row],[Permissionária]],DescontosTE[[#This Row],[codsariSUP]],DescontosTE[[#This Row],[Classe]])</f>
        <v>Cervam385A4</v>
      </c>
      <c r="G139" s="508"/>
      <c r="H139" s="508"/>
      <c r="I139" s="508"/>
      <c r="J139" s="510">
        <v>0.40989999999999999</v>
      </c>
      <c r="K139" s="807">
        <v>4.3299999999999998E-2</v>
      </c>
      <c r="L139" s="851">
        <v>0</v>
      </c>
      <c r="M139" s="851">
        <v>0</v>
      </c>
    </row>
    <row r="140" spans="1:14" hidden="1">
      <c r="A140" s="480" t="s">
        <v>560</v>
      </c>
      <c r="B140" s="480" t="s">
        <v>189</v>
      </c>
      <c r="C140" s="480">
        <v>136</v>
      </c>
      <c r="D140" s="480">
        <v>63</v>
      </c>
      <c r="E140" s="480" t="s">
        <v>650</v>
      </c>
      <c r="F140" s="480" t="str">
        <f>CONCATENATE(DescontosTE[[#This Row],[Permissionária]],DescontosTE[[#This Row],[codsariSUP]],DescontosTE[[#This Row],[Classe]])</f>
        <v>Cervam63A4</v>
      </c>
      <c r="G140" s="508"/>
      <c r="H140" s="508"/>
      <c r="I140" s="508"/>
      <c r="J140" s="510">
        <v>0.4103</v>
      </c>
      <c r="K140" s="807">
        <v>4.3299999999999998E-2</v>
      </c>
      <c r="L140" s="851">
        <v>0</v>
      </c>
      <c r="M140" s="851">
        <v>0</v>
      </c>
    </row>
    <row r="141" spans="1:14" hidden="1">
      <c r="A141" s="480" t="s">
        <v>225</v>
      </c>
      <c r="B141" s="480" t="s">
        <v>228</v>
      </c>
      <c r="C141" s="480">
        <v>111</v>
      </c>
      <c r="D141" s="480">
        <v>5697</v>
      </c>
      <c r="E141" s="480" t="s">
        <v>655</v>
      </c>
      <c r="F141" s="480" t="str">
        <f>CONCATENATE(DescontosTE[[#This Row],[Permissionária]],DescontosTE[[#This Row],[codsariSUP]],DescontosTE[[#This Row],[Classe]])</f>
        <v>Cegero5697A2</v>
      </c>
      <c r="G141" s="508"/>
      <c r="H141" s="508"/>
      <c r="I141" s="508"/>
      <c r="J141" s="510">
        <v>0.44009999999999999</v>
      </c>
      <c r="K141" s="807">
        <v>0.3735</v>
      </c>
      <c r="L141" s="851">
        <v>0.29289999999999999</v>
      </c>
      <c r="M141" s="1511">
        <v>0.29289999999999999</v>
      </c>
    </row>
    <row r="142" spans="1:14" hidden="1">
      <c r="A142" s="480" t="s">
        <v>523</v>
      </c>
      <c r="B142" s="480" t="s">
        <v>228</v>
      </c>
      <c r="C142" s="480">
        <v>111</v>
      </c>
      <c r="D142" s="480">
        <v>5697</v>
      </c>
      <c r="E142" s="480" t="s">
        <v>650</v>
      </c>
      <c r="F142" s="480" t="str">
        <f>CONCATENATE(DescontosTE[[#This Row],[Permissionária]],DescontosTE[[#This Row],[codsariSUP]],DescontosTE[[#This Row],[Classe]])</f>
        <v>Cersad5697A4</v>
      </c>
      <c r="G142" s="508"/>
      <c r="H142" s="508"/>
      <c r="I142" s="508"/>
      <c r="J142" s="510">
        <v>0.41320000000000001</v>
      </c>
      <c r="K142" s="807">
        <v>0.34079999999999999</v>
      </c>
      <c r="L142" s="851">
        <v>0.25679999999999997</v>
      </c>
      <c r="M142" s="1511">
        <v>0</v>
      </c>
    </row>
    <row r="143" spans="1:14" hidden="1">
      <c r="A143" s="480" t="s">
        <v>571</v>
      </c>
      <c r="B143" s="480" t="s">
        <v>228</v>
      </c>
      <c r="C143" s="480">
        <v>111</v>
      </c>
      <c r="D143" s="480">
        <v>5697</v>
      </c>
      <c r="E143" s="480" t="s">
        <v>655</v>
      </c>
      <c r="F143" s="480" t="str">
        <f>CONCATENATE(DescontosTE[[#This Row],[Permissionária]],DescontosTE[[#This Row],[codsariSUP]],DescontosTE[[#This Row],[Classe]])</f>
        <v>Codesam5697A2</v>
      </c>
      <c r="G143" s="508"/>
      <c r="H143" s="508"/>
      <c r="I143" s="508"/>
      <c r="J143" s="510">
        <v>0.44009999999999999</v>
      </c>
      <c r="K143" s="807">
        <v>0.28170000000000001</v>
      </c>
      <c r="L143" s="851">
        <v>0.25019999999999998</v>
      </c>
      <c r="M143" s="1511">
        <v>0.25019999999999998</v>
      </c>
    </row>
    <row r="144" spans="1:14" hidden="1">
      <c r="A144" s="480" t="s">
        <v>608</v>
      </c>
      <c r="B144" s="480" t="s">
        <v>228</v>
      </c>
      <c r="C144" s="480">
        <v>111</v>
      </c>
      <c r="D144" s="480">
        <v>5697</v>
      </c>
      <c r="E144" s="480" t="s">
        <v>650</v>
      </c>
      <c r="F144" s="480" t="str">
        <f>CONCATENATE(DescontosTE[[#This Row],[Permissionária]],DescontosTE[[#This Row],[codsariSUP]],DescontosTE[[#This Row],[Classe]])</f>
        <v>Cooperzem5697A4</v>
      </c>
      <c r="G144" s="508"/>
      <c r="H144" s="508"/>
      <c r="I144" s="508"/>
      <c r="J144" s="510">
        <v>0.41320000000000001</v>
      </c>
      <c r="K144" s="807">
        <v>0.16650000000000001</v>
      </c>
      <c r="L144" s="851">
        <v>0.1057</v>
      </c>
      <c r="M144" s="1511">
        <v>0.1057</v>
      </c>
    </row>
    <row r="145" spans="1:50" hidden="1">
      <c r="A145" s="480" t="s">
        <v>607</v>
      </c>
      <c r="B145" s="480" t="s">
        <v>404</v>
      </c>
      <c r="C145" s="480">
        <v>110</v>
      </c>
      <c r="D145" s="480">
        <v>5707</v>
      </c>
      <c r="E145" s="480" t="s">
        <v>650</v>
      </c>
      <c r="F145" s="480" t="str">
        <f>CONCATENATE(DescontosTE[[#This Row],[Permissionária]],DescontosTE[[#This Row],[codsariSUP]],DescontosTE[[#This Row],[Classe]])</f>
        <v>Coopersul5707A4</v>
      </c>
      <c r="G145" s="508"/>
      <c r="H145" s="508"/>
      <c r="I145" s="508"/>
      <c r="J145" s="510">
        <v>0.33779999999999999</v>
      </c>
      <c r="K145" s="807">
        <v>0.33779999999999999</v>
      </c>
      <c r="L145" s="851">
        <v>0.20419999999999999</v>
      </c>
      <c r="M145" s="1511">
        <v>9.0499999999999997E-2</v>
      </c>
    </row>
    <row r="146" spans="1:50" hidden="1">
      <c r="A146" s="480" t="s">
        <v>601</v>
      </c>
      <c r="B146" s="480" t="s">
        <v>404</v>
      </c>
      <c r="C146" s="480">
        <v>110</v>
      </c>
      <c r="D146" s="480">
        <v>5707</v>
      </c>
      <c r="E146" s="480" t="s">
        <v>650</v>
      </c>
      <c r="F146" s="480" t="str">
        <f>CONCATENATE(DescontosTE[[#This Row],[Permissionária]],DescontosTE[[#This Row],[codsariSUP]],DescontosTE[[#This Row],[Classe]])</f>
        <v>Coopernorte5707A4</v>
      </c>
      <c r="G146" s="508"/>
      <c r="H146" s="508"/>
      <c r="I146" s="508"/>
      <c r="J146" s="510">
        <v>0.49409999999999998</v>
      </c>
      <c r="K146" s="807">
        <v>0.48630000000000001</v>
      </c>
      <c r="L146" s="851">
        <v>0.37609999999999999</v>
      </c>
      <c r="M146" s="1511">
        <v>0.37609999999999999</v>
      </c>
    </row>
    <row r="147" spans="1:50" hidden="1">
      <c r="A147" s="480" t="s">
        <v>376</v>
      </c>
      <c r="B147" s="480" t="s">
        <v>189</v>
      </c>
      <c r="C147" s="480">
        <v>136</v>
      </c>
      <c r="D147" s="480">
        <v>63</v>
      </c>
      <c r="E147" s="480" t="s">
        <v>655</v>
      </c>
      <c r="F147" s="480" t="str">
        <f>CONCATENATE(DescontosTE[[#This Row],[Permissionária]],DescontosTE[[#This Row],[codsariSUP]],DescontosTE[[#This Row],[Classe]])</f>
        <v>Cemirim63A2</v>
      </c>
      <c r="G147" s="508"/>
      <c r="H147" s="508"/>
      <c r="I147" s="508"/>
      <c r="J147" s="510"/>
      <c r="K147" s="807">
        <v>0.18690000000000001</v>
      </c>
      <c r="L147" s="851">
        <v>0.1603</v>
      </c>
      <c r="M147" s="508">
        <v>0</v>
      </c>
    </row>
    <row r="148" spans="1:50" hidden="1">
      <c r="A148" s="480" t="s">
        <v>376</v>
      </c>
      <c r="B148" s="480" t="s">
        <v>203</v>
      </c>
      <c r="C148" s="480">
        <v>145</v>
      </c>
      <c r="D148" s="480">
        <v>385</v>
      </c>
      <c r="E148" s="480" t="s">
        <v>650</v>
      </c>
      <c r="F148" s="480" t="str">
        <f>CONCATENATE(DescontosTE[[#This Row],[Permissionária]],DescontosTE[[#This Row],[codsariSUP]],DescontosTE[[#This Row],[Classe]])</f>
        <v>Cemirim385A4</v>
      </c>
      <c r="G148" s="508"/>
      <c r="H148" s="508"/>
      <c r="I148" s="508"/>
      <c r="J148" s="510"/>
      <c r="K148" s="807">
        <v>0.18690000000000001</v>
      </c>
      <c r="L148" s="851">
        <v>0.1603</v>
      </c>
      <c r="M148" s="508">
        <v>0</v>
      </c>
    </row>
    <row r="149" spans="1:50" hidden="1">
      <c r="A149" s="480" t="s">
        <v>369</v>
      </c>
      <c r="B149" s="480" t="s">
        <v>245</v>
      </c>
      <c r="C149" s="480">
        <v>167</v>
      </c>
      <c r="D149" s="480">
        <v>396</v>
      </c>
      <c r="E149" s="480" t="s">
        <v>650</v>
      </c>
      <c r="F149" s="480" t="str">
        <f>CONCATENATE(DescontosTE[[#This Row],[Permissionária]],DescontosTE[[#This Row],[codsariSUP]],DescontosTE[[#This Row],[Classe]])</f>
        <v>Celetro396A4</v>
      </c>
      <c r="G149" s="852"/>
      <c r="H149" s="852"/>
      <c r="I149" s="852"/>
      <c r="J149" s="510"/>
      <c r="K149" s="807"/>
      <c r="L149" s="851">
        <v>0.1426</v>
      </c>
      <c r="M149" s="1511">
        <v>0.1426</v>
      </c>
      <c r="AS149" s="843"/>
      <c r="AX149" s="843"/>
    </row>
    <row r="150" spans="1:50" hidden="1">
      <c r="A150" s="480" t="s">
        <v>369</v>
      </c>
      <c r="B150" s="480" t="s">
        <v>662</v>
      </c>
      <c r="C150" s="480">
        <v>164</v>
      </c>
      <c r="D150" s="480">
        <v>400</v>
      </c>
      <c r="E150" s="480" t="s">
        <v>650</v>
      </c>
      <c r="F150" s="480" t="str">
        <f>CONCATENATE(DescontosTE[[#This Row],[Permissionária]],DescontosTE[[#This Row],[codsariSUP]],DescontosTE[[#This Row],[Classe]])</f>
        <v>Celetro400A4</v>
      </c>
      <c r="L150" s="510">
        <v>0.1426</v>
      </c>
      <c r="M150" s="1511">
        <v>0.1426</v>
      </c>
      <c r="AS150" s="843"/>
      <c r="AX150" s="843"/>
    </row>
    <row r="154" spans="1:50">
      <c r="A154" s="651" t="s">
        <v>663</v>
      </c>
    </row>
    <row r="156" spans="1:50">
      <c r="A156" s="9" t="s">
        <v>20</v>
      </c>
      <c r="B156" s="652" t="s">
        <v>281</v>
      </c>
      <c r="C156" t="s">
        <v>664</v>
      </c>
      <c r="D156" s="9" t="s">
        <v>665</v>
      </c>
      <c r="E156" s="9" t="s">
        <v>666</v>
      </c>
      <c r="F156" t="s">
        <v>667</v>
      </c>
      <c r="G156" t="s">
        <v>642</v>
      </c>
      <c r="H156" t="s">
        <v>643</v>
      </c>
      <c r="I156" t="s">
        <v>644</v>
      </c>
      <c r="J156" t="s">
        <v>645</v>
      </c>
      <c r="K156" t="s">
        <v>646</v>
      </c>
      <c r="L156" t="s">
        <v>647</v>
      </c>
      <c r="M156" t="s">
        <v>648</v>
      </c>
      <c r="N156" t="s">
        <v>649</v>
      </c>
    </row>
    <row r="157" spans="1:50" hidden="1">
      <c r="A157" s="9" t="s">
        <v>637</v>
      </c>
      <c r="B157" s="653" t="s">
        <v>322</v>
      </c>
      <c r="C157" s="233">
        <v>477.54</v>
      </c>
      <c r="D157" s="233">
        <v>293.51</v>
      </c>
      <c r="E157" s="233">
        <v>285.53000000000003</v>
      </c>
      <c r="F157" s="233">
        <v>316.42</v>
      </c>
      <c r="G157" s="233">
        <v>400.42</v>
      </c>
      <c r="H157" s="233">
        <v>439.05</v>
      </c>
      <c r="I157">
        <v>464.07</v>
      </c>
      <c r="J157">
        <v>529.15</v>
      </c>
      <c r="K157" s="805">
        <v>585.49</v>
      </c>
      <c r="L157">
        <v>716.79000000000008</v>
      </c>
      <c r="M157" s="416">
        <v>802.08</v>
      </c>
    </row>
    <row r="158" spans="1:50" hidden="1">
      <c r="A158" s="9" t="s">
        <v>637</v>
      </c>
      <c r="B158" s="654" t="s">
        <v>226</v>
      </c>
      <c r="C158" s="233">
        <v>454.01</v>
      </c>
      <c r="D158" s="233">
        <v>372.29</v>
      </c>
      <c r="E158" s="233">
        <v>429.11</v>
      </c>
      <c r="F158" s="233">
        <v>488.63</v>
      </c>
      <c r="G158" s="233">
        <v>603.84</v>
      </c>
      <c r="H158" s="233">
        <v>662.82</v>
      </c>
      <c r="I158">
        <v>695.1</v>
      </c>
      <c r="J158">
        <v>784.40000000000009</v>
      </c>
      <c r="K158" s="805">
        <v>750.67</v>
      </c>
      <c r="L158">
        <v>694.52</v>
      </c>
      <c r="M158" s="416">
        <v>683.87</v>
      </c>
    </row>
    <row r="159" spans="1:50" hidden="1">
      <c r="A159" s="9" t="s">
        <v>637</v>
      </c>
      <c r="B159" s="653" t="s">
        <v>343</v>
      </c>
      <c r="C159" s="233">
        <v>422.89</v>
      </c>
      <c r="D159" s="233">
        <v>324.93</v>
      </c>
      <c r="E159" s="233">
        <v>330.32</v>
      </c>
      <c r="F159" s="233">
        <v>350.22</v>
      </c>
      <c r="G159" s="233">
        <v>461.39</v>
      </c>
      <c r="H159" s="233">
        <v>538.26</v>
      </c>
      <c r="I159">
        <v>573.74</v>
      </c>
      <c r="J159" s="233">
        <v>627.88</v>
      </c>
      <c r="K159" s="805">
        <v>687.25</v>
      </c>
      <c r="L159">
        <v>653.32000000000005</v>
      </c>
      <c r="M159" s="416">
        <v>636.51</v>
      </c>
    </row>
    <row r="160" spans="1:50" hidden="1">
      <c r="A160" s="9" t="s">
        <v>637</v>
      </c>
      <c r="B160" s="654" t="s">
        <v>349</v>
      </c>
      <c r="C160" s="233">
        <v>358.18</v>
      </c>
      <c r="D160" s="233">
        <v>201.09</v>
      </c>
      <c r="E160" s="233">
        <v>358.18</v>
      </c>
      <c r="F160" s="233">
        <v>285.40778770524361</v>
      </c>
      <c r="G160" s="233">
        <v>393.80621010002614</v>
      </c>
      <c r="H160" s="233">
        <v>393.80621010002614</v>
      </c>
      <c r="I160">
        <v>524.92999999999995</v>
      </c>
      <c r="J160" s="233">
        <v>473.15</v>
      </c>
      <c r="K160" s="805">
        <v>521.09</v>
      </c>
      <c r="L160">
        <v>586.86</v>
      </c>
      <c r="M160">
        <v>663.81999999999994</v>
      </c>
    </row>
    <row r="161" spans="1:13" hidden="1">
      <c r="A161" s="9" t="s">
        <v>637</v>
      </c>
      <c r="B161" s="653" t="s">
        <v>356</v>
      </c>
      <c r="C161" s="233">
        <v>364.27</v>
      </c>
      <c r="D161" s="233">
        <v>264.33</v>
      </c>
      <c r="E161" s="233">
        <v>322.36</v>
      </c>
      <c r="F161" s="233">
        <v>278.05753790328487</v>
      </c>
      <c r="G161" s="233">
        <v>365.46000000000004</v>
      </c>
      <c r="H161" s="233">
        <v>365.46000000000004</v>
      </c>
      <c r="I161">
        <v>441.3</v>
      </c>
      <c r="J161" s="233">
        <v>484.86</v>
      </c>
      <c r="K161" s="805">
        <v>531.81000000000006</v>
      </c>
      <c r="L161">
        <v>604.55999999999995</v>
      </c>
      <c r="M161" s="416">
        <v>688.71</v>
      </c>
    </row>
    <row r="162" spans="1:13" hidden="1">
      <c r="A162" s="9" t="s">
        <v>637</v>
      </c>
      <c r="B162" s="654" t="s">
        <v>364</v>
      </c>
      <c r="C162" s="233">
        <v>346.04</v>
      </c>
      <c r="D162" s="233">
        <v>244.04023455404769</v>
      </c>
      <c r="E162" s="233">
        <v>311.33999999999997</v>
      </c>
      <c r="F162" s="233">
        <v>357.41293987313691</v>
      </c>
      <c r="G162" s="233">
        <v>463.95000000000005</v>
      </c>
      <c r="H162" s="233">
        <v>461.19</v>
      </c>
      <c r="I162">
        <v>555.5</v>
      </c>
      <c r="J162" s="233">
        <v>607.63</v>
      </c>
      <c r="K162" s="805">
        <v>627.79</v>
      </c>
      <c r="L162">
        <f>419.13+242.86</f>
        <v>661.99</v>
      </c>
      <c r="M162" s="416">
        <v>820.92</v>
      </c>
    </row>
    <row r="163" spans="1:13" hidden="1">
      <c r="A163" s="9" t="s">
        <v>637</v>
      </c>
      <c r="B163" s="653" t="s">
        <v>370</v>
      </c>
      <c r="C163" s="233">
        <v>432.22</v>
      </c>
      <c r="D163" s="233">
        <v>334.28</v>
      </c>
      <c r="E163" s="233">
        <v>432.22</v>
      </c>
      <c r="F163" s="233">
        <v>406.19</v>
      </c>
      <c r="G163" s="233">
        <v>489.04</v>
      </c>
      <c r="H163" s="233">
        <v>489.04</v>
      </c>
      <c r="I163" s="233">
        <v>712.47</v>
      </c>
      <c r="J163" s="233">
        <v>461.91882050087406</v>
      </c>
      <c r="K163" s="805">
        <v>550.73</v>
      </c>
      <c r="L163">
        <f>343.12+245.73</f>
        <v>588.85</v>
      </c>
      <c r="M163" s="416">
        <v>603.04999999999995</v>
      </c>
    </row>
    <row r="164" spans="1:13" hidden="1">
      <c r="A164" s="9" t="s">
        <v>637</v>
      </c>
      <c r="B164" s="654" t="s">
        <v>377</v>
      </c>
      <c r="C164" s="233">
        <v>404.93</v>
      </c>
      <c r="D164" s="233">
        <v>237.94</v>
      </c>
      <c r="E164" s="233">
        <v>404.93</v>
      </c>
      <c r="F164" s="233">
        <v>263.02999999999997</v>
      </c>
      <c r="G164" s="233">
        <v>371.49669002205025</v>
      </c>
      <c r="H164" s="233">
        <v>371.5</v>
      </c>
      <c r="I164">
        <v>467.95</v>
      </c>
      <c r="J164" s="233">
        <v>504.95621166549836</v>
      </c>
      <c r="K164" s="805">
        <v>601.67000000000007</v>
      </c>
      <c r="L164">
        <f>319.9+262.18</f>
        <v>582.07999999999993</v>
      </c>
      <c r="M164" s="416">
        <v>613.14</v>
      </c>
    </row>
    <row r="165" spans="1:13" hidden="1">
      <c r="A165" s="9" t="s">
        <v>637</v>
      </c>
      <c r="B165" s="653" t="s">
        <v>384</v>
      </c>
      <c r="C165" s="233">
        <v>362.71</v>
      </c>
      <c r="D165" s="233">
        <v>216.37</v>
      </c>
      <c r="E165" s="233">
        <v>362.71</v>
      </c>
      <c r="F165" s="233">
        <v>259.14999999999998</v>
      </c>
      <c r="G165" s="233">
        <v>330.57</v>
      </c>
      <c r="H165" s="233">
        <v>330.57</v>
      </c>
      <c r="I165">
        <v>511.56</v>
      </c>
      <c r="J165" s="233">
        <v>538.42999999999995</v>
      </c>
      <c r="K165" s="805">
        <v>589.30000000000007</v>
      </c>
      <c r="L165">
        <v>631.75</v>
      </c>
      <c r="M165" s="416">
        <v>678.01</v>
      </c>
    </row>
    <row r="166" spans="1:13" hidden="1">
      <c r="A166" s="9" t="s">
        <v>637</v>
      </c>
      <c r="B166" s="654" t="s">
        <v>390</v>
      </c>
      <c r="C166" s="233">
        <v>435.97</v>
      </c>
      <c r="D166" s="233">
        <v>357.5</v>
      </c>
      <c r="E166" s="233">
        <v>388.25</v>
      </c>
      <c r="F166" s="233">
        <v>431.16</v>
      </c>
      <c r="G166" s="233">
        <v>543.15</v>
      </c>
      <c r="H166" s="233">
        <v>583.96</v>
      </c>
      <c r="I166">
        <v>636.54</v>
      </c>
      <c r="J166" s="233">
        <v>716.04</v>
      </c>
      <c r="K166" s="805">
        <v>697.1</v>
      </c>
      <c r="L166">
        <f>452.4+266.08</f>
        <v>718.48</v>
      </c>
      <c r="M166" s="416">
        <v>711.11</v>
      </c>
    </row>
    <row r="167" spans="1:13" hidden="1">
      <c r="A167" s="9" t="s">
        <v>637</v>
      </c>
      <c r="B167" s="653" t="s">
        <v>363</v>
      </c>
      <c r="C167" s="233">
        <v>388.16</v>
      </c>
      <c r="D167" s="233">
        <v>279.68</v>
      </c>
      <c r="E167" s="233">
        <v>301.51</v>
      </c>
      <c r="F167" s="233">
        <v>350.89</v>
      </c>
      <c r="G167" s="233">
        <v>436.4</v>
      </c>
      <c r="H167" s="233">
        <v>495.02000000000004</v>
      </c>
      <c r="I167">
        <v>556.74</v>
      </c>
      <c r="J167" s="233">
        <v>563.41</v>
      </c>
      <c r="K167" s="805">
        <v>616.29</v>
      </c>
      <c r="L167">
        <v>657.39</v>
      </c>
      <c r="M167" s="416">
        <v>548.54000000000008</v>
      </c>
    </row>
    <row r="168" spans="1:13" hidden="1">
      <c r="A168" s="9" t="s">
        <v>637</v>
      </c>
      <c r="B168" s="654" t="s">
        <v>383</v>
      </c>
      <c r="C168" s="233">
        <v>369.49</v>
      </c>
      <c r="D168" s="233">
        <v>306.07</v>
      </c>
      <c r="E168" s="233">
        <v>384.09999999999997</v>
      </c>
      <c r="F168" s="233">
        <v>430.41999999999996</v>
      </c>
      <c r="G168" s="233">
        <v>531.1</v>
      </c>
      <c r="H168" s="233">
        <v>507.00753569285177</v>
      </c>
      <c r="I168" s="233">
        <v>564.46713725793518</v>
      </c>
      <c r="J168" s="233">
        <v>626.71</v>
      </c>
      <c r="K168" s="805">
        <v>682.83</v>
      </c>
      <c r="L168">
        <v>725.14</v>
      </c>
      <c r="M168" s="416">
        <v>632.80000000000007</v>
      </c>
    </row>
    <row r="169" spans="1:13" hidden="1">
      <c r="A169" s="9" t="s">
        <v>637</v>
      </c>
      <c r="B169" s="653" t="s">
        <v>389</v>
      </c>
      <c r="C169" s="233">
        <v>366.87</v>
      </c>
      <c r="D169" s="233">
        <v>206.18</v>
      </c>
      <c r="E169" s="233">
        <v>252.23999999999998</v>
      </c>
      <c r="F169" s="233">
        <v>284.88</v>
      </c>
      <c r="G169" s="233">
        <v>353.59</v>
      </c>
      <c r="H169" s="233">
        <v>386.15</v>
      </c>
      <c r="I169">
        <v>430.76</v>
      </c>
      <c r="J169" s="233">
        <v>470.37</v>
      </c>
      <c r="K169" s="805">
        <v>496.86</v>
      </c>
      <c r="L169">
        <v>511.66</v>
      </c>
      <c r="M169" s="416">
        <v>518.32999999999993</v>
      </c>
    </row>
    <row r="170" spans="1:13" hidden="1">
      <c r="A170" s="9" t="s">
        <v>637</v>
      </c>
      <c r="B170" s="654" t="s">
        <v>223</v>
      </c>
      <c r="C170" s="233">
        <v>356.62</v>
      </c>
      <c r="D170" s="233">
        <v>292.43</v>
      </c>
      <c r="E170" s="233">
        <v>336.71</v>
      </c>
      <c r="F170" s="233">
        <v>369</v>
      </c>
      <c r="G170" s="233">
        <v>465.46000000000004</v>
      </c>
      <c r="H170" s="233">
        <v>512.65</v>
      </c>
      <c r="I170">
        <v>555.32000000000005</v>
      </c>
      <c r="J170" s="233">
        <v>609.02</v>
      </c>
      <c r="K170" s="805">
        <v>663.57999999999993</v>
      </c>
      <c r="L170">
        <v>677.53</v>
      </c>
      <c r="M170" s="416">
        <v>632.93999999999994</v>
      </c>
    </row>
    <row r="171" spans="1:13" hidden="1">
      <c r="A171" s="9" t="s">
        <v>637</v>
      </c>
      <c r="B171" s="653" t="s">
        <v>413</v>
      </c>
      <c r="C171" s="233">
        <v>319.74</v>
      </c>
      <c r="D171" s="233">
        <v>262.19</v>
      </c>
      <c r="E171" s="233">
        <v>308.73</v>
      </c>
      <c r="F171" s="233">
        <v>340.03</v>
      </c>
      <c r="G171" s="233">
        <v>401.97</v>
      </c>
      <c r="H171" s="233">
        <v>412.9</v>
      </c>
      <c r="I171">
        <v>460.64</v>
      </c>
      <c r="J171" s="233">
        <v>501.31</v>
      </c>
      <c r="K171" s="805">
        <v>544.1</v>
      </c>
      <c r="L171">
        <v>589.07999999999993</v>
      </c>
      <c r="M171" s="656">
        <v>561.9</v>
      </c>
    </row>
    <row r="172" spans="1:13" hidden="1">
      <c r="A172" s="9" t="s">
        <v>637</v>
      </c>
      <c r="B172" s="654" t="s">
        <v>424</v>
      </c>
      <c r="C172" s="233">
        <v>368.63</v>
      </c>
      <c r="D172" s="233">
        <v>302.27999999999997</v>
      </c>
      <c r="E172" s="233">
        <v>324.70000000000005</v>
      </c>
      <c r="F172" s="233">
        <v>370.55</v>
      </c>
      <c r="G172" s="233">
        <v>458.99</v>
      </c>
      <c r="H172" s="233">
        <v>456.67</v>
      </c>
      <c r="I172">
        <v>541.30999999999995</v>
      </c>
      <c r="J172" s="233">
        <v>543.35</v>
      </c>
      <c r="K172" s="805">
        <v>580.39</v>
      </c>
      <c r="L172">
        <v>610.34</v>
      </c>
      <c r="M172" s="416">
        <v>628.70000000000005</v>
      </c>
    </row>
    <row r="173" spans="1:13" hidden="1">
      <c r="A173" s="9" t="s">
        <v>637</v>
      </c>
      <c r="B173" s="653" t="s">
        <v>224</v>
      </c>
      <c r="C173" s="233">
        <v>346.91</v>
      </c>
      <c r="D173" s="233">
        <v>242</v>
      </c>
      <c r="E173" s="233">
        <v>289.56</v>
      </c>
      <c r="F173" s="233">
        <v>330.23</v>
      </c>
      <c r="G173" s="233">
        <v>413.18</v>
      </c>
      <c r="H173" s="233">
        <v>428.98</v>
      </c>
      <c r="I173">
        <v>522</v>
      </c>
      <c r="J173" s="233">
        <v>599.08000000000004</v>
      </c>
      <c r="K173" s="805">
        <v>655.47</v>
      </c>
      <c r="L173">
        <v>654.13</v>
      </c>
      <c r="M173" s="416">
        <v>721.68</v>
      </c>
    </row>
    <row r="174" spans="1:13" hidden="1">
      <c r="A174" s="9" t="s">
        <v>637</v>
      </c>
      <c r="B174" s="654" t="s">
        <v>435</v>
      </c>
      <c r="C174" s="233">
        <v>366.98</v>
      </c>
      <c r="D174" s="233">
        <v>251.82</v>
      </c>
      <c r="E174" s="233">
        <v>312.01</v>
      </c>
      <c r="F174" s="233">
        <v>335.83</v>
      </c>
      <c r="G174" s="233">
        <v>413.43</v>
      </c>
      <c r="H174" s="233">
        <v>401.35</v>
      </c>
      <c r="I174">
        <v>449.65</v>
      </c>
      <c r="J174" s="233">
        <v>491.34</v>
      </c>
      <c r="K174" s="805">
        <v>523.83000000000004</v>
      </c>
      <c r="L174">
        <v>545.07000000000005</v>
      </c>
      <c r="M174" s="416">
        <v>563.88</v>
      </c>
    </row>
    <row r="175" spans="1:13" hidden="1">
      <c r="A175" s="9" t="s">
        <v>637</v>
      </c>
      <c r="B175" s="653" t="s">
        <v>442</v>
      </c>
      <c r="C175" s="233">
        <v>344.09</v>
      </c>
      <c r="D175" s="233">
        <v>252.56</v>
      </c>
      <c r="E175" s="233">
        <v>299.25</v>
      </c>
      <c r="F175" s="233">
        <v>336.02</v>
      </c>
      <c r="G175" s="233">
        <v>412.58</v>
      </c>
      <c r="H175" s="233">
        <v>430.32</v>
      </c>
      <c r="I175">
        <v>464.97</v>
      </c>
      <c r="J175" s="233">
        <v>510.26</v>
      </c>
      <c r="K175" s="805">
        <v>559.04</v>
      </c>
      <c r="L175">
        <v>605.22</v>
      </c>
      <c r="M175" s="416">
        <v>641.27</v>
      </c>
    </row>
    <row r="176" spans="1:13" hidden="1">
      <c r="A176" s="9" t="s">
        <v>637</v>
      </c>
      <c r="B176" s="654" t="s">
        <v>447</v>
      </c>
      <c r="C176" s="233">
        <v>352.15</v>
      </c>
      <c r="D176" s="233">
        <v>313.41000000000003</v>
      </c>
      <c r="E176" s="233">
        <v>340.76</v>
      </c>
      <c r="F176" s="233">
        <v>300.83000000000004</v>
      </c>
      <c r="G176" s="233">
        <v>367.03999999999996</v>
      </c>
      <c r="H176" s="233">
        <v>352.81</v>
      </c>
      <c r="I176" s="233">
        <v>417.12369966554775</v>
      </c>
      <c r="J176" s="233">
        <v>507.4</v>
      </c>
      <c r="K176" s="805">
        <v>562.51</v>
      </c>
      <c r="L176">
        <v>608.16999999999996</v>
      </c>
      <c r="M176" s="416">
        <v>651.74</v>
      </c>
    </row>
    <row r="177" spans="1:13" hidden="1">
      <c r="A177" s="9" t="s">
        <v>637</v>
      </c>
      <c r="B177" s="653" t="s">
        <v>453</v>
      </c>
      <c r="C177" s="233">
        <v>363.15</v>
      </c>
      <c r="D177" s="233">
        <v>238.56</v>
      </c>
      <c r="E177" s="233">
        <v>279.66000000000003</v>
      </c>
      <c r="F177" s="233">
        <v>327.79999999999995</v>
      </c>
      <c r="G177" s="233">
        <v>404.02</v>
      </c>
      <c r="H177" s="233">
        <v>482.26</v>
      </c>
      <c r="I177">
        <v>521.36</v>
      </c>
      <c r="J177" s="233">
        <v>577.79</v>
      </c>
      <c r="K177" s="805">
        <v>633.44000000000005</v>
      </c>
      <c r="L177">
        <v>707.06999999999994</v>
      </c>
      <c r="M177" s="416">
        <v>705.72</v>
      </c>
    </row>
    <row r="178" spans="1:13" hidden="1">
      <c r="A178" s="9" t="s">
        <v>637</v>
      </c>
      <c r="B178" s="654" t="s">
        <v>458</v>
      </c>
      <c r="C178" s="233">
        <v>313.55</v>
      </c>
      <c r="D178" s="233">
        <v>208.01</v>
      </c>
      <c r="E178" s="233">
        <v>199.54</v>
      </c>
      <c r="F178" s="233">
        <v>227.81</v>
      </c>
      <c r="G178" s="233">
        <v>293.36</v>
      </c>
      <c r="H178" s="233">
        <v>330.82</v>
      </c>
      <c r="I178">
        <v>345.93</v>
      </c>
      <c r="J178" s="233">
        <v>375.68</v>
      </c>
      <c r="K178" s="805">
        <v>419.84</v>
      </c>
      <c r="L178">
        <v>440.52000000000004</v>
      </c>
      <c r="M178" s="416">
        <v>466</v>
      </c>
    </row>
    <row r="179" spans="1:13" hidden="1">
      <c r="A179" s="9" t="s">
        <v>637</v>
      </c>
      <c r="B179" s="653" t="s">
        <v>463</v>
      </c>
      <c r="C179" s="233">
        <v>368.84</v>
      </c>
      <c r="D179" s="233">
        <v>321.41000000000003</v>
      </c>
      <c r="E179" s="233">
        <v>293.41000000000003</v>
      </c>
      <c r="F179" s="233">
        <v>293.20000000000005</v>
      </c>
      <c r="G179" s="233">
        <v>369.56</v>
      </c>
      <c r="H179" s="233">
        <v>364.44</v>
      </c>
      <c r="I179">
        <v>507.27</v>
      </c>
      <c r="J179" s="233">
        <v>552.46</v>
      </c>
      <c r="K179" s="805">
        <v>620.12</v>
      </c>
      <c r="L179">
        <v>691.03000000000009</v>
      </c>
      <c r="M179" s="416">
        <v>729.03</v>
      </c>
    </row>
    <row r="180" spans="1:13" hidden="1">
      <c r="A180" s="9" t="s">
        <v>637</v>
      </c>
      <c r="B180" s="654" t="s">
        <v>227</v>
      </c>
      <c r="C180" s="233">
        <v>318.97000000000003</v>
      </c>
      <c r="D180" s="233">
        <v>222.08</v>
      </c>
      <c r="E180" s="233">
        <v>208.08</v>
      </c>
      <c r="F180" s="233">
        <v>214.45</v>
      </c>
      <c r="G180" s="233">
        <v>249.71</v>
      </c>
      <c r="H180" s="233">
        <v>296.18</v>
      </c>
      <c r="I180">
        <v>309.25</v>
      </c>
      <c r="J180" s="233">
        <v>338.07</v>
      </c>
      <c r="K180" s="805">
        <v>387.09</v>
      </c>
      <c r="L180">
        <v>395.17</v>
      </c>
      <c r="M180" s="416">
        <v>403.03</v>
      </c>
    </row>
    <row r="181" spans="1:13" hidden="1">
      <c r="A181" s="9" t="s">
        <v>637</v>
      </c>
      <c r="B181" s="653" t="s">
        <v>472</v>
      </c>
      <c r="C181" s="233">
        <v>310.13</v>
      </c>
      <c r="D181" s="233">
        <v>259.92</v>
      </c>
      <c r="E181" s="233">
        <v>296.12</v>
      </c>
      <c r="F181" s="233">
        <v>275.63</v>
      </c>
      <c r="G181" s="233">
        <v>347.7</v>
      </c>
      <c r="H181" s="233">
        <v>314.48</v>
      </c>
      <c r="I181">
        <v>356.72</v>
      </c>
      <c r="J181" s="233">
        <v>429.12</v>
      </c>
      <c r="K181" s="805">
        <v>468.2</v>
      </c>
      <c r="L181">
        <v>502.33000000000004</v>
      </c>
      <c r="M181" s="416">
        <v>550.72</v>
      </c>
    </row>
    <row r="182" spans="1:13" hidden="1">
      <c r="A182" s="9" t="s">
        <v>637</v>
      </c>
      <c r="B182" s="654" t="s">
        <v>479</v>
      </c>
      <c r="C182" s="233">
        <v>369.8</v>
      </c>
      <c r="D182" s="233">
        <v>231.9</v>
      </c>
      <c r="E182" s="233">
        <v>286.64999999999998</v>
      </c>
      <c r="F182" s="233">
        <v>323.81</v>
      </c>
      <c r="G182" s="233">
        <v>401.27</v>
      </c>
      <c r="H182" s="233">
        <v>420.08</v>
      </c>
      <c r="I182">
        <v>440.25</v>
      </c>
      <c r="J182" s="233">
        <v>475.41</v>
      </c>
      <c r="K182" s="805">
        <v>506.32999999999993</v>
      </c>
      <c r="L182">
        <v>538.1</v>
      </c>
      <c r="M182" s="416">
        <v>614.15</v>
      </c>
    </row>
    <row r="183" spans="1:13" hidden="1">
      <c r="A183" s="9" t="s">
        <v>637</v>
      </c>
      <c r="B183" s="653" t="s">
        <v>484</v>
      </c>
      <c r="C183" s="233">
        <v>364.86</v>
      </c>
      <c r="D183" s="233">
        <v>226.34</v>
      </c>
      <c r="E183" s="233">
        <v>282.91999999999996</v>
      </c>
      <c r="F183" s="233">
        <v>312.21999999999997</v>
      </c>
      <c r="G183" s="233">
        <v>384.17</v>
      </c>
      <c r="H183" s="233">
        <v>475.53</v>
      </c>
      <c r="I183">
        <v>505.03</v>
      </c>
      <c r="J183" s="233">
        <v>557.01</v>
      </c>
      <c r="K183" s="805">
        <v>592.26</v>
      </c>
      <c r="L183">
        <v>622.27</v>
      </c>
      <c r="M183" s="416">
        <v>648.42999999999995</v>
      </c>
    </row>
    <row r="184" spans="1:13" hidden="1">
      <c r="A184" s="9" t="s">
        <v>637</v>
      </c>
      <c r="B184" s="654" t="s">
        <v>214</v>
      </c>
      <c r="C184" s="233">
        <v>458.59</v>
      </c>
      <c r="D184" s="233">
        <v>323.39</v>
      </c>
      <c r="E184" s="233">
        <v>339.78</v>
      </c>
      <c r="F184" s="233">
        <v>301.13</v>
      </c>
      <c r="G184" s="233">
        <v>344.61</v>
      </c>
      <c r="H184" s="233">
        <v>363.7</v>
      </c>
      <c r="I184">
        <v>415.73</v>
      </c>
      <c r="J184" s="233">
        <v>454.61</v>
      </c>
      <c r="K184" s="805">
        <v>514.23</v>
      </c>
      <c r="L184">
        <v>496.95</v>
      </c>
      <c r="M184" s="416">
        <v>539.69000000000005</v>
      </c>
    </row>
    <row r="185" spans="1:13" hidden="1">
      <c r="A185" s="9" t="s">
        <v>637</v>
      </c>
      <c r="B185" s="653" t="s">
        <v>489</v>
      </c>
      <c r="C185" s="233">
        <v>482.42</v>
      </c>
      <c r="D185" s="233">
        <v>334.28</v>
      </c>
      <c r="E185" s="233">
        <v>369.17</v>
      </c>
      <c r="F185" s="233">
        <v>405.12</v>
      </c>
      <c r="G185" s="233">
        <v>495.76</v>
      </c>
      <c r="H185" s="233">
        <v>469.76</v>
      </c>
      <c r="I185" s="233">
        <v>537.92999999999995</v>
      </c>
      <c r="J185" s="233">
        <v>568.73030731554422</v>
      </c>
      <c r="K185" s="805">
        <v>666.96</v>
      </c>
      <c r="L185">
        <v>631.15</v>
      </c>
      <c r="M185" s="416">
        <v>604.07000000000005</v>
      </c>
    </row>
    <row r="186" spans="1:13" hidden="1">
      <c r="A186" s="9" t="s">
        <v>637</v>
      </c>
      <c r="B186" s="654" t="s">
        <v>501</v>
      </c>
      <c r="C186" s="233">
        <v>404.46</v>
      </c>
      <c r="D186" s="233">
        <v>265.99</v>
      </c>
      <c r="E186" s="233">
        <v>404.46</v>
      </c>
      <c r="F186" s="233">
        <v>305.14</v>
      </c>
      <c r="G186" s="233">
        <v>393.10271432926857</v>
      </c>
      <c r="H186" s="233">
        <v>393.1</v>
      </c>
      <c r="I186">
        <v>551.04</v>
      </c>
      <c r="J186" s="233">
        <v>595.99</v>
      </c>
      <c r="K186" s="805">
        <v>616.19999999999993</v>
      </c>
      <c r="L186">
        <f>357.43+226.05</f>
        <v>583.48</v>
      </c>
      <c r="M186" s="416">
        <v>521.44999999999993</v>
      </c>
    </row>
    <row r="187" spans="1:13" hidden="1">
      <c r="A187" s="9" t="s">
        <v>637</v>
      </c>
      <c r="B187" s="653" t="s">
        <v>240</v>
      </c>
      <c r="C187" s="233">
        <v>369.38</v>
      </c>
      <c r="D187" s="233">
        <v>287.44</v>
      </c>
      <c r="E187" s="233">
        <v>297.12</v>
      </c>
      <c r="F187" s="233">
        <v>269.27</v>
      </c>
      <c r="G187" s="233">
        <v>373.22999999999996</v>
      </c>
      <c r="H187" s="233">
        <v>358.46</v>
      </c>
      <c r="I187">
        <v>384</v>
      </c>
      <c r="J187">
        <v>422.87</v>
      </c>
      <c r="K187" s="805">
        <v>458.66</v>
      </c>
      <c r="L187">
        <v>484.06</v>
      </c>
      <c r="M187" s="416">
        <v>508.88999999999993</v>
      </c>
    </row>
    <row r="188" spans="1:13" hidden="1">
      <c r="A188" s="9" t="s">
        <v>637</v>
      </c>
      <c r="B188" s="654" t="s">
        <v>512</v>
      </c>
      <c r="C188" s="233">
        <v>449.12</v>
      </c>
      <c r="D188" s="233">
        <v>302.11</v>
      </c>
      <c r="E188" s="233">
        <v>344.88</v>
      </c>
      <c r="F188" s="233">
        <v>366.2</v>
      </c>
      <c r="G188" s="233">
        <v>450.46000000000004</v>
      </c>
      <c r="H188" s="233">
        <v>424.82695202870184</v>
      </c>
      <c r="I188">
        <v>507.06</v>
      </c>
      <c r="J188">
        <v>452.06</v>
      </c>
      <c r="K188" s="805">
        <v>503.84</v>
      </c>
      <c r="L188">
        <v>506.04</v>
      </c>
      <c r="M188" s="416">
        <v>514.01</v>
      </c>
    </row>
    <row r="189" spans="1:13" hidden="1">
      <c r="A189" s="9" t="s">
        <v>637</v>
      </c>
      <c r="B189" s="653" t="s">
        <v>517</v>
      </c>
      <c r="C189" s="233">
        <v>405.06</v>
      </c>
      <c r="D189" s="233">
        <v>283</v>
      </c>
      <c r="E189" s="233">
        <v>323.12</v>
      </c>
      <c r="F189" s="233">
        <v>325.23</v>
      </c>
      <c r="G189" s="233">
        <v>414.44</v>
      </c>
      <c r="H189" s="233">
        <v>402.86</v>
      </c>
      <c r="I189">
        <v>497.26</v>
      </c>
      <c r="J189">
        <v>525.89</v>
      </c>
      <c r="K189" s="805">
        <v>571.18000000000006</v>
      </c>
      <c r="L189">
        <f>279.82+218.08</f>
        <v>497.9</v>
      </c>
      <c r="M189" s="416">
        <v>458.09</v>
      </c>
    </row>
    <row r="190" spans="1:13">
      <c r="A190" s="9" t="s">
        <v>637</v>
      </c>
      <c r="B190" s="654" t="s">
        <v>213</v>
      </c>
      <c r="C190" s="233">
        <v>449.12</v>
      </c>
      <c r="D190" s="233">
        <v>302.11</v>
      </c>
      <c r="E190" s="233">
        <v>344.88</v>
      </c>
      <c r="F190" s="233">
        <v>366.2</v>
      </c>
      <c r="G190" s="233">
        <v>471.76</v>
      </c>
      <c r="H190" s="233">
        <v>434.78</v>
      </c>
      <c r="I190">
        <v>498.87</v>
      </c>
      <c r="J190">
        <v>538.66999999999996</v>
      </c>
      <c r="K190" s="805">
        <v>592.31999999999994</v>
      </c>
      <c r="L190">
        <v>573.04999999999995</v>
      </c>
      <c r="M190" s="416">
        <v>611.82000000000005</v>
      </c>
    </row>
    <row r="191" spans="1:13" hidden="1">
      <c r="A191" s="9" t="s">
        <v>637</v>
      </c>
      <c r="B191" s="653" t="s">
        <v>528</v>
      </c>
      <c r="C191" s="233">
        <v>421.37</v>
      </c>
      <c r="D191" s="233">
        <v>303.04000000000002</v>
      </c>
      <c r="E191" s="233">
        <v>315.06</v>
      </c>
      <c r="F191" s="233">
        <v>383.55</v>
      </c>
      <c r="G191" s="233">
        <v>462.38</v>
      </c>
      <c r="H191" s="233">
        <v>421.46</v>
      </c>
      <c r="I191">
        <v>466.23</v>
      </c>
      <c r="J191">
        <v>550.96</v>
      </c>
      <c r="K191" s="805">
        <v>607.33000000000004</v>
      </c>
      <c r="L191">
        <v>642.19000000000005</v>
      </c>
      <c r="M191" s="416">
        <v>700.57</v>
      </c>
    </row>
    <row r="192" spans="1:13" hidden="1">
      <c r="A192" s="9" t="s">
        <v>637</v>
      </c>
      <c r="B192" s="654" t="s">
        <v>408</v>
      </c>
      <c r="C192" s="233">
        <v>334.38</v>
      </c>
      <c r="D192" s="233">
        <v>229.56</v>
      </c>
      <c r="E192" s="233">
        <v>280.39</v>
      </c>
      <c r="F192" s="233">
        <v>226.26999999999998</v>
      </c>
      <c r="G192" s="233">
        <v>319.52999999999997</v>
      </c>
      <c r="H192" s="233">
        <v>347.1</v>
      </c>
      <c r="I192">
        <v>389.73</v>
      </c>
      <c r="J192">
        <v>444.4</v>
      </c>
      <c r="K192" s="805">
        <v>469.96</v>
      </c>
      <c r="L192">
        <v>496.82</v>
      </c>
      <c r="M192" s="416">
        <v>587.54</v>
      </c>
    </row>
    <row r="193" spans="1:16" hidden="1">
      <c r="A193" s="9" t="s">
        <v>637</v>
      </c>
      <c r="B193" s="653" t="s">
        <v>221</v>
      </c>
      <c r="C193" s="233">
        <v>535.47</v>
      </c>
      <c r="D193" s="233">
        <v>338.98</v>
      </c>
      <c r="E193" s="233">
        <v>535.47</v>
      </c>
      <c r="F193" s="233">
        <v>372.87</v>
      </c>
      <c r="G193" s="233">
        <v>533.08000000000004</v>
      </c>
      <c r="H193" s="233">
        <v>533.08000000000004</v>
      </c>
      <c r="I193">
        <v>692.29</v>
      </c>
      <c r="J193">
        <v>764.98</v>
      </c>
      <c r="K193" s="805">
        <v>884.76</v>
      </c>
      <c r="L193">
        <f>763.76+204.91</f>
        <v>968.67</v>
      </c>
      <c r="M193">
        <v>1025.47</v>
      </c>
    </row>
    <row r="194" spans="1:16" hidden="1">
      <c r="A194" s="9" t="s">
        <v>637</v>
      </c>
      <c r="B194" s="655" t="s">
        <v>423</v>
      </c>
      <c r="C194" s="233">
        <v>363.71</v>
      </c>
      <c r="D194" s="233">
        <v>298.24</v>
      </c>
      <c r="E194" s="233">
        <v>363.71</v>
      </c>
      <c r="F194" s="233">
        <v>396.87</v>
      </c>
      <c r="G194" s="233">
        <v>454.81272598997919</v>
      </c>
      <c r="H194" s="233">
        <v>546.46</v>
      </c>
      <c r="I194">
        <v>681.93</v>
      </c>
      <c r="J194">
        <v>744.47</v>
      </c>
      <c r="K194" s="805">
        <v>782.78000000000009</v>
      </c>
      <c r="L194">
        <f>513.49+240.36</f>
        <v>753.85</v>
      </c>
      <c r="M194" s="416">
        <v>761.28</v>
      </c>
    </row>
    <row r="195" spans="1:16" hidden="1">
      <c r="A195" s="9" t="s">
        <v>637</v>
      </c>
      <c r="B195" s="506" t="s">
        <v>418</v>
      </c>
      <c r="C195" s="233"/>
      <c r="D195" s="233"/>
      <c r="E195" s="233"/>
      <c r="F195" s="233"/>
      <c r="G195" s="233"/>
      <c r="H195" s="233"/>
      <c r="J195">
        <f>615+203.54</f>
        <v>818.54</v>
      </c>
      <c r="K195" s="805">
        <v>894.62</v>
      </c>
      <c r="L195">
        <f>765.89+213.34</f>
        <v>979.23</v>
      </c>
      <c r="M195">
        <v>1023.74</v>
      </c>
    </row>
    <row r="196" spans="1:16" hidden="1">
      <c r="A196" s="9" t="s">
        <v>637</v>
      </c>
      <c r="B196" s="506" t="s">
        <v>235</v>
      </c>
      <c r="C196" s="233"/>
      <c r="D196" s="233"/>
      <c r="E196" s="233"/>
      <c r="F196" s="233"/>
      <c r="G196" s="233"/>
      <c r="H196" s="233"/>
      <c r="J196">
        <f>664.33+206.1</f>
        <v>870.43000000000006</v>
      </c>
      <c r="K196" s="805">
        <v>950.33</v>
      </c>
      <c r="L196">
        <v>1054.05</v>
      </c>
      <c r="M196">
        <v>1107.67</v>
      </c>
      <c r="N196" s="233"/>
    </row>
    <row r="197" spans="1:16" hidden="1">
      <c r="A197" s="9" t="s">
        <v>637</v>
      </c>
      <c r="B197" s="506" t="s">
        <v>441</v>
      </c>
      <c r="C197" s="233"/>
      <c r="D197" s="233"/>
      <c r="E197" s="233"/>
      <c r="F197" s="233"/>
      <c r="G197" s="233"/>
      <c r="H197" s="233"/>
      <c r="J197">
        <f>301.06+226.53</f>
        <v>527.59</v>
      </c>
      <c r="K197" s="805">
        <v>562.08000000000004</v>
      </c>
      <c r="L197">
        <v>611.43999999999994</v>
      </c>
      <c r="M197" s="416">
        <v>660.43</v>
      </c>
      <c r="N197" s="8"/>
    </row>
    <row r="198" spans="1:16" hidden="1">
      <c r="A198" s="9" t="s">
        <v>637</v>
      </c>
      <c r="B198" s="506" t="s">
        <v>545</v>
      </c>
      <c r="C198" s="233"/>
      <c r="D198" s="233"/>
      <c r="E198" s="233"/>
      <c r="F198" s="233"/>
      <c r="G198" s="233"/>
      <c r="H198" s="233"/>
      <c r="J198">
        <f>307.78+191.1</f>
        <v>498.88</v>
      </c>
      <c r="K198" s="805">
        <v>528.30999999999995</v>
      </c>
      <c r="L198">
        <v>564.45999999999992</v>
      </c>
      <c r="M198" s="416">
        <v>597.03</v>
      </c>
      <c r="N198" s="8"/>
    </row>
    <row r="199" spans="1:16" hidden="1">
      <c r="A199" s="9" t="s">
        <v>637</v>
      </c>
      <c r="B199" s="506" t="s">
        <v>336</v>
      </c>
      <c r="C199" s="233"/>
      <c r="D199" s="233"/>
      <c r="E199" s="233"/>
      <c r="F199" s="233"/>
      <c r="G199" s="233"/>
      <c r="H199" s="233"/>
      <c r="J199">
        <f>168.45+162.56</f>
        <v>331.01</v>
      </c>
      <c r="K199" s="805">
        <v>350.78999999999996</v>
      </c>
      <c r="L199">
        <v>369.5</v>
      </c>
      <c r="M199" s="416">
        <v>424.29</v>
      </c>
      <c r="N199" s="8"/>
    </row>
    <row r="200" spans="1:16" hidden="1">
      <c r="A200" s="9" t="s">
        <v>637</v>
      </c>
      <c r="B200" s="506" t="s">
        <v>560</v>
      </c>
      <c r="C200" s="233"/>
      <c r="D200" s="233"/>
      <c r="E200" s="233"/>
      <c r="F200" s="233"/>
      <c r="G200" s="233"/>
      <c r="H200" s="233"/>
      <c r="J200">
        <f>439.25+192.21</f>
        <v>631.46</v>
      </c>
      <c r="K200" s="805">
        <v>667.26</v>
      </c>
      <c r="L200">
        <v>648.54999999999995</v>
      </c>
      <c r="M200" s="416">
        <v>635.66</v>
      </c>
      <c r="N200" s="8"/>
    </row>
    <row r="201" spans="1:16" hidden="1">
      <c r="A201" s="9" t="s">
        <v>637</v>
      </c>
      <c r="B201" s="506" t="s">
        <v>225</v>
      </c>
      <c r="C201" s="233"/>
      <c r="D201" s="233"/>
      <c r="E201" s="233"/>
      <c r="F201" s="233"/>
      <c r="G201" s="233"/>
      <c r="H201" s="233"/>
      <c r="J201">
        <f>171.47+169.46</f>
        <v>340.93</v>
      </c>
      <c r="K201" s="805">
        <v>374.59</v>
      </c>
      <c r="L201">
        <v>366.5</v>
      </c>
      <c r="M201" s="416">
        <v>409.78999999999996</v>
      </c>
      <c r="N201" s="8"/>
    </row>
    <row r="202" spans="1:16" hidden="1">
      <c r="A202" s="9" t="s">
        <v>637</v>
      </c>
      <c r="B202" s="506" t="s">
        <v>523</v>
      </c>
      <c r="C202" s="233"/>
      <c r="D202" s="233"/>
      <c r="E202" s="233"/>
      <c r="F202" s="233"/>
      <c r="G202" s="233"/>
      <c r="H202" s="233"/>
      <c r="J202">
        <f>340.97+179.98</f>
        <v>520.95000000000005</v>
      </c>
      <c r="K202" s="805">
        <v>564.18000000000006</v>
      </c>
      <c r="L202">
        <v>604.55000000000007</v>
      </c>
      <c r="M202" s="416">
        <v>472.58</v>
      </c>
      <c r="N202" s="8"/>
    </row>
    <row r="203" spans="1:16" hidden="1">
      <c r="A203" s="9" t="s">
        <v>637</v>
      </c>
      <c r="B203" s="506" t="s">
        <v>571</v>
      </c>
      <c r="C203" s="233"/>
      <c r="D203" s="233"/>
      <c r="E203" s="233"/>
      <c r="F203" s="233"/>
      <c r="G203" s="233"/>
      <c r="H203" s="233"/>
      <c r="J203">
        <f>190.47+169.91</f>
        <v>360.38</v>
      </c>
      <c r="K203" s="805">
        <v>386.85</v>
      </c>
      <c r="L203">
        <v>418.26000000000005</v>
      </c>
      <c r="M203" s="416">
        <v>463.75</v>
      </c>
      <c r="N203" s="8"/>
    </row>
    <row r="204" spans="1:16" hidden="1">
      <c r="A204" s="9" t="s">
        <v>637</v>
      </c>
      <c r="B204" s="506" t="s">
        <v>608</v>
      </c>
      <c r="C204" s="233"/>
      <c r="D204" s="233"/>
      <c r="E204" s="233"/>
      <c r="F204" s="233"/>
      <c r="G204" s="233"/>
      <c r="H204" s="233"/>
      <c r="J204">
        <f>342.7+181.1</f>
        <v>523.79999999999995</v>
      </c>
      <c r="K204" s="805">
        <v>559.9</v>
      </c>
      <c r="L204">
        <f>357.17+229.26</f>
        <v>586.43000000000006</v>
      </c>
      <c r="M204" s="416">
        <v>662.51</v>
      </c>
      <c r="N204" s="8"/>
    </row>
    <row r="205" spans="1:16" hidden="1">
      <c r="A205" s="9" t="s">
        <v>637</v>
      </c>
      <c r="B205" s="506" t="s">
        <v>668</v>
      </c>
      <c r="C205" s="233"/>
      <c r="D205" s="233"/>
      <c r="E205" s="233"/>
      <c r="F205" s="233"/>
      <c r="G205" s="233"/>
      <c r="H205" s="233"/>
      <c r="J205">
        <f>339.3+208.3</f>
        <v>547.6</v>
      </c>
      <c r="K205" s="805">
        <v>595.43999999999994</v>
      </c>
      <c r="L205">
        <f>413.48+197.81</f>
        <v>611.29</v>
      </c>
      <c r="M205" s="416">
        <v>640.98</v>
      </c>
    </row>
    <row r="206" spans="1:16" hidden="1">
      <c r="A206" s="9" t="s">
        <v>637</v>
      </c>
      <c r="B206" s="506" t="s">
        <v>601</v>
      </c>
      <c r="C206" s="233"/>
      <c r="D206" s="233"/>
      <c r="E206" s="233"/>
      <c r="F206" s="233"/>
      <c r="G206" s="233"/>
      <c r="H206" s="233"/>
      <c r="J206">
        <f>515.49+163.34</f>
        <v>678.83</v>
      </c>
      <c r="K206" s="805">
        <v>735.09</v>
      </c>
      <c r="L206">
        <f>616.69+148.58</f>
        <v>765.2700000000001</v>
      </c>
      <c r="M206" s="416">
        <v>815.69</v>
      </c>
    </row>
    <row r="207" spans="1:16" hidden="1">
      <c r="A207" s="265" t="s">
        <v>637</v>
      </c>
      <c r="B207" s="801" t="s">
        <v>376</v>
      </c>
      <c r="C207" s="233"/>
      <c r="D207" s="233"/>
      <c r="E207" s="233"/>
      <c r="F207" s="233"/>
      <c r="G207" s="233"/>
      <c r="H207" s="233"/>
      <c r="K207" s="805">
        <v>470.82</v>
      </c>
      <c r="L207">
        <f>281.75+226.45</f>
        <v>508.2</v>
      </c>
      <c r="M207" s="416">
        <v>536.98</v>
      </c>
    </row>
    <row r="208" spans="1:16" hidden="1">
      <c r="A208" s="265" t="s">
        <v>637</v>
      </c>
      <c r="B208" s="801" t="s">
        <v>369</v>
      </c>
      <c r="C208" s="233"/>
      <c r="D208" s="233"/>
      <c r="E208" s="233"/>
      <c r="F208" s="233"/>
      <c r="G208" s="233"/>
      <c r="H208" s="233"/>
      <c r="K208" s="805"/>
      <c r="L208">
        <f>357.76+231.81</f>
        <v>589.56999999999994</v>
      </c>
      <c r="M208" s="416">
        <v>677.96999999999991</v>
      </c>
      <c r="O208" s="838" t="s">
        <v>669</v>
      </c>
      <c r="P208" s="839">
        <v>968.67</v>
      </c>
    </row>
    <row r="209" spans="1:50" hidden="1">
      <c r="A209" s="9" t="s">
        <v>25</v>
      </c>
      <c r="B209" s="485" t="s">
        <v>202</v>
      </c>
      <c r="C209" s="233">
        <v>427.01</v>
      </c>
      <c r="D209" s="233">
        <v>350.15</v>
      </c>
      <c r="E209" s="233">
        <v>391.91</v>
      </c>
      <c r="F209" s="233">
        <v>389.30999999999995</v>
      </c>
      <c r="G209" s="233">
        <v>506.91999999999996</v>
      </c>
      <c r="H209" s="233">
        <v>541.95000000000005</v>
      </c>
      <c r="I209">
        <v>507.61</v>
      </c>
      <c r="J209">
        <v>622.61</v>
      </c>
      <c r="K209" s="805">
        <f>397.32+270.9</f>
        <v>668.22</v>
      </c>
      <c r="L209">
        <v>683.67</v>
      </c>
      <c r="M209" s="515">
        <v>714.43999999999994</v>
      </c>
      <c r="N209">
        <v>838.02</v>
      </c>
      <c r="O209" s="838" t="s">
        <v>670</v>
      </c>
      <c r="P209" s="839" t="e">
        <v>#N/A</v>
      </c>
    </row>
    <row r="210" spans="1:50" hidden="1">
      <c r="A210" s="9" t="s">
        <v>25</v>
      </c>
      <c r="B210" s="485" t="s">
        <v>228</v>
      </c>
      <c r="C210" s="233">
        <v>313.8</v>
      </c>
      <c r="D210" s="233">
        <v>255.8</v>
      </c>
      <c r="E210" s="233">
        <v>288.68</v>
      </c>
      <c r="F210" s="233">
        <v>353.49</v>
      </c>
      <c r="G210" s="233">
        <v>444.36</v>
      </c>
      <c r="H210" s="233">
        <v>431.42</v>
      </c>
      <c r="I210">
        <v>459.85</v>
      </c>
      <c r="J210">
        <f>208.72+311.77</f>
        <v>520.49</v>
      </c>
      <c r="K210" s="805">
        <v>469.78</v>
      </c>
      <c r="L210">
        <v>505.99000000000007</v>
      </c>
      <c r="M210" s="416">
        <v>532.24</v>
      </c>
      <c r="O210" s="838" t="s">
        <v>671</v>
      </c>
      <c r="P210" s="839" t="e">
        <v>#N/A</v>
      </c>
    </row>
    <row r="211" spans="1:50" hidden="1">
      <c r="A211" s="9" t="s">
        <v>25</v>
      </c>
      <c r="B211" s="485" t="s">
        <v>164</v>
      </c>
      <c r="C211" s="233">
        <v>338.46</v>
      </c>
      <c r="D211" s="233">
        <v>271.8</v>
      </c>
      <c r="E211" s="233">
        <v>282.32</v>
      </c>
      <c r="F211" s="233">
        <v>328.86</v>
      </c>
      <c r="G211" s="233">
        <v>424.02</v>
      </c>
      <c r="H211" s="233">
        <v>418.87</v>
      </c>
      <c r="I211" s="233">
        <v>432.96262292463598</v>
      </c>
      <c r="J211">
        <v>432.96</v>
      </c>
      <c r="K211" s="485">
        <f>252.99+244.36</f>
        <v>497.35</v>
      </c>
      <c r="L211">
        <v>513.89</v>
      </c>
      <c r="M211" s="416">
        <v>572.45999999999992</v>
      </c>
      <c r="O211" s="838" t="s">
        <v>672</v>
      </c>
      <c r="P211" s="839" t="e">
        <v>#N/A</v>
      </c>
    </row>
    <row r="212" spans="1:50" hidden="1">
      <c r="A212" s="9" t="s">
        <v>25</v>
      </c>
      <c r="B212" s="485" t="s">
        <v>653</v>
      </c>
      <c r="C212" s="233">
        <v>296.26</v>
      </c>
      <c r="D212" s="233">
        <v>242.58</v>
      </c>
      <c r="E212" s="233">
        <v>263.55</v>
      </c>
      <c r="F212" s="233">
        <v>326.37</v>
      </c>
      <c r="G212" s="233">
        <v>492.31</v>
      </c>
      <c r="H212" s="233">
        <v>421.47</v>
      </c>
      <c r="I212">
        <v>440.56</v>
      </c>
      <c r="J212">
        <v>507.52</v>
      </c>
      <c r="K212" s="805">
        <v>517.61</v>
      </c>
      <c r="L212">
        <v>512.77</v>
      </c>
      <c r="M212" s="416">
        <v>558.81000000000006</v>
      </c>
      <c r="O212" s="838" t="s">
        <v>673</v>
      </c>
      <c r="P212" s="839" t="e">
        <v>#N/A</v>
      </c>
    </row>
    <row r="213" spans="1:50" hidden="1">
      <c r="A213" s="9" t="s">
        <v>25</v>
      </c>
      <c r="B213" s="485" t="s">
        <v>189</v>
      </c>
      <c r="C213" s="233">
        <v>276.20999999999998</v>
      </c>
      <c r="D213" s="233">
        <v>272.12</v>
      </c>
      <c r="E213" s="233">
        <v>316.86</v>
      </c>
      <c r="F213" s="233">
        <v>316.86</v>
      </c>
      <c r="G213" s="233">
        <v>419.64</v>
      </c>
      <c r="H213" s="233">
        <v>447.18999999999994</v>
      </c>
      <c r="I213">
        <v>404.17</v>
      </c>
      <c r="J213">
        <v>484.63</v>
      </c>
      <c r="K213" s="805">
        <v>523.02</v>
      </c>
      <c r="L213">
        <v>550.20000000000005</v>
      </c>
      <c r="M213">
        <v>595.66</v>
      </c>
      <c r="N213">
        <v>678.65</v>
      </c>
      <c r="O213" s="838" t="s">
        <v>674</v>
      </c>
      <c r="P213" s="839" t="e">
        <v>#N/A</v>
      </c>
    </row>
    <row r="214" spans="1:50" hidden="1">
      <c r="A214" s="9" t="s">
        <v>25</v>
      </c>
      <c r="B214" s="485" t="s">
        <v>217</v>
      </c>
      <c r="C214" s="233">
        <v>314.83999999999997</v>
      </c>
      <c r="D214" s="233">
        <v>256.94</v>
      </c>
      <c r="E214" s="233">
        <v>278.24</v>
      </c>
      <c r="F214" s="233">
        <v>336.65</v>
      </c>
      <c r="G214" s="233">
        <v>510.81000000000006</v>
      </c>
      <c r="H214" s="233">
        <v>411.1</v>
      </c>
      <c r="I214">
        <v>465.66</v>
      </c>
      <c r="J214">
        <v>552.91999999999996</v>
      </c>
      <c r="K214" s="805">
        <v>490.18</v>
      </c>
      <c r="L214">
        <v>533.54999999999995</v>
      </c>
      <c r="M214" s="416">
        <v>619.94000000000005</v>
      </c>
      <c r="O214" s="838" t="s">
        <v>675</v>
      </c>
      <c r="P214" s="839">
        <v>586.86</v>
      </c>
    </row>
    <row r="215" spans="1:50" hidden="1">
      <c r="A215" s="9" t="s">
        <v>25</v>
      </c>
      <c r="B215" s="485" t="s">
        <v>243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05">
        <f>303.99+243.7</f>
        <v>547.69000000000005</v>
      </c>
      <c r="L215">
        <v>541.15</v>
      </c>
      <c r="M215" s="844">
        <v>564.97</v>
      </c>
      <c r="N215">
        <v>606.77</v>
      </c>
      <c r="O215" s="838" t="s">
        <v>676</v>
      </c>
      <c r="P215" s="839" t="e">
        <v>#N/A</v>
      </c>
    </row>
    <row r="216" spans="1:50" hidden="1">
      <c r="A216" s="9" t="s">
        <v>25</v>
      </c>
      <c r="B216" s="485" t="s">
        <v>328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56">
        <v>487.3</v>
      </c>
      <c r="J216">
        <f>241.74+319.79</f>
        <v>561.53</v>
      </c>
      <c r="K216" s="805">
        <v>525.73</v>
      </c>
      <c r="L216" s="656">
        <v>546.10945347732809</v>
      </c>
      <c r="M216" s="416">
        <v>635.92000000000007</v>
      </c>
      <c r="N216" s="837"/>
      <c r="O216" s="838" t="s">
        <v>677</v>
      </c>
      <c r="P216" s="839" t="e">
        <v>#N/A</v>
      </c>
    </row>
    <row r="217" spans="1:50" hidden="1">
      <c r="A217" s="9" t="s">
        <v>25</v>
      </c>
      <c r="B217" s="485" t="s">
        <v>203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05">
        <v>531.87</v>
      </c>
      <c r="L217" s="656">
        <v>555.04999999999995</v>
      </c>
      <c r="M217" s="416">
        <v>622.58000000000004</v>
      </c>
      <c r="O217" s="838" t="s">
        <v>678</v>
      </c>
      <c r="P217" s="839" t="e">
        <v>#N/A</v>
      </c>
    </row>
    <row r="218" spans="1:50" hidden="1">
      <c r="A218" s="9" t="s">
        <v>25</v>
      </c>
      <c r="B218" s="485" t="s">
        <v>360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05">
        <v>515.59</v>
      </c>
      <c r="L218" s="656">
        <v>534.19000000000005</v>
      </c>
      <c r="M218" s="416">
        <v>594.49</v>
      </c>
      <c r="O218" s="838" t="s">
        <v>679</v>
      </c>
      <c r="P218" s="839" t="e">
        <v>#N/A</v>
      </c>
    </row>
    <row r="219" spans="1:50" hidden="1">
      <c r="A219" s="9" t="s">
        <v>25</v>
      </c>
      <c r="B219" s="485" t="s">
        <v>656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05">
        <v>530.72</v>
      </c>
      <c r="L219" s="656">
        <v>535.51</v>
      </c>
      <c r="M219" s="233">
        <v>580.43681504518099</v>
      </c>
      <c r="N219">
        <v>677.99</v>
      </c>
      <c r="O219" s="838" t="s">
        <v>680</v>
      </c>
      <c r="P219" s="839" t="e">
        <v>#N/A</v>
      </c>
    </row>
    <row r="220" spans="1:50">
      <c r="A220" s="9" t="s">
        <v>25</v>
      </c>
      <c r="B220" s="485" t="s">
        <v>245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05">
        <v>560.27</v>
      </c>
      <c r="L220" s="656">
        <v>589.57000000000005</v>
      </c>
      <c r="M220" s="416">
        <v>643.09</v>
      </c>
      <c r="O220" s="838" t="s">
        <v>681</v>
      </c>
      <c r="P220" s="839" t="e">
        <v>#N/A</v>
      </c>
    </row>
    <row r="221" spans="1:50" hidden="1">
      <c r="A221" t="s">
        <v>25</v>
      </c>
      <c r="B221" s="480" t="s">
        <v>404</v>
      </c>
      <c r="J221">
        <v>547.6</v>
      </c>
      <c r="K221" s="805">
        <v>515.07000000000005</v>
      </c>
      <c r="L221">
        <v>548.96999999999991</v>
      </c>
      <c r="M221" s="416">
        <v>629.70000000000005</v>
      </c>
      <c r="O221" s="838" t="s">
        <v>682</v>
      </c>
      <c r="P221" s="839" t="e">
        <v>#N/A</v>
      </c>
    </row>
    <row r="222" spans="1:50">
      <c r="A222" t="s">
        <v>25</v>
      </c>
      <c r="B222" s="480" t="s">
        <v>662</v>
      </c>
      <c r="K222" s="805"/>
      <c r="L222">
        <v>571.71</v>
      </c>
      <c r="M222" s="416">
        <v>605.55000000000007</v>
      </c>
      <c r="O222" s="838" t="s">
        <v>683</v>
      </c>
      <c r="P222" s="853" t="e">
        <v>#N/A</v>
      </c>
      <c r="AS222" s="843"/>
      <c r="AX222" s="843"/>
    </row>
    <row r="223" spans="1:50">
      <c r="O223" s="838" t="s">
        <v>684</v>
      </c>
      <c r="P223" s="839" t="e">
        <v>#N/A</v>
      </c>
    </row>
    <row r="224" spans="1:50">
      <c r="O224" s="838" t="s">
        <v>685</v>
      </c>
      <c r="P224" s="839" t="e">
        <v>#N/A</v>
      </c>
    </row>
    <row r="225" spans="11:16">
      <c r="K225" s="839">
        <v>547.69000000000005</v>
      </c>
      <c r="O225" s="838" t="s">
        <v>686</v>
      </c>
      <c r="P225" s="839" t="e">
        <v>#N/A</v>
      </c>
    </row>
    <row r="226" spans="11:16">
      <c r="O226" s="838" t="s">
        <v>687</v>
      </c>
      <c r="P226" s="839" t="e">
        <v>#N/A</v>
      </c>
    </row>
    <row r="227" spans="11:16">
      <c r="O227" s="838" t="s">
        <v>688</v>
      </c>
      <c r="P227" s="840" t="e">
        <v>#N/A</v>
      </c>
    </row>
    <row r="228" spans="11:16">
      <c r="O228" s="838" t="s">
        <v>689</v>
      </c>
      <c r="P228" s="840" t="e">
        <v>#N/A</v>
      </c>
    </row>
    <row r="229" spans="11:16">
      <c r="O229" s="838" t="s">
        <v>690</v>
      </c>
      <c r="P229" s="840" t="e">
        <v>#N/A</v>
      </c>
    </row>
    <row r="230" spans="11:16">
      <c r="O230" s="838" t="s">
        <v>691</v>
      </c>
      <c r="P230" s="840" t="e">
        <v>#N/A</v>
      </c>
    </row>
    <row r="231" spans="11:16">
      <c r="O231" s="838" t="s">
        <v>692</v>
      </c>
      <c r="P231" s="840" t="e">
        <v>#N/A</v>
      </c>
    </row>
    <row r="232" spans="11:16">
      <c r="O232" s="838" t="s">
        <v>693</v>
      </c>
      <c r="P232" s="840" t="e">
        <v>#N/A</v>
      </c>
    </row>
    <row r="233" spans="11:16">
      <c r="O233" s="838" t="s">
        <v>694</v>
      </c>
      <c r="P233" s="840" t="e">
        <v>#N/A</v>
      </c>
    </row>
    <row r="234" spans="11:16">
      <c r="O234" s="838" t="s">
        <v>695</v>
      </c>
      <c r="P234" s="840" t="e">
        <v>#N/A</v>
      </c>
    </row>
    <row r="235" spans="11:16">
      <c r="O235" s="838" t="s">
        <v>696</v>
      </c>
      <c r="P235" s="840">
        <v>979.23</v>
      </c>
    </row>
    <row r="236" spans="11:16">
      <c r="O236" s="838" t="s">
        <v>697</v>
      </c>
      <c r="P236" s="840">
        <v>1054.05</v>
      </c>
    </row>
  </sheetData>
  <sortState xmlns:xlrd2="http://schemas.microsoft.com/office/spreadsheetml/2017/richdata2" ref="AR10:AR61">
    <sortCondition ref="AR10:AR61"/>
  </sortState>
  <phoneticPr fontId="111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="91" zoomScaleNormal="91" workbookViewId="0">
      <selection activeCell="F21" sqref="F21"/>
    </sheetView>
  </sheetViews>
  <sheetFormatPr defaultColWidth="9.140625" defaultRowHeight="15.75"/>
  <cols>
    <col min="1" max="1" width="2.5703125" style="380" customWidth="1"/>
    <col min="2" max="2" width="36.42578125" style="380" customWidth="1"/>
    <col min="3" max="3" width="23.85546875" style="380" customWidth="1"/>
    <col min="4" max="4" width="17.7109375" style="380" customWidth="1"/>
    <col min="5" max="5" width="3.42578125" style="380" customWidth="1"/>
    <col min="6" max="6" width="41.85546875" style="380" customWidth="1"/>
    <col min="7" max="7" width="28" style="541" customWidth="1"/>
    <col min="8" max="8" width="28" style="380" customWidth="1"/>
    <col min="9" max="9" width="14.85546875" style="380" customWidth="1"/>
    <col min="10" max="10" width="32.7109375" style="380" bestFit="1" customWidth="1"/>
    <col min="11" max="11" width="22" style="380" bestFit="1" customWidth="1"/>
    <col min="12" max="12" width="19.140625" style="380" customWidth="1"/>
    <col min="13" max="13" width="18.42578125" style="380" customWidth="1"/>
    <col min="14" max="14" width="37.85546875" style="380" customWidth="1"/>
    <col min="15" max="15" width="19.28515625" style="380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4" bestFit="1" customWidth="1"/>
    <col min="54" max="54" width="9.140625" style="234"/>
    <col min="55" max="57" width="11.140625" style="234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4" customWidth="1"/>
    <col min="67" max="67" width="12.42578125" style="484" customWidth="1"/>
    <col min="68" max="68" width="12" style="484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5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4" customWidth="1"/>
    <col min="85" max="16384" width="9.140625" style="380"/>
  </cols>
  <sheetData>
    <row r="1" spans="1:84" ht="25.5">
      <c r="B1" s="1043" t="s">
        <v>698</v>
      </c>
      <c r="C1" s="1044"/>
      <c r="D1" s="1044"/>
      <c r="M1" s="542"/>
      <c r="P1" s="875" t="str">
        <f>IF((VLOOKUP(LnkTXTSigla,Informacoes[],5,FALSE))="8.4","VERDADEIRO","FALSO")</f>
        <v>VERDADEIRO</v>
      </c>
      <c r="Q1" s="875" t="s">
        <v>699</v>
      </c>
      <c r="BA1" s="483"/>
      <c r="BB1" s="483"/>
      <c r="BC1" s="483"/>
      <c r="BD1" s="483"/>
    </row>
    <row r="2" spans="1:84" ht="25.5">
      <c r="B2" s="543" t="str">
        <f>CAPA!C9</f>
        <v>Creluz</v>
      </c>
      <c r="C2" s="633"/>
      <c r="D2" s="544"/>
      <c r="E2" s="584" t="s">
        <v>700</v>
      </c>
      <c r="F2" s="584"/>
      <c r="G2" s="584"/>
      <c r="H2" s="611" t="s">
        <v>2339</v>
      </c>
      <c r="M2" s="542"/>
      <c r="AK2" s="484"/>
      <c r="AZ2" s="1766" t="s">
        <v>701</v>
      </c>
      <c r="BA2" s="1767"/>
      <c r="BB2" s="1767"/>
      <c r="BC2" s="1767"/>
      <c r="BD2" s="1767"/>
      <c r="BE2" s="1767"/>
      <c r="BF2" s="1767"/>
      <c r="BG2" s="485"/>
      <c r="BM2" s="488"/>
      <c r="BW2" s="420"/>
      <c r="BX2" s="420"/>
      <c r="BY2" s="420"/>
      <c r="BZ2" s="420"/>
      <c r="CA2" s="420"/>
      <c r="CB2" s="420"/>
      <c r="CC2" s="420"/>
      <c r="CD2" s="420"/>
      <c r="CE2" s="420"/>
      <c r="CF2" s="512"/>
    </row>
    <row r="3" spans="1:84">
      <c r="C3" s="556"/>
      <c r="E3" s="579" t="s">
        <v>702</v>
      </c>
      <c r="F3" s="579"/>
      <c r="G3" s="579"/>
      <c r="H3" s="532"/>
      <c r="M3" s="542"/>
      <c r="O3" s="380">
        <f>VALUE(RIGHT(P3,2))</f>
        <v>46</v>
      </c>
      <c r="P3" s="1045" t="str">
        <f>VLOOKUP($C$9,Informacoes[],4,FALSE)</f>
        <v>C46</v>
      </c>
      <c r="Q3" s="1045" t="str">
        <f>VLOOKUP($C$9,Informacoes[],2,FALSE)</f>
        <v>Cooperativa de Distribuição de Energia</v>
      </c>
      <c r="AH3" s="486"/>
      <c r="AI3" s="484"/>
      <c r="BA3" s="483"/>
      <c r="BB3" s="483"/>
      <c r="BC3" s="483"/>
      <c r="BD3" s="483"/>
      <c r="BM3" s="17"/>
      <c r="BQ3" s="487"/>
      <c r="BW3" s="420"/>
      <c r="BX3" s="420"/>
      <c r="BY3" s="420"/>
      <c r="BZ3" s="420"/>
      <c r="CA3" s="420"/>
      <c r="CB3" s="420"/>
      <c r="CC3" s="420"/>
      <c r="CD3" s="420"/>
      <c r="CE3" s="420"/>
      <c r="CF3" s="512"/>
    </row>
    <row r="4" spans="1:84">
      <c r="E4" s="767" t="s">
        <v>703</v>
      </c>
      <c r="F4" s="767"/>
      <c r="G4" s="767"/>
      <c r="H4" s="795"/>
      <c r="I4" s="545"/>
      <c r="M4" s="542"/>
      <c r="AZ4" s="875"/>
      <c r="BA4" s="1046">
        <v>40940</v>
      </c>
      <c r="BB4" s="1046" t="s">
        <v>665</v>
      </c>
      <c r="BC4" s="1046">
        <v>41306</v>
      </c>
      <c r="BD4" s="1046">
        <v>41671</v>
      </c>
      <c r="BE4" s="1047">
        <v>42036</v>
      </c>
      <c r="BF4" s="1048">
        <v>42401</v>
      </c>
      <c r="BG4" s="1048">
        <v>42767</v>
      </c>
      <c r="BI4" s="1049"/>
      <c r="BJ4" s="1049"/>
      <c r="BK4" s="1049"/>
      <c r="BL4" s="1049"/>
      <c r="BM4" s="1050"/>
      <c r="BN4" s="1050"/>
      <c r="BO4" s="1050"/>
      <c r="BP4" s="1050"/>
      <c r="BQ4" s="1050"/>
      <c r="BR4" s="1050"/>
      <c r="BS4" s="1050"/>
      <c r="BT4" s="1050"/>
      <c r="BU4" s="1050"/>
      <c r="BV4" s="492"/>
      <c r="BW4" s="420"/>
      <c r="BX4" s="420"/>
      <c r="BY4" s="420"/>
      <c r="BZ4" s="420"/>
      <c r="CA4" s="420"/>
      <c r="CB4" s="420"/>
      <c r="CC4" s="420"/>
      <c r="CD4" s="420"/>
      <c r="CE4" s="420"/>
      <c r="CF4" s="420"/>
    </row>
    <row r="5" spans="1:84">
      <c r="E5" s="767" t="s">
        <v>704</v>
      </c>
      <c r="F5" s="767"/>
      <c r="G5" s="767"/>
      <c r="H5" s="778" t="s">
        <v>2340</v>
      </c>
      <c r="I5" s="545"/>
      <c r="M5" s="542"/>
      <c r="O5" s="9"/>
      <c r="R5" s="380"/>
      <c r="S5" s="380"/>
      <c r="T5" s="380"/>
      <c r="U5" s="380"/>
      <c r="V5" s="380"/>
      <c r="W5" s="380"/>
      <c r="X5" s="380"/>
      <c r="Y5" s="380"/>
      <c r="Z5" s="380"/>
      <c r="AA5" s="380"/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/>
      <c r="AN5" s="380"/>
      <c r="AO5" s="380"/>
      <c r="AP5" s="380"/>
      <c r="AQ5" s="380"/>
      <c r="AR5" s="380"/>
      <c r="AS5" s="380"/>
      <c r="AT5" s="380"/>
      <c r="AU5" s="380"/>
      <c r="AV5" s="380"/>
      <c r="AW5" s="380"/>
      <c r="AX5" s="380"/>
      <c r="AY5" s="380"/>
      <c r="AZ5" s="380"/>
      <c r="BA5" s="380"/>
      <c r="BB5" s="380"/>
      <c r="BC5" s="380"/>
      <c r="BD5" s="380"/>
      <c r="BE5" s="380"/>
      <c r="BF5" s="380"/>
      <c r="BG5" s="380"/>
      <c r="BH5" s="380"/>
      <c r="BI5" s="380"/>
      <c r="BJ5" s="380"/>
      <c r="BK5" s="380"/>
      <c r="BL5" s="380"/>
      <c r="BM5" s="380"/>
      <c r="BN5" s="380"/>
      <c r="BO5" s="380"/>
      <c r="BP5" s="380"/>
      <c r="BQ5" s="380"/>
      <c r="BR5" s="380"/>
      <c r="BS5" s="380"/>
      <c r="BT5" s="380"/>
      <c r="BU5" s="380"/>
      <c r="BV5" s="380"/>
      <c r="BW5" s="380"/>
      <c r="BX5" s="380"/>
      <c r="BY5" s="380"/>
      <c r="BZ5" s="380"/>
      <c r="CA5" s="380"/>
      <c r="CB5" s="380"/>
      <c r="CC5" s="380"/>
      <c r="CD5" s="380"/>
      <c r="CE5" s="380"/>
      <c r="CF5" s="380"/>
    </row>
    <row r="6" spans="1:84" ht="17.25" customHeight="1" thickBot="1">
      <c r="F6" s="546"/>
      <c r="I6" s="545"/>
      <c r="N6" s="547"/>
      <c r="O6" s="9"/>
      <c r="R6" s="380"/>
      <c r="S6" s="380"/>
      <c r="T6" s="380"/>
      <c r="U6" s="380"/>
      <c r="V6" s="380"/>
      <c r="W6" s="380"/>
      <c r="X6" s="380"/>
      <c r="Y6" s="380"/>
      <c r="Z6" s="380"/>
      <c r="AA6" s="380"/>
      <c r="AB6" s="380"/>
      <c r="AC6" s="380"/>
      <c r="AD6" s="380"/>
      <c r="AE6" s="380"/>
      <c r="AF6" s="380"/>
      <c r="AG6" s="380"/>
      <c r="AH6" s="380"/>
      <c r="AI6" s="380"/>
      <c r="AJ6" s="380"/>
      <c r="AK6" s="380"/>
      <c r="AL6" s="380"/>
      <c r="AM6" s="380"/>
      <c r="AN6" s="380"/>
      <c r="AO6" s="380"/>
      <c r="AP6" s="380"/>
      <c r="AQ6" s="380"/>
      <c r="AR6" s="380"/>
      <c r="AS6" s="380"/>
      <c r="AT6" s="380"/>
      <c r="AU6" s="380"/>
      <c r="AV6" s="380"/>
      <c r="AW6" s="380"/>
      <c r="AX6" s="380"/>
      <c r="AY6" s="380"/>
      <c r="AZ6" s="380"/>
      <c r="BA6" s="380"/>
      <c r="BB6" s="380"/>
      <c r="BC6" s="380"/>
      <c r="BD6" s="380"/>
      <c r="BE6" s="380"/>
      <c r="BF6" s="380"/>
      <c r="BG6" s="380"/>
      <c r="BH6" s="380"/>
      <c r="BI6" s="380"/>
      <c r="BJ6" s="380"/>
      <c r="BK6" s="380"/>
      <c r="BL6" s="380"/>
      <c r="BM6" s="380"/>
      <c r="BN6" s="380"/>
      <c r="BO6" s="380"/>
      <c r="BP6" s="380"/>
      <c r="BQ6" s="380"/>
      <c r="BR6" s="380"/>
      <c r="BS6" s="380"/>
      <c r="BT6" s="380"/>
      <c r="BU6" s="380"/>
      <c r="BV6" s="380"/>
      <c r="BW6" s="380"/>
      <c r="BX6" s="380"/>
      <c r="BY6" s="380"/>
      <c r="BZ6" s="380"/>
      <c r="CA6" s="380"/>
      <c r="CB6" s="380"/>
      <c r="CC6" s="380"/>
      <c r="CD6" s="380"/>
      <c r="CE6" s="380"/>
      <c r="CF6" s="380"/>
    </row>
    <row r="7" spans="1:84" ht="26.25" thickBot="1">
      <c r="A7" s="548"/>
      <c r="B7" s="538" t="s">
        <v>705</v>
      </c>
      <c r="C7" s="549"/>
      <c r="D7" s="549"/>
      <c r="E7" s="550"/>
      <c r="F7" s="550"/>
      <c r="G7" s="550"/>
      <c r="H7" s="530"/>
      <c r="I7" s="531"/>
      <c r="J7" s="550"/>
      <c r="K7" s="551"/>
      <c r="L7" s="552"/>
      <c r="M7" s="553"/>
      <c r="N7" s="554"/>
      <c r="O7" s="9"/>
      <c r="Q7" s="533"/>
      <c r="R7" s="380"/>
      <c r="S7" s="380"/>
      <c r="T7" s="380"/>
      <c r="U7" s="380"/>
      <c r="V7" s="380"/>
      <c r="W7" s="380"/>
      <c r="X7" s="380"/>
      <c r="Y7" s="380"/>
      <c r="Z7" s="380"/>
      <c r="AA7" s="380"/>
      <c r="AB7" s="380"/>
      <c r="AC7" s="380"/>
      <c r="AD7" s="380"/>
      <c r="AE7" s="380"/>
      <c r="AF7" s="380"/>
      <c r="AG7" s="380"/>
      <c r="AH7" s="380"/>
      <c r="AI7" s="380"/>
      <c r="AJ7" s="380"/>
      <c r="AK7" s="380"/>
      <c r="AL7" s="380"/>
      <c r="AM7" s="380"/>
      <c r="AN7" s="380"/>
      <c r="AO7" s="380"/>
      <c r="AP7" s="380"/>
      <c r="AQ7" s="380"/>
      <c r="AR7" s="380"/>
      <c r="AS7" s="380"/>
      <c r="AT7" s="380"/>
      <c r="AU7" s="380"/>
      <c r="AV7" s="380"/>
      <c r="AW7" s="380"/>
      <c r="AX7" s="380"/>
      <c r="AY7" s="380"/>
      <c r="AZ7" s="380"/>
      <c r="BA7" s="380"/>
      <c r="BB7" s="380"/>
      <c r="BC7" s="380"/>
      <c r="BD7" s="380"/>
      <c r="BE7" s="380"/>
      <c r="BF7" s="380"/>
      <c r="BG7" s="380"/>
      <c r="BH7" s="380"/>
      <c r="BI7" s="380"/>
      <c r="BJ7" s="380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47"/>
      <c r="O8" s="9"/>
      <c r="P8" s="274"/>
      <c r="Q8" s="776"/>
      <c r="R8" s="380"/>
      <c r="S8" s="380"/>
      <c r="T8" s="380"/>
      <c r="U8" s="380"/>
      <c r="V8" s="380"/>
      <c r="W8" s="380"/>
      <c r="X8" s="380"/>
      <c r="Y8" s="380"/>
      <c r="Z8" s="380"/>
      <c r="AA8" s="380"/>
      <c r="AB8" s="380"/>
      <c r="AC8" s="380"/>
      <c r="AD8" s="380"/>
      <c r="AE8" s="380"/>
      <c r="AF8" s="380"/>
      <c r="AG8" s="380"/>
      <c r="AH8" s="380"/>
      <c r="AI8" s="380"/>
      <c r="AJ8" s="380"/>
      <c r="AK8" s="380"/>
      <c r="AL8" s="380"/>
      <c r="AM8" s="380"/>
      <c r="AN8" s="380"/>
      <c r="AO8" s="380"/>
      <c r="AP8" s="380"/>
      <c r="AQ8" s="380"/>
      <c r="AR8" s="380"/>
      <c r="AS8" s="380"/>
      <c r="AT8" s="380"/>
      <c r="AU8" s="380"/>
      <c r="AV8" s="380"/>
      <c r="AW8" s="380"/>
      <c r="AX8" s="380"/>
      <c r="AY8" s="380"/>
      <c r="AZ8" s="380"/>
      <c r="BA8" s="380"/>
      <c r="BB8" s="380"/>
      <c r="BC8" s="380"/>
      <c r="BD8" s="380"/>
      <c r="BE8" s="380"/>
      <c r="BF8" s="380"/>
      <c r="BG8" s="380"/>
      <c r="BH8" s="380"/>
      <c r="BI8" s="380"/>
      <c r="BJ8" s="380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</row>
    <row r="9" spans="1:84" ht="16.5">
      <c r="B9" s="597" t="s">
        <v>154</v>
      </c>
      <c r="C9" s="1051" t="s">
        <v>213</v>
      </c>
      <c r="D9" s="9"/>
      <c r="E9" s="1768" t="s">
        <v>706</v>
      </c>
      <c r="F9" s="1769"/>
      <c r="G9" s="1769"/>
      <c r="H9" s="1769"/>
      <c r="I9" s="602"/>
      <c r="J9" s="491" t="s">
        <v>707</v>
      </c>
      <c r="K9" s="9"/>
      <c r="L9" s="9"/>
      <c r="M9" s="555"/>
      <c r="N9" s="547"/>
      <c r="O9" s="9"/>
      <c r="R9" s="380"/>
      <c r="S9" s="380"/>
      <c r="T9" s="380"/>
      <c r="U9" s="380"/>
      <c r="V9" s="380"/>
      <c r="W9" s="380"/>
      <c r="X9" s="380"/>
      <c r="Y9" s="380"/>
      <c r="Z9" s="380"/>
      <c r="AA9" s="380"/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/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/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</row>
    <row r="10" spans="1:84" ht="16.5" customHeight="1">
      <c r="B10" s="1052" t="s">
        <v>708</v>
      </c>
      <c r="C10" s="1053" t="str">
        <f>IF(C9="Cercos","N/NE","S/SE/CO")</f>
        <v>S/SE/CO</v>
      </c>
      <c r="D10" s="9"/>
      <c r="E10" s="606"/>
      <c r="F10" s="607" t="s">
        <v>709</v>
      </c>
      <c r="G10" s="608">
        <v>44749.515833333331</v>
      </c>
      <c r="H10" s="1054"/>
      <c r="I10" s="603"/>
      <c r="J10" s="766" t="s">
        <v>710</v>
      </c>
      <c r="K10" s="1055">
        <f>IFERROR(O3+200,0)</f>
        <v>246</v>
      </c>
      <c r="L10" s="592"/>
      <c r="M10" s="555"/>
      <c r="N10" s="547"/>
      <c r="O10" s="9"/>
      <c r="R10" s="380"/>
      <c r="S10" s="380"/>
      <c r="T10" s="380"/>
      <c r="U10" s="380"/>
      <c r="V10" s="380"/>
      <c r="W10" s="380"/>
      <c r="X10" s="380"/>
      <c r="Y10" s="380"/>
      <c r="Z10" s="380"/>
      <c r="AA10" s="380"/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80"/>
      <c r="AV10" s="380"/>
      <c r="AW10" s="380"/>
      <c r="AX10" s="380"/>
      <c r="AY10" s="380"/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</row>
    <row r="11" spans="1:84" ht="16.5">
      <c r="B11" s="9"/>
      <c r="C11" s="9"/>
      <c r="D11" s="9"/>
      <c r="E11" s="606"/>
      <c r="F11" s="607" t="s">
        <v>711</v>
      </c>
      <c r="G11" s="608">
        <v>44750.436238425929</v>
      </c>
      <c r="H11" s="604"/>
      <c r="I11" s="605"/>
      <c r="J11" s="579" t="s">
        <v>712</v>
      </c>
      <c r="K11" s="610">
        <v>598</v>
      </c>
      <c r="L11" s="592"/>
      <c r="M11" s="555"/>
      <c r="N11" s="547"/>
      <c r="O11" s="9"/>
      <c r="Q11" s="533"/>
      <c r="R11" s="380"/>
      <c r="S11" s="380"/>
      <c r="T11" s="380"/>
      <c r="U11" s="380"/>
      <c r="V11" s="380"/>
      <c r="W11" s="380"/>
      <c r="X11" s="380"/>
      <c r="Y11" s="380"/>
      <c r="Z11" s="380"/>
      <c r="AA11" s="380"/>
      <c r="AB11" s="380"/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/>
      <c r="AO11" s="380"/>
      <c r="AP11" s="380"/>
      <c r="AQ11" s="380"/>
      <c r="AR11" s="380"/>
      <c r="AS11" s="380"/>
      <c r="AT11" s="380"/>
      <c r="AU11" s="380"/>
      <c r="AV11" s="380"/>
      <c r="AW11" s="380"/>
      <c r="AX11" s="380"/>
      <c r="AY11" s="380"/>
      <c r="AZ11" s="380"/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</row>
    <row r="12" spans="1:84" ht="16.5">
      <c r="A12" s="556"/>
      <c r="B12" s="491" t="s">
        <v>713</v>
      </c>
      <c r="C12" s="9"/>
      <c r="D12" s="9"/>
      <c r="E12" s="606"/>
      <c r="F12" s="607" t="s">
        <v>714</v>
      </c>
      <c r="G12" s="608">
        <v>44749.556122685186</v>
      </c>
      <c r="H12" s="604"/>
      <c r="I12" s="605"/>
      <c r="J12" s="767" t="s">
        <v>715</v>
      </c>
      <c r="K12" s="777">
        <f>idagente</f>
        <v>598</v>
      </c>
      <c r="L12" s="592"/>
      <c r="M12" s="555"/>
      <c r="N12" s="547"/>
      <c r="O12" s="9"/>
      <c r="Q12" s="533"/>
      <c r="R12" s="380"/>
      <c r="S12" s="380"/>
      <c r="T12" s="380"/>
      <c r="U12" s="380"/>
      <c r="V12" s="380"/>
      <c r="W12" s="380"/>
      <c r="X12" s="380"/>
      <c r="Y12" s="380"/>
      <c r="Z12" s="380"/>
      <c r="AA12" s="380"/>
      <c r="AB12" s="380"/>
      <c r="AC12" s="380"/>
      <c r="AD12" s="380"/>
      <c r="AE12" s="380"/>
      <c r="AF12" s="380"/>
      <c r="AG12" s="380"/>
      <c r="AH12" s="380"/>
      <c r="AI12" s="380"/>
      <c r="AJ12" s="380"/>
      <c r="AK12" s="380"/>
      <c r="AL12" s="380"/>
      <c r="AM12" s="380"/>
      <c r="AN12" s="380"/>
      <c r="AO12" s="380"/>
      <c r="AP12" s="380"/>
      <c r="AQ12" s="380"/>
      <c r="AR12" s="380"/>
      <c r="AS12" s="380"/>
      <c r="AT12" s="380"/>
      <c r="AU12" s="380"/>
      <c r="AV12" s="380"/>
      <c r="AW12" s="380"/>
      <c r="AX12" s="380"/>
      <c r="AY12" s="380"/>
      <c r="AZ12" s="380"/>
      <c r="BA12" s="380"/>
      <c r="BB12" s="380"/>
      <c r="BC12" s="380"/>
      <c r="BD12" s="380"/>
      <c r="BE12" s="380"/>
      <c r="BF12" s="380"/>
      <c r="BG12" s="380"/>
      <c r="BH12" s="380"/>
      <c r="BI12" s="380"/>
      <c r="BJ12" s="380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</row>
    <row r="13" spans="1:84">
      <c r="A13" s="556"/>
      <c r="B13" s="597" t="s">
        <v>716</v>
      </c>
      <c r="C13" s="1056">
        <f ca="1">YEAR(TODAY())</f>
        <v>2022</v>
      </c>
      <c r="D13" s="15"/>
      <c r="E13" s="606"/>
      <c r="F13" s="607" t="s">
        <v>717</v>
      </c>
      <c r="G13" s="608">
        <v>44763.389039351852</v>
      </c>
      <c r="H13" s="604"/>
      <c r="I13" s="9"/>
      <c r="J13" s="491" t="s">
        <v>718</v>
      </c>
      <c r="K13" s="9"/>
      <c r="L13" s="592"/>
      <c r="M13" s="557"/>
      <c r="O13" s="9"/>
      <c r="R13" s="380"/>
      <c r="S13" s="380"/>
      <c r="T13" s="380"/>
      <c r="U13" s="380"/>
      <c r="V13" s="380"/>
      <c r="W13" s="380"/>
      <c r="X13" s="380"/>
      <c r="Y13" s="380"/>
      <c r="Z13" s="380"/>
      <c r="AA13" s="380"/>
      <c r="AB13" s="380"/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/>
      <c r="AO13" s="380"/>
      <c r="AP13" s="380"/>
      <c r="AQ13" s="380"/>
      <c r="AR13" s="380"/>
      <c r="AS13" s="380"/>
      <c r="AT13" s="380"/>
      <c r="AU13" s="380"/>
      <c r="AV13" s="380"/>
      <c r="AW13" s="380"/>
      <c r="AX13" s="380"/>
      <c r="AY13" s="380"/>
      <c r="AZ13" s="380"/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</row>
    <row r="14" spans="1:84">
      <c r="B14" s="598" t="s">
        <v>719</v>
      </c>
      <c r="C14" s="599">
        <v>44407</v>
      </c>
      <c r="D14" s="15"/>
      <c r="E14" s="606"/>
      <c r="F14" s="607" t="s">
        <v>720</v>
      </c>
      <c r="G14" s="608">
        <v>44763.389444444445</v>
      </c>
      <c r="H14" s="604"/>
      <c r="I14" s="9"/>
      <c r="J14" s="766" t="s">
        <v>721</v>
      </c>
      <c r="K14" s="1055">
        <f>VLOOKUP(SAS_RA0_DataFim,Índices!$B$7:$F$500,2,FALSE)</f>
        <v>1190.8820000000001</v>
      </c>
      <c r="L14" s="592"/>
      <c r="M14" s="557"/>
      <c r="O14" s="9"/>
      <c r="R14" s="380"/>
      <c r="S14" s="380"/>
      <c r="T14" s="380"/>
      <c r="U14" s="380"/>
      <c r="V14" s="380"/>
      <c r="W14" s="380"/>
      <c r="X14" s="380"/>
      <c r="Y14" s="380"/>
      <c r="Z14" s="380"/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  <c r="AY14" s="380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</row>
    <row r="15" spans="1:84">
      <c r="B15" s="598" t="s">
        <v>722</v>
      </c>
      <c r="C15" s="600">
        <v>44772</v>
      </c>
      <c r="D15" s="15"/>
      <c r="E15" s="606"/>
      <c r="F15" s="607" t="s">
        <v>723</v>
      </c>
      <c r="G15" s="608">
        <v>44763.413113425922</v>
      </c>
      <c r="H15" s="609"/>
      <c r="I15" s="9"/>
      <c r="J15" s="579" t="s">
        <v>724</v>
      </c>
      <c r="K15" s="610">
        <f>VLOOKUP(SAS_RA0_DataFim,Índices!$B$7:$F$500,3,FALSE)</f>
        <v>6455.85</v>
      </c>
      <c r="L15" s="592"/>
      <c r="M15" s="557"/>
      <c r="O15" s="9"/>
      <c r="R15" s="380"/>
      <c r="S15" s="380"/>
      <c r="T15" s="380"/>
      <c r="U15" s="380"/>
      <c r="V15" s="380"/>
      <c r="W15" s="380"/>
      <c r="X15" s="380"/>
      <c r="Y15" s="380"/>
      <c r="Z15" s="380"/>
      <c r="AA15" s="380"/>
      <c r="AB15" s="380"/>
      <c r="AC15" s="380"/>
      <c r="AD15" s="380"/>
      <c r="AE15" s="380"/>
      <c r="AF15" s="380"/>
      <c r="AG15" s="380"/>
      <c r="AH15" s="380"/>
      <c r="AI15" s="380"/>
      <c r="AJ15" s="380"/>
      <c r="AK15" s="380"/>
      <c r="AL15" s="380"/>
      <c r="AM15" s="380"/>
      <c r="AN15" s="380"/>
      <c r="AO15" s="380"/>
      <c r="AP15" s="380"/>
      <c r="AQ15" s="380"/>
      <c r="AR15" s="380"/>
      <c r="AS15" s="380"/>
      <c r="AT15" s="380"/>
      <c r="AU15" s="380"/>
      <c r="AV15" s="380"/>
      <c r="AW15" s="380"/>
      <c r="AX15" s="380"/>
      <c r="AY15" s="380"/>
      <c r="AZ15" s="380"/>
      <c r="BA15" s="380"/>
      <c r="BB15" s="380"/>
      <c r="BC15" s="380"/>
      <c r="BD15" s="380"/>
      <c r="BE15" s="380"/>
      <c r="BF15" s="380"/>
      <c r="BG15" s="380"/>
      <c r="BH15" s="380"/>
      <c r="BI15" s="380"/>
      <c r="BJ15" s="380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</row>
    <row r="16" spans="1:84">
      <c r="B16" s="598" t="s">
        <v>264</v>
      </c>
      <c r="C16" s="601">
        <f>DATE(YEAR(C14),MONTH(C14),1)</f>
        <v>44378</v>
      </c>
      <c r="D16" s="265"/>
      <c r="E16" s="606"/>
      <c r="F16" s="607" t="s">
        <v>725</v>
      </c>
      <c r="G16" s="608">
        <v>44755.825891203705</v>
      </c>
      <c r="H16" s="1585"/>
      <c r="I16" s="9"/>
      <c r="J16" s="579" t="s">
        <v>726</v>
      </c>
      <c r="K16" s="586">
        <f>K14/VLOOKUP(DATE(YEAR(SAS_RA0_DataInicio),MONTH(SAS_RA0_DataInicio)-1,DAY(SAS_RA0_DataInicio)),Índices!$B$7:$F$500,2,FALSE)-1</f>
        <v>0.10704236088323049</v>
      </c>
      <c r="L16" s="592"/>
      <c r="M16" s="557"/>
      <c r="O16" s="9"/>
      <c r="Q16" s="533"/>
      <c r="R16" s="380"/>
      <c r="S16" s="380"/>
      <c r="T16" s="380"/>
      <c r="U16" s="380"/>
      <c r="V16" s="380"/>
      <c r="W16" s="380"/>
      <c r="X16" s="380"/>
      <c r="Y16" s="380"/>
      <c r="Z16" s="380"/>
      <c r="AA16" s="380"/>
      <c r="AB16" s="380"/>
      <c r="AC16" s="380"/>
      <c r="AD16" s="380"/>
      <c r="AE16" s="380"/>
      <c r="AF16" s="380"/>
      <c r="AG16" s="380"/>
      <c r="AH16" s="380"/>
      <c r="AI16" s="380"/>
      <c r="AJ16" s="380"/>
      <c r="AK16" s="380"/>
      <c r="AL16" s="380"/>
      <c r="AM16" s="380"/>
      <c r="AN16" s="380"/>
      <c r="AO16" s="380"/>
      <c r="AP16" s="380"/>
      <c r="AQ16" s="380"/>
      <c r="AR16" s="380"/>
      <c r="AS16" s="380"/>
      <c r="AT16" s="380"/>
      <c r="AU16" s="380"/>
      <c r="AV16" s="380"/>
      <c r="AW16" s="380"/>
      <c r="AX16" s="380"/>
      <c r="AY16" s="380"/>
      <c r="AZ16" s="380"/>
      <c r="BA16" s="380"/>
      <c r="BB16" s="380"/>
      <c r="BC16" s="380"/>
      <c r="BD16" s="380"/>
      <c r="BE16" s="380"/>
      <c r="BF16" s="380"/>
      <c r="BG16" s="380"/>
      <c r="BH16" s="380"/>
      <c r="BI16" s="380"/>
      <c r="BJ16" s="380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</row>
    <row r="17" spans="1:84">
      <c r="B17" s="598" t="s">
        <v>265</v>
      </c>
      <c r="C17" s="601">
        <f>DATE(YEAR(C15),MONTH(C15)-1,1)</f>
        <v>44713</v>
      </c>
      <c r="D17" s="265"/>
      <c r="E17" s="606"/>
      <c r="F17" s="607" t="s">
        <v>727</v>
      </c>
      <c r="G17" s="608">
        <v>44755.827581018515</v>
      </c>
      <c r="H17" s="9"/>
      <c r="I17" s="374"/>
      <c r="J17" s="579" t="s">
        <v>728</v>
      </c>
      <c r="K17" s="1057">
        <f>K15/VLOOKUP(DATE(YEAR(SAS_RA0_DataInicio),MONTH(SAS_RA0_DataInicio)-1,DAY(SAS_RA0_DataInicio)),Índices!$B$7:$F$500,3,FALSE)-1</f>
        <v>0.11886869625198027</v>
      </c>
      <c r="L17" s="9"/>
      <c r="M17" s="557"/>
      <c r="O17" s="9"/>
      <c r="Q17" s="533"/>
      <c r="R17" s="380"/>
      <c r="S17" s="380"/>
      <c r="T17" s="380"/>
      <c r="U17" s="380"/>
      <c r="V17" s="380"/>
      <c r="W17" s="380"/>
      <c r="X17" s="380"/>
      <c r="Y17" s="380"/>
      <c r="Z17" s="380"/>
      <c r="AA17" s="380"/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/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/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</row>
    <row r="18" spans="1:84">
      <c r="B18" s="598" t="s">
        <v>729</v>
      </c>
      <c r="C18" s="1640" t="str">
        <f ca="1">C110</f>
        <v>REVISÃO</v>
      </c>
      <c r="D18" s="265"/>
      <c r="E18" s="606"/>
      <c r="F18" s="607" t="s">
        <v>730</v>
      </c>
      <c r="G18" s="608">
        <v>44763.434733796297</v>
      </c>
      <c r="I18" s="374"/>
      <c r="J18" s="584" t="s">
        <v>731</v>
      </c>
      <c r="K18" s="589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57"/>
      <c r="N18" s="9"/>
      <c r="O18" s="9"/>
      <c r="Q18" s="533"/>
      <c r="R18" s="380"/>
      <c r="S18" s="380"/>
      <c r="T18" s="380"/>
      <c r="U18" s="380"/>
      <c r="V18" s="380"/>
      <c r="W18" s="380"/>
      <c r="X18" s="380"/>
      <c r="Y18" s="380"/>
      <c r="Z18" s="380"/>
      <c r="AA18" s="380"/>
      <c r="AB18" s="380"/>
      <c r="AC18" s="380"/>
      <c r="AD18" s="380"/>
      <c r="AE18" s="380"/>
      <c r="AF18" s="380"/>
      <c r="AG18" s="380"/>
      <c r="AH18" s="380"/>
      <c r="AI18" s="380"/>
      <c r="AJ18" s="380"/>
      <c r="AK18" s="380"/>
      <c r="AL18" s="380"/>
      <c r="AM18" s="380"/>
      <c r="AN18" s="380"/>
      <c r="AO18" s="380"/>
      <c r="AP18" s="380"/>
      <c r="AQ18" s="380"/>
      <c r="AR18" s="380"/>
      <c r="AS18" s="380"/>
      <c r="AT18" s="380"/>
      <c r="AU18" s="380"/>
      <c r="AV18" s="380"/>
      <c r="AW18" s="380"/>
      <c r="AX18" s="380"/>
      <c r="AY18" s="380"/>
      <c r="AZ18" s="380"/>
      <c r="BA18" s="380"/>
      <c r="BB18" s="380"/>
      <c r="BC18" s="380"/>
      <c r="BD18" s="380"/>
      <c r="BE18" s="380"/>
      <c r="BF18" s="380"/>
      <c r="BG18" s="380"/>
      <c r="BH18" s="380"/>
      <c r="BI18" s="380"/>
      <c r="BJ18" s="380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</row>
    <row r="19" spans="1:84">
      <c r="D19" s="9"/>
      <c r="I19" s="374"/>
      <c r="J19" s="274"/>
      <c r="K19" s="586"/>
      <c r="L19" s="17"/>
      <c r="M19" s="557"/>
      <c r="N19" s="9"/>
      <c r="O19" s="9"/>
      <c r="Q19" s="533"/>
      <c r="R19" s="380"/>
      <c r="S19" s="380"/>
      <c r="T19" s="380"/>
      <c r="U19" s="380"/>
      <c r="V19" s="380"/>
      <c r="W19" s="380"/>
      <c r="X19" s="380"/>
      <c r="Y19" s="380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/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</row>
    <row r="20" spans="1:84">
      <c r="D20" s="9"/>
      <c r="I20" s="374"/>
      <c r="J20" s="274"/>
      <c r="K20" s="776"/>
      <c r="L20" s="17"/>
      <c r="M20" s="557"/>
      <c r="N20" s="9"/>
      <c r="O20" s="9"/>
      <c r="Q20" s="533"/>
      <c r="R20" s="380"/>
      <c r="S20" s="380"/>
      <c r="T20" s="380"/>
      <c r="U20" s="380"/>
      <c r="V20" s="380"/>
      <c r="W20" s="380"/>
      <c r="X20" s="380"/>
      <c r="Y20" s="380"/>
      <c r="Z20" s="380"/>
      <c r="AA20" s="380"/>
      <c r="AB20" s="380"/>
      <c r="AC20" s="380"/>
      <c r="AD20" s="380"/>
      <c r="AE20" s="380"/>
      <c r="AF20" s="380"/>
      <c r="AG20" s="380"/>
      <c r="AH20" s="380"/>
      <c r="AI20" s="380"/>
      <c r="AJ20" s="380"/>
      <c r="AK20" s="380"/>
      <c r="AL20" s="380"/>
      <c r="AM20" s="380"/>
      <c r="AN20" s="380"/>
      <c r="AO20" s="380"/>
      <c r="AP20" s="380"/>
      <c r="AQ20" s="380"/>
      <c r="AR20" s="380"/>
      <c r="AS20" s="380"/>
      <c r="AT20" s="380"/>
      <c r="AU20" s="380"/>
      <c r="AV20" s="380"/>
      <c r="AW20" s="380"/>
      <c r="AX20" s="380"/>
      <c r="AY20" s="380"/>
      <c r="AZ20" s="380"/>
      <c r="BA20" s="380"/>
      <c r="BB20" s="380"/>
      <c r="BC20" s="380"/>
      <c r="BD20" s="380"/>
      <c r="BE20" s="380"/>
      <c r="BF20" s="380"/>
      <c r="BG20" s="380"/>
      <c r="BH20" s="380"/>
      <c r="BI20" s="380"/>
      <c r="BJ20" s="380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</row>
    <row r="21" spans="1:84">
      <c r="D21" s="9"/>
      <c r="I21" s="374"/>
      <c r="J21" s="274"/>
      <c r="K21" s="586"/>
      <c r="L21" s="17"/>
      <c r="M21" s="557"/>
      <c r="N21" s="9"/>
      <c r="O21" s="9"/>
      <c r="Q21" s="533"/>
      <c r="R21" s="380"/>
      <c r="S21" s="380"/>
      <c r="T21" s="380"/>
      <c r="U21" s="380"/>
      <c r="V21" s="380"/>
      <c r="W21" s="380"/>
      <c r="X21" s="380"/>
      <c r="Y21" s="380"/>
      <c r="Z21" s="380"/>
      <c r="AA21" s="380"/>
      <c r="AB21" s="380"/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/>
      <c r="AN21" s="380"/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/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</row>
    <row r="22" spans="1:84" ht="16.5" thickBot="1">
      <c r="E22" s="49"/>
      <c r="F22" s="49"/>
      <c r="G22" s="49"/>
      <c r="H22" s="529"/>
      <c r="I22" s="374"/>
      <c r="J22" s="49"/>
      <c r="K22" s="558"/>
      <c r="L22" s="559"/>
      <c r="M22" s="557"/>
      <c r="N22" s="9"/>
      <c r="O22" s="9"/>
      <c r="Q22" s="533"/>
      <c r="R22" s="380"/>
      <c r="S22" s="380"/>
      <c r="T22" s="380"/>
      <c r="U22" s="380"/>
      <c r="V22" s="380"/>
      <c r="W22" s="380"/>
      <c r="X22" s="380"/>
      <c r="Y22" s="380"/>
      <c r="Z22" s="380"/>
      <c r="AA22" s="380"/>
      <c r="AB22" s="380"/>
      <c r="AC22" s="380"/>
      <c r="AD22" s="380"/>
      <c r="AE22" s="380"/>
      <c r="AF22" s="380"/>
      <c r="AG22" s="380"/>
      <c r="AH22" s="380"/>
      <c r="AI22" s="380"/>
      <c r="AJ22" s="380"/>
      <c r="AK22" s="380"/>
      <c r="AL22" s="380"/>
      <c r="AM22" s="380"/>
      <c r="AN22" s="380"/>
      <c r="AO22" s="380"/>
      <c r="AP22" s="380"/>
      <c r="AQ22" s="380"/>
      <c r="AR22" s="380"/>
      <c r="AS22" s="380"/>
      <c r="AT22" s="380"/>
      <c r="AU22" s="380"/>
      <c r="AV22" s="380"/>
      <c r="AW22" s="380"/>
      <c r="AX22" s="380"/>
      <c r="AY22" s="380"/>
      <c r="AZ22" s="380"/>
      <c r="BA22" s="380"/>
      <c r="BB22" s="380"/>
      <c r="BC22" s="380"/>
      <c r="BD22" s="380"/>
      <c r="BE22" s="380"/>
      <c r="BF22" s="380"/>
      <c r="BG22" s="380"/>
      <c r="BH22" s="380"/>
      <c r="BI22" s="380"/>
      <c r="BJ22" s="380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</row>
    <row r="23" spans="1:84" ht="26.25" thickBot="1">
      <c r="A23" s="548"/>
      <c r="B23" s="538" t="s">
        <v>732</v>
      </c>
      <c r="C23" s="549"/>
      <c r="D23" s="549"/>
      <c r="E23" s="550"/>
      <c r="F23" s="550"/>
      <c r="G23" s="550"/>
      <c r="H23" s="530"/>
      <c r="I23" s="531"/>
      <c r="J23" s="550"/>
      <c r="K23" s="551"/>
      <c r="L23" s="552"/>
      <c r="M23" s="553"/>
      <c r="N23" s="9"/>
      <c r="O23" s="9"/>
      <c r="Q23" s="533"/>
      <c r="R23" s="380"/>
      <c r="S23" s="380"/>
      <c r="T23" s="380"/>
      <c r="U23" s="380"/>
      <c r="V23" s="380"/>
      <c r="W23" s="380"/>
      <c r="X23" s="380"/>
      <c r="Y23" s="380"/>
      <c r="Z23" s="380"/>
      <c r="AA23" s="380"/>
      <c r="AB23" s="380"/>
      <c r="AC23" s="380"/>
      <c r="AD23" s="380"/>
      <c r="AE23" s="380"/>
      <c r="AF23" s="380"/>
      <c r="AG23" s="380"/>
      <c r="AH23" s="380"/>
      <c r="AI23" s="380"/>
      <c r="AJ23" s="380"/>
      <c r="AK23" s="380"/>
      <c r="AL23" s="380"/>
      <c r="AM23" s="380"/>
      <c r="AN23" s="380"/>
      <c r="AO23" s="380"/>
      <c r="AP23" s="380"/>
      <c r="AQ23" s="380"/>
      <c r="AR23" s="380"/>
      <c r="AS23" s="380"/>
      <c r="AT23" s="380"/>
      <c r="AU23" s="380"/>
      <c r="AV23" s="380"/>
      <c r="AW23" s="380"/>
      <c r="AX23" s="380"/>
      <c r="AY23" s="380"/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</row>
    <row r="24" spans="1:84">
      <c r="E24" s="49"/>
      <c r="F24" s="49"/>
      <c r="G24" s="49"/>
      <c r="H24" s="529"/>
      <c r="I24" s="374"/>
      <c r="J24" s="49"/>
      <c r="K24" s="558"/>
      <c r="L24" s="559"/>
      <c r="M24" s="624"/>
      <c r="N24" s="566"/>
      <c r="O24" s="9"/>
      <c r="Q24" s="533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/>
      <c r="AC24" s="380"/>
      <c r="AD24" s="380"/>
      <c r="AE24" s="380"/>
      <c r="AF24" s="380"/>
      <c r="AG24" s="380"/>
      <c r="AH24" s="380"/>
      <c r="AI24" s="380"/>
      <c r="AJ24" s="380"/>
      <c r="AK24" s="380"/>
      <c r="AL24" s="380"/>
      <c r="AM24" s="380"/>
      <c r="AN24" s="380"/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/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</row>
    <row r="25" spans="1:84">
      <c r="D25" s="560"/>
      <c r="F25" s="561"/>
      <c r="G25" s="562"/>
      <c r="L25" s="559"/>
      <c r="M25" s="557"/>
      <c r="N25" s="566"/>
      <c r="O25" s="9"/>
      <c r="Q25" s="533"/>
      <c r="R25" s="380"/>
      <c r="S25" s="380"/>
      <c r="T25" s="380"/>
      <c r="U25" s="380"/>
      <c r="V25" s="380"/>
      <c r="W25" s="380"/>
      <c r="X25" s="380"/>
      <c r="Y25" s="380"/>
      <c r="Z25" s="380"/>
      <c r="AA25" s="380"/>
      <c r="AB25" s="380"/>
      <c r="AC25" s="380"/>
      <c r="AD25" s="380"/>
      <c r="AE25" s="380"/>
      <c r="AF25" s="380"/>
      <c r="AG25" s="380"/>
      <c r="AH25" s="380"/>
      <c r="AI25" s="380"/>
      <c r="AJ25" s="380"/>
      <c r="AK25" s="380"/>
      <c r="AL25" s="380"/>
      <c r="AM25" s="380"/>
      <c r="AN25" s="380"/>
      <c r="AO25" s="380"/>
      <c r="AP25" s="380"/>
      <c r="AQ25" s="380"/>
      <c r="AR25" s="380"/>
      <c r="AS25" s="380"/>
      <c r="AT25" s="380"/>
      <c r="AU25" s="380"/>
      <c r="AV25" s="380"/>
      <c r="AW25" s="380"/>
      <c r="AX25" s="380"/>
      <c r="AY25" s="380"/>
      <c r="AZ25" s="380"/>
      <c r="BA25" s="380"/>
      <c r="BB25" s="380"/>
      <c r="BC25" s="380"/>
      <c r="BD25" s="380"/>
      <c r="BE25" s="380"/>
      <c r="BF25" s="380"/>
      <c r="BG25" s="380"/>
      <c r="BH25" s="380"/>
      <c r="BI25" s="380"/>
      <c r="BJ25" s="380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</row>
    <row r="26" spans="1:84" ht="18">
      <c r="B26" s="733" t="s">
        <v>733</v>
      </c>
      <c r="C26" s="591"/>
      <c r="D26" s="1058"/>
      <c r="E26" s="1059"/>
      <c r="F26" s="1060"/>
      <c r="G26" s="1061"/>
      <c r="H26" s="1058"/>
      <c r="I26" s="1058"/>
      <c r="J26" s="1058"/>
      <c r="K26" s="1062"/>
      <c r="L26" s="1063"/>
      <c r="M26" s="557"/>
      <c r="N26" s="566"/>
      <c r="O26" s="9"/>
      <c r="Q26" s="533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/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/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</row>
    <row r="27" spans="1:84">
      <c r="L27" s="559"/>
      <c r="M27" s="557"/>
      <c r="N27" s="566"/>
      <c r="O27" s="9"/>
      <c r="R27" s="380"/>
      <c r="S27" s="380"/>
      <c r="T27" s="380"/>
      <c r="U27" s="380"/>
      <c r="V27" s="380"/>
      <c r="W27" s="380"/>
      <c r="X27" s="380"/>
      <c r="Y27" s="380"/>
      <c r="Z27" s="380"/>
      <c r="AA27" s="380"/>
      <c r="AB27" s="380"/>
      <c r="AC27" s="380"/>
      <c r="AD27" s="380"/>
      <c r="AE27" s="380"/>
      <c r="AF27" s="380"/>
      <c r="AG27" s="380"/>
      <c r="AH27" s="380"/>
      <c r="AI27" s="380"/>
      <c r="AJ27" s="380"/>
      <c r="AK27" s="380"/>
      <c r="AL27" s="380"/>
      <c r="AM27" s="380"/>
      <c r="AN27" s="380"/>
      <c r="AO27" s="380"/>
      <c r="AP27" s="380"/>
      <c r="AQ27" s="380"/>
      <c r="AR27" s="380"/>
      <c r="AS27" s="380"/>
      <c r="AT27" s="380"/>
      <c r="AU27" s="380"/>
      <c r="AV27" s="380"/>
      <c r="AW27" s="380"/>
      <c r="AX27" s="380"/>
      <c r="AY27" s="380"/>
      <c r="AZ27" s="380"/>
      <c r="BA27" s="380"/>
      <c r="BB27" s="380"/>
      <c r="BC27" s="380"/>
      <c r="BD27" s="380"/>
      <c r="BE27" s="380"/>
      <c r="BF27" s="380"/>
      <c r="BG27" s="380"/>
      <c r="BH27" s="380"/>
      <c r="BI27" s="380"/>
      <c r="BJ27" s="380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</row>
    <row r="28" spans="1:84">
      <c r="B28" s="584" t="s">
        <v>734</v>
      </c>
      <c r="C28" s="1757" t="s">
        <v>2341</v>
      </c>
      <c r="D28" s="1757"/>
      <c r="E28" s="9"/>
      <c r="F28" s="590" t="s">
        <v>735</v>
      </c>
      <c r="G28" s="591"/>
      <c r="H28" s="591"/>
      <c r="I28" s="9"/>
      <c r="J28" s="590" t="s">
        <v>736</v>
      </c>
      <c r="K28" s="591"/>
      <c r="L28" s="17"/>
      <c r="M28" s="557"/>
      <c r="N28" s="566"/>
      <c r="O28" s="9"/>
      <c r="R28" s="380"/>
      <c r="S28" s="380"/>
      <c r="T28" s="380"/>
      <c r="U28" s="380"/>
      <c r="V28" s="380"/>
      <c r="W28" s="380"/>
      <c r="X28" s="380"/>
      <c r="Y28" s="380"/>
      <c r="Z28" s="380"/>
      <c r="AA28" s="380"/>
      <c r="AB28" s="380"/>
      <c r="AC28" s="380"/>
      <c r="AD28" s="380"/>
      <c r="AE28" s="380"/>
      <c r="AF28" s="380"/>
      <c r="AG28" s="380"/>
      <c r="AH28" s="380"/>
      <c r="AI28" s="380"/>
      <c r="AJ28" s="380"/>
      <c r="AK28" s="380"/>
      <c r="AL28" s="380"/>
      <c r="AM28" s="380"/>
      <c r="AN28" s="380"/>
      <c r="AO28" s="380"/>
      <c r="AP28" s="380"/>
      <c r="AQ28" s="380"/>
      <c r="AR28" s="380"/>
      <c r="AS28" s="380"/>
      <c r="AT28" s="380"/>
      <c r="AU28" s="380"/>
      <c r="AV28" s="380"/>
      <c r="AW28" s="380"/>
      <c r="AX28" s="380"/>
      <c r="AY28" s="380"/>
      <c r="AZ28" s="380"/>
      <c r="BA28" s="380"/>
      <c r="BB28" s="380"/>
      <c r="BC28" s="380"/>
      <c r="BD28" s="380"/>
      <c r="BE28" s="380"/>
      <c r="BF28" s="380"/>
      <c r="BG28" s="380"/>
      <c r="BH28" s="380"/>
      <c r="BI28" s="380"/>
      <c r="BJ28" s="380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</row>
    <row r="29" spans="1:84">
      <c r="B29" s="9"/>
      <c r="C29" s="9"/>
      <c r="D29" s="9"/>
      <c r="E29" s="9"/>
      <c r="F29" s="766" t="s">
        <v>737</v>
      </c>
      <c r="G29" s="766"/>
      <c r="H29" s="1064">
        <v>8.1764731699427329E-2</v>
      </c>
      <c r="I29" s="9"/>
      <c r="J29" s="766" t="s">
        <v>738</v>
      </c>
      <c r="K29" s="1065">
        <f>BD!C26</f>
        <v>41629263.509999998</v>
      </c>
      <c r="L29" s="17"/>
      <c r="M29" s="557"/>
      <c r="N29" s="566"/>
      <c r="O29" s="9"/>
      <c r="R29" s="380"/>
      <c r="S29" s="380"/>
      <c r="T29" s="380"/>
      <c r="U29" s="380"/>
      <c r="V29" s="380"/>
      <c r="W29" s="380"/>
      <c r="X29" s="380"/>
      <c r="Y29" s="380"/>
      <c r="Z29" s="380"/>
      <c r="AA29" s="380"/>
      <c r="AB29" s="380"/>
      <c r="AC29" s="380"/>
      <c r="AD29" s="380"/>
      <c r="AE29" s="380"/>
      <c r="AF29" s="380"/>
      <c r="AG29" s="380"/>
      <c r="AH29" s="380"/>
      <c r="AI29" s="380"/>
      <c r="AJ29" s="380"/>
      <c r="AK29" s="380"/>
      <c r="AL29" s="380"/>
      <c r="AM29" s="380"/>
      <c r="AN29" s="380"/>
      <c r="AO29" s="380"/>
      <c r="AP29" s="380"/>
      <c r="AQ29" s="380"/>
      <c r="AR29" s="380"/>
      <c r="AS29" s="380"/>
      <c r="AT29" s="380"/>
      <c r="AU29" s="380"/>
      <c r="AV29" s="380"/>
      <c r="AW29" s="380"/>
      <c r="AX29" s="380"/>
      <c r="AY29" s="380"/>
      <c r="AZ29" s="380"/>
      <c r="BA29" s="380"/>
      <c r="BB29" s="380"/>
      <c r="BC29" s="380"/>
      <c r="BD29" s="380"/>
      <c r="BE29" s="380"/>
      <c r="BF29" s="380"/>
      <c r="BG29" s="380"/>
      <c r="BH29" s="380"/>
      <c r="BI29" s="380"/>
      <c r="BJ29" s="380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</row>
    <row r="30" spans="1:84">
      <c r="B30" s="491" t="s">
        <v>84</v>
      </c>
      <c r="C30" s="9"/>
      <c r="D30" s="9"/>
      <c r="E30" s="9"/>
      <c r="F30" s="767" t="s">
        <v>739</v>
      </c>
      <c r="G30" s="767"/>
      <c r="H30" s="1066"/>
      <c r="I30" s="9"/>
      <c r="J30" s="579" t="s">
        <v>740</v>
      </c>
      <c r="K30" s="593">
        <f>IFERROR(VLOOKUP(LnkTXTSigla,Informacoes[],17,FALSE)*(1+K18),0)</f>
        <v>51369456.980007708</v>
      </c>
      <c r="L30" s="17"/>
      <c r="M30" s="557"/>
      <c r="O30" s="566"/>
      <c r="R30" s="380"/>
      <c r="S30" s="380"/>
      <c r="T30" s="380"/>
      <c r="U30" s="380"/>
      <c r="V30" s="380"/>
      <c r="W30" s="380"/>
      <c r="X30" s="380"/>
      <c r="Y30" s="380"/>
      <c r="Z30" s="380"/>
      <c r="AA30" s="380"/>
      <c r="AB30" s="380"/>
      <c r="AC30" s="380"/>
      <c r="AD30" s="380"/>
      <c r="AE30" s="380"/>
      <c r="AF30" s="380"/>
      <c r="AG30" s="380"/>
      <c r="AH30" s="380"/>
      <c r="AI30" s="380"/>
      <c r="AJ30" s="380"/>
      <c r="AK30" s="380"/>
      <c r="AL30" s="380"/>
      <c r="AM30" s="380"/>
      <c r="AN30" s="380"/>
      <c r="AO30" s="380"/>
      <c r="AP30" s="380"/>
      <c r="AQ30" s="380"/>
      <c r="AR30" s="380"/>
      <c r="AS30" s="380"/>
      <c r="AT30" s="380"/>
      <c r="AU30" s="380"/>
      <c r="AV30" s="380"/>
      <c r="AW30" s="380"/>
      <c r="AX30" s="380"/>
      <c r="AY30" s="380"/>
      <c r="AZ30" s="380"/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</row>
    <row r="31" spans="1:84">
      <c r="B31" s="1762" t="s">
        <v>741</v>
      </c>
      <c r="C31" s="1762"/>
      <c r="D31" s="800"/>
      <c r="E31" s="9"/>
      <c r="F31" s="1067"/>
      <c r="G31" s="1067"/>
      <c r="H31" s="1068"/>
      <c r="I31" s="9"/>
      <c r="J31" s="767" t="s">
        <v>742</v>
      </c>
      <c r="K31" s="1069">
        <f>D32+D33+D34</f>
        <v>51369456.980000004</v>
      </c>
      <c r="L31" s="17" t="s">
        <v>743</v>
      </c>
      <c r="M31" s="557" t="s">
        <v>744</v>
      </c>
      <c r="O31" s="566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/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/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</row>
    <row r="32" spans="1:84">
      <c r="B32" s="1070" t="s">
        <v>745</v>
      </c>
      <c r="C32" s="1070"/>
      <c r="D32" s="811">
        <v>27280730.07</v>
      </c>
      <c r="E32" s="9"/>
      <c r="F32" s="1071" t="s">
        <v>746</v>
      </c>
      <c r="G32" s="1072"/>
      <c r="H32" s="1072"/>
      <c r="I32" s="9"/>
      <c r="J32" s="766" t="s">
        <v>747</v>
      </c>
      <c r="K32" s="1073">
        <f ca="1">VLOOKUP(C9,Informacoes[],30,FALSE)*(VLOOKUP(DATE(AnoRefTar,MONTH(M32)-1,1),Índices!B6:F500,3,FALSE)/VLOOKUP(DATE(YEAR(M32),MONTH(L32)-1,1),Índices!B6:F500,3,FALSE))</f>
        <v>20761269.154540893</v>
      </c>
      <c r="L32" s="17">
        <f>VLOOKUP(C9,Informacoes[],31,FALSE)</f>
        <v>43270</v>
      </c>
      <c r="M32" s="835">
        <f>VLOOKUP(C9,Informacoes[],32,FALSE)</f>
        <v>43270</v>
      </c>
      <c r="O32" s="566"/>
      <c r="Q32" s="533"/>
      <c r="R32" s="380"/>
      <c r="S32" s="380"/>
      <c r="T32" s="380"/>
      <c r="U32" s="380"/>
      <c r="V32" s="380"/>
      <c r="W32" s="380"/>
      <c r="X32" s="380"/>
      <c r="Y32" s="380"/>
      <c r="Z32" s="380"/>
      <c r="AA32" s="380"/>
      <c r="AB32" s="380"/>
      <c r="AC32" s="380"/>
      <c r="AD32" s="380"/>
      <c r="AE32" s="380"/>
      <c r="AF32" s="380"/>
      <c r="AG32" s="380"/>
      <c r="AH32" s="380"/>
      <c r="AI32" s="380"/>
      <c r="AJ32" s="380"/>
      <c r="AK32" s="380"/>
      <c r="AL32" s="380"/>
      <c r="AM32" s="380"/>
      <c r="AN32" s="380"/>
      <c r="AO32" s="380"/>
      <c r="AP32" s="380"/>
      <c r="AQ32" s="380"/>
      <c r="AR32" s="380"/>
      <c r="AS32" s="380"/>
      <c r="AT32" s="380"/>
      <c r="AU32" s="380"/>
      <c r="AV32" s="380"/>
      <c r="AW32" s="380"/>
      <c r="AX32" s="380"/>
      <c r="AY32" s="380"/>
      <c r="AZ32" s="380"/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</row>
    <row r="33" spans="1:84">
      <c r="B33" s="1070" t="s">
        <v>748</v>
      </c>
      <c r="C33" s="1070"/>
      <c r="D33" s="812">
        <v>24088726.91</v>
      </c>
      <c r="E33" s="9"/>
      <c r="F33" s="579" t="s">
        <v>749</v>
      </c>
      <c r="G33" s="579"/>
      <c r="H33" s="497">
        <v>10522.752496681569</v>
      </c>
      <c r="I33" s="9"/>
      <c r="J33" s="767" t="s">
        <v>750</v>
      </c>
      <c r="K33" s="1074">
        <f ca="1">LnkTXTISubvencaoPB/12</f>
        <v>1730105.7628784077</v>
      </c>
      <c r="L33" s="17"/>
      <c r="M33" s="542"/>
      <c r="O33" s="9"/>
      <c r="R33" s="380"/>
      <c r="S33" s="380"/>
      <c r="T33" s="380"/>
      <c r="U33" s="380"/>
      <c r="V33" s="380"/>
      <c r="W33" s="380"/>
      <c r="X33" s="380"/>
      <c r="Y33" s="380"/>
      <c r="Z33" s="380"/>
      <c r="AA33" s="380"/>
      <c r="AB33" s="380"/>
      <c r="AC33" s="380"/>
      <c r="AD33" s="380"/>
      <c r="AE33" s="380"/>
      <c r="AF33" s="380"/>
      <c r="AG33" s="380"/>
      <c r="AH33" s="380"/>
      <c r="AI33" s="380"/>
      <c r="AJ33" s="380"/>
      <c r="AK33" s="380"/>
      <c r="AL33" s="380"/>
      <c r="AM33" s="380"/>
      <c r="AN33" s="380"/>
      <c r="AO33" s="380"/>
      <c r="AP33" s="380"/>
      <c r="AQ33" s="380"/>
      <c r="AR33" s="380"/>
      <c r="AS33" s="380"/>
      <c r="AT33" s="380"/>
      <c r="AU33" s="380"/>
      <c r="AV33" s="380"/>
      <c r="AW33" s="380"/>
      <c r="AX33" s="380"/>
      <c r="AY33" s="380"/>
      <c r="AZ33" s="380"/>
      <c r="BA33" s="380"/>
      <c r="BB33" s="380"/>
      <c r="BC33" s="380"/>
      <c r="BD33" s="380"/>
      <c r="BE33" s="380"/>
      <c r="BF33" s="380"/>
      <c r="BG33" s="380"/>
      <c r="BH33" s="380"/>
      <c r="BI33" s="380"/>
      <c r="BJ33" s="380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</row>
    <row r="34" spans="1:84">
      <c r="B34" s="1075"/>
      <c r="C34" s="1075"/>
      <c r="D34" s="1076"/>
      <c r="E34" s="9"/>
      <c r="F34" s="767" t="s">
        <v>751</v>
      </c>
      <c r="G34" s="767"/>
      <c r="H34" s="1077"/>
      <c r="I34" s="9"/>
      <c r="J34" s="766" t="s">
        <v>752</v>
      </c>
      <c r="K34" s="1078">
        <f>LinkTXTPR</f>
        <v>5.9458041541695102E-2</v>
      </c>
      <c r="L34" s="17"/>
      <c r="M34" s="557"/>
      <c r="O34" s="9"/>
      <c r="Q34" s="533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/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/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</row>
    <row r="35" spans="1:84">
      <c r="B35" s="9"/>
      <c r="C35" s="9"/>
      <c r="D35" s="1079"/>
      <c r="E35" s="9"/>
      <c r="F35" s="595"/>
      <c r="G35" s="1080"/>
      <c r="H35" s="474"/>
      <c r="I35" s="9"/>
      <c r="J35" s="579" t="s">
        <v>753</v>
      </c>
      <c r="K35" s="594">
        <f ca="1">IFERROR(Energia!M20/((Energia!M5+Energia!M6-Energia!M7+Energia!N16)+Energia!M20),0)</f>
        <v>7.5466649409501374E-2</v>
      </c>
      <c r="L35" s="1688"/>
      <c r="M35" s="557"/>
      <c r="O35" s="9"/>
      <c r="Q35" s="533"/>
      <c r="R35" s="380"/>
      <c r="S35" s="380"/>
      <c r="T35" s="380"/>
      <c r="U35" s="380"/>
      <c r="V35" s="380"/>
      <c r="W35" s="380"/>
      <c r="X35" s="380"/>
      <c r="Y35" s="380"/>
      <c r="Z35" s="380"/>
      <c r="AA35" s="380"/>
      <c r="AB35" s="380"/>
      <c r="AC35" s="380"/>
      <c r="AD35" s="380"/>
      <c r="AE35" s="380"/>
      <c r="AF35" s="380"/>
      <c r="AG35" s="380"/>
      <c r="AH35" s="380"/>
      <c r="AI35" s="380"/>
      <c r="AJ35" s="380"/>
      <c r="AK35" s="380"/>
      <c r="AL35" s="380"/>
      <c r="AM35" s="380"/>
      <c r="AN35" s="380"/>
      <c r="AO35" s="380"/>
      <c r="AP35" s="380"/>
      <c r="AQ35" s="380"/>
      <c r="AR35" s="380"/>
      <c r="AS35" s="380"/>
      <c r="AT35" s="380"/>
      <c r="AU35" s="380"/>
      <c r="AV35" s="380"/>
      <c r="AW35" s="380"/>
      <c r="AX35" s="380"/>
      <c r="AY35" s="380"/>
      <c r="AZ35" s="380"/>
      <c r="BA35" s="380"/>
      <c r="BB35" s="380"/>
      <c r="BC35" s="380"/>
      <c r="BD35" s="380"/>
      <c r="BE35" s="380"/>
      <c r="BF35" s="380"/>
      <c r="BG35" s="380"/>
      <c r="BH35" s="380"/>
      <c r="BI35" s="380"/>
      <c r="BJ35" s="380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</row>
    <row r="36" spans="1:84">
      <c r="B36" s="9"/>
      <c r="C36" s="780"/>
      <c r="D36" s="813"/>
      <c r="E36" s="9"/>
      <c r="F36" s="595"/>
      <c r="G36" s="595"/>
      <c r="H36" s="474"/>
      <c r="I36" s="9"/>
      <c r="J36" s="767" t="s">
        <v>754</v>
      </c>
      <c r="K36" s="1081">
        <f ca="1">IFERROR(LNKTXTPercperdas,0)</f>
        <v>7.5466649409501374E-2</v>
      </c>
      <c r="L36" s="1688"/>
      <c r="M36" s="557"/>
      <c r="O36" s="9"/>
      <c r="Q36" s="533"/>
      <c r="R36" s="380"/>
      <c r="S36" s="380"/>
      <c r="T36" s="380"/>
      <c r="U36" s="380"/>
      <c r="V36" s="380"/>
      <c r="W36" s="380"/>
      <c r="X36" s="380"/>
      <c r="Y36" s="380"/>
      <c r="Z36" s="380"/>
      <c r="AA36" s="380"/>
      <c r="AB36" s="380"/>
      <c r="AC36" s="380"/>
      <c r="AD36" s="380"/>
      <c r="AE36" s="380"/>
      <c r="AF36" s="380"/>
      <c r="AG36" s="380"/>
      <c r="AH36" s="380"/>
      <c r="AI36" s="380"/>
      <c r="AJ36" s="380"/>
      <c r="AK36" s="380"/>
      <c r="AL36" s="380"/>
      <c r="AM36" s="380"/>
      <c r="AN36" s="380"/>
      <c r="AO36" s="380"/>
      <c r="AP36" s="380"/>
      <c r="AQ36" s="380"/>
      <c r="AR36" s="380"/>
      <c r="AS36" s="380"/>
      <c r="AT36" s="380"/>
      <c r="AU36" s="380"/>
      <c r="AV36" s="380"/>
      <c r="AW36" s="380"/>
      <c r="AX36" s="380"/>
      <c r="AY36" s="380"/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</row>
    <row r="37" spans="1:84" ht="29.25" customHeight="1" thickBot="1">
      <c r="B37" s="9"/>
      <c r="C37" s="9"/>
      <c r="D37" s="596"/>
      <c r="E37" s="9"/>
      <c r="F37" s="595"/>
      <c r="G37" s="595"/>
      <c r="H37" s="474"/>
      <c r="I37" s="9"/>
      <c r="J37" s="274"/>
      <c r="K37" s="474"/>
      <c r="L37" s="782"/>
      <c r="M37" s="565"/>
      <c r="O37" s="9"/>
      <c r="R37" s="380"/>
      <c r="S37" s="380"/>
      <c r="T37" s="380"/>
      <c r="U37" s="380"/>
      <c r="V37" s="380"/>
      <c r="W37" s="380"/>
      <c r="X37" s="380"/>
      <c r="Y37" s="380"/>
      <c r="Z37" s="380"/>
      <c r="AA37" s="380"/>
      <c r="AB37" s="380"/>
      <c r="AC37" s="380"/>
      <c r="AD37" s="380"/>
      <c r="AE37" s="380"/>
      <c r="AF37" s="380"/>
      <c r="AG37" s="380"/>
      <c r="AH37" s="380"/>
      <c r="AI37" s="380"/>
      <c r="AJ37" s="380"/>
      <c r="AK37" s="380"/>
      <c r="AL37" s="380"/>
      <c r="AM37" s="380"/>
      <c r="AN37" s="380"/>
      <c r="AO37" s="380"/>
      <c r="AP37" s="380"/>
      <c r="AQ37" s="380"/>
      <c r="AR37" s="380"/>
      <c r="AS37" s="380"/>
      <c r="AT37" s="380"/>
      <c r="AU37" s="380"/>
      <c r="AV37" s="380"/>
      <c r="AW37" s="380"/>
      <c r="AX37" s="380"/>
      <c r="AY37" s="380"/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</row>
    <row r="38" spans="1:84" ht="26.25" thickBot="1">
      <c r="A38" s="548"/>
      <c r="B38" s="538" t="s">
        <v>755</v>
      </c>
      <c r="C38" s="549"/>
      <c r="D38" s="549"/>
      <c r="E38" s="550"/>
      <c r="F38" s="550"/>
      <c r="G38" s="550"/>
      <c r="H38" s="530"/>
      <c r="I38" s="531"/>
      <c r="J38" s="550"/>
      <c r="K38" s="551"/>
      <c r="L38" s="552"/>
      <c r="M38" s="553"/>
      <c r="O38" s="9"/>
      <c r="Q38" s="533"/>
      <c r="R38" s="380"/>
      <c r="S38" s="380"/>
      <c r="T38" s="380"/>
      <c r="U38" s="380"/>
      <c r="V38" s="380"/>
      <c r="W38" s="380"/>
      <c r="X38" s="380"/>
      <c r="Y38" s="380"/>
      <c r="Z38" s="380"/>
      <c r="AA38" s="380"/>
      <c r="AB38" s="380"/>
      <c r="AC38" s="380"/>
      <c r="AD38" s="380"/>
      <c r="AE38" s="380"/>
      <c r="AF38" s="380"/>
      <c r="AG38" s="380"/>
      <c r="AH38" s="380"/>
      <c r="AI38" s="380"/>
      <c r="AJ38" s="380"/>
      <c r="AK38" s="380"/>
      <c r="AL38" s="380"/>
      <c r="AM38" s="380"/>
      <c r="AN38" s="380"/>
      <c r="AO38" s="380"/>
      <c r="AP38" s="380"/>
      <c r="AQ38" s="380"/>
      <c r="AR38" s="380"/>
      <c r="AS38" s="380"/>
      <c r="AT38" s="380"/>
      <c r="AU38" s="380"/>
      <c r="AV38" s="380"/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</row>
    <row r="39" spans="1:84" ht="18">
      <c r="F39" s="1782" t="s">
        <v>756</v>
      </c>
      <c r="G39" s="1782"/>
      <c r="L39" s="559"/>
      <c r="M39" s="542"/>
      <c r="O39" s="9"/>
      <c r="R39" s="380"/>
      <c r="S39" s="380"/>
      <c r="T39" s="380"/>
      <c r="U39" s="380"/>
      <c r="V39" s="380"/>
      <c r="W39" s="380"/>
      <c r="X39" s="380"/>
      <c r="Y39" s="380"/>
      <c r="Z39" s="380"/>
      <c r="AA39" s="380"/>
      <c r="AB39" s="380"/>
      <c r="AC39" s="380"/>
      <c r="AD39" s="380"/>
      <c r="AE39" s="380"/>
      <c r="AF39" s="380"/>
      <c r="AG39" s="380"/>
      <c r="AH39" s="380"/>
      <c r="AI39" s="380"/>
      <c r="AJ39" s="380"/>
      <c r="AK39" s="380"/>
      <c r="AL39" s="380"/>
      <c r="AM39" s="380"/>
      <c r="AN39" s="380"/>
      <c r="AO39" s="380"/>
      <c r="AP39" s="380"/>
      <c r="AQ39" s="380"/>
      <c r="AR39" s="380"/>
      <c r="AS39" s="380"/>
      <c r="AT39" s="380"/>
      <c r="AU39" s="380"/>
      <c r="AV39" s="380"/>
      <c r="AW39" s="380"/>
      <c r="AX39" s="380"/>
      <c r="AY39" s="380"/>
      <c r="AZ39" s="380"/>
      <c r="BA39" s="380"/>
      <c r="BB39" s="380"/>
      <c r="BC39" s="380"/>
      <c r="BD39" s="380"/>
      <c r="BE39" s="380"/>
      <c r="BF39" s="380"/>
      <c r="BG39" s="380"/>
      <c r="BH39" s="380"/>
      <c r="BI39" s="380"/>
      <c r="BJ39" s="380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</row>
    <row r="40" spans="1:84">
      <c r="B40" s="491" t="str">
        <f>"Valores de "&amp;YEAR(C14)</f>
        <v>Valores de 2021</v>
      </c>
      <c r="C40" s="9"/>
      <c r="D40" s="9"/>
      <c r="E40" s="9"/>
      <c r="F40" s="1783" t="s">
        <v>757</v>
      </c>
      <c r="G40" s="1783"/>
      <c r="H40" s="587"/>
      <c r="I40" s="9"/>
      <c r="J40" s="1770" t="str">
        <f ca="1">"Variação processo anterior e "&amp;AnoRevRea</f>
        <v>Variação processo anterior e 2022</v>
      </c>
      <c r="K40" s="1770"/>
      <c r="L40" s="559"/>
      <c r="M40" s="542"/>
      <c r="O40" s="9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/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/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/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</row>
    <row r="41" spans="1:84">
      <c r="B41" s="584" t="s">
        <v>758</v>
      </c>
      <c r="C41" s="585"/>
      <c r="D41" s="1082">
        <f>BD!C5</f>
        <v>113678.54399999999</v>
      </c>
      <c r="E41" s="9"/>
      <c r="F41" s="1774" t="s">
        <v>759</v>
      </c>
      <c r="G41" s="1774"/>
      <c r="H41" s="1083">
        <f>LinkTXTPR</f>
        <v>5.9458041541695102E-2</v>
      </c>
      <c r="I41" s="9"/>
      <c r="J41" s="584" t="s">
        <v>758</v>
      </c>
      <c r="K41" s="1084">
        <f ca="1">IFERROR(Calc_Mercado!J15,0)</f>
        <v>4.1232996439503955E-2</v>
      </c>
      <c r="L41" s="559"/>
      <c r="M41" s="542"/>
      <c r="O41" s="9"/>
      <c r="Q41" s="533"/>
      <c r="R41" s="380"/>
      <c r="S41" s="380"/>
      <c r="T41" s="380"/>
      <c r="U41" s="380"/>
      <c r="V41" s="380"/>
      <c r="W41" s="380"/>
      <c r="X41" s="380"/>
      <c r="Y41" s="380"/>
      <c r="Z41" s="380"/>
      <c r="AA41" s="380"/>
      <c r="AB41" s="380"/>
      <c r="AC41" s="380"/>
      <c r="AD41" s="380"/>
      <c r="AE41" s="380"/>
      <c r="AF41" s="380"/>
      <c r="AG41" s="380"/>
      <c r="AH41" s="380"/>
      <c r="AI41" s="380"/>
      <c r="AJ41" s="380"/>
      <c r="AK41" s="380"/>
      <c r="AL41" s="380"/>
      <c r="AM41" s="380"/>
      <c r="AN41" s="380"/>
      <c r="AO41" s="380"/>
      <c r="AP41" s="380"/>
      <c r="AQ41" s="380"/>
      <c r="AR41" s="380"/>
      <c r="AS41" s="380"/>
      <c r="AT41" s="380"/>
      <c r="AU41" s="380"/>
      <c r="AV41" s="380"/>
      <c r="AW41" s="380"/>
      <c r="AX41" s="380"/>
      <c r="AY41" s="380"/>
      <c r="AZ41" s="380"/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</row>
    <row r="42" spans="1:84">
      <c r="B42" s="579" t="s">
        <v>44</v>
      </c>
      <c r="C42" s="579"/>
      <c r="D42" s="373">
        <f>IFERROR(VLOOKUP("TFSEE",BD!$B$7:$C$16,2,FALSE),0)</f>
        <v>203539.88646929699</v>
      </c>
      <c r="E42" s="9"/>
      <c r="F42" s="1775" t="s">
        <v>760</v>
      </c>
      <c r="G42" s="1775"/>
      <c r="H42" s="588">
        <f>SUM(H43:H44)</f>
        <v>0</v>
      </c>
      <c r="I42" s="9"/>
      <c r="J42" s="579" t="s">
        <v>44</v>
      </c>
      <c r="K42" s="1084">
        <f ca="1">LnkTxtVarTFSEE</f>
        <v>0.13088444561621837</v>
      </c>
      <c r="L42" s="559"/>
      <c r="M42" s="542"/>
      <c r="O42" s="9"/>
      <c r="R42" s="380"/>
      <c r="S42" s="380"/>
      <c r="T42" s="380"/>
      <c r="U42" s="380"/>
      <c r="V42" s="380"/>
      <c r="W42" s="380"/>
      <c r="X42" s="380"/>
      <c r="Y42" s="380"/>
      <c r="Z42" s="380"/>
      <c r="AA42" s="380"/>
      <c r="AB42" s="380"/>
      <c r="AC42" s="380"/>
      <c r="AD42" s="380"/>
      <c r="AE42" s="380"/>
      <c r="AF42" s="380"/>
      <c r="AG42" s="380"/>
      <c r="AH42" s="380"/>
      <c r="AI42" s="380"/>
      <c r="AJ42" s="380"/>
      <c r="AK42" s="380"/>
      <c r="AL42" s="380"/>
      <c r="AM42" s="380"/>
      <c r="AN42" s="380"/>
      <c r="AO42" s="380"/>
      <c r="AP42" s="380"/>
      <c r="AQ42" s="380"/>
      <c r="AR42" s="380"/>
      <c r="AS42" s="380"/>
      <c r="AT42" s="380"/>
      <c r="AU42" s="380"/>
      <c r="AV42" s="380"/>
      <c r="AW42" s="380"/>
      <c r="AX42" s="380"/>
      <c r="AY42" s="380"/>
      <c r="AZ42" s="380"/>
      <c r="BA42" s="380"/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</row>
    <row r="43" spans="1:84" ht="15" customHeight="1">
      <c r="B43" s="579" t="s">
        <v>46</v>
      </c>
      <c r="C43" s="579"/>
      <c r="D43" s="373">
        <f>IFERROR(VLOOKUP("CDE",BD!$B$7:$C$16,2,FALSE),0)</f>
        <v>6566019.7076599896</v>
      </c>
      <c r="E43" s="9"/>
      <c r="F43" s="1775" t="s">
        <v>761</v>
      </c>
      <c r="G43" s="1775"/>
      <c r="H43" s="588">
        <f>VLOOKUP(B2,Informacoes[#Data],25,FALSE)</f>
        <v>0</v>
      </c>
      <c r="I43" s="9"/>
      <c r="J43" s="579" t="s">
        <v>46</v>
      </c>
      <c r="K43" s="586">
        <f ca="1">LnkTxtVarCDE</f>
        <v>0.13959966364155241</v>
      </c>
      <c r="L43" s="559"/>
      <c r="M43" s="542"/>
      <c r="O43" s="9"/>
      <c r="Q43" s="533"/>
      <c r="R43" s="380"/>
      <c r="S43" s="380"/>
      <c r="T43" s="380"/>
      <c r="U43" s="380"/>
      <c r="V43" s="380"/>
      <c r="W43" s="380"/>
      <c r="X43" s="380"/>
      <c r="Y43" s="380"/>
      <c r="Z43" s="380"/>
      <c r="AA43" s="380"/>
      <c r="AB43" s="380"/>
      <c r="AC43" s="380"/>
      <c r="AD43" s="380"/>
      <c r="AE43" s="380"/>
      <c r="AF43" s="380"/>
      <c r="AG43" s="380"/>
      <c r="AH43" s="380"/>
      <c r="AI43" s="380"/>
      <c r="AJ43" s="380"/>
      <c r="AK43" s="380"/>
      <c r="AL43" s="380"/>
      <c r="AM43" s="380"/>
      <c r="AN43" s="380"/>
      <c r="AO43" s="380"/>
      <c r="AP43" s="380"/>
      <c r="AQ43" s="380"/>
      <c r="AR43" s="380"/>
      <c r="AS43" s="380"/>
      <c r="AT43" s="380"/>
      <c r="AU43" s="380"/>
      <c r="AV43" s="380"/>
      <c r="AW43" s="380"/>
      <c r="AX43" s="380"/>
      <c r="AY43" s="380"/>
      <c r="AZ43" s="380"/>
      <c r="BA43" s="380"/>
      <c r="BB43" s="380"/>
      <c r="BC43" s="380"/>
      <c r="BD43" s="380"/>
      <c r="BE43" s="380"/>
      <c r="BF43" s="380"/>
      <c r="BG43" s="380"/>
      <c r="BH43" s="380"/>
      <c r="BI43" s="380"/>
      <c r="BJ43" s="380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</row>
    <row r="44" spans="1:84">
      <c r="B44" s="579" t="s">
        <v>165</v>
      </c>
      <c r="C44" s="579"/>
      <c r="D44" s="373">
        <f>IFERROR(VLOOKUP("CFURH",BD!$B$7:$C$16,2,FALSE),0)</f>
        <v>0</v>
      </c>
      <c r="E44" s="9"/>
      <c r="F44" s="1771" t="s">
        <v>306</v>
      </c>
      <c r="G44" s="1771"/>
      <c r="H44" s="1085">
        <f>VLOOKUP(B2,Informacoes[#Data],26,FALSE)</f>
        <v>0</v>
      </c>
      <c r="I44" s="9"/>
      <c r="J44" s="579" t="s">
        <v>165</v>
      </c>
      <c r="K44" s="474">
        <f>Resultado!F19</f>
        <v>0</v>
      </c>
      <c r="L44" s="559"/>
      <c r="M44" s="542"/>
      <c r="N44" s="568"/>
      <c r="O44" s="9"/>
      <c r="R44" s="380"/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/>
      <c r="AD44" s="380"/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/>
      <c r="AP44" s="380"/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/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</row>
    <row r="45" spans="1:84">
      <c r="B45" s="579" t="s">
        <v>51</v>
      </c>
      <c r="C45" s="579"/>
      <c r="D45" s="373">
        <f>IFERROR(VLOOKUP("ESS/ERR",BD!$B$7:$C$16,2,FALSE),0)</f>
        <v>573456.61083333299</v>
      </c>
      <c r="E45" s="9"/>
      <c r="I45" s="375"/>
      <c r="J45" s="579" t="s">
        <v>51</v>
      </c>
      <c r="K45" s="474">
        <f ca="1">Resultado!F20</f>
        <v>3.7398634598004969</v>
      </c>
      <c r="L45" s="559"/>
      <c r="M45" s="567"/>
      <c r="N45" s="568"/>
      <c r="O45" s="9"/>
      <c r="Q45" s="533"/>
      <c r="R45" s="380"/>
      <c r="S45" s="380"/>
      <c r="T45" s="380"/>
      <c r="U45" s="380"/>
      <c r="V45" s="380"/>
      <c r="W45" s="380"/>
      <c r="X45" s="380"/>
      <c r="Y45" s="380"/>
      <c r="Z45" s="380"/>
      <c r="AA45" s="380"/>
      <c r="AB45" s="380"/>
      <c r="AC45" s="380"/>
      <c r="AD45" s="380"/>
      <c r="AE45" s="380"/>
      <c r="AF45" s="380"/>
      <c r="AG45" s="380"/>
      <c r="AH45" s="380"/>
      <c r="AI45" s="380"/>
      <c r="AJ45" s="380"/>
      <c r="AK45" s="380"/>
      <c r="AL45" s="380"/>
      <c r="AM45" s="380"/>
      <c r="AN45" s="380"/>
      <c r="AO45" s="380"/>
      <c r="AP45" s="380"/>
      <c r="AQ45" s="380"/>
      <c r="AR45" s="380"/>
      <c r="AS45" s="380"/>
      <c r="AT45" s="380"/>
      <c r="AU45" s="380"/>
      <c r="AV45" s="380"/>
      <c r="AW45" s="380"/>
      <c r="AX45" s="380"/>
      <c r="AY45" s="380"/>
      <c r="AZ45" s="380"/>
      <c r="BA45" s="380"/>
      <c r="BB45" s="380"/>
      <c r="BC45" s="380"/>
      <c r="BD45" s="380"/>
      <c r="BE45" s="380"/>
      <c r="BF45" s="380"/>
      <c r="BG45" s="380"/>
      <c r="BH45" s="380"/>
      <c r="BI45" s="380"/>
      <c r="BJ45" s="380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</row>
    <row r="46" spans="1:84">
      <c r="B46" s="579" t="s">
        <v>52</v>
      </c>
      <c r="C46" s="579"/>
      <c r="D46" s="373">
        <f>IFERROR(VLOOKUP("PROINFA",BD!$B$7:$C$16,2,FALSE),0)</f>
        <v>1049131.55116</v>
      </c>
      <c r="E46" s="9"/>
      <c r="F46" s="9"/>
      <c r="G46" s="9"/>
      <c r="H46" s="9"/>
      <c r="I46" s="399"/>
      <c r="J46" s="579" t="s">
        <v>52</v>
      </c>
      <c r="K46" s="586">
        <f ca="1">Resultado!F21</f>
        <v>0.5118627058423979</v>
      </c>
      <c r="L46" s="559"/>
      <c r="M46" s="569"/>
      <c r="N46" s="568"/>
      <c r="O46" s="9"/>
      <c r="R46" s="380"/>
      <c r="S46" s="380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  <c r="AN46" s="380"/>
      <c r="AO46" s="380"/>
      <c r="AP46" s="380"/>
      <c r="AQ46" s="380"/>
      <c r="AR46" s="380"/>
      <c r="AS46" s="380"/>
      <c r="AT46" s="380"/>
      <c r="AU46" s="380"/>
      <c r="AV46" s="380"/>
      <c r="AW46" s="380"/>
      <c r="AX46" s="380"/>
      <c r="AY46" s="380"/>
      <c r="AZ46" s="380"/>
      <c r="BA46" s="380"/>
      <c r="BB46" s="380"/>
      <c r="BC46" s="380"/>
      <c r="BD46" s="380"/>
      <c r="BE46" s="380"/>
      <c r="BF46" s="380"/>
      <c r="BG46" s="380"/>
      <c r="BH46" s="380"/>
      <c r="BI46" s="380"/>
      <c r="BJ46" s="380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</row>
    <row r="47" spans="1:84" ht="17.25" customHeight="1">
      <c r="B47" s="579" t="s">
        <v>55</v>
      </c>
      <c r="C47" s="579"/>
      <c r="D47" s="373">
        <f>IFERROR(VLOOKUP("CDE Covid TUSD",BD!$B$7:$C$16,2,FALSE),0)</f>
        <v>3110206.1377647002</v>
      </c>
      <c r="E47" s="9"/>
      <c r="I47" s="399"/>
      <c r="J47" s="579" t="s">
        <v>53</v>
      </c>
      <c r="K47" s="474" t="str">
        <f ca="1">Resultado!F22</f>
        <v>-</v>
      </c>
      <c r="L47" s="559"/>
      <c r="M47" s="569"/>
      <c r="N47" s="568"/>
      <c r="O47" s="9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/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/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/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</row>
    <row r="48" spans="1:84">
      <c r="B48" s="579" t="s">
        <v>54</v>
      </c>
      <c r="C48" s="579"/>
      <c r="D48" s="373">
        <f>IFERROR(VLOOKUP("ONS",BD!$B$7:$C$16,2,FALSE),0)</f>
        <v>0</v>
      </c>
      <c r="E48" s="9"/>
      <c r="F48" s="709" t="s">
        <v>762</v>
      </c>
      <c r="G48" s="710"/>
      <c r="I48" s="399"/>
      <c r="J48" s="579" t="s">
        <v>54</v>
      </c>
      <c r="K48" s="474" t="str">
        <f ca="1">Resultado!F23</f>
        <v>-</v>
      </c>
      <c r="L48" s="559"/>
      <c r="M48" s="569"/>
      <c r="N48" s="568"/>
      <c r="O48" s="9"/>
      <c r="Q48" s="533"/>
      <c r="R48" s="380"/>
      <c r="S48" s="380"/>
      <c r="T48" s="380"/>
      <c r="U48" s="380"/>
      <c r="V48" s="380"/>
      <c r="W48" s="380"/>
      <c r="X48" s="380"/>
      <c r="Y48" s="380"/>
      <c r="Z48" s="380"/>
      <c r="AA48" s="380"/>
      <c r="AB48" s="380"/>
      <c r="AC48" s="380"/>
      <c r="AD48" s="380"/>
      <c r="AE48" s="380"/>
      <c r="AF48" s="380"/>
      <c r="AG48" s="380"/>
      <c r="AH48" s="380"/>
      <c r="AI48" s="380"/>
      <c r="AJ48" s="380"/>
      <c r="AK48" s="380"/>
      <c r="AL48" s="380"/>
      <c r="AM48" s="380"/>
      <c r="AN48" s="380"/>
      <c r="AO48" s="380"/>
      <c r="AP48" s="380"/>
      <c r="AQ48" s="380"/>
      <c r="AR48" s="380"/>
      <c r="AS48" s="380"/>
      <c r="AT48" s="380"/>
      <c r="AU48" s="380"/>
      <c r="AV48" s="380"/>
      <c r="AW48" s="380"/>
      <c r="AX48" s="380"/>
      <c r="AY48" s="380"/>
      <c r="AZ48" s="380"/>
      <c r="BA48" s="380"/>
      <c r="BB48" s="380"/>
      <c r="BC48" s="380"/>
      <c r="BD48" s="380"/>
      <c r="BE48" s="380"/>
      <c r="BF48" s="380"/>
      <c r="BG48" s="380"/>
      <c r="BH48" s="380"/>
      <c r="BI48" s="380"/>
      <c r="BJ48" s="380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</row>
    <row r="49" spans="1:84">
      <c r="B49" s="766" t="s">
        <v>763</v>
      </c>
      <c r="C49" s="766"/>
      <c r="D49" s="1086">
        <f>BD!C18</f>
        <v>0</v>
      </c>
      <c r="E49" s="9"/>
      <c r="F49" s="709" t="s">
        <v>764</v>
      </c>
      <c r="G49" s="711"/>
      <c r="I49" s="399"/>
      <c r="J49" s="766" t="s">
        <v>763</v>
      </c>
      <c r="K49" s="1084"/>
      <c r="L49" s="559"/>
      <c r="M49" s="569"/>
      <c r="N49" s="568"/>
      <c r="O49" s="9"/>
      <c r="R49" s="380"/>
      <c r="S49" s="380"/>
      <c r="T49" s="380"/>
      <c r="U49" s="380"/>
      <c r="V49" s="380"/>
      <c r="W49" s="380"/>
      <c r="X49" s="380"/>
      <c r="Y49" s="380"/>
      <c r="Z49" s="380"/>
      <c r="AA49" s="380"/>
      <c r="AB49" s="380"/>
      <c r="AC49" s="380"/>
      <c r="AD49" s="380"/>
      <c r="AE49" s="380"/>
      <c r="AF49" s="380"/>
      <c r="AG49" s="380"/>
      <c r="AH49" s="380"/>
      <c r="AI49" s="380"/>
      <c r="AJ49" s="380"/>
      <c r="AK49" s="380"/>
      <c r="AL49" s="380"/>
      <c r="AM49" s="380"/>
      <c r="AN49" s="380"/>
      <c r="AO49" s="380"/>
      <c r="AP49" s="380"/>
      <c r="AQ49" s="380"/>
      <c r="AR49" s="380"/>
      <c r="AS49" s="380"/>
      <c r="AT49" s="380"/>
      <c r="AU49" s="380"/>
      <c r="AV49" s="380"/>
      <c r="AW49" s="380"/>
      <c r="AX49" s="380"/>
      <c r="AY49" s="380"/>
      <c r="AZ49" s="380"/>
      <c r="BA49" s="380"/>
      <c r="BB49" s="380"/>
      <c r="BC49" s="380"/>
      <c r="BD49" s="380"/>
      <c r="BE49" s="380"/>
      <c r="BF49" s="380"/>
      <c r="BG49" s="380"/>
      <c r="BH49" s="380"/>
      <c r="BI49" s="380"/>
      <c r="BJ49" s="380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</row>
    <row r="50" spans="1:84">
      <c r="B50" s="579" t="s">
        <v>765</v>
      </c>
      <c r="C50" s="579"/>
      <c r="D50" s="373">
        <f>BD!C19</f>
        <v>0</v>
      </c>
      <c r="E50" s="9"/>
      <c r="I50" s="399"/>
      <c r="J50" s="579" t="s">
        <v>765</v>
      </c>
      <c r="K50" s="586"/>
      <c r="L50" s="559"/>
      <c r="M50" s="569"/>
      <c r="N50" s="568"/>
      <c r="O50" s="9"/>
      <c r="R50" s="380"/>
      <c r="S50" s="380"/>
      <c r="T50" s="380"/>
      <c r="U50" s="380"/>
      <c r="V50" s="380"/>
      <c r="W50" s="380"/>
      <c r="X50" s="380"/>
      <c r="Y50" s="380"/>
      <c r="Z50" s="380"/>
      <c r="AA50" s="380"/>
      <c r="AB50" s="380"/>
      <c r="AC50" s="380"/>
      <c r="AD50" s="380"/>
      <c r="AE50" s="380"/>
      <c r="AF50" s="380"/>
      <c r="AG50" s="380"/>
      <c r="AH50" s="380"/>
      <c r="AI50" s="380"/>
      <c r="AJ50" s="380"/>
      <c r="AK50" s="380"/>
      <c r="AL50" s="380"/>
      <c r="AM50" s="380"/>
      <c r="AN50" s="380"/>
      <c r="AO50" s="380"/>
      <c r="AP50" s="380"/>
      <c r="AQ50" s="380"/>
      <c r="AR50" s="380"/>
      <c r="AS50" s="380"/>
      <c r="AT50" s="380"/>
      <c r="AU50" s="380"/>
      <c r="AV50" s="380"/>
      <c r="AW50" s="380"/>
      <c r="AX50" s="380"/>
      <c r="AY50" s="380"/>
      <c r="AZ50" s="380"/>
      <c r="BA50" s="380"/>
      <c r="BB50" s="380"/>
      <c r="BC50" s="380"/>
      <c r="BD50" s="380"/>
      <c r="BE50" s="380"/>
      <c r="BF50" s="380"/>
      <c r="BG50" s="380"/>
      <c r="BH50" s="380"/>
      <c r="BI50" s="380"/>
      <c r="BJ50" s="380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</row>
    <row r="51" spans="1:84" ht="17.25" customHeight="1">
      <c r="B51" s="767" t="s">
        <v>766</v>
      </c>
      <c r="C51" s="767"/>
      <c r="D51" s="1087"/>
      <c r="E51" s="9"/>
      <c r="I51" s="9"/>
      <c r="J51" s="767" t="s">
        <v>766</v>
      </c>
      <c r="K51" s="586"/>
      <c r="L51" s="559"/>
      <c r="M51" s="569"/>
      <c r="N51" s="568"/>
      <c r="O51" s="9"/>
      <c r="Q51" s="533"/>
      <c r="R51" s="380"/>
      <c r="S51" s="380"/>
      <c r="T51" s="380"/>
      <c r="U51" s="380"/>
      <c r="V51" s="380"/>
      <c r="W51" s="380"/>
      <c r="X51" s="380"/>
      <c r="Y51" s="380"/>
      <c r="Z51" s="380"/>
      <c r="AA51" s="380"/>
      <c r="AB51" s="380"/>
      <c r="AC51" s="380"/>
      <c r="AD51" s="380"/>
      <c r="AE51" s="380"/>
      <c r="AF51" s="380"/>
      <c r="AG51" s="380"/>
      <c r="AH51" s="380"/>
      <c r="AI51" s="380"/>
      <c r="AJ51" s="380"/>
      <c r="AK51" s="380"/>
      <c r="AL51" s="380"/>
      <c r="AM51" s="380"/>
      <c r="AN51" s="380"/>
      <c r="AO51" s="380"/>
      <c r="AP51" s="380"/>
      <c r="AQ51" s="380"/>
      <c r="AR51" s="380"/>
      <c r="AS51" s="380"/>
      <c r="AT51" s="380"/>
      <c r="AU51" s="380"/>
      <c r="AV51" s="380"/>
      <c r="AW51" s="380"/>
      <c r="AX51" s="380"/>
      <c r="AY51" s="380"/>
      <c r="AZ51" s="380"/>
      <c r="BA51" s="380"/>
      <c r="BB51" s="380"/>
      <c r="BC51" s="380"/>
      <c r="BD51" s="380"/>
      <c r="BE51" s="380"/>
      <c r="BF51" s="380"/>
      <c r="BG51" s="380"/>
      <c r="BH51" s="380"/>
      <c r="BI51" s="380"/>
      <c r="BJ51" s="380"/>
      <c r="BK51" s="380"/>
      <c r="BL51" s="380"/>
      <c r="BM51" s="380"/>
      <c r="BN51" s="380"/>
      <c r="BO51" s="380"/>
      <c r="BP51" s="380"/>
      <c r="BQ51" s="380"/>
      <c r="BR51" s="380"/>
      <c r="BS51" s="380"/>
      <c r="BT51" s="380"/>
      <c r="BU51" s="380"/>
      <c r="BV51" s="380"/>
      <c r="BW51" s="380"/>
      <c r="BX51" s="380"/>
      <c r="BY51" s="380"/>
      <c r="BZ51" s="380"/>
      <c r="CA51" s="380"/>
      <c r="CB51" s="380"/>
      <c r="CC51" s="380"/>
      <c r="CD51" s="380"/>
      <c r="CE51" s="380"/>
      <c r="CF51" s="380"/>
    </row>
    <row r="52" spans="1:84">
      <c r="B52" s="584" t="s">
        <v>767</v>
      </c>
      <c r="C52" s="584"/>
      <c r="D52" s="1088">
        <f>BD!C25</f>
        <v>14389026.7771657</v>
      </c>
      <c r="E52" s="9"/>
      <c r="F52" s="9"/>
      <c r="G52" s="9"/>
      <c r="H52" s="9"/>
      <c r="I52" s="9"/>
      <c r="J52" s="584" t="s">
        <v>767</v>
      </c>
      <c r="K52" s="589">
        <f ca="1">Resultado!F32</f>
        <v>-4.7559578432506022E-2</v>
      </c>
      <c r="L52" s="559"/>
      <c r="M52" s="569"/>
      <c r="N52" s="568"/>
      <c r="O52" s="9"/>
      <c r="Q52" s="489"/>
      <c r="R52" s="380"/>
      <c r="S52" s="380"/>
      <c r="T52" s="380"/>
      <c r="U52" s="380"/>
      <c r="V52" s="380"/>
      <c r="W52" s="380"/>
      <c r="X52" s="380"/>
      <c r="Y52" s="380"/>
      <c r="Z52" s="380"/>
      <c r="AA52" s="380"/>
      <c r="AB52" s="380"/>
      <c r="AC52" s="380"/>
      <c r="AD52" s="380"/>
      <c r="AE52" s="380"/>
      <c r="AF52" s="380"/>
      <c r="AG52" s="380"/>
      <c r="AH52" s="380"/>
      <c r="AI52" s="380"/>
      <c r="AJ52" s="380"/>
      <c r="AK52" s="380"/>
      <c r="AL52" s="380"/>
      <c r="AM52" s="380"/>
      <c r="AN52" s="380"/>
      <c r="AO52" s="380"/>
      <c r="AP52" s="380"/>
      <c r="AQ52" s="380"/>
      <c r="AR52" s="380"/>
      <c r="AS52" s="380"/>
      <c r="AT52" s="380"/>
      <c r="AU52" s="380"/>
      <c r="AV52" s="380"/>
      <c r="AW52" s="380"/>
      <c r="AX52" s="380"/>
      <c r="AY52" s="380"/>
      <c r="AZ52" s="380"/>
      <c r="BA52" s="380"/>
      <c r="BB52" s="380"/>
      <c r="BC52" s="380"/>
      <c r="BD52" s="380"/>
      <c r="BE52" s="380"/>
      <c r="BF52" s="380"/>
      <c r="BG52" s="380"/>
      <c r="BH52" s="380"/>
      <c r="BI52" s="380"/>
      <c r="BJ52" s="380"/>
      <c r="BK52" s="380"/>
      <c r="BL52" s="380"/>
      <c r="BM52" s="380"/>
      <c r="BN52" s="380"/>
      <c r="BO52" s="380"/>
      <c r="BP52" s="380"/>
      <c r="BQ52" s="380"/>
      <c r="BR52" s="380"/>
      <c r="BS52" s="380"/>
      <c r="BT52" s="380"/>
      <c r="BU52" s="380"/>
      <c r="BV52" s="380"/>
      <c r="BW52" s="380"/>
      <c r="BX52" s="380"/>
      <c r="BY52" s="380"/>
      <c r="BZ52" s="380"/>
      <c r="CA52" s="380"/>
      <c r="CB52" s="380"/>
      <c r="CC52" s="380"/>
      <c r="CD52" s="380"/>
      <c r="CE52" s="380"/>
      <c r="CF52" s="380"/>
    </row>
    <row r="53" spans="1:84">
      <c r="B53" s="584" t="s">
        <v>768</v>
      </c>
      <c r="C53" s="584"/>
      <c r="D53" s="1088">
        <f>BD!C26</f>
        <v>41629263.509999998</v>
      </c>
      <c r="E53" s="9"/>
      <c r="F53" s="9"/>
      <c r="G53" s="9"/>
      <c r="H53" s="9"/>
      <c r="I53" s="9"/>
      <c r="J53" s="9"/>
      <c r="K53" s="9"/>
      <c r="L53" s="559"/>
      <c r="M53" s="569"/>
      <c r="N53" s="568"/>
      <c r="O53" s="9"/>
      <c r="Q53" s="489"/>
      <c r="R53" s="380"/>
      <c r="S53" s="380"/>
      <c r="T53" s="380"/>
      <c r="U53" s="380"/>
      <c r="V53" s="380"/>
      <c r="W53" s="380"/>
      <c r="X53" s="380"/>
      <c r="Y53" s="380"/>
      <c r="Z53" s="380"/>
      <c r="AA53" s="380"/>
      <c r="AB53" s="380"/>
      <c r="AC53" s="380"/>
      <c r="AD53" s="380"/>
      <c r="AE53" s="380"/>
      <c r="AF53" s="380"/>
      <c r="AG53" s="380"/>
      <c r="AH53" s="380"/>
      <c r="AI53" s="380"/>
      <c r="AJ53" s="380"/>
      <c r="AK53" s="380"/>
      <c r="AL53" s="380"/>
      <c r="AM53" s="380"/>
      <c r="AN53" s="380"/>
      <c r="AO53" s="380"/>
      <c r="AP53" s="380"/>
      <c r="AQ53" s="380"/>
      <c r="AR53" s="380"/>
      <c r="AS53" s="380"/>
      <c r="AT53" s="380"/>
      <c r="AU53" s="380"/>
      <c r="AV53" s="380"/>
      <c r="AW53" s="380"/>
      <c r="AX53" s="380"/>
      <c r="AY53" s="380"/>
      <c r="AZ53" s="380"/>
      <c r="BA53" s="380"/>
      <c r="BB53" s="380"/>
      <c r="BC53" s="380"/>
      <c r="BD53" s="380"/>
      <c r="BE53" s="380"/>
      <c r="BF53" s="380"/>
      <c r="BG53" s="380"/>
      <c r="BH53" s="380"/>
      <c r="BI53" s="380"/>
      <c r="BJ53" s="380"/>
      <c r="BK53" s="380"/>
      <c r="BL53" s="380"/>
      <c r="BM53" s="380"/>
      <c r="BN53" s="380"/>
      <c r="BO53" s="380"/>
      <c r="BP53" s="380"/>
      <c r="BQ53" s="380"/>
      <c r="BR53" s="380"/>
      <c r="BS53" s="380"/>
      <c r="BT53" s="380"/>
      <c r="BU53" s="380"/>
      <c r="BV53" s="380"/>
      <c r="BW53" s="380"/>
      <c r="BX53" s="380"/>
      <c r="BY53" s="380"/>
      <c r="BZ53" s="380"/>
      <c r="CA53" s="380"/>
      <c r="CB53" s="380"/>
      <c r="CC53" s="380"/>
      <c r="CD53" s="380"/>
      <c r="CE53" s="380"/>
      <c r="CF53" s="380"/>
    </row>
    <row r="54" spans="1:84" ht="16.5" thickBot="1">
      <c r="B54" s="274"/>
      <c r="C54" s="274"/>
      <c r="D54" s="539"/>
      <c r="E54" s="9"/>
      <c r="F54" s="9"/>
      <c r="G54" s="9"/>
      <c r="H54" s="9"/>
      <c r="I54" s="9"/>
      <c r="J54" s="9"/>
      <c r="K54" s="9"/>
      <c r="L54" s="559"/>
      <c r="M54" s="569"/>
      <c r="N54" s="568"/>
      <c r="O54" s="9"/>
      <c r="R54" s="380"/>
      <c r="S54" s="380"/>
      <c r="T54" s="380"/>
      <c r="U54" s="380"/>
      <c r="V54" s="380"/>
      <c r="W54" s="380"/>
      <c r="X54" s="380"/>
      <c r="Y54" s="380"/>
      <c r="Z54" s="380"/>
      <c r="AA54" s="380"/>
      <c r="AB54" s="380"/>
      <c r="AC54" s="380"/>
      <c r="AD54" s="380"/>
      <c r="AE54" s="380"/>
      <c r="AF54" s="380"/>
      <c r="AG54" s="380"/>
      <c r="AH54" s="380"/>
      <c r="AI54" s="380"/>
      <c r="AJ54" s="380"/>
      <c r="AK54" s="380"/>
      <c r="AL54" s="380"/>
      <c r="AM54" s="380"/>
      <c r="AN54" s="380"/>
      <c r="AO54" s="380"/>
      <c r="AP54" s="380"/>
      <c r="AQ54" s="380"/>
      <c r="AR54" s="380"/>
      <c r="AS54" s="380"/>
      <c r="AT54" s="380"/>
      <c r="AU54" s="380"/>
      <c r="AV54" s="380"/>
      <c r="AW54" s="380"/>
      <c r="AX54" s="380"/>
      <c r="AY54" s="380"/>
      <c r="AZ54" s="380"/>
      <c r="BA54" s="380"/>
      <c r="BB54" s="380"/>
      <c r="BC54" s="380"/>
      <c r="BD54" s="380"/>
      <c r="BE54" s="380"/>
      <c r="BF54" s="380"/>
      <c r="BG54" s="380"/>
      <c r="BH54" s="380"/>
      <c r="BI54" s="380"/>
      <c r="BJ54" s="380"/>
      <c r="BK54" s="380"/>
      <c r="BL54" s="380"/>
      <c r="BM54" s="380"/>
      <c r="BN54" s="380"/>
      <c r="BO54" s="380"/>
      <c r="BP54" s="380"/>
      <c r="BQ54" s="380"/>
      <c r="BR54" s="380"/>
      <c r="BS54" s="380"/>
      <c r="BT54" s="380"/>
      <c r="BU54" s="380"/>
      <c r="BV54" s="380"/>
      <c r="BW54" s="380"/>
      <c r="BX54" s="380"/>
      <c r="BY54" s="380"/>
      <c r="BZ54" s="380"/>
      <c r="CA54" s="380"/>
      <c r="CB54" s="380"/>
      <c r="CC54" s="380"/>
      <c r="CD54" s="380"/>
      <c r="CE54" s="380"/>
      <c r="CF54" s="380"/>
    </row>
    <row r="55" spans="1:84" ht="26.25" thickBot="1">
      <c r="A55" s="548"/>
      <c r="B55" s="538" t="s">
        <v>769</v>
      </c>
      <c r="C55" s="549"/>
      <c r="D55" s="549"/>
      <c r="E55" s="550"/>
      <c r="F55" s="550"/>
      <c r="G55" s="550"/>
      <c r="H55" s="530"/>
      <c r="I55" s="531"/>
      <c r="J55" s="550"/>
      <c r="K55" s="551"/>
      <c r="L55" s="552"/>
      <c r="M55" s="553"/>
      <c r="N55" s="568"/>
      <c r="O55" s="9"/>
      <c r="R55" s="380"/>
      <c r="S55" s="380"/>
      <c r="T55" s="380"/>
      <c r="U55" s="380"/>
      <c r="V55" s="380"/>
      <c r="W55" s="380"/>
      <c r="X55" s="380"/>
      <c r="Y55" s="380"/>
      <c r="Z55" s="380"/>
      <c r="AA55" s="380"/>
      <c r="AB55" s="380"/>
      <c r="AC55" s="380"/>
      <c r="AD55" s="380"/>
      <c r="AE55" s="380"/>
      <c r="AF55" s="380"/>
      <c r="AG55" s="380"/>
      <c r="AH55" s="380"/>
      <c r="AI55" s="380"/>
      <c r="AJ55" s="380"/>
      <c r="AK55" s="380"/>
      <c r="AL55" s="380"/>
      <c r="AM55" s="380"/>
      <c r="AN55" s="380"/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/>
      <c r="BA55" s="380"/>
      <c r="BB55" s="380"/>
      <c r="BC55" s="380"/>
      <c r="BD55" s="380"/>
      <c r="BE55" s="380"/>
      <c r="BF55" s="380"/>
      <c r="BG55" s="380"/>
      <c r="BH55" s="380"/>
      <c r="BI55" s="380"/>
      <c r="BJ55" s="380"/>
      <c r="BK55" s="380"/>
      <c r="BL55" s="380"/>
      <c r="BM55" s="380"/>
      <c r="BN55" s="380"/>
      <c r="BO55" s="380"/>
      <c r="BP55" s="380"/>
      <c r="BQ55" s="380"/>
      <c r="BR55" s="380"/>
      <c r="BS55" s="380"/>
      <c r="BT55" s="380"/>
      <c r="BU55" s="380"/>
      <c r="BV55" s="380"/>
      <c r="BW55" s="380"/>
      <c r="BX55" s="380"/>
      <c r="BY55" s="380"/>
      <c r="BZ55" s="380"/>
      <c r="CA55" s="380"/>
      <c r="CB55" s="380"/>
      <c r="CC55" s="380"/>
      <c r="CD55" s="380"/>
      <c r="CE55" s="380"/>
      <c r="CF55" s="380"/>
    </row>
    <row r="56" spans="1:84" ht="25.5">
      <c r="B56" s="543"/>
      <c r="E56" s="49"/>
      <c r="F56" s="49"/>
      <c r="G56" s="49"/>
      <c r="H56" s="529"/>
      <c r="I56" s="374"/>
      <c r="J56" s="49"/>
      <c r="K56" s="558"/>
      <c r="L56" s="559"/>
      <c r="M56" s="555"/>
      <c r="N56" s="568"/>
      <c r="O56" s="9"/>
      <c r="R56" s="380"/>
      <c r="S56" s="380"/>
      <c r="T56" s="380"/>
      <c r="U56" s="380"/>
      <c r="V56" s="380"/>
      <c r="W56" s="380"/>
      <c r="X56" s="380"/>
      <c r="Y56" s="380"/>
      <c r="Z56" s="380"/>
      <c r="AA56" s="380"/>
      <c r="AB56" s="380"/>
      <c r="AC56" s="380"/>
      <c r="AD56" s="380"/>
      <c r="AE56" s="380"/>
      <c r="AF56" s="380"/>
      <c r="AG56" s="380"/>
      <c r="AH56" s="380"/>
      <c r="AI56" s="380"/>
      <c r="AJ56" s="380"/>
      <c r="AK56" s="380"/>
      <c r="AL56" s="380"/>
      <c r="AM56" s="380"/>
      <c r="AN56" s="380"/>
      <c r="AO56" s="380"/>
      <c r="AP56" s="380"/>
      <c r="AQ56" s="380"/>
      <c r="AR56" s="380"/>
      <c r="AS56" s="380"/>
      <c r="AT56" s="380"/>
      <c r="AU56" s="380"/>
      <c r="AV56" s="380"/>
      <c r="AW56" s="380"/>
      <c r="AX56" s="380"/>
      <c r="AY56" s="380"/>
      <c r="AZ56" s="380"/>
      <c r="BA56" s="380"/>
      <c r="BB56" s="380"/>
      <c r="BC56" s="380"/>
      <c r="BD56" s="380"/>
      <c r="BE56" s="380"/>
      <c r="BF56" s="380"/>
      <c r="BG56" s="380"/>
      <c r="BH56" s="380"/>
      <c r="BI56" s="380"/>
      <c r="BJ56" s="380"/>
      <c r="BK56" s="380"/>
      <c r="BL56" s="380"/>
      <c r="BM56" s="380"/>
      <c r="BN56" s="380"/>
      <c r="BO56" s="380"/>
      <c r="BP56" s="380"/>
      <c r="BQ56" s="380"/>
      <c r="BR56" s="380"/>
      <c r="BS56" s="380"/>
      <c r="BT56" s="380"/>
      <c r="BU56" s="380"/>
      <c r="BV56" s="380"/>
      <c r="BW56" s="380"/>
      <c r="BX56" s="380"/>
      <c r="BY56" s="380"/>
      <c r="BZ56" s="380"/>
      <c r="CA56" s="380"/>
      <c r="CB56" s="380"/>
      <c r="CC56" s="380"/>
      <c r="CD56" s="380"/>
      <c r="CE56" s="380"/>
      <c r="CF56" s="380"/>
    </row>
    <row r="57" spans="1:84" ht="16.5">
      <c r="B57" s="491"/>
      <c r="C57" s="9"/>
      <c r="D57" s="1089"/>
      <c r="E57" s="582"/>
      <c r="F57" s="583" t="s">
        <v>770</v>
      </c>
      <c r="G57" s="49"/>
      <c r="H57" s="529"/>
      <c r="I57" s="374"/>
      <c r="J57" s="49"/>
      <c r="K57" s="558"/>
      <c r="L57" s="559"/>
      <c r="M57" s="555"/>
      <c r="N57" s="571"/>
      <c r="O57" s="9"/>
      <c r="R57" s="380"/>
      <c r="S57" s="380"/>
      <c r="T57" s="380"/>
      <c r="U57" s="380"/>
      <c r="V57" s="380"/>
      <c r="W57" s="380"/>
      <c r="X57" s="380"/>
      <c r="Y57" s="380"/>
      <c r="Z57" s="380"/>
      <c r="AA57" s="380"/>
      <c r="AB57" s="380"/>
      <c r="AC57" s="380"/>
      <c r="AD57" s="380"/>
      <c r="AE57" s="380"/>
      <c r="AF57" s="380"/>
      <c r="AG57" s="380"/>
      <c r="AH57" s="380"/>
      <c r="AI57" s="380"/>
      <c r="AJ57" s="380"/>
      <c r="AK57" s="380"/>
      <c r="AL57" s="380"/>
      <c r="AM57" s="380"/>
      <c r="AN57" s="380"/>
      <c r="AO57" s="380"/>
      <c r="AP57" s="380"/>
      <c r="AQ57" s="380"/>
      <c r="AR57" s="380"/>
      <c r="AS57" s="380"/>
      <c r="AT57" s="380"/>
      <c r="AU57" s="380"/>
      <c r="AV57" s="380"/>
      <c r="AW57" s="380"/>
      <c r="AX57" s="380"/>
      <c r="AY57" s="380"/>
      <c r="AZ57" s="380"/>
      <c r="BA57" s="380"/>
      <c r="BB57" s="380"/>
      <c r="BC57" s="380"/>
      <c r="BD57" s="380"/>
      <c r="BE57" s="380"/>
      <c r="BF57" s="380"/>
      <c r="BG57" s="380"/>
      <c r="BH57" s="380"/>
      <c r="BI57" s="380"/>
      <c r="BJ57" s="380"/>
      <c r="BK57" s="380"/>
      <c r="BL57" s="380"/>
      <c r="BM57" s="380"/>
      <c r="BN57" s="380"/>
      <c r="BO57" s="380"/>
      <c r="BP57" s="380"/>
      <c r="BQ57" s="380"/>
      <c r="BR57" s="380"/>
      <c r="BS57" s="380"/>
      <c r="BT57" s="380"/>
      <c r="BU57" s="380"/>
      <c r="BV57" s="380"/>
      <c r="BW57" s="380"/>
      <c r="BX57" s="380"/>
      <c r="BY57" s="380"/>
      <c r="BZ57" s="380"/>
      <c r="CA57" s="380"/>
      <c r="CB57" s="380"/>
      <c r="CC57" s="380"/>
      <c r="CD57" s="380"/>
      <c r="CE57" s="380"/>
      <c r="CF57" s="380"/>
    </row>
    <row r="58" spans="1:84" ht="16.5">
      <c r="B58" s="1090" t="s">
        <v>313</v>
      </c>
      <c r="C58" s="1091"/>
      <c r="D58" s="796"/>
      <c r="E58" s="1765">
        <v>0</v>
      </c>
      <c r="F58" s="1765"/>
      <c r="G58" s="380"/>
      <c r="L58" s="783"/>
      <c r="M58" s="570"/>
      <c r="N58" s="573"/>
      <c r="O58" s="9"/>
      <c r="R58" s="380"/>
      <c r="S58" s="380"/>
      <c r="T58" s="380"/>
      <c r="U58" s="380"/>
      <c r="V58" s="380"/>
      <c r="W58" s="380"/>
      <c r="X58" s="380"/>
      <c r="Y58" s="380"/>
      <c r="Z58" s="380"/>
      <c r="AA58" s="380"/>
      <c r="AB58" s="380"/>
      <c r="AC58" s="380"/>
      <c r="AD58" s="380"/>
      <c r="AE58" s="380"/>
      <c r="AF58" s="380"/>
      <c r="AG58" s="380"/>
      <c r="AH58" s="380"/>
      <c r="AI58" s="380"/>
      <c r="AJ58" s="380"/>
      <c r="AK58" s="380"/>
      <c r="AL58" s="380"/>
      <c r="AM58" s="380"/>
      <c r="AN58" s="380"/>
      <c r="AO58" s="380"/>
      <c r="AP58" s="380"/>
      <c r="AQ58" s="380"/>
      <c r="AR58" s="380"/>
      <c r="AS58" s="380"/>
      <c r="AT58" s="380"/>
      <c r="AU58" s="380"/>
      <c r="AV58" s="380"/>
      <c r="AW58" s="380"/>
      <c r="AX58" s="380"/>
      <c r="AY58" s="380"/>
      <c r="AZ58" s="380"/>
      <c r="BA58" s="380"/>
      <c r="BB58" s="380"/>
      <c r="BC58" s="380"/>
      <c r="BD58" s="380"/>
      <c r="BE58" s="380"/>
      <c r="BF58" s="380"/>
      <c r="BG58" s="380"/>
      <c r="BH58" s="380"/>
      <c r="BI58" s="380"/>
      <c r="BJ58" s="380"/>
      <c r="BK58" s="380"/>
      <c r="BL58" s="380"/>
      <c r="BM58" s="380"/>
      <c r="BN58" s="380"/>
      <c r="BO58" s="380"/>
      <c r="BP58" s="380"/>
      <c r="BQ58" s="380"/>
      <c r="BR58" s="380"/>
      <c r="BS58" s="380"/>
      <c r="BT58" s="380"/>
      <c r="BU58" s="380"/>
      <c r="BV58" s="380"/>
      <c r="BW58" s="380"/>
      <c r="BX58" s="380"/>
      <c r="BY58" s="380"/>
      <c r="BZ58" s="380"/>
      <c r="CA58" s="380"/>
      <c r="CB58" s="380"/>
      <c r="CC58" s="380"/>
      <c r="CD58" s="380"/>
      <c r="CE58" s="380"/>
      <c r="CF58" s="380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44713</v>
      </c>
      <c r="G59" s="380"/>
      <c r="K59" s="572"/>
      <c r="L59" s="559"/>
      <c r="N59" s="576"/>
      <c r="O59" s="9"/>
      <c r="R59" s="380"/>
      <c r="S59" s="380"/>
      <c r="T59" s="380"/>
      <c r="U59" s="380"/>
      <c r="V59" s="380"/>
      <c r="W59" s="380"/>
      <c r="X59" s="380"/>
      <c r="Y59" s="380"/>
      <c r="Z59" s="380"/>
      <c r="AA59" s="380"/>
      <c r="AB59" s="380"/>
      <c r="AC59" s="380"/>
      <c r="AD59" s="380"/>
      <c r="AE59" s="380"/>
      <c r="AF59" s="380"/>
      <c r="AG59" s="380"/>
      <c r="AH59" s="380"/>
      <c r="AI59" s="380"/>
      <c r="AJ59" s="380"/>
      <c r="AK59" s="380"/>
      <c r="AL59" s="380"/>
      <c r="AM59" s="380"/>
      <c r="AN59" s="380"/>
      <c r="AO59" s="380"/>
      <c r="AP59" s="380"/>
      <c r="AQ59" s="380"/>
      <c r="AR59" s="380"/>
      <c r="AS59" s="380"/>
      <c r="AT59" s="380"/>
      <c r="AU59" s="380"/>
      <c r="AV59" s="380"/>
      <c r="AW59" s="380"/>
      <c r="AX59" s="380"/>
      <c r="AY59" s="380"/>
      <c r="AZ59" s="380"/>
      <c r="BA59" s="380"/>
      <c r="BB59" s="380"/>
      <c r="BC59" s="380"/>
      <c r="BD59" s="380"/>
      <c r="BE59" s="380"/>
      <c r="BF59" s="380"/>
      <c r="BG59" s="380"/>
      <c r="BH59" s="380"/>
      <c r="BI59" s="380"/>
      <c r="BJ59" s="380"/>
      <c r="BK59" s="380"/>
      <c r="BL59" s="380"/>
      <c r="BM59" s="380"/>
      <c r="BN59" s="380"/>
      <c r="BO59" s="380"/>
      <c r="BP59" s="380"/>
      <c r="BQ59" s="380"/>
      <c r="BR59" s="380"/>
      <c r="BS59" s="380"/>
      <c r="BT59" s="380"/>
      <c r="BU59" s="380"/>
      <c r="BV59" s="380"/>
      <c r="BW59" s="380"/>
      <c r="BX59" s="380"/>
      <c r="BY59" s="380"/>
      <c r="BZ59" s="380"/>
      <c r="CA59" s="380"/>
      <c r="CB59" s="380"/>
      <c r="CC59" s="380"/>
      <c r="CD59" s="380"/>
      <c r="CE59" s="380"/>
      <c r="CF59" s="380"/>
    </row>
    <row r="60" spans="1:84" ht="26.25" thickBot="1">
      <c r="A60" s="574"/>
      <c r="B60" s="538" t="s">
        <v>771</v>
      </c>
      <c r="C60" s="549"/>
      <c r="D60" s="550"/>
      <c r="E60" s="550"/>
      <c r="F60" s="550"/>
      <c r="G60" s="530"/>
      <c r="H60" s="531"/>
      <c r="I60" s="550"/>
      <c r="J60" s="551"/>
      <c r="K60" s="552"/>
      <c r="L60" s="784"/>
      <c r="M60" s="575"/>
      <c r="N60" s="576"/>
      <c r="O60" s="9"/>
      <c r="R60" s="380"/>
      <c r="S60" s="380"/>
      <c r="T60" s="380"/>
      <c r="U60" s="380"/>
      <c r="V60" s="380"/>
      <c r="W60" s="380"/>
      <c r="X60" s="380"/>
      <c r="Y60" s="380"/>
      <c r="Z60" s="380"/>
      <c r="AA60" s="380"/>
      <c r="AB60" s="380"/>
      <c r="AC60" s="380"/>
      <c r="AD60" s="380"/>
      <c r="AE60" s="380"/>
      <c r="AF60" s="380"/>
      <c r="AG60" s="380"/>
      <c r="AH60" s="380"/>
      <c r="AI60" s="380"/>
      <c r="AJ60" s="380"/>
      <c r="AK60" s="380"/>
      <c r="AL60" s="380"/>
      <c r="AM60" s="380"/>
      <c r="AN60" s="380"/>
      <c r="AO60" s="380"/>
      <c r="AP60" s="380"/>
      <c r="AQ60" s="380"/>
      <c r="AR60" s="380"/>
      <c r="AS60" s="380"/>
      <c r="AT60" s="380"/>
      <c r="AU60" s="380"/>
      <c r="AV60" s="380"/>
      <c r="AW60" s="380"/>
      <c r="AX60" s="380"/>
      <c r="AY60" s="380"/>
      <c r="AZ60" s="380"/>
      <c r="BA60" s="380"/>
      <c r="BB60" s="380"/>
      <c r="BC60" s="380"/>
      <c r="BD60" s="380"/>
      <c r="BE60" s="380"/>
      <c r="BF60" s="380"/>
      <c r="BG60" s="380"/>
      <c r="BH60" s="380"/>
      <c r="BI60" s="380"/>
      <c r="BJ60" s="380"/>
      <c r="BK60" s="380"/>
      <c r="BL60" s="380"/>
      <c r="BM60" s="380"/>
      <c r="BN60" s="380"/>
      <c r="BO60" s="380"/>
      <c r="BP60" s="380"/>
      <c r="BQ60" s="380"/>
      <c r="BR60" s="380"/>
      <c r="BS60" s="380"/>
      <c r="BT60" s="380"/>
      <c r="BU60" s="380"/>
      <c r="BV60" s="380"/>
      <c r="BW60" s="380"/>
      <c r="BX60" s="380"/>
      <c r="BY60" s="380"/>
      <c r="BZ60" s="380"/>
      <c r="CA60" s="380"/>
      <c r="CB60" s="380"/>
      <c r="CC60" s="380"/>
      <c r="CD60" s="380"/>
      <c r="CE60" s="380"/>
      <c r="CF60" s="380"/>
    </row>
    <row r="61" spans="1:84" ht="57" customHeight="1" thickBot="1">
      <c r="B61" s="577" t="s">
        <v>772</v>
      </c>
      <c r="C61" s="577"/>
      <c r="D61" s="577" t="s">
        <v>773</v>
      </c>
      <c r="L61" s="559"/>
      <c r="M61" s="762"/>
      <c r="N61" s="479"/>
      <c r="O61" s="576"/>
      <c r="S61" s="380"/>
      <c r="T61" s="380"/>
      <c r="U61" s="380"/>
      <c r="V61" s="380"/>
      <c r="W61" s="380"/>
      <c r="X61" s="380"/>
      <c r="Y61" s="380"/>
      <c r="Z61" s="380"/>
      <c r="AA61" s="380"/>
      <c r="AB61" s="380"/>
      <c r="AC61" s="380"/>
      <c r="AD61" s="380"/>
      <c r="AE61" s="380"/>
      <c r="AF61" s="380"/>
      <c r="AG61" s="380"/>
      <c r="AH61" s="380"/>
      <c r="AI61" s="380"/>
      <c r="AJ61" s="380"/>
      <c r="AK61" s="380"/>
      <c r="AL61" s="380"/>
      <c r="AM61" s="380"/>
      <c r="AN61" s="380"/>
      <c r="AO61" s="380"/>
      <c r="AP61" s="380"/>
      <c r="AQ61" s="380"/>
      <c r="AR61" s="380"/>
      <c r="AS61" s="380"/>
      <c r="AT61" s="380"/>
      <c r="AU61" s="380"/>
      <c r="AV61" s="380"/>
      <c r="AW61" s="380"/>
      <c r="AX61" s="380"/>
      <c r="AY61" s="380"/>
      <c r="AZ61" s="380"/>
      <c r="BA61" s="380"/>
      <c r="BB61" s="380"/>
      <c r="BC61" s="380"/>
      <c r="BD61" s="380"/>
      <c r="BE61" s="380"/>
      <c r="BF61" s="380"/>
      <c r="BG61" s="380"/>
      <c r="BH61" s="380"/>
      <c r="BI61" s="380"/>
      <c r="BJ61" s="380"/>
      <c r="BK61" s="380"/>
      <c r="BL61" s="380"/>
      <c r="BM61" s="380"/>
      <c r="BN61" s="380"/>
      <c r="BO61" s="380"/>
      <c r="BP61" s="380"/>
      <c r="BQ61" s="380"/>
      <c r="BR61" s="380"/>
      <c r="BS61" s="380"/>
      <c r="BT61" s="380"/>
      <c r="BU61" s="380"/>
      <c r="BV61" s="380"/>
      <c r="BW61" s="380"/>
      <c r="BX61" s="380"/>
      <c r="BY61" s="380"/>
      <c r="BZ61" s="380"/>
      <c r="CA61" s="380"/>
      <c r="CB61" s="380"/>
      <c r="CC61" s="380"/>
      <c r="CD61" s="380"/>
      <c r="CE61" s="380"/>
      <c r="CF61" s="380"/>
    </row>
    <row r="62" spans="1:84" ht="17.25" thickBot="1">
      <c r="B62" s="738" t="s">
        <v>774</v>
      </c>
      <c r="C62" s="739" t="s">
        <v>775</v>
      </c>
      <c r="D62" s="739" t="s">
        <v>272</v>
      </c>
      <c r="E62" s="1758" t="s">
        <v>776</v>
      </c>
      <c r="F62" s="1759"/>
      <c r="G62" s="739" t="s">
        <v>777</v>
      </c>
      <c r="H62" s="740" t="s">
        <v>778</v>
      </c>
      <c r="I62" s="9"/>
      <c r="J62" s="9"/>
      <c r="K62" s="9"/>
      <c r="L62" s="17"/>
      <c r="M62" s="564"/>
      <c r="N62" s="479"/>
      <c r="O62" s="576"/>
      <c r="S62" s="380"/>
      <c r="T62" s="380"/>
      <c r="U62" s="380"/>
      <c r="V62" s="380"/>
      <c r="W62" s="380"/>
      <c r="X62" s="380"/>
      <c r="Y62" s="380"/>
      <c r="Z62" s="380"/>
      <c r="AA62" s="380"/>
      <c r="AB62" s="380"/>
      <c r="AC62" s="380"/>
      <c r="AD62" s="380"/>
      <c r="AE62" s="380"/>
      <c r="AF62" s="380"/>
      <c r="AG62" s="380"/>
      <c r="AH62" s="380"/>
      <c r="AI62" s="380"/>
      <c r="AJ62" s="380"/>
      <c r="AK62" s="380"/>
      <c r="AL62" s="380"/>
      <c r="AM62" s="380"/>
      <c r="AN62" s="380"/>
      <c r="AO62" s="380"/>
      <c r="AP62" s="380"/>
      <c r="AQ62" s="380"/>
      <c r="AR62" s="380"/>
      <c r="AS62" s="380"/>
      <c r="AT62" s="380"/>
      <c r="AU62" s="380"/>
      <c r="AV62" s="380"/>
      <c r="AW62" s="380"/>
      <c r="AX62" s="380"/>
      <c r="AY62" s="380"/>
      <c r="AZ62" s="380"/>
      <c r="BA62" s="380"/>
      <c r="BB62" s="380"/>
      <c r="BC62" s="380"/>
      <c r="BD62" s="380"/>
      <c r="BE62" s="380"/>
      <c r="BF62" s="380"/>
      <c r="BG62" s="380"/>
      <c r="BH62" s="380"/>
      <c r="BI62" s="380"/>
      <c r="BJ62" s="380"/>
      <c r="BK62" s="380"/>
      <c r="BL62" s="380"/>
      <c r="BM62" s="380"/>
      <c r="BN62" s="380"/>
      <c r="BO62" s="380"/>
      <c r="BP62" s="380"/>
      <c r="BQ62" s="380"/>
      <c r="BR62" s="380"/>
      <c r="BS62" s="380"/>
      <c r="BT62" s="380"/>
      <c r="BU62" s="380"/>
      <c r="BV62" s="380"/>
      <c r="BW62" s="380"/>
      <c r="BX62" s="380"/>
      <c r="BY62" s="380"/>
      <c r="BZ62" s="380"/>
      <c r="CA62" s="380"/>
      <c r="CB62" s="380"/>
      <c r="CC62" s="380"/>
      <c r="CD62" s="380"/>
      <c r="CE62" s="380"/>
      <c r="CF62" s="380"/>
    </row>
    <row r="63" spans="1:84" ht="16.5">
      <c r="B63" s="734">
        <f>Indexador!B34</f>
        <v>44287</v>
      </c>
      <c r="C63" s="1672"/>
      <c r="D63" s="750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76"/>
      <c r="F63" s="1777"/>
      <c r="G63" s="750">
        <f>IFERROR(VLOOKUP(B63,transmissorapiscofins[#All],2,FALSE),0)</f>
        <v>0</v>
      </c>
      <c r="H63" s="751"/>
      <c r="I63" s="9" t="s">
        <v>779</v>
      </c>
      <c r="J63" s="483"/>
      <c r="K63" s="9"/>
      <c r="L63" s="17"/>
      <c r="M63" s="564"/>
      <c r="N63" s="479"/>
      <c r="O63" s="576"/>
      <c r="S63" s="380"/>
      <c r="T63" s="380"/>
      <c r="U63" s="380"/>
      <c r="V63" s="380"/>
      <c r="W63" s="380"/>
      <c r="X63" s="380"/>
      <c r="Y63" s="380"/>
      <c r="Z63" s="380"/>
      <c r="AA63" s="380"/>
      <c r="AB63" s="380"/>
      <c r="AC63" s="380"/>
      <c r="AD63" s="380"/>
      <c r="AE63" s="380"/>
      <c r="AF63" s="380"/>
      <c r="AG63" s="380"/>
      <c r="AH63" s="380"/>
      <c r="AI63" s="380"/>
      <c r="AJ63" s="380"/>
      <c r="AK63" s="380"/>
      <c r="AL63" s="380"/>
      <c r="AM63" s="380"/>
      <c r="AN63" s="380"/>
      <c r="AO63" s="380"/>
      <c r="AP63" s="380"/>
      <c r="AQ63" s="380"/>
      <c r="AR63" s="380"/>
      <c r="AS63" s="380"/>
      <c r="AT63" s="380"/>
      <c r="AU63" s="380"/>
      <c r="AV63" s="380"/>
      <c r="AW63" s="380"/>
      <c r="AX63" s="380"/>
      <c r="AY63" s="380"/>
      <c r="AZ63" s="380"/>
      <c r="BA63" s="380"/>
      <c r="BB63" s="380"/>
      <c r="BC63" s="380"/>
      <c r="BD63" s="380"/>
      <c r="BE63" s="380"/>
      <c r="BF63" s="380"/>
      <c r="BG63" s="380"/>
      <c r="BH63" s="380"/>
      <c r="BI63" s="380"/>
      <c r="BJ63" s="380"/>
      <c r="BK63" s="380"/>
      <c r="BL63" s="380"/>
      <c r="BM63" s="380"/>
      <c r="BN63" s="380"/>
      <c r="BO63" s="380"/>
      <c r="BP63" s="380"/>
      <c r="BQ63" s="380"/>
      <c r="BR63" s="380"/>
      <c r="BS63" s="380"/>
      <c r="BT63" s="380"/>
      <c r="BU63" s="380"/>
      <c r="BV63" s="380"/>
      <c r="BW63" s="380"/>
      <c r="BX63" s="380"/>
      <c r="BY63" s="380"/>
      <c r="BZ63" s="380"/>
      <c r="CA63" s="380"/>
      <c r="CB63" s="380"/>
      <c r="CC63" s="380"/>
      <c r="CD63" s="380"/>
      <c r="CE63" s="380"/>
      <c r="CF63" s="380"/>
    </row>
    <row r="64" spans="1:84" ht="16.5">
      <c r="B64" s="735">
        <f>Indexador!B35</f>
        <v>44317</v>
      </c>
      <c r="C64" s="1673"/>
      <c r="D64" s="756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78"/>
      <c r="F64" s="1779"/>
      <c r="G64" s="756">
        <f>IFERROR(VLOOKUP(B64,transmissorapiscofins[#All],2,FALSE),0)</f>
        <v>0</v>
      </c>
      <c r="H64" s="742">
        <f>SUMIF(BD!$A$41:$A$57,B64,BD!$C$41:$C$57)</f>
        <v>0</v>
      </c>
      <c r="I64" s="9" t="s">
        <v>780</v>
      </c>
      <c r="J64" s="581"/>
      <c r="K64" s="9"/>
      <c r="L64" s="17"/>
      <c r="M64" s="564"/>
      <c r="N64" s="479"/>
      <c r="O64" s="576"/>
      <c r="S64" s="380"/>
      <c r="T64" s="380"/>
      <c r="U64" s="380"/>
      <c r="V64" s="380"/>
      <c r="W64" s="380"/>
      <c r="X64" s="380"/>
      <c r="Y64" s="380"/>
      <c r="Z64" s="380"/>
      <c r="AA64" s="380"/>
      <c r="AB64" s="380"/>
      <c r="AC64" s="380"/>
      <c r="AD64" s="380"/>
      <c r="AE64" s="380"/>
      <c r="AF64" s="380"/>
      <c r="AG64" s="380"/>
      <c r="AH64" s="380"/>
      <c r="AI64" s="380"/>
      <c r="AJ64" s="380"/>
      <c r="AK64" s="380"/>
      <c r="AL64" s="380"/>
      <c r="AM64" s="380"/>
      <c r="AN64" s="380"/>
      <c r="AO64" s="380"/>
      <c r="AP64" s="380"/>
      <c r="AQ64" s="380"/>
      <c r="AR64" s="380"/>
      <c r="AS64" s="380"/>
      <c r="AT64" s="380"/>
      <c r="AU64" s="380"/>
      <c r="AV64" s="380"/>
      <c r="AW64" s="380"/>
      <c r="AX64" s="380"/>
      <c r="AY64" s="380"/>
      <c r="AZ64" s="380"/>
      <c r="BA64" s="380"/>
      <c r="BB64" s="380"/>
      <c r="BC64" s="380"/>
      <c r="BD64" s="380"/>
      <c r="BE64" s="380"/>
      <c r="BF64" s="380"/>
      <c r="BG64" s="380"/>
      <c r="BH64" s="380"/>
      <c r="BI64" s="380"/>
      <c r="BJ64" s="380"/>
      <c r="BK64" s="380"/>
      <c r="BL64" s="380"/>
      <c r="BM64" s="380"/>
      <c r="BN64" s="380"/>
      <c r="BO64" s="380"/>
      <c r="BP64" s="380"/>
      <c r="BQ64" s="380"/>
      <c r="BR64" s="380"/>
      <c r="BS64" s="380"/>
      <c r="BT64" s="380"/>
      <c r="BU64" s="380"/>
      <c r="BV64" s="380"/>
      <c r="BW64" s="380"/>
      <c r="BX64" s="380"/>
      <c r="BY64" s="380"/>
      <c r="BZ64" s="380"/>
      <c r="CA64" s="380"/>
      <c r="CB64" s="380"/>
      <c r="CC64" s="380"/>
      <c r="CD64" s="380"/>
      <c r="CE64" s="380"/>
      <c r="CF64" s="380"/>
    </row>
    <row r="65" spans="1:84" ht="17.25" thickBot="1">
      <c r="B65" s="741">
        <f>Indexador!B36</f>
        <v>44348</v>
      </c>
      <c r="C65" s="757">
        <f>IF($C$113="Não",SUMIFS(Faturas!H:H,Faturas!A:A,$K$12,Faturas!G:G,"PisConfins",Faturas!F:F,YEAR(CAPA!B65)*100+MONTH(CAPA!B65)),IF(B65&lt;$C$114,0,SUMIFS(Faturas!H:H,Faturas!A:A,$K$12,Faturas!G:G,"PisConfins",Faturas!F:F,YEAR(CAPA!B65)*100+MONTH(CAPA!B65))))</f>
        <v>198044.03999999998</v>
      </c>
      <c r="D65" s="757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80">
        <f>IF($C$113="Não",SUMIFS(Faturas!H:H,Faturas!A:A,$K$12,Faturas!G:G,"DICFIC",Faturas!F:F,YEAR(CAPA!B65)*100+MONTH(CAPA!B65)),IF(B65&lt;$C$114,0,SUMIFS(Faturas!H:H,Faturas!A:A,$K$12,Faturas!G:G,"DICFIC",Faturas!F:F,YEAR(CAPA!B65)*100+MONTH(CAPA!B65))))</f>
        <v>-36.03</v>
      </c>
      <c r="F65" s="1781"/>
      <c r="G65" s="757">
        <f>IFERROR(VLOOKUP(B65,transmissorapiscofins[#All],2,FALSE),0)</f>
        <v>0</v>
      </c>
      <c r="H65" s="765">
        <f>SUMIF(BD!$A$41:$A$57,B65,BD!$C$41:$C$57)</f>
        <v>0</v>
      </c>
      <c r="I65" s="9"/>
      <c r="J65" s="581"/>
      <c r="K65" s="9"/>
      <c r="L65" s="17"/>
      <c r="M65" s="564"/>
      <c r="N65" s="479"/>
      <c r="O65" s="576"/>
      <c r="S65" s="380"/>
      <c r="T65" s="380"/>
      <c r="U65" s="380"/>
      <c r="V65" s="380"/>
      <c r="W65" s="380"/>
      <c r="X65" s="380"/>
      <c r="Y65" s="380"/>
      <c r="Z65" s="380"/>
      <c r="AA65" s="380"/>
      <c r="AB65" s="380"/>
      <c r="AC65" s="380"/>
      <c r="AD65" s="380"/>
      <c r="AE65" s="380"/>
      <c r="AF65" s="380"/>
      <c r="AG65" s="380"/>
      <c r="AH65" s="380"/>
      <c r="AI65" s="380"/>
      <c r="AJ65" s="380"/>
      <c r="AK65" s="380"/>
      <c r="AL65" s="380"/>
      <c r="AM65" s="380"/>
      <c r="AN65" s="380"/>
      <c r="AO65" s="380"/>
      <c r="AP65" s="380"/>
      <c r="AQ65" s="380"/>
      <c r="AR65" s="380"/>
      <c r="AS65" s="380"/>
      <c r="AT65" s="380"/>
      <c r="AU65" s="380"/>
      <c r="AV65" s="380"/>
      <c r="AW65" s="380"/>
      <c r="AX65" s="380"/>
      <c r="AY65" s="380"/>
      <c r="AZ65" s="380"/>
      <c r="BA65" s="380"/>
      <c r="BB65" s="380"/>
      <c r="BC65" s="380"/>
      <c r="BD65" s="380"/>
      <c r="BE65" s="380"/>
      <c r="BF65" s="380"/>
      <c r="BG65" s="380"/>
      <c r="BH65" s="380"/>
      <c r="BI65" s="380"/>
      <c r="BJ65" s="380"/>
      <c r="BK65" s="380"/>
      <c r="BL65" s="380"/>
      <c r="BM65" s="380"/>
      <c r="BN65" s="380"/>
      <c r="BO65" s="380"/>
      <c r="BP65" s="380"/>
      <c r="BQ65" s="380"/>
      <c r="BR65" s="380"/>
      <c r="BS65" s="380"/>
      <c r="BT65" s="380"/>
      <c r="BU65" s="380"/>
      <c r="BV65" s="380"/>
      <c r="BW65" s="380"/>
      <c r="BX65" s="380"/>
      <c r="BY65" s="380"/>
      <c r="BZ65" s="380"/>
      <c r="CA65" s="380"/>
      <c r="CB65" s="380"/>
      <c r="CC65" s="380"/>
      <c r="CD65" s="380"/>
      <c r="CE65" s="380"/>
      <c r="CF65" s="380"/>
    </row>
    <row r="66" spans="1:84">
      <c r="B66" s="736">
        <f>Indexador!B37</f>
        <v>44378</v>
      </c>
      <c r="C66" s="758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224556.9</v>
      </c>
      <c r="D66" s="759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72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-10021.94</v>
      </c>
      <c r="F66" s="1773"/>
      <c r="G66" s="759">
        <f>IFERROR(VLOOKUP(B66,transmissorapiscofins[#All],2,FALSE),0)</f>
        <v>0</v>
      </c>
      <c r="H66" s="1723"/>
      <c r="I66" s="9"/>
      <c r="J66" s="9"/>
      <c r="K66" s="9"/>
      <c r="L66" s="17"/>
      <c r="M66" s="564"/>
      <c r="N66" s="479"/>
      <c r="S66" s="380"/>
      <c r="T66" s="380"/>
      <c r="U66" s="380"/>
      <c r="V66" s="380"/>
      <c r="W66" s="380"/>
      <c r="X66" s="380"/>
      <c r="Y66" s="380"/>
      <c r="Z66" s="380"/>
      <c r="AA66" s="380"/>
      <c r="AB66" s="380"/>
      <c r="AC66" s="380"/>
      <c r="AD66" s="380"/>
      <c r="AE66" s="380"/>
      <c r="AF66" s="380"/>
      <c r="AG66" s="380"/>
      <c r="AH66" s="380"/>
      <c r="AI66" s="380"/>
      <c r="AJ66" s="380"/>
      <c r="AK66" s="380"/>
      <c r="AL66" s="380"/>
      <c r="AM66" s="380"/>
      <c r="AN66" s="380"/>
      <c r="AO66" s="380"/>
      <c r="AP66" s="380"/>
      <c r="AQ66" s="380"/>
      <c r="AR66" s="380"/>
      <c r="AS66" s="380"/>
      <c r="AT66" s="380"/>
      <c r="AU66" s="380"/>
      <c r="AV66" s="380"/>
      <c r="AW66" s="380"/>
      <c r="AX66" s="380"/>
      <c r="AY66" s="380"/>
      <c r="AZ66" s="380"/>
      <c r="BA66" s="380"/>
      <c r="BB66" s="380"/>
      <c r="BC66" s="380"/>
      <c r="BD66" s="380"/>
      <c r="BE66" s="380"/>
      <c r="BF66" s="380"/>
      <c r="BG66" s="380"/>
      <c r="BH66" s="380"/>
      <c r="BI66" s="380"/>
      <c r="BJ66" s="380"/>
      <c r="BK66" s="380"/>
      <c r="BL66" s="380"/>
      <c r="BM66" s="380"/>
      <c r="BN66" s="380"/>
      <c r="BO66" s="380"/>
      <c r="BP66" s="380"/>
      <c r="BQ66" s="380"/>
      <c r="BR66" s="380"/>
      <c r="BS66" s="380"/>
      <c r="BT66" s="380"/>
      <c r="BU66" s="380"/>
      <c r="BV66" s="380"/>
      <c r="BW66" s="380"/>
      <c r="BX66" s="380"/>
      <c r="BY66" s="380"/>
      <c r="BZ66" s="380"/>
      <c r="CA66" s="380"/>
      <c r="CB66" s="380"/>
      <c r="CC66" s="380"/>
      <c r="CD66" s="380"/>
      <c r="CE66" s="380"/>
      <c r="CF66" s="380"/>
    </row>
    <row r="67" spans="1:84" ht="16.5" customHeight="1">
      <c r="B67" s="736">
        <f>Indexador!B38</f>
        <v>44409</v>
      </c>
      <c r="C67" s="758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79404.930000000008</v>
      </c>
      <c r="D67" s="758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60">
        <f>IF($C$113="Não",SUMIFS(Faturas!H:H,Faturas!A:A,$K$12,Faturas!G:G,"DICFIC",Faturas!F:F,YEAR(CAPA!B67)*100+MONTH(CAPA!B67)),IF(B67&lt;$C$114,0,SUMIFS(Faturas!H:H,Faturas!A:A,$K$12,Faturas!G:G,"DICFIC",Faturas!F:F,YEAR(CAPA!B67)*100+MONTH(CAPA!B67))))</f>
        <v>-1044.79</v>
      </c>
      <c r="F67" s="1761"/>
      <c r="G67" s="758">
        <f>IFERROR(VLOOKUP(B67,transmissorapiscofins[#All],2,FALSE),0)</f>
        <v>0</v>
      </c>
      <c r="H67" s="1723"/>
      <c r="I67" s="9"/>
      <c r="J67" s="9"/>
      <c r="K67" s="9"/>
      <c r="L67" s="17"/>
      <c r="M67" s="564"/>
      <c r="N67" s="764"/>
      <c r="S67" s="380"/>
      <c r="T67" s="380"/>
      <c r="U67" s="380"/>
      <c r="V67" s="380"/>
      <c r="W67" s="380"/>
      <c r="X67" s="380"/>
      <c r="Y67" s="380"/>
      <c r="Z67" s="380"/>
      <c r="AA67" s="380"/>
      <c r="AB67" s="380"/>
      <c r="AC67" s="380"/>
      <c r="AD67" s="380"/>
      <c r="AE67" s="380"/>
      <c r="AF67" s="380"/>
      <c r="AG67" s="380"/>
      <c r="AH67" s="380"/>
      <c r="AI67" s="380"/>
      <c r="AJ67" s="380"/>
      <c r="AK67" s="380"/>
      <c r="AL67" s="380"/>
      <c r="AM67" s="380"/>
      <c r="AN67" s="380"/>
      <c r="AO67" s="380"/>
      <c r="AP67" s="380"/>
      <c r="AQ67" s="380"/>
      <c r="AR67" s="380"/>
      <c r="AS67" s="380"/>
      <c r="AT67" s="380"/>
      <c r="AU67" s="380"/>
      <c r="AV67" s="380"/>
      <c r="AW67" s="380"/>
      <c r="AX67" s="380"/>
      <c r="AY67" s="380"/>
      <c r="AZ67" s="380"/>
      <c r="BA67" s="380"/>
      <c r="BB67" s="380"/>
      <c r="BC67" s="380"/>
      <c r="BD67" s="380"/>
      <c r="BE67" s="380"/>
      <c r="BF67" s="380"/>
      <c r="BG67" s="380"/>
      <c r="BH67" s="380"/>
      <c r="BI67" s="380"/>
      <c r="BJ67" s="380"/>
      <c r="BK67" s="380"/>
      <c r="BL67" s="380"/>
      <c r="BM67" s="380"/>
      <c r="BN67" s="380"/>
      <c r="BO67" s="380"/>
      <c r="BP67" s="380"/>
      <c r="BQ67" s="380"/>
      <c r="BR67" s="380"/>
      <c r="BS67" s="380"/>
      <c r="BT67" s="380"/>
      <c r="BU67" s="380"/>
      <c r="BV67" s="380"/>
      <c r="BW67" s="380"/>
      <c r="BX67" s="380"/>
      <c r="BY67" s="380"/>
      <c r="BZ67" s="380"/>
      <c r="CA67" s="380"/>
      <c r="CB67" s="380"/>
      <c r="CC67" s="380"/>
      <c r="CD67" s="380"/>
      <c r="CE67" s="380"/>
      <c r="CF67" s="380"/>
    </row>
    <row r="68" spans="1:84" ht="16.5" customHeight="1">
      <c r="B68" s="736">
        <f>Indexador!B39</f>
        <v>44440</v>
      </c>
      <c r="C68" s="758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76250.77</v>
      </c>
      <c r="D68" s="758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60">
        <f>IF($C$113="Não",SUMIFS(Faturas!H:H,Faturas!A:A,$K$12,Faturas!G:G,"DICFIC",Faturas!F:F,YEAR(CAPA!B68)*100+MONTH(CAPA!B68)),IF(B68&lt;$C$114,0,SUMIFS(Faturas!H:H,Faturas!A:A,$K$12,Faturas!G:G,"DICFIC",Faturas!F:F,YEAR(CAPA!B68)*100+MONTH(CAPA!B68))))</f>
        <v>-0.02</v>
      </c>
      <c r="F68" s="1761"/>
      <c r="G68" s="758">
        <f>IFERROR(VLOOKUP(B68,transmissorapiscofins[#All],2,FALSE),0)</f>
        <v>0</v>
      </c>
      <c r="H68" s="1723"/>
      <c r="I68" s="9"/>
      <c r="J68" s="9"/>
      <c r="K68" s="9"/>
      <c r="L68" s="17"/>
      <c r="M68" s="564"/>
      <c r="N68" s="479"/>
      <c r="S68" s="380"/>
      <c r="T68" s="380"/>
      <c r="U68" s="380"/>
      <c r="V68" s="380"/>
      <c r="W68" s="380"/>
      <c r="X68" s="380"/>
      <c r="Y68" s="380"/>
      <c r="Z68" s="380"/>
      <c r="AA68" s="380"/>
      <c r="AB68" s="380"/>
      <c r="AC68" s="380"/>
      <c r="AD68" s="380"/>
      <c r="AE68" s="380"/>
      <c r="AF68" s="380"/>
      <c r="AG68" s="380"/>
      <c r="AH68" s="380"/>
      <c r="AI68" s="380"/>
      <c r="AJ68" s="380"/>
      <c r="AK68" s="380"/>
      <c r="AL68" s="380"/>
      <c r="AM68" s="380"/>
      <c r="AN68" s="380"/>
      <c r="AO68" s="380"/>
      <c r="AP68" s="380"/>
      <c r="AQ68" s="380"/>
      <c r="AR68" s="380"/>
      <c r="AS68" s="380"/>
      <c r="AT68" s="380"/>
      <c r="AU68" s="380"/>
      <c r="AV68" s="380"/>
      <c r="AW68" s="380"/>
      <c r="AX68" s="380"/>
      <c r="AY68" s="380"/>
      <c r="AZ68" s="380"/>
      <c r="BA68" s="380"/>
      <c r="BB68" s="380"/>
      <c r="BC68" s="380"/>
      <c r="BD68" s="380"/>
      <c r="BE68" s="380"/>
      <c r="BF68" s="380"/>
      <c r="BG68" s="380"/>
      <c r="BH68" s="380"/>
      <c r="BI68" s="380"/>
      <c r="BJ68" s="380"/>
      <c r="BK68" s="380"/>
      <c r="BL68" s="380"/>
      <c r="BM68" s="380"/>
      <c r="BN68" s="380"/>
      <c r="BO68" s="380"/>
      <c r="BP68" s="380"/>
      <c r="BQ68" s="380"/>
      <c r="BR68" s="380"/>
      <c r="BS68" s="380"/>
      <c r="BT68" s="380"/>
      <c r="BU68" s="380"/>
      <c r="BV68" s="380"/>
      <c r="BW68" s="380"/>
      <c r="BX68" s="380"/>
      <c r="BY68" s="380"/>
      <c r="BZ68" s="380"/>
      <c r="CA68" s="380"/>
      <c r="CB68" s="380"/>
      <c r="CC68" s="380"/>
      <c r="CD68" s="380"/>
      <c r="CE68" s="380"/>
      <c r="CF68" s="380"/>
    </row>
    <row r="69" spans="1:84" ht="16.5" customHeight="1">
      <c r="B69" s="736">
        <f>Indexador!B40</f>
        <v>44470</v>
      </c>
      <c r="C69" s="758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69720.37</v>
      </c>
      <c r="D69" s="758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60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61"/>
      <c r="G69" s="758">
        <f>IFERROR(VLOOKUP(B69,transmissorapiscofins[#All],2,FALSE),0)</f>
        <v>0</v>
      </c>
      <c r="H69" s="1723"/>
      <c r="I69" s="9"/>
      <c r="J69" s="9"/>
      <c r="K69" s="9"/>
      <c r="L69" s="17"/>
      <c r="M69" s="564"/>
      <c r="N69" s="479"/>
      <c r="S69" s="380"/>
      <c r="T69" s="380"/>
      <c r="U69" s="380"/>
      <c r="V69" s="380"/>
      <c r="W69" s="380"/>
      <c r="X69" s="380"/>
      <c r="Y69" s="380"/>
      <c r="Z69" s="380"/>
      <c r="AA69" s="380"/>
      <c r="AB69" s="380"/>
      <c r="AC69" s="380"/>
      <c r="AD69" s="380"/>
      <c r="AE69" s="380"/>
      <c r="AF69" s="380"/>
      <c r="AG69" s="380"/>
      <c r="AH69" s="380"/>
      <c r="AI69" s="380"/>
      <c r="AJ69" s="380"/>
      <c r="AK69" s="380"/>
      <c r="AL69" s="380"/>
      <c r="AM69" s="380"/>
      <c r="AN69" s="380"/>
      <c r="AO69" s="380"/>
      <c r="AP69" s="380"/>
      <c r="AQ69" s="380"/>
      <c r="AR69" s="380"/>
      <c r="AS69" s="380"/>
      <c r="AT69" s="380"/>
      <c r="AU69" s="380"/>
      <c r="AV69" s="380"/>
      <c r="AW69" s="380"/>
      <c r="AX69" s="380"/>
      <c r="AY69" s="380"/>
      <c r="AZ69" s="380"/>
      <c r="BA69" s="380"/>
      <c r="BB69" s="380"/>
      <c r="BC69" s="380"/>
      <c r="BD69" s="380"/>
      <c r="BE69" s="380"/>
      <c r="BF69" s="380"/>
      <c r="BG69" s="380"/>
      <c r="BH69" s="380"/>
      <c r="BI69" s="380"/>
      <c r="BJ69" s="380"/>
      <c r="BK69" s="380"/>
      <c r="BL69" s="380"/>
      <c r="BM69" s="380"/>
      <c r="BN69" s="380"/>
      <c r="BO69" s="380"/>
      <c r="BP69" s="380"/>
      <c r="BQ69" s="380"/>
      <c r="BR69" s="380"/>
      <c r="BS69" s="380"/>
      <c r="BT69" s="380"/>
      <c r="BU69" s="380"/>
      <c r="BV69" s="380"/>
      <c r="BW69" s="380"/>
      <c r="BX69" s="380"/>
      <c r="BY69" s="380"/>
      <c r="BZ69" s="380"/>
      <c r="CA69" s="380"/>
      <c r="CB69" s="380"/>
      <c r="CC69" s="380"/>
      <c r="CD69" s="380"/>
      <c r="CE69" s="380"/>
      <c r="CF69" s="380"/>
    </row>
    <row r="70" spans="1:84" ht="16.5" customHeight="1">
      <c r="B70" s="736">
        <f>Indexador!B41</f>
        <v>44501</v>
      </c>
      <c r="C70" s="758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56822.979999999996</v>
      </c>
      <c r="D70" s="758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60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-3537.77</v>
      </c>
      <c r="F70" s="1761"/>
      <c r="G70" s="758">
        <f>IFERROR(VLOOKUP(B70,transmissorapiscofins[#All],2,FALSE),0)</f>
        <v>0</v>
      </c>
      <c r="H70" s="1723"/>
      <c r="I70" s="9"/>
      <c r="J70" s="9"/>
      <c r="K70" s="9"/>
      <c r="L70" s="17"/>
      <c r="M70" s="564"/>
      <c r="N70" s="479"/>
      <c r="S70" s="380"/>
      <c r="T70" s="380"/>
      <c r="U70" s="380"/>
      <c r="V70" s="380"/>
      <c r="W70" s="380"/>
      <c r="X70" s="380"/>
      <c r="Y70" s="380"/>
      <c r="Z70" s="380"/>
      <c r="AA70" s="380"/>
      <c r="AB70" s="380"/>
      <c r="AC70" s="380"/>
      <c r="AD70" s="380"/>
      <c r="AE70" s="380"/>
      <c r="AF70" s="380"/>
      <c r="AG70" s="380"/>
      <c r="AH70" s="380"/>
      <c r="AI70" s="380"/>
      <c r="AJ70" s="380"/>
      <c r="AK70" s="380"/>
      <c r="AL70" s="380"/>
      <c r="AM70" s="380"/>
      <c r="AN70" s="380"/>
      <c r="AO70" s="380"/>
      <c r="AP70" s="380"/>
      <c r="AQ70" s="380"/>
      <c r="AR70" s="380"/>
      <c r="AS70" s="380"/>
      <c r="AT70" s="380"/>
      <c r="AU70" s="380"/>
      <c r="AV70" s="380"/>
      <c r="AW70" s="380"/>
      <c r="AX70" s="380"/>
      <c r="AY70" s="380"/>
      <c r="AZ70" s="380"/>
      <c r="BA70" s="380"/>
      <c r="BB70" s="380"/>
      <c r="BC70" s="380"/>
      <c r="BD70" s="380"/>
      <c r="BE70" s="380"/>
      <c r="BF70" s="380"/>
      <c r="BG70" s="380"/>
      <c r="BH70" s="380"/>
      <c r="BI70" s="380"/>
      <c r="BJ70" s="380"/>
      <c r="BK70" s="380"/>
      <c r="BL70" s="380"/>
      <c r="BM70" s="380"/>
      <c r="BN70" s="380"/>
      <c r="BO70" s="380"/>
      <c r="BP70" s="380"/>
      <c r="BQ70" s="380"/>
      <c r="BR70" s="380"/>
      <c r="BS70" s="380"/>
      <c r="BT70" s="380"/>
      <c r="BU70" s="380"/>
      <c r="BV70" s="380"/>
      <c r="BW70" s="380"/>
      <c r="BX70" s="380"/>
      <c r="BY70" s="380"/>
      <c r="BZ70" s="380"/>
      <c r="CA70" s="380"/>
      <c r="CB70" s="380"/>
      <c r="CC70" s="380"/>
      <c r="CD70" s="380"/>
      <c r="CE70" s="380"/>
      <c r="CF70" s="380"/>
    </row>
    <row r="71" spans="1:84" ht="16.5" customHeight="1">
      <c r="B71" s="736">
        <f>Indexador!B42</f>
        <v>44531</v>
      </c>
      <c r="C71" s="758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30681.17</v>
      </c>
      <c r="D71" s="758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60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61"/>
      <c r="G71" s="758">
        <f>IFERROR(VLOOKUP(B71,transmissorapiscofins[#All],2,FALSE),0)</f>
        <v>0</v>
      </c>
      <c r="H71" s="1723"/>
      <c r="I71" s="9"/>
      <c r="J71" s="9"/>
      <c r="K71" s="9"/>
      <c r="L71" s="17"/>
      <c r="M71" s="564"/>
      <c r="N71" s="479"/>
      <c r="S71" s="380"/>
      <c r="T71" s="380"/>
      <c r="U71" s="380"/>
      <c r="V71" s="380"/>
      <c r="W71" s="380"/>
      <c r="X71" s="380"/>
      <c r="Y71" s="380"/>
      <c r="Z71" s="380"/>
      <c r="AA71" s="380"/>
      <c r="AB71" s="380"/>
      <c r="AC71" s="380"/>
      <c r="AD71" s="380"/>
      <c r="AE71" s="380"/>
      <c r="AF71" s="380"/>
      <c r="AG71" s="380"/>
      <c r="AH71" s="380"/>
      <c r="AI71" s="380"/>
      <c r="AJ71" s="380"/>
      <c r="AK71" s="380"/>
      <c r="AL71" s="380"/>
      <c r="AM71" s="380"/>
      <c r="AN71" s="380"/>
      <c r="AO71" s="380"/>
      <c r="AP71" s="380"/>
      <c r="AQ71" s="380"/>
      <c r="AR71" s="380"/>
      <c r="AS71" s="380"/>
      <c r="AT71" s="380"/>
      <c r="AU71" s="380"/>
      <c r="AV71" s="380"/>
      <c r="AW71" s="380"/>
      <c r="AX71" s="380"/>
      <c r="AY71" s="380"/>
      <c r="AZ71" s="380"/>
      <c r="BA71" s="380"/>
      <c r="BB71" s="380"/>
      <c r="BC71" s="380"/>
      <c r="BD71" s="380"/>
      <c r="BE71" s="380"/>
      <c r="BF71" s="380"/>
      <c r="BG71" s="380"/>
      <c r="BH71" s="380"/>
      <c r="BI71" s="380"/>
      <c r="BJ71" s="380"/>
      <c r="BK71" s="380"/>
      <c r="BL71" s="380"/>
      <c r="BM71" s="380"/>
      <c r="BN71" s="380"/>
      <c r="BO71" s="380"/>
      <c r="BP71" s="380"/>
      <c r="BQ71" s="380"/>
      <c r="BR71" s="380"/>
      <c r="BS71" s="380"/>
      <c r="BT71" s="380"/>
      <c r="BU71" s="380"/>
      <c r="BV71" s="380"/>
      <c r="BW71" s="380"/>
      <c r="BX71" s="380"/>
      <c r="BY71" s="380"/>
      <c r="BZ71" s="380"/>
      <c r="CA71" s="380"/>
      <c r="CB71" s="380"/>
      <c r="CC71" s="380"/>
      <c r="CD71" s="380"/>
      <c r="CE71" s="380"/>
      <c r="CF71" s="380"/>
    </row>
    <row r="72" spans="1:84" ht="16.5" customHeight="1">
      <c r="B72" s="736">
        <f>Indexador!B43</f>
        <v>44562</v>
      </c>
      <c r="C72" s="758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2441.8900000000003</v>
      </c>
      <c r="D72" s="758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60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-47761.630000000005</v>
      </c>
      <c r="F72" s="1761"/>
      <c r="G72" s="758">
        <f>IFERROR(VLOOKUP(B72,transmissorapiscofins[#All],2,FALSE),0)</f>
        <v>0</v>
      </c>
      <c r="H72" s="1723"/>
      <c r="J72" s="485" t="s">
        <v>781</v>
      </c>
      <c r="K72" s="485" t="s">
        <v>782</v>
      </c>
      <c r="L72" s="602" t="s">
        <v>782</v>
      </c>
      <c r="M72" s="602" t="s">
        <v>783</v>
      </c>
      <c r="N72" s="479"/>
      <c r="S72" s="380"/>
      <c r="T72" s="380"/>
      <c r="U72" s="380"/>
      <c r="V72" s="380"/>
      <c r="W72" s="380"/>
      <c r="X72" s="380"/>
      <c r="Y72" s="380"/>
      <c r="Z72" s="380"/>
      <c r="AA72" s="380"/>
      <c r="AB72" s="380"/>
      <c r="AC72" s="380"/>
      <c r="AD72" s="380"/>
      <c r="AE72" s="380"/>
      <c r="AF72" s="380"/>
      <c r="AG72" s="380"/>
      <c r="AH72" s="380"/>
      <c r="AI72" s="380"/>
      <c r="AJ72" s="380"/>
      <c r="AK72" s="380"/>
      <c r="AL72" s="380"/>
      <c r="AM72" s="380"/>
      <c r="AN72" s="380"/>
      <c r="AO72" s="380"/>
      <c r="AP72" s="380"/>
      <c r="AQ72" s="380"/>
      <c r="AR72" s="380"/>
      <c r="AS72" s="380"/>
      <c r="AT72" s="380"/>
      <c r="AU72" s="380"/>
      <c r="AV72" s="380"/>
      <c r="AW72" s="380"/>
      <c r="AX72" s="380"/>
      <c r="AY72" s="380"/>
      <c r="AZ72" s="380"/>
      <c r="BA72" s="380"/>
      <c r="BB72" s="380"/>
      <c r="BC72" s="380"/>
      <c r="BD72" s="380"/>
      <c r="BE72" s="380"/>
      <c r="BF72" s="380"/>
      <c r="BG72" s="380"/>
      <c r="BH72" s="380"/>
      <c r="BI72" s="380"/>
      <c r="BJ72" s="380"/>
      <c r="BK72" s="380"/>
      <c r="BL72" s="380"/>
      <c r="BM72" s="380"/>
      <c r="BN72" s="380"/>
      <c r="BO72" s="380"/>
      <c r="BP72" s="380"/>
      <c r="BQ72" s="380"/>
      <c r="BR72" s="380"/>
      <c r="BS72" s="380"/>
      <c r="BT72" s="380"/>
      <c r="BU72" s="380"/>
      <c r="BV72" s="380"/>
      <c r="BW72" s="380"/>
      <c r="BX72" s="380"/>
      <c r="BY72" s="380"/>
      <c r="BZ72" s="380"/>
      <c r="CA72" s="380"/>
      <c r="CB72" s="380"/>
      <c r="CC72" s="380"/>
      <c r="CD72" s="380"/>
      <c r="CE72" s="380"/>
      <c r="CF72" s="380"/>
    </row>
    <row r="73" spans="1:84" ht="16.5" customHeight="1">
      <c r="B73" s="736">
        <f>Indexador!B44</f>
        <v>44593</v>
      </c>
      <c r="C73" s="758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15072.04</v>
      </c>
      <c r="D73" s="758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60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-107897.97</v>
      </c>
      <c r="F73" s="1761"/>
      <c r="G73" s="758">
        <f>IFERROR(VLOOKUP(B73,transmissorapiscofins[#All],2,FALSE),0)</f>
        <v>0</v>
      </c>
      <c r="H73" s="1723"/>
      <c r="J73" s="1092" t="str">
        <f ca="1">IFERROR(VLOOKUP(TRUE,BD!D41:F56,3,FALSE),"todos os meses")</f>
        <v>todos os meses</v>
      </c>
      <c r="K73" s="1093" t="s">
        <v>784</v>
      </c>
      <c r="L73" s="1094">
        <f ca="1">IF(Energia!F23*2/3=0,0.0000001,Energia!F23*2/3)</f>
        <v>14724398.140710754</v>
      </c>
      <c r="M73" s="1095">
        <f ca="1">IFERROR(-LnkTXTBandeira/Energia!F23," ")</f>
        <v>0</v>
      </c>
      <c r="N73" s="479"/>
      <c r="S73" s="380"/>
      <c r="T73" s="380"/>
      <c r="U73" s="380"/>
      <c r="V73" s="380"/>
      <c r="W73" s="380"/>
      <c r="X73" s="380"/>
      <c r="Y73" s="380"/>
      <c r="Z73" s="380"/>
      <c r="AA73" s="380"/>
      <c r="AB73" s="380"/>
      <c r="AC73" s="380"/>
      <c r="AD73" s="380"/>
      <c r="AE73" s="380"/>
      <c r="AF73" s="380"/>
      <c r="AG73" s="380"/>
      <c r="AH73" s="380"/>
      <c r="AI73" s="380"/>
      <c r="AJ73" s="380"/>
      <c r="AK73" s="380"/>
      <c r="AL73" s="380"/>
      <c r="AM73" s="380"/>
      <c r="AN73" s="380"/>
      <c r="AO73" s="380"/>
      <c r="AP73" s="380"/>
      <c r="AQ73" s="380"/>
      <c r="AR73" s="380"/>
      <c r="AS73" s="380"/>
      <c r="AT73" s="380"/>
      <c r="AU73" s="380"/>
      <c r="AV73" s="380"/>
      <c r="AW73" s="380"/>
      <c r="AX73" s="380"/>
      <c r="AY73" s="380"/>
      <c r="AZ73" s="380"/>
      <c r="BA73" s="380"/>
      <c r="BB73" s="380"/>
      <c r="BC73" s="380"/>
      <c r="BD73" s="380"/>
      <c r="BE73" s="380"/>
      <c r="BF73" s="380"/>
      <c r="BG73" s="380"/>
      <c r="BH73" s="380"/>
      <c r="BI73" s="380"/>
      <c r="BJ73" s="380"/>
      <c r="BK73" s="380"/>
      <c r="BL73" s="380"/>
      <c r="BM73" s="380"/>
      <c r="BN73" s="380"/>
      <c r="BO73" s="380"/>
      <c r="BP73" s="380"/>
      <c r="BQ73" s="380"/>
      <c r="BR73" s="380"/>
      <c r="BS73" s="380"/>
      <c r="BT73" s="380"/>
      <c r="BU73" s="380"/>
      <c r="BV73" s="380"/>
      <c r="BW73" s="380"/>
      <c r="BX73" s="380"/>
      <c r="BY73" s="380"/>
      <c r="BZ73" s="380"/>
      <c r="CA73" s="380"/>
      <c r="CB73" s="380"/>
      <c r="CC73" s="380"/>
      <c r="CD73" s="380"/>
      <c r="CE73" s="380"/>
      <c r="CF73" s="380"/>
    </row>
    <row r="74" spans="1:84">
      <c r="B74" s="736">
        <f>Indexador!B45</f>
        <v>44621</v>
      </c>
      <c r="C74" s="758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67326.45</v>
      </c>
      <c r="D74" s="758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60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-31670.19</v>
      </c>
      <c r="F74" s="1761"/>
      <c r="G74" s="758">
        <f>IFERROR(VLOOKUP(B74,transmissorapiscofins[#All],2,FALSE),0)</f>
        <v>0</v>
      </c>
      <c r="H74" s="1723"/>
      <c r="I74" s="9"/>
      <c r="J74" s="9"/>
      <c r="K74" s="9"/>
      <c r="L74" s="17"/>
      <c r="M74" s="564"/>
      <c r="N74" s="479"/>
      <c r="S74" s="380"/>
      <c r="T74" s="380"/>
      <c r="U74" s="380"/>
      <c r="V74" s="380"/>
      <c r="W74" s="380"/>
      <c r="X74" s="380"/>
      <c r="Y74" s="380"/>
      <c r="Z74" s="380"/>
      <c r="AA74" s="380"/>
      <c r="AB74" s="380"/>
      <c r="AC74" s="380"/>
      <c r="AD74" s="380"/>
      <c r="AE74" s="380"/>
      <c r="AF74" s="380"/>
      <c r="AG74" s="380"/>
      <c r="AH74" s="380"/>
      <c r="AI74" s="380"/>
      <c r="AJ74" s="380"/>
      <c r="AK74" s="380"/>
      <c r="AL74" s="380"/>
      <c r="AM74" s="380"/>
      <c r="AN74" s="380"/>
      <c r="AO74" s="380"/>
      <c r="AP74" s="380"/>
      <c r="AQ74" s="380"/>
      <c r="AR74" s="380"/>
      <c r="AS74" s="380"/>
      <c r="AT74" s="380"/>
      <c r="AU74" s="380"/>
      <c r="AV74" s="380"/>
      <c r="AW74" s="380"/>
      <c r="AX74" s="380"/>
      <c r="AY74" s="380"/>
      <c r="AZ74" s="380"/>
      <c r="BA74" s="380"/>
      <c r="BB74" s="380"/>
      <c r="BC74" s="380"/>
      <c r="BD74" s="380"/>
      <c r="BE74" s="380"/>
      <c r="BF74" s="380"/>
      <c r="BG74" s="380"/>
      <c r="BH74" s="380"/>
      <c r="BI74" s="380"/>
      <c r="BJ74" s="380"/>
      <c r="BK74" s="380"/>
      <c r="BL74" s="380"/>
      <c r="BM74" s="380"/>
      <c r="BN74" s="380"/>
      <c r="BO74" s="380"/>
      <c r="BP74" s="380"/>
      <c r="BQ74" s="380"/>
      <c r="BR74" s="380"/>
      <c r="BS74" s="380"/>
      <c r="BT74" s="380"/>
      <c r="BU74" s="380"/>
      <c r="BV74" s="380"/>
      <c r="BW74" s="380"/>
      <c r="BX74" s="380"/>
      <c r="BY74" s="380"/>
      <c r="BZ74" s="380"/>
      <c r="CA74" s="380"/>
      <c r="CB74" s="380"/>
      <c r="CC74" s="380"/>
      <c r="CD74" s="380"/>
      <c r="CE74" s="380"/>
      <c r="CF74" s="380"/>
    </row>
    <row r="75" spans="1:84" ht="16.5" customHeight="1">
      <c r="B75" s="736">
        <f>Indexador!B46</f>
        <v>44652</v>
      </c>
      <c r="C75" s="758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52625.59</v>
      </c>
      <c r="D75" s="758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60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-8116.6900000000005</v>
      </c>
      <c r="F75" s="1761"/>
      <c r="G75" s="758">
        <f>IFERROR(VLOOKUP(B75,transmissorapiscofins[#All],2,FALSE),0)</f>
        <v>0</v>
      </c>
      <c r="H75" s="1723"/>
      <c r="I75" s="9"/>
      <c r="J75" s="9"/>
      <c r="K75" s="9"/>
      <c r="L75" s="17"/>
      <c r="M75" s="564"/>
      <c r="N75" s="479"/>
      <c r="S75" s="380"/>
      <c r="T75" s="380"/>
      <c r="U75" s="380"/>
      <c r="V75" s="380"/>
      <c r="W75" s="380"/>
      <c r="X75" s="380"/>
      <c r="Y75" s="380"/>
      <c r="Z75" s="380"/>
      <c r="AA75" s="380"/>
      <c r="AB75" s="380"/>
      <c r="AC75" s="380"/>
      <c r="AD75" s="380"/>
      <c r="AE75" s="380"/>
      <c r="AF75" s="380"/>
      <c r="AG75" s="380"/>
      <c r="AH75" s="380"/>
      <c r="AI75" s="380"/>
      <c r="AJ75" s="380"/>
      <c r="AK75" s="380"/>
      <c r="AL75" s="380"/>
      <c r="AM75" s="380"/>
      <c r="AN75" s="380"/>
      <c r="AO75" s="380"/>
      <c r="AP75" s="380"/>
      <c r="AQ75" s="380"/>
      <c r="AR75" s="380"/>
      <c r="AS75" s="380"/>
      <c r="AT75" s="380"/>
      <c r="AU75" s="380"/>
      <c r="AV75" s="380"/>
      <c r="AW75" s="380"/>
      <c r="AX75" s="380"/>
      <c r="AY75" s="380"/>
      <c r="AZ75" s="380"/>
      <c r="BA75" s="380"/>
      <c r="BB75" s="380"/>
      <c r="BC75" s="380"/>
      <c r="BD75" s="380"/>
      <c r="BE75" s="380"/>
      <c r="BF75" s="380"/>
      <c r="BG75" s="380"/>
      <c r="BH75" s="380"/>
      <c r="BI75" s="380"/>
      <c r="BJ75" s="380"/>
      <c r="BK75" s="380"/>
      <c r="BL75" s="380"/>
      <c r="BM75" s="380"/>
      <c r="BN75" s="380"/>
      <c r="BO75" s="380"/>
      <c r="BP75" s="380"/>
      <c r="BQ75" s="380"/>
      <c r="BR75" s="380"/>
      <c r="BS75" s="380"/>
      <c r="BT75" s="380"/>
      <c r="BU75" s="380"/>
      <c r="BV75" s="380"/>
      <c r="BW75" s="380"/>
      <c r="BX75" s="380"/>
      <c r="BY75" s="380"/>
      <c r="BZ75" s="380"/>
      <c r="CA75" s="380"/>
      <c r="CB75" s="380"/>
      <c r="CC75" s="380"/>
      <c r="CD75" s="380"/>
      <c r="CE75" s="380"/>
      <c r="CF75" s="380"/>
    </row>
    <row r="76" spans="1:84">
      <c r="B76" s="736">
        <f>Indexador!B47</f>
        <v>44682</v>
      </c>
      <c r="C76" s="758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52517.57</v>
      </c>
      <c r="D76" s="758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60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-19069.22</v>
      </c>
      <c r="F76" s="1761"/>
      <c r="G76" s="758">
        <f>IFERROR(VLOOKUP(B76,transmissorapiscofins[#All],2,FALSE),0)</f>
        <v>0</v>
      </c>
      <c r="H76" s="1723"/>
      <c r="I76" s="9"/>
      <c r="J76" s="9"/>
      <c r="K76" s="9"/>
      <c r="L76" s="17"/>
      <c r="M76" s="564"/>
      <c r="N76" s="479"/>
      <c r="S76" s="380"/>
      <c r="T76" s="380"/>
      <c r="U76" s="380"/>
      <c r="V76" s="380"/>
      <c r="W76" s="380"/>
      <c r="X76" s="380"/>
      <c r="Y76" s="380"/>
      <c r="Z76" s="380"/>
      <c r="AA76" s="380"/>
      <c r="AB76" s="380"/>
      <c r="AC76" s="380"/>
      <c r="AD76" s="380"/>
      <c r="AE76" s="380"/>
      <c r="AF76" s="380"/>
      <c r="AG76" s="380"/>
      <c r="AH76" s="380"/>
      <c r="AI76" s="380"/>
      <c r="AJ76" s="380"/>
      <c r="AK76" s="380"/>
      <c r="AL76" s="380"/>
      <c r="AM76" s="380"/>
      <c r="AN76" s="380"/>
      <c r="AO76" s="380"/>
      <c r="AP76" s="380"/>
      <c r="AQ76" s="380"/>
      <c r="AR76" s="380"/>
      <c r="AS76" s="380"/>
      <c r="AT76" s="380"/>
      <c r="AU76" s="380"/>
      <c r="AV76" s="380"/>
      <c r="AW76" s="380"/>
      <c r="AX76" s="380"/>
      <c r="AY76" s="380"/>
      <c r="AZ76" s="380"/>
      <c r="BA76" s="380"/>
      <c r="BB76" s="380"/>
      <c r="BC76" s="380"/>
      <c r="BD76" s="380"/>
      <c r="BE76" s="380"/>
      <c r="BF76" s="380"/>
      <c r="BG76" s="380"/>
      <c r="BH76" s="380"/>
      <c r="BI76" s="380"/>
      <c r="BJ76" s="380"/>
      <c r="BK76" s="380"/>
      <c r="BL76" s="380"/>
      <c r="BM76" s="380"/>
      <c r="BN76" s="380"/>
      <c r="BO76" s="380"/>
      <c r="BP76" s="380"/>
      <c r="BQ76" s="380"/>
      <c r="BR76" s="380"/>
      <c r="BS76" s="380"/>
      <c r="BT76" s="380"/>
      <c r="BU76" s="380"/>
      <c r="BV76" s="380"/>
      <c r="BW76" s="380"/>
      <c r="BX76" s="380"/>
      <c r="BY76" s="380"/>
      <c r="BZ76" s="380"/>
      <c r="CA76" s="380"/>
      <c r="CB76" s="380"/>
      <c r="CC76" s="380"/>
      <c r="CD76" s="380"/>
      <c r="CE76" s="380"/>
      <c r="CF76" s="380"/>
    </row>
    <row r="77" spans="1:84" ht="16.5" thickBot="1">
      <c r="B77" s="737">
        <f>Indexador!B48</f>
        <v>44713</v>
      </c>
      <c r="C77" s="760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0</v>
      </c>
      <c r="D77" s="864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63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64"/>
      <c r="G77" s="864">
        <f>IFERROR(VLOOKUP(B77,transmissorapiscofins[#All],2,FALSE),0)</f>
        <v>0</v>
      </c>
      <c r="H77" s="1724"/>
      <c r="I77" s="580">
        <f>SUM(D65:D76)+D76</f>
        <v>0</v>
      </c>
      <c r="J77" s="9"/>
      <c r="K77" s="9"/>
      <c r="L77" s="17"/>
      <c r="M77" s="564"/>
      <c r="O77" s="9"/>
      <c r="R77" s="380"/>
      <c r="S77" s="380"/>
      <c r="T77" s="380"/>
      <c r="U77" s="380"/>
      <c r="V77" s="380"/>
      <c r="W77" s="380"/>
      <c r="X77" s="380"/>
      <c r="Y77" s="380"/>
      <c r="Z77" s="380"/>
      <c r="AA77" s="380"/>
      <c r="AB77" s="380"/>
      <c r="AC77" s="380"/>
      <c r="AD77" s="380"/>
      <c r="AE77" s="380"/>
      <c r="AF77" s="380"/>
      <c r="AG77" s="380"/>
      <c r="AH77" s="380"/>
      <c r="AI77" s="380"/>
      <c r="AJ77" s="380"/>
      <c r="AK77" s="380"/>
      <c r="AL77" s="380"/>
      <c r="AM77" s="380"/>
      <c r="AN77" s="380"/>
      <c r="AO77" s="380"/>
      <c r="AP77" s="380"/>
      <c r="AQ77" s="380"/>
      <c r="AR77" s="380"/>
      <c r="AS77" s="380"/>
      <c r="AT77" s="380"/>
      <c r="AU77" s="380"/>
      <c r="AV77" s="380"/>
      <c r="AW77" s="380"/>
      <c r="AX77" s="380"/>
      <c r="AY77" s="380"/>
      <c r="AZ77" s="380"/>
      <c r="BA77" s="380"/>
      <c r="BB77" s="380"/>
      <c r="BC77" s="380"/>
      <c r="BD77" s="380"/>
      <c r="BE77" s="380"/>
      <c r="BF77" s="380"/>
      <c r="BG77" s="380"/>
      <c r="BH77" s="380"/>
      <c r="BI77" s="380"/>
      <c r="BJ77" s="380"/>
      <c r="BK77" s="380"/>
      <c r="BL77" s="380"/>
      <c r="BM77" s="380"/>
      <c r="BN77" s="380"/>
      <c r="BO77" s="380"/>
      <c r="BP77" s="380"/>
      <c r="BQ77" s="380"/>
      <c r="BR77" s="380"/>
      <c r="BS77" s="380"/>
      <c r="BT77" s="380"/>
      <c r="BU77" s="380"/>
      <c r="BV77" s="380"/>
      <c r="BW77" s="380"/>
      <c r="BX77" s="380"/>
      <c r="BY77" s="380"/>
      <c r="BZ77" s="380"/>
      <c r="CA77" s="380"/>
      <c r="CB77" s="380"/>
      <c r="CC77" s="380"/>
      <c r="CD77" s="380"/>
      <c r="CE77" s="380"/>
      <c r="CF77" s="380"/>
    </row>
    <row r="78" spans="1:84">
      <c r="B78" s="9"/>
      <c r="C78" s="9"/>
      <c r="D78" s="9"/>
      <c r="E78" s="9"/>
      <c r="F78" s="9"/>
      <c r="G78" s="9"/>
      <c r="H78" s="9"/>
      <c r="I78" s="9"/>
      <c r="J78" s="580"/>
      <c r="K78" s="9"/>
      <c r="L78" s="17"/>
      <c r="M78" s="542"/>
      <c r="O78" s="9"/>
      <c r="R78" s="380"/>
      <c r="S78" s="380"/>
      <c r="T78" s="380"/>
      <c r="U78" s="380"/>
      <c r="V78" s="380"/>
      <c r="W78" s="380"/>
      <c r="X78" s="380"/>
      <c r="Y78" s="380"/>
      <c r="Z78" s="380"/>
      <c r="AA78" s="380"/>
      <c r="AB78" s="380"/>
      <c r="AC78" s="380"/>
      <c r="AD78" s="380"/>
      <c r="AE78" s="380"/>
      <c r="AF78" s="380"/>
      <c r="AG78" s="380"/>
      <c r="AH78" s="380"/>
      <c r="AI78" s="380"/>
      <c r="AJ78" s="380"/>
      <c r="AK78" s="380"/>
      <c r="AL78" s="380"/>
      <c r="AM78" s="380"/>
      <c r="AN78" s="380"/>
      <c r="AO78" s="380"/>
      <c r="AP78" s="380"/>
      <c r="AQ78" s="380"/>
      <c r="AR78" s="380"/>
      <c r="AS78" s="380"/>
      <c r="AT78" s="380"/>
      <c r="AU78" s="380"/>
      <c r="AV78" s="380"/>
      <c r="AW78" s="380"/>
      <c r="AX78" s="380"/>
      <c r="AY78" s="380"/>
      <c r="AZ78" s="380"/>
      <c r="BA78" s="380"/>
      <c r="BB78" s="380"/>
      <c r="BC78" s="380"/>
      <c r="BD78" s="380"/>
      <c r="BE78" s="380"/>
      <c r="BF78" s="380"/>
      <c r="BG78" s="380"/>
      <c r="BH78" s="380"/>
      <c r="BI78" s="380"/>
      <c r="BJ78" s="380"/>
      <c r="BK78" s="380"/>
      <c r="BL78" s="380"/>
      <c r="BM78" s="380"/>
      <c r="BN78" s="380"/>
      <c r="BO78" s="380"/>
      <c r="BP78" s="380"/>
      <c r="BQ78" s="380"/>
      <c r="BR78" s="380"/>
      <c r="BS78" s="380"/>
      <c r="BT78" s="380"/>
      <c r="BU78" s="380"/>
      <c r="BV78" s="380"/>
      <c r="BW78" s="380"/>
      <c r="BX78" s="380"/>
      <c r="BY78" s="380"/>
      <c r="BZ78" s="380"/>
      <c r="CA78" s="380"/>
      <c r="CB78" s="380"/>
      <c r="CC78" s="380"/>
      <c r="CD78" s="380"/>
      <c r="CE78" s="380"/>
      <c r="CF78" s="380"/>
    </row>
    <row r="79" spans="1:84" ht="17.25" thickBot="1">
      <c r="F79" s="526"/>
      <c r="G79" s="527"/>
      <c r="H79" s="528"/>
      <c r="I79" s="522"/>
      <c r="J79" s="522"/>
      <c r="K79" s="523"/>
      <c r="L79" s="785"/>
      <c r="M79" s="763"/>
      <c r="O79" s="9"/>
      <c r="R79" s="380"/>
      <c r="S79" s="380"/>
      <c r="T79" s="380"/>
      <c r="U79" s="380"/>
      <c r="V79" s="380"/>
      <c r="W79" s="380"/>
      <c r="X79" s="380"/>
      <c r="Y79" s="380"/>
      <c r="Z79" s="380"/>
      <c r="AA79" s="380"/>
      <c r="AB79" s="380"/>
      <c r="AC79" s="380"/>
      <c r="AD79" s="380"/>
      <c r="AE79" s="380"/>
      <c r="AF79" s="380"/>
      <c r="AG79" s="380"/>
      <c r="AH79" s="380"/>
      <c r="AI79" s="380"/>
      <c r="AJ79" s="380"/>
      <c r="AK79" s="380"/>
      <c r="AL79" s="380"/>
      <c r="AM79" s="380"/>
      <c r="AN79" s="380"/>
      <c r="AO79" s="380"/>
      <c r="AP79" s="380"/>
      <c r="AQ79" s="380"/>
      <c r="AR79" s="380"/>
      <c r="AS79" s="380"/>
      <c r="AT79" s="380"/>
      <c r="AU79" s="380"/>
      <c r="AV79" s="380"/>
      <c r="AW79" s="380"/>
      <c r="AX79" s="380"/>
      <c r="AY79" s="380"/>
      <c r="AZ79" s="380"/>
      <c r="BA79" s="380"/>
      <c r="BB79" s="380"/>
      <c r="BC79" s="380"/>
      <c r="BD79" s="380"/>
      <c r="BE79" s="380"/>
      <c r="BF79" s="380"/>
      <c r="BG79" s="380"/>
      <c r="BH79" s="380"/>
      <c r="BI79" s="380"/>
      <c r="BJ79" s="380"/>
      <c r="BK79" s="380"/>
      <c r="BL79" s="380"/>
      <c r="BM79" s="380"/>
      <c r="BN79" s="380"/>
      <c r="BO79" s="380"/>
      <c r="BP79" s="380"/>
      <c r="BQ79" s="380"/>
      <c r="BR79" s="380"/>
      <c r="BS79" s="380"/>
      <c r="BT79" s="380"/>
      <c r="BU79" s="380"/>
      <c r="BV79" s="380"/>
      <c r="BW79" s="380"/>
      <c r="BX79" s="380"/>
      <c r="BY79" s="380"/>
      <c r="BZ79" s="380"/>
      <c r="CA79" s="380"/>
      <c r="CB79" s="380"/>
      <c r="CC79" s="380"/>
      <c r="CD79" s="380"/>
      <c r="CE79" s="380"/>
      <c r="CF79" s="380"/>
    </row>
    <row r="80" spans="1:84" ht="26.25" thickBot="1">
      <c r="A80" s="574"/>
      <c r="B80" s="538" t="s">
        <v>785</v>
      </c>
      <c r="C80" s="549"/>
      <c r="D80" s="550"/>
      <c r="E80" s="550"/>
      <c r="F80" s="550"/>
      <c r="G80" s="530"/>
      <c r="H80" s="531"/>
      <c r="I80" s="550"/>
      <c r="J80" s="551"/>
      <c r="K80" s="552"/>
      <c r="L80" s="784"/>
      <c r="M80" s="575"/>
      <c r="O80" s="9"/>
      <c r="R80" s="380"/>
      <c r="S80" s="380"/>
      <c r="T80" s="380"/>
      <c r="U80" s="380"/>
      <c r="V80" s="380"/>
      <c r="W80" s="380"/>
      <c r="X80" s="380"/>
      <c r="Y80" s="380"/>
      <c r="Z80" s="380"/>
      <c r="AA80" s="380"/>
      <c r="AB80" s="380"/>
      <c r="AC80" s="380"/>
      <c r="AD80" s="380"/>
      <c r="AE80" s="380"/>
      <c r="AF80" s="380"/>
      <c r="AG80" s="380"/>
      <c r="AH80" s="380"/>
      <c r="AI80" s="380"/>
      <c r="AJ80" s="380"/>
      <c r="AK80" s="380"/>
      <c r="AL80" s="380"/>
      <c r="AM80" s="380"/>
      <c r="AN80" s="380"/>
      <c r="AO80" s="380"/>
      <c r="AP80" s="380"/>
      <c r="AQ80" s="380"/>
      <c r="AR80" s="380"/>
      <c r="AS80" s="380"/>
      <c r="AT80" s="380"/>
      <c r="AU80" s="380"/>
      <c r="AV80" s="380"/>
      <c r="AW80" s="380"/>
      <c r="AX80" s="380"/>
      <c r="AY80" s="380"/>
      <c r="AZ80" s="380"/>
      <c r="BA80" s="380"/>
      <c r="BB80" s="380"/>
      <c r="BC80" s="380"/>
      <c r="BD80" s="380"/>
      <c r="BE80" s="380"/>
      <c r="BF80" s="380"/>
      <c r="BG80" s="380"/>
      <c r="BH80" s="380"/>
      <c r="BI80" s="380"/>
      <c r="BJ80" s="380"/>
      <c r="BK80" s="380"/>
      <c r="BL80" s="380"/>
      <c r="BM80" s="380"/>
      <c r="BN80" s="380"/>
      <c r="BO80" s="380"/>
      <c r="BP80" s="380"/>
      <c r="BQ80" s="380"/>
      <c r="BR80" s="380"/>
      <c r="BS80" s="380"/>
      <c r="BT80" s="380"/>
      <c r="BU80" s="380"/>
      <c r="BV80" s="380"/>
      <c r="BW80" s="380"/>
      <c r="BX80" s="380"/>
      <c r="BY80" s="380"/>
      <c r="BZ80" s="380"/>
      <c r="CA80" s="380"/>
      <c r="CB80" s="380"/>
      <c r="CC80" s="380"/>
      <c r="CD80" s="380"/>
      <c r="CE80" s="380"/>
      <c r="CF80" s="380"/>
    </row>
    <row r="81" spans="2:84">
      <c r="L81" s="786"/>
      <c r="M81" s="542"/>
      <c r="O81" s="9"/>
      <c r="R81" s="380"/>
      <c r="S81" s="380"/>
      <c r="T81" s="380"/>
      <c r="U81" s="380"/>
      <c r="V81" s="380"/>
      <c r="W81" s="380"/>
      <c r="X81" s="380"/>
      <c r="Y81" s="380"/>
      <c r="Z81" s="380"/>
      <c r="AA81" s="380"/>
      <c r="AB81" s="380"/>
      <c r="AC81" s="380"/>
      <c r="AD81" s="380"/>
      <c r="AE81" s="380"/>
      <c r="AF81" s="380"/>
      <c r="AG81" s="380"/>
      <c r="AH81" s="380"/>
      <c r="AI81" s="380"/>
      <c r="AJ81" s="380"/>
      <c r="AK81" s="380"/>
      <c r="AL81" s="380"/>
      <c r="AM81" s="380"/>
      <c r="AN81" s="380"/>
      <c r="AO81" s="380"/>
      <c r="AP81" s="380"/>
      <c r="AQ81" s="380"/>
      <c r="AR81" s="380"/>
      <c r="AS81" s="380"/>
      <c r="AT81" s="380"/>
      <c r="AU81" s="380"/>
      <c r="AV81" s="380"/>
      <c r="AW81" s="380"/>
      <c r="AX81" s="380"/>
      <c r="AY81" s="380"/>
      <c r="AZ81" s="380"/>
      <c r="BA81" s="380"/>
      <c r="BB81" s="380"/>
      <c r="BC81" s="380"/>
      <c r="BD81" s="380"/>
      <c r="BE81" s="380"/>
      <c r="BF81" s="380"/>
      <c r="BG81" s="380"/>
      <c r="BH81" s="380"/>
      <c r="BI81" s="380"/>
      <c r="BJ81" s="380"/>
      <c r="BK81" s="380"/>
      <c r="BL81" s="380"/>
      <c r="BM81" s="380"/>
      <c r="BN81" s="380"/>
      <c r="BO81" s="380"/>
      <c r="BP81" s="380"/>
      <c r="BQ81" s="380"/>
      <c r="BR81" s="380"/>
      <c r="BS81" s="380"/>
      <c r="BT81" s="380"/>
      <c r="BU81" s="380"/>
      <c r="BV81" s="380"/>
      <c r="BW81" s="380"/>
      <c r="BX81" s="380"/>
      <c r="BY81" s="380"/>
      <c r="BZ81" s="380"/>
      <c r="CA81" s="380"/>
      <c r="CB81" s="380"/>
      <c r="CC81" s="380"/>
      <c r="CD81" s="380"/>
      <c r="CE81" s="380"/>
      <c r="CF81" s="380"/>
    </row>
    <row r="82" spans="2:84" ht="16.5" customHeight="1">
      <c r="B82" s="584" t="s">
        <v>786</v>
      </c>
      <c r="C82" s="1096" t="str">
        <f>H5</f>
        <v>48500.004968/2021-33</v>
      </c>
      <c r="D82" s="1097"/>
      <c r="E82" s="1097"/>
      <c r="F82" s="1097"/>
      <c r="H82" s="563"/>
      <c r="L82" s="559"/>
      <c r="M82" s="542"/>
      <c r="O82" s="9"/>
      <c r="R82" s="380"/>
      <c r="S82" s="380"/>
      <c r="T82" s="380"/>
      <c r="U82" s="380"/>
      <c r="V82" s="380"/>
      <c r="W82" s="380"/>
      <c r="X82" s="380"/>
      <c r="Y82" s="380"/>
      <c r="Z82" s="380"/>
      <c r="AA82" s="380"/>
      <c r="AB82" s="380"/>
      <c r="AC82" s="380"/>
      <c r="AD82" s="380"/>
      <c r="AE82" s="380"/>
      <c r="AF82" s="380"/>
      <c r="AG82" s="380"/>
      <c r="AH82" s="380"/>
      <c r="AI82" s="380"/>
      <c r="AJ82" s="380"/>
      <c r="AK82" s="380"/>
      <c r="AL82" s="380"/>
      <c r="AM82" s="380"/>
      <c r="AN82" s="380"/>
      <c r="AO82" s="380"/>
      <c r="AP82" s="380"/>
      <c r="AQ82" s="380"/>
      <c r="AR82" s="380"/>
      <c r="AS82" s="380"/>
      <c r="AT82" s="380"/>
      <c r="AU82" s="380"/>
      <c r="AV82" s="380"/>
      <c r="AW82" s="380"/>
      <c r="AX82" s="380"/>
      <c r="AY82" s="380"/>
      <c r="AZ82" s="380"/>
      <c r="BA82" s="380"/>
      <c r="BB82" s="380"/>
      <c r="BC82" s="380"/>
      <c r="BD82" s="380"/>
      <c r="BE82" s="380"/>
      <c r="BF82" s="380"/>
      <c r="BG82" s="380"/>
      <c r="BH82" s="380"/>
      <c r="BI82" s="380"/>
      <c r="BJ82" s="380"/>
      <c r="BK82" s="380"/>
      <c r="BL82" s="380"/>
      <c r="BM82" s="380"/>
      <c r="BN82" s="380"/>
      <c r="BO82" s="380"/>
      <c r="BP82" s="380"/>
      <c r="BQ82" s="380"/>
      <c r="BR82" s="380"/>
      <c r="BS82" s="380"/>
      <c r="BT82" s="380"/>
      <c r="BU82" s="380"/>
      <c r="BV82" s="380"/>
      <c r="BW82" s="380"/>
      <c r="BX82" s="380"/>
      <c r="BY82" s="380"/>
      <c r="BZ82" s="380"/>
      <c r="CA82" s="380"/>
      <c r="CB82" s="380"/>
      <c r="CC82" s="380"/>
      <c r="CD82" s="380"/>
      <c r="CE82" s="380"/>
      <c r="CF82" s="380"/>
    </row>
    <row r="83" spans="2:84">
      <c r="B83" s="766" t="s">
        <v>787</v>
      </c>
      <c r="C83" s="1098">
        <f>VLOOKUP(LnkTXTSigla,Informacoes[],23,FALSE)</f>
        <v>2917</v>
      </c>
      <c r="D83" s="1099"/>
      <c r="E83" s="1099"/>
      <c r="F83" s="1099"/>
      <c r="G83" s="380"/>
      <c r="H83" s="563"/>
      <c r="I83" s="779"/>
      <c r="L83" s="559"/>
      <c r="M83" s="542"/>
      <c r="O83" s="9"/>
      <c r="R83" s="380"/>
      <c r="S83" s="380"/>
      <c r="T83" s="380"/>
      <c r="U83" s="380"/>
      <c r="V83" s="380"/>
      <c r="W83" s="380"/>
      <c r="X83" s="380"/>
      <c r="Y83" s="380"/>
      <c r="Z83" s="380"/>
      <c r="AA83" s="380"/>
      <c r="AB83" s="380"/>
      <c r="AC83" s="380"/>
      <c r="AD83" s="380"/>
      <c r="AE83" s="380"/>
      <c r="AF83" s="380"/>
      <c r="AG83" s="380"/>
      <c r="AH83" s="380"/>
      <c r="AI83" s="380"/>
      <c r="AJ83" s="380"/>
      <c r="AK83" s="380"/>
      <c r="AL83" s="380"/>
      <c r="AM83" s="380"/>
      <c r="AN83" s="380"/>
      <c r="AO83" s="380"/>
      <c r="AP83" s="380"/>
      <c r="AQ83" s="380"/>
      <c r="AR83" s="380"/>
      <c r="AS83" s="380"/>
      <c r="AT83" s="380"/>
      <c r="AU83" s="380"/>
      <c r="AV83" s="380"/>
      <c r="AW83" s="380"/>
      <c r="AX83" s="380"/>
      <c r="AY83" s="380"/>
      <c r="AZ83" s="380"/>
      <c r="BA83" s="380"/>
      <c r="BB83" s="380"/>
      <c r="BC83" s="380"/>
      <c r="BD83" s="380"/>
      <c r="BE83" s="380"/>
      <c r="BF83" s="380"/>
      <c r="BG83" s="380"/>
      <c r="BH83" s="380"/>
      <c r="BI83" s="380"/>
      <c r="BJ83" s="380"/>
      <c r="BK83" s="380"/>
      <c r="BL83" s="380"/>
      <c r="BM83" s="380"/>
      <c r="BN83" s="380"/>
      <c r="BO83" s="380"/>
      <c r="BP83" s="380"/>
      <c r="BQ83" s="380"/>
      <c r="BR83" s="380"/>
      <c r="BS83" s="380"/>
      <c r="BT83" s="380"/>
      <c r="BU83" s="380"/>
      <c r="BV83" s="380"/>
      <c r="BW83" s="380"/>
      <c r="BX83" s="380"/>
      <c r="BY83" s="380"/>
      <c r="BZ83" s="380"/>
      <c r="CA83" s="380"/>
      <c r="CB83" s="380"/>
      <c r="CC83" s="380"/>
      <c r="CD83" s="380"/>
      <c r="CE83" s="380"/>
      <c r="CF83" s="380"/>
    </row>
    <row r="84" spans="2:84">
      <c r="B84" s="579" t="s">
        <v>788</v>
      </c>
      <c r="C84" s="613" t="str">
        <f>'Informações Gerais'!X49</f>
        <v>27 de abril de 2021</v>
      </c>
      <c r="D84" s="534"/>
      <c r="E84" s="534"/>
      <c r="F84" s="534"/>
      <c r="G84" s="380"/>
      <c r="H84" s="563"/>
      <c r="L84" s="559"/>
      <c r="M84" s="542"/>
      <c r="O84" s="9"/>
      <c r="R84" s="380"/>
      <c r="S84" s="380"/>
      <c r="T84" s="380"/>
      <c r="U84" s="380"/>
      <c r="V84" s="380"/>
      <c r="W84" s="380"/>
      <c r="X84" s="380"/>
      <c r="Y84" s="380"/>
      <c r="Z84" s="380"/>
      <c r="AA84" s="380"/>
      <c r="AB84" s="380"/>
      <c r="AC84" s="380"/>
      <c r="AD84" s="380"/>
      <c r="AE84" s="380"/>
      <c r="AF84" s="380"/>
      <c r="AG84" s="380"/>
      <c r="AH84" s="380"/>
      <c r="AI84" s="380"/>
      <c r="AJ84" s="380"/>
      <c r="AK84" s="380"/>
      <c r="AL84" s="380"/>
      <c r="AM84" s="380"/>
      <c r="AN84" s="380"/>
      <c r="AO84" s="380"/>
      <c r="AP84" s="380"/>
      <c r="AQ84" s="380"/>
      <c r="AR84" s="380"/>
      <c r="AS84" s="380"/>
      <c r="AT84" s="380"/>
      <c r="AU84" s="380"/>
      <c r="AV84" s="380"/>
      <c r="AW84" s="380"/>
      <c r="AX84" s="380"/>
      <c r="AY84" s="380"/>
      <c r="AZ84" s="380"/>
      <c r="BA84" s="380"/>
      <c r="BB84" s="380"/>
      <c r="BC84" s="380"/>
      <c r="BD84" s="380"/>
      <c r="BE84" s="380"/>
      <c r="BF84" s="380"/>
      <c r="BG84" s="380"/>
      <c r="BH84" s="380"/>
      <c r="BI84" s="380"/>
      <c r="BJ84" s="380"/>
      <c r="BK84" s="380"/>
      <c r="BL84" s="380"/>
      <c r="BM84" s="380"/>
      <c r="BN84" s="380"/>
      <c r="BO84" s="380"/>
      <c r="BP84" s="380"/>
      <c r="BQ84" s="380"/>
      <c r="BR84" s="380"/>
      <c r="BS84" s="380"/>
      <c r="BT84" s="380"/>
      <c r="BU84" s="380"/>
      <c r="BV84" s="380"/>
      <c r="BW84" s="380"/>
      <c r="BX84" s="380"/>
      <c r="BY84" s="380"/>
      <c r="BZ84" s="380"/>
      <c r="CA84" s="380"/>
      <c r="CB84" s="380"/>
      <c r="CC84" s="380"/>
      <c r="CD84" s="380"/>
      <c r="CE84" s="380"/>
      <c r="CF84" s="380"/>
    </row>
    <row r="85" spans="2:84">
      <c r="B85" s="766" t="s">
        <v>789</v>
      </c>
      <c r="C85" s="1100"/>
      <c r="D85" s="1101"/>
      <c r="E85" s="1101"/>
      <c r="F85" s="1101"/>
      <c r="G85" s="380"/>
      <c r="H85" s="563"/>
      <c r="L85" s="559"/>
      <c r="M85" s="542"/>
      <c r="O85" s="9"/>
      <c r="R85" s="380"/>
      <c r="S85" s="380"/>
      <c r="T85" s="380"/>
      <c r="U85" s="380"/>
      <c r="V85" s="380"/>
      <c r="W85" s="380"/>
      <c r="X85" s="380"/>
      <c r="Y85" s="380"/>
      <c r="Z85" s="380"/>
      <c r="AA85" s="380"/>
      <c r="AB85" s="380"/>
      <c r="AC85" s="380"/>
      <c r="AD85" s="380"/>
      <c r="AE85" s="380"/>
      <c r="AF85" s="380"/>
      <c r="AG85" s="380"/>
      <c r="AH85" s="380"/>
      <c r="AI85" s="380"/>
      <c r="AJ85" s="380"/>
      <c r="AK85" s="380"/>
      <c r="AL85" s="380"/>
      <c r="AM85" s="380"/>
      <c r="AN85" s="380"/>
      <c r="AO85" s="380"/>
      <c r="AP85" s="380"/>
      <c r="AQ85" s="380"/>
      <c r="AR85" s="380"/>
      <c r="AS85" s="380"/>
      <c r="AT85" s="380"/>
      <c r="AU85" s="380"/>
      <c r="AV85" s="380"/>
      <c r="AW85" s="380"/>
      <c r="AX85" s="380"/>
      <c r="AY85" s="380"/>
      <c r="AZ85" s="380"/>
      <c r="BA85" s="380"/>
      <c r="BB85" s="380"/>
      <c r="BC85" s="380"/>
      <c r="BD85" s="380"/>
      <c r="BE85" s="380"/>
      <c r="BF85" s="380"/>
      <c r="BG85" s="380"/>
      <c r="BH85" s="380"/>
      <c r="BI85" s="380"/>
      <c r="BJ85" s="380"/>
      <c r="BK85" s="380"/>
      <c r="BL85" s="380"/>
      <c r="BM85" s="380"/>
      <c r="BN85" s="380"/>
      <c r="BO85" s="380"/>
      <c r="BP85" s="380"/>
      <c r="BQ85" s="380"/>
      <c r="BR85" s="380"/>
      <c r="BS85" s="380"/>
      <c r="BT85" s="380"/>
      <c r="BU85" s="380"/>
      <c r="BV85" s="380"/>
      <c r="BW85" s="380"/>
      <c r="BX85" s="380"/>
      <c r="BY85" s="380"/>
      <c r="BZ85" s="380"/>
      <c r="CA85" s="380"/>
      <c r="CB85" s="380"/>
      <c r="CC85" s="380"/>
      <c r="CD85" s="380"/>
      <c r="CE85" s="380"/>
      <c r="CF85" s="380"/>
    </row>
    <row r="86" spans="2:84">
      <c r="B86" s="579" t="s">
        <v>790</v>
      </c>
      <c r="C86" s="657"/>
      <c r="D86" s="658"/>
      <c r="E86" s="658"/>
      <c r="F86" s="658"/>
      <c r="G86" s="380"/>
      <c r="H86" s="563"/>
      <c r="L86" s="559"/>
      <c r="M86" s="542"/>
      <c r="O86" s="9"/>
      <c r="R86" s="380"/>
      <c r="S86" s="380"/>
      <c r="T86" s="380"/>
      <c r="U86" s="380"/>
      <c r="V86" s="380"/>
      <c r="W86" s="380"/>
      <c r="X86" s="380"/>
      <c r="Y86" s="380"/>
      <c r="Z86" s="380"/>
      <c r="AA86" s="380"/>
      <c r="AB86" s="380"/>
      <c r="AC86" s="380"/>
      <c r="AD86" s="380"/>
      <c r="AE86" s="380"/>
      <c r="AF86" s="380"/>
      <c r="AG86" s="380"/>
      <c r="AH86" s="380"/>
      <c r="AI86" s="380"/>
      <c r="AJ86" s="380"/>
      <c r="AK86" s="380"/>
      <c r="AL86" s="380"/>
      <c r="AM86" s="380"/>
      <c r="AN86" s="380"/>
      <c r="AO86" s="380"/>
      <c r="AP86" s="380"/>
      <c r="AQ86" s="380"/>
      <c r="AR86" s="380"/>
      <c r="AS86" s="380"/>
      <c r="AT86" s="380"/>
      <c r="AU86" s="380"/>
      <c r="AV86" s="380"/>
      <c r="AW86" s="380"/>
      <c r="AX86" s="380"/>
      <c r="AY86" s="380"/>
      <c r="AZ86" s="380"/>
      <c r="BA86" s="380"/>
      <c r="BB86" s="380"/>
      <c r="BC86" s="380"/>
      <c r="BD86" s="380"/>
      <c r="BE86" s="380"/>
      <c r="BF86" s="380"/>
      <c r="BG86" s="380"/>
      <c r="BH86" s="380"/>
      <c r="BI86" s="380"/>
      <c r="BJ86" s="380"/>
      <c r="BK86" s="380"/>
      <c r="BL86" s="380"/>
      <c r="BM86" s="380"/>
      <c r="BN86" s="380"/>
      <c r="BO86" s="380"/>
      <c r="BP86" s="380"/>
      <c r="BQ86" s="380"/>
      <c r="BR86" s="380"/>
      <c r="BS86" s="380"/>
      <c r="BT86" s="380"/>
      <c r="BU86" s="380"/>
      <c r="BV86" s="380"/>
      <c r="BW86" s="380"/>
      <c r="BX86" s="380"/>
      <c r="BY86" s="380"/>
      <c r="BZ86" s="380"/>
      <c r="CA86" s="380"/>
      <c r="CB86" s="380"/>
      <c r="CC86" s="380"/>
      <c r="CD86" s="380"/>
      <c r="CE86" s="380"/>
      <c r="CF86" s="380"/>
    </row>
    <row r="87" spans="2:84">
      <c r="B87" s="767" t="s">
        <v>791</v>
      </c>
      <c r="C87" s="1102"/>
      <c r="D87" s="1103"/>
      <c r="E87" s="1103"/>
      <c r="F87" s="1103"/>
      <c r="G87" s="380"/>
      <c r="H87" s="563"/>
      <c r="L87" s="559"/>
      <c r="M87" s="542"/>
      <c r="O87" s="9"/>
      <c r="R87" s="380"/>
      <c r="S87" s="380"/>
      <c r="T87" s="380"/>
      <c r="U87" s="380"/>
      <c r="V87" s="380"/>
      <c r="W87" s="380"/>
      <c r="X87" s="380"/>
      <c r="Y87" s="380"/>
      <c r="Z87" s="380"/>
      <c r="AA87" s="380"/>
      <c r="AB87" s="380"/>
      <c r="AC87" s="380"/>
      <c r="AD87" s="380"/>
      <c r="AE87" s="380"/>
      <c r="AF87" s="380"/>
      <c r="AG87" s="380"/>
      <c r="AH87" s="380"/>
      <c r="AI87" s="380"/>
      <c r="AJ87" s="380"/>
      <c r="AK87" s="380"/>
      <c r="AL87" s="380"/>
      <c r="AM87" s="380"/>
      <c r="AN87" s="380"/>
      <c r="AO87" s="380"/>
      <c r="AP87" s="380"/>
      <c r="AQ87" s="380"/>
      <c r="AR87" s="380"/>
      <c r="AS87" s="380"/>
      <c r="AT87" s="380"/>
      <c r="AU87" s="380"/>
      <c r="AV87" s="380"/>
      <c r="AW87" s="380"/>
      <c r="AX87" s="380"/>
      <c r="AY87" s="380"/>
      <c r="AZ87" s="380"/>
      <c r="BA87" s="380"/>
      <c r="BB87" s="380"/>
      <c r="BC87" s="380"/>
      <c r="BD87" s="380"/>
      <c r="BE87" s="380"/>
      <c r="BF87" s="380"/>
      <c r="BG87" s="380"/>
      <c r="BH87" s="380"/>
      <c r="BI87" s="380"/>
      <c r="BJ87" s="380"/>
      <c r="BK87" s="380"/>
      <c r="BL87" s="380"/>
      <c r="BM87" s="380"/>
      <c r="BN87" s="380"/>
      <c r="BO87" s="380"/>
      <c r="BP87" s="380"/>
      <c r="BQ87" s="380"/>
      <c r="BR87" s="380"/>
      <c r="BS87" s="380"/>
      <c r="BT87" s="380"/>
      <c r="BU87" s="380"/>
      <c r="BV87" s="380"/>
      <c r="BW87" s="380"/>
      <c r="BX87" s="380"/>
      <c r="BY87" s="380"/>
      <c r="BZ87" s="380"/>
      <c r="CA87" s="380"/>
      <c r="CB87" s="380"/>
      <c r="CC87" s="380"/>
      <c r="CD87" s="380"/>
      <c r="CE87" s="380"/>
      <c r="CF87" s="380"/>
    </row>
    <row r="88" spans="2:84">
      <c r="B88" s="579" t="s">
        <v>792</v>
      </c>
      <c r="C88" s="615" t="str">
        <f>VLOOKUP(LnkTXTSigla,Informacoes[],20,FALSE)</f>
        <v>39/2010</v>
      </c>
      <c r="D88" s="535"/>
      <c r="E88" s="535"/>
      <c r="F88" s="535"/>
      <c r="G88" s="380"/>
      <c r="H88" s="563"/>
      <c r="L88" s="559"/>
      <c r="M88" s="542"/>
      <c r="O88" s="9"/>
      <c r="R88" s="380"/>
      <c r="S88" s="380"/>
      <c r="T88" s="380"/>
      <c r="U88" s="380"/>
      <c r="V88" s="380"/>
      <c r="W88" s="380"/>
      <c r="X88" s="380"/>
      <c r="Y88" s="380"/>
      <c r="Z88" s="380"/>
      <c r="AA88" s="380"/>
      <c r="AB88" s="380"/>
      <c r="AC88" s="380"/>
      <c r="AD88" s="380"/>
      <c r="AE88" s="380"/>
      <c r="AF88" s="380"/>
      <c r="AG88" s="380"/>
      <c r="AH88" s="380"/>
      <c r="AI88" s="380"/>
      <c r="AJ88" s="380"/>
      <c r="AK88" s="380"/>
      <c r="AL88" s="380"/>
      <c r="AM88" s="380"/>
      <c r="AN88" s="380"/>
      <c r="AO88" s="380"/>
      <c r="AP88" s="380"/>
      <c r="AQ88" s="380"/>
      <c r="AR88" s="380"/>
      <c r="AS88" s="380"/>
      <c r="AT88" s="380"/>
      <c r="AU88" s="380"/>
      <c r="AV88" s="380"/>
      <c r="AW88" s="380"/>
      <c r="AX88" s="380"/>
      <c r="AY88" s="380"/>
      <c r="AZ88" s="380"/>
      <c r="BA88" s="380"/>
      <c r="BB88" s="380"/>
      <c r="BC88" s="380"/>
      <c r="BD88" s="380"/>
      <c r="BE88" s="380"/>
      <c r="BF88" s="380"/>
      <c r="BG88" s="380"/>
      <c r="BH88" s="380"/>
      <c r="BI88" s="380"/>
      <c r="BJ88" s="380"/>
      <c r="BK88" s="380"/>
      <c r="BL88" s="380"/>
      <c r="BM88" s="380"/>
      <c r="BN88" s="380"/>
      <c r="BO88" s="380"/>
      <c r="BP88" s="380"/>
      <c r="BQ88" s="380"/>
      <c r="BR88" s="380"/>
      <c r="BS88" s="380"/>
      <c r="BT88" s="380"/>
      <c r="BU88" s="380"/>
      <c r="BV88" s="380"/>
      <c r="BW88" s="380"/>
      <c r="BX88" s="380"/>
      <c r="BY88" s="380"/>
      <c r="BZ88" s="380"/>
      <c r="CA88" s="380"/>
      <c r="CB88" s="380"/>
      <c r="CC88" s="380"/>
      <c r="CD88" s="380"/>
      <c r="CE88" s="380"/>
      <c r="CF88" s="380"/>
    </row>
    <row r="89" spans="2:84">
      <c r="B89" s="579" t="s">
        <v>793</v>
      </c>
      <c r="C89" s="615" t="str">
        <f>VLOOKUP(LnkTXTSigla,Informacoes[],21,FALSE)</f>
        <v>31 de maio de 2010</v>
      </c>
      <c r="D89" s="616"/>
      <c r="E89" s="535"/>
      <c r="F89" s="534"/>
      <c r="H89" s="563"/>
      <c r="L89" s="559"/>
      <c r="M89" s="542"/>
      <c r="O89" s="9"/>
      <c r="R89" s="380"/>
      <c r="S89" s="380"/>
      <c r="T89" s="380"/>
      <c r="U89" s="380"/>
      <c r="V89" s="380"/>
      <c r="W89" s="380"/>
      <c r="X89" s="380"/>
      <c r="Y89" s="380"/>
      <c r="Z89" s="380"/>
      <c r="AA89" s="380"/>
      <c r="AB89" s="380"/>
      <c r="AC89" s="380"/>
      <c r="AD89" s="380"/>
      <c r="AE89" s="380"/>
      <c r="AF89" s="380"/>
      <c r="AG89" s="380"/>
      <c r="AH89" s="380"/>
      <c r="AI89" s="380"/>
      <c r="AJ89" s="380"/>
      <c r="AK89" s="380"/>
      <c r="AL89" s="380"/>
      <c r="AM89" s="380"/>
      <c r="AN89" s="380"/>
      <c r="AO89" s="380"/>
      <c r="AP89" s="380"/>
      <c r="AQ89" s="380"/>
      <c r="AR89" s="380"/>
      <c r="AS89" s="380"/>
      <c r="AT89" s="380"/>
      <c r="AU89" s="380"/>
      <c r="AV89" s="380"/>
      <c r="AW89" s="380"/>
      <c r="AX89" s="380"/>
      <c r="AY89" s="380"/>
      <c r="AZ89" s="380"/>
      <c r="BA89" s="380"/>
      <c r="BB89" s="380"/>
      <c r="BC89" s="380"/>
      <c r="BD89" s="380"/>
      <c r="BE89" s="380"/>
      <c r="BF89" s="380"/>
      <c r="BG89" s="380"/>
      <c r="BH89" s="380"/>
      <c r="BI89" s="380"/>
      <c r="BJ89" s="380"/>
      <c r="BK89" s="380"/>
      <c r="BL89" s="380"/>
      <c r="BM89" s="380"/>
      <c r="BN89" s="380"/>
      <c r="BO89" s="380"/>
      <c r="BP89" s="380"/>
      <c r="BQ89" s="380"/>
      <c r="BR89" s="380"/>
      <c r="BS89" s="380"/>
      <c r="BT89" s="380"/>
      <c r="BU89" s="380"/>
      <c r="BV89" s="380"/>
      <c r="BW89" s="380"/>
      <c r="BX89" s="380"/>
      <c r="BY89" s="380"/>
      <c r="BZ89" s="380"/>
      <c r="CA89" s="380"/>
      <c r="CB89" s="380"/>
      <c r="CC89" s="380"/>
      <c r="CD89" s="380"/>
      <c r="CE89" s="380"/>
      <c r="CF89" s="380"/>
    </row>
    <row r="90" spans="2:84">
      <c r="B90" s="579" t="s">
        <v>794</v>
      </c>
      <c r="C90" s="617" t="str">
        <f>Q3</f>
        <v>Cooperativa de Distribuição de Energia</v>
      </c>
      <c r="D90" s="535"/>
      <c r="E90" s="535"/>
      <c r="F90" s="535"/>
      <c r="H90" s="563"/>
      <c r="L90" s="559"/>
      <c r="M90" s="542"/>
      <c r="O90" s="9"/>
      <c r="R90" s="380"/>
      <c r="S90" s="380"/>
      <c r="T90" s="380"/>
      <c r="U90" s="380"/>
      <c r="V90" s="380"/>
      <c r="W90" s="380"/>
      <c r="X90" s="380"/>
      <c r="Y90" s="380"/>
      <c r="Z90" s="380"/>
      <c r="AA90" s="380"/>
      <c r="AB90" s="380"/>
      <c r="AC90" s="380"/>
      <c r="AD90" s="380"/>
      <c r="AE90" s="380"/>
      <c r="AF90" s="380"/>
      <c r="AG90" s="380"/>
      <c r="AH90" s="380"/>
      <c r="AI90" s="380"/>
      <c r="AJ90" s="380"/>
      <c r="AK90" s="380"/>
      <c r="AL90" s="380"/>
      <c r="AM90" s="380"/>
      <c r="AN90" s="380"/>
      <c r="AO90" s="380"/>
      <c r="AP90" s="380"/>
      <c r="AQ90" s="380"/>
      <c r="AR90" s="380"/>
      <c r="AS90" s="380"/>
      <c r="AT90" s="380"/>
      <c r="AU90" s="380"/>
      <c r="AV90" s="380"/>
      <c r="AW90" s="380"/>
      <c r="AX90" s="380"/>
      <c r="AY90" s="380"/>
      <c r="AZ90" s="380"/>
      <c r="BA90" s="380"/>
      <c r="BB90" s="380"/>
      <c r="BC90" s="380"/>
      <c r="BD90" s="380"/>
      <c r="BE90" s="380"/>
      <c r="BF90" s="380"/>
      <c r="BG90" s="380"/>
      <c r="BH90" s="380"/>
      <c r="BI90" s="380"/>
      <c r="BJ90" s="380"/>
      <c r="BK90" s="380"/>
      <c r="BL90" s="380"/>
      <c r="BM90" s="380"/>
      <c r="BN90" s="380"/>
      <c r="BO90" s="380"/>
      <c r="BP90" s="380"/>
      <c r="BQ90" s="380"/>
      <c r="BR90" s="380"/>
      <c r="BS90" s="380"/>
      <c r="BT90" s="380"/>
      <c r="BU90" s="380"/>
      <c r="BV90" s="380"/>
      <c r="BW90" s="380"/>
      <c r="BX90" s="380"/>
      <c r="BY90" s="380"/>
      <c r="BZ90" s="380"/>
      <c r="CA90" s="380"/>
      <c r="CB90" s="380"/>
      <c r="CC90" s="380"/>
      <c r="CD90" s="380"/>
      <c r="CE90" s="380"/>
      <c r="CF90" s="380"/>
    </row>
    <row r="91" spans="2:84" ht="16.5" customHeight="1">
      <c r="B91" s="579" t="s">
        <v>795</v>
      </c>
      <c r="C91" s="617" t="str">
        <f>C9</f>
        <v>Creluz</v>
      </c>
      <c r="D91" s="535"/>
      <c r="E91" s="536"/>
      <c r="F91" s="535"/>
      <c r="H91" s="779"/>
      <c r="L91" s="559"/>
      <c r="M91" s="542"/>
      <c r="O91" s="9"/>
      <c r="R91" s="380"/>
      <c r="S91" s="380"/>
      <c r="T91" s="380"/>
      <c r="U91" s="380"/>
      <c r="V91" s="380"/>
      <c r="W91" s="380"/>
      <c r="X91" s="380"/>
      <c r="Y91" s="380"/>
      <c r="Z91" s="380"/>
      <c r="AA91" s="380"/>
      <c r="AB91" s="380"/>
      <c r="AC91" s="380"/>
      <c r="AD91" s="380"/>
      <c r="AE91" s="380"/>
      <c r="AF91" s="380"/>
      <c r="AG91" s="380"/>
      <c r="AH91" s="380"/>
      <c r="AI91" s="380"/>
      <c r="AJ91" s="380"/>
      <c r="AK91" s="380"/>
      <c r="AL91" s="380"/>
      <c r="AM91" s="380"/>
      <c r="AN91" s="380"/>
      <c r="AO91" s="380"/>
      <c r="AP91" s="380"/>
      <c r="AQ91" s="380"/>
      <c r="AR91" s="380"/>
      <c r="AS91" s="380"/>
      <c r="AT91" s="380"/>
      <c r="AU91" s="380"/>
      <c r="AV91" s="380"/>
      <c r="AW91" s="380"/>
      <c r="AX91" s="380"/>
      <c r="AY91" s="380"/>
      <c r="AZ91" s="380"/>
      <c r="BA91" s="380"/>
      <c r="BB91" s="380"/>
      <c r="BC91" s="380"/>
      <c r="BD91" s="380"/>
      <c r="BE91" s="380"/>
      <c r="BF91" s="380"/>
      <c r="BG91" s="380"/>
      <c r="BH91" s="380"/>
      <c r="BI91" s="380"/>
      <c r="BJ91" s="380"/>
      <c r="BK91" s="380"/>
      <c r="BL91" s="380"/>
      <c r="BM91" s="380"/>
      <c r="BN91" s="380"/>
      <c r="BO91" s="380"/>
      <c r="BP91" s="380"/>
      <c r="BQ91" s="380"/>
      <c r="BR91" s="380"/>
      <c r="BS91" s="380"/>
      <c r="BT91" s="380"/>
      <c r="BU91" s="380"/>
      <c r="BV91" s="380"/>
      <c r="BW91" s="380"/>
      <c r="BX91" s="380"/>
      <c r="BY91" s="380"/>
      <c r="BZ91" s="380"/>
      <c r="CA91" s="380"/>
      <c r="CB91" s="380"/>
      <c r="CC91" s="380"/>
      <c r="CD91" s="380"/>
      <c r="CE91" s="380"/>
      <c r="CF91" s="380"/>
    </row>
    <row r="92" spans="2:84">
      <c r="B92" s="579" t="s">
        <v>796</v>
      </c>
      <c r="C92" s="615" t="str">
        <f>D92&amp;" - "&amp;E92</f>
        <v>Pinhal - RS</v>
      </c>
      <c r="D92" s="537" t="str">
        <f>VLOOKUP(LnkTXTSigla,Informacoes[],6,FALSE)</f>
        <v>Pinhal</v>
      </c>
      <c r="E92" s="537" t="str">
        <f>VLOOKUP(LnkTXTSigla,Informacoes[],7,FALSE)</f>
        <v>RS</v>
      </c>
      <c r="F92" s="535"/>
      <c r="L92" s="559"/>
      <c r="M92" s="542"/>
      <c r="O92" s="9"/>
      <c r="R92" s="380"/>
      <c r="S92" s="380"/>
      <c r="T92" s="380"/>
      <c r="U92" s="380"/>
      <c r="V92" s="380"/>
      <c r="W92" s="380"/>
      <c r="X92" s="380"/>
      <c r="Y92" s="380"/>
      <c r="Z92" s="380"/>
      <c r="AA92" s="380"/>
      <c r="AB92" s="380"/>
      <c r="AC92" s="380"/>
      <c r="AD92" s="380"/>
      <c r="AE92" s="380"/>
      <c r="AF92" s="380"/>
      <c r="AG92" s="380"/>
      <c r="AH92" s="380"/>
      <c r="AI92" s="380"/>
      <c r="AJ92" s="380"/>
      <c r="AK92" s="380"/>
      <c r="AL92" s="380"/>
      <c r="AM92" s="380"/>
      <c r="AN92" s="380"/>
      <c r="AO92" s="380"/>
      <c r="AP92" s="380"/>
      <c r="AQ92" s="380"/>
      <c r="AR92" s="380"/>
      <c r="AS92" s="380"/>
      <c r="AT92" s="380"/>
      <c r="AU92" s="380"/>
      <c r="AV92" s="380"/>
      <c r="AW92" s="380"/>
      <c r="AX92" s="380"/>
      <c r="AY92" s="380"/>
      <c r="AZ92" s="380"/>
      <c r="BA92" s="380"/>
      <c r="BB92" s="380"/>
      <c r="BC92" s="380"/>
      <c r="BD92" s="380"/>
      <c r="BE92" s="380"/>
      <c r="BF92" s="380"/>
      <c r="BG92" s="380"/>
      <c r="BH92" s="380"/>
      <c r="BI92" s="380"/>
      <c r="BJ92" s="380"/>
      <c r="BK92" s="380"/>
      <c r="BL92" s="380"/>
      <c r="BM92" s="380"/>
      <c r="BN92" s="380"/>
      <c r="BO92" s="380"/>
      <c r="BP92" s="380"/>
      <c r="BQ92" s="380"/>
      <c r="BR92" s="380"/>
      <c r="BS92" s="380"/>
      <c r="BT92" s="380"/>
      <c r="BU92" s="380"/>
      <c r="BV92" s="380"/>
      <c r="BW92" s="380"/>
      <c r="BX92" s="380"/>
      <c r="BY92" s="380"/>
      <c r="BZ92" s="380"/>
      <c r="CA92" s="380"/>
      <c r="CB92" s="380"/>
      <c r="CC92" s="380"/>
      <c r="CD92" s="380"/>
      <c r="CE92" s="380"/>
      <c r="CF92" s="380"/>
    </row>
    <row r="93" spans="2:84">
      <c r="B93" s="579" t="s">
        <v>797</v>
      </c>
      <c r="C93" s="618"/>
      <c r="D93" s="535"/>
      <c r="E93" s="535"/>
      <c r="F93" s="535"/>
      <c r="L93" s="559"/>
      <c r="M93" s="542"/>
      <c r="O93" s="9"/>
      <c r="R93" s="380"/>
      <c r="S93" s="380"/>
      <c r="T93" s="380"/>
      <c r="U93" s="380"/>
      <c r="V93" s="380"/>
      <c r="W93" s="380"/>
      <c r="X93" s="380"/>
      <c r="Y93" s="380"/>
      <c r="Z93" s="380"/>
      <c r="AA93" s="380"/>
      <c r="AB93" s="380"/>
      <c r="AC93" s="380"/>
      <c r="AD93" s="380"/>
      <c r="AE93" s="380"/>
      <c r="AF93" s="380"/>
      <c r="AG93" s="380"/>
      <c r="AH93" s="380"/>
      <c r="AI93" s="380"/>
      <c r="AJ93" s="380"/>
      <c r="AK93" s="380"/>
      <c r="AL93" s="380"/>
      <c r="AM93" s="380"/>
      <c r="AN93" s="380"/>
      <c r="AO93" s="380"/>
      <c r="AP93" s="380"/>
      <c r="AQ93" s="380"/>
      <c r="AR93" s="380"/>
      <c r="AS93" s="380"/>
      <c r="AT93" s="380"/>
      <c r="AU93" s="380"/>
      <c r="AV93" s="380"/>
      <c r="AW93" s="380"/>
      <c r="AX93" s="380"/>
      <c r="AY93" s="380"/>
      <c r="AZ93" s="380"/>
      <c r="BA93" s="380"/>
      <c r="BB93" s="380"/>
      <c r="BC93" s="380"/>
      <c r="BD93" s="380"/>
      <c r="BE93" s="380"/>
      <c r="BF93" s="380"/>
      <c r="BG93" s="380"/>
      <c r="BH93" s="380"/>
      <c r="BI93" s="380"/>
      <c r="BJ93" s="380"/>
      <c r="BK93" s="380"/>
      <c r="BL93" s="380"/>
      <c r="BM93" s="380"/>
      <c r="BN93" s="380"/>
      <c r="BO93" s="380"/>
      <c r="BP93" s="380"/>
      <c r="BQ93" s="380"/>
      <c r="BR93" s="380"/>
      <c r="BS93" s="380"/>
      <c r="BT93" s="380"/>
      <c r="BU93" s="380"/>
      <c r="BV93" s="380"/>
      <c r="BW93" s="380"/>
      <c r="BX93" s="380"/>
      <c r="BY93" s="380"/>
      <c r="BZ93" s="380"/>
      <c r="CA93" s="380"/>
      <c r="CB93" s="380"/>
      <c r="CC93" s="380"/>
      <c r="CD93" s="380"/>
      <c r="CE93" s="380"/>
      <c r="CF93" s="380"/>
    </row>
    <row r="94" spans="2:84">
      <c r="B94" s="579" t="s">
        <v>798</v>
      </c>
      <c r="C94" s="617">
        <f>DataRevRea</f>
        <v>44772</v>
      </c>
      <c r="D94" s="535"/>
      <c r="E94" s="535">
        <f>DATE(YEAR(DataRevRea)+1,MONTH(DataRevRea)-1,1)</f>
        <v>45078</v>
      </c>
      <c r="F94" s="535"/>
      <c r="L94" s="559"/>
      <c r="M94" s="542"/>
      <c r="O94" s="9"/>
      <c r="R94" s="380"/>
      <c r="S94" s="380"/>
      <c r="T94" s="380"/>
      <c r="U94" s="380"/>
      <c r="V94" s="380"/>
      <c r="W94" s="380"/>
      <c r="X94" s="380"/>
      <c r="Y94" s="380"/>
      <c r="Z94" s="380"/>
      <c r="AA94" s="380"/>
      <c r="AB94" s="380"/>
      <c r="AC94" s="380"/>
      <c r="AD94" s="380"/>
      <c r="AE94" s="380"/>
      <c r="AF94" s="380"/>
      <c r="AG94" s="380"/>
      <c r="AH94" s="380"/>
      <c r="AI94" s="380"/>
      <c r="AJ94" s="380"/>
      <c r="AK94" s="380"/>
      <c r="AL94" s="380"/>
      <c r="AM94" s="380"/>
      <c r="AN94" s="380"/>
      <c r="AO94" s="380"/>
      <c r="AP94" s="380"/>
      <c r="AQ94" s="380"/>
      <c r="AR94" s="380"/>
      <c r="AS94" s="380"/>
      <c r="AT94" s="380"/>
      <c r="AU94" s="380"/>
      <c r="AV94" s="380"/>
      <c r="AW94" s="380"/>
      <c r="AX94" s="380"/>
      <c r="AY94" s="380"/>
      <c r="AZ94" s="380"/>
      <c r="BA94" s="380"/>
      <c r="BB94" s="380"/>
      <c r="BC94" s="380"/>
      <c r="BD94" s="380"/>
      <c r="BE94" s="380"/>
      <c r="BF94" s="380"/>
      <c r="BG94" s="380"/>
      <c r="BH94" s="380"/>
      <c r="BI94" s="380"/>
      <c r="BJ94" s="380"/>
      <c r="BK94" s="380"/>
      <c r="BL94" s="380"/>
      <c r="BM94" s="380"/>
      <c r="BN94" s="380"/>
      <c r="BO94" s="380"/>
      <c r="BP94" s="380"/>
      <c r="BQ94" s="380"/>
      <c r="BR94" s="380"/>
      <c r="BS94" s="380"/>
      <c r="BT94" s="380"/>
      <c r="BU94" s="380"/>
      <c r="BV94" s="380"/>
      <c r="BW94" s="380"/>
      <c r="BX94" s="380"/>
      <c r="BY94" s="380"/>
      <c r="BZ94" s="380"/>
      <c r="CA94" s="380"/>
      <c r="CB94" s="380"/>
      <c r="CC94" s="380"/>
      <c r="CD94" s="380"/>
      <c r="CE94" s="380"/>
      <c r="CF94" s="380"/>
    </row>
    <row r="95" spans="2:84">
      <c r="B95" s="579" t="s">
        <v>799</v>
      </c>
      <c r="C95" s="619" t="str">
        <f>TEXT(E95,"mmmm")&amp;" de "&amp;TEXT(E95,"aaaa")&amp; " a "&amp;TEXT(E94,"mmmm")&amp;" de "&amp;TEXT(E94,"aaaa")</f>
        <v>julho de 2022 a junho de 2023</v>
      </c>
      <c r="D95" s="535"/>
      <c r="E95" s="535">
        <f>DATE(YEAR(DataRevRea),MONTH(DataRevRea),DAY(DataRevRea))</f>
        <v>44772</v>
      </c>
      <c r="F95" s="535"/>
      <c r="L95" s="559"/>
      <c r="M95" s="542"/>
      <c r="O95" s="9"/>
      <c r="R95" s="380"/>
      <c r="S95" s="380"/>
      <c r="T95" s="380"/>
      <c r="U95" s="380"/>
      <c r="V95" s="380"/>
      <c r="W95" s="380"/>
      <c r="X95" s="380"/>
      <c r="Y95" s="380"/>
      <c r="Z95" s="380"/>
      <c r="AA95" s="380"/>
      <c r="AB95" s="380"/>
      <c r="AC95" s="380"/>
      <c r="AD95" s="380"/>
      <c r="AE95" s="380"/>
      <c r="AF95" s="380"/>
      <c r="AG95" s="380"/>
      <c r="AH95" s="380"/>
      <c r="AI95" s="380"/>
      <c r="AJ95" s="380"/>
      <c r="AK95" s="380"/>
      <c r="AL95" s="380"/>
      <c r="AM95" s="380"/>
      <c r="AN95" s="380"/>
      <c r="AO95" s="380"/>
      <c r="AP95" s="380"/>
      <c r="AQ95" s="380"/>
      <c r="AR95" s="380"/>
      <c r="AS95" s="380"/>
      <c r="AT95" s="380"/>
      <c r="AU95" s="380"/>
      <c r="AV95" s="380"/>
      <c r="AW95" s="380"/>
      <c r="AX95" s="380"/>
      <c r="AY95" s="380"/>
      <c r="AZ95" s="380"/>
      <c r="BA95" s="380"/>
      <c r="BB95" s="380"/>
      <c r="BC95" s="380"/>
      <c r="BD95" s="380"/>
      <c r="BE95" s="380"/>
      <c r="BF95" s="380"/>
      <c r="BG95" s="380"/>
      <c r="BH95" s="380"/>
      <c r="BI95" s="380"/>
      <c r="BJ95" s="380"/>
      <c r="BK95" s="380"/>
      <c r="BL95" s="380"/>
      <c r="BM95" s="380"/>
      <c r="BN95" s="380"/>
      <c r="BO95" s="380"/>
      <c r="BP95" s="380"/>
      <c r="BQ95" s="380"/>
      <c r="BR95" s="380"/>
      <c r="BS95" s="380"/>
      <c r="BT95" s="380"/>
      <c r="BU95" s="380"/>
      <c r="BV95" s="380"/>
      <c r="BW95" s="380"/>
      <c r="BX95" s="380"/>
      <c r="BY95" s="380"/>
      <c r="BZ95" s="380"/>
      <c r="CA95" s="380"/>
      <c r="CB95" s="380"/>
      <c r="CC95" s="380"/>
      <c r="CD95" s="380"/>
      <c r="CE95" s="380"/>
      <c r="CF95" s="380"/>
    </row>
    <row r="96" spans="2:84">
      <c r="B96" s="579" t="s">
        <v>800</v>
      </c>
      <c r="C96" s="618">
        <f>C94</f>
        <v>44772</v>
      </c>
      <c r="D96" s="620"/>
      <c r="E96" s="535"/>
      <c r="F96" s="535"/>
      <c r="L96" s="559"/>
      <c r="M96" s="542"/>
      <c r="O96" s="9"/>
      <c r="R96" s="380"/>
      <c r="S96" s="380"/>
      <c r="T96" s="380"/>
      <c r="U96" s="380"/>
      <c r="V96" s="380"/>
      <c r="W96" s="380"/>
      <c r="X96" s="380"/>
      <c r="Y96" s="380"/>
      <c r="Z96" s="380"/>
      <c r="AA96" s="380"/>
      <c r="AB96" s="380"/>
      <c r="AC96" s="380"/>
      <c r="AD96" s="380"/>
      <c r="AE96" s="380"/>
      <c r="AF96" s="380"/>
      <c r="AG96" s="380"/>
      <c r="AH96" s="380"/>
      <c r="AI96" s="380"/>
      <c r="AJ96" s="380"/>
      <c r="AK96" s="380"/>
      <c r="AL96" s="380"/>
      <c r="AM96" s="380"/>
      <c r="AN96" s="380"/>
      <c r="AO96" s="380"/>
      <c r="AP96" s="380"/>
      <c r="AQ96" s="380"/>
      <c r="AR96" s="380"/>
      <c r="AS96" s="380"/>
      <c r="AT96" s="380"/>
      <c r="AU96" s="380"/>
      <c r="AV96" s="380"/>
      <c r="AW96" s="380"/>
      <c r="AX96" s="380"/>
      <c r="AY96" s="380"/>
      <c r="AZ96" s="380"/>
      <c r="BA96" s="380"/>
      <c r="BB96" s="380"/>
      <c r="BC96" s="380"/>
      <c r="BD96" s="380"/>
      <c r="BE96" s="380"/>
      <c r="BF96" s="380"/>
      <c r="BG96" s="380"/>
      <c r="BH96" s="380"/>
      <c r="BI96" s="380"/>
      <c r="BJ96" s="380"/>
      <c r="BK96" s="380"/>
      <c r="BL96" s="380"/>
      <c r="BM96" s="380"/>
      <c r="BN96" s="380"/>
      <c r="BO96" s="380"/>
      <c r="BP96" s="380"/>
      <c r="BQ96" s="380"/>
      <c r="BR96" s="380"/>
      <c r="BS96" s="380"/>
      <c r="BT96" s="380"/>
      <c r="BU96" s="380"/>
      <c r="BV96" s="380"/>
      <c r="BW96" s="380"/>
      <c r="BX96" s="380"/>
      <c r="BY96" s="380"/>
      <c r="BZ96" s="380"/>
      <c r="CA96" s="380"/>
      <c r="CB96" s="380"/>
      <c r="CC96" s="380"/>
      <c r="CD96" s="380"/>
      <c r="CE96" s="380"/>
      <c r="CF96" s="380"/>
    </row>
    <row r="97" spans="2:84">
      <c r="B97" s="579" t="s">
        <v>265</v>
      </c>
      <c r="C97" s="621">
        <f>DATE(YEAR(DataRevRea)+1,MONTH(DataRevRea),DAY(DataRevRea)-1)</f>
        <v>45136</v>
      </c>
      <c r="D97" s="620"/>
      <c r="E97" s="535"/>
      <c r="F97" s="535"/>
      <c r="L97" s="559"/>
      <c r="M97" s="542"/>
      <c r="O97" s="9"/>
      <c r="R97" s="380"/>
      <c r="S97" s="380"/>
      <c r="T97" s="380"/>
      <c r="U97" s="380"/>
      <c r="V97" s="380"/>
      <c r="W97" s="380"/>
      <c r="X97" s="380"/>
      <c r="Y97" s="380"/>
      <c r="Z97" s="380"/>
      <c r="AA97" s="380"/>
      <c r="AB97" s="380"/>
      <c r="AC97" s="380"/>
      <c r="AD97" s="380"/>
      <c r="AE97" s="380"/>
      <c r="AF97" s="380"/>
      <c r="AG97" s="380"/>
      <c r="AH97" s="380"/>
      <c r="AI97" s="380"/>
      <c r="AJ97" s="380"/>
      <c r="AK97" s="380"/>
      <c r="AL97" s="380"/>
      <c r="AM97" s="380"/>
      <c r="AN97" s="380"/>
      <c r="AO97" s="380"/>
      <c r="AP97" s="380"/>
      <c r="AQ97" s="380"/>
      <c r="AR97" s="380"/>
      <c r="AS97" s="380"/>
      <c r="AT97" s="380"/>
      <c r="AU97" s="380"/>
      <c r="AV97" s="380"/>
      <c r="AW97" s="380"/>
      <c r="AX97" s="380"/>
      <c r="AY97" s="380"/>
      <c r="AZ97" s="380"/>
      <c r="BA97" s="380"/>
      <c r="BB97" s="380"/>
      <c r="BC97" s="380"/>
      <c r="BD97" s="380"/>
      <c r="BE97" s="380"/>
      <c r="BF97" s="380"/>
      <c r="BG97" s="380"/>
      <c r="BH97" s="380"/>
      <c r="BI97" s="380"/>
      <c r="BJ97" s="380"/>
      <c r="BK97" s="380"/>
      <c r="BL97" s="380"/>
      <c r="BM97" s="380"/>
      <c r="BN97" s="380"/>
      <c r="BO97" s="380"/>
      <c r="BP97" s="380"/>
      <c r="BQ97" s="380"/>
      <c r="BR97" s="380"/>
      <c r="BS97" s="380"/>
      <c r="BT97" s="380"/>
      <c r="BU97" s="380"/>
      <c r="BV97" s="380"/>
      <c r="BW97" s="380"/>
      <c r="BX97" s="380"/>
      <c r="BY97" s="380"/>
      <c r="BZ97" s="380"/>
      <c r="CA97" s="380"/>
      <c r="CB97" s="380"/>
      <c r="CC97" s="380"/>
      <c r="CD97" s="380"/>
      <c r="CE97" s="380"/>
      <c r="CF97" s="380"/>
    </row>
    <row r="98" spans="2:84">
      <c r="B98" s="579" t="s">
        <v>801</v>
      </c>
      <c r="C98" s="621" t="str">
        <f>TEXT(C14,"mmmm")&amp;" de "&amp;TEXT(C14,"aaaa")&amp; " a "&amp;TEXT(C17,"mmmm")&amp;" de "&amp;TEXT(C17,"aaaa")</f>
        <v>julho de 2021 a junho de 2022</v>
      </c>
      <c r="D98" s="535"/>
      <c r="E98" s="535"/>
      <c r="F98" s="535"/>
      <c r="L98" s="559"/>
      <c r="M98" s="542"/>
      <c r="O98" s="9"/>
      <c r="R98" s="380"/>
      <c r="S98" s="380"/>
      <c r="T98" s="380"/>
      <c r="U98" s="380"/>
      <c r="V98" s="380"/>
      <c r="W98" s="380"/>
      <c r="X98" s="380"/>
      <c r="Y98" s="380"/>
      <c r="Z98" s="380"/>
      <c r="AA98" s="380"/>
      <c r="AB98" s="380"/>
      <c r="AC98" s="380"/>
      <c r="AD98" s="380"/>
      <c r="AE98" s="380"/>
      <c r="AF98" s="380"/>
      <c r="AG98" s="380"/>
      <c r="AH98" s="380"/>
      <c r="AI98" s="380"/>
      <c r="AJ98" s="380"/>
      <c r="AK98" s="380"/>
      <c r="AL98" s="380"/>
      <c r="AM98" s="380"/>
      <c r="AN98" s="380"/>
      <c r="AO98" s="380"/>
      <c r="AP98" s="380"/>
      <c r="AQ98" s="380"/>
      <c r="AR98" s="380"/>
      <c r="AS98" s="380"/>
      <c r="AT98" s="380"/>
      <c r="AU98" s="380"/>
      <c r="AV98" s="380"/>
      <c r="AW98" s="380"/>
      <c r="AX98" s="380"/>
      <c r="AY98" s="380"/>
      <c r="AZ98" s="380"/>
      <c r="BA98" s="380"/>
      <c r="BB98" s="380"/>
      <c r="BC98" s="380"/>
      <c r="BD98" s="380"/>
      <c r="BE98" s="380"/>
      <c r="BF98" s="380"/>
      <c r="BG98" s="380"/>
      <c r="BH98" s="380"/>
      <c r="BI98" s="380"/>
      <c r="BJ98" s="380"/>
      <c r="BK98" s="380"/>
      <c r="BL98" s="380"/>
      <c r="BM98" s="380"/>
      <c r="BN98" s="380"/>
      <c r="BO98" s="380"/>
      <c r="BP98" s="380"/>
      <c r="BQ98" s="380"/>
      <c r="BR98" s="380"/>
      <c r="BS98" s="380"/>
      <c r="BT98" s="380"/>
      <c r="BU98" s="380"/>
      <c r="BV98" s="380"/>
      <c r="BW98" s="380"/>
      <c r="BX98" s="380"/>
      <c r="BY98" s="380"/>
      <c r="BZ98" s="380"/>
      <c r="CA98" s="380"/>
      <c r="CB98" s="380"/>
      <c r="CC98" s="380"/>
      <c r="CD98" s="380"/>
      <c r="CE98" s="380"/>
      <c r="CF98" s="380"/>
    </row>
    <row r="99" spans="2:84">
      <c r="B99" s="579" t="s">
        <v>802</v>
      </c>
      <c r="C99" s="614">
        <f ca="1">IF(P1="verdadeiro",K36,H41)</f>
        <v>7.5466649409501374E-2</v>
      </c>
      <c r="D99" s="535"/>
      <c r="E99" s="535"/>
      <c r="F99" s="535"/>
      <c r="I99" s="563"/>
      <c r="L99" s="559"/>
      <c r="M99" s="542"/>
      <c r="O99" s="9"/>
      <c r="R99" s="380"/>
      <c r="S99" s="380"/>
      <c r="T99" s="380"/>
      <c r="U99" s="380"/>
      <c r="V99" s="380"/>
      <c r="W99" s="380"/>
      <c r="X99" s="380"/>
      <c r="Y99" s="380"/>
      <c r="Z99" s="380"/>
      <c r="AA99" s="380"/>
      <c r="AB99" s="380"/>
      <c r="AC99" s="380"/>
      <c r="AD99" s="380"/>
      <c r="AE99" s="380"/>
      <c r="AF99" s="380"/>
      <c r="AG99" s="380"/>
      <c r="AH99" s="380"/>
      <c r="AI99" s="380"/>
      <c r="AJ99" s="380"/>
      <c r="AK99" s="380"/>
      <c r="AL99" s="380"/>
      <c r="AM99" s="380"/>
      <c r="AN99" s="380"/>
      <c r="AO99" s="380"/>
      <c r="AP99" s="380"/>
      <c r="AQ99" s="380"/>
      <c r="AR99" s="380"/>
      <c r="AS99" s="380"/>
      <c r="AT99" s="380"/>
      <c r="AU99" s="380"/>
      <c r="AV99" s="380"/>
      <c r="AW99" s="380"/>
      <c r="AX99" s="380"/>
      <c r="AY99" s="380"/>
      <c r="AZ99" s="380"/>
      <c r="BA99" s="380"/>
      <c r="BB99" s="380"/>
      <c r="BC99" s="380"/>
      <c r="BD99" s="380"/>
      <c r="BE99" s="380"/>
      <c r="BF99" s="380"/>
      <c r="BG99" s="380"/>
      <c r="BH99" s="380"/>
      <c r="BI99" s="380"/>
      <c r="BJ99" s="380"/>
      <c r="BK99" s="380"/>
      <c r="BL99" s="380"/>
      <c r="BM99" s="380"/>
      <c r="BN99" s="380"/>
      <c r="BO99" s="380"/>
      <c r="BP99" s="380"/>
      <c r="BQ99" s="380"/>
      <c r="BR99" s="380"/>
      <c r="BS99" s="380"/>
      <c r="BT99" s="380"/>
      <c r="BU99" s="380"/>
      <c r="BV99" s="380"/>
      <c r="BW99" s="380"/>
      <c r="BX99" s="380"/>
      <c r="BY99" s="380"/>
      <c r="BZ99" s="380"/>
      <c r="CA99" s="380"/>
      <c r="CB99" s="380"/>
      <c r="CC99" s="380"/>
      <c r="CD99" s="380"/>
      <c r="CE99" s="380"/>
      <c r="CF99" s="380"/>
    </row>
    <row r="100" spans="2:84" ht="16.5" customHeight="1">
      <c r="B100" s="579" t="s">
        <v>760</v>
      </c>
      <c r="C100" s="614">
        <f>H42</f>
        <v>0</v>
      </c>
      <c r="D100" s="535"/>
      <c r="E100" s="535"/>
      <c r="F100" s="535"/>
      <c r="L100" s="559"/>
      <c r="M100" s="542"/>
      <c r="O100" s="9"/>
      <c r="R100" s="380"/>
      <c r="S100" s="380"/>
      <c r="T100" s="380"/>
      <c r="U100" s="380"/>
      <c r="V100" s="380"/>
      <c r="W100" s="380"/>
      <c r="X100" s="380"/>
      <c r="Y100" s="380"/>
      <c r="Z100" s="380"/>
      <c r="AA100" s="380"/>
      <c r="AB100" s="380"/>
      <c r="AC100" s="380"/>
      <c r="AD100" s="380"/>
      <c r="AE100" s="380"/>
      <c r="AF100" s="380"/>
      <c r="AG100" s="380"/>
      <c r="AH100" s="380"/>
      <c r="AI100" s="380"/>
      <c r="AJ100" s="380"/>
      <c r="AK100" s="380"/>
      <c r="AL100" s="380"/>
      <c r="AM100" s="380"/>
      <c r="AN100" s="380"/>
      <c r="AO100" s="380"/>
      <c r="AP100" s="380"/>
      <c r="AQ100" s="380"/>
      <c r="AR100" s="380"/>
      <c r="AS100" s="380"/>
      <c r="AT100" s="380"/>
      <c r="AU100" s="380"/>
      <c r="AV100" s="380"/>
      <c r="AW100" s="380"/>
      <c r="AX100" s="380"/>
      <c r="AY100" s="380"/>
      <c r="AZ100" s="380"/>
      <c r="BA100" s="380"/>
      <c r="BB100" s="380"/>
      <c r="BC100" s="380"/>
      <c r="BD100" s="380"/>
      <c r="BE100" s="380"/>
      <c r="BF100" s="380"/>
      <c r="BG100" s="380"/>
      <c r="BH100" s="380"/>
      <c r="BI100" s="380"/>
      <c r="BJ100" s="380"/>
      <c r="BK100" s="380"/>
      <c r="BL100" s="380"/>
      <c r="BM100" s="380"/>
      <c r="BN100" s="380"/>
      <c r="BO100" s="380"/>
      <c r="BP100" s="380"/>
      <c r="BQ100" s="380"/>
      <c r="BR100" s="380"/>
      <c r="BS100" s="380"/>
      <c r="BT100" s="380"/>
      <c r="BU100" s="380"/>
      <c r="BV100" s="380"/>
      <c r="BW100" s="380"/>
      <c r="BX100" s="380"/>
      <c r="BY100" s="380"/>
      <c r="BZ100" s="380"/>
      <c r="CA100" s="380"/>
      <c r="CB100" s="380"/>
      <c r="CC100" s="380"/>
      <c r="CD100" s="380"/>
      <c r="CE100" s="380"/>
      <c r="CF100" s="380"/>
    </row>
    <row r="101" spans="2:84">
      <c r="B101" s="579" t="s">
        <v>803</v>
      </c>
      <c r="C101" s="614">
        <f>LnkTXTIPCA-C100</f>
        <v>0.11886869625198027</v>
      </c>
      <c r="D101" s="535"/>
      <c r="E101" s="535"/>
      <c r="F101" s="535"/>
      <c r="L101" s="559"/>
      <c r="M101" s="542"/>
      <c r="O101" s="9"/>
      <c r="R101" s="380"/>
      <c r="S101" s="380"/>
      <c r="T101" s="380"/>
      <c r="U101" s="380"/>
      <c r="V101" s="380"/>
      <c r="W101" s="380"/>
      <c r="X101" s="380"/>
      <c r="Y101" s="380"/>
      <c r="Z101" s="380"/>
      <c r="AA101" s="380"/>
      <c r="AB101" s="380"/>
      <c r="AC101" s="380"/>
      <c r="AD101" s="380"/>
      <c r="AE101" s="380"/>
      <c r="AF101" s="380"/>
      <c r="AG101" s="380"/>
      <c r="AH101" s="380"/>
      <c r="AI101" s="380"/>
      <c r="AJ101" s="380"/>
      <c r="AK101" s="380"/>
      <c r="AL101" s="380"/>
      <c r="AM101" s="380"/>
      <c r="AN101" s="380"/>
      <c r="AO101" s="380"/>
      <c r="AP101" s="380"/>
      <c r="AQ101" s="380"/>
      <c r="AR101" s="380"/>
      <c r="AS101" s="380"/>
      <c r="AT101" s="380"/>
      <c r="AU101" s="380"/>
      <c r="AV101" s="380"/>
      <c r="AW101" s="380"/>
      <c r="AX101" s="380"/>
      <c r="AY101" s="380"/>
      <c r="AZ101" s="380"/>
      <c r="BA101" s="380"/>
      <c r="BB101" s="380"/>
      <c r="BC101" s="380"/>
      <c r="BD101" s="380"/>
      <c r="BE101" s="380"/>
      <c r="BF101" s="380"/>
      <c r="BG101" s="380"/>
      <c r="BH101" s="380"/>
      <c r="BI101" s="380"/>
      <c r="BJ101" s="380"/>
      <c r="BK101" s="380"/>
      <c r="BL101" s="380"/>
      <c r="BM101" s="380"/>
      <c r="BN101" s="380"/>
      <c r="BO101" s="380"/>
      <c r="BP101" s="380"/>
      <c r="BQ101" s="380"/>
      <c r="BR101" s="380"/>
      <c r="BS101" s="380"/>
      <c r="BT101" s="380"/>
      <c r="BU101" s="380"/>
      <c r="BV101" s="380"/>
      <c r="BW101" s="380"/>
      <c r="BX101" s="380"/>
      <c r="BY101" s="380"/>
      <c r="BZ101" s="380"/>
      <c r="CA101" s="380"/>
      <c r="CB101" s="380"/>
      <c r="CC101" s="380"/>
      <c r="CD101" s="380"/>
      <c r="CE101" s="380"/>
      <c r="CF101" s="380"/>
    </row>
    <row r="102" spans="2:84">
      <c r="B102" s="579" t="s">
        <v>804</v>
      </c>
      <c r="C102" s="622">
        <f ca="1">Resultado!D33</f>
        <v>22086597.211066131</v>
      </c>
      <c r="D102" s="535"/>
      <c r="E102" s="535"/>
      <c r="F102" s="535"/>
      <c r="L102" s="559"/>
      <c r="M102" s="542"/>
      <c r="O102" s="9"/>
      <c r="R102" s="380"/>
      <c r="S102" s="380"/>
      <c r="T102" s="380"/>
      <c r="U102" s="380"/>
      <c r="V102" s="380"/>
      <c r="W102" s="380"/>
      <c r="X102" s="380"/>
      <c r="Y102" s="380"/>
      <c r="Z102" s="380"/>
      <c r="AA102" s="380"/>
      <c r="AB102" s="380"/>
      <c r="AC102" s="380"/>
      <c r="AD102" s="380"/>
      <c r="AE102" s="380"/>
      <c r="AF102" s="380"/>
      <c r="AG102" s="380"/>
      <c r="AH102" s="380"/>
      <c r="AI102" s="380"/>
      <c r="AJ102" s="380"/>
      <c r="AK102" s="380"/>
      <c r="AL102" s="380"/>
      <c r="AM102" s="380"/>
      <c r="AN102" s="380"/>
      <c r="AO102" s="380"/>
      <c r="AP102" s="380"/>
      <c r="AQ102" s="380"/>
      <c r="AR102" s="380"/>
      <c r="AS102" s="380"/>
      <c r="AT102" s="380"/>
      <c r="AU102" s="380"/>
      <c r="AV102" s="380"/>
      <c r="AW102" s="380"/>
      <c r="AX102" s="380"/>
      <c r="AY102" s="380"/>
      <c r="AZ102" s="380"/>
      <c r="BA102" s="380"/>
      <c r="BB102" s="380"/>
      <c r="BC102" s="380"/>
      <c r="BD102" s="380"/>
      <c r="BE102" s="380"/>
      <c r="BF102" s="380"/>
      <c r="BG102" s="380"/>
      <c r="BH102" s="380"/>
      <c r="BI102" s="380"/>
      <c r="BJ102" s="380"/>
      <c r="BK102" s="380"/>
      <c r="BL102" s="380"/>
      <c r="BM102" s="380"/>
      <c r="BN102" s="380"/>
      <c r="BO102" s="380"/>
      <c r="BP102" s="380"/>
      <c r="BQ102" s="380"/>
      <c r="BR102" s="380"/>
      <c r="BS102" s="380"/>
      <c r="BT102" s="380"/>
      <c r="BU102" s="380"/>
      <c r="BV102" s="380"/>
      <c r="BW102" s="380"/>
      <c r="BX102" s="380"/>
      <c r="BY102" s="380"/>
      <c r="BZ102" s="380"/>
      <c r="CA102" s="380"/>
      <c r="CB102" s="380"/>
      <c r="CC102" s="380"/>
      <c r="CD102" s="380"/>
      <c r="CE102" s="380"/>
      <c r="CF102" s="380"/>
    </row>
    <row r="103" spans="2:84">
      <c r="B103" s="579" t="s">
        <v>805</v>
      </c>
      <c r="C103" s="622">
        <f>Resultado!D32</f>
        <v>14041281.290248398</v>
      </c>
      <c r="D103" s="535"/>
      <c r="E103" s="535"/>
      <c r="F103" s="535"/>
      <c r="L103" s="559"/>
      <c r="M103" s="542"/>
      <c r="O103" s="9"/>
      <c r="R103" s="380"/>
      <c r="S103" s="380"/>
      <c r="T103" s="380"/>
      <c r="U103" s="380"/>
      <c r="V103" s="380"/>
      <c r="W103" s="380"/>
      <c r="X103" s="380"/>
      <c r="Y103" s="380"/>
      <c r="Z103" s="380"/>
      <c r="AA103" s="380"/>
      <c r="AB103" s="380"/>
      <c r="AC103" s="380"/>
      <c r="AD103" s="380"/>
      <c r="AE103" s="380"/>
      <c r="AF103" s="380"/>
      <c r="AG103" s="380"/>
      <c r="AH103" s="380"/>
      <c r="AI103" s="380"/>
      <c r="AJ103" s="380"/>
      <c r="AK103" s="380"/>
      <c r="AL103" s="380"/>
      <c r="AM103" s="380"/>
      <c r="AN103" s="380"/>
      <c r="AO103" s="380"/>
      <c r="AP103" s="380"/>
      <c r="AQ103" s="380"/>
      <c r="AR103" s="380"/>
      <c r="AS103" s="380"/>
      <c r="AT103" s="380"/>
      <c r="AU103" s="380"/>
      <c r="AV103" s="380"/>
      <c r="AW103" s="380"/>
      <c r="AX103" s="380"/>
      <c r="AY103" s="380"/>
      <c r="AZ103" s="380"/>
      <c r="BA103" s="380"/>
      <c r="BB103" s="380"/>
      <c r="BC103" s="380"/>
      <c r="BD103" s="380"/>
      <c r="BE103" s="380"/>
      <c r="BF103" s="380"/>
      <c r="BG103" s="380"/>
      <c r="BH103" s="380"/>
      <c r="BI103" s="380"/>
      <c r="BJ103" s="380"/>
      <c r="BK103" s="380"/>
      <c r="BL103" s="380"/>
      <c r="BM103" s="380"/>
      <c r="BN103" s="380"/>
      <c r="BO103" s="380"/>
      <c r="BP103" s="380"/>
      <c r="BQ103" s="380"/>
      <c r="BR103" s="380"/>
      <c r="BS103" s="380"/>
      <c r="BT103" s="380"/>
      <c r="BU103" s="380"/>
      <c r="BV103" s="380"/>
      <c r="BW103" s="380"/>
      <c r="BX103" s="380"/>
      <c r="BY103" s="380"/>
      <c r="BZ103" s="380"/>
      <c r="CA103" s="380"/>
      <c r="CB103" s="380"/>
      <c r="CC103" s="380"/>
      <c r="CD103" s="380"/>
      <c r="CE103" s="380"/>
      <c r="CF103" s="380"/>
    </row>
    <row r="104" spans="2:84">
      <c r="B104" s="579" t="s">
        <v>806</v>
      </c>
      <c r="C104" s="622">
        <f>SUM(Resultado!D25:D29)</f>
        <v>0</v>
      </c>
      <c r="D104" s="535"/>
      <c r="E104" s="535"/>
      <c r="F104" s="535"/>
      <c r="H104" s="578"/>
      <c r="I104" s="578"/>
      <c r="L104" s="559"/>
      <c r="M104" s="542"/>
      <c r="O104" s="9"/>
      <c r="R104" s="380"/>
      <c r="S104" s="380"/>
      <c r="T104" s="380"/>
      <c r="U104" s="380"/>
      <c r="V104" s="380"/>
      <c r="W104" s="380"/>
      <c r="X104" s="380"/>
      <c r="Y104" s="380"/>
      <c r="Z104" s="380"/>
      <c r="AA104" s="380"/>
      <c r="AB104" s="380"/>
      <c r="AC104" s="380"/>
      <c r="AD104" s="380"/>
      <c r="AE104" s="380"/>
      <c r="AF104" s="380"/>
      <c r="AG104" s="380"/>
      <c r="AH104" s="380"/>
      <c r="AI104" s="380"/>
      <c r="AJ104" s="380"/>
      <c r="AK104" s="380"/>
      <c r="AL104" s="380"/>
      <c r="AM104" s="380"/>
      <c r="AN104" s="380"/>
      <c r="AO104" s="380"/>
      <c r="AP104" s="380"/>
      <c r="AQ104" s="380"/>
      <c r="AR104" s="380"/>
      <c r="AS104" s="380"/>
      <c r="AT104" s="380"/>
      <c r="AU104" s="380"/>
      <c r="AV104" s="380"/>
      <c r="AW104" s="380"/>
      <c r="AX104" s="380"/>
      <c r="AY104" s="380"/>
      <c r="AZ104" s="380"/>
      <c r="BA104" s="380"/>
      <c r="BB104" s="380"/>
      <c r="BC104" s="380"/>
      <c r="BD104" s="380"/>
      <c r="BE104" s="380"/>
      <c r="BF104" s="380"/>
      <c r="BG104" s="380"/>
      <c r="BH104" s="380"/>
      <c r="BI104" s="380"/>
      <c r="BJ104" s="380"/>
      <c r="BK104" s="380"/>
      <c r="BL104" s="380"/>
      <c r="BM104" s="380"/>
      <c r="BN104" s="380"/>
      <c r="BO104" s="380"/>
      <c r="BP104" s="380"/>
      <c r="BQ104" s="380"/>
      <c r="BR104" s="380"/>
      <c r="BS104" s="380"/>
      <c r="BT104" s="380"/>
      <c r="BU104" s="380"/>
      <c r="BV104" s="380"/>
      <c r="BW104" s="380"/>
      <c r="BX104" s="380"/>
      <c r="BY104" s="380"/>
      <c r="BZ104" s="380"/>
      <c r="CA104" s="380"/>
      <c r="CB104" s="380"/>
      <c r="CC104" s="380"/>
      <c r="CD104" s="380"/>
      <c r="CE104" s="380"/>
      <c r="CF104" s="380"/>
    </row>
    <row r="105" spans="2:84">
      <c r="B105" s="579" t="s">
        <v>807</v>
      </c>
      <c r="C105" s="622">
        <f>Resultado!D31</f>
        <v>0</v>
      </c>
      <c r="D105" s="535"/>
      <c r="E105" s="535"/>
      <c r="F105" s="535"/>
      <c r="L105" s="559"/>
      <c r="M105" s="542"/>
      <c r="O105" s="9"/>
      <c r="R105" s="380"/>
      <c r="S105" s="380"/>
      <c r="T105" s="380"/>
      <c r="U105" s="380"/>
      <c r="V105" s="380"/>
      <c r="W105" s="380"/>
      <c r="X105" s="380"/>
      <c r="Y105" s="380"/>
      <c r="Z105" s="380"/>
      <c r="AA105" s="380"/>
      <c r="AB105" s="380"/>
      <c r="AC105" s="380"/>
      <c r="AD105" s="380"/>
      <c r="AE105" s="380"/>
      <c r="AF105" s="380"/>
      <c r="AG105" s="380"/>
      <c r="AH105" s="380"/>
      <c r="AI105" s="380"/>
      <c r="AJ105" s="380"/>
      <c r="AK105" s="380"/>
      <c r="AL105" s="380"/>
      <c r="AM105" s="380"/>
      <c r="AN105" s="380"/>
      <c r="AO105" s="380"/>
      <c r="AP105" s="380"/>
      <c r="AQ105" s="380"/>
      <c r="AR105" s="380"/>
      <c r="AS105" s="380"/>
      <c r="AT105" s="380"/>
      <c r="AU105" s="380"/>
      <c r="AV105" s="380"/>
      <c r="AW105" s="380"/>
      <c r="AX105" s="380"/>
      <c r="AY105" s="380"/>
      <c r="AZ105" s="380"/>
      <c r="BA105" s="380"/>
      <c r="BB105" s="380"/>
      <c r="BC105" s="380"/>
      <c r="BD105" s="380"/>
      <c r="BE105" s="380"/>
      <c r="BF105" s="380"/>
      <c r="BG105" s="380"/>
      <c r="BH105" s="380"/>
      <c r="BI105" s="380"/>
      <c r="BJ105" s="380"/>
      <c r="BK105" s="380"/>
      <c r="BL105" s="380"/>
      <c r="BM105" s="380"/>
      <c r="BN105" s="380"/>
      <c r="BO105" s="380"/>
      <c r="BP105" s="380"/>
      <c r="BQ105" s="380"/>
      <c r="BR105" s="380"/>
      <c r="BS105" s="380"/>
      <c r="BT105" s="380"/>
      <c r="BU105" s="380"/>
      <c r="BV105" s="380"/>
      <c r="BW105" s="380"/>
      <c r="BX105" s="380"/>
      <c r="BY105" s="380"/>
      <c r="BZ105" s="380"/>
      <c r="CA105" s="380"/>
      <c r="CB105" s="380"/>
      <c r="CC105" s="380"/>
      <c r="CD105" s="380"/>
      <c r="CE105" s="380"/>
      <c r="CF105" s="380"/>
    </row>
    <row r="106" spans="2:84">
      <c r="B106" s="579" t="s">
        <v>808</v>
      </c>
      <c r="C106" s="623">
        <f>ROUND(Calc_Mercado!J18/1000,0)</f>
        <v>11</v>
      </c>
      <c r="D106" s="535"/>
      <c r="E106" s="535"/>
      <c r="F106" s="535"/>
      <c r="L106" s="559"/>
      <c r="M106" s="542"/>
      <c r="O106" s="9"/>
      <c r="R106" s="380"/>
      <c r="S106" s="380"/>
      <c r="T106" s="380"/>
      <c r="U106" s="380"/>
      <c r="V106" s="380"/>
      <c r="W106" s="380"/>
      <c r="X106" s="380"/>
      <c r="Y106" s="380"/>
      <c r="Z106" s="380"/>
      <c r="AA106" s="380"/>
      <c r="AB106" s="380"/>
      <c r="AC106" s="380"/>
      <c r="AD106" s="380"/>
      <c r="AE106" s="380"/>
      <c r="AF106" s="380"/>
      <c r="AG106" s="380"/>
      <c r="AH106" s="380"/>
      <c r="AI106" s="380"/>
      <c r="AJ106" s="380"/>
      <c r="AK106" s="380"/>
      <c r="AL106" s="380"/>
      <c r="AM106" s="380"/>
      <c r="AN106" s="380"/>
      <c r="AO106" s="380"/>
      <c r="AP106" s="380"/>
      <c r="AQ106" s="380"/>
      <c r="AR106" s="380"/>
      <c r="AS106" s="380"/>
      <c r="AT106" s="380"/>
      <c r="AU106" s="380"/>
      <c r="AV106" s="380"/>
      <c r="AW106" s="380"/>
      <c r="AX106" s="380"/>
      <c r="AY106" s="380"/>
      <c r="AZ106" s="380"/>
      <c r="BA106" s="380"/>
      <c r="BB106" s="380"/>
      <c r="BC106" s="380"/>
      <c r="BD106" s="380"/>
      <c r="BE106" s="380"/>
      <c r="BF106" s="380"/>
      <c r="BG106" s="380"/>
      <c r="BH106" s="380"/>
      <c r="BI106" s="380"/>
      <c r="BJ106" s="380"/>
      <c r="BK106" s="380"/>
      <c r="BL106" s="380"/>
      <c r="BM106" s="380"/>
      <c r="BN106" s="380"/>
      <c r="BO106" s="380"/>
      <c r="BP106" s="380"/>
      <c r="BQ106" s="380"/>
      <c r="BR106" s="380"/>
      <c r="BS106" s="380"/>
      <c r="BT106" s="380"/>
      <c r="BU106" s="380"/>
      <c r="BV106" s="380"/>
      <c r="BW106" s="380"/>
      <c r="BX106" s="380"/>
      <c r="BY106" s="380"/>
      <c r="BZ106" s="380"/>
      <c r="CA106" s="380"/>
      <c r="CB106" s="380"/>
      <c r="CC106" s="380"/>
      <c r="CD106" s="380"/>
      <c r="CE106" s="380"/>
      <c r="CF106" s="380"/>
    </row>
    <row r="107" spans="2:84">
      <c r="B107" s="579" t="s">
        <v>809</v>
      </c>
      <c r="C107" s="623">
        <f ca="1">ROUND(Mercado_RA0_Reais/1000000,0)</f>
        <v>89</v>
      </c>
      <c r="D107" s="535"/>
      <c r="E107" s="535"/>
      <c r="F107" s="535"/>
      <c r="L107" s="559"/>
      <c r="M107" s="542"/>
      <c r="O107" s="9"/>
      <c r="R107" s="380"/>
      <c r="S107" s="380"/>
      <c r="T107" s="380"/>
      <c r="U107" s="380"/>
      <c r="V107" s="380"/>
      <c r="W107" s="380"/>
      <c r="X107" s="380"/>
      <c r="Y107" s="380"/>
      <c r="Z107" s="380"/>
      <c r="AA107" s="380"/>
      <c r="AB107" s="380"/>
      <c r="AC107" s="380"/>
      <c r="AD107" s="380"/>
      <c r="AE107" s="380"/>
      <c r="AF107" s="380"/>
      <c r="AG107" s="380"/>
      <c r="AH107" s="380"/>
      <c r="AI107" s="380"/>
      <c r="AJ107" s="380"/>
      <c r="AK107" s="380"/>
      <c r="AL107" s="380"/>
      <c r="AM107" s="380"/>
      <c r="AN107" s="380"/>
      <c r="AO107" s="380"/>
      <c r="AP107" s="380"/>
      <c r="AQ107" s="380"/>
      <c r="AR107" s="380"/>
      <c r="AS107" s="380"/>
      <c r="AT107" s="380"/>
      <c r="AU107" s="380"/>
      <c r="AV107" s="380"/>
      <c r="AW107" s="380"/>
      <c r="AX107" s="380"/>
      <c r="AY107" s="380"/>
      <c r="AZ107" s="380"/>
      <c r="BA107" s="380"/>
      <c r="BB107" s="380"/>
      <c r="BC107" s="380"/>
      <c r="BD107" s="380"/>
      <c r="BE107" s="380"/>
      <c r="BF107" s="380"/>
      <c r="BG107" s="380"/>
      <c r="BH107" s="380"/>
      <c r="BI107" s="380"/>
      <c r="BJ107" s="380"/>
      <c r="BK107" s="380"/>
      <c r="BL107" s="380"/>
      <c r="BM107" s="380"/>
      <c r="BN107" s="380"/>
      <c r="BO107" s="380"/>
      <c r="BP107" s="380"/>
      <c r="BQ107" s="380"/>
      <c r="BR107" s="380"/>
      <c r="BS107" s="380"/>
      <c r="BT107" s="380"/>
      <c r="BU107" s="380"/>
      <c r="BV107" s="380"/>
      <c r="BW107" s="380"/>
      <c r="BX107" s="380"/>
      <c r="BY107" s="380"/>
      <c r="BZ107" s="380"/>
      <c r="CA107" s="380"/>
      <c r="CB107" s="380"/>
      <c r="CC107" s="380"/>
      <c r="CD107" s="380"/>
      <c r="CE107" s="380"/>
      <c r="CF107" s="380"/>
    </row>
    <row r="108" spans="2:84">
      <c r="B108" s="579" t="s">
        <v>289</v>
      </c>
      <c r="C108" s="623" t="str">
        <f>VLOOKUP(LnkTXTSigla,Informacoes[],9,FALSE)</f>
        <v>RGE</v>
      </c>
      <c r="D108" s="535"/>
      <c r="E108" s="535">
        <f>VLOOKUP(LnkTXTSigla,Informacoes[],11,FALSE)</f>
        <v>0</v>
      </c>
      <c r="F108" s="535"/>
      <c r="L108" s="559"/>
      <c r="M108" s="542"/>
      <c r="O108" s="9"/>
      <c r="R108" s="380"/>
      <c r="S108" s="380"/>
      <c r="T108" s="380"/>
      <c r="U108" s="380"/>
      <c r="V108" s="380"/>
      <c r="W108" s="380"/>
      <c r="X108" s="380"/>
      <c r="Y108" s="380"/>
      <c r="Z108" s="380"/>
      <c r="AA108" s="380"/>
      <c r="AB108" s="380"/>
      <c r="AC108" s="380"/>
      <c r="AD108" s="380"/>
      <c r="AE108" s="380"/>
      <c r="AF108" s="380"/>
      <c r="AG108" s="380"/>
      <c r="AH108" s="380"/>
      <c r="AI108" s="380"/>
      <c r="AJ108" s="380"/>
      <c r="AK108" s="380"/>
      <c r="AL108" s="380"/>
      <c r="AM108" s="380"/>
      <c r="AN108" s="380"/>
      <c r="AO108" s="380"/>
      <c r="AP108" s="380"/>
      <c r="AQ108" s="380"/>
      <c r="AR108" s="380"/>
      <c r="AS108" s="380"/>
      <c r="AT108" s="380"/>
      <c r="AU108" s="380"/>
      <c r="AV108" s="380"/>
      <c r="AW108" s="380"/>
      <c r="AX108" s="380"/>
      <c r="AY108" s="380"/>
      <c r="AZ108" s="380"/>
      <c r="BA108" s="380"/>
      <c r="BB108" s="380"/>
      <c r="BC108" s="380"/>
      <c r="BD108" s="380"/>
      <c r="BE108" s="380"/>
      <c r="BF108" s="380"/>
      <c r="BG108" s="380"/>
      <c r="BH108" s="380"/>
      <c r="BI108" s="380"/>
      <c r="BJ108" s="380"/>
      <c r="BK108" s="380"/>
      <c r="BL108" s="380"/>
      <c r="BM108" s="380"/>
      <c r="BN108" s="380"/>
      <c r="BO108" s="380"/>
      <c r="BP108" s="380"/>
      <c r="BQ108" s="380"/>
      <c r="BR108" s="380"/>
      <c r="BS108" s="380"/>
      <c r="BT108" s="380"/>
      <c r="BU108" s="380"/>
      <c r="BV108" s="380"/>
      <c r="BW108" s="380"/>
      <c r="BX108" s="380"/>
      <c r="BY108" s="380"/>
      <c r="BZ108" s="380"/>
      <c r="CA108" s="380"/>
      <c r="CB108" s="380"/>
      <c r="CC108" s="380"/>
      <c r="CD108" s="380"/>
      <c r="CE108" s="380"/>
      <c r="CF108" s="380"/>
    </row>
    <row r="109" spans="2:84" ht="16.5" customHeight="1">
      <c r="B109" s="767" t="s">
        <v>291</v>
      </c>
      <c r="C109" s="1104" t="str">
        <f>IF(E109=0,"!vazio!"," e "&amp;E109)</f>
        <v>!vazio!</v>
      </c>
      <c r="D109" s="1105" t="str">
        <f>IF(Energia!B29=Energia!B28,IF(Energia!B30=Energia!B28,Energia!B31,Energia!B29),Energia!B29)</f>
        <v>RGE SUL DISTRIBUIDORA DE ENERGIA S.A.</v>
      </c>
      <c r="E109" s="1105">
        <f>VLOOKUP(LnkTXTSigla,Informacoes[],11,FALSE)</f>
        <v>0</v>
      </c>
      <c r="F109" s="1105"/>
      <c r="L109" s="559"/>
      <c r="M109" s="542"/>
      <c r="O109" s="9"/>
      <c r="R109" s="380"/>
      <c r="S109" s="380"/>
      <c r="T109" s="380"/>
      <c r="U109" s="380"/>
      <c r="V109" s="380"/>
      <c r="W109" s="380"/>
      <c r="X109" s="380"/>
      <c r="Y109" s="380"/>
      <c r="Z109" s="380"/>
      <c r="AA109" s="380"/>
      <c r="AB109" s="380"/>
      <c r="AC109" s="380"/>
      <c r="AD109" s="380"/>
      <c r="AE109" s="380"/>
      <c r="AF109" s="380"/>
      <c r="AG109" s="380"/>
      <c r="AH109" s="380"/>
      <c r="AI109" s="380"/>
      <c r="AJ109" s="380"/>
      <c r="AK109" s="380"/>
      <c r="AL109" s="380"/>
      <c r="AM109" s="380"/>
      <c r="AN109" s="380"/>
      <c r="AO109" s="380"/>
      <c r="AP109" s="380"/>
      <c r="AQ109" s="380"/>
      <c r="AR109" s="380"/>
      <c r="AS109" s="380"/>
      <c r="AT109" s="380"/>
      <c r="AU109" s="380"/>
      <c r="AV109" s="380"/>
      <c r="AW109" s="380"/>
      <c r="AX109" s="380"/>
      <c r="AY109" s="380"/>
      <c r="AZ109" s="380"/>
      <c r="BA109" s="380"/>
      <c r="BB109" s="380"/>
      <c r="BC109" s="380"/>
      <c r="BD109" s="380"/>
      <c r="BE109" s="380"/>
      <c r="BF109" s="380"/>
      <c r="BG109" s="380"/>
      <c r="BH109" s="380"/>
      <c r="BI109" s="380"/>
      <c r="BJ109" s="380"/>
      <c r="BK109" s="380"/>
      <c r="BL109" s="380"/>
      <c r="BM109" s="380"/>
      <c r="BN109" s="380"/>
      <c r="BO109" s="380"/>
      <c r="BP109" s="380"/>
      <c r="BQ109" s="380"/>
      <c r="BR109" s="380"/>
      <c r="BS109" s="380"/>
      <c r="BT109" s="380"/>
      <c r="BU109" s="380"/>
      <c r="BV109" s="380"/>
      <c r="BW109" s="380"/>
      <c r="BX109" s="380"/>
      <c r="BY109" s="380"/>
      <c r="BZ109" s="380"/>
      <c r="CA109" s="380"/>
      <c r="CB109" s="380"/>
      <c r="CC109" s="380"/>
      <c r="CD109" s="380"/>
      <c r="CE109" s="380"/>
      <c r="CF109" s="380"/>
    </row>
    <row r="110" spans="2:84">
      <c r="B110" s="767" t="s">
        <v>810</v>
      </c>
      <c r="C110" s="1104" t="str">
        <f ca="1">IF(AnoRevRea=VLOOKUP(LnkTXTSigla,Informacoes[],22,FALSE),"REVISÃO","REAJUSTE")</f>
        <v>REVISÃO</v>
      </c>
      <c r="D110" s="1105"/>
      <c r="E110" s="1105"/>
      <c r="F110" s="1105"/>
      <c r="L110" s="559"/>
      <c r="M110" s="542"/>
      <c r="O110" s="9"/>
      <c r="R110" s="380"/>
      <c r="S110" s="380"/>
      <c r="T110" s="380"/>
      <c r="U110" s="380"/>
      <c r="V110" s="380"/>
      <c r="W110" s="380"/>
      <c r="X110" s="380"/>
      <c r="Y110" s="380"/>
      <c r="Z110" s="380"/>
      <c r="AA110" s="380"/>
      <c r="AB110" s="380"/>
      <c r="AC110" s="380"/>
      <c r="AD110" s="380"/>
      <c r="AE110" s="380"/>
      <c r="AF110" s="380"/>
      <c r="AG110" s="380"/>
      <c r="AH110" s="380"/>
      <c r="AI110" s="380"/>
      <c r="AJ110" s="380"/>
      <c r="AK110" s="380"/>
      <c r="AL110" s="380"/>
      <c r="AM110" s="380"/>
      <c r="AN110" s="380"/>
      <c r="AO110" s="380"/>
      <c r="AP110" s="380"/>
      <c r="AQ110" s="380"/>
      <c r="AR110" s="380"/>
      <c r="AS110" s="380"/>
      <c r="AT110" s="380"/>
      <c r="AU110" s="380"/>
      <c r="AV110" s="380"/>
      <c r="AW110" s="380"/>
      <c r="AX110" s="380"/>
      <c r="AY110" s="380"/>
      <c r="AZ110" s="380"/>
      <c r="BA110" s="380"/>
      <c r="BB110" s="380"/>
      <c r="BC110" s="380"/>
      <c r="BD110" s="380"/>
      <c r="BE110" s="380"/>
      <c r="BF110" s="380"/>
      <c r="BG110" s="380"/>
      <c r="BH110" s="380"/>
      <c r="BI110" s="380"/>
      <c r="BJ110" s="380"/>
      <c r="BK110" s="380"/>
      <c r="BL110" s="380"/>
      <c r="BM110" s="380"/>
      <c r="BN110" s="380"/>
      <c r="BO110" s="380"/>
      <c r="BP110" s="380"/>
      <c r="BQ110" s="380"/>
      <c r="BR110" s="380"/>
      <c r="BS110" s="380"/>
      <c r="BT110" s="380"/>
      <c r="BU110" s="380"/>
      <c r="BV110" s="380"/>
      <c r="BW110" s="380"/>
      <c r="BX110" s="380"/>
      <c r="BY110" s="380"/>
      <c r="BZ110" s="380"/>
      <c r="CA110" s="380"/>
      <c r="CB110" s="380"/>
      <c r="CC110" s="380"/>
      <c r="CD110" s="380"/>
      <c r="CE110" s="380"/>
      <c r="CF110" s="380"/>
    </row>
    <row r="111" spans="2:84" ht="31.5" customHeight="1">
      <c r="B111" s="767" t="s">
        <v>811</v>
      </c>
      <c r="C111" s="1104" t="str">
        <f ca="1">IF(C110="Reajuste", "Reajuste Tarifário Anual - RTA", "Revisão Tarifária Periódica - RTP")</f>
        <v>Revisão Tarifária Periódica - RTP</v>
      </c>
      <c r="D111" s="1104"/>
      <c r="E111" s="1104"/>
      <c r="F111" s="1104"/>
      <c r="L111" s="559"/>
      <c r="M111" s="542"/>
      <c r="O111" s="9"/>
      <c r="R111" s="380"/>
      <c r="S111" s="380"/>
      <c r="T111" s="380"/>
      <c r="U111" s="380"/>
      <c r="V111" s="380"/>
      <c r="W111" s="380"/>
      <c r="X111" s="380"/>
      <c r="Y111" s="380"/>
      <c r="Z111" s="380"/>
      <c r="AA111" s="380"/>
      <c r="AB111" s="380"/>
      <c r="AC111" s="380"/>
      <c r="AD111" s="380"/>
      <c r="AE111" s="380"/>
      <c r="AF111" s="380"/>
      <c r="AG111" s="380"/>
      <c r="AH111" s="380"/>
      <c r="AI111" s="380"/>
      <c r="AJ111" s="380"/>
      <c r="AK111" s="380"/>
      <c r="AL111" s="380"/>
      <c r="AM111" s="380"/>
      <c r="AN111" s="380"/>
      <c r="AO111" s="380"/>
      <c r="AP111" s="380"/>
      <c r="AQ111" s="380"/>
      <c r="AR111" s="380"/>
      <c r="AS111" s="380"/>
      <c r="AT111" s="380"/>
      <c r="AU111" s="380"/>
      <c r="AV111" s="380"/>
      <c r="AW111" s="380"/>
      <c r="AX111" s="380"/>
      <c r="AY111" s="380"/>
      <c r="AZ111" s="380"/>
      <c r="BA111" s="380"/>
      <c r="BB111" s="380"/>
      <c r="BC111" s="380"/>
      <c r="BD111" s="380"/>
      <c r="BE111" s="380"/>
      <c r="BF111" s="380"/>
      <c r="BG111" s="380"/>
      <c r="BH111" s="380"/>
      <c r="BI111" s="380"/>
      <c r="BJ111" s="380"/>
      <c r="BK111" s="380"/>
      <c r="BL111" s="380"/>
      <c r="BM111" s="380"/>
      <c r="BN111" s="380"/>
      <c r="BO111" s="380"/>
      <c r="BP111" s="380"/>
      <c r="BQ111" s="380"/>
      <c r="BR111" s="380"/>
      <c r="BS111" s="380"/>
      <c r="BT111" s="380"/>
      <c r="BU111" s="380"/>
      <c r="BV111" s="380"/>
      <c r="BW111" s="380"/>
      <c r="BX111" s="380"/>
      <c r="BY111" s="380"/>
      <c r="BZ111" s="380"/>
      <c r="CA111" s="380"/>
      <c r="CB111" s="380"/>
      <c r="CC111" s="380"/>
      <c r="CD111" s="380"/>
      <c r="CE111" s="380"/>
      <c r="CF111" s="380"/>
    </row>
    <row r="112" spans="2:84" ht="110.25">
      <c r="B112" s="767" t="s">
        <v>812</v>
      </c>
      <c r="C112" s="771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71"/>
      <c r="E112" s="771"/>
      <c r="F112" s="771"/>
      <c r="L112" s="559"/>
      <c r="M112" s="542"/>
      <c r="O112" s="9"/>
      <c r="R112" s="380"/>
      <c r="S112" s="380"/>
      <c r="T112" s="380"/>
      <c r="U112" s="380"/>
      <c r="V112" s="380"/>
      <c r="W112" s="380"/>
      <c r="X112" s="380"/>
      <c r="Y112" s="380"/>
      <c r="Z112" s="380"/>
      <c r="AA112" s="380"/>
      <c r="AB112" s="380"/>
      <c r="AC112" s="380"/>
      <c r="AD112" s="380"/>
      <c r="AE112" s="380"/>
      <c r="AF112" s="380"/>
      <c r="AG112" s="380"/>
      <c r="AH112" s="380"/>
      <c r="AI112" s="380"/>
      <c r="AJ112" s="380"/>
      <c r="AK112" s="380"/>
      <c r="AL112" s="380"/>
      <c r="AM112" s="380"/>
      <c r="AN112" s="380"/>
      <c r="AO112" s="380"/>
      <c r="AP112" s="380"/>
      <c r="AQ112" s="380"/>
      <c r="AR112" s="380"/>
      <c r="AS112" s="380"/>
      <c r="AT112" s="380"/>
      <c r="AU112" s="380"/>
      <c r="AV112" s="380"/>
      <c r="AW112" s="380"/>
      <c r="AX112" s="380"/>
      <c r="AY112" s="380"/>
      <c r="AZ112" s="380"/>
      <c r="BA112" s="380"/>
      <c r="BB112" s="380"/>
      <c r="BC112" s="380"/>
      <c r="BD112" s="380"/>
      <c r="BE112" s="380"/>
      <c r="BF112" s="380"/>
      <c r="BG112" s="380"/>
      <c r="BH112" s="380"/>
      <c r="BI112" s="380"/>
      <c r="BJ112" s="380"/>
      <c r="BK112" s="380"/>
      <c r="BL112" s="380"/>
      <c r="BM112" s="380"/>
      <c r="BN112" s="380"/>
      <c r="BO112" s="380"/>
      <c r="BP112" s="380"/>
      <c r="BQ112" s="380"/>
      <c r="BR112" s="380"/>
      <c r="BS112" s="380"/>
      <c r="BT112" s="380"/>
      <c r="BU112" s="380"/>
      <c r="BV112" s="380"/>
      <c r="BW112" s="380"/>
      <c r="BX112" s="380"/>
      <c r="BY112" s="380"/>
      <c r="BZ112" s="380"/>
      <c r="CA112" s="380"/>
      <c r="CB112" s="380"/>
      <c r="CC112" s="380"/>
      <c r="CD112" s="380"/>
      <c r="CE112" s="380"/>
      <c r="CF112" s="380"/>
    </row>
    <row r="113" spans="1:84">
      <c r="A113" s="1674"/>
      <c r="B113" s="766" t="s">
        <v>813</v>
      </c>
      <c r="C113" s="769" t="str">
        <f>VLOOKUP(C9,Informacoes[],37,FALSE)</f>
        <v>Não</v>
      </c>
      <c r="D113" s="769"/>
      <c r="E113" s="769"/>
      <c r="F113" s="769"/>
      <c r="L113" s="559"/>
      <c r="M113" s="542"/>
      <c r="O113" s="9"/>
      <c r="R113" s="380"/>
      <c r="S113" s="380"/>
      <c r="T113" s="380"/>
      <c r="U113" s="380"/>
      <c r="V113" s="380"/>
      <c r="W113" s="380"/>
      <c r="X113" s="380"/>
      <c r="Y113" s="380"/>
      <c r="Z113" s="380"/>
      <c r="AA113" s="380"/>
      <c r="AB113" s="380"/>
      <c r="AC113" s="380"/>
      <c r="AD113" s="380"/>
      <c r="AE113" s="380"/>
      <c r="AF113" s="380"/>
      <c r="AG113" s="380"/>
      <c r="AH113" s="380"/>
      <c r="AI113" s="380"/>
      <c r="AJ113" s="380"/>
      <c r="AK113" s="380"/>
      <c r="AL113" s="380"/>
      <c r="AM113" s="380"/>
      <c r="AN113" s="380"/>
      <c r="AO113" s="380"/>
      <c r="AP113" s="380"/>
      <c r="AQ113" s="380"/>
      <c r="AR113" s="380"/>
      <c r="AS113" s="380"/>
      <c r="AT113" s="380"/>
      <c r="AU113" s="380"/>
      <c r="AV113" s="380"/>
      <c r="AW113" s="380"/>
      <c r="AX113" s="380"/>
      <c r="AY113" s="380"/>
      <c r="AZ113" s="380"/>
      <c r="BA113" s="380"/>
      <c r="BB113" s="380"/>
      <c r="BC113" s="380"/>
      <c r="BD113" s="380"/>
      <c r="BE113" s="380"/>
      <c r="BF113" s="380"/>
      <c r="BG113" s="380"/>
      <c r="BH113" s="380"/>
      <c r="BI113" s="380"/>
      <c r="BJ113" s="380"/>
      <c r="BK113" s="380"/>
      <c r="BL113" s="380"/>
      <c r="BM113" s="380"/>
      <c r="BN113" s="380"/>
      <c r="BO113" s="380"/>
      <c r="BP113" s="380"/>
      <c r="BQ113" s="380"/>
      <c r="BR113" s="380"/>
      <c r="BS113" s="380"/>
      <c r="BT113" s="380"/>
      <c r="BU113" s="380"/>
      <c r="BV113" s="380"/>
      <c r="BW113" s="380"/>
      <c r="BX113" s="380"/>
      <c r="BY113" s="380"/>
      <c r="BZ113" s="380"/>
      <c r="CA113" s="380"/>
      <c r="CB113" s="380"/>
      <c r="CC113" s="380"/>
      <c r="CD113" s="380"/>
      <c r="CE113" s="380"/>
      <c r="CF113" s="380"/>
    </row>
    <row r="114" spans="1:84">
      <c r="A114" s="1674"/>
      <c r="B114" s="767" t="s">
        <v>814</v>
      </c>
      <c r="C114" s="770">
        <f>VLOOKUP(C9,Informacoes[],38,FALSE)</f>
        <v>0</v>
      </c>
      <c r="D114" s="770"/>
      <c r="E114" s="770"/>
      <c r="F114" s="770"/>
      <c r="L114" s="559"/>
      <c r="M114" s="542"/>
      <c r="O114" s="9"/>
      <c r="R114" s="380"/>
      <c r="S114" s="380"/>
      <c r="T114" s="380"/>
      <c r="U114" s="380"/>
      <c r="V114" s="380"/>
      <c r="W114" s="380"/>
      <c r="X114" s="380"/>
      <c r="Y114" s="380"/>
      <c r="Z114" s="380"/>
      <c r="AA114" s="380"/>
      <c r="AB114" s="380"/>
      <c r="AC114" s="380"/>
      <c r="AD114" s="380"/>
      <c r="AE114" s="380"/>
      <c r="AF114" s="380"/>
      <c r="AG114" s="380"/>
      <c r="AH114" s="380"/>
      <c r="AI114" s="380"/>
      <c r="AJ114" s="380"/>
      <c r="AK114" s="380"/>
      <c r="AL114" s="380"/>
      <c r="AM114" s="380"/>
      <c r="AN114" s="380"/>
      <c r="AO114" s="380"/>
      <c r="AP114" s="380"/>
      <c r="AQ114" s="380"/>
      <c r="AR114" s="380"/>
      <c r="AS114" s="380"/>
      <c r="AT114" s="380"/>
      <c r="AU114" s="380"/>
      <c r="AV114" s="380"/>
      <c r="AW114" s="380"/>
      <c r="AX114" s="380"/>
      <c r="AY114" s="380"/>
      <c r="AZ114" s="380"/>
      <c r="BA114" s="380"/>
      <c r="BB114" s="380"/>
      <c r="BC114" s="380"/>
      <c r="BD114" s="380"/>
      <c r="BE114" s="380"/>
      <c r="BF114" s="380"/>
      <c r="BG114" s="380"/>
      <c r="BH114" s="380"/>
      <c r="BI114" s="380"/>
      <c r="BJ114" s="380"/>
      <c r="BK114" s="380"/>
      <c r="BL114" s="380"/>
      <c r="BM114" s="380"/>
      <c r="BN114" s="380"/>
      <c r="BO114" s="380"/>
      <c r="BP114" s="380"/>
      <c r="BQ114" s="380"/>
      <c r="BR114" s="380"/>
      <c r="BS114" s="380"/>
      <c r="BT114" s="380"/>
      <c r="BU114" s="380"/>
      <c r="BV114" s="380"/>
      <c r="BW114" s="380"/>
      <c r="BX114" s="380"/>
      <c r="BY114" s="380"/>
      <c r="BZ114" s="380"/>
      <c r="CA114" s="380"/>
      <c r="CB114" s="380"/>
      <c r="CC114" s="380"/>
      <c r="CD114" s="380"/>
      <c r="CE114" s="380"/>
      <c r="CF114" s="380"/>
    </row>
    <row r="115" spans="1:84">
      <c r="L115" s="559"/>
      <c r="M115" s="542"/>
      <c r="O115" s="9"/>
      <c r="R115" s="380"/>
      <c r="S115" s="380"/>
      <c r="T115" s="380"/>
      <c r="U115" s="380"/>
      <c r="V115" s="380"/>
      <c r="W115" s="380"/>
      <c r="X115" s="380"/>
      <c r="Y115" s="380"/>
      <c r="Z115" s="380"/>
      <c r="AA115" s="380"/>
      <c r="AB115" s="380"/>
      <c r="AC115" s="380"/>
      <c r="AD115" s="380"/>
      <c r="AE115" s="380"/>
      <c r="AF115" s="380"/>
      <c r="AG115" s="380"/>
      <c r="AH115" s="380"/>
      <c r="AI115" s="380"/>
      <c r="AJ115" s="380"/>
      <c r="AK115" s="380"/>
      <c r="AL115" s="380"/>
      <c r="AM115" s="380"/>
      <c r="AN115" s="380"/>
      <c r="AO115" s="380"/>
      <c r="AP115" s="380"/>
      <c r="AQ115" s="380"/>
      <c r="AR115" s="380"/>
      <c r="AS115" s="380"/>
      <c r="AT115" s="380"/>
      <c r="AU115" s="380"/>
      <c r="AV115" s="380"/>
      <c r="AW115" s="380"/>
      <c r="AX115" s="380"/>
      <c r="AY115" s="380"/>
      <c r="AZ115" s="380"/>
      <c r="BA115" s="380"/>
      <c r="BB115" s="380"/>
      <c r="BC115" s="380"/>
      <c r="BD115" s="380"/>
      <c r="BE115" s="380"/>
      <c r="BF115" s="380"/>
      <c r="BG115" s="380"/>
      <c r="BH115" s="380"/>
      <c r="BI115" s="380"/>
      <c r="BJ115" s="380"/>
      <c r="BK115" s="380"/>
      <c r="BL115" s="380"/>
      <c r="BM115" s="380"/>
      <c r="BN115" s="380"/>
      <c r="BO115" s="380"/>
      <c r="BP115" s="380"/>
      <c r="BQ115" s="380"/>
      <c r="BR115" s="380"/>
      <c r="BS115" s="380"/>
      <c r="BT115" s="380"/>
      <c r="BU115" s="380"/>
      <c r="BV115" s="380"/>
      <c r="BW115" s="380"/>
      <c r="BX115" s="380"/>
      <c r="BY115" s="380"/>
      <c r="BZ115" s="380"/>
      <c r="CA115" s="380"/>
      <c r="CB115" s="380"/>
      <c r="CC115" s="380"/>
      <c r="CD115" s="380"/>
      <c r="CE115" s="380"/>
      <c r="CF115" s="380"/>
    </row>
    <row r="116" spans="1:84">
      <c r="L116" s="559"/>
      <c r="M116" s="542"/>
      <c r="O116" s="9"/>
      <c r="R116" s="380"/>
      <c r="S116" s="380"/>
      <c r="T116" s="380"/>
      <c r="U116" s="380"/>
      <c r="V116" s="380"/>
      <c r="W116" s="380"/>
      <c r="X116" s="380"/>
      <c r="Y116" s="380"/>
      <c r="Z116" s="380"/>
      <c r="AA116" s="380"/>
      <c r="AB116" s="380"/>
      <c r="AC116" s="380"/>
      <c r="AD116" s="380"/>
      <c r="AE116" s="380"/>
      <c r="AF116" s="380"/>
      <c r="AG116" s="380"/>
      <c r="AH116" s="380"/>
      <c r="AI116" s="380"/>
      <c r="AJ116" s="380"/>
      <c r="AK116" s="380"/>
      <c r="AL116" s="380"/>
      <c r="AM116" s="380"/>
      <c r="AN116" s="380"/>
      <c r="AO116" s="380"/>
      <c r="AP116" s="380"/>
      <c r="AQ116" s="380"/>
      <c r="AR116" s="380"/>
      <c r="AS116" s="380"/>
      <c r="AT116" s="380"/>
      <c r="AU116" s="380"/>
      <c r="AV116" s="380"/>
      <c r="AW116" s="380"/>
      <c r="AX116" s="380"/>
      <c r="AY116" s="380"/>
      <c r="AZ116" s="380"/>
      <c r="BA116" s="380"/>
      <c r="BB116" s="380"/>
      <c r="BC116" s="380"/>
      <c r="BD116" s="380"/>
      <c r="BE116" s="380"/>
      <c r="BF116" s="380"/>
      <c r="BG116" s="380"/>
      <c r="BH116" s="380"/>
      <c r="BI116" s="380"/>
      <c r="BJ116" s="380"/>
      <c r="BK116" s="380"/>
      <c r="BL116" s="380"/>
      <c r="BM116" s="380"/>
      <c r="BN116" s="380"/>
      <c r="BO116" s="380"/>
      <c r="BP116" s="380"/>
      <c r="BQ116" s="380"/>
      <c r="BR116" s="380"/>
      <c r="BS116" s="380"/>
      <c r="BT116" s="380"/>
      <c r="BU116" s="380"/>
      <c r="BV116" s="380"/>
      <c r="BW116" s="380"/>
      <c r="BX116" s="380"/>
      <c r="BY116" s="380"/>
      <c r="BZ116" s="380"/>
      <c r="CA116" s="380"/>
      <c r="CB116" s="380"/>
      <c r="CC116" s="380"/>
      <c r="CD116" s="380"/>
      <c r="CE116" s="380"/>
      <c r="CF116" s="380"/>
    </row>
    <row r="117" spans="1:84">
      <c r="L117" s="559"/>
      <c r="M117" s="542"/>
      <c r="O117" s="9"/>
      <c r="R117" s="380"/>
      <c r="S117" s="380"/>
      <c r="T117" s="380"/>
      <c r="U117" s="380"/>
      <c r="V117" s="380"/>
      <c r="W117" s="380"/>
      <c r="X117" s="380"/>
      <c r="Y117" s="380"/>
      <c r="Z117" s="380"/>
      <c r="AA117" s="380"/>
      <c r="AB117" s="380"/>
      <c r="AC117" s="380"/>
      <c r="AD117" s="380"/>
      <c r="AE117" s="380"/>
      <c r="AF117" s="380"/>
      <c r="AG117" s="380"/>
      <c r="AH117" s="380"/>
      <c r="AI117" s="380"/>
      <c r="AJ117" s="380"/>
      <c r="AK117" s="380"/>
      <c r="AL117" s="380"/>
      <c r="AM117" s="380"/>
      <c r="AN117" s="380"/>
      <c r="AO117" s="380"/>
      <c r="AP117" s="380"/>
      <c r="AQ117" s="380"/>
      <c r="AR117" s="380"/>
      <c r="AS117" s="380"/>
      <c r="AT117" s="380"/>
      <c r="AU117" s="380"/>
      <c r="AV117" s="380"/>
      <c r="AW117" s="380"/>
      <c r="AX117" s="380"/>
      <c r="AY117" s="380"/>
      <c r="AZ117" s="380"/>
      <c r="BA117" s="380"/>
      <c r="BB117" s="380"/>
      <c r="BC117" s="380"/>
      <c r="BD117" s="380"/>
      <c r="BE117" s="380"/>
      <c r="BF117" s="380"/>
      <c r="BG117" s="380"/>
      <c r="BH117" s="380"/>
      <c r="BI117" s="380"/>
      <c r="BJ117" s="380"/>
      <c r="BK117" s="380"/>
      <c r="BL117" s="380"/>
      <c r="BM117" s="380"/>
      <c r="BN117" s="380"/>
      <c r="BO117" s="380"/>
      <c r="BP117" s="380"/>
      <c r="BQ117" s="380"/>
      <c r="BR117" s="380"/>
      <c r="BS117" s="380"/>
      <c r="BT117" s="380"/>
      <c r="BU117" s="380"/>
      <c r="BV117" s="380"/>
      <c r="BW117" s="380"/>
      <c r="BX117" s="380"/>
      <c r="BY117" s="380"/>
      <c r="BZ117" s="380"/>
      <c r="CA117" s="380"/>
      <c r="CB117" s="380"/>
      <c r="CC117" s="380"/>
      <c r="CD117" s="380"/>
      <c r="CE117" s="380"/>
      <c r="CF117" s="380"/>
    </row>
    <row r="118" spans="1:84" ht="16.5" customHeight="1">
      <c r="B118" s="230" t="s">
        <v>815</v>
      </c>
      <c r="C118" s="230"/>
      <c r="L118" s="559"/>
      <c r="M118" s="542"/>
      <c r="O118" s="9"/>
      <c r="R118" s="380"/>
      <c r="S118" s="380"/>
      <c r="T118" s="380"/>
      <c r="U118" s="380"/>
      <c r="V118" s="380"/>
      <c r="W118" s="380"/>
      <c r="X118" s="380"/>
      <c r="Y118" s="380"/>
      <c r="Z118" s="380"/>
      <c r="AA118" s="380"/>
      <c r="AB118" s="380"/>
      <c r="AC118" s="380"/>
      <c r="AD118" s="380"/>
      <c r="AE118" s="380"/>
      <c r="AF118" s="380"/>
      <c r="AG118" s="380"/>
      <c r="AH118" s="380"/>
      <c r="AI118" s="380"/>
      <c r="AJ118" s="380"/>
      <c r="AK118" s="380"/>
      <c r="AL118" s="380"/>
      <c r="AM118" s="380"/>
      <c r="AN118" s="380"/>
      <c r="AO118" s="380"/>
      <c r="AP118" s="380"/>
      <c r="AQ118" s="380"/>
      <c r="AR118" s="380"/>
      <c r="AS118" s="380"/>
      <c r="AT118" s="380"/>
      <c r="AU118" s="380"/>
      <c r="AV118" s="380"/>
      <c r="AW118" s="380"/>
      <c r="AX118" s="380"/>
      <c r="AY118" s="380"/>
      <c r="AZ118" s="380"/>
      <c r="BA118" s="380"/>
      <c r="BB118" s="380"/>
      <c r="BC118" s="380"/>
      <c r="BD118" s="380"/>
      <c r="BE118" s="380"/>
      <c r="BF118" s="380"/>
      <c r="BG118" s="380"/>
      <c r="BH118" s="380"/>
      <c r="BI118" s="380"/>
      <c r="BJ118" s="380"/>
      <c r="BK118" s="380"/>
      <c r="BL118" s="380"/>
      <c r="BM118" s="380"/>
      <c r="BN118" s="380"/>
      <c r="BO118" s="380"/>
      <c r="BP118" s="380"/>
      <c r="BQ118" s="380"/>
      <c r="BR118" s="380"/>
      <c r="BS118" s="380"/>
      <c r="BT118" s="380"/>
      <c r="BU118" s="380"/>
      <c r="BV118" s="380"/>
      <c r="BW118" s="380"/>
      <c r="BX118" s="380"/>
      <c r="BY118" s="380"/>
      <c r="BZ118" s="380"/>
      <c r="CA118" s="380"/>
      <c r="CB118" s="380"/>
      <c r="CC118" s="380"/>
      <c r="CD118" s="380"/>
      <c r="CE118" s="380"/>
      <c r="CF118" s="380"/>
    </row>
    <row r="119" spans="1:84">
      <c r="B119" s="1106" t="s">
        <v>281</v>
      </c>
      <c r="C119" s="1106" t="s">
        <v>281</v>
      </c>
      <c r="L119" s="559"/>
      <c r="M119" s="542"/>
      <c r="O119" s="9"/>
      <c r="R119" s="380"/>
      <c r="S119" s="380"/>
      <c r="T119" s="380"/>
      <c r="U119" s="380"/>
      <c r="V119" s="380"/>
      <c r="W119" s="380"/>
      <c r="X119" s="380"/>
      <c r="Y119" s="380"/>
      <c r="Z119" s="380"/>
      <c r="AA119" s="380"/>
      <c r="AB119" s="380"/>
      <c r="AC119" s="380"/>
      <c r="AD119" s="380"/>
      <c r="AE119" s="380"/>
      <c r="AF119" s="380"/>
      <c r="AG119" s="380"/>
      <c r="AH119" s="380"/>
      <c r="AI119" s="380"/>
      <c r="AJ119" s="380"/>
      <c r="AK119" s="380"/>
      <c r="AL119" s="380"/>
      <c r="AM119" s="380"/>
      <c r="AN119" s="380"/>
      <c r="AO119" s="380"/>
      <c r="AP119" s="380"/>
      <c r="AQ119" s="380"/>
      <c r="AR119" s="380"/>
      <c r="AS119" s="380"/>
      <c r="AT119" s="380"/>
      <c r="AU119" s="380"/>
      <c r="AV119" s="380"/>
      <c r="AW119" s="380"/>
      <c r="AX119" s="380"/>
      <c r="AY119" s="380"/>
      <c r="AZ119" s="380"/>
      <c r="BA119" s="380"/>
      <c r="BB119" s="380"/>
      <c r="BC119" s="380"/>
      <c r="BD119" s="380"/>
      <c r="BE119" s="380"/>
      <c r="BF119" s="380"/>
      <c r="BG119" s="380"/>
      <c r="BH119" s="380"/>
      <c r="BI119" s="380"/>
      <c r="BJ119" s="380"/>
      <c r="BK119" s="380"/>
      <c r="BL119" s="380"/>
      <c r="BM119" s="380"/>
      <c r="BN119" s="380"/>
      <c r="BO119" s="380"/>
      <c r="BP119" s="380"/>
      <c r="BQ119" s="380"/>
      <c r="BR119" s="380"/>
      <c r="BS119" s="380"/>
      <c r="BT119" s="380"/>
      <c r="BU119" s="380"/>
      <c r="BV119" s="380"/>
      <c r="BW119" s="380"/>
      <c r="BX119" s="380"/>
      <c r="BY119" s="380"/>
      <c r="BZ119" s="380"/>
      <c r="CA119" s="380"/>
      <c r="CB119" s="380"/>
      <c r="CC119" s="380"/>
      <c r="CD119" s="380"/>
      <c r="CE119" s="380"/>
      <c r="CF119" s="380"/>
    </row>
    <row r="120" spans="1:84">
      <c r="B120" s="1107" t="str">
        <f>LnkTXTSigla</f>
        <v>Creluz</v>
      </c>
      <c r="C120" s="1108" t="str">
        <f>LnkTXTSuprid1</f>
        <v>RGE</v>
      </c>
      <c r="L120" s="559"/>
      <c r="M120" s="542"/>
      <c r="O120" s="9"/>
      <c r="R120" s="380"/>
      <c r="S120" s="380"/>
      <c r="T120" s="380"/>
      <c r="U120" s="380"/>
      <c r="V120" s="380"/>
      <c r="W120" s="380"/>
      <c r="X120" s="380"/>
      <c r="Y120" s="380"/>
      <c r="Z120" s="380"/>
      <c r="AA120" s="380"/>
      <c r="AB120" s="380"/>
      <c r="AC120" s="380"/>
      <c r="AD120" s="380"/>
      <c r="AE120" s="380"/>
      <c r="AF120" s="380"/>
      <c r="AG120" s="380"/>
      <c r="AH120" s="380"/>
      <c r="AI120" s="380"/>
      <c r="AJ120" s="380"/>
      <c r="AK120" s="380"/>
      <c r="AL120" s="380"/>
      <c r="AM120" s="380"/>
      <c r="AN120" s="380"/>
      <c r="AO120" s="380"/>
      <c r="AP120" s="380"/>
      <c r="AQ120" s="380"/>
      <c r="AR120" s="380"/>
      <c r="AS120" s="380"/>
      <c r="AT120" s="380"/>
      <c r="AU120" s="380"/>
      <c r="AV120" s="380"/>
      <c r="AW120" s="380"/>
      <c r="AX120" s="380"/>
      <c r="AY120" s="380"/>
      <c r="AZ120" s="380"/>
      <c r="BA120" s="380"/>
      <c r="BB120" s="380"/>
      <c r="BC120" s="380"/>
      <c r="BD120" s="380"/>
      <c r="BE120" s="380"/>
      <c r="BF120" s="380"/>
      <c r="BG120" s="380"/>
      <c r="BH120" s="380"/>
      <c r="BI120" s="380"/>
      <c r="BJ120" s="380"/>
      <c r="BK120" s="380"/>
      <c r="BL120" s="380"/>
      <c r="BM120" s="380"/>
      <c r="BN120" s="380"/>
      <c r="BO120" s="380"/>
      <c r="BP120" s="380"/>
      <c r="BQ120" s="380"/>
      <c r="BR120" s="380"/>
      <c r="BS120" s="380"/>
      <c r="BT120" s="380"/>
      <c r="BU120" s="380"/>
      <c r="BV120" s="380"/>
      <c r="BW120" s="380"/>
      <c r="BX120" s="380"/>
      <c r="BY120" s="380"/>
      <c r="BZ120" s="380"/>
      <c r="CA120" s="380"/>
      <c r="CB120" s="380"/>
      <c r="CC120" s="380"/>
      <c r="CD120" s="380"/>
      <c r="CE120" s="380"/>
      <c r="CF120" s="380"/>
    </row>
    <row r="121" spans="1:84">
      <c r="L121" s="559"/>
      <c r="M121" s="542"/>
      <c r="O121" s="9"/>
      <c r="R121" s="380"/>
      <c r="S121" s="380"/>
      <c r="T121" s="380"/>
      <c r="U121" s="380"/>
      <c r="V121" s="380"/>
      <c r="W121" s="380"/>
      <c r="X121" s="380"/>
      <c r="Y121" s="380"/>
      <c r="Z121" s="380"/>
      <c r="AA121" s="380"/>
      <c r="AB121" s="380"/>
      <c r="AC121" s="380"/>
      <c r="AD121" s="380"/>
      <c r="AE121" s="380"/>
      <c r="AF121" s="380"/>
      <c r="AG121" s="380"/>
      <c r="AH121" s="380"/>
      <c r="AI121" s="380"/>
      <c r="AJ121" s="380"/>
      <c r="AK121" s="380"/>
      <c r="AL121" s="380"/>
      <c r="AM121" s="380"/>
      <c r="AN121" s="380"/>
      <c r="AO121" s="380"/>
      <c r="AP121" s="380"/>
      <c r="AQ121" s="380"/>
      <c r="AR121" s="380"/>
      <c r="AS121" s="380"/>
      <c r="AT121" s="380"/>
      <c r="AU121" s="380"/>
      <c r="AV121" s="380"/>
      <c r="AW121" s="380"/>
      <c r="AX121" s="380"/>
      <c r="AY121" s="380"/>
      <c r="AZ121" s="380"/>
      <c r="BA121" s="380"/>
      <c r="BB121" s="380"/>
      <c r="BC121" s="380"/>
      <c r="BD121" s="380"/>
      <c r="BE121" s="380"/>
      <c r="BF121" s="380"/>
      <c r="BG121" s="380"/>
      <c r="BH121" s="380"/>
      <c r="BI121" s="380"/>
      <c r="BJ121" s="380"/>
      <c r="BK121" s="380"/>
      <c r="BL121" s="380"/>
      <c r="BM121" s="380"/>
      <c r="BN121" s="380"/>
      <c r="BO121" s="380"/>
      <c r="BP121" s="380"/>
      <c r="BQ121" s="380"/>
      <c r="BR121" s="380"/>
      <c r="BS121" s="380"/>
      <c r="BT121" s="380"/>
      <c r="BU121" s="380"/>
      <c r="BV121" s="380"/>
      <c r="BW121" s="380"/>
      <c r="BX121" s="380"/>
      <c r="BY121" s="380"/>
      <c r="BZ121" s="380"/>
      <c r="CA121" s="380"/>
      <c r="CB121" s="380"/>
      <c r="CC121" s="380"/>
      <c r="CD121" s="380"/>
      <c r="CE121" s="380"/>
      <c r="CF121" s="380"/>
    </row>
    <row r="122" spans="1:84">
      <c r="L122" s="559"/>
      <c r="M122" s="542"/>
      <c r="O122" s="9"/>
      <c r="R122" s="380"/>
      <c r="S122" s="380"/>
      <c r="T122" s="380"/>
      <c r="U122" s="380"/>
      <c r="V122" s="380"/>
      <c r="W122" s="380"/>
      <c r="X122" s="380"/>
      <c r="Y122" s="380"/>
      <c r="Z122" s="380"/>
      <c r="AA122" s="380"/>
      <c r="AB122" s="380"/>
      <c r="AC122" s="380"/>
      <c r="AD122" s="380"/>
      <c r="AE122" s="380"/>
      <c r="AF122" s="380"/>
      <c r="AG122" s="380"/>
      <c r="AH122" s="380"/>
      <c r="AI122" s="380"/>
      <c r="AJ122" s="380"/>
      <c r="AK122" s="380"/>
      <c r="AL122" s="380"/>
      <c r="AM122" s="380"/>
      <c r="AN122" s="380"/>
      <c r="AO122" s="380"/>
      <c r="AP122" s="380"/>
      <c r="AQ122" s="380"/>
      <c r="AR122" s="380"/>
      <c r="AS122" s="380"/>
      <c r="AT122" s="380"/>
      <c r="AU122" s="380"/>
      <c r="AV122" s="380"/>
      <c r="AW122" s="380"/>
      <c r="AX122" s="380"/>
      <c r="AY122" s="380"/>
      <c r="AZ122" s="380"/>
      <c r="BA122" s="380"/>
      <c r="BB122" s="380"/>
      <c r="BC122" s="380"/>
      <c r="BD122" s="380"/>
      <c r="BE122" s="380"/>
      <c r="BF122" s="380"/>
      <c r="BG122" s="380"/>
      <c r="BH122" s="380"/>
      <c r="BI122" s="380"/>
      <c r="BJ122" s="380"/>
      <c r="BK122" s="380"/>
      <c r="BL122" s="380"/>
      <c r="BM122" s="380"/>
      <c r="BN122" s="380"/>
      <c r="BO122" s="380"/>
      <c r="BP122" s="380"/>
      <c r="BQ122" s="380"/>
      <c r="BR122" s="380"/>
      <c r="BS122" s="380"/>
      <c r="BT122" s="380"/>
      <c r="BU122" s="380"/>
      <c r="BV122" s="380"/>
      <c r="BW122" s="380"/>
      <c r="BX122" s="380"/>
      <c r="BY122" s="380"/>
      <c r="BZ122" s="380"/>
      <c r="CA122" s="380"/>
      <c r="CB122" s="380"/>
      <c r="CC122" s="380"/>
      <c r="CD122" s="380"/>
      <c r="CE122" s="380"/>
      <c r="CF122" s="380"/>
    </row>
    <row r="123" spans="1:84">
      <c r="L123" s="559"/>
      <c r="M123" s="542"/>
      <c r="O123" s="9"/>
      <c r="R123" s="380"/>
      <c r="S123" s="380"/>
      <c r="T123" s="380"/>
      <c r="U123" s="380"/>
      <c r="V123" s="380"/>
      <c r="W123" s="380"/>
      <c r="X123" s="380"/>
      <c r="Y123" s="380"/>
      <c r="Z123" s="380"/>
      <c r="AA123" s="380"/>
      <c r="AB123" s="380"/>
      <c r="AC123" s="380"/>
      <c r="AD123" s="380"/>
      <c r="AE123" s="380"/>
      <c r="AF123" s="380"/>
      <c r="AG123" s="380"/>
      <c r="AH123" s="380"/>
      <c r="AI123" s="380"/>
      <c r="AJ123" s="380"/>
      <c r="AK123" s="380"/>
      <c r="AL123" s="380"/>
      <c r="AM123" s="380"/>
      <c r="AN123" s="380"/>
      <c r="AO123" s="380"/>
      <c r="AP123" s="380"/>
      <c r="AQ123" s="380"/>
      <c r="AR123" s="380"/>
      <c r="AS123" s="380"/>
      <c r="AT123" s="380"/>
      <c r="AU123" s="380"/>
      <c r="AV123" s="380"/>
      <c r="AW123" s="380"/>
      <c r="AX123" s="380"/>
      <c r="AY123" s="380"/>
      <c r="AZ123" s="380"/>
      <c r="BA123" s="380"/>
      <c r="BB123" s="380"/>
      <c r="BC123" s="380"/>
      <c r="BD123" s="380"/>
      <c r="BE123" s="380"/>
      <c r="BF123" s="380"/>
      <c r="BG123" s="380"/>
      <c r="BH123" s="380"/>
      <c r="BI123" s="380"/>
      <c r="BJ123" s="380"/>
      <c r="BK123" s="380"/>
      <c r="BL123" s="380"/>
      <c r="BM123" s="380"/>
      <c r="BN123" s="380"/>
      <c r="BO123" s="380"/>
      <c r="BP123" s="380"/>
      <c r="BQ123" s="380"/>
      <c r="BR123" s="380"/>
      <c r="BS123" s="380"/>
      <c r="BT123" s="380"/>
      <c r="BU123" s="380"/>
      <c r="BV123" s="380"/>
      <c r="BW123" s="380"/>
      <c r="BX123" s="380"/>
      <c r="BY123" s="380"/>
      <c r="BZ123" s="380"/>
      <c r="CA123" s="380"/>
      <c r="CB123" s="380"/>
      <c r="CC123" s="380"/>
      <c r="CD123" s="380"/>
      <c r="CE123" s="380"/>
      <c r="CF123" s="380"/>
    </row>
    <row r="124" spans="1:84">
      <c r="L124" s="559"/>
      <c r="M124" s="542"/>
      <c r="O124" s="9"/>
      <c r="R124" s="380"/>
      <c r="S124" s="380"/>
      <c r="T124" s="380"/>
      <c r="U124" s="380"/>
      <c r="V124" s="380"/>
      <c r="W124" s="380"/>
      <c r="X124" s="380"/>
      <c r="Y124" s="380"/>
      <c r="Z124" s="380"/>
      <c r="AA124" s="380"/>
      <c r="AB124" s="380"/>
      <c r="AC124" s="380"/>
      <c r="AD124" s="380"/>
      <c r="AE124" s="380"/>
      <c r="AF124" s="380"/>
      <c r="AG124" s="380"/>
      <c r="AH124" s="380"/>
      <c r="AI124" s="380"/>
      <c r="AJ124" s="380"/>
      <c r="AK124" s="380"/>
      <c r="AL124" s="380"/>
      <c r="AM124" s="380"/>
      <c r="AN124" s="380"/>
      <c r="AO124" s="380"/>
      <c r="AP124" s="380"/>
      <c r="AQ124" s="380"/>
      <c r="AR124" s="380"/>
      <c r="AS124" s="380"/>
      <c r="AT124" s="380"/>
      <c r="AU124" s="380"/>
      <c r="AV124" s="380"/>
      <c r="AW124" s="380"/>
      <c r="AX124" s="380"/>
      <c r="AY124" s="380"/>
      <c r="AZ124" s="380"/>
      <c r="BA124" s="380"/>
      <c r="BB124" s="380"/>
      <c r="BC124" s="380"/>
      <c r="BD124" s="380"/>
      <c r="BE124" s="380"/>
      <c r="BF124" s="380"/>
      <c r="BG124" s="380"/>
      <c r="BH124" s="380"/>
      <c r="BI124" s="380"/>
      <c r="BJ124" s="380"/>
      <c r="BK124" s="380"/>
      <c r="BL124" s="380"/>
      <c r="BM124" s="380"/>
      <c r="BN124" s="380"/>
      <c r="BO124" s="380"/>
      <c r="BP124" s="380"/>
      <c r="BQ124" s="380"/>
      <c r="BR124" s="380"/>
      <c r="BS124" s="380"/>
      <c r="BT124" s="380"/>
      <c r="BU124" s="380"/>
      <c r="BV124" s="380"/>
      <c r="BW124" s="380"/>
      <c r="BX124" s="380"/>
      <c r="BY124" s="380"/>
      <c r="BZ124" s="380"/>
      <c r="CA124" s="380"/>
      <c r="CB124" s="380"/>
      <c r="CC124" s="380"/>
      <c r="CD124" s="380"/>
      <c r="CE124" s="380"/>
      <c r="CF124" s="380"/>
    </row>
    <row r="125" spans="1:84">
      <c r="L125" s="559"/>
      <c r="M125" s="542"/>
      <c r="O125" s="9"/>
      <c r="Q125" s="234"/>
      <c r="R125" s="380"/>
      <c r="S125" s="380"/>
      <c r="T125" s="380"/>
      <c r="U125" s="380"/>
      <c r="V125" s="380"/>
      <c r="W125" s="380"/>
      <c r="X125" s="380"/>
      <c r="Y125" s="380"/>
      <c r="Z125" s="380"/>
      <c r="AA125" s="380"/>
      <c r="AB125" s="380"/>
      <c r="AC125" s="380"/>
      <c r="AD125" s="380"/>
      <c r="AE125" s="380"/>
      <c r="AF125" s="380"/>
      <c r="AG125" s="380"/>
      <c r="AH125" s="380"/>
      <c r="AI125" s="380"/>
      <c r="AJ125" s="380"/>
      <c r="AK125" s="380"/>
      <c r="AL125" s="380"/>
      <c r="AM125" s="380"/>
      <c r="AN125" s="380"/>
      <c r="AO125" s="380"/>
      <c r="AP125" s="380"/>
      <c r="AQ125" s="380"/>
      <c r="AR125" s="380"/>
      <c r="AS125" s="380"/>
      <c r="AT125" s="380"/>
      <c r="AU125" s="380"/>
      <c r="AV125" s="380"/>
      <c r="AW125" s="380"/>
      <c r="AX125" s="380"/>
      <c r="AY125" s="380"/>
      <c r="AZ125" s="380"/>
      <c r="BA125" s="380"/>
      <c r="BB125" s="380"/>
      <c r="BC125" s="380"/>
      <c r="BD125" s="380"/>
      <c r="BE125" s="380"/>
      <c r="BF125" s="380"/>
      <c r="BG125" s="380"/>
      <c r="BH125" s="380"/>
      <c r="BI125" s="380"/>
      <c r="BJ125" s="380"/>
      <c r="BK125" s="380"/>
      <c r="BL125" s="380"/>
      <c r="BM125" s="380"/>
      <c r="BN125" s="380"/>
      <c r="BO125" s="380"/>
      <c r="BP125" s="380"/>
      <c r="BQ125" s="380"/>
      <c r="BR125" s="380"/>
      <c r="BS125" s="380"/>
      <c r="BT125" s="380"/>
      <c r="BU125" s="380"/>
      <c r="BV125" s="380"/>
      <c r="BW125" s="380"/>
      <c r="BX125" s="380"/>
      <c r="BY125" s="380"/>
      <c r="BZ125" s="380"/>
      <c r="CA125" s="380"/>
      <c r="CB125" s="380"/>
      <c r="CC125" s="380"/>
      <c r="CD125" s="380"/>
      <c r="CE125" s="380"/>
      <c r="CF125" s="380"/>
    </row>
    <row r="126" spans="1:84">
      <c r="L126" s="559"/>
      <c r="M126" s="542"/>
      <c r="O126" s="9"/>
      <c r="Q126" s="234"/>
      <c r="R126" s="380"/>
      <c r="S126" s="380"/>
      <c r="T126" s="380"/>
      <c r="U126" s="380"/>
      <c r="V126" s="380"/>
      <c r="W126" s="380"/>
      <c r="X126" s="380"/>
      <c r="Y126" s="380"/>
      <c r="Z126" s="380"/>
      <c r="AA126" s="380"/>
      <c r="AB126" s="380"/>
      <c r="AC126" s="380"/>
      <c r="AD126" s="380"/>
      <c r="AE126" s="380"/>
      <c r="AF126" s="380"/>
      <c r="AG126" s="380"/>
      <c r="AH126" s="380"/>
      <c r="AI126" s="380"/>
      <c r="AJ126" s="380"/>
      <c r="AK126" s="380"/>
      <c r="AL126" s="380"/>
      <c r="AM126" s="380"/>
      <c r="AN126" s="380"/>
      <c r="AO126" s="380"/>
      <c r="AP126" s="380"/>
      <c r="AQ126" s="380"/>
      <c r="AR126" s="380"/>
      <c r="AS126" s="380"/>
      <c r="AT126" s="380"/>
      <c r="AU126" s="380"/>
      <c r="AV126" s="380"/>
      <c r="AW126" s="380"/>
      <c r="AX126" s="380"/>
      <c r="AY126" s="380"/>
      <c r="AZ126" s="380"/>
      <c r="BA126" s="380"/>
      <c r="BB126" s="380"/>
      <c r="BC126" s="380"/>
      <c r="BD126" s="380"/>
      <c r="BE126" s="380"/>
      <c r="BF126" s="380"/>
      <c r="BG126" s="380"/>
      <c r="BH126" s="380"/>
      <c r="BI126" s="380"/>
      <c r="BJ126" s="380"/>
      <c r="BK126" s="380"/>
      <c r="BL126" s="380"/>
      <c r="BM126" s="380"/>
      <c r="BN126" s="380"/>
      <c r="BO126" s="380"/>
      <c r="BP126" s="380"/>
      <c r="BQ126" s="380"/>
      <c r="BR126" s="380"/>
      <c r="BS126" s="380"/>
      <c r="BT126" s="380"/>
      <c r="BU126" s="380"/>
      <c r="BV126" s="380"/>
      <c r="BW126" s="380"/>
      <c r="BX126" s="380"/>
      <c r="BY126" s="380"/>
      <c r="BZ126" s="380"/>
      <c r="CA126" s="380"/>
      <c r="CB126" s="380"/>
      <c r="CC126" s="380"/>
      <c r="CD126" s="380"/>
      <c r="CE126" s="380"/>
      <c r="CF126" s="380"/>
    </row>
    <row r="127" spans="1:84" ht="16.5" customHeight="1">
      <c r="L127" s="559"/>
      <c r="M127" s="542"/>
      <c r="O127" s="9"/>
      <c r="Q127" s="234"/>
      <c r="R127" s="380"/>
      <c r="S127" s="380"/>
      <c r="T127" s="380"/>
      <c r="U127" s="380"/>
      <c r="V127" s="380"/>
      <c r="W127" s="380"/>
      <c r="X127" s="380"/>
      <c r="Y127" s="380"/>
      <c r="Z127" s="380"/>
      <c r="AA127" s="380"/>
      <c r="AB127" s="380"/>
      <c r="AC127" s="380"/>
      <c r="AD127" s="380"/>
      <c r="AE127" s="380"/>
      <c r="AF127" s="380"/>
      <c r="AG127" s="380"/>
      <c r="AH127" s="380"/>
      <c r="AI127" s="380"/>
      <c r="AJ127" s="380"/>
      <c r="AK127" s="380"/>
      <c r="AL127" s="380"/>
      <c r="AM127" s="380"/>
      <c r="AN127" s="380"/>
      <c r="AO127" s="380"/>
      <c r="AP127" s="380"/>
      <c r="AQ127" s="380"/>
      <c r="AR127" s="380"/>
      <c r="AS127" s="380"/>
      <c r="AT127" s="380"/>
      <c r="AU127" s="380"/>
      <c r="AV127" s="380"/>
      <c r="AW127" s="380"/>
      <c r="AX127" s="380"/>
      <c r="AY127" s="380"/>
      <c r="AZ127" s="380"/>
      <c r="BA127" s="380"/>
      <c r="BB127" s="380"/>
      <c r="BC127" s="380"/>
      <c r="BD127" s="380"/>
      <c r="BE127" s="380"/>
      <c r="BF127" s="380"/>
      <c r="BG127" s="380"/>
      <c r="BH127" s="380"/>
      <c r="BI127" s="380"/>
      <c r="BJ127" s="380"/>
      <c r="BK127" s="380"/>
      <c r="BL127" s="380"/>
      <c r="BM127" s="380"/>
      <c r="BN127" s="380"/>
      <c r="BO127" s="380"/>
      <c r="BP127" s="380"/>
      <c r="BQ127" s="380"/>
      <c r="BR127" s="380"/>
      <c r="BS127" s="380"/>
      <c r="BT127" s="380"/>
      <c r="BU127" s="380"/>
      <c r="BV127" s="380"/>
      <c r="BW127" s="380"/>
      <c r="BX127" s="380"/>
      <c r="BY127" s="380"/>
      <c r="BZ127" s="380"/>
      <c r="CA127" s="380"/>
      <c r="CB127" s="380"/>
      <c r="CC127" s="380"/>
      <c r="CD127" s="380"/>
      <c r="CE127" s="380"/>
      <c r="CF127" s="380"/>
    </row>
    <row r="128" spans="1:84">
      <c r="L128" s="559"/>
      <c r="M128" s="542"/>
      <c r="O128" s="9"/>
      <c r="Q128" s="234"/>
      <c r="R128" s="380"/>
      <c r="S128" s="380"/>
      <c r="T128" s="380"/>
      <c r="U128" s="380"/>
      <c r="V128" s="380"/>
      <c r="W128" s="380"/>
      <c r="X128" s="380"/>
      <c r="Y128" s="380"/>
      <c r="Z128" s="380"/>
      <c r="AA128" s="380"/>
      <c r="AB128" s="380"/>
      <c r="AC128" s="380"/>
      <c r="AD128" s="380"/>
      <c r="AE128" s="380"/>
      <c r="AF128" s="380"/>
      <c r="AG128" s="380"/>
      <c r="AH128" s="380"/>
      <c r="AI128" s="380"/>
      <c r="AJ128" s="380"/>
      <c r="AK128" s="380"/>
      <c r="AL128" s="380"/>
      <c r="AM128" s="380"/>
      <c r="AN128" s="380"/>
      <c r="AO128" s="380"/>
      <c r="AP128" s="380"/>
      <c r="AQ128" s="380"/>
      <c r="AR128" s="380"/>
      <c r="AS128" s="380"/>
      <c r="AT128" s="380"/>
      <c r="AU128" s="380"/>
      <c r="AV128" s="380"/>
      <c r="AW128" s="380"/>
      <c r="AX128" s="380"/>
      <c r="AY128" s="380"/>
      <c r="AZ128" s="380"/>
      <c r="BA128" s="380"/>
      <c r="BB128" s="380"/>
      <c r="BC128" s="380"/>
      <c r="BD128" s="380"/>
      <c r="BE128" s="380"/>
      <c r="BF128" s="380"/>
      <c r="BG128" s="380"/>
      <c r="BH128" s="380"/>
      <c r="BI128" s="380"/>
      <c r="BJ128" s="380"/>
      <c r="BK128" s="380"/>
      <c r="BL128" s="380"/>
      <c r="BM128" s="380"/>
      <c r="BN128" s="380"/>
      <c r="BO128" s="380"/>
      <c r="BP128" s="380"/>
      <c r="BQ128" s="380"/>
      <c r="BR128" s="380"/>
      <c r="BS128" s="380"/>
      <c r="BT128" s="380"/>
      <c r="BU128" s="380"/>
      <c r="BV128" s="380"/>
      <c r="BW128" s="380"/>
      <c r="BX128" s="380"/>
      <c r="BY128" s="380"/>
      <c r="BZ128" s="380"/>
      <c r="CA128" s="380"/>
      <c r="CB128" s="380"/>
      <c r="CC128" s="380"/>
      <c r="CD128" s="380"/>
      <c r="CE128" s="380"/>
      <c r="CF128" s="380"/>
    </row>
    <row r="129" spans="13:84">
      <c r="M129" s="542"/>
      <c r="O129" s="9"/>
      <c r="Q129" s="234"/>
      <c r="R129" s="380"/>
      <c r="S129" s="380"/>
      <c r="T129" s="380"/>
      <c r="U129" s="380"/>
      <c r="V129" s="380"/>
      <c r="W129" s="380"/>
      <c r="X129" s="380"/>
      <c r="Y129" s="380"/>
      <c r="Z129" s="380"/>
      <c r="AA129" s="380"/>
      <c r="AB129" s="380"/>
      <c r="AC129" s="380"/>
      <c r="AD129" s="380"/>
      <c r="AE129" s="380"/>
      <c r="AF129" s="380"/>
      <c r="AG129" s="380"/>
      <c r="AH129" s="380"/>
      <c r="AI129" s="380"/>
      <c r="AJ129" s="380"/>
      <c r="AK129" s="380"/>
      <c r="AL129" s="380"/>
      <c r="AM129" s="380"/>
      <c r="AN129" s="380"/>
      <c r="AO129" s="380"/>
      <c r="AP129" s="380"/>
      <c r="AQ129" s="380"/>
      <c r="AR129" s="380"/>
      <c r="AS129" s="380"/>
      <c r="AT129" s="380"/>
      <c r="AU129" s="380"/>
      <c r="AV129" s="380"/>
      <c r="AW129" s="380"/>
      <c r="AX129" s="380"/>
      <c r="AY129" s="380"/>
      <c r="AZ129" s="380"/>
      <c r="BA129" s="380"/>
      <c r="BB129" s="380"/>
      <c r="BC129" s="380"/>
      <c r="BD129" s="380"/>
      <c r="BE129" s="380"/>
      <c r="BF129" s="380"/>
      <c r="BG129" s="380"/>
      <c r="BH129" s="380"/>
      <c r="BI129" s="380"/>
      <c r="BJ129" s="380"/>
      <c r="BK129" s="380"/>
      <c r="BL129" s="380"/>
      <c r="BM129" s="380"/>
      <c r="BN129" s="380"/>
      <c r="BO129" s="380"/>
      <c r="BP129" s="380"/>
      <c r="BQ129" s="380"/>
      <c r="BR129" s="380"/>
      <c r="BS129" s="380"/>
      <c r="BT129" s="380"/>
      <c r="BU129" s="380"/>
      <c r="BV129" s="380"/>
      <c r="BW129" s="380"/>
      <c r="BX129" s="380"/>
      <c r="BY129" s="380"/>
      <c r="BZ129" s="380"/>
      <c r="CA129" s="380"/>
      <c r="CB129" s="380"/>
      <c r="CC129" s="380"/>
      <c r="CD129" s="380"/>
      <c r="CE129" s="380"/>
      <c r="CF129" s="380"/>
    </row>
    <row r="130" spans="13:84">
      <c r="M130" s="542"/>
      <c r="O130" s="9"/>
      <c r="Q130" s="234"/>
      <c r="R130" s="380"/>
      <c r="S130" s="380"/>
      <c r="T130" s="380"/>
      <c r="U130" s="380"/>
      <c r="V130" s="380"/>
      <c r="W130" s="380"/>
      <c r="X130" s="380"/>
      <c r="Y130" s="380"/>
      <c r="Z130" s="380"/>
      <c r="AA130" s="380"/>
      <c r="AB130" s="380"/>
      <c r="AC130" s="380"/>
      <c r="AD130" s="380"/>
      <c r="AE130" s="380"/>
      <c r="AF130" s="380"/>
      <c r="AG130" s="380"/>
      <c r="AH130" s="380"/>
      <c r="AI130" s="380"/>
      <c r="AJ130" s="380"/>
      <c r="AK130" s="380"/>
      <c r="AL130" s="380"/>
      <c r="AM130" s="380"/>
      <c r="AN130" s="380"/>
      <c r="AO130" s="380"/>
      <c r="AP130" s="380"/>
      <c r="AQ130" s="380"/>
      <c r="AR130" s="380"/>
      <c r="AS130" s="380"/>
      <c r="AT130" s="380"/>
      <c r="AU130" s="380"/>
      <c r="AV130" s="380"/>
      <c r="AW130" s="380"/>
      <c r="AX130" s="380"/>
      <c r="AY130" s="380"/>
      <c r="AZ130" s="380"/>
      <c r="BA130" s="380"/>
      <c r="BB130" s="380"/>
      <c r="BC130" s="380"/>
      <c r="BD130" s="380"/>
      <c r="BE130" s="380"/>
      <c r="BF130" s="380"/>
      <c r="BG130" s="380"/>
      <c r="BH130" s="380"/>
      <c r="BI130" s="380"/>
      <c r="BJ130" s="380"/>
      <c r="BK130" s="380"/>
      <c r="BL130" s="380"/>
      <c r="BM130" s="380"/>
      <c r="BN130" s="380"/>
      <c r="BO130" s="380"/>
      <c r="BP130" s="380"/>
      <c r="BQ130" s="380"/>
      <c r="BR130" s="380"/>
      <c r="BS130" s="380"/>
      <c r="BT130" s="380"/>
      <c r="BU130" s="380"/>
      <c r="BV130" s="380"/>
      <c r="BW130" s="380"/>
      <c r="BX130" s="380"/>
      <c r="BY130" s="380"/>
      <c r="BZ130" s="380"/>
      <c r="CA130" s="380"/>
      <c r="CB130" s="380"/>
      <c r="CC130" s="380"/>
      <c r="CD130" s="380"/>
      <c r="CE130" s="380"/>
      <c r="CF130" s="380"/>
    </row>
    <row r="131" spans="13:84">
      <c r="M131" s="542"/>
      <c r="O131" s="9"/>
      <c r="Q131" s="234"/>
      <c r="R131" s="380"/>
      <c r="S131" s="380"/>
      <c r="T131" s="380"/>
      <c r="U131" s="380"/>
      <c r="V131" s="380"/>
      <c r="W131" s="380"/>
      <c r="X131" s="380"/>
      <c r="Y131" s="380"/>
      <c r="Z131" s="380"/>
      <c r="AA131" s="380"/>
      <c r="AB131" s="380"/>
      <c r="AC131" s="380"/>
      <c r="AD131" s="380"/>
      <c r="AE131" s="380"/>
      <c r="AF131" s="380"/>
      <c r="AG131" s="380"/>
      <c r="AH131" s="380"/>
      <c r="AI131" s="380"/>
      <c r="AJ131" s="380"/>
      <c r="AK131" s="380"/>
      <c r="AL131" s="380"/>
      <c r="AM131" s="380"/>
      <c r="AN131" s="380"/>
      <c r="AO131" s="380"/>
      <c r="AP131" s="380"/>
      <c r="AQ131" s="380"/>
      <c r="AR131" s="380"/>
      <c r="AS131" s="380"/>
      <c r="AT131" s="380"/>
      <c r="AU131" s="380"/>
      <c r="AV131" s="380"/>
      <c r="AW131" s="380"/>
      <c r="AX131" s="380"/>
      <c r="AY131" s="380"/>
      <c r="AZ131" s="380"/>
      <c r="BA131" s="380"/>
      <c r="BB131" s="380"/>
      <c r="BC131" s="380"/>
      <c r="BD131" s="380"/>
      <c r="BE131" s="380"/>
      <c r="BF131" s="380"/>
      <c r="BG131" s="380"/>
      <c r="BH131" s="380"/>
      <c r="BI131" s="380"/>
      <c r="BJ131" s="380"/>
      <c r="BK131" s="380"/>
      <c r="BL131" s="380"/>
      <c r="BM131" s="380"/>
      <c r="BN131" s="380"/>
      <c r="BO131" s="380"/>
      <c r="BP131" s="380"/>
      <c r="BQ131" s="380"/>
      <c r="BR131" s="380"/>
      <c r="BS131" s="380"/>
      <c r="BT131" s="380"/>
      <c r="BU131" s="380"/>
      <c r="BV131" s="380"/>
      <c r="BW131" s="380"/>
      <c r="BX131" s="380"/>
      <c r="BY131" s="380"/>
      <c r="BZ131" s="380"/>
      <c r="CA131" s="380"/>
      <c r="CB131" s="380"/>
      <c r="CC131" s="380"/>
      <c r="CD131" s="380"/>
      <c r="CE131" s="380"/>
      <c r="CF131" s="380"/>
    </row>
    <row r="132" spans="13:84">
      <c r="M132" s="542"/>
      <c r="O132" s="9"/>
      <c r="Q132" s="234"/>
      <c r="R132" s="380"/>
      <c r="S132" s="380"/>
      <c r="T132" s="380"/>
      <c r="U132" s="380"/>
      <c r="V132" s="380"/>
      <c r="W132" s="380"/>
      <c r="X132" s="380"/>
      <c r="Y132" s="380"/>
      <c r="Z132" s="380"/>
      <c r="AA132" s="380"/>
      <c r="AB132" s="380"/>
      <c r="AC132" s="380"/>
      <c r="AD132" s="380"/>
      <c r="AE132" s="380"/>
      <c r="AF132" s="380"/>
      <c r="AG132" s="380"/>
      <c r="AH132" s="380"/>
      <c r="AI132" s="380"/>
      <c r="AJ132" s="380"/>
      <c r="AK132" s="380"/>
      <c r="AL132" s="380"/>
      <c r="AM132" s="380"/>
      <c r="AN132" s="380"/>
      <c r="AO132" s="380"/>
      <c r="AP132" s="380"/>
      <c r="AQ132" s="380"/>
      <c r="AR132" s="380"/>
      <c r="AS132" s="380"/>
      <c r="AT132" s="380"/>
      <c r="AU132" s="380"/>
      <c r="AV132" s="380"/>
      <c r="AW132" s="380"/>
      <c r="AX132" s="380"/>
      <c r="AY132" s="380"/>
      <c r="AZ132" s="380"/>
      <c r="BA132" s="380"/>
      <c r="BB132" s="380"/>
      <c r="BC132" s="380"/>
      <c r="BD132" s="380"/>
      <c r="BE132" s="380"/>
      <c r="BF132" s="380"/>
      <c r="BG132" s="380"/>
      <c r="BH132" s="380"/>
      <c r="BI132" s="380"/>
      <c r="BJ132" s="380"/>
      <c r="BK132" s="380"/>
      <c r="BL132" s="380"/>
      <c r="BM132" s="380"/>
      <c r="BN132" s="380"/>
      <c r="BO132" s="380"/>
      <c r="BP132" s="380"/>
      <c r="BQ132" s="380"/>
      <c r="BR132" s="380"/>
      <c r="BS132" s="380"/>
      <c r="BT132" s="380"/>
      <c r="BU132" s="380"/>
      <c r="BV132" s="380"/>
      <c r="BW132" s="380"/>
      <c r="BX132" s="380"/>
      <c r="BY132" s="380"/>
      <c r="BZ132" s="380"/>
      <c r="CA132" s="380"/>
      <c r="CB132" s="380"/>
      <c r="CC132" s="380"/>
      <c r="CD132" s="380"/>
      <c r="CE132" s="380"/>
      <c r="CF132" s="380"/>
    </row>
    <row r="133" spans="13:84">
      <c r="M133" s="542"/>
      <c r="O133" s="9"/>
      <c r="Q133" s="234"/>
      <c r="R133" s="380"/>
      <c r="S133" s="380"/>
      <c r="T133" s="380"/>
      <c r="U133" s="380"/>
      <c r="V133" s="380"/>
      <c r="W133" s="380"/>
      <c r="X133" s="380"/>
      <c r="Y133" s="380"/>
      <c r="Z133" s="380"/>
      <c r="AA133" s="380"/>
      <c r="AB133" s="380"/>
      <c r="AC133" s="380"/>
      <c r="AD133" s="380"/>
      <c r="AE133" s="380"/>
      <c r="AF133" s="380"/>
      <c r="AG133" s="380"/>
      <c r="AH133" s="380"/>
      <c r="AI133" s="380"/>
      <c r="AJ133" s="380"/>
      <c r="AK133" s="380"/>
      <c r="AL133" s="380"/>
      <c r="AM133" s="380"/>
      <c r="AN133" s="380"/>
      <c r="AO133" s="380"/>
      <c r="AP133" s="380"/>
      <c r="AQ133" s="380"/>
      <c r="AR133" s="380"/>
      <c r="AS133" s="380"/>
      <c r="AT133" s="380"/>
      <c r="AU133" s="380"/>
      <c r="AV133" s="380"/>
      <c r="AW133" s="380"/>
      <c r="AX133" s="380"/>
      <c r="AY133" s="380"/>
      <c r="AZ133" s="380"/>
      <c r="BA133" s="380"/>
      <c r="BB133" s="380"/>
      <c r="BC133" s="380"/>
      <c r="BD133" s="380"/>
      <c r="BE133" s="380"/>
      <c r="BF133" s="380"/>
      <c r="BG133" s="380"/>
      <c r="BH133" s="380"/>
      <c r="BI133" s="380"/>
      <c r="BJ133" s="380"/>
      <c r="BK133" s="380"/>
      <c r="BL133" s="380"/>
      <c r="BM133" s="380"/>
      <c r="BN133" s="380"/>
      <c r="BO133" s="380"/>
      <c r="BP133" s="380"/>
      <c r="BQ133" s="380"/>
      <c r="BR133" s="380"/>
      <c r="BS133" s="380"/>
      <c r="BT133" s="380"/>
      <c r="BU133" s="380"/>
      <c r="BV133" s="380"/>
      <c r="BW133" s="380"/>
      <c r="BX133" s="380"/>
      <c r="BY133" s="380"/>
      <c r="BZ133" s="380"/>
      <c r="CA133" s="380"/>
      <c r="CB133" s="380"/>
      <c r="CC133" s="380"/>
      <c r="CD133" s="380"/>
      <c r="CE133" s="380"/>
      <c r="CF133" s="380"/>
    </row>
    <row r="134" spans="13:84">
      <c r="M134" s="542"/>
      <c r="O134" s="9"/>
      <c r="Q134" s="234"/>
      <c r="R134" s="380"/>
      <c r="S134" s="380"/>
      <c r="T134" s="380"/>
      <c r="U134" s="380"/>
      <c r="V134" s="380"/>
      <c r="W134" s="380"/>
      <c r="X134" s="380"/>
      <c r="Y134" s="380"/>
      <c r="Z134" s="380"/>
      <c r="AA134" s="380"/>
      <c r="AB134" s="380"/>
      <c r="AC134" s="380"/>
      <c r="AD134" s="380"/>
      <c r="AE134" s="380"/>
      <c r="AF134" s="380"/>
      <c r="AG134" s="380"/>
      <c r="AH134" s="380"/>
      <c r="AI134" s="380"/>
      <c r="AJ134" s="380"/>
      <c r="AK134" s="380"/>
      <c r="AL134" s="380"/>
      <c r="AM134" s="380"/>
      <c r="AN134" s="380"/>
      <c r="AO134" s="380"/>
      <c r="AP134" s="380"/>
      <c r="AQ134" s="380"/>
      <c r="AR134" s="380"/>
      <c r="AS134" s="380"/>
      <c r="AT134" s="380"/>
      <c r="AU134" s="380"/>
      <c r="AV134" s="380"/>
      <c r="AW134" s="380"/>
      <c r="AX134" s="380"/>
      <c r="AY134" s="380"/>
      <c r="AZ134" s="380"/>
      <c r="BA134" s="380"/>
      <c r="BB134" s="380"/>
      <c r="BC134" s="380"/>
      <c r="BD134" s="380"/>
      <c r="BE134" s="380"/>
      <c r="BF134" s="380"/>
      <c r="BG134" s="380"/>
      <c r="BH134" s="380"/>
      <c r="BI134" s="380"/>
      <c r="BJ134" s="380"/>
      <c r="BK134" s="380"/>
      <c r="BL134" s="380"/>
      <c r="BM134" s="380"/>
      <c r="BN134" s="380"/>
      <c r="BO134" s="380"/>
      <c r="BP134" s="380"/>
      <c r="BQ134" s="380"/>
      <c r="BR134" s="380"/>
      <c r="BS134" s="380"/>
      <c r="BT134" s="380"/>
      <c r="BU134" s="380"/>
      <c r="BV134" s="380"/>
      <c r="BW134" s="380"/>
      <c r="BX134" s="380"/>
      <c r="BY134" s="380"/>
      <c r="BZ134" s="380"/>
      <c r="CA134" s="380"/>
      <c r="CB134" s="380"/>
      <c r="CC134" s="380"/>
      <c r="CD134" s="380"/>
      <c r="CE134" s="380"/>
      <c r="CF134" s="380"/>
    </row>
    <row r="135" spans="13:84">
      <c r="M135" s="542"/>
      <c r="O135" s="9"/>
      <c r="Q135" s="234"/>
      <c r="R135" s="380"/>
      <c r="S135" s="380"/>
      <c r="T135" s="380"/>
      <c r="U135" s="380"/>
      <c r="V135" s="380"/>
      <c r="W135" s="380"/>
      <c r="X135" s="380"/>
      <c r="Y135" s="380"/>
      <c r="Z135" s="380"/>
      <c r="AA135" s="380"/>
      <c r="AB135" s="380"/>
      <c r="AC135" s="380"/>
      <c r="AD135" s="380"/>
      <c r="AE135" s="380"/>
      <c r="AF135" s="380"/>
      <c r="AG135" s="380"/>
      <c r="AH135" s="380"/>
      <c r="AI135" s="380"/>
      <c r="AJ135" s="380"/>
      <c r="AK135" s="380"/>
      <c r="AL135" s="380"/>
      <c r="AM135" s="380"/>
      <c r="AN135" s="380"/>
      <c r="AO135" s="380"/>
      <c r="AP135" s="380"/>
      <c r="AQ135" s="380"/>
      <c r="AR135" s="380"/>
      <c r="AS135" s="380"/>
      <c r="AT135" s="380"/>
      <c r="AU135" s="380"/>
      <c r="AV135" s="380"/>
      <c r="AW135" s="380"/>
      <c r="AX135" s="380"/>
      <c r="AY135" s="380"/>
      <c r="AZ135" s="380"/>
      <c r="BA135" s="380"/>
      <c r="BB135" s="380"/>
      <c r="BC135" s="380"/>
      <c r="BD135" s="380"/>
      <c r="BE135" s="380"/>
      <c r="BF135" s="380"/>
      <c r="BG135" s="380"/>
      <c r="BH135" s="380"/>
      <c r="BI135" s="380"/>
      <c r="BJ135" s="380"/>
      <c r="BK135" s="380"/>
      <c r="BL135" s="380"/>
      <c r="BM135" s="380"/>
      <c r="BN135" s="380"/>
      <c r="BO135" s="380"/>
      <c r="BP135" s="380"/>
      <c r="BQ135" s="380"/>
      <c r="BR135" s="380"/>
      <c r="BS135" s="380"/>
      <c r="BT135" s="380"/>
      <c r="BU135" s="380"/>
      <c r="BV135" s="380"/>
      <c r="BW135" s="380"/>
      <c r="BX135" s="380"/>
      <c r="BY135" s="380"/>
      <c r="BZ135" s="380"/>
      <c r="CA135" s="380"/>
      <c r="CB135" s="380"/>
      <c r="CC135" s="380"/>
      <c r="CD135" s="380"/>
      <c r="CE135" s="380"/>
      <c r="CF135" s="380"/>
    </row>
    <row r="136" spans="13:84" ht="16.5" customHeight="1">
      <c r="M136" s="542"/>
      <c r="O136" s="9"/>
      <c r="Q136" s="234"/>
      <c r="R136" s="380"/>
      <c r="S136" s="380"/>
      <c r="T136" s="380"/>
      <c r="U136" s="380"/>
      <c r="V136" s="380"/>
      <c r="W136" s="380"/>
      <c r="X136" s="380"/>
      <c r="Y136" s="380"/>
      <c r="Z136" s="380"/>
      <c r="AA136" s="380"/>
      <c r="AB136" s="380"/>
      <c r="AC136" s="380"/>
      <c r="AD136" s="380"/>
      <c r="AE136" s="380"/>
      <c r="AF136" s="380"/>
      <c r="AG136" s="380"/>
      <c r="AH136" s="380"/>
      <c r="AI136" s="380"/>
      <c r="AJ136" s="380"/>
      <c r="AK136" s="380"/>
      <c r="AL136" s="380"/>
      <c r="AM136" s="380"/>
      <c r="AN136" s="380"/>
      <c r="AO136" s="380"/>
      <c r="AP136" s="380"/>
      <c r="AQ136" s="380"/>
      <c r="AR136" s="380"/>
      <c r="AS136" s="380"/>
      <c r="AT136" s="380"/>
      <c r="AU136" s="380"/>
      <c r="AV136" s="380"/>
      <c r="AW136" s="380"/>
      <c r="AX136" s="380"/>
      <c r="AY136" s="380"/>
      <c r="AZ136" s="380"/>
      <c r="BA136" s="380"/>
      <c r="BB136" s="380"/>
      <c r="BC136" s="380"/>
      <c r="BD136" s="380"/>
      <c r="BE136" s="380"/>
      <c r="BF136" s="380"/>
      <c r="BG136" s="380"/>
      <c r="BH136" s="380"/>
      <c r="BI136" s="380"/>
      <c r="BJ136" s="380"/>
      <c r="BK136" s="380"/>
      <c r="BL136" s="380"/>
      <c r="BM136" s="380"/>
      <c r="BN136" s="380"/>
      <c r="BO136" s="380"/>
      <c r="BP136" s="380"/>
      <c r="BQ136" s="380"/>
      <c r="BR136" s="380"/>
      <c r="BS136" s="380"/>
      <c r="BT136" s="380"/>
      <c r="BU136" s="380"/>
      <c r="BV136" s="380"/>
      <c r="BW136" s="380"/>
      <c r="BX136" s="380"/>
      <c r="BY136" s="380"/>
      <c r="BZ136" s="380"/>
      <c r="CA136" s="380"/>
      <c r="CB136" s="380"/>
      <c r="CC136" s="380"/>
      <c r="CD136" s="380"/>
      <c r="CE136" s="380"/>
      <c r="CF136" s="380"/>
    </row>
    <row r="137" spans="13:84">
      <c r="M137" s="542"/>
      <c r="O137" s="9"/>
      <c r="Q137" s="234"/>
      <c r="R137" s="380"/>
      <c r="S137" s="380"/>
      <c r="T137" s="380"/>
      <c r="U137" s="380"/>
      <c r="V137" s="380"/>
      <c r="W137" s="380"/>
      <c r="X137" s="380"/>
      <c r="Y137" s="380"/>
      <c r="Z137" s="380"/>
      <c r="AA137" s="380"/>
      <c r="AB137" s="380"/>
      <c r="AC137" s="380"/>
      <c r="AD137" s="380"/>
      <c r="AE137" s="380"/>
      <c r="AF137" s="380"/>
      <c r="AG137" s="380"/>
      <c r="AH137" s="380"/>
      <c r="AI137" s="380"/>
      <c r="AJ137" s="380"/>
      <c r="AK137" s="380"/>
      <c r="AL137" s="380"/>
      <c r="AM137" s="380"/>
      <c r="AN137" s="380"/>
      <c r="AO137" s="380"/>
      <c r="AP137" s="380"/>
      <c r="AQ137" s="380"/>
      <c r="AR137" s="380"/>
      <c r="AS137" s="380"/>
      <c r="AT137" s="380"/>
      <c r="AU137" s="380"/>
      <c r="AV137" s="380"/>
      <c r="AW137" s="380"/>
      <c r="AX137" s="380"/>
      <c r="AY137" s="380"/>
      <c r="AZ137" s="380"/>
      <c r="BA137" s="380"/>
      <c r="BB137" s="380"/>
      <c r="BC137" s="380"/>
      <c r="BD137" s="380"/>
      <c r="BE137" s="380"/>
      <c r="BF137" s="380"/>
      <c r="BG137" s="380"/>
      <c r="BH137" s="380"/>
      <c r="BI137" s="380"/>
      <c r="BJ137" s="380"/>
      <c r="BK137" s="380"/>
      <c r="BL137" s="380"/>
      <c r="BM137" s="380"/>
      <c r="BN137" s="380"/>
      <c r="BO137" s="380"/>
      <c r="BP137" s="380"/>
      <c r="BQ137" s="380"/>
      <c r="BR137" s="380"/>
      <c r="BS137" s="380"/>
      <c r="BT137" s="380"/>
      <c r="BU137" s="380"/>
      <c r="BV137" s="380"/>
      <c r="BW137" s="380"/>
      <c r="BX137" s="380"/>
      <c r="BY137" s="380"/>
      <c r="BZ137" s="380"/>
      <c r="CA137" s="380"/>
      <c r="CB137" s="380"/>
      <c r="CC137" s="380"/>
      <c r="CD137" s="380"/>
      <c r="CE137" s="380"/>
      <c r="CF137" s="380"/>
    </row>
    <row r="138" spans="13:84">
      <c r="M138" s="542"/>
      <c r="O138" s="9"/>
      <c r="Q138" s="234"/>
      <c r="R138" s="380"/>
      <c r="S138" s="380"/>
      <c r="T138" s="380"/>
      <c r="U138" s="380"/>
      <c r="V138" s="380"/>
      <c r="W138" s="380"/>
      <c r="X138" s="380"/>
      <c r="Y138" s="380"/>
      <c r="Z138" s="380"/>
      <c r="AA138" s="380"/>
      <c r="AB138" s="380"/>
      <c r="AC138" s="380"/>
      <c r="AD138" s="380"/>
      <c r="AE138" s="380"/>
      <c r="AF138" s="380"/>
      <c r="AG138" s="380"/>
      <c r="AH138" s="380"/>
      <c r="AI138" s="380"/>
      <c r="AJ138" s="380"/>
      <c r="AK138" s="380"/>
      <c r="AL138" s="380"/>
      <c r="AM138" s="380"/>
      <c r="AN138" s="380"/>
      <c r="AO138" s="380"/>
      <c r="AP138" s="380"/>
      <c r="AQ138" s="380"/>
      <c r="AR138" s="380"/>
      <c r="AS138" s="380"/>
      <c r="AT138" s="380"/>
      <c r="AU138" s="380"/>
      <c r="AV138" s="380"/>
      <c r="AW138" s="380"/>
      <c r="AX138" s="380"/>
      <c r="AY138" s="380"/>
      <c r="AZ138" s="380"/>
      <c r="BA138" s="380"/>
      <c r="BB138" s="380"/>
      <c r="BC138" s="380"/>
      <c r="BD138" s="380"/>
      <c r="BE138" s="380"/>
      <c r="BF138" s="380"/>
      <c r="BG138" s="380"/>
      <c r="BH138" s="380"/>
      <c r="BI138" s="380"/>
      <c r="BJ138" s="380"/>
      <c r="BK138" s="380"/>
      <c r="BL138" s="380"/>
      <c r="BM138" s="380"/>
      <c r="BN138" s="380"/>
      <c r="BO138" s="380"/>
      <c r="BP138" s="380"/>
      <c r="BQ138" s="380"/>
      <c r="BR138" s="380"/>
      <c r="BS138" s="380"/>
      <c r="BT138" s="380"/>
      <c r="BU138" s="380"/>
      <c r="BV138" s="380"/>
      <c r="BW138" s="380"/>
      <c r="BX138" s="380"/>
      <c r="BY138" s="380"/>
      <c r="BZ138" s="380"/>
      <c r="CA138" s="380"/>
      <c r="CB138" s="380"/>
      <c r="CC138" s="380"/>
      <c r="CD138" s="380"/>
      <c r="CE138" s="380"/>
      <c r="CF138" s="380"/>
    </row>
    <row r="139" spans="13:84">
      <c r="M139" s="542"/>
      <c r="O139" s="9"/>
      <c r="Q139" s="234"/>
      <c r="R139" s="380"/>
      <c r="S139" s="380"/>
      <c r="T139" s="380"/>
      <c r="U139" s="380"/>
      <c r="V139" s="380"/>
      <c r="W139" s="380"/>
      <c r="X139" s="380"/>
      <c r="Y139" s="380"/>
      <c r="Z139" s="380"/>
      <c r="AA139" s="380"/>
      <c r="AB139" s="380"/>
      <c r="AC139" s="380"/>
      <c r="AD139" s="380"/>
      <c r="AE139" s="380"/>
      <c r="AF139" s="380"/>
      <c r="AG139" s="380"/>
      <c r="AH139" s="380"/>
      <c r="AI139" s="380"/>
      <c r="AJ139" s="380"/>
      <c r="AK139" s="380"/>
      <c r="AL139" s="380"/>
      <c r="AM139" s="380"/>
      <c r="AN139" s="380"/>
      <c r="AO139" s="380"/>
      <c r="AP139" s="380"/>
      <c r="AQ139" s="380"/>
      <c r="AR139" s="380"/>
      <c r="AS139" s="380"/>
      <c r="AT139" s="380"/>
      <c r="AU139" s="380"/>
      <c r="AV139" s="380"/>
      <c r="AW139" s="380"/>
      <c r="AX139" s="380"/>
      <c r="AY139" s="380"/>
      <c r="AZ139" s="380"/>
      <c r="BA139" s="380"/>
      <c r="BB139" s="380"/>
      <c r="BC139" s="380"/>
      <c r="BD139" s="380"/>
      <c r="BE139" s="380"/>
      <c r="BF139" s="380"/>
      <c r="BG139" s="380"/>
      <c r="BH139" s="380"/>
      <c r="BI139" s="380"/>
      <c r="BJ139" s="380"/>
      <c r="BK139" s="380"/>
      <c r="BL139" s="380"/>
      <c r="BM139" s="380"/>
      <c r="BN139" s="380"/>
      <c r="BO139" s="380"/>
      <c r="BP139" s="380"/>
      <c r="BQ139" s="380"/>
      <c r="BR139" s="380"/>
      <c r="BS139" s="380"/>
      <c r="BT139" s="380"/>
      <c r="BU139" s="380"/>
      <c r="BV139" s="380"/>
      <c r="BW139" s="380"/>
      <c r="BX139" s="380"/>
      <c r="BY139" s="380"/>
      <c r="BZ139" s="380"/>
      <c r="CA139" s="380"/>
      <c r="CB139" s="380"/>
      <c r="CC139" s="380"/>
      <c r="CD139" s="380"/>
      <c r="CE139" s="380"/>
      <c r="CF139" s="380"/>
    </row>
    <row r="140" spans="13:84">
      <c r="M140" s="542"/>
      <c r="O140" s="9"/>
      <c r="Q140" s="234"/>
      <c r="R140" s="380"/>
      <c r="S140" s="380"/>
      <c r="T140" s="380"/>
      <c r="U140" s="380"/>
      <c r="V140" s="380"/>
      <c r="W140" s="380"/>
      <c r="X140" s="380"/>
      <c r="Y140" s="380"/>
      <c r="Z140" s="380"/>
      <c r="AA140" s="380"/>
      <c r="AB140" s="380"/>
      <c r="AC140" s="380"/>
      <c r="AD140" s="380"/>
      <c r="AE140" s="380"/>
      <c r="AF140" s="380"/>
      <c r="AG140" s="380"/>
      <c r="AH140" s="380"/>
      <c r="AI140" s="380"/>
      <c r="AJ140" s="380"/>
      <c r="AK140" s="380"/>
      <c r="AL140" s="380"/>
      <c r="AM140" s="380"/>
      <c r="AN140" s="380"/>
      <c r="AO140" s="380"/>
      <c r="AP140" s="380"/>
      <c r="AQ140" s="380"/>
      <c r="AR140" s="380"/>
      <c r="AS140" s="380"/>
      <c r="AT140" s="380"/>
      <c r="AU140" s="380"/>
      <c r="AV140" s="380"/>
      <c r="AW140" s="380"/>
      <c r="AX140" s="380"/>
      <c r="AY140" s="380"/>
      <c r="AZ140" s="380"/>
      <c r="BA140" s="380"/>
      <c r="BB140" s="380"/>
      <c r="BC140" s="380"/>
      <c r="BD140" s="380"/>
      <c r="BE140" s="380"/>
      <c r="BF140" s="380"/>
      <c r="BG140" s="380"/>
      <c r="BH140" s="380"/>
      <c r="BI140" s="380"/>
      <c r="BJ140" s="380"/>
      <c r="BK140" s="380"/>
      <c r="BL140" s="380"/>
      <c r="BM140" s="380"/>
      <c r="BN140" s="380"/>
      <c r="BO140" s="380"/>
      <c r="BP140" s="380"/>
      <c r="BQ140" s="380"/>
      <c r="BR140" s="380"/>
      <c r="BS140" s="380"/>
      <c r="BT140" s="380"/>
      <c r="BU140" s="380"/>
      <c r="BV140" s="380"/>
      <c r="BW140" s="380"/>
      <c r="BX140" s="380"/>
      <c r="BY140" s="380"/>
      <c r="BZ140" s="380"/>
      <c r="CA140" s="380"/>
      <c r="CB140" s="380"/>
      <c r="CC140" s="380"/>
      <c r="CD140" s="380"/>
      <c r="CE140" s="380"/>
      <c r="CF140" s="380"/>
    </row>
    <row r="141" spans="13:84">
      <c r="M141" s="542"/>
      <c r="O141" s="9"/>
      <c r="Q141" s="234"/>
      <c r="R141" s="380"/>
      <c r="S141" s="380"/>
      <c r="T141" s="380"/>
      <c r="U141" s="380"/>
      <c r="V141" s="380"/>
      <c r="W141" s="380"/>
      <c r="X141" s="380"/>
      <c r="Y141" s="380"/>
      <c r="Z141" s="380"/>
      <c r="AA141" s="380"/>
      <c r="AB141" s="380"/>
      <c r="AC141" s="380"/>
      <c r="AD141" s="380"/>
      <c r="AE141" s="380"/>
      <c r="AF141" s="380"/>
      <c r="AG141" s="380"/>
      <c r="AH141" s="380"/>
      <c r="AI141" s="380"/>
      <c r="AJ141" s="380"/>
      <c r="AK141" s="380"/>
      <c r="AL141" s="380"/>
      <c r="AM141" s="380"/>
      <c r="AN141" s="380"/>
      <c r="AO141" s="380"/>
      <c r="AP141" s="380"/>
      <c r="AQ141" s="380"/>
      <c r="AR141" s="380"/>
      <c r="AS141" s="380"/>
      <c r="AT141" s="380"/>
      <c r="AU141" s="380"/>
      <c r="AV141" s="380"/>
      <c r="AW141" s="380"/>
      <c r="AX141" s="380"/>
      <c r="AY141" s="380"/>
      <c r="AZ141" s="380"/>
      <c r="BA141" s="380"/>
      <c r="BB141" s="380"/>
      <c r="BC141" s="380"/>
      <c r="BD141" s="380"/>
      <c r="BE141" s="380"/>
      <c r="BF141" s="380"/>
      <c r="BG141" s="380"/>
      <c r="BH141" s="380"/>
      <c r="BI141" s="380"/>
      <c r="BJ141" s="380"/>
      <c r="BK141" s="380"/>
      <c r="BL141" s="380"/>
      <c r="BM141" s="380"/>
      <c r="BN141" s="380"/>
      <c r="BO141" s="380"/>
      <c r="BP141" s="380"/>
      <c r="BQ141" s="380"/>
      <c r="BR141" s="380"/>
      <c r="BS141" s="380"/>
      <c r="BT141" s="380"/>
      <c r="BU141" s="380"/>
      <c r="BV141" s="380"/>
      <c r="BW141" s="380"/>
      <c r="BX141" s="380"/>
      <c r="BY141" s="380"/>
      <c r="BZ141" s="380"/>
      <c r="CA141" s="380"/>
      <c r="CB141" s="380"/>
      <c r="CC141" s="380"/>
      <c r="CD141" s="380"/>
      <c r="CE141" s="380"/>
      <c r="CF141" s="380"/>
    </row>
    <row r="142" spans="13:84">
      <c r="M142" s="542"/>
      <c r="O142" s="9"/>
      <c r="Q142" s="234"/>
      <c r="R142" s="380"/>
      <c r="S142" s="380"/>
      <c r="T142" s="380"/>
      <c r="U142" s="380"/>
      <c r="V142" s="380"/>
      <c r="W142" s="380"/>
      <c r="X142" s="380"/>
      <c r="Y142" s="380"/>
      <c r="Z142" s="380"/>
      <c r="AA142" s="380"/>
      <c r="AB142" s="380"/>
      <c r="AC142" s="380"/>
      <c r="AD142" s="380"/>
      <c r="AE142" s="380"/>
      <c r="AF142" s="380"/>
      <c r="AG142" s="380"/>
      <c r="AH142" s="380"/>
      <c r="AI142" s="380"/>
      <c r="AJ142" s="380"/>
      <c r="AK142" s="380"/>
      <c r="AL142" s="380"/>
      <c r="AM142" s="380"/>
      <c r="AN142" s="380"/>
      <c r="AO142" s="380"/>
      <c r="AP142" s="380"/>
      <c r="AQ142" s="380"/>
      <c r="AR142" s="380"/>
      <c r="AS142" s="380"/>
      <c r="AT142" s="380"/>
      <c r="AU142" s="380"/>
      <c r="AV142" s="380"/>
      <c r="AW142" s="380"/>
      <c r="AX142" s="380"/>
      <c r="AY142" s="380"/>
      <c r="AZ142" s="380"/>
      <c r="BA142" s="380"/>
      <c r="BB142" s="380"/>
      <c r="BC142" s="380"/>
      <c r="BD142" s="380"/>
      <c r="BE142" s="380"/>
      <c r="BF142" s="380"/>
      <c r="BG142" s="380"/>
      <c r="BH142" s="380"/>
      <c r="BI142" s="380"/>
      <c r="BJ142" s="380"/>
      <c r="BK142" s="380"/>
      <c r="BL142" s="380"/>
      <c r="BM142" s="380"/>
      <c r="BN142" s="380"/>
      <c r="BO142" s="380"/>
      <c r="BP142" s="380"/>
      <c r="BQ142" s="380"/>
      <c r="BR142" s="380"/>
      <c r="BS142" s="380"/>
      <c r="BT142" s="380"/>
      <c r="BU142" s="380"/>
      <c r="BV142" s="380"/>
      <c r="BW142" s="380"/>
      <c r="BX142" s="380"/>
      <c r="BY142" s="380"/>
      <c r="BZ142" s="380"/>
      <c r="CA142" s="380"/>
      <c r="CB142" s="380"/>
      <c r="CC142" s="380"/>
      <c r="CD142" s="380"/>
      <c r="CE142" s="380"/>
      <c r="CF142" s="380"/>
    </row>
    <row r="143" spans="13:84">
      <c r="M143" s="542"/>
      <c r="O143" s="9"/>
      <c r="Q143" s="234"/>
      <c r="R143" s="380"/>
      <c r="S143" s="380"/>
      <c r="T143" s="380"/>
      <c r="U143" s="380"/>
      <c r="V143" s="380"/>
      <c r="W143" s="380"/>
      <c r="X143" s="380"/>
      <c r="Y143" s="380"/>
      <c r="Z143" s="380"/>
      <c r="AA143" s="380"/>
      <c r="AB143" s="380"/>
      <c r="AC143" s="380"/>
      <c r="AD143" s="380"/>
      <c r="AE143" s="380"/>
      <c r="AF143" s="380"/>
      <c r="AG143" s="380"/>
      <c r="AH143" s="380"/>
      <c r="AI143" s="380"/>
      <c r="AJ143" s="380"/>
      <c r="AK143" s="380"/>
      <c r="AL143" s="380"/>
      <c r="AM143" s="380"/>
      <c r="AN143" s="380"/>
      <c r="AO143" s="380"/>
      <c r="AP143" s="380"/>
      <c r="AQ143" s="380"/>
      <c r="AR143" s="380"/>
      <c r="AS143" s="380"/>
      <c r="AT143" s="380"/>
      <c r="AU143" s="380"/>
      <c r="AV143" s="380"/>
      <c r="AW143" s="380"/>
      <c r="AX143" s="380"/>
      <c r="AY143" s="380"/>
      <c r="AZ143" s="380"/>
      <c r="BA143" s="380"/>
      <c r="BB143" s="380"/>
      <c r="BC143" s="380"/>
      <c r="BD143" s="380"/>
      <c r="BE143" s="380"/>
      <c r="BF143" s="380"/>
      <c r="BG143" s="380"/>
      <c r="BH143" s="380"/>
      <c r="BI143" s="380"/>
      <c r="BJ143" s="380"/>
      <c r="BK143" s="380"/>
      <c r="BL143" s="380"/>
      <c r="BM143" s="380"/>
      <c r="BN143" s="380"/>
      <c r="BO143" s="380"/>
      <c r="BP143" s="380"/>
      <c r="BQ143" s="380"/>
      <c r="BR143" s="380"/>
      <c r="BS143" s="380"/>
      <c r="BT143" s="380"/>
      <c r="BU143" s="380"/>
      <c r="BV143" s="380"/>
      <c r="BW143" s="380"/>
      <c r="BX143" s="380"/>
      <c r="BY143" s="380"/>
      <c r="BZ143" s="380"/>
      <c r="CA143" s="380"/>
      <c r="CB143" s="380"/>
      <c r="CC143" s="380"/>
      <c r="CD143" s="380"/>
      <c r="CE143" s="380"/>
      <c r="CF143" s="380"/>
    </row>
    <row r="144" spans="13:84">
      <c r="M144" s="542"/>
      <c r="O144" s="9"/>
      <c r="Q144" s="234"/>
      <c r="R144" s="380"/>
      <c r="S144" s="380"/>
      <c r="T144" s="380"/>
      <c r="U144" s="380"/>
      <c r="V144" s="380"/>
      <c r="W144" s="380"/>
      <c r="X144" s="380"/>
      <c r="Y144" s="380"/>
      <c r="Z144" s="380"/>
      <c r="AA144" s="380"/>
      <c r="AB144" s="380"/>
      <c r="AC144" s="380"/>
      <c r="AD144" s="380"/>
      <c r="AE144" s="380"/>
      <c r="AF144" s="380"/>
      <c r="AG144" s="380"/>
      <c r="AH144" s="380"/>
      <c r="AI144" s="380"/>
      <c r="AJ144" s="380"/>
      <c r="AK144" s="380"/>
      <c r="AL144" s="380"/>
      <c r="AM144" s="380"/>
      <c r="AN144" s="380"/>
      <c r="AO144" s="380"/>
      <c r="AP144" s="380"/>
      <c r="AQ144" s="380"/>
      <c r="AR144" s="380"/>
      <c r="AS144" s="380"/>
      <c r="AT144" s="380"/>
      <c r="AU144" s="380"/>
      <c r="AV144" s="380"/>
      <c r="AW144" s="380"/>
      <c r="AX144" s="380"/>
      <c r="AY144" s="380"/>
      <c r="AZ144" s="380"/>
      <c r="BA144" s="380"/>
      <c r="BB144" s="380"/>
      <c r="BC144" s="380"/>
      <c r="BD144" s="380"/>
      <c r="BE144" s="380"/>
      <c r="BF144" s="380"/>
      <c r="BG144" s="380"/>
      <c r="BH144" s="380"/>
      <c r="BI144" s="380"/>
      <c r="BJ144" s="380"/>
      <c r="BK144" s="380"/>
      <c r="BL144" s="380"/>
      <c r="BM144" s="380"/>
      <c r="BN144" s="380"/>
      <c r="BO144" s="380"/>
      <c r="BP144" s="380"/>
      <c r="BQ144" s="380"/>
      <c r="BR144" s="380"/>
      <c r="BS144" s="380"/>
      <c r="BT144" s="380"/>
      <c r="BU144" s="380"/>
      <c r="BV144" s="380"/>
      <c r="BW144" s="380"/>
      <c r="BX144" s="380"/>
      <c r="BY144" s="380"/>
      <c r="BZ144" s="380"/>
      <c r="CA144" s="380"/>
      <c r="CB144" s="380"/>
      <c r="CC144" s="380"/>
      <c r="CD144" s="380"/>
      <c r="CE144" s="380"/>
      <c r="CF144" s="380"/>
    </row>
    <row r="145" spans="13:84">
      <c r="M145" s="542"/>
      <c r="O145" s="9"/>
      <c r="Q145" s="234"/>
      <c r="R145" s="380"/>
      <c r="S145" s="380"/>
      <c r="T145" s="380"/>
      <c r="U145" s="380"/>
      <c r="V145" s="380"/>
      <c r="W145" s="380"/>
      <c r="X145" s="380"/>
      <c r="Y145" s="380"/>
      <c r="Z145" s="380"/>
      <c r="AA145" s="380"/>
      <c r="AB145" s="380"/>
      <c r="AC145" s="380"/>
      <c r="AD145" s="380"/>
      <c r="AE145" s="380"/>
      <c r="AF145" s="380"/>
      <c r="AG145" s="380"/>
      <c r="AH145" s="380"/>
      <c r="AI145" s="380"/>
      <c r="AJ145" s="380"/>
      <c r="AK145" s="380"/>
      <c r="AL145" s="380"/>
      <c r="AM145" s="380"/>
      <c r="AN145" s="380"/>
      <c r="AO145" s="380"/>
      <c r="AP145" s="380"/>
      <c r="AQ145" s="380"/>
      <c r="AR145" s="380"/>
      <c r="AS145" s="380"/>
      <c r="AT145" s="380"/>
      <c r="AU145" s="380"/>
      <c r="AV145" s="380"/>
      <c r="AW145" s="380"/>
      <c r="AX145" s="380"/>
      <c r="AY145" s="380"/>
      <c r="AZ145" s="380"/>
      <c r="BA145" s="380"/>
      <c r="BB145" s="380"/>
      <c r="BC145" s="380"/>
      <c r="BD145" s="380"/>
      <c r="BE145" s="380"/>
      <c r="BF145" s="380"/>
      <c r="BG145" s="380"/>
      <c r="BH145" s="380"/>
      <c r="BI145" s="380"/>
      <c r="BJ145" s="380"/>
      <c r="BK145" s="380"/>
      <c r="BL145" s="380"/>
      <c r="BM145" s="380"/>
      <c r="BN145" s="380"/>
      <c r="BO145" s="380"/>
      <c r="BP145" s="380"/>
      <c r="BQ145" s="380"/>
      <c r="BR145" s="380"/>
      <c r="BS145" s="380"/>
      <c r="BT145" s="380"/>
      <c r="BU145" s="380"/>
      <c r="BV145" s="380"/>
      <c r="BW145" s="380"/>
      <c r="BX145" s="380"/>
      <c r="BY145" s="380"/>
      <c r="BZ145" s="380"/>
      <c r="CA145" s="380"/>
      <c r="CB145" s="380"/>
      <c r="CC145" s="380"/>
      <c r="CD145" s="380"/>
      <c r="CE145" s="380"/>
      <c r="CF145" s="380"/>
    </row>
    <row r="146" spans="13:84">
      <c r="M146" s="542"/>
      <c r="O146" s="9"/>
      <c r="Q146" s="234"/>
      <c r="R146" s="380"/>
      <c r="S146" s="380"/>
      <c r="T146" s="380"/>
      <c r="U146" s="380"/>
      <c r="V146" s="380"/>
      <c r="W146" s="380"/>
      <c r="X146" s="380"/>
      <c r="Y146" s="380"/>
      <c r="Z146" s="380"/>
      <c r="AA146" s="380"/>
      <c r="AB146" s="380"/>
      <c r="AC146" s="380"/>
      <c r="AD146" s="380"/>
      <c r="AE146" s="380"/>
      <c r="AF146" s="380"/>
      <c r="AG146" s="380"/>
      <c r="AH146" s="380"/>
      <c r="AI146" s="380"/>
      <c r="AJ146" s="380"/>
      <c r="AK146" s="380"/>
      <c r="AL146" s="380"/>
      <c r="AM146" s="380"/>
      <c r="AN146" s="380"/>
      <c r="AO146" s="380"/>
      <c r="AP146" s="380"/>
      <c r="AQ146" s="380"/>
      <c r="AR146" s="380"/>
      <c r="AS146" s="380"/>
      <c r="AT146" s="380"/>
      <c r="AU146" s="380"/>
      <c r="AV146" s="380"/>
      <c r="AW146" s="380"/>
      <c r="AX146" s="380"/>
      <c r="AY146" s="380"/>
      <c r="AZ146" s="380"/>
      <c r="BA146" s="380"/>
      <c r="BB146" s="380"/>
      <c r="BC146" s="380"/>
      <c r="BD146" s="380"/>
      <c r="BE146" s="380"/>
      <c r="BF146" s="380"/>
      <c r="BG146" s="380"/>
      <c r="BH146" s="380"/>
      <c r="BI146" s="380"/>
      <c r="BJ146" s="380"/>
      <c r="BK146" s="380"/>
      <c r="BL146" s="380"/>
      <c r="BM146" s="380"/>
      <c r="BN146" s="380"/>
      <c r="BO146" s="380"/>
      <c r="BP146" s="380"/>
      <c r="BQ146" s="380"/>
      <c r="BR146" s="380"/>
      <c r="BS146" s="380"/>
      <c r="BT146" s="380"/>
      <c r="BU146" s="380"/>
      <c r="BV146" s="380"/>
      <c r="BW146" s="380"/>
      <c r="BX146" s="380"/>
      <c r="BY146" s="380"/>
      <c r="BZ146" s="380"/>
      <c r="CA146" s="380"/>
      <c r="CB146" s="380"/>
      <c r="CC146" s="380"/>
      <c r="CD146" s="380"/>
      <c r="CE146" s="380"/>
      <c r="CF146" s="380"/>
    </row>
    <row r="147" spans="13:84">
      <c r="M147" s="542"/>
    </row>
    <row r="148" spans="13:84">
      <c r="M148" s="542"/>
    </row>
    <row r="149" spans="13:84">
      <c r="M149" s="542"/>
    </row>
    <row r="150" spans="13:84">
      <c r="M150" s="542"/>
    </row>
    <row r="151" spans="13:84">
      <c r="M151" s="542"/>
    </row>
    <row r="152" spans="13:84">
      <c r="M152" s="542"/>
    </row>
    <row r="153" spans="13:84">
      <c r="M153" s="542"/>
    </row>
    <row r="154" spans="13:84">
      <c r="M154" s="542"/>
    </row>
    <row r="155" spans="13:84">
      <c r="M155" s="542"/>
    </row>
    <row r="156" spans="13:84">
      <c r="M156" s="542"/>
    </row>
    <row r="157" spans="13:84">
      <c r="M157" s="542"/>
    </row>
    <row r="158" spans="13:84">
      <c r="M158" s="542"/>
    </row>
    <row r="159" spans="13:84">
      <c r="M159" s="542"/>
    </row>
    <row r="160" spans="13:84">
      <c r="M160" s="542"/>
    </row>
    <row r="161" spans="13:13">
      <c r="M161" s="542"/>
    </row>
    <row r="162" spans="13:13">
      <c r="M162" s="542"/>
    </row>
    <row r="163" spans="13:13">
      <c r="M163" s="542"/>
    </row>
    <row r="164" spans="13:13">
      <c r="M164" s="542"/>
    </row>
    <row r="165" spans="13:13">
      <c r="M165" s="542"/>
    </row>
    <row r="166" spans="13:13">
      <c r="M166" s="542"/>
    </row>
    <row r="167" spans="13:13">
      <c r="M167" s="542"/>
    </row>
    <row r="168" spans="13:13">
      <c r="M168" s="542"/>
    </row>
    <row r="169" spans="13:13">
      <c r="M169" s="542"/>
    </row>
    <row r="170" spans="13:13">
      <c r="M170" s="542"/>
    </row>
    <row r="171" spans="13:13">
      <c r="M171" s="542"/>
    </row>
    <row r="172" spans="13:13">
      <c r="M172" s="542"/>
    </row>
    <row r="173" spans="13:13">
      <c r="M173" s="542"/>
    </row>
    <row r="174" spans="13:13">
      <c r="M174" s="542"/>
    </row>
    <row r="175" spans="13:13">
      <c r="M175" s="542"/>
    </row>
    <row r="176" spans="13:13">
      <c r="M176" s="542"/>
    </row>
    <row r="177" spans="13:13">
      <c r="M177" s="542"/>
    </row>
    <row r="178" spans="13:13">
      <c r="M178" s="542"/>
    </row>
    <row r="179" spans="13:13">
      <c r="M179" s="542"/>
    </row>
    <row r="180" spans="13:13">
      <c r="M180" s="542"/>
    </row>
    <row r="181" spans="13:13">
      <c r="M181" s="542"/>
    </row>
    <row r="182" spans="13:13">
      <c r="M182" s="542"/>
    </row>
    <row r="183" spans="13:13">
      <c r="M183" s="542"/>
    </row>
    <row r="184" spans="13:13">
      <c r="M184" s="542"/>
    </row>
    <row r="185" spans="13:13">
      <c r="M185" s="542"/>
    </row>
    <row r="186" spans="13:13">
      <c r="M186" s="542"/>
    </row>
  </sheetData>
  <dataConsolidate function="product" link="1">
    <dataRefs count="1">
      <dataRef ref="H66:H69" sheet="CAPA"/>
    </dataRefs>
  </dataConsolidate>
  <mergeCells count="28"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conditionalFormatting sqref="I46">
    <cfRule type="containsText" dxfId="456" priority="116" operator="containsText" text="Cuidado">
      <formula>NOT(ISERROR(SEARCH("Cuidado",I46)))</formula>
    </cfRule>
  </conditionalFormatting>
  <conditionalFormatting sqref="B30:D34 F28:H34 J28:K31 J34:K36">
    <cfRule type="expression" dxfId="455" priority="58">
      <formula>$P$1="FALSO"</formula>
    </cfRule>
  </conditionalFormatting>
  <conditionalFormatting sqref="F41">
    <cfRule type="expression" dxfId="454" priority="52">
      <formula>$P$1="VERDADEIRO"</formula>
    </cfRule>
  </conditionalFormatting>
  <conditionalFormatting sqref="F42">
    <cfRule type="expression" dxfId="453" priority="48">
      <formula>$P$1="VERDADEIRO"</formula>
    </cfRule>
  </conditionalFormatting>
  <conditionalFormatting sqref="H41">
    <cfRule type="expression" dxfId="452" priority="39">
      <formula>$P$1="VERDADEIRO"</formula>
    </cfRule>
  </conditionalFormatting>
  <conditionalFormatting sqref="H42">
    <cfRule type="expression" dxfId="451" priority="38">
      <formula>$P$1="VERDADEIRO"</formula>
    </cfRule>
  </conditionalFormatting>
  <conditionalFormatting sqref="H40">
    <cfRule type="expression" dxfId="450" priority="37">
      <formula>$P$1="VERDADEIRO"</formula>
    </cfRule>
  </conditionalFormatting>
  <conditionalFormatting sqref="F43:F44">
    <cfRule type="expression" dxfId="449" priority="36">
      <formula>$P$1="VERDADEIRO"</formula>
    </cfRule>
  </conditionalFormatting>
  <conditionalFormatting sqref="H43:H44">
    <cfRule type="expression" dxfId="448" priority="33">
      <formula>$P$1="VERDADEIRO"</formula>
    </cfRule>
  </conditionalFormatting>
  <conditionalFormatting sqref="B26">
    <cfRule type="expression" dxfId="447" priority="32">
      <formula>$P$1="FALSO"</formula>
    </cfRule>
  </conditionalFormatting>
  <conditionalFormatting sqref="C26">
    <cfRule type="expression" dxfId="446" priority="31">
      <formula>$P$1="FALSO"</formula>
    </cfRule>
  </conditionalFormatting>
  <conditionalFormatting sqref="F39">
    <cfRule type="expression" dxfId="445" priority="29">
      <formula>$P$1="VERDADEIRO"</formula>
    </cfRule>
  </conditionalFormatting>
  <conditionalFormatting sqref="F40">
    <cfRule type="expression" dxfId="444" priority="28">
      <formula>$P$1="VERDADEIRO"</formula>
    </cfRule>
  </conditionalFormatting>
  <conditionalFormatting sqref="H63:H77">
    <cfRule type="expression" dxfId="443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  <pageSetUpPr fitToPage="1"/>
  </sheetPr>
  <dimension ref="A1:O114"/>
  <sheetViews>
    <sheetView showGridLines="0" tabSelected="1" zoomScaleNormal="100" workbookViewId="0">
      <selection activeCell="J28" sqref="J28"/>
    </sheetView>
  </sheetViews>
  <sheetFormatPr defaultColWidth="9.140625" defaultRowHeight="15.75" customHeight="1"/>
  <cols>
    <col min="1" max="1" width="2.7109375" style="68" customWidth="1"/>
    <col min="2" max="2" width="61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8.85546875" style="68" customWidth="1"/>
    <col min="7" max="7" width="12.42578125" style="68" customWidth="1"/>
    <col min="8" max="8" width="18.140625" style="68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09" t="s">
        <v>816</v>
      </c>
      <c r="C1" s="1110"/>
      <c r="D1" s="70"/>
      <c r="E1" s="70"/>
      <c r="F1" s="70"/>
      <c r="G1" s="75"/>
    </row>
    <row r="2" spans="1:15" ht="16.5">
      <c r="A2" s="139"/>
      <c r="B2" s="632" t="str">
        <f ca="1">CAPA!C9&amp; " - " &amp;CAPA!C110&amp;" "&amp;AnoRefTar</f>
        <v>Creluz - REVISÃO 2022</v>
      </c>
      <c r="C2" s="70"/>
      <c r="D2" s="70"/>
      <c r="E2" s="70"/>
      <c r="F2" s="70"/>
      <c r="G2" s="75"/>
      <c r="H2" s="380" t="s">
        <v>817</v>
      </c>
      <c r="I2" s="682">
        <v>44763.440844907411</v>
      </c>
      <c r="K2" s="714" t="s">
        <v>818</v>
      </c>
      <c r="L2" s="715"/>
      <c r="N2" s="1732"/>
    </row>
    <row r="3" spans="1:15" ht="16.5" customHeight="1">
      <c r="A3" s="139"/>
      <c r="B3" s="1018" t="s">
        <v>819</v>
      </c>
      <c r="C3" s="815"/>
      <c r="D3" s="75"/>
      <c r="E3" s="75"/>
      <c r="F3" s="75"/>
      <c r="G3" s="75"/>
      <c r="H3" s="683" t="s">
        <v>820</v>
      </c>
      <c r="I3" s="683">
        <v>40</v>
      </c>
      <c r="K3" s="716" t="s">
        <v>821</v>
      </c>
      <c r="L3" s="681">
        <v>0.28119014791446562</v>
      </c>
      <c r="N3" s="1733"/>
    </row>
    <row r="4" spans="1:15" ht="16.5">
      <c r="A4" s="139"/>
      <c r="J4" s="9"/>
      <c r="K4" s="716" t="s">
        <v>822</v>
      </c>
      <c r="L4" s="681">
        <v>0.24533947293666825</v>
      </c>
      <c r="N4" s="1733"/>
    </row>
    <row r="5" spans="1:15" ht="16.5" customHeight="1">
      <c r="A5" s="139"/>
      <c r="B5" s="1111" t="s">
        <v>823</v>
      </c>
      <c r="C5" s="1112">
        <f ca="1">D39+D34</f>
        <v>103622721.09862456</v>
      </c>
      <c r="D5" s="143"/>
      <c r="J5" s="274"/>
      <c r="K5" s="717" t="s">
        <v>824</v>
      </c>
      <c r="L5" s="687">
        <v>0.25388708845325225</v>
      </c>
      <c r="N5" s="1733"/>
    </row>
    <row r="6" spans="1:15" ht="16.5" customHeight="1">
      <c r="A6" s="139"/>
      <c r="B6" s="76" t="s">
        <v>825</v>
      </c>
      <c r="C6" s="77">
        <f ca="1">Mercado_RA0_Reais</f>
        <v>88715758.403659984</v>
      </c>
      <c r="D6" s="77"/>
      <c r="E6" s="1751"/>
      <c r="J6" s="274"/>
      <c r="K6" s="718" t="s">
        <v>826</v>
      </c>
      <c r="L6" s="719">
        <v>733.49</v>
      </c>
      <c r="M6" s="79"/>
      <c r="N6" s="1732"/>
    </row>
    <row r="7" spans="1:15" ht="16.5" customHeight="1">
      <c r="A7" s="139"/>
      <c r="B7" s="1113" t="str">
        <f>IF(CAPA!P1="FALSO","IRT Economico","Variação econômica")</f>
        <v>Variação econômica</v>
      </c>
      <c r="C7" s="1114">
        <f ca="1">ROUND((C5/C6-1),4)</f>
        <v>0.16800000000000001</v>
      </c>
      <c r="D7" s="498"/>
      <c r="K7" s="49" t="s">
        <v>827</v>
      </c>
      <c r="L7" s="993">
        <f>L6/'Tabelas e Gráficos'!U39-1</f>
        <v>0.19886567944820355</v>
      </c>
    </row>
    <row r="8" spans="1:15" ht="16.5" customHeight="1">
      <c r="A8" s="139"/>
      <c r="B8" s="78" t="s">
        <v>828</v>
      </c>
      <c r="C8" s="256">
        <f ca="1">ROUND(Financeiros!E7,4)</f>
        <v>-0.22670000000000001</v>
      </c>
      <c r="D8" s="499"/>
      <c r="K8" s="720" t="s">
        <v>829</v>
      </c>
      <c r="L8" s="721" t="s">
        <v>830</v>
      </c>
      <c r="M8" s="684" t="s">
        <v>831</v>
      </c>
    </row>
    <row r="9" spans="1:15" ht="16.5" customHeight="1">
      <c r="A9" s="139"/>
      <c r="B9" s="1115" t="str">
        <f>IF(CAPA!P1="FALSO","IRT Economico e Financeiro","Variação econômica e financeira")</f>
        <v>Variação econômica e financeira</v>
      </c>
      <c r="C9" s="1116">
        <f ca="1">ROUND((C7+C8),5)</f>
        <v>-5.8700000000000002E-2</v>
      </c>
      <c r="D9" s="498"/>
      <c r="K9" s="716" t="s">
        <v>103</v>
      </c>
      <c r="L9" s="722">
        <f>Aj.Subsídio!G28*12</f>
        <v>0</v>
      </c>
      <c r="M9" s="722">
        <v>0</v>
      </c>
    </row>
    <row r="10" spans="1:15" ht="16.5" customHeight="1">
      <c r="A10" s="139"/>
      <c r="B10" s="1115" t="s">
        <v>832</v>
      </c>
      <c r="C10" s="1116">
        <f ca="1">ROUND((LnkTXTEfeito-LnkTXTIRTTotal),4)</f>
        <v>0.31259999999999999</v>
      </c>
      <c r="D10" s="725">
        <f ca="1">LnKTxTRA1+Financeiros!D5</f>
        <v>83508517.28698647</v>
      </c>
      <c r="K10" s="716" t="s">
        <v>104</v>
      </c>
      <c r="L10" s="722">
        <f>Aj.Subsídio!G29*12</f>
        <v>236791.80000000002</v>
      </c>
      <c r="M10" s="722">
        <v>345638.52230911842</v>
      </c>
    </row>
    <row r="11" spans="1:15" ht="16.5" customHeight="1">
      <c r="A11" s="139"/>
      <c r="B11" s="1018" t="s">
        <v>833</v>
      </c>
      <c r="C11" s="815"/>
      <c r="D11" s="1117"/>
      <c r="E11" s="1117"/>
      <c r="F11" s="1117"/>
      <c r="G11" s="75"/>
      <c r="H11" s="75"/>
      <c r="K11" s="716" t="s">
        <v>105</v>
      </c>
      <c r="L11" s="722">
        <f>Aj.Subsídio!G30*12</f>
        <v>0</v>
      </c>
      <c r="M11" s="722">
        <v>0</v>
      </c>
    </row>
    <row r="12" spans="1:15" ht="16.5" customHeight="1">
      <c r="E12" s="1118"/>
      <c r="F12" s="1118"/>
      <c r="K12" s="716" t="s">
        <v>106</v>
      </c>
      <c r="L12" s="722">
        <f>Aj.Subsídio!G31*12</f>
        <v>152307</v>
      </c>
      <c r="M12" s="722">
        <v>87732.936274733074</v>
      </c>
      <c r="O12" s="879"/>
    </row>
    <row r="13" spans="1:15" ht="15" customHeight="1">
      <c r="B13" s="1119"/>
      <c r="C13" s="1120" t="s">
        <v>834</v>
      </c>
      <c r="D13" s="1121" t="s">
        <v>831</v>
      </c>
      <c r="E13" s="1120" t="s">
        <v>835</v>
      </c>
      <c r="F13" s="1119" t="s">
        <v>836</v>
      </c>
      <c r="K13" s="716" t="s">
        <v>107</v>
      </c>
      <c r="L13" s="722">
        <f>Aj.Subsídio!G32*12</f>
        <v>4015713.3600000003</v>
      </c>
      <c r="M13" s="722">
        <v>2438946.3271592055</v>
      </c>
      <c r="O13" s="879"/>
    </row>
    <row r="14" spans="1:15" ht="14.25">
      <c r="B14" s="1122" t="s">
        <v>837</v>
      </c>
      <c r="C14" s="1123">
        <f ca="1">SUM(C15:C23)</f>
        <v>11903802.419116173</v>
      </c>
      <c r="D14" s="1124">
        <f ca="1">SUM(D15:D23)</f>
        <v>16125385.617310021</v>
      </c>
      <c r="E14" s="1125">
        <f t="shared" ref="E14:E34" ca="1" si="0">(D14-C14)/LnkTXTRA0</f>
        <v>4.7585494101121117E-2</v>
      </c>
      <c r="F14" s="1126">
        <f ca="1">IF(ISERROR(D14/C14-1),"-",D14/C14-1)</f>
        <v>0.35464157162206078</v>
      </c>
      <c r="G14" s="291"/>
      <c r="K14" s="716" t="s">
        <v>108</v>
      </c>
      <c r="L14" s="722">
        <f>Aj.Subsídio!G33*12</f>
        <v>639800.04</v>
      </c>
      <c r="M14" s="722">
        <v>833288.49891196913</v>
      </c>
      <c r="O14" s="879"/>
    </row>
    <row r="15" spans="1:15" ht="0.75" customHeight="1">
      <c r="B15" s="78" t="s">
        <v>838</v>
      </c>
      <c r="C15" s="224"/>
      <c r="D15" s="133"/>
      <c r="E15" s="222">
        <f t="shared" ca="1" si="0"/>
        <v>0</v>
      </c>
      <c r="F15" s="257" t="str">
        <f t="shared" ref="F15:F32" si="1">IF(ISERROR(D15/C15-1),"-",D15/C15-1)</f>
        <v>-</v>
      </c>
      <c r="G15" s="291"/>
      <c r="K15" s="49"/>
      <c r="L15" s="841"/>
      <c r="M15" s="49"/>
    </row>
    <row r="16" spans="1:15" ht="14.25" hidden="1">
      <c r="B16" s="78" t="s">
        <v>839</v>
      </c>
      <c r="C16" s="224"/>
      <c r="D16" s="133"/>
      <c r="E16" s="222">
        <f t="shared" ca="1" si="0"/>
        <v>0</v>
      </c>
      <c r="F16" s="257" t="str">
        <f t="shared" si="1"/>
        <v>-</v>
      </c>
      <c r="G16" s="291"/>
      <c r="L16" s="841"/>
    </row>
    <row r="17" spans="2:14" ht="14.25">
      <c r="B17" s="78" t="s">
        <v>840</v>
      </c>
      <c r="C17" s="224">
        <f ca="1">Mercado_Faturado_Encargo_TFSEE_BRUTO</f>
        <v>212045.12391727263</v>
      </c>
      <c r="D17" s="133">
        <f ca="1">Encargos!C6</f>
        <v>239798.53240680718</v>
      </c>
      <c r="E17" s="222">
        <f t="shared" ca="1" si="0"/>
        <v>3.1283516016687257E-4</v>
      </c>
      <c r="F17" s="257">
        <f t="shared" ca="1" si="1"/>
        <v>0.13088444561621837</v>
      </c>
    </row>
    <row r="18" spans="2:14" ht="13.5" customHeight="1">
      <c r="B18" s="78" t="s">
        <v>841</v>
      </c>
      <c r="C18" s="208">
        <v>10003064.236758385</v>
      </c>
      <c r="D18" s="100">
        <f ca="1">Encargos!C7</f>
        <v>11399488.639594698</v>
      </c>
      <c r="E18" s="223">
        <f t="shared" ca="1" si="0"/>
        <v>1.5740432454880573E-2</v>
      </c>
      <c r="F18" s="257">
        <f t="shared" ca="1" si="1"/>
        <v>0.13959966364155241</v>
      </c>
      <c r="K18" s="49" t="s">
        <v>842</v>
      </c>
      <c r="L18" s="723">
        <v>44763.492523148147</v>
      </c>
      <c r="M18" s="49"/>
      <c r="N18" s="626"/>
    </row>
    <row r="19" spans="2:14" ht="16.5" hidden="1" customHeight="1">
      <c r="B19" s="78"/>
      <c r="C19" s="208"/>
      <c r="D19" s="100"/>
      <c r="E19" s="222"/>
      <c r="F19" s="257"/>
      <c r="K19" s="716" t="s">
        <v>843</v>
      </c>
      <c r="L19" s="716"/>
      <c r="M19" s="716"/>
      <c r="N19" s="294"/>
    </row>
    <row r="20" spans="2:14" ht="14.25">
      <c r="B20" s="78" t="s">
        <v>844</v>
      </c>
      <c r="C20" s="208">
        <f ca="1">Mercado_Faturado_Encargo_ESSERR_BRUTO</f>
        <v>598830.8355464706</v>
      </c>
      <c r="D20" s="100">
        <f>Encargos!C9</f>
        <v>2838376.3960085167</v>
      </c>
      <c r="E20" s="222">
        <f t="shared" ca="1" si="0"/>
        <v>2.5244055856142613E-2</v>
      </c>
      <c r="F20" s="257">
        <f t="shared" ca="1" si="1"/>
        <v>3.7398634598004969</v>
      </c>
      <c r="K20" s="716" t="s">
        <v>845</v>
      </c>
      <c r="L20" s="724"/>
      <c r="M20" s="724"/>
    </row>
    <row r="21" spans="2:14" ht="14.25">
      <c r="B21" s="78" t="s">
        <v>52</v>
      </c>
      <c r="C21" s="208">
        <f ca="1">Mercado_Faturado_Encargo_PROINFA_BRUTO</f>
        <v>1089862.2228940441</v>
      </c>
      <c r="D21" s="100">
        <f ca="1">Encargos!C10</f>
        <v>1647722.0493000001</v>
      </c>
      <c r="E21" s="222">
        <f t="shared" ca="1" si="0"/>
        <v>6.2881706299310778E-3</v>
      </c>
      <c r="F21" s="257">
        <f t="shared" ca="1" si="1"/>
        <v>0.5118627058423979</v>
      </c>
      <c r="L21" s="197"/>
    </row>
    <row r="22" spans="2:14" ht="14.25">
      <c r="B22" s="78" t="s">
        <v>846</v>
      </c>
      <c r="C22" s="224">
        <f ca="1">Mercado_Faturado_Encargo_PeD_BRUTO*0</f>
        <v>0</v>
      </c>
      <c r="D22" s="403">
        <f>IFERROR(Encargos!C11,0)*0</f>
        <v>0</v>
      </c>
      <c r="E22" s="222">
        <f t="shared" ca="1" si="0"/>
        <v>0</v>
      </c>
      <c r="F22" s="257" t="str">
        <f t="shared" ca="1" si="1"/>
        <v>-</v>
      </c>
      <c r="L22" s="197"/>
    </row>
    <row r="23" spans="2:14" ht="14.25">
      <c r="B23" s="78" t="s">
        <v>54</v>
      </c>
      <c r="C23" s="224">
        <f ca="1">Mercado_Faturado_Encargo_ONS_BRUTO*0</f>
        <v>0</v>
      </c>
      <c r="D23" s="133">
        <f>Encargos!C12</f>
        <v>0</v>
      </c>
      <c r="E23" s="222">
        <f t="shared" ca="1" si="0"/>
        <v>0</v>
      </c>
      <c r="F23" s="257" t="str">
        <f t="shared" ca="1" si="1"/>
        <v>-</v>
      </c>
      <c r="G23" s="291"/>
      <c r="L23" s="197"/>
    </row>
    <row r="24" spans="2:14" ht="16.5">
      <c r="B24" s="1127" t="s">
        <v>847</v>
      </c>
      <c r="C24" s="1123">
        <f ca="1">SUM(C25:C32)</f>
        <v>14742424.798749864</v>
      </c>
      <c r="D24" s="1124">
        <f>SUM(D25:D32)</f>
        <v>14041281.290248398</v>
      </c>
      <c r="E24" s="1125">
        <f t="shared" ca="1" si="0"/>
        <v>-7.9032577877679571E-3</v>
      </c>
      <c r="F24" s="1126">
        <f t="shared" ca="1" si="1"/>
        <v>-4.7559578432506022E-2</v>
      </c>
      <c r="G24" s="291"/>
      <c r="J24"/>
      <c r="K24" s="23"/>
      <c r="L24" s="197"/>
    </row>
    <row r="25" spans="2:14" ht="14.25">
      <c r="B25" s="81" t="s">
        <v>763</v>
      </c>
      <c r="C25" s="224">
        <f ca="1">IFERROR(Calc_Mercado!C91,0)</f>
        <v>0</v>
      </c>
      <c r="D25" s="133">
        <f>'Rede Básica + Ajuste'!D9+'Rede Básica + Ajuste'!D10</f>
        <v>0</v>
      </c>
      <c r="E25" s="222">
        <f t="shared" ref="E25:E32" ca="1" si="2">(D25-C25)/LnkTXTRA0</f>
        <v>0</v>
      </c>
      <c r="F25" s="258" t="str">
        <f t="shared" ca="1" si="1"/>
        <v>-</v>
      </c>
      <c r="G25" s="291"/>
      <c r="J25" s="197"/>
      <c r="K25" s="197"/>
      <c r="L25" s="197"/>
    </row>
    <row r="26" spans="2:14" ht="14.25">
      <c r="B26" s="81" t="s">
        <v>765</v>
      </c>
      <c r="C26" s="224">
        <f ca="1">IFERROR(Calc_Mercado!C89,0)</f>
        <v>0</v>
      </c>
      <c r="D26" s="133">
        <f>'Rede Básica + Ajuste'!E9+'Rede Básica + Ajuste'!E10</f>
        <v>0</v>
      </c>
      <c r="E26" s="222">
        <f t="shared" ca="1" si="2"/>
        <v>0</v>
      </c>
      <c r="F26" s="258" t="str">
        <f t="shared" ca="1" si="1"/>
        <v>-</v>
      </c>
      <c r="G26" s="291"/>
      <c r="J26" s="197"/>
      <c r="K26" s="197"/>
      <c r="L26" s="197"/>
    </row>
    <row r="27" spans="2:14" ht="14.25">
      <c r="B27" s="1680" t="s">
        <v>848</v>
      </c>
      <c r="D27" s="252">
        <v>0</v>
      </c>
      <c r="E27" s="222">
        <f t="shared" ca="1" si="2"/>
        <v>0</v>
      </c>
      <c r="F27" s="258" t="str">
        <f t="shared" si="1"/>
        <v>-</v>
      </c>
      <c r="G27" s="291"/>
    </row>
    <row r="28" spans="2:14" ht="14.25">
      <c r="B28" s="1680" t="s">
        <v>849</v>
      </c>
      <c r="D28" s="252">
        <v>0</v>
      </c>
      <c r="E28" s="222">
        <f t="shared" ca="1" si="2"/>
        <v>0</v>
      </c>
      <c r="F28" s="258" t="str">
        <f t="shared" si="1"/>
        <v>-</v>
      </c>
      <c r="G28" s="291"/>
    </row>
    <row r="29" spans="2:14" ht="16.5" customHeight="1">
      <c r="B29" s="81" t="s">
        <v>850</v>
      </c>
      <c r="C29" s="224"/>
      <c r="D29" s="252">
        <v>0</v>
      </c>
      <c r="E29" s="222">
        <f t="shared" ca="1" si="2"/>
        <v>0</v>
      </c>
      <c r="F29" s="258" t="str">
        <f t="shared" si="1"/>
        <v>-</v>
      </c>
      <c r="G29" s="291"/>
    </row>
    <row r="30" spans="2:14" ht="14.25">
      <c r="B30" s="81" t="s">
        <v>851</v>
      </c>
      <c r="C30" s="224"/>
      <c r="D30" s="252">
        <v>0</v>
      </c>
      <c r="E30" s="222">
        <f t="shared" ca="1" si="2"/>
        <v>0</v>
      </c>
      <c r="F30" s="258" t="str">
        <f t="shared" si="1"/>
        <v>-</v>
      </c>
      <c r="G30" s="291"/>
    </row>
    <row r="31" spans="2:14" ht="14.25">
      <c r="B31" s="81" t="s">
        <v>766</v>
      </c>
      <c r="C31" s="224">
        <f ca="1">IFERROR(Calc_Mercado!C95,0)</f>
        <v>0</v>
      </c>
      <c r="D31" s="133">
        <f>'Conexão '!E21</f>
        <v>0</v>
      </c>
      <c r="E31" s="222">
        <f t="shared" ca="1" si="2"/>
        <v>0</v>
      </c>
      <c r="F31" s="258" t="str">
        <f t="shared" ca="1" si="1"/>
        <v>-</v>
      </c>
      <c r="G31" s="117"/>
    </row>
    <row r="32" spans="2:14" ht="14.25">
      <c r="B32" s="81" t="s">
        <v>767</v>
      </c>
      <c r="C32" s="224">
        <f ca="1">Calc_Mercado!C96</f>
        <v>14742424.798749864</v>
      </c>
      <c r="D32" s="133">
        <f>CUSD!C3</f>
        <v>14041281.290248398</v>
      </c>
      <c r="E32" s="222">
        <f t="shared" ca="1" si="2"/>
        <v>-7.9032577877679571E-3</v>
      </c>
      <c r="F32" s="258">
        <f t="shared" ca="1" si="1"/>
        <v>-4.7559578432506022E-2</v>
      </c>
      <c r="G32" s="291"/>
    </row>
    <row r="33" spans="2:9" ht="14.25">
      <c r="B33" s="1127" t="s">
        <v>160</v>
      </c>
      <c r="C33" s="1123">
        <f ca="1">SUM(Calc_Mercado!C79:C84)</f>
        <v>18947799.110848572</v>
      </c>
      <c r="D33" s="1124">
        <f ca="1">Energia!F23</f>
        <v>22086597.211066131</v>
      </c>
      <c r="E33" s="1125">
        <f t="shared" ca="1" si="0"/>
        <v>3.5380389647754695E-2</v>
      </c>
      <c r="F33" s="1126">
        <f ca="1">IF(ISERROR(D33/C33-1),"-",D33/C33-1)</f>
        <v>0.16565502314305403</v>
      </c>
      <c r="G33" s="291"/>
      <c r="I33" s="1745">
        <f ca="1">C32/(C32+C33)</f>
        <v>0.43758761705794735</v>
      </c>
    </row>
    <row r="34" spans="2:9" ht="14.25">
      <c r="B34" s="1128" t="s">
        <v>852</v>
      </c>
      <c r="C34" s="1641">
        <f ca="1">C14+C24+C33</f>
        <v>45594026.328714609</v>
      </c>
      <c r="D34" s="1129">
        <f ca="1">D33+D24+D14</f>
        <v>52253264.118624553</v>
      </c>
      <c r="E34" s="1642">
        <f t="shared" ca="1" si="0"/>
        <v>7.5062625961107896E-2</v>
      </c>
      <c r="F34" s="1130">
        <f ca="1">IF(ISERROR(D34/C34-1),"-",D34/C34-1)</f>
        <v>0.14605504988525286</v>
      </c>
      <c r="G34" s="291"/>
      <c r="I34" s="1745">
        <f ca="1">C33/(C32+C33)</f>
        <v>0.56241238294205254</v>
      </c>
    </row>
    <row r="35" spans="2:9" ht="14.25">
      <c r="G35" s="69"/>
    </row>
    <row r="36" spans="2:9" ht="14.25">
      <c r="B36" s="1018" t="s">
        <v>84</v>
      </c>
      <c r="C36" s="815"/>
      <c r="D36" s="815"/>
      <c r="E36" s="1117"/>
      <c r="F36" s="1117"/>
      <c r="G36" s="69"/>
    </row>
    <row r="37" spans="2:9" ht="8.25" customHeight="1">
      <c r="G37" s="69"/>
    </row>
    <row r="38" spans="2:9" ht="15.75" customHeight="1">
      <c r="B38" s="685"/>
      <c r="C38" s="685" t="s">
        <v>834</v>
      </c>
      <c r="D38" s="685" t="s">
        <v>831</v>
      </c>
      <c r="E38" s="1131" t="s">
        <v>835</v>
      </c>
      <c r="F38" s="685" t="s">
        <v>836</v>
      </c>
      <c r="G38" s="69"/>
    </row>
    <row r="39" spans="2:9" ht="15.75" customHeight="1">
      <c r="B39" s="1132" t="s">
        <v>853</v>
      </c>
      <c r="C39" s="1133">
        <f ca="1">LnkTXTRA0-C34</f>
        <v>43121732.074945375</v>
      </c>
      <c r="D39" s="1134">
        <f>IFERROR(IF(CAPA!P1="VERDADEIRO",SMALL(IF(LnkTXTPBReq=0,CAPA!K29,LnkTXTPBReq):LNKTXTLImPB,1),C39*(1+LnkTXTIPCA-CAPA!H42)),0)</f>
        <v>51369456.980000004</v>
      </c>
      <c r="E39" s="1643">
        <f ca="1">(D39-C39)/LnkTXTRA0</f>
        <v>9.2967980587250074E-2</v>
      </c>
      <c r="F39" s="1135">
        <f ca="1">IF(ISERROR(D39/C39-1),"-",D39/C39-1)</f>
        <v>0.19126608575741155</v>
      </c>
      <c r="G39" s="69"/>
    </row>
    <row r="40" spans="2:9" ht="14.25">
      <c r="B40" s="727"/>
      <c r="C40" s="728"/>
      <c r="D40" s="729"/>
      <c r="E40" s="727"/>
      <c r="F40" s="727"/>
    </row>
    <row r="41" spans="2:9" ht="14.25">
      <c r="B41" s="1018" t="s">
        <v>854</v>
      </c>
      <c r="C41" s="815"/>
      <c r="D41" s="815"/>
      <c r="E41" s="1117"/>
      <c r="F41" s="1117"/>
    </row>
    <row r="42" spans="2:9" ht="9" customHeight="1">
      <c r="E42" s="75"/>
      <c r="F42" s="75"/>
    </row>
    <row r="43" spans="2:9" ht="15.75" customHeight="1">
      <c r="B43" s="727"/>
      <c r="C43" s="1119" t="s">
        <v>855</v>
      </c>
      <c r="D43" s="1119" t="s">
        <v>835</v>
      </c>
      <c r="E43" s="472" t="s">
        <v>856</v>
      </c>
      <c r="F43" s="472"/>
      <c r="G43" s="472"/>
    </row>
    <row r="44" spans="2:9" ht="15.75" customHeight="1">
      <c r="B44" s="1136" t="s">
        <v>857</v>
      </c>
      <c r="C44" s="1137">
        <f ca="1">SUM(C45:C100)</f>
        <v>-20114203.81163808</v>
      </c>
      <c r="D44" s="1138">
        <f ca="1">C44/Financeiros!D4</f>
        <v>-0.22672639194626176</v>
      </c>
      <c r="E44" s="472">
        <f t="shared" ref="E44:E100" ca="1" si="3">IF(D44=0,0,1)</f>
        <v>1</v>
      </c>
      <c r="F44" s="472"/>
      <c r="G44" s="472"/>
      <c r="H44" s="68">
        <f ca="1">C44-Financeiros!D5</f>
        <v>0</v>
      </c>
    </row>
    <row r="45" spans="2:9" ht="15.75" customHeight="1">
      <c r="B45" s="82" t="str">
        <f>Financeiros!C9</f>
        <v>Repasse de PIS COFINS</v>
      </c>
      <c r="C45" s="458">
        <f>Financeiros!D9</f>
        <v>1010289.0827403127</v>
      </c>
      <c r="D45" s="477">
        <f ca="1">C45/Financeiros!$D$4</f>
        <v>1.1387932661787774E-2</v>
      </c>
      <c r="E45" s="472">
        <f t="shared" ca="1" si="3"/>
        <v>1</v>
      </c>
      <c r="F45" s="472"/>
      <c r="G45" s="472"/>
    </row>
    <row r="46" spans="2:9" ht="15.75" customHeight="1">
      <c r="B46" s="82" t="s">
        <v>858</v>
      </c>
      <c r="C46" s="458">
        <f ca="1">LnkTXTNeutralidade</f>
        <v>-341663.26673667243</v>
      </c>
      <c r="D46" s="477">
        <f ca="1">C46/Financeiros!$D$4</f>
        <v>-3.8512128271743101E-3</v>
      </c>
      <c r="E46" s="472">
        <f t="shared" ca="1" si="3"/>
        <v>1</v>
      </c>
      <c r="F46" s="472"/>
      <c r="G46" s="472"/>
    </row>
    <row r="47" spans="2:9" ht="15.75" customHeight="1">
      <c r="B47" s="1731" t="s">
        <v>2345</v>
      </c>
      <c r="C47" s="459">
        <f ca="1">Financeiros!D18+Financeiros!D19</f>
        <v>-12977.375000485874</v>
      </c>
      <c r="D47" s="477">
        <f ca="1">C47/Financeiros!$D$4</f>
        <v>-1.462803816818917E-4</v>
      </c>
      <c r="E47" s="472">
        <f t="shared" ca="1" si="3"/>
        <v>1</v>
      </c>
      <c r="F47" s="472"/>
      <c r="G47" s="472"/>
    </row>
    <row r="48" spans="2:9" ht="15.75" customHeight="1">
      <c r="B48" s="1731" t="str">
        <f>Financeiros!C20</f>
        <v>(Neutralidade)Crédito Pis Cofins</v>
      </c>
      <c r="C48" s="459">
        <f ca="1">Financeiros!D20</f>
        <v>62764.5567162558</v>
      </c>
      <c r="D48" s="477">
        <f ca="1">C48/Financeiros!$D$4</f>
        <v>7.0747923306561553E-4</v>
      </c>
      <c r="E48" s="472">
        <f ca="1">IF(D48=0,0,1)</f>
        <v>1</v>
      </c>
      <c r="F48" s="472"/>
      <c r="G48" s="472"/>
    </row>
    <row r="49" spans="1:7" ht="15.75" hidden="1" customHeight="1">
      <c r="B49" s="68" t="str">
        <f>Financeiros!C25</f>
        <v>Ajustes Processos anteriores</v>
      </c>
      <c r="C49" s="458">
        <f>Financeiros!D25</f>
        <v>0</v>
      </c>
      <c r="D49" s="477">
        <f ca="1">C49/Financeiros!$D$4</f>
        <v>0</v>
      </c>
      <c r="E49" s="472">
        <f t="shared" ca="1" si="3"/>
        <v>0</v>
      </c>
      <c r="F49" s="472"/>
      <c r="G49" s="472"/>
    </row>
    <row r="50" spans="1:7" ht="15.75" hidden="1" customHeight="1">
      <c r="B50" s="83" t="str">
        <f>Financeiros!C26</f>
        <v>Ajuste CUST + PISCONFINS Transmissão</v>
      </c>
      <c r="C50" s="459">
        <f>Financeiros!D26</f>
        <v>0</v>
      </c>
      <c r="D50" s="477">
        <f ca="1">C50/Financeiros!$D$4</f>
        <v>0</v>
      </c>
      <c r="E50" s="472">
        <f t="shared" ca="1" si="3"/>
        <v>0</v>
      </c>
      <c r="F50" s="72"/>
    </row>
    <row r="51" spans="1:7" ht="15.75" customHeight="1">
      <c r="B51" s="68" t="str">
        <f>Financeiros!C27</f>
        <v>Compensação DIC FIC</v>
      </c>
      <c r="C51" s="459">
        <f>Financeiros!D27</f>
        <v>-240275.83418137633</v>
      </c>
      <c r="D51" s="477">
        <f ca="1">C51/Financeiros!$D$4</f>
        <v>-2.7083782915782828E-3</v>
      </c>
      <c r="E51" s="472">
        <f t="shared" ca="1" si="3"/>
        <v>1</v>
      </c>
      <c r="F51" s="72"/>
    </row>
    <row r="52" spans="1:7" ht="15.75" customHeight="1">
      <c r="B52" s="68" t="str">
        <f>Financeiros!C28</f>
        <v>Subvenção CDE</v>
      </c>
      <c r="C52" s="459">
        <f ca="1">Financeiros!D28</f>
        <v>-20761269.154540893</v>
      </c>
      <c r="D52" s="477">
        <f ca="1">C52/Financeiros!$D$4</f>
        <v>-0.23402008310717864</v>
      </c>
      <c r="E52" s="472">
        <f t="shared" ca="1" si="3"/>
        <v>1</v>
      </c>
      <c r="F52" s="1746">
        <f ca="1">C52/12</f>
        <v>-1730105.7628784077</v>
      </c>
    </row>
    <row r="53" spans="1:7" ht="15.75" hidden="1" customHeight="1">
      <c r="B53" s="68" t="str">
        <f>Financeiros!C29</f>
        <v>Retenção de Adicionais de Bandeiras Tarifárias</v>
      </c>
      <c r="C53" s="459">
        <f>Financeiros!D29</f>
        <v>0</v>
      </c>
      <c r="D53" s="477">
        <f ca="1">C53/Financeiros!$D$4</f>
        <v>0</v>
      </c>
      <c r="E53" s="472">
        <f t="shared" ca="1" si="3"/>
        <v>0</v>
      </c>
      <c r="F53" s="72"/>
    </row>
    <row r="54" spans="1:7" ht="15.75" hidden="1" customHeight="1">
      <c r="B54" s="68" t="str">
        <f>Financeiros!C30</f>
        <v>Multa LPT</v>
      </c>
      <c r="C54" s="459">
        <f>Financeiros!D30</f>
        <v>0</v>
      </c>
      <c r="D54" s="477">
        <f ca="1">C54/Financeiros!$D$4</f>
        <v>0</v>
      </c>
      <c r="E54" s="472">
        <f t="shared" ca="1" si="3"/>
        <v>0</v>
      </c>
      <c r="F54" s="72"/>
    </row>
    <row r="55" spans="1:7" ht="15.75" hidden="1" customHeight="1">
      <c r="B55" s="68" t="str">
        <f>Financeiros!C34</f>
        <v>Ressarcimento P&amp;D</v>
      </c>
      <c r="C55" s="459">
        <f>Financeiros!D34</f>
        <v>0</v>
      </c>
      <c r="D55" s="477">
        <f ca="1">C55/Financeiros!$D$4</f>
        <v>0</v>
      </c>
      <c r="E55" s="472">
        <f t="shared" ca="1" si="3"/>
        <v>0</v>
      </c>
      <c r="F55" s="72"/>
    </row>
    <row r="56" spans="1:7" ht="15.75" hidden="1" customHeight="1">
      <c r="B56" s="68" t="str">
        <f>Financeiros!C31</f>
        <v>Repasse de ICMS</v>
      </c>
      <c r="C56" s="459">
        <f>Financeiros!D31</f>
        <v>0</v>
      </c>
      <c r="D56" s="761">
        <f ca="1">C56/Financeiros!$D$4</f>
        <v>0</v>
      </c>
      <c r="E56" s="472">
        <f t="shared" ca="1" si="3"/>
        <v>0</v>
      </c>
      <c r="F56" s="72"/>
    </row>
    <row r="57" spans="1:7" ht="15.75" customHeight="1">
      <c r="B57" s="68" t="str">
        <f>Financeiros!C36</f>
        <v>Previsão de Risco Hidrologico</v>
      </c>
      <c r="C57" s="459">
        <f>Financeiros!D36</f>
        <v>1682963.5960436226</v>
      </c>
      <c r="D57" s="477">
        <f ca="1">C57/Financeiros!$D$4</f>
        <v>1.8970289228505223E-2</v>
      </c>
      <c r="E57" s="472">
        <f t="shared" ca="1" si="3"/>
        <v>1</v>
      </c>
      <c r="F57" s="72"/>
    </row>
    <row r="58" spans="1:7" ht="15.75" hidden="1" customHeight="1">
      <c r="B58" s="68" t="str">
        <f>Financeiros!C37</f>
        <v>Efeito COVID da Supridora</v>
      </c>
      <c r="C58" s="459">
        <f>Financeiros!D37</f>
        <v>0</v>
      </c>
      <c r="D58" s="477">
        <f ca="1">C58/Financeiros!$D$4</f>
        <v>0</v>
      </c>
      <c r="E58" s="472">
        <f t="shared" ca="1" si="3"/>
        <v>0</v>
      </c>
      <c r="F58" s="72"/>
    </row>
    <row r="59" spans="1:7" ht="15.75" hidden="1" customHeight="1">
      <c r="B59" s="68" t="str">
        <f>Financeiros!C38</f>
        <v>Crédito de Pis Cofins sobre ICMS</v>
      </c>
      <c r="C59" s="459">
        <f>Financeiros!D38</f>
        <v>0</v>
      </c>
      <c r="D59" s="477">
        <f ca="1">C59/Financeiros!$D$4</f>
        <v>0</v>
      </c>
      <c r="E59" s="472">
        <f t="shared" ca="1" si="3"/>
        <v>0</v>
      </c>
      <c r="F59" s="72"/>
    </row>
    <row r="60" spans="1:7" ht="15.75" hidden="1" customHeight="1">
      <c r="B60" s="68" t="str">
        <f>Financeiros!C39</f>
        <v>Diferimento Pis Cofins TUSD</v>
      </c>
      <c r="C60" s="459">
        <f>Financeiros!D39</f>
        <v>0</v>
      </c>
      <c r="D60" s="477">
        <f ca="1">C60/Financeiros!$D$4</f>
        <v>0</v>
      </c>
      <c r="E60" s="472">
        <f t="shared" ca="1" si="3"/>
        <v>0</v>
      </c>
      <c r="F60" s="72"/>
    </row>
    <row r="61" spans="1:7" ht="15.75" hidden="1" customHeight="1">
      <c r="B61" s="68" t="str">
        <f>Financeiros!C40</f>
        <v>Diferimento Pis Cofins TE</v>
      </c>
      <c r="C61" s="459">
        <f>Financeiros!D40</f>
        <v>0</v>
      </c>
      <c r="D61" s="477">
        <f ca="1">C61/Financeiros!$D$4</f>
        <v>0</v>
      </c>
      <c r="E61" s="472">
        <f t="shared" ca="1" si="3"/>
        <v>0</v>
      </c>
      <c r="F61" s="72"/>
    </row>
    <row r="62" spans="1:7" ht="14.25">
      <c r="A62" s="72"/>
      <c r="B62" s="68" t="str">
        <f>Financeiros!C41</f>
        <v>Financeiros associados ao §7º do Art. 88 da Ren 414/2021</v>
      </c>
      <c r="C62" s="459">
        <f>Financeiros!D41</f>
        <v>-4199.08</v>
      </c>
      <c r="D62" s="477">
        <f ca="1">C62/Financeiros!$D$4</f>
        <v>-4.7331839072986681E-5</v>
      </c>
      <c r="E62" s="472">
        <f t="shared" ca="1" si="3"/>
        <v>1</v>
      </c>
      <c r="F62" s="72"/>
    </row>
    <row r="63" spans="1:7" ht="14.25">
      <c r="B63" s="72" t="s">
        <v>2354</v>
      </c>
      <c r="C63" s="459">
        <f>Financeiros!D42</f>
        <v>-94838.229139715273</v>
      </c>
      <c r="D63" s="477">
        <f ca="1">C63/Financeiros!$D$4</f>
        <v>-1.0690122121055181E-3</v>
      </c>
      <c r="E63" s="472">
        <f t="shared" ca="1" si="3"/>
        <v>1</v>
      </c>
      <c r="F63" s="72"/>
    </row>
    <row r="64" spans="1:7" ht="14.25" hidden="1">
      <c r="B64" s="68">
        <f>Financeiros!C46</f>
        <v>0</v>
      </c>
      <c r="C64" s="459">
        <f>Financeiros!D46</f>
        <v>0</v>
      </c>
      <c r="D64" s="477">
        <f ca="1">C64/Financeiros!$D$4</f>
        <v>0</v>
      </c>
      <c r="E64" s="472">
        <f t="shared" ca="1" si="3"/>
        <v>0</v>
      </c>
      <c r="F64" s="72"/>
    </row>
    <row r="65" spans="2:6" ht="14.25" hidden="1">
      <c r="B65" s="68">
        <f>Financeiros!C47</f>
        <v>0</v>
      </c>
      <c r="C65" s="459">
        <f>Financeiros!D47</f>
        <v>0</v>
      </c>
      <c r="D65" s="477">
        <f ca="1">C65/Financeiros!$D$4</f>
        <v>0</v>
      </c>
      <c r="E65" s="472">
        <f t="shared" ca="1" si="3"/>
        <v>0</v>
      </c>
      <c r="F65" s="72"/>
    </row>
    <row r="66" spans="2:6" ht="14.25" hidden="1">
      <c r="B66" s="68" t="str">
        <f>Financeiros!C48</f>
        <v>CVE ccc</v>
      </c>
      <c r="C66" s="459">
        <f>Financeiros!D48</f>
        <v>0</v>
      </c>
      <c r="D66" s="477">
        <f ca="1">C66/Financeiros!$D$4</f>
        <v>0</v>
      </c>
      <c r="E66" s="472">
        <f t="shared" ca="1" si="3"/>
        <v>0</v>
      </c>
      <c r="F66" s="72"/>
    </row>
    <row r="67" spans="2:6" ht="14.25" hidden="1">
      <c r="B67" s="68" t="str">
        <f>Financeiros!C49</f>
        <v>CVE cde</v>
      </c>
      <c r="C67" s="459">
        <f>Financeiros!D49</f>
        <v>0</v>
      </c>
      <c r="D67" s="477">
        <f ca="1">C67/Financeiros!$D$4</f>
        <v>0</v>
      </c>
      <c r="E67" s="472">
        <f t="shared" ca="1" si="3"/>
        <v>0</v>
      </c>
      <c r="F67" s="72"/>
    </row>
    <row r="68" spans="2:6" ht="14.25" hidden="1">
      <c r="B68" s="68" t="str">
        <f>Financeiros!C50</f>
        <v>CVE cde energia</v>
      </c>
      <c r="C68" s="459">
        <f>Financeiros!D50</f>
        <v>0</v>
      </c>
      <c r="D68" s="477">
        <f ca="1">C68/Financeiros!$D$4</f>
        <v>0</v>
      </c>
      <c r="E68" s="472">
        <f t="shared" ca="1" si="3"/>
        <v>0</v>
      </c>
      <c r="F68" s="72"/>
    </row>
    <row r="69" spans="2:6" ht="14.25" hidden="1">
      <c r="B69" s="68" t="str">
        <f>Financeiros!C51</f>
        <v>CVE RB - Nodal</v>
      </c>
      <c r="C69" s="459">
        <f>Financeiros!D51</f>
        <v>0</v>
      </c>
      <c r="D69" s="477">
        <f ca="1">C69/Financeiros!$D$4</f>
        <v>0</v>
      </c>
      <c r="E69" s="472">
        <f t="shared" ca="1" si="3"/>
        <v>0</v>
      </c>
      <c r="F69" s="72"/>
    </row>
    <row r="70" spans="2:6" ht="14.25" hidden="1">
      <c r="B70" s="68" t="str">
        <f>Financeiros!C52</f>
        <v>CVE RB - Fronteira</v>
      </c>
      <c r="C70" s="459">
        <f>Financeiros!D52</f>
        <v>0</v>
      </c>
      <c r="D70" s="477">
        <f ca="1">C70/Financeiros!$D$4</f>
        <v>0</v>
      </c>
      <c r="E70" s="472">
        <f t="shared" ca="1" si="3"/>
        <v>0</v>
      </c>
      <c r="F70" s="72"/>
    </row>
    <row r="71" spans="2:6" ht="14.25" hidden="1">
      <c r="B71" s="68" t="str">
        <f>Financeiros!C53</f>
        <v>CVE RB - TUSDg EXP</v>
      </c>
      <c r="C71" s="459">
        <f>Financeiros!D53</f>
        <v>0</v>
      </c>
      <c r="D71" s="477">
        <f ca="1">C71/Financeiros!$D$4</f>
        <v>0</v>
      </c>
      <c r="E71" s="472">
        <f t="shared" ca="1" si="3"/>
        <v>0</v>
      </c>
      <c r="F71" s="72"/>
    </row>
    <row r="72" spans="2:6" ht="14.25" hidden="1">
      <c r="B72" s="68" t="str">
        <f>Financeiros!C54</f>
        <v>CVE RB - TUSDg ONS</v>
      </c>
      <c r="C72" s="459">
        <f>Financeiros!D54</f>
        <v>0</v>
      </c>
      <c r="D72" s="477">
        <f ca="1">C72/Financeiros!$D$4</f>
        <v>0</v>
      </c>
      <c r="E72" s="472">
        <f t="shared" ca="1" si="3"/>
        <v>0</v>
      </c>
      <c r="F72" s="72"/>
    </row>
    <row r="73" spans="2:6" ht="14.25" hidden="1">
      <c r="B73" s="68" t="str">
        <f>Financeiros!C55</f>
        <v>CVE RB - EUST Itaipu</v>
      </c>
      <c r="C73" s="459">
        <f>Financeiros!D55</f>
        <v>0</v>
      </c>
      <c r="D73" s="477">
        <f ca="1">C73/Financeiros!$D$4</f>
        <v>0</v>
      </c>
      <c r="E73" s="472">
        <f t="shared" ca="1" si="3"/>
        <v>0</v>
      </c>
      <c r="F73" s="72"/>
    </row>
    <row r="74" spans="2:6" ht="14.25" hidden="1">
      <c r="B74" s="68" t="str">
        <f>Financeiros!C56</f>
        <v>CVE- Transporte Itaipu</v>
      </c>
      <c r="C74" s="459">
        <f>Financeiros!D56</f>
        <v>0</v>
      </c>
      <c r="D74" s="477">
        <f ca="1">C74/Financeiros!$D$4</f>
        <v>0</v>
      </c>
      <c r="E74" s="472">
        <f t="shared" ca="1" si="3"/>
        <v>0</v>
      </c>
      <c r="F74" s="72"/>
    </row>
    <row r="75" spans="2:6" ht="14.25">
      <c r="B75" s="68" t="str">
        <f>Financeiros!C57</f>
        <v>CVE - Energia - Energia de Revenda</v>
      </c>
      <c r="C75" s="459">
        <f ca="1">Financeiros!D57</f>
        <v>315589.6721795699</v>
      </c>
      <c r="D75" s="477">
        <f ca="1">C75/Financeiros!$D$4</f>
        <v>3.5573124533707441E-3</v>
      </c>
      <c r="E75" s="472">
        <f t="shared" ca="1" si="3"/>
        <v>1</v>
      </c>
      <c r="F75" s="72"/>
    </row>
    <row r="76" spans="2:6" ht="14.25" hidden="1">
      <c r="B76" s="68" t="str">
        <f>Financeiros!C58</f>
        <v>CVE - Energia - Perda Não Técnica</v>
      </c>
      <c r="C76" s="459">
        <f ca="1">Financeiros!D58</f>
        <v>0</v>
      </c>
      <c r="D76" s="477">
        <f ca="1">C76/Financeiros!$D$4</f>
        <v>0</v>
      </c>
      <c r="E76" s="472">
        <f t="shared" ca="1" si="3"/>
        <v>0</v>
      </c>
      <c r="F76" s="72"/>
    </row>
    <row r="77" spans="2:6" ht="14.25">
      <c r="B77" s="68" t="str">
        <f>Financeiros!C59</f>
        <v>CVE - Energia - Perda Técnica</v>
      </c>
      <c r="C77" s="459">
        <f ca="1">Financeiros!D59</f>
        <v>25760.558158798165</v>
      </c>
      <c r="D77" s="477">
        <f ca="1">C77/Financeiros!$D$4</f>
        <v>2.9037184173736838E-4</v>
      </c>
      <c r="E77" s="472">
        <f t="shared" ca="1" si="3"/>
        <v>1</v>
      </c>
      <c r="F77" s="72"/>
    </row>
    <row r="78" spans="2:6" ht="14.25">
      <c r="B78" s="68" t="str">
        <f>Financeiros!C60</f>
        <v>CVE - Energia -  Perda de RB sobre a distribuição</v>
      </c>
      <c r="C78" s="459">
        <f ca="1">Financeiros!D60</f>
        <v>761.6042761196868</v>
      </c>
      <c r="D78" s="477">
        <f ca="1">C78/Financeiros!$D$4</f>
        <v>8.5847688147393066E-6</v>
      </c>
      <c r="E78" s="472">
        <f t="shared" ca="1" si="3"/>
        <v>1</v>
      </c>
      <c r="F78" s="72"/>
    </row>
    <row r="79" spans="2:6" ht="14.25">
      <c r="B79" s="68" t="str">
        <f>Financeiros!C61</f>
        <v>CVE - Energia -  Perda de RB sobre o mercado cativo</v>
      </c>
      <c r="C79" s="459">
        <f ca="1">Financeiros!D61</f>
        <v>9330.3274855122218</v>
      </c>
      <c r="D79" s="477">
        <f ca="1">C79/Financeiros!$D$4</f>
        <v>1.0517102771143415E-4</v>
      </c>
      <c r="E79" s="472">
        <f t="shared" ca="1" si="3"/>
        <v>1</v>
      </c>
      <c r="F79" s="72"/>
    </row>
    <row r="80" spans="2:6" ht="14.25" hidden="1">
      <c r="B80" s="68" t="str">
        <f>Financeiros!C62</f>
        <v>CVE - Encargos - PROINFA</v>
      </c>
      <c r="C80" s="459">
        <f ca="1">Financeiros!D62</f>
        <v>0</v>
      </c>
      <c r="D80" s="477">
        <f ca="1">C80/Financeiros!$D$4</f>
        <v>0</v>
      </c>
      <c r="E80" s="472">
        <f t="shared" ca="1" si="3"/>
        <v>0</v>
      </c>
      <c r="F80" s="72"/>
    </row>
    <row r="81" spans="2:9" ht="14.25" hidden="1">
      <c r="B81" s="68" t="str">
        <f>Financeiros!C63</f>
        <v>CVE - Encargos - CFURH</v>
      </c>
      <c r="C81" s="459">
        <f>Financeiros!D63</f>
        <v>0</v>
      </c>
      <c r="D81" s="477">
        <f ca="1">C81/Financeiros!$D$4</f>
        <v>0</v>
      </c>
      <c r="E81" s="472">
        <f t="shared" ca="1" si="3"/>
        <v>0</v>
      </c>
      <c r="F81" s="72"/>
    </row>
    <row r="82" spans="2:9" ht="14.25">
      <c r="B82" s="68" t="str">
        <f>Financeiros!C64</f>
        <v>CVE - Encargos - ESS/EER</v>
      </c>
      <c r="C82" s="459">
        <f>Financeiros!D64</f>
        <v>2353444.7437</v>
      </c>
      <c r="D82" s="477">
        <f ca="1">C82/Financeiros!$D$4</f>
        <v>2.6527922277254729E-2</v>
      </c>
      <c r="E82" s="472">
        <f t="shared" ca="1" si="3"/>
        <v>1</v>
      </c>
      <c r="F82" s="72"/>
    </row>
    <row r="83" spans="2:9" ht="15.75" customHeight="1">
      <c r="B83" s="68" t="str">
        <f>Financeiros!C65</f>
        <v>Conta Escassez H. - Importação julho- agosto/2021 - RTA 2022 - Energia de Revenda</v>
      </c>
      <c r="C83" s="459">
        <f ca="1">Financeiros!D65</f>
        <v>-181725.36538635736</v>
      </c>
      <c r="D83" s="477">
        <f ca="1">C83/Financeiros!$D$4</f>
        <v>-2.0484000661923018E-3</v>
      </c>
      <c r="E83" s="472">
        <f t="shared" ca="1" si="3"/>
        <v>1</v>
      </c>
      <c r="F83" s="72"/>
    </row>
    <row r="84" spans="2:9" ht="15.75" hidden="1" customHeight="1">
      <c r="B84" s="68" t="str">
        <f>Financeiros!C66</f>
        <v>Conta Escassez H. - Importação julho- agosto/2021 - RTA 2022 - Perda Não Técnica</v>
      </c>
      <c r="C84" s="459">
        <f ca="1">Financeiros!D66</f>
        <v>0</v>
      </c>
      <c r="D84" s="477">
        <f ca="1">C84/Financeiros!$D$4</f>
        <v>0</v>
      </c>
      <c r="E84" s="472">
        <f t="shared" ca="1" si="3"/>
        <v>0</v>
      </c>
      <c r="F84" s="72"/>
    </row>
    <row r="85" spans="2:9" ht="15.75" customHeight="1">
      <c r="B85" s="68" t="str">
        <f>Financeiros!C67</f>
        <v>Conta Escassez H. - Importação julho- agosto/2021 - RTA 2022 - Perda Técnica</v>
      </c>
      <c r="C85" s="459">
        <f ca="1">Financeiros!D67</f>
        <v>-14833.650327126128</v>
      </c>
      <c r="D85" s="477">
        <f ca="1">C85/Financeiros!$D$4</f>
        <v>-1.672042328673162E-4</v>
      </c>
      <c r="E85" s="472">
        <f t="shared" ca="1" si="3"/>
        <v>1</v>
      </c>
      <c r="F85" s="72"/>
    </row>
    <row r="86" spans="2:9" ht="15.75" customHeight="1">
      <c r="B86" s="68" t="str">
        <f>Financeiros!C68</f>
        <v>Conta Escassez H. - Importação julho- agosto/2021 - RTA 2022 - Perda RB Perda RB sobre Dist.</v>
      </c>
      <c r="C86" s="459">
        <f ca="1">Financeiros!D68</f>
        <v>-438.55305657439686</v>
      </c>
      <c r="D86" s="477">
        <f ca="1">C86/Financeiros!$D$4</f>
        <v>-4.9433501383030982E-6</v>
      </c>
      <c r="E86" s="472">
        <f t="shared" ca="1" si="3"/>
        <v>1</v>
      </c>
      <c r="F86" s="72"/>
    </row>
    <row r="87" spans="2:9" ht="15.75" customHeight="1">
      <c r="B87" s="68" t="str">
        <f>Financeiros!C69</f>
        <v>Conta Escassez H. - Importação julho- agosto/2021 - RTA 2022 - Perda RB sobre Merc. Cat.</v>
      </c>
      <c r="C87" s="459">
        <f ca="1">Financeiros!D69</f>
        <v>-5372.6636862638297</v>
      </c>
      <c r="D87" s="477">
        <f ca="1">C87/Financeiros!$D$4</f>
        <v>-6.056042109021952E-5</v>
      </c>
      <c r="E87" s="472">
        <f t="shared" ca="1" si="3"/>
        <v>1</v>
      </c>
      <c r="F87" s="72"/>
    </row>
    <row r="88" spans="2:9" ht="15.75" customHeight="1">
      <c r="B88" s="68" t="str">
        <f>Financeiros!C70</f>
        <v>Conta Escassez H. - Bônus Redução Voluntária</v>
      </c>
      <c r="C88" s="459">
        <f>Financeiros!D70</f>
        <v>-717784.45185218251</v>
      </c>
      <c r="D88" s="477">
        <f ca="1">C88/Financeiros!$D$4</f>
        <v>-8.0908337455250813E-3</v>
      </c>
      <c r="E88" s="472">
        <f t="shared" ca="1" si="3"/>
        <v>1</v>
      </c>
      <c r="F88" s="72"/>
      <c r="H88" s="72"/>
      <c r="I88" s="72"/>
    </row>
    <row r="89" spans="2:9" ht="15.75" hidden="1" customHeight="1">
      <c r="B89" s="68" t="str">
        <f>Financeiros!C71</f>
        <v>Conta Escassez H. - Diferimento de energia - RTA 2022 - Energia de Revenda</v>
      </c>
      <c r="C89" s="459">
        <f ca="1">Financeiros!D71</f>
        <v>0</v>
      </c>
      <c r="D89" s="477">
        <f ca="1">C89/Financeiros!$D$4</f>
        <v>0</v>
      </c>
      <c r="E89" s="472">
        <f t="shared" ca="1" si="3"/>
        <v>0</v>
      </c>
    </row>
    <row r="90" spans="2:9" ht="15.75" hidden="1" customHeight="1">
      <c r="B90" s="68" t="str">
        <f>Financeiros!C72</f>
        <v>Conta Escassez H. - Diferimento de energia - RTA 2022 - Perda Não Técnica</v>
      </c>
      <c r="C90" s="459">
        <f ca="1">Financeiros!D72</f>
        <v>0</v>
      </c>
      <c r="D90" s="477">
        <f ca="1">C90/Financeiros!$D$4</f>
        <v>0</v>
      </c>
      <c r="E90" s="472">
        <f t="shared" ca="1" si="3"/>
        <v>0</v>
      </c>
    </row>
    <row r="91" spans="2:9" ht="15.75" hidden="1" customHeight="1">
      <c r="B91" s="68" t="str">
        <f>Financeiros!C73</f>
        <v>Conta Escassez H. - Diferimento de energia - RTA 2022 - Perda Técnica</v>
      </c>
      <c r="C91" s="459">
        <f ca="1">Financeiros!D73</f>
        <v>0</v>
      </c>
      <c r="D91" s="477">
        <f ca="1">C91/Financeiros!$D$4</f>
        <v>0</v>
      </c>
      <c r="E91" s="472">
        <f t="shared" ca="1" si="3"/>
        <v>0</v>
      </c>
    </row>
    <row r="92" spans="2:9" ht="15.75" hidden="1" customHeight="1">
      <c r="B92" s="68" t="str">
        <f>Financeiros!C74</f>
        <v>Conta Escassez H. - Diferimento de energia - RTA 2022 - Perda RB Perda RB sobre Dist.</v>
      </c>
      <c r="C92" s="459">
        <f ca="1">Financeiros!D74</f>
        <v>0</v>
      </c>
      <c r="D92" s="477">
        <f ca="1">C92/Financeiros!$D$4</f>
        <v>0</v>
      </c>
      <c r="E92" s="472">
        <f t="shared" ca="1" si="3"/>
        <v>0</v>
      </c>
    </row>
    <row r="93" spans="2:9" ht="15.75" hidden="1" customHeight="1">
      <c r="B93" s="68" t="str">
        <f>Financeiros!C75</f>
        <v>Conta Escassez H. - Diferimento de energia - RTA 2022 - Perda RB sobre Merc. Cat.</v>
      </c>
      <c r="C93" s="459">
        <f ca="1">Financeiros!D75</f>
        <v>0</v>
      </c>
      <c r="D93" s="477">
        <f ca="1">C93/Financeiros!$D$4</f>
        <v>0</v>
      </c>
      <c r="E93" s="472">
        <f t="shared" ca="1" si="3"/>
        <v>0</v>
      </c>
    </row>
    <row r="94" spans="2:9" ht="15.75" customHeight="1">
      <c r="B94" s="68" t="str">
        <f>Financeiros!C76</f>
        <v>Sobrecontratação/Reversão de Energia - Energia de Revenda</v>
      </c>
      <c r="C94" s="459">
        <f ca="1">Financeiros!D76</f>
        <v>-1007341.4589705259</v>
      </c>
      <c r="D94" s="477">
        <f ca="1">C94/Financeiros!$D$4</f>
        <v>-1.1354707180511099E-2</v>
      </c>
      <c r="E94" s="472">
        <f t="shared" ca="1" si="3"/>
        <v>1</v>
      </c>
    </row>
    <row r="95" spans="2:9" ht="15.75" hidden="1" customHeight="1">
      <c r="B95" s="68" t="str">
        <f>Financeiros!C77</f>
        <v>Sobrecontratação/Reversão de Energia - Perda Não Técnica</v>
      </c>
      <c r="C95" s="459">
        <f ca="1">Financeiros!D77</f>
        <v>0</v>
      </c>
      <c r="D95" s="477">
        <f ca="1">C95/Financeiros!$D$4</f>
        <v>0</v>
      </c>
      <c r="E95" s="472">
        <f t="shared" ca="1" si="3"/>
        <v>0</v>
      </c>
    </row>
    <row r="96" spans="2:9" ht="15.75" customHeight="1">
      <c r="B96" s="68" t="str">
        <f>Financeiros!C78</f>
        <v>Sobrecontratação/Reversão de Energia - Perda Técnica</v>
      </c>
      <c r="C96" s="459">
        <f ca="1">Financeiros!D78</f>
        <v>-82226.0058777003</v>
      </c>
      <c r="D96" s="477">
        <f ca="1">C96/Financeiros!$D$4</f>
        <v>-9.2684780423753948E-4</v>
      </c>
      <c r="E96" s="472">
        <f t="shared" ca="1" si="3"/>
        <v>1</v>
      </c>
    </row>
    <row r="97" spans="2:5" ht="15.75" customHeight="1">
      <c r="B97" s="68" t="str">
        <f>Financeiros!C79</f>
        <v>Sobrecontratação/Reversão de Energia - Perda Rede Básica sobre Dist.</v>
      </c>
      <c r="C97" s="459">
        <f ca="1">Financeiros!D79</f>
        <v>-2430.990714512558</v>
      </c>
      <c r="D97" s="477">
        <f ca="1">C97/Financeiros!$D$4</f>
        <v>-2.7402016938765945E-5</v>
      </c>
      <c r="E97" s="472">
        <f t="shared" ca="1" si="3"/>
        <v>1</v>
      </c>
    </row>
    <row r="98" spans="2:5" ht="15.75" customHeight="1">
      <c r="B98" s="68" t="str">
        <f>Financeiros!C80</f>
        <v>Sobrecontratação/Reversão de Energia - Perda Rede Básica sobre mercado Cat.</v>
      </c>
      <c r="C98" s="459">
        <f ca="1">Financeiros!D80</f>
        <v>-29781.791137261196</v>
      </c>
      <c r="D98" s="477">
        <f ca="1">C98/Financeiros!$D$4</f>
        <v>-3.356989972599112E-4</v>
      </c>
      <c r="E98" s="472">
        <f t="shared" ca="1" si="3"/>
        <v>1</v>
      </c>
    </row>
    <row r="99" spans="2:5" ht="15.75" hidden="1" customHeight="1">
      <c r="B99" s="68">
        <f>Financeiros!C81</f>
        <v>0</v>
      </c>
      <c r="C99" s="459">
        <f>Financeiros!D81</f>
        <v>0</v>
      </c>
      <c r="D99" s="477">
        <f ca="1">C99/Financeiros!$D$4</f>
        <v>0</v>
      </c>
      <c r="E99" s="472">
        <f t="shared" ca="1" si="3"/>
        <v>0</v>
      </c>
    </row>
    <row r="100" spans="2:5" ht="15.75" customHeight="1">
      <c r="B100" s="815" t="str">
        <f>Financeiros!C82</f>
        <v>Reversão de Risco Hidrológico</v>
      </c>
      <c r="C100" s="994">
        <f>Financeiros!D82</f>
        <v>-2077950.0823306313</v>
      </c>
      <c r="D100" s="995">
        <f ca="1">C100/Financeiros!$D$4</f>
        <v>-2.3422558964957291E-2</v>
      </c>
      <c r="E100" s="472">
        <f t="shared" ca="1" si="3"/>
        <v>1</v>
      </c>
    </row>
    <row r="101" spans="2:5" ht="15.75" customHeight="1">
      <c r="B101" s="727"/>
      <c r="C101" s="996"/>
      <c r="D101" s="997"/>
    </row>
    <row r="102" spans="2:5" ht="15.75" customHeight="1">
      <c r="C102" s="459"/>
      <c r="D102" s="477"/>
    </row>
    <row r="103" spans="2:5" ht="15.75" customHeight="1">
      <c r="C103" s="459"/>
      <c r="D103" s="477"/>
    </row>
    <row r="104" spans="2:5" ht="15.75" customHeight="1">
      <c r="C104" s="459"/>
      <c r="D104" s="477"/>
    </row>
    <row r="105" spans="2:5" ht="15.75" customHeight="1">
      <c r="C105" s="459"/>
      <c r="D105" s="477"/>
    </row>
    <row r="106" spans="2:5" ht="15.75" customHeight="1">
      <c r="C106" s="459"/>
      <c r="D106" s="477"/>
    </row>
    <row r="107" spans="2:5" ht="15.75" customHeight="1">
      <c r="C107" s="459"/>
      <c r="D107" s="477"/>
    </row>
    <row r="108" spans="2:5" ht="15.75" customHeight="1">
      <c r="C108" s="459"/>
      <c r="D108" s="477"/>
    </row>
    <row r="109" spans="2:5" ht="15.75" customHeight="1">
      <c r="C109" s="459"/>
      <c r="D109" s="477"/>
    </row>
    <row r="110" spans="2:5" ht="15.75" customHeight="1">
      <c r="C110" s="459"/>
      <c r="D110" s="477"/>
    </row>
    <row r="111" spans="2:5" ht="15.75" customHeight="1">
      <c r="C111" s="459"/>
      <c r="D111" s="477"/>
    </row>
    <row r="112" spans="2:5" ht="15.75" customHeight="1">
      <c r="C112" s="459"/>
      <c r="D112" s="477"/>
    </row>
    <row r="113" spans="3:4" ht="15.75" customHeight="1">
      <c r="C113" s="459"/>
      <c r="D113" s="477"/>
    </row>
    <row r="114" spans="3:4" ht="15.75" customHeight="1">
      <c r="C114" s="459"/>
      <c r="D114" s="477"/>
    </row>
  </sheetData>
  <phoneticPr fontId="328" type="noConversion"/>
  <pageMargins left="0.51181102362204722" right="0.51181102362204722" top="0.78740157480314965" bottom="0.78740157480314965" header="0.31496062992125984" footer="0.31496062992125984"/>
  <pageSetup paperSize="8" scale="68" fitToHeight="0" orientation="landscape" r:id="rId1"/>
  <headerFooter>
    <oddFooter>&amp;R&amp;D / &amp;T
&amp;Z&amp;F</oddFooter>
  </headerFooter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opLeftCell="AJ202" zoomScale="88" zoomScaleNormal="88" workbookViewId="0">
      <selection activeCell="AS235" sqref="AS235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4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33.710937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2" t="s">
        <v>859</v>
      </c>
      <c r="E2" s="302" t="s">
        <v>860</v>
      </c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</row>
    <row r="4" spans="2:49" ht="15" customHeight="1">
      <c r="B4" s="303" t="s">
        <v>861</v>
      </c>
    </row>
    <row r="5" spans="2:49" ht="15" customHeight="1">
      <c r="B5" s="303" t="s">
        <v>862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303" t="s">
        <v>863</v>
      </c>
      <c r="K6" s="357" t="s">
        <v>864</v>
      </c>
      <c r="L6" s="307"/>
      <c r="S6" s="357" t="s">
        <v>864</v>
      </c>
      <c r="T6" s="357"/>
      <c r="U6" s="357"/>
      <c r="V6" s="357"/>
      <c r="AC6" s="23" t="str">
        <f>IF(LnkTXTSuprid2="!vazio!","","s")</f>
        <v/>
      </c>
      <c r="AD6" s="23">
        <f>SMALL(N41:N42,1)</f>
        <v>367.37750048440228</v>
      </c>
      <c r="AE6" s="23">
        <f>SMALL(Q41:Q42,1)</f>
        <v>448.49008525479559</v>
      </c>
    </row>
    <row r="7" spans="2:49" ht="18.75" customHeight="1">
      <c r="B7" s="303" t="s">
        <v>865</v>
      </c>
      <c r="K7" s="1139" t="s">
        <v>866</v>
      </c>
      <c r="L7" s="1139" t="s">
        <v>867</v>
      </c>
      <c r="S7" s="1784" t="s">
        <v>868</v>
      </c>
      <c r="T7" s="1784"/>
      <c r="U7" s="1784"/>
      <c r="V7" s="300" t="s">
        <v>869</v>
      </c>
      <c r="W7" s="300" t="s">
        <v>870</v>
      </c>
      <c r="X7" s="60" t="s">
        <v>871</v>
      </c>
    </row>
    <row r="8" spans="2:49" ht="15" customHeight="1">
      <c r="B8" s="305" t="s">
        <v>872</v>
      </c>
      <c r="K8" s="357" t="s">
        <v>873</v>
      </c>
      <c r="L8" s="20">
        <f ca="1">Resultado!E14</f>
        <v>4.7585494101121117E-2</v>
      </c>
      <c r="S8" s="47" t="s">
        <v>874</v>
      </c>
      <c r="T8" s="368">
        <f ca="1">U8/$U$15</f>
        <v>0.39769820580661108</v>
      </c>
      <c r="U8" s="56">
        <f>AU228</f>
        <v>51369456.980000004</v>
      </c>
      <c r="V8" s="61" t="s">
        <v>272</v>
      </c>
      <c r="W8" s="62">
        <f ca="1">T12</f>
        <v>0.1823984696964667</v>
      </c>
      <c r="X8" s="62">
        <f ca="1">W8/(1-$W$10)</f>
        <v>0.22736182204674493</v>
      </c>
    </row>
    <row r="9" spans="2:49" ht="15" customHeight="1">
      <c r="B9" s="305" t="s">
        <v>875</v>
      </c>
      <c r="K9" s="364" t="s">
        <v>847</v>
      </c>
      <c r="L9" s="365">
        <f ca="1">Resultado!E24</f>
        <v>-7.9032577877679571E-3</v>
      </c>
      <c r="S9" s="47" t="s">
        <v>876</v>
      </c>
      <c r="T9" s="368">
        <f ca="1">U9/$U$15</f>
        <v>0.17099265983353013</v>
      </c>
      <c r="U9" s="56">
        <f ca="1">AU219</f>
        <v>22086597.211066131</v>
      </c>
      <c r="V9" s="47" t="s">
        <v>877</v>
      </c>
      <c r="W9" s="57">
        <f ca="1">T13</f>
        <v>1.5362754881659267E-2</v>
      </c>
      <c r="X9" s="62">
        <f ca="1">W9/(1-$W$10)</f>
        <v>1.9149853325876005E-2</v>
      </c>
      <c r="AD9" s="424"/>
      <c r="AE9" s="424"/>
    </row>
    <row r="10" spans="2:49" ht="27.75" customHeight="1">
      <c r="B10" s="305" t="s">
        <v>714</v>
      </c>
      <c r="K10" s="357" t="s">
        <v>878</v>
      </c>
      <c r="L10" s="25">
        <f ca="1">Resultado!E33</f>
        <v>3.5380389647754695E-2</v>
      </c>
      <c r="S10" s="47" t="s">
        <v>879</v>
      </c>
      <c r="T10" s="368">
        <f ca="1">U10/$U$15</f>
        <v>0.10870647082237708</v>
      </c>
      <c r="U10" s="56">
        <f>AU221</f>
        <v>14041281.290248398</v>
      </c>
      <c r="V10" s="1140" t="s">
        <v>880</v>
      </c>
      <c r="W10" s="1141">
        <f ca="1">SUM(W8:W9)</f>
        <v>0.19776122457812598</v>
      </c>
      <c r="X10" s="1141">
        <f ca="1">SUM(X8:X9)</f>
        <v>0.24651167537262095</v>
      </c>
      <c r="AE10" s="424"/>
    </row>
    <row r="11" spans="2:49" ht="15" customHeight="1">
      <c r="B11" s="303" t="s">
        <v>876</v>
      </c>
      <c r="K11" s="357" t="s">
        <v>881</v>
      </c>
      <c r="L11" s="25">
        <f ca="1">Resultado!E39</f>
        <v>9.2967980587250074E-2</v>
      </c>
      <c r="S11" s="1142" t="s">
        <v>873</v>
      </c>
      <c r="T11" s="1143">
        <f ca="1">U11/$U$15</f>
        <v>0.12484143895935586</v>
      </c>
      <c r="U11" s="1144">
        <f ca="1">AU208</f>
        <v>16125385.617310021</v>
      </c>
      <c r="V11" s="56"/>
      <c r="AE11" s="424"/>
      <c r="AK11" s="357"/>
      <c r="AL11" s="357"/>
      <c r="AP11" s="357"/>
      <c r="AQ11" s="357"/>
      <c r="AR11" s="357"/>
      <c r="AS11" s="357"/>
      <c r="AT11" s="357"/>
      <c r="AU11" s="357"/>
      <c r="AV11" s="357"/>
      <c r="AW11" s="357"/>
    </row>
    <row r="12" spans="2:49" ht="15" customHeight="1">
      <c r="B12" s="305" t="s">
        <v>882</v>
      </c>
      <c r="K12" s="23" t="s">
        <v>854</v>
      </c>
      <c r="L12" s="19">
        <f ca="1">LnkTXTIRTFin</f>
        <v>-0.22670000000000001</v>
      </c>
      <c r="S12" s="47" t="s">
        <v>272</v>
      </c>
      <c r="T12" s="57">
        <f ca="1">Calc_Mercado!J8</f>
        <v>0.1823984696964667</v>
      </c>
      <c r="U12" s="56">
        <f ca="1">T12*U15</f>
        <v>23559850.674424954</v>
      </c>
      <c r="V12" s="56"/>
      <c r="AD12" s="424"/>
      <c r="AE12" s="424"/>
      <c r="AM12" s="357"/>
      <c r="AP12" s="357"/>
      <c r="AQ12" s="357"/>
      <c r="AR12" s="357"/>
      <c r="AS12" s="357"/>
      <c r="AT12" s="357"/>
      <c r="AU12" s="357"/>
      <c r="AV12" s="357"/>
      <c r="AW12" s="357"/>
    </row>
    <row r="13" spans="2:49" ht="15" customHeight="1">
      <c r="B13" s="305" t="s">
        <v>854</v>
      </c>
      <c r="K13" s="23" t="s">
        <v>883</v>
      </c>
      <c r="L13" s="19">
        <f ca="1">LnkTXTERFIN</f>
        <v>0.31259999999999999</v>
      </c>
      <c r="S13" s="47" t="s">
        <v>884</v>
      </c>
      <c r="T13" s="58">
        <f ca="1">Calc_Mercado!J9</f>
        <v>1.5362754881659267E-2</v>
      </c>
      <c r="U13" s="56">
        <f ca="1">T13*U15</f>
        <v>1984359.9102668166</v>
      </c>
      <c r="V13" s="56"/>
      <c r="AM13" s="357"/>
      <c r="AP13" s="357"/>
      <c r="AQ13" s="357"/>
      <c r="AR13" s="357"/>
      <c r="AS13" s="357"/>
      <c r="AT13" s="357"/>
      <c r="AU13" s="357"/>
      <c r="AV13" s="357"/>
      <c r="AW13" s="357"/>
    </row>
    <row r="14" spans="2:49" ht="15" customHeight="1">
      <c r="B14" s="305" t="s">
        <v>885</v>
      </c>
      <c r="K14" s="357" t="s">
        <v>886</v>
      </c>
      <c r="L14" s="365">
        <f>LnkTXTEfeito</f>
        <v>0.25388708845325225</v>
      </c>
      <c r="S14" s="47" t="s">
        <v>887</v>
      </c>
      <c r="T14" s="368">
        <f ca="1">SUM(T12:T13)</f>
        <v>0.19776122457812598</v>
      </c>
      <c r="U14" s="56">
        <f ca="1">SUM(U12:U13)</f>
        <v>25544210.58469177</v>
      </c>
      <c r="V14" s="56"/>
      <c r="AD14" s="23" t="s">
        <v>84</v>
      </c>
      <c r="AE14" s="23" t="s">
        <v>160</v>
      </c>
      <c r="AF14" s="23" t="s">
        <v>847</v>
      </c>
      <c r="AG14" s="23" t="s">
        <v>837</v>
      </c>
      <c r="AM14" s="357"/>
      <c r="AP14" s="357"/>
      <c r="AQ14" s="357"/>
      <c r="AR14" s="357"/>
      <c r="AS14" s="357"/>
      <c r="AT14" s="357"/>
      <c r="AU14" s="357"/>
      <c r="AV14" s="357"/>
      <c r="AW14" s="357"/>
    </row>
    <row r="15" spans="2:49" ht="15" customHeight="1">
      <c r="B15" s="63" t="s">
        <v>888</v>
      </c>
      <c r="S15" s="1140" t="s">
        <v>889</v>
      </c>
      <c r="T15" s="1145">
        <f ca="1">SUM(T8:T11)+T14</f>
        <v>1.0000000000000002</v>
      </c>
      <c r="U15" s="1146">
        <f ca="1">SUM(U8:U11)/(1-T14)</f>
        <v>129166931.68331631</v>
      </c>
      <c r="V15" s="660"/>
      <c r="AC15" s="23" t="s">
        <v>890</v>
      </c>
      <c r="AD15" s="424">
        <f ca="1">Resultado!C39</f>
        <v>43121732.074945375</v>
      </c>
      <c r="AE15" s="424">
        <f ca="1">Resultado!C33</f>
        <v>18947799.110848572</v>
      </c>
      <c r="AF15" s="424">
        <f ca="1">Resultado!C24</f>
        <v>14742424.798749864</v>
      </c>
      <c r="AG15" s="424">
        <f ca="1">Resultado!C14</f>
        <v>11903802.419116173</v>
      </c>
      <c r="AM15" s="357"/>
      <c r="AP15" s="357"/>
      <c r="AQ15" s="357"/>
      <c r="AR15" s="357"/>
      <c r="AS15" s="357"/>
      <c r="AT15" s="357"/>
    </row>
    <row r="16" spans="2:49" ht="15" customHeight="1">
      <c r="B16" s="305" t="s">
        <v>891</v>
      </c>
      <c r="AC16" s="23" t="s">
        <v>892</v>
      </c>
      <c r="AD16" s="424">
        <f>Resultado!D39</f>
        <v>51369456.980000004</v>
      </c>
      <c r="AE16" s="424">
        <f ca="1">Resultado!D33</f>
        <v>22086597.211066131</v>
      </c>
      <c r="AF16" s="424">
        <f>Resultado!D24</f>
        <v>14041281.290248398</v>
      </c>
      <c r="AG16" s="424">
        <f ca="1">Resultado!D14</f>
        <v>16125385.617310021</v>
      </c>
      <c r="AM16" s="357"/>
      <c r="AP16" s="357"/>
      <c r="AQ16" s="357"/>
      <c r="AR16" s="357"/>
      <c r="AS16" s="357"/>
      <c r="AT16" s="357"/>
    </row>
    <row r="17" spans="2:46" ht="15" customHeight="1">
      <c r="B17" s="305" t="s">
        <v>763</v>
      </c>
      <c r="AM17" s="357"/>
      <c r="AP17" s="357"/>
      <c r="AQ17" s="357"/>
      <c r="AR17" s="357"/>
      <c r="AS17" s="357"/>
      <c r="AT17" s="357"/>
    </row>
    <row r="18" spans="2:46" ht="15" customHeight="1">
      <c r="B18" s="305" t="s">
        <v>102</v>
      </c>
      <c r="AM18" s="357"/>
      <c r="AP18" s="357"/>
      <c r="AQ18" s="357"/>
      <c r="AR18" s="357"/>
      <c r="AS18" s="357"/>
      <c r="AT18" s="357"/>
    </row>
    <row r="19" spans="2:46" ht="15" customHeight="1">
      <c r="B19" s="305" t="s">
        <v>893</v>
      </c>
      <c r="S19" s="357" t="s">
        <v>864</v>
      </c>
      <c r="T19" s="357"/>
      <c r="AM19" s="357"/>
      <c r="AP19" s="357"/>
      <c r="AQ19" s="357"/>
      <c r="AR19" s="357"/>
      <c r="AS19" s="357"/>
      <c r="AT19" s="357"/>
    </row>
    <row r="20" spans="2:46" ht="15" customHeight="1">
      <c r="B20" s="305" t="s">
        <v>760</v>
      </c>
      <c r="S20" s="1788" t="s">
        <v>894</v>
      </c>
      <c r="T20" s="1788"/>
      <c r="AM20" s="357"/>
      <c r="AP20" s="357"/>
      <c r="AQ20" s="357"/>
      <c r="AR20" s="357"/>
      <c r="AS20" s="357"/>
      <c r="AT20" s="357"/>
    </row>
    <row r="21" spans="2:46" ht="15" customHeight="1">
      <c r="S21" s="47" t="s">
        <v>874</v>
      </c>
      <c r="T21" s="55">
        <f ca="1">AX228</f>
        <v>0.49573545681268411</v>
      </c>
      <c r="AL21" s="357"/>
      <c r="AO21" s="357"/>
      <c r="AP21" s="357"/>
      <c r="AQ21" s="357"/>
      <c r="AR21" s="357"/>
      <c r="AS21" s="357"/>
    </row>
    <row r="22" spans="2:46" ht="15" customHeight="1">
      <c r="S22" s="47" t="s">
        <v>876</v>
      </c>
      <c r="T22" s="55">
        <f ca="1">AX219</f>
        <v>0.21314434688551426</v>
      </c>
      <c r="AL22" s="357"/>
      <c r="AO22" s="357"/>
      <c r="AP22" s="357"/>
      <c r="AQ22" s="357"/>
      <c r="AR22" s="357"/>
      <c r="AS22" s="357"/>
    </row>
    <row r="23" spans="2:46" ht="15" customHeight="1">
      <c r="S23" s="47" t="s">
        <v>879</v>
      </c>
      <c r="T23" s="55">
        <f ca="1">AX221</f>
        <v>0.13550388506864616</v>
      </c>
      <c r="Z23" s="30" t="s">
        <v>895</v>
      </c>
      <c r="AL23" s="357"/>
      <c r="AO23" s="357"/>
      <c r="AP23" s="357"/>
      <c r="AQ23" s="357"/>
      <c r="AR23" s="357"/>
      <c r="AS23" s="357"/>
    </row>
    <row r="24" spans="2:46" ht="15" customHeight="1">
      <c r="C24" s="23" t="s">
        <v>896</v>
      </c>
      <c r="S24" s="47" t="s">
        <v>40</v>
      </c>
      <c r="T24" s="55">
        <f ca="1">AX209</f>
        <v>0</v>
      </c>
      <c r="AL24" s="357"/>
      <c r="AO24" s="357"/>
      <c r="AP24" s="357"/>
      <c r="AQ24" s="357"/>
      <c r="AR24" s="357"/>
      <c r="AS24" s="357"/>
    </row>
    <row r="25" spans="2:46" ht="15" customHeight="1">
      <c r="S25" s="47" t="s">
        <v>42</v>
      </c>
      <c r="T25" s="55">
        <f ca="1">AX210</f>
        <v>0</v>
      </c>
      <c r="AJ25" s="357"/>
      <c r="AK25" s="357"/>
      <c r="AL25" s="357"/>
      <c r="AO25" s="357"/>
      <c r="AP25" s="357"/>
      <c r="AQ25" s="357"/>
      <c r="AR25" s="357"/>
      <c r="AS25" s="357"/>
    </row>
    <row r="26" spans="2:46" ht="15" customHeight="1">
      <c r="S26" s="47" t="s">
        <v>52</v>
      </c>
      <c r="T26" s="55">
        <f ca="1">AX216</f>
        <v>1.5901165611466182E-2</v>
      </c>
      <c r="AL26" s="357"/>
    </row>
    <row r="27" spans="2:46" ht="15" customHeight="1">
      <c r="S27" s="47" t="s">
        <v>46</v>
      </c>
      <c r="T27" s="55">
        <f ca="1">AX212</f>
        <v>9.649700756567689E-2</v>
      </c>
      <c r="AD27" s="47"/>
      <c r="AE27" s="396"/>
      <c r="AF27" s="56"/>
      <c r="AL27" s="357"/>
    </row>
    <row r="28" spans="2:46" ht="15" customHeight="1">
      <c r="S28" s="47" t="s">
        <v>44</v>
      </c>
      <c r="T28" s="55">
        <f ca="1">AX211+AX218+AX213</f>
        <v>3.2328862190205226E-2</v>
      </c>
      <c r="AD28" s="47"/>
      <c r="AE28" s="396"/>
      <c r="AF28" s="56"/>
      <c r="AL28" s="357"/>
    </row>
    <row r="29" spans="2:46" ht="15" customHeight="1">
      <c r="S29" s="47" t="s">
        <v>111</v>
      </c>
      <c r="T29" s="55">
        <f ca="1">AX215</f>
        <v>2.7391448187382064E-2</v>
      </c>
      <c r="AD29" s="47"/>
      <c r="AE29" s="396"/>
      <c r="AF29" s="56"/>
      <c r="AL29" s="357"/>
    </row>
    <row r="30" spans="2:46" ht="15" customHeight="1">
      <c r="S30" s="47" t="s">
        <v>53</v>
      </c>
      <c r="T30" s="55">
        <f ca="1">AX217</f>
        <v>0</v>
      </c>
      <c r="AL30" s="357"/>
    </row>
    <row r="31" spans="2:46" ht="15" customHeight="1">
      <c r="S31" s="1147" t="s">
        <v>897</v>
      </c>
      <c r="T31" s="1148">
        <f ca="1">SUM(T21:T30)</f>
        <v>1.016502172321575</v>
      </c>
    </row>
    <row r="36" spans="1:36" ht="15" customHeight="1">
      <c r="N36" s="659" t="s">
        <v>898</v>
      </c>
      <c r="O36" s="659"/>
      <c r="P36" s="1149">
        <f>VLOOKUP(LnkTXTSigla,Informacoes[],35,FALSE)</f>
        <v>41365</v>
      </c>
      <c r="Q36" s="1150">
        <f>DATE(2013,MONTH(DataRevRea),1)</f>
        <v>41456</v>
      </c>
    </row>
    <row r="37" spans="1:36" ht="15" customHeight="1">
      <c r="L37" s="357" t="s">
        <v>864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51"/>
      <c r="M38" s="1152">
        <f t="shared" ref="M38:V38" si="0">DATE(M37,MONTH(DataRevRea),1)</f>
        <v>41456</v>
      </c>
      <c r="N38" s="1152">
        <f t="shared" si="0"/>
        <v>41821</v>
      </c>
      <c r="O38" s="1152">
        <f t="shared" si="0"/>
        <v>42186</v>
      </c>
      <c r="P38" s="1152">
        <f t="shared" si="0"/>
        <v>42552</v>
      </c>
      <c r="Q38" s="1152">
        <f t="shared" si="0"/>
        <v>42917</v>
      </c>
      <c r="R38" s="1152">
        <f t="shared" si="0"/>
        <v>43282</v>
      </c>
      <c r="S38" s="1152">
        <f t="shared" si="0"/>
        <v>43647</v>
      </c>
      <c r="T38" s="1152">
        <f t="shared" si="0"/>
        <v>44013</v>
      </c>
      <c r="U38" s="1152">
        <f t="shared" si="0"/>
        <v>44378</v>
      </c>
      <c r="V38" s="1152">
        <f t="shared" si="0"/>
        <v>44743</v>
      </c>
      <c r="W38" s="1152" t="s">
        <v>836</v>
      </c>
    </row>
    <row r="39" spans="1:36" ht="15" customHeight="1">
      <c r="L39" s="65" t="str">
        <f>CAPA!C9</f>
        <v>Creluz</v>
      </c>
      <c r="M39" s="409">
        <f>SUMIF(TAbtarifasb1[[#All],[Sigla]],LnkTXTSigla,TAbtarifasb1[[#All],[2013]])</f>
        <v>344.88</v>
      </c>
      <c r="N39" s="409">
        <f>SUMIF(TAbtarifasb1[[#All],[Sigla]],LnkTXTSigla,TAbtarifasb1[[#All],[2014]])</f>
        <v>366.2</v>
      </c>
      <c r="O39" s="409">
        <f>SUMIF(TAbtarifasb1[[#All],[Sigla]],LnkTXTSigla,TAbtarifasb1[[#All],[2015]])</f>
        <v>471.76</v>
      </c>
      <c r="P39" s="421">
        <f>SUMIF(TAbtarifasb1[[#All],[Sigla]],LnkTXTSigla,TAbtarifasb1[[#All],[2016]])</f>
        <v>434.78</v>
      </c>
      <c r="Q39" s="421">
        <f>SUMIF(TAbtarifasb1[[#All],[Sigla]],LnkTXTSigla,TAbtarifasb1[[#All],[2017]])</f>
        <v>498.87</v>
      </c>
      <c r="R39" s="781">
        <f>SUMIF(TAbtarifasb1[[#All],[Sigla]],LnkTXTSigla,TAbtarifasb1[[#All],[2018]])</f>
        <v>538.66999999999996</v>
      </c>
      <c r="S39" s="781">
        <f>SUMIF(TAbtarifasb1[[#All],[Sigla]],LnkTXTSigla,TAbtarifasb1[[#All],[2019]])</f>
        <v>592.31999999999994</v>
      </c>
      <c r="T39" s="424">
        <f>SUMIF(TAbtarifasb1[[#All],[Sigla]],LnkTXTSigla,TAbtarifasb1[[#All],[2020]])</f>
        <v>573.04999999999995</v>
      </c>
      <c r="U39" s="424">
        <f>SUMIF(TAbtarifasb1[[#All],[Sigla]],LnkTXTSigla,TAbtarifasb1[[#All],[2021]])</f>
        <v>611.82000000000005</v>
      </c>
      <c r="V39" s="424">
        <f>Resultado!L6</f>
        <v>733.49</v>
      </c>
      <c r="W39" s="768">
        <f>V39/M39-1</f>
        <v>1.1267977267455347</v>
      </c>
    </row>
    <row r="40" spans="1:36" ht="15" customHeight="1">
      <c r="L40" s="65" t="str">
        <f>LnkTXTSuprid1</f>
        <v>RGE</v>
      </c>
      <c r="M40" s="409">
        <f>SUMIF(TAbtarifasb1[[#All],[Sigla]],LnkTXTSuprid1,TAbtarifasb1[[#All],[2013]])</f>
        <v>284.77999999999997</v>
      </c>
      <c r="N40" s="409">
        <f>SUMIF(TAbtarifasb1[[#All],[Sigla]],LnkTXTSuprid1,TAbtarifasb1[[#All],[2014]])</f>
        <v>350.69</v>
      </c>
      <c r="O40" s="409">
        <f>SUMIF(TAbtarifasb1[[#All],[Sigla]],LnkTXTSuprid1,TAbtarifasb1[[#All],[2015]])</f>
        <v>446.79999999999995</v>
      </c>
      <c r="P40" s="409">
        <f>SUMIF(TAbtarifasb1[[#All],[Sigla]],LnkTXTSuprid1,TAbtarifasb1[[#All],[2016]])</f>
        <v>415.49</v>
      </c>
      <c r="Q40" s="409">
        <f>SUMIF(TAbtarifasb1[[#All],[Sigla]],LnkTXTSuprid1,TAbtarifasb1[[#All],[2017]])</f>
        <v>433.86</v>
      </c>
      <c r="R40" s="409">
        <f>SUMIF(TAbtarifasb1[[#All],[Sigla]],LnkTXTSuprid1,TAbtarifasb1[[#All],[2018]])</f>
        <v>527.58999999999992</v>
      </c>
      <c r="S40" s="409">
        <f>SUMIF(TAbtarifasb1[[#All],[Sigla]],LnkTXTSuprid1,TAbtarifasb1[[#All],[2019]])</f>
        <v>560.27</v>
      </c>
      <c r="T40" s="409">
        <f>SUMIF(TAbtarifasb1[[#All],[Sigla]],LnkTXTSuprid1,TAbtarifasb1[[#All],[2020]])</f>
        <v>589.57000000000005</v>
      </c>
      <c r="U40" s="409">
        <f>SUMIF(TAbtarifasb1[[#All],[Sigla]],LnkTXTSuprid1,TAbtarifasb1[[#All],[2021]])</f>
        <v>643.09</v>
      </c>
      <c r="V40" s="409">
        <f>SUMIF(TAbtarifasb1[[#All],[Sigla]],LnkTXTSuprid1,TAbtarifasb1[[#All],[2022]])</f>
        <v>0</v>
      </c>
      <c r="W40" s="768">
        <f>V40/M40-1</f>
        <v>-1</v>
      </c>
    </row>
    <row r="41" spans="1:36" ht="15" customHeight="1">
      <c r="L41" s="65" t="s">
        <v>899</v>
      </c>
      <c r="M41" s="410">
        <f>M39</f>
        <v>344.88</v>
      </c>
      <c r="N41" s="410">
        <f>VLOOKUP(DATE(YEAR(O38),MONTH(O38)-1,1),Índices!$B:$F,2,FALSE)/VLOOKUP(DATE(YEAR(Q36),MONTH(Q36)-1,1),Índices!$B:$F,2,FALSE)*M41</f>
        <v>386.8964580383817</v>
      </c>
      <c r="O41" s="410">
        <f>VLOOKUP(DATE(YEAR(O38),MONTH(O38)-1,1),Índices!$B:$F,2,FALSE)/VLOOKUP(DATE(YEAR(N38),MONTH(N38)-1,1),Índices!$B:$F,2,FALSE)*N41</f>
        <v>408.53458420755095</v>
      </c>
      <c r="P41" s="410">
        <f>VLOOKUP(DATE(YEAR(P38),MONTH(P38)-1,1),Índices!$B:$F,2,FALSE)/VLOOKUP(DATE(YEAR(O38),MONTH(O38)-1,1),Índices!$B:$F,2,FALSE)*O41</f>
        <v>458.40531977331381</v>
      </c>
      <c r="Q41" s="410">
        <f>VLOOKUP(DATE(YEAR(Q38),MONTH(Q38)-1,1),Índices!$B:$F,2,FALSE)/VLOOKUP(DATE(YEAR(P38),MONTH(P38)-1,1),Índices!$B:$F,2,FALSE)*P41</f>
        <v>454.83696149462986</v>
      </c>
      <c r="R41" s="367">
        <f>IF(R37=YEAR(CAPA!$C$114),'Tabelas e Gráficos'!R39,(VLOOKUP(DATE(YEAR(R38),MONTH(R38)-1,1),Índices!$B:$F,2,FALSE)/VLOOKUP(DATE(YEAR(Q38),MONTH(Q38)-1,1),Índices!$B:$F,2,FALSE)*Q41))</f>
        <v>486.31735914172612</v>
      </c>
      <c r="S41" s="367">
        <f>IF(S37=YEAR(CAPA!$C$114),'Tabelas e Gráficos'!S39,(VLOOKUP(DATE(YEAR(S38),MONTH(S38)-1,1),Índices!$B:$F,2,FALSE)/VLOOKUP(DATE(YEAR(R38),MONTH(R38)-1,1),Índices!$B:$F,2,FALSE)*R41))</f>
        <v>517.97733212189542</v>
      </c>
      <c r="T41" s="367">
        <f>IF(T37=YEAR(CAPA!$C$114),'Tabelas e Gráficos'!T39,(VLOOKUP(DATE(YEAR(T38),MONTH(T38)-1,1),Índices!$B:$F,2,FALSE)/VLOOKUP(DATE(YEAR(S38),MONTH(S38)-1,1),Índices!$B:$F,2,FALSE)*S41))</f>
        <v>555.8621156711705</v>
      </c>
      <c r="U41" s="410">
        <f>VLOOKUP(DATE(YEAR(U38),MONTH(U38)-1,1),Índices!$B:$F,2,FALSE)/VLOOKUP(DATE(YEAR(T38),MONTH(T38)-1,1),Índices!$B:$F,2,FALSE)*T41</f>
        <v>754.59028036239863</v>
      </c>
      <c r="V41" s="410">
        <f>VLOOKUP(DATE(YEAR(V38),MONTH(V38)-1,1),Índices!$B:$F,2,FALSE)/VLOOKUP(DATE(YEAR(U38),MONTH(U38)-1,1),Índices!$B:$F,2,FALSE)*U41</f>
        <v>835.36340547192856</v>
      </c>
      <c r="W41" s="768">
        <f>V41/M41-1</f>
        <v>1.4221857036416394</v>
      </c>
    </row>
    <row r="42" spans="1:36" ht="15" customHeight="1">
      <c r="L42" s="1153" t="s">
        <v>900</v>
      </c>
      <c r="M42" s="1155">
        <f>M39</f>
        <v>344.88</v>
      </c>
      <c r="N42" s="1155">
        <f>VLOOKUP(DATE(YEAR(N38),MONTH(N38)-1,1),Índices!$B:$F,3,FALSE)/VLOOKUP(DATE(YEAR(Q36),MONTH(Q36)-1,1),Índices!$B:$F,3,FALSE)*M42</f>
        <v>367.37750048440228</v>
      </c>
      <c r="O42" s="1155">
        <f>VLOOKUP(DATE(YEAR(O38),MONTH(O38)-1,1),Índices!$B:$F,3,FALSE)/VLOOKUP(DATE(YEAR(N38),MONTH(N38)-1,1),Índices!$B:$F,3,FALSE)*N42</f>
        <v>400.05363495446619</v>
      </c>
      <c r="P42" s="1155">
        <f>VLOOKUP(DATE(YEAR(P38),MONTH(P38)-1,1),Índices!$B:$F,3,FALSE)/VLOOKUP(DATE(YEAR(O38),MONTH(O38)-1,1),Índices!$B:$F,3,FALSE)*O42</f>
        <v>435.43336756442545</v>
      </c>
      <c r="Q42" s="1155">
        <f>VLOOKUP(DATE(YEAR(Q38),MONTH(Q38)-1,1),Índices!$B:$F,3,FALSE)/VLOOKUP(DATE(YEAR(P38),MONTH(P38)-1,1),Índices!$B:$F,3,FALSE)*P42</f>
        <v>448.49008525479559</v>
      </c>
      <c r="R42" s="1154">
        <f>IF(R37=YEAR(CAPA!$C$114),'Tabelas e Gráficos'!R39,(VLOOKUP(DATE(YEAR(R38),MONTH(R38)-1,1),Índices!$B:$F,3,FALSE)/VLOOKUP(DATE(YEAR(Q38),MONTH(Q38)-1,1),Índices!$B:$F,3,FALSE)*'Tabelas e Gráficos'!Q42))</f>
        <v>468.18375121100559</v>
      </c>
      <c r="S42" s="1154">
        <f>IF(S37=YEAR(CAPA!$C$114),'Tabelas e Gráficos'!S39,(VLOOKUP(DATE(YEAR(S38),MONTH(S38)-1,1),Índices!$B:$F,3,FALSE)/VLOOKUP(DATE(YEAR(R38),MONTH(R38)-1,1),Índices!$B:$F,3,FALSE)*'Tabelas e Gráficos'!R42))</f>
        <v>483.94406704127113</v>
      </c>
      <c r="T42" s="1154">
        <f>IF(T37=YEAR(CAPA!$C$114),'Tabelas e Gráficos'!T39,(VLOOKUP(DATE(YEAR(T38),MONTH(T38)-1,1),Índices!$B:$F,3,FALSE)/VLOOKUP(DATE(YEAR(S38),MONTH(S38)-1,1),Índices!$B:$F,3,FALSE)*'Tabelas e Gráficos'!S42))</f>
        <v>494.26377446231351</v>
      </c>
      <c r="U42" s="1155">
        <f>VLOOKUP(DATE(YEAR(U38),MONTH(U38)-1,1),Índices!$B:$F,3,FALSE)/VLOOKUP(DATE(YEAR(T38),MONTH(T38)-1,1),Índices!$B:$F,3,FALSE)*T42</f>
        <v>535.5203293935283</v>
      </c>
      <c r="V42" s="1155">
        <f>VLOOKUP(DATE(YEAR(V38),MONTH(V38)-1,1),Índices!$B:$F,3,FALSE)/VLOOKUP(DATE(YEAR(U38),MONTH(U38)-1,1),Índices!$B:$F,3,FALSE)*U42</f>
        <v>599.176932764968</v>
      </c>
      <c r="W42" s="768">
        <f>V42/M42-1</f>
        <v>0.73734902796615631</v>
      </c>
    </row>
    <row r="43" spans="1:36" ht="15" customHeight="1">
      <c r="X43" s="23">
        <v>938.62</v>
      </c>
    </row>
    <row r="44" spans="1:36" ht="15" customHeight="1">
      <c r="X44" s="878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2" t="s">
        <v>859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0"/>
      <c r="B49" s="670"/>
      <c r="C49" s="670"/>
      <c r="D49" s="670"/>
      <c r="E49" s="670"/>
      <c r="F49" s="670"/>
      <c r="G49" s="670"/>
      <c r="H49" s="671"/>
      <c r="I49" s="670"/>
      <c r="J49" s="670"/>
      <c r="K49" s="672"/>
      <c r="L49" s="672"/>
      <c r="M49" s="672"/>
      <c r="N49" s="672"/>
      <c r="O49" s="672"/>
      <c r="P49" s="672"/>
      <c r="Q49" s="670"/>
      <c r="R49" s="670"/>
      <c r="S49" s="673"/>
      <c r="T49" s="670"/>
      <c r="U49" s="670"/>
      <c r="V49" s="670"/>
      <c r="W49" s="670"/>
      <c r="X49" s="670"/>
      <c r="Y49" s="670"/>
      <c r="Z49" s="670"/>
      <c r="AA49" s="670"/>
      <c r="AB49" s="670"/>
      <c r="AC49" s="670"/>
      <c r="AD49" s="670"/>
    </row>
    <row r="50" spans="1:47" ht="15" customHeight="1">
      <c r="B50" s="306" t="s">
        <v>861</v>
      </c>
      <c r="C50" s="307" t="s">
        <v>901</v>
      </c>
      <c r="H50" s="23"/>
      <c r="K50" s="49"/>
      <c r="L50" s="357"/>
      <c r="M50" s="357"/>
      <c r="N50" s="357"/>
      <c r="O50" s="49"/>
      <c r="P50" s="49"/>
      <c r="S50" s="314"/>
    </row>
    <row r="51" spans="1:47" ht="15" customHeight="1">
      <c r="B51" s="308" t="s">
        <v>902</v>
      </c>
      <c r="C51" s="308" t="s">
        <v>903</v>
      </c>
      <c r="H51" s="23"/>
      <c r="K51" s="49"/>
      <c r="L51" s="1789"/>
      <c r="M51" s="1789"/>
      <c r="N51" s="1789"/>
      <c r="O51" s="49"/>
      <c r="P51" s="49"/>
    </row>
    <row r="52" spans="1:47" ht="15" customHeight="1">
      <c r="B52" s="309" t="s">
        <v>904</v>
      </c>
      <c r="C52" s="310">
        <f ca="1">Resultado!C5</f>
        <v>103622721.09862456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9" t="s">
        <v>905</v>
      </c>
      <c r="C53" s="310">
        <f ca="1">Resultado!C6</f>
        <v>88715758.403659984</v>
      </c>
      <c r="D53" s="311"/>
      <c r="E53" s="312" t="s">
        <v>177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9" t="str">
        <f>Resultado!B7</f>
        <v>Variação econômica</v>
      </c>
      <c r="C54" s="313">
        <f ca="1">C52/C53-1</f>
        <v>0.16803060654835789</v>
      </c>
      <c r="D54" s="311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9" t="s">
        <v>854</v>
      </c>
      <c r="C55" s="313">
        <f ca="1">Resultado!C8</f>
        <v>-0.22670000000000001</v>
      </c>
      <c r="D55" s="311"/>
      <c r="E55" s="28"/>
      <c r="H55" s="23"/>
      <c r="K55" s="49"/>
      <c r="L55" s="669"/>
      <c r="M55" s="666"/>
      <c r="N55" s="667"/>
      <c r="O55" s="49"/>
      <c r="P55" s="49"/>
    </row>
    <row r="56" spans="1:47" ht="15" customHeight="1">
      <c r="B56" s="1156" t="str">
        <f>Resultado!B9</f>
        <v>Variação econômica e financeira</v>
      </c>
      <c r="C56" s="1157">
        <f ca="1">C54+C55</f>
        <v>-5.8669393451642127E-2</v>
      </c>
      <c r="D56" s="311"/>
      <c r="E56" s="28"/>
      <c r="H56" s="23"/>
    </row>
    <row r="57" spans="1:47" ht="15" customHeight="1">
      <c r="B57" s="311"/>
      <c r="C57" s="311"/>
      <c r="D57" s="311"/>
      <c r="H57" s="23"/>
      <c r="L57" s="525"/>
      <c r="M57" s="525"/>
      <c r="N57" s="525"/>
      <c r="O57" s="525"/>
      <c r="P57" s="525"/>
      <c r="Q57" s="525"/>
      <c r="R57" s="525"/>
      <c r="S57" s="49"/>
    </row>
    <row r="58" spans="1:47" ht="15" customHeight="1">
      <c r="C58" s="314"/>
      <c r="D58" s="311"/>
      <c r="E58" s="306" t="s">
        <v>862</v>
      </c>
      <c r="F58" s="315"/>
      <c r="G58" s="307" t="s">
        <v>901</v>
      </c>
      <c r="H58" s="23"/>
      <c r="L58" s="526"/>
      <c r="M58" s="527"/>
      <c r="N58" s="528"/>
      <c r="O58" s="522"/>
      <c r="P58" s="522"/>
      <c r="Q58" s="523"/>
      <c r="R58" s="524"/>
      <c r="S58" s="49"/>
      <c r="AT58" s="19"/>
      <c r="AU58" s="408"/>
    </row>
    <row r="59" spans="1:47" ht="15" customHeight="1">
      <c r="C59" s="314"/>
      <c r="D59" s="311"/>
      <c r="E59" s="308" t="s">
        <v>906</v>
      </c>
      <c r="F59" s="308" t="s">
        <v>907</v>
      </c>
      <c r="G59" s="308" t="s">
        <v>908</v>
      </c>
      <c r="H59" s="23"/>
      <c r="AT59" s="19"/>
      <c r="AU59" s="408"/>
    </row>
    <row r="60" spans="1:47" ht="15" customHeight="1">
      <c r="B60" s="30"/>
      <c r="C60" s="316"/>
      <c r="D60" s="316"/>
      <c r="E60" s="309" t="s">
        <v>909</v>
      </c>
      <c r="F60" s="310">
        <f ca="1">Calc_Mercado!C8</f>
        <v>118365.851</v>
      </c>
      <c r="G60" s="310">
        <f ca="1">Calc_Mercado!D8</f>
        <v>87699305.603659987</v>
      </c>
      <c r="H60" s="317" t="s">
        <v>910</v>
      </c>
    </row>
    <row r="61" spans="1:47" ht="15" hidden="1" customHeight="1">
      <c r="E61" s="309" t="s">
        <v>911</v>
      </c>
      <c r="F61" s="310">
        <f ca="1">Calc_Mercado!C9</f>
        <v>0</v>
      </c>
      <c r="G61" s="310">
        <f ca="1">Calc_Mercado!D9</f>
        <v>0</v>
      </c>
      <c r="H61" s="317">
        <f t="shared" ref="H61:H69" ca="1" si="1">IF(G61=0,0,1)</f>
        <v>0</v>
      </c>
    </row>
    <row r="62" spans="1:47" ht="15" hidden="1" customHeight="1">
      <c r="B62" s="30"/>
      <c r="E62" s="309" t="s">
        <v>912</v>
      </c>
      <c r="F62" s="310">
        <f ca="1">Calc_Mercado!C10</f>
        <v>0</v>
      </c>
      <c r="G62" s="310">
        <f ca="1">Calc_Mercado!D10</f>
        <v>0</v>
      </c>
      <c r="H62" s="317">
        <f t="shared" ca="1" si="1"/>
        <v>0</v>
      </c>
    </row>
    <row r="63" spans="1:47" ht="15" hidden="1" customHeight="1">
      <c r="B63" s="29"/>
      <c r="C63" s="29"/>
      <c r="D63" s="29"/>
      <c r="E63" s="309" t="s">
        <v>913</v>
      </c>
      <c r="F63" s="310">
        <f ca="1">Calc_Mercado!C11</f>
        <v>0</v>
      </c>
      <c r="G63" s="310">
        <f ca="1">Calc_Mercado!D11</f>
        <v>0</v>
      </c>
      <c r="H63" s="317">
        <f t="shared" ca="1" si="1"/>
        <v>0</v>
      </c>
    </row>
    <row r="64" spans="1:47" ht="15" hidden="1" customHeight="1">
      <c r="C64" s="314"/>
      <c r="D64" s="311"/>
      <c r="E64" s="309" t="s">
        <v>914</v>
      </c>
      <c r="F64" s="310">
        <f ca="1">Calc_Mercado!C12</f>
        <v>0</v>
      </c>
      <c r="G64" s="310">
        <f ca="1">Calc_Mercado!D12</f>
        <v>0</v>
      </c>
      <c r="H64" s="317">
        <f t="shared" ca="1" si="1"/>
        <v>0</v>
      </c>
    </row>
    <row r="65" spans="2:43" ht="15" customHeight="1">
      <c r="C65" s="314"/>
      <c r="D65" s="311"/>
      <c r="E65" s="309" t="s">
        <v>915</v>
      </c>
      <c r="F65" s="310">
        <f ca="1">Calc_Mercado!C13</f>
        <v>29388.723000000016</v>
      </c>
      <c r="G65" s="310">
        <f ca="1">Calc_Mercado!D13</f>
        <v>18258442.11115</v>
      </c>
      <c r="H65" s="317">
        <f t="shared" ca="1" si="1"/>
        <v>1</v>
      </c>
    </row>
    <row r="66" spans="2:43" ht="15" hidden="1" customHeight="1">
      <c r="C66" s="314"/>
      <c r="D66" s="311"/>
      <c r="E66" s="309" t="s">
        <v>916</v>
      </c>
      <c r="F66" s="310">
        <f ca="1">Calc_Mercado!C14</f>
        <v>0</v>
      </c>
      <c r="G66" s="310">
        <f ca="1">Calc_Mercado!D14</f>
        <v>0</v>
      </c>
      <c r="H66" s="317">
        <f t="shared" ca="1" si="1"/>
        <v>0</v>
      </c>
    </row>
    <row r="67" spans="2:43" ht="15" customHeight="1">
      <c r="C67" s="314"/>
      <c r="D67" s="311"/>
      <c r="E67" s="309" t="s">
        <v>917</v>
      </c>
      <c r="F67" s="310">
        <f ca="1">Calc_Mercado!C15</f>
        <v>88977.127999999982</v>
      </c>
      <c r="G67" s="310">
        <f ca="1">Calc_Mercado!D15</f>
        <v>69440863.492509991</v>
      </c>
      <c r="H67" s="317">
        <f t="shared" ca="1" si="1"/>
        <v>1</v>
      </c>
    </row>
    <row r="68" spans="2:43" ht="15" hidden="1" customHeight="1">
      <c r="C68" s="314"/>
      <c r="D68" s="311"/>
      <c r="E68" s="309" t="s">
        <v>918</v>
      </c>
      <c r="F68" s="310">
        <f ca="1">Calc_Mercado!C17</f>
        <v>0</v>
      </c>
      <c r="G68" s="310">
        <f ca="1">Calc_Mercado!D17</f>
        <v>0</v>
      </c>
      <c r="H68" s="317">
        <f t="shared" ca="1" si="1"/>
        <v>0</v>
      </c>
    </row>
    <row r="69" spans="2:43" ht="15" hidden="1" customHeight="1">
      <c r="C69" s="314"/>
      <c r="D69" s="311"/>
      <c r="E69" s="309" t="s">
        <v>919</v>
      </c>
      <c r="F69" s="310">
        <f ca="1">Calc_Mercado!C18</f>
        <v>0</v>
      </c>
      <c r="G69" s="310">
        <f ca="1">Calc_Mercado!D18</f>
        <v>0</v>
      </c>
      <c r="H69" s="317">
        <f t="shared" ca="1" si="1"/>
        <v>0</v>
      </c>
    </row>
    <row r="70" spans="2:43" ht="15" customHeight="1">
      <c r="C70" s="314"/>
      <c r="D70" s="311"/>
      <c r="E70" s="1156" t="s">
        <v>897</v>
      </c>
      <c r="F70" s="1158">
        <f ca="1">Calc_Mercado!C25</f>
        <v>118365.851</v>
      </c>
      <c r="G70" s="1158">
        <f ca="1">Calc_Mercado!D25</f>
        <v>88715758.403659984</v>
      </c>
      <c r="AG70" s="49"/>
    </row>
    <row r="71" spans="2:43" ht="15" customHeight="1">
      <c r="B71" s="30"/>
      <c r="C71" s="316"/>
      <c r="D71" s="316"/>
      <c r="E71" s="28"/>
      <c r="I71" s="31"/>
      <c r="J71" s="31"/>
      <c r="K71" s="31"/>
      <c r="AG71" s="49"/>
    </row>
    <row r="72" spans="2:43" ht="15" customHeight="1">
      <c r="I72" s="318" t="s">
        <v>863</v>
      </c>
      <c r="J72" s="315"/>
      <c r="K72" s="307" t="s">
        <v>901</v>
      </c>
      <c r="L72" s="299"/>
      <c r="N72" s="299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0" t="s">
        <v>920</v>
      </c>
      <c r="J73" s="300" t="s">
        <v>921</v>
      </c>
      <c r="K73" s="300" t="s">
        <v>922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86"/>
      <c r="D74" s="1786"/>
      <c r="E74" s="1786"/>
      <c r="I74" s="1159" t="s">
        <v>873</v>
      </c>
      <c r="J74" s="1160">
        <f ca="1">SUM(J75:J83)</f>
        <v>8716886.4946559984</v>
      </c>
      <c r="K74" s="1161">
        <f ca="1">SUM(K75:K83)</f>
        <v>9.8256348719850228E-2</v>
      </c>
      <c r="L74" s="317" t="s">
        <v>910</v>
      </c>
      <c r="N74" s="34"/>
      <c r="AG74" s="49"/>
      <c r="AH74" s="1793"/>
      <c r="AI74" s="1793"/>
      <c r="AJ74" s="1793"/>
      <c r="AK74" s="662"/>
      <c r="AL74" s="49"/>
      <c r="AM74" s="49"/>
      <c r="AN74" s="49"/>
      <c r="AO74" s="49"/>
    </row>
    <row r="75" spans="2:43" ht="15" hidden="1" customHeight="1">
      <c r="B75" s="30"/>
      <c r="C75" s="1785"/>
      <c r="D75" s="1785"/>
      <c r="E75" s="1785"/>
      <c r="I75" s="35" t="str">
        <f>Resultado!B15</f>
        <v>Reserva Global de Reversão – RGR</v>
      </c>
      <c r="J75" s="319">
        <f>0</f>
        <v>0</v>
      </c>
      <c r="K75" s="36">
        <f t="shared" ref="K75:K83" ca="1" si="2">J75/$J$97</f>
        <v>0</v>
      </c>
      <c r="L75" s="317">
        <f>IF(J75=0,0,1)</f>
        <v>0</v>
      </c>
      <c r="N75" s="36"/>
      <c r="AG75" s="49"/>
      <c r="AH75" s="1794"/>
      <c r="AI75" s="1794"/>
      <c r="AJ75" s="1794"/>
      <c r="AK75" s="663"/>
      <c r="AL75" s="428"/>
      <c r="AM75" s="49"/>
      <c r="AN75" s="49"/>
      <c r="AO75" s="49"/>
    </row>
    <row r="76" spans="2:43" ht="15" hidden="1" customHeight="1">
      <c r="B76" s="30"/>
      <c r="C76" s="1785"/>
      <c r="D76" s="1785"/>
      <c r="E76" s="1785"/>
      <c r="I76" s="35" t="str">
        <f>Resultado!B16</f>
        <v>Conta de Consumo de Combustíveis – CCC</v>
      </c>
      <c r="J76" s="319">
        <v>0</v>
      </c>
      <c r="K76" s="36">
        <f t="shared" ca="1" si="2"/>
        <v>0</v>
      </c>
      <c r="L76" s="317">
        <f>IF(J76=0,0,1)</f>
        <v>0</v>
      </c>
      <c r="N76" s="36"/>
      <c r="AG76" s="49"/>
      <c r="AH76" s="49"/>
      <c r="AI76" s="49"/>
      <c r="AJ76" s="49"/>
      <c r="AK76" s="664"/>
      <c r="AL76" s="49"/>
      <c r="AM76" s="49"/>
      <c r="AN76" s="49"/>
      <c r="AO76" s="49"/>
    </row>
    <row r="77" spans="2:43" ht="15" customHeight="1">
      <c r="B77" s="30"/>
      <c r="C77" s="1785"/>
      <c r="D77" s="1785"/>
      <c r="E77" s="1785"/>
      <c r="I77" s="35" t="str">
        <f>Resultado!B17</f>
        <v>Taxa de Fisc. de Serviços de E.E. – TFSEE</v>
      </c>
      <c r="J77" s="319">
        <f ca="1">Mercado_Faturado_Encargo_TFSEE_BRUTO</f>
        <v>212045.12391727263</v>
      </c>
      <c r="K77" s="36">
        <f t="shared" ca="1" si="2"/>
        <v>2.3901630074835123E-3</v>
      </c>
      <c r="L77" s="317">
        <f ca="1">IF(J77=0,0,1)</f>
        <v>1</v>
      </c>
      <c r="N77" s="36"/>
      <c r="AG77" s="49"/>
      <c r="AH77" s="49"/>
      <c r="AI77" s="49"/>
      <c r="AJ77" s="49"/>
      <c r="AK77" s="664"/>
      <c r="AL77" s="49"/>
      <c r="AM77" s="49"/>
      <c r="AN77" s="49"/>
      <c r="AO77" s="49"/>
    </row>
    <row r="78" spans="2:43" ht="15" customHeight="1">
      <c r="B78" s="30"/>
      <c r="C78" s="1785"/>
      <c r="D78" s="1785"/>
      <c r="E78" s="1785"/>
      <c r="I78" s="35" t="str">
        <f>Resultado!B18</f>
        <v>Conta de Desenvolvimento Energético – CDE</v>
      </c>
      <c r="J78" s="319">
        <f ca="1">Mercado_Faturado_Encargo_CDE_BRUTO</f>
        <v>6816148.3122982113</v>
      </c>
      <c r="K78" s="36">
        <f t="shared" ca="1" si="2"/>
        <v>7.6831314243907878E-2</v>
      </c>
      <c r="L78" s="317">
        <f t="shared" ref="L78:L94" ca="1" si="3">IF(J78=0,0,1)</f>
        <v>1</v>
      </c>
      <c r="N78" s="36"/>
      <c r="AG78" s="49"/>
      <c r="AH78" s="1794"/>
      <c r="AI78" s="1794"/>
      <c r="AJ78" s="1794"/>
      <c r="AK78" s="663"/>
      <c r="AL78" s="428"/>
      <c r="AM78" s="49"/>
      <c r="AN78" s="49"/>
      <c r="AO78" s="49"/>
    </row>
    <row r="79" spans="2:43" ht="15.75" hidden="1">
      <c r="B79" s="30"/>
      <c r="C79" s="1785"/>
      <c r="D79" s="1785"/>
      <c r="E79" s="1785"/>
      <c r="I79" s="35">
        <f>Resultado!B19</f>
        <v>0</v>
      </c>
      <c r="J79" s="319">
        <f ca="1">Mercado_Faturado_Encargo_CFURH_BRUTO</f>
        <v>0</v>
      </c>
      <c r="K79" s="36">
        <f t="shared" ca="1" si="2"/>
        <v>0</v>
      </c>
      <c r="L79" s="317">
        <f t="shared" ca="1" si="3"/>
        <v>0</v>
      </c>
      <c r="N79" s="36"/>
      <c r="AG79" s="49"/>
      <c r="AH79" s="49"/>
      <c r="AI79" s="49"/>
      <c r="AJ79" s="49"/>
      <c r="AK79" s="664"/>
      <c r="AL79" s="49"/>
      <c r="AM79" s="49"/>
      <c r="AN79" s="425"/>
      <c r="AO79" s="425"/>
      <c r="AP79" s="425"/>
      <c r="AQ79" s="425"/>
    </row>
    <row r="80" spans="2:43" ht="15.75" hidden="1">
      <c r="B80" s="30"/>
      <c r="C80" s="1785"/>
      <c r="D80" s="1785"/>
      <c r="E80" s="1785"/>
      <c r="I80" s="35" t="str">
        <f>Resultado!B20</f>
        <v>Encargos Serv. Sist. - ESS e Energ. Reserv. – EER</v>
      </c>
      <c r="J80" s="319">
        <f ca="1">Mercado_Faturado_Encargo_ESSERR_BRUTO</f>
        <v>598830.8355464706</v>
      </c>
      <c r="K80" s="36">
        <f t="shared" ca="1" si="2"/>
        <v>6.749993984403178E-3</v>
      </c>
      <c r="L80" s="317">
        <v>0</v>
      </c>
      <c r="N80" s="36"/>
      <c r="AG80" s="49"/>
      <c r="AH80" s="49"/>
      <c r="AI80" s="49"/>
      <c r="AJ80" s="49"/>
      <c r="AK80" s="664"/>
      <c r="AL80" s="49"/>
      <c r="AM80" s="49"/>
      <c r="AN80" s="49"/>
      <c r="AO80" s="49"/>
    </row>
    <row r="81" spans="2:41" ht="15" customHeight="1">
      <c r="B81" s="30"/>
      <c r="C81" s="1785"/>
      <c r="D81" s="1785"/>
      <c r="E81" s="1785"/>
      <c r="I81" s="35" t="str">
        <f>Resultado!B21</f>
        <v>PROINFA</v>
      </c>
      <c r="J81" s="319">
        <f ca="1">Mercado_Faturado_Encargo_PROINFA_BRUTO</f>
        <v>1089862.2228940441</v>
      </c>
      <c r="K81" s="36">
        <f t="shared" ca="1" si="2"/>
        <v>1.2284877484055658E-2</v>
      </c>
      <c r="L81" s="317">
        <f t="shared" ca="1" si="3"/>
        <v>1</v>
      </c>
      <c r="N81" s="34"/>
      <c r="AG81" s="49"/>
      <c r="AH81" s="49"/>
      <c r="AI81" s="49"/>
      <c r="AJ81" s="49"/>
      <c r="AK81" s="664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19">
        <f ca="1">Mercado_Faturado_Encargo_PeD_BRUTO</f>
        <v>0</v>
      </c>
      <c r="K82" s="36">
        <f t="shared" ca="1" si="2"/>
        <v>0</v>
      </c>
      <c r="L82" s="317">
        <v>0</v>
      </c>
      <c r="N82" s="34"/>
      <c r="AG82" s="49"/>
      <c r="AH82" s="1794"/>
      <c r="AI82" s="1794"/>
      <c r="AJ82" s="1794"/>
      <c r="AK82" s="663"/>
      <c r="AL82" s="428"/>
      <c r="AM82" s="49"/>
      <c r="AN82" s="49"/>
      <c r="AO82" s="49"/>
    </row>
    <row r="83" spans="2:41" ht="15" hidden="1" customHeight="1">
      <c r="I83" s="35" t="str">
        <f>Resultado!B23</f>
        <v>ONS</v>
      </c>
      <c r="J83" s="319">
        <f ca="1">Mercado_Faturado_Encargo_ONS_BRUTO</f>
        <v>0</v>
      </c>
      <c r="K83" s="36">
        <f t="shared" ca="1" si="2"/>
        <v>0</v>
      </c>
      <c r="L83" s="317">
        <v>0</v>
      </c>
      <c r="N83" s="36"/>
      <c r="AG83" s="49"/>
      <c r="AH83" s="49"/>
      <c r="AI83" s="49"/>
      <c r="AJ83" s="49"/>
      <c r="AK83" s="664"/>
      <c r="AL83" s="49"/>
      <c r="AM83" s="49"/>
      <c r="AN83" s="49"/>
      <c r="AO83" s="49"/>
    </row>
    <row r="84" spans="2:41" ht="15" customHeight="1">
      <c r="I84" s="1159" t="s">
        <v>923</v>
      </c>
      <c r="J84" s="1160">
        <f ca="1">SUM(Calc_Mercado!C79:C85)</f>
        <v>18947799.110848572</v>
      </c>
      <c r="K84" s="1161">
        <f ca="1">SUM(K85)</f>
        <v>0.21357873112728615</v>
      </c>
      <c r="L84" s="317">
        <f t="shared" ca="1" si="3"/>
        <v>1</v>
      </c>
      <c r="N84" s="36"/>
      <c r="AG84" s="49"/>
      <c r="AH84" s="49"/>
      <c r="AI84" s="49"/>
      <c r="AJ84" s="49"/>
      <c r="AK84" s="664"/>
      <c r="AL84" s="49"/>
      <c r="AM84" s="49"/>
      <c r="AN84" s="49"/>
      <c r="AO84" s="49"/>
    </row>
    <row r="85" spans="2:41" ht="15" customHeight="1">
      <c r="B85" s="30"/>
      <c r="I85" s="37" t="s">
        <v>924</v>
      </c>
      <c r="J85" s="319">
        <f ca="1">J84</f>
        <v>18947799.110848572</v>
      </c>
      <c r="K85" s="36">
        <f t="shared" ref="K85:K96" ca="1" si="4">J85/$J$97</f>
        <v>0.21357873112728615</v>
      </c>
      <c r="L85" s="317">
        <f t="shared" ca="1" si="3"/>
        <v>1</v>
      </c>
      <c r="M85" s="38"/>
      <c r="N85" s="38"/>
      <c r="AG85" s="49"/>
      <c r="AH85" s="49"/>
      <c r="AI85" s="49"/>
      <c r="AJ85" s="49"/>
      <c r="AK85" s="558"/>
      <c r="AL85" s="49"/>
      <c r="AM85" s="49"/>
      <c r="AN85" s="49"/>
      <c r="AO85" s="49"/>
    </row>
    <row r="86" spans="2:41" ht="15" customHeight="1">
      <c r="B86" s="1792"/>
      <c r="C86" s="1792"/>
      <c r="D86" s="1792"/>
      <c r="E86" s="1792"/>
      <c r="F86" s="1792"/>
      <c r="G86" s="39"/>
      <c r="I86" s="1159" t="s">
        <v>925</v>
      </c>
      <c r="J86" s="1160">
        <f ca="1">Resultado!C24</f>
        <v>14742424.798749864</v>
      </c>
      <c r="K86" s="1161">
        <f t="shared" ca="1" si="4"/>
        <v>0.16617594285415771</v>
      </c>
      <c r="L86" s="317">
        <f t="shared" ca="1" si="3"/>
        <v>1</v>
      </c>
      <c r="M86" s="40"/>
      <c r="N86" s="41"/>
      <c r="AG86" s="49"/>
      <c r="AH86" s="49"/>
      <c r="AI86" s="49"/>
      <c r="AJ86" s="49"/>
      <c r="AK86" s="558"/>
      <c r="AL86" s="49"/>
      <c r="AM86" s="49"/>
      <c r="AN86" s="49"/>
      <c r="AO86" s="49"/>
    </row>
    <row r="87" spans="2:41" ht="15" hidden="1" customHeight="1">
      <c r="B87" s="1791"/>
      <c r="C87" s="1791"/>
      <c r="D87" s="1791"/>
      <c r="E87" s="1791"/>
      <c r="F87" s="1791"/>
      <c r="G87" s="42"/>
      <c r="I87" s="37" t="s">
        <v>763</v>
      </c>
      <c r="J87" s="319">
        <f ca="1">Resultado!C25</f>
        <v>0</v>
      </c>
      <c r="K87" s="36">
        <f t="shared" ca="1" si="4"/>
        <v>0</v>
      </c>
      <c r="L87" s="317">
        <f t="shared" ca="1" si="3"/>
        <v>0</v>
      </c>
      <c r="M87" s="320"/>
      <c r="N87" s="41"/>
      <c r="AG87" s="49"/>
      <c r="AH87" s="665"/>
      <c r="AI87" s="666"/>
      <c r="AJ87" s="667"/>
      <c r="AK87" s="668"/>
      <c r="AL87" s="428"/>
      <c r="AM87" s="49"/>
      <c r="AN87" s="49"/>
      <c r="AO87" s="49"/>
    </row>
    <row r="88" spans="2:41" ht="15" hidden="1" customHeight="1">
      <c r="B88" s="301"/>
      <c r="C88" s="301"/>
      <c r="D88" s="301"/>
      <c r="E88" s="301"/>
      <c r="F88" s="301"/>
      <c r="G88" s="42"/>
      <c r="I88" s="37" t="s">
        <v>765</v>
      </c>
      <c r="J88" s="319">
        <f ca="1">Resultado!C26</f>
        <v>0</v>
      </c>
      <c r="K88" s="36">
        <f t="shared" ca="1" si="4"/>
        <v>0</v>
      </c>
      <c r="L88" s="317">
        <f t="shared" ca="1" si="3"/>
        <v>0</v>
      </c>
      <c r="M88" s="320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91"/>
      <c r="C89" s="1791"/>
      <c r="D89" s="1791"/>
      <c r="E89" s="1791"/>
      <c r="F89" s="1791"/>
      <c r="G89" s="42"/>
      <c r="I89" s="37" t="s">
        <v>848</v>
      </c>
      <c r="J89" s="319">
        <f ca="1">Resultado!C31</f>
        <v>0</v>
      </c>
      <c r="K89" s="36">
        <f t="shared" ca="1" si="4"/>
        <v>0</v>
      </c>
      <c r="L89" s="317">
        <f t="shared" ca="1" si="3"/>
        <v>0</v>
      </c>
      <c r="M89" s="321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1"/>
      <c r="C90" s="301"/>
      <c r="D90" s="301"/>
      <c r="E90" s="301"/>
      <c r="F90" s="301"/>
      <c r="G90" s="42"/>
      <c r="I90" s="37" t="s">
        <v>849</v>
      </c>
      <c r="J90" s="319">
        <f>Resultado!C28</f>
        <v>0</v>
      </c>
      <c r="K90" s="36">
        <f t="shared" ca="1" si="4"/>
        <v>0</v>
      </c>
      <c r="L90" s="317">
        <f t="shared" si="3"/>
        <v>0</v>
      </c>
      <c r="M90" s="321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1"/>
      <c r="C91" s="301"/>
      <c r="D91" s="301"/>
      <c r="E91" s="301"/>
      <c r="F91" s="301"/>
      <c r="G91" s="42"/>
      <c r="I91" s="37" t="s">
        <v>850</v>
      </c>
      <c r="J91" s="319">
        <f>Resultado!C29</f>
        <v>0</v>
      </c>
      <c r="K91" s="36">
        <f t="shared" ca="1" si="4"/>
        <v>0</v>
      </c>
      <c r="L91" s="317">
        <f t="shared" si="3"/>
        <v>0</v>
      </c>
      <c r="M91" s="321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1"/>
      <c r="C92" s="301"/>
      <c r="D92" s="301"/>
      <c r="E92" s="301"/>
      <c r="F92" s="301"/>
      <c r="G92" s="28"/>
      <c r="I92" s="37" t="s">
        <v>851</v>
      </c>
      <c r="J92" s="319">
        <f>Resultado!C30</f>
        <v>0</v>
      </c>
      <c r="K92" s="36">
        <f t="shared" ca="1" si="4"/>
        <v>0</v>
      </c>
      <c r="L92" s="317">
        <f t="shared" si="3"/>
        <v>0</v>
      </c>
      <c r="M92" s="321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1"/>
      <c r="C93" s="301"/>
      <c r="D93" s="301"/>
      <c r="E93" s="301"/>
      <c r="F93" s="301"/>
      <c r="G93" s="42"/>
      <c r="I93" s="37" t="s">
        <v>766</v>
      </c>
      <c r="J93" s="319">
        <f ca="1">Resultado!C31</f>
        <v>0</v>
      </c>
      <c r="K93" s="36">
        <f t="shared" ca="1" si="4"/>
        <v>0</v>
      </c>
      <c r="L93" s="317">
        <f t="shared" ca="1" si="3"/>
        <v>0</v>
      </c>
      <c r="M93" s="321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92"/>
      <c r="C94" s="1792"/>
      <c r="D94" s="1792"/>
      <c r="E94" s="1792"/>
      <c r="F94" s="1792"/>
      <c r="G94" s="42"/>
      <c r="I94" s="37" t="s">
        <v>767</v>
      </c>
      <c r="J94" s="319">
        <f ca="1">Resultado!C32</f>
        <v>14742424.798749864</v>
      </c>
      <c r="K94" s="36">
        <f t="shared" ca="1" si="4"/>
        <v>0.16617594285415771</v>
      </c>
      <c r="L94" s="317">
        <f t="shared" ca="1" si="3"/>
        <v>1</v>
      </c>
      <c r="M94" s="311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91"/>
      <c r="C95" s="1791"/>
      <c r="D95" s="1791"/>
      <c r="E95" s="1791"/>
      <c r="F95" s="1791"/>
      <c r="I95" s="1159" t="s">
        <v>926</v>
      </c>
      <c r="J95" s="1160">
        <f ca="1">J86+J84+J74</f>
        <v>42407110.404254436</v>
      </c>
      <c r="K95" s="1161">
        <f t="shared" ca="1" si="4"/>
        <v>0.47801102270129409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91"/>
      <c r="C96" s="1791"/>
      <c r="D96" s="1791"/>
      <c r="E96" s="1791"/>
      <c r="F96" s="1791"/>
      <c r="I96" s="1159" t="s">
        <v>927</v>
      </c>
      <c r="J96" s="1160">
        <f ca="1">J97-J95</f>
        <v>46308647.999405548</v>
      </c>
      <c r="K96" s="1161">
        <f t="shared" ca="1" si="4"/>
        <v>0.52198897729870586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92"/>
      <c r="C97" s="1792"/>
      <c r="D97" s="1792"/>
      <c r="E97" s="1792"/>
      <c r="F97" s="1792"/>
      <c r="G97" s="28"/>
      <c r="I97" s="1156" t="s">
        <v>928</v>
      </c>
      <c r="J97" s="1158">
        <f ca="1">Mercado_RA0_Reais</f>
        <v>88715758.403659984</v>
      </c>
      <c r="K97" s="1162">
        <f ca="1">K95+K96</f>
        <v>1</v>
      </c>
      <c r="L97" s="31"/>
      <c r="AG97" s="49"/>
      <c r="AH97" s="661"/>
      <c r="AI97" s="661"/>
      <c r="AJ97" s="661"/>
      <c r="AK97" s="49"/>
      <c r="AL97" s="49"/>
      <c r="AM97" s="49"/>
      <c r="AN97" s="49"/>
      <c r="AO97" s="49"/>
    </row>
    <row r="98" spans="2:41" ht="15" customHeight="1">
      <c r="B98" s="1791"/>
      <c r="C98" s="1791"/>
      <c r="D98" s="1791"/>
      <c r="E98" s="1791"/>
      <c r="F98" s="1791"/>
      <c r="G98" s="42"/>
      <c r="M98" s="306" t="s">
        <v>865</v>
      </c>
      <c r="N98" s="307" t="s">
        <v>901</v>
      </c>
      <c r="AH98" s="429"/>
      <c r="AI98" s="430"/>
      <c r="AJ98" s="430"/>
      <c r="AL98" s="49"/>
      <c r="AM98" s="49"/>
      <c r="AN98" s="49"/>
    </row>
    <row r="99" spans="2:41" ht="15" customHeight="1">
      <c r="B99" s="1791"/>
      <c r="C99" s="1791"/>
      <c r="D99" s="1791"/>
      <c r="E99" s="1791"/>
      <c r="F99" s="1791"/>
      <c r="G99" s="42"/>
      <c r="M99" s="300" t="s">
        <v>873</v>
      </c>
      <c r="N99" s="300" t="s">
        <v>903</v>
      </c>
      <c r="O99" s="322" t="s">
        <v>910</v>
      </c>
      <c r="AH99" s="429"/>
      <c r="AI99" s="430"/>
      <c r="AJ99" s="430"/>
      <c r="AL99" s="49"/>
    </row>
    <row r="100" spans="2:41" ht="15" hidden="1" customHeight="1">
      <c r="B100" s="301"/>
      <c r="C100" s="301"/>
      <c r="D100" s="301"/>
      <c r="E100" s="301"/>
      <c r="F100" s="301"/>
      <c r="G100" s="42"/>
      <c r="M100" s="44" t="str">
        <f>Resultado!B15</f>
        <v>Reserva Global de Reversão – RGR</v>
      </c>
      <c r="N100" s="311">
        <f>Resultado!D15</f>
        <v>0</v>
      </c>
      <c r="O100" s="323">
        <f t="shared" ref="O100:O108" si="5">IF(N100=0,0,1)</f>
        <v>0</v>
      </c>
    </row>
    <row r="101" spans="2:41" ht="15" hidden="1" customHeight="1">
      <c r="B101" s="301"/>
      <c r="C101" s="301"/>
      <c r="D101" s="301"/>
      <c r="E101" s="301"/>
      <c r="F101" s="301"/>
      <c r="G101" s="42"/>
      <c r="M101" s="44" t="str">
        <f>Resultado!B16</f>
        <v>Conta de Consumo de Combustíveis – CCC</v>
      </c>
      <c r="N101" s="311">
        <f>Resultado!D16</f>
        <v>0</v>
      </c>
      <c r="O101" s="323">
        <f t="shared" si="5"/>
        <v>0</v>
      </c>
    </row>
    <row r="102" spans="2:41" ht="15" customHeight="1">
      <c r="B102" s="301"/>
      <c r="C102" s="301"/>
      <c r="D102" s="301"/>
      <c r="E102" s="301"/>
      <c r="F102" s="301"/>
      <c r="G102" s="42"/>
      <c r="M102" s="35" t="str">
        <f>Resultado!B17</f>
        <v>Taxa de Fisc. de Serviços de E.E. – TFSEE</v>
      </c>
      <c r="N102" s="319">
        <f ca="1">Resultado!D17</f>
        <v>239798.53240680718</v>
      </c>
      <c r="O102" s="323">
        <f t="shared" ca="1" si="5"/>
        <v>1</v>
      </c>
    </row>
    <row r="103" spans="2:41" ht="15" customHeight="1">
      <c r="B103" s="301"/>
      <c r="C103" s="301"/>
      <c r="D103" s="301"/>
      <c r="E103" s="301"/>
      <c r="F103" s="301"/>
      <c r="G103" s="42"/>
      <c r="M103" s="35" t="str">
        <f>Resultado!B18</f>
        <v>Conta de Desenvolvimento Energético – CDE</v>
      </c>
      <c r="N103" s="319">
        <f ca="1">Resultado!D18-Encargos!I20</f>
        <v>8289282.5018300004</v>
      </c>
      <c r="O103" s="323">
        <f t="shared" ca="1" si="5"/>
        <v>1</v>
      </c>
    </row>
    <row r="104" spans="2:41" ht="15" customHeight="1">
      <c r="B104" s="1791"/>
      <c r="C104" s="1791"/>
      <c r="D104" s="1791"/>
      <c r="E104" s="1791"/>
      <c r="F104" s="1791"/>
      <c r="G104" s="45"/>
      <c r="M104" s="35" t="s">
        <v>929</v>
      </c>
      <c r="N104" s="319">
        <f>Encargos!I20</f>
        <v>3110206.1377646979</v>
      </c>
      <c r="O104" s="323">
        <f t="shared" si="5"/>
        <v>1</v>
      </c>
    </row>
    <row r="105" spans="2:41" ht="15" customHeight="1">
      <c r="B105" s="1791"/>
      <c r="C105" s="1791"/>
      <c r="D105" s="1791"/>
      <c r="E105" s="1791"/>
      <c r="F105" s="1791"/>
      <c r="G105" s="45"/>
      <c r="M105" s="35" t="str">
        <f>Resultado!B20</f>
        <v>Encargos Serv. Sist. - ESS e Energ. Reserv. – EER</v>
      </c>
      <c r="N105" s="319">
        <f>Resultado!D20</f>
        <v>2838376.3960085167</v>
      </c>
      <c r="O105" s="323">
        <f t="shared" si="5"/>
        <v>1</v>
      </c>
    </row>
    <row r="106" spans="2:41" ht="15" customHeight="1">
      <c r="B106" s="1792"/>
      <c r="C106" s="1792"/>
      <c r="D106" s="1792"/>
      <c r="E106" s="1792"/>
      <c r="F106" s="1792"/>
      <c r="G106" s="39"/>
      <c r="M106" s="35" t="str">
        <f>Resultado!B21</f>
        <v>PROINFA</v>
      </c>
      <c r="N106" s="319">
        <f ca="1">Resultado!D21</f>
        <v>1647722.0493000001</v>
      </c>
      <c r="O106" s="323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19">
        <f>Resultado!D22</f>
        <v>0</v>
      </c>
      <c r="O107" s="323">
        <f t="shared" si="5"/>
        <v>0</v>
      </c>
    </row>
    <row r="108" spans="2:41" ht="15" hidden="1" customHeight="1">
      <c r="M108" s="44" t="str">
        <f>Resultado!B23</f>
        <v>ONS</v>
      </c>
      <c r="N108" s="311">
        <f>Resultado!D23</f>
        <v>0</v>
      </c>
      <c r="O108" s="324">
        <f t="shared" si="5"/>
        <v>0</v>
      </c>
    </row>
    <row r="109" spans="2:41" ht="15" customHeight="1">
      <c r="B109" s="30"/>
      <c r="M109" s="1156" t="s">
        <v>897</v>
      </c>
      <c r="N109" s="1158">
        <f ca="1">SUM(N100:N108)</f>
        <v>16125385.617310021</v>
      </c>
    </row>
    <row r="110" spans="2:41" ht="15" customHeight="1">
      <c r="B110" s="29"/>
      <c r="C110" s="29"/>
      <c r="D110" s="29"/>
      <c r="P110" s="325" t="s">
        <v>872</v>
      </c>
      <c r="Q110" s="307" t="s">
        <v>901</v>
      </c>
    </row>
    <row r="111" spans="2:41" ht="15" customHeight="1">
      <c r="B111" s="46"/>
      <c r="C111" s="311"/>
      <c r="D111" s="311"/>
      <c r="P111" s="300" t="s">
        <v>906</v>
      </c>
      <c r="Q111" s="300" t="s">
        <v>930</v>
      </c>
    </row>
    <row r="112" spans="2:41" ht="15" customHeight="1">
      <c r="B112" s="46"/>
      <c r="C112" s="311"/>
      <c r="D112" s="311"/>
      <c r="P112" s="35" t="s">
        <v>931</v>
      </c>
      <c r="Q112" s="48">
        <f ca="1">Energia!N15</f>
        <v>2.9564742791086281E-2</v>
      </c>
    </row>
    <row r="113" spans="2:44" ht="15" customHeight="1">
      <c r="B113" s="46"/>
      <c r="C113" s="311"/>
      <c r="D113" s="311"/>
      <c r="P113" s="35" t="s">
        <v>802</v>
      </c>
      <c r="Q113" s="1163">
        <f ca="1">Energia!N14</f>
        <v>7.5466649409501374E-2</v>
      </c>
    </row>
    <row r="114" spans="2:44" ht="15" customHeight="1">
      <c r="B114" s="46"/>
      <c r="C114" s="311"/>
      <c r="D114" s="311"/>
      <c r="P114" s="1156" t="s">
        <v>897</v>
      </c>
      <c r="Q114" s="1162">
        <f ca="1">SUM(Q112:Q113)</f>
        <v>0.10503139220058766</v>
      </c>
    </row>
    <row r="115" spans="2:44" ht="15" customHeight="1">
      <c r="B115" s="46"/>
      <c r="C115" s="311"/>
      <c r="D115" s="311"/>
      <c r="P115" s="44"/>
      <c r="Q115" s="311"/>
    </row>
    <row r="116" spans="2:44" ht="15" customHeight="1">
      <c r="B116" s="46"/>
      <c r="C116" s="311"/>
      <c r="D116" s="311"/>
      <c r="P116" s="44"/>
      <c r="Q116" s="311"/>
    </row>
    <row r="117" spans="2:44" ht="15" customHeight="1">
      <c r="B117" s="46"/>
      <c r="C117" s="311"/>
      <c r="D117" s="311"/>
      <c r="P117" s="44"/>
      <c r="Q117" s="311"/>
      <c r="S117" s="306" t="s">
        <v>932</v>
      </c>
      <c r="T117" s="307" t="s">
        <v>901</v>
      </c>
    </row>
    <row r="118" spans="2:44" ht="15" customHeight="1">
      <c r="B118" s="46"/>
      <c r="C118" s="311"/>
      <c r="D118" s="311"/>
      <c r="P118" s="44"/>
      <c r="Q118" s="311"/>
      <c r="S118" s="300" t="s">
        <v>906</v>
      </c>
      <c r="T118" s="300" t="s">
        <v>907</v>
      </c>
    </row>
    <row r="119" spans="2:44" ht="15" customHeight="1">
      <c r="B119" s="46"/>
      <c r="C119" s="311"/>
      <c r="D119" s="311"/>
      <c r="P119" s="44"/>
      <c r="Q119" s="311"/>
      <c r="S119" s="1164" t="s">
        <v>933</v>
      </c>
      <c r="T119" s="1165">
        <f ca="1">SUM(T120:T121)</f>
        <v>118365.851</v>
      </c>
      <c r="U119" s="322" t="s">
        <v>910</v>
      </c>
    </row>
    <row r="120" spans="2:44" ht="15" customHeight="1">
      <c r="B120" s="46"/>
      <c r="C120" s="311"/>
      <c r="D120" s="311"/>
      <c r="P120" s="44"/>
      <c r="Q120" s="311"/>
      <c r="S120" s="47" t="s">
        <v>934</v>
      </c>
      <c r="T120" s="326">
        <f ca="1">Energia!C7</f>
        <v>118365.851</v>
      </c>
      <c r="U120" s="322">
        <f ca="1">IF(T120=0,0,1)</f>
        <v>1</v>
      </c>
    </row>
    <row r="121" spans="2:44" ht="15" hidden="1" customHeight="1">
      <c r="B121" s="46"/>
      <c r="C121" s="311"/>
      <c r="D121" s="311"/>
      <c r="P121" s="44"/>
      <c r="Q121" s="311"/>
      <c r="S121" s="47" t="s">
        <v>935</v>
      </c>
      <c r="T121" s="326">
        <f ca="1">Energia!C8</f>
        <v>0</v>
      </c>
      <c r="U121" s="322">
        <f ca="1">IF(T121=0,0,1)</f>
        <v>0</v>
      </c>
    </row>
    <row r="122" spans="2:44" ht="15" customHeight="1">
      <c r="B122" s="46"/>
      <c r="C122" s="311"/>
      <c r="D122" s="311"/>
      <c r="P122" s="44"/>
      <c r="Q122" s="311"/>
      <c r="S122" s="1164" t="s">
        <v>936</v>
      </c>
      <c r="T122" s="1166">
        <f ca="1">SUM(T123:T124)</f>
        <v>13446.92445285714</v>
      </c>
      <c r="U122" s="322">
        <v>1</v>
      </c>
    </row>
    <row r="123" spans="2:44" ht="15" customHeight="1">
      <c r="B123" s="46"/>
      <c r="C123" s="311"/>
      <c r="D123" s="311"/>
      <c r="P123" s="44"/>
      <c r="Q123" s="311"/>
      <c r="S123" s="47" t="s">
        <v>937</v>
      </c>
      <c r="T123" s="326">
        <f ca="1">SUM(Energia!C11:C12)</f>
        <v>3785.1051428571436</v>
      </c>
      <c r="U123" s="322">
        <f ca="1">IF(T123=0,0,1)</f>
        <v>1</v>
      </c>
    </row>
    <row r="124" spans="2:44" ht="15" customHeight="1">
      <c r="B124" s="46"/>
      <c r="C124" s="311"/>
      <c r="D124" s="311"/>
      <c r="P124" s="44"/>
      <c r="Q124" s="311"/>
      <c r="S124" s="47" t="s">
        <v>938</v>
      </c>
      <c r="T124" s="326">
        <f ca="1">SUM(Energia!C10:C10)</f>
        <v>9661.8193099999971</v>
      </c>
      <c r="U124" s="322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1"/>
      <c r="D125" s="311"/>
      <c r="P125" s="44"/>
      <c r="Q125" s="311"/>
      <c r="S125" s="1156" t="s">
        <v>932</v>
      </c>
      <c r="T125" s="1167">
        <f ca="1">T119+T122</f>
        <v>131812.77545285714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1"/>
      <c r="D126" s="311"/>
      <c r="P126" s="44"/>
      <c r="Q126" s="311"/>
      <c r="S126" s="37"/>
      <c r="T126" s="327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1"/>
      <c r="D127" s="311"/>
      <c r="P127" s="44"/>
      <c r="Q127" s="311"/>
      <c r="S127" s="37"/>
      <c r="T127" s="327"/>
      <c r="V127" s="1168" t="s">
        <v>939</v>
      </c>
      <c r="W127" s="1168"/>
      <c r="X127" s="307" t="s">
        <v>901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1"/>
      <c r="D128" s="311"/>
      <c r="P128" s="44"/>
      <c r="Q128" s="311"/>
      <c r="S128" s="37"/>
      <c r="T128" s="327"/>
      <c r="V128" s="1151" t="s">
        <v>25</v>
      </c>
      <c r="W128" s="1169" t="s">
        <v>118</v>
      </c>
      <c r="X128" s="1151" t="s">
        <v>940</v>
      </c>
      <c r="Y128" s="322" t="s">
        <v>910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1"/>
      <c r="D129" s="311"/>
      <c r="P129" s="44"/>
      <c r="Q129" s="311"/>
      <c r="S129" s="37"/>
      <c r="T129" s="327"/>
      <c r="V129" s="328" t="str">
        <f>Energia!B28</f>
        <v>RGE SUL DISTRIBUIDORA DE ENERGIA S.A.</v>
      </c>
      <c r="W129" s="328" t="str">
        <f>Energia!C28</f>
        <v>A2 (88 a 138 kV)</v>
      </c>
      <c r="X129" s="329">
        <f>Energia!H28</f>
        <v>195.85280000000003</v>
      </c>
      <c r="Y129" s="322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11"/>
      <c r="D130" s="311"/>
      <c r="P130" s="44"/>
      <c r="Q130" s="311"/>
      <c r="S130" s="37"/>
      <c r="T130" s="327"/>
      <c r="V130" s="328" t="str">
        <f>Energia!B29</f>
        <v>RGE SUL DISTRIBUIDORA DE ENERGIA S.A.</v>
      </c>
      <c r="W130" s="328" t="str">
        <f>Energia!C29</f>
        <v>A4 (2,3 a 25 kV)</v>
      </c>
      <c r="X130" s="329">
        <f>Energia!H29</f>
        <v>195.85280000000003</v>
      </c>
      <c r="Y130" s="322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1"/>
      <c r="D131" s="311"/>
      <c r="P131" s="44"/>
      <c r="Q131" s="311"/>
      <c r="S131" s="37"/>
      <c r="T131" s="327"/>
      <c r="V131" s="328">
        <f>Energia!B30</f>
        <v>0</v>
      </c>
      <c r="W131" s="328">
        <f>Energia!C30</f>
        <v>0</v>
      </c>
      <c r="X131" s="329" t="str">
        <f>Energia!H30</f>
        <v/>
      </c>
      <c r="Y131" s="322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1"/>
      <c r="D132" s="311"/>
      <c r="P132" s="44"/>
      <c r="Q132" s="311"/>
      <c r="S132" s="37"/>
      <c r="T132" s="327"/>
      <c r="V132" s="328">
        <f>Energia!B31</f>
        <v>0</v>
      </c>
      <c r="W132" s="328">
        <f>Energia!C31</f>
        <v>0</v>
      </c>
      <c r="X132" s="329" t="str">
        <f>Energia!H31</f>
        <v/>
      </c>
      <c r="Y132" s="322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1"/>
      <c r="D133" s="311"/>
      <c r="P133" s="44"/>
      <c r="Q133" s="311"/>
      <c r="V133" s="1170">
        <f>Energia!B32</f>
        <v>0</v>
      </c>
      <c r="W133" s="1170">
        <f>Energia!C32</f>
        <v>0</v>
      </c>
      <c r="X133" s="329" t="str">
        <f>Energia!H32</f>
        <v/>
      </c>
      <c r="Y133" s="322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1"/>
      <c r="D134" s="311"/>
      <c r="P134" s="44"/>
      <c r="Q134" s="311"/>
      <c r="V134" s="1171"/>
      <c r="W134" s="1172"/>
      <c r="X134" s="1173"/>
      <c r="Y134" s="330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1"/>
      <c r="D135" s="311"/>
      <c r="P135" s="44"/>
      <c r="Q135" s="311"/>
      <c r="V135" s="331"/>
      <c r="W135" s="332"/>
      <c r="X135" s="329"/>
      <c r="Y135" s="330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1"/>
      <c r="D136" s="311"/>
      <c r="P136" s="44"/>
      <c r="Q136" s="311"/>
      <c r="Z136" s="1168" t="s">
        <v>941</v>
      </c>
      <c r="AA136" s="1168"/>
      <c r="AB136" s="1168"/>
      <c r="AC136" s="307" t="s">
        <v>901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1"/>
      <c r="D137" s="311"/>
      <c r="P137" s="44"/>
      <c r="Q137" s="311"/>
      <c r="Z137" s="300" t="s">
        <v>906</v>
      </c>
      <c r="AA137" s="300" t="s">
        <v>907</v>
      </c>
      <c r="AB137" s="300" t="s">
        <v>940</v>
      </c>
      <c r="AC137" s="300" t="s">
        <v>942</v>
      </c>
      <c r="AD137" s="333" t="s">
        <v>910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1"/>
      <c r="D138" s="311"/>
      <c r="P138" s="44"/>
      <c r="Q138" s="311"/>
      <c r="Z138" s="332" t="str">
        <f>Energia!B28</f>
        <v>RGE SUL DISTRIBUIDORA DE ENERGIA S.A.</v>
      </c>
      <c r="AA138" s="334">
        <f>Energia!E35</f>
        <v>10506.852500000001</v>
      </c>
      <c r="AB138" s="335">
        <f>Energia!G35</f>
        <v>273.91999999999996</v>
      </c>
      <c r="AC138" s="336">
        <f>AA138*AB138</f>
        <v>2878037.0367999999</v>
      </c>
      <c r="AD138" s="337">
        <f>IF(AA138=0,0,1)</f>
        <v>1</v>
      </c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338"/>
    </row>
    <row r="139" spans="2:44" ht="15" hidden="1" customHeight="1">
      <c r="B139" s="46"/>
      <c r="C139" s="311"/>
      <c r="D139" s="311"/>
      <c r="P139" s="44"/>
      <c r="Q139" s="311"/>
      <c r="Z139" s="332" t="str">
        <f>Energia!B18</f>
        <v>Geração Própria</v>
      </c>
      <c r="AA139" s="334">
        <f ca="1">LnkTXTGPM</f>
        <v>0</v>
      </c>
      <c r="AB139" s="335">
        <f>Energia!E18</f>
        <v>0</v>
      </c>
      <c r="AC139" s="336">
        <f ca="1">AA139*AB139</f>
        <v>0</v>
      </c>
      <c r="AD139" s="339">
        <f ca="1">IF(AA139=0,0,1)</f>
        <v>0</v>
      </c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340"/>
    </row>
    <row r="140" spans="2:44" ht="15" customHeight="1">
      <c r="B140" s="46"/>
      <c r="C140" s="311"/>
      <c r="D140" s="311"/>
      <c r="P140" s="44"/>
      <c r="Q140" s="311"/>
      <c r="Z140" s="52" t="str">
        <f>Energia!B19</f>
        <v>PROINFA</v>
      </c>
      <c r="AA140" s="1174">
        <f>Energia!C19</f>
        <v>2068.1152777892089</v>
      </c>
      <c r="AB140" s="1175">
        <f>Energia!D19</f>
        <v>0</v>
      </c>
      <c r="AC140" s="1176">
        <f>AA140*AB140</f>
        <v>0</v>
      </c>
      <c r="AD140" s="337">
        <f>IF(AA140=0,0,1)</f>
        <v>1</v>
      </c>
      <c r="AE140" s="338"/>
      <c r="AF140" s="338"/>
      <c r="AG140" s="338"/>
      <c r="AH140" s="338"/>
      <c r="AI140" s="338"/>
      <c r="AJ140" s="338"/>
      <c r="AK140" s="338"/>
      <c r="AL140" s="338"/>
      <c r="AM140" s="338"/>
      <c r="AN140" s="338"/>
      <c r="AO140" s="338"/>
      <c r="AP140" s="338"/>
      <c r="AQ140" s="338"/>
      <c r="AR140" s="338"/>
    </row>
    <row r="141" spans="2:44" ht="15" customHeight="1">
      <c r="B141" s="46"/>
      <c r="C141" s="311"/>
      <c r="D141" s="311"/>
      <c r="P141" s="44"/>
      <c r="Q141" s="311"/>
      <c r="Z141" s="1164" t="s">
        <v>943</v>
      </c>
      <c r="AA141" s="1177">
        <f ca="1">Energia!N30-Energia!M30</f>
        <v>-125.13068893794843</v>
      </c>
      <c r="AB141" s="1178">
        <f>Energia!M34</f>
        <v>0</v>
      </c>
      <c r="AC141" s="1178">
        <f ca="1">AA141*AB141</f>
        <v>0</v>
      </c>
      <c r="AD141" s="339">
        <f ca="1">IF(AA141=0,0,1)</f>
        <v>1</v>
      </c>
      <c r="AE141" s="341"/>
      <c r="AF141" s="341"/>
      <c r="AG141" s="341"/>
      <c r="AH141" s="341"/>
      <c r="AI141" s="341"/>
      <c r="AJ141" s="341"/>
      <c r="AK141" s="341"/>
      <c r="AL141" s="341"/>
      <c r="AM141" s="341"/>
      <c r="AN141" s="341"/>
      <c r="AO141" s="341"/>
      <c r="AP141" s="341"/>
      <c r="AQ141" s="341"/>
      <c r="AR141" s="341"/>
    </row>
    <row r="142" spans="2:44" ht="15" customHeight="1">
      <c r="B142" s="46"/>
      <c r="C142" s="311"/>
      <c r="D142" s="311"/>
      <c r="P142" s="44"/>
      <c r="Q142" s="311"/>
      <c r="Z142" s="1156" t="s">
        <v>897</v>
      </c>
      <c r="AA142" s="1179">
        <f ca="1">SUM(AA138:AA141)</f>
        <v>12449.837088851262</v>
      </c>
      <c r="AB142" s="1180">
        <f ca="1">AC142/AA142</f>
        <v>231.17065839980035</v>
      </c>
      <c r="AC142" s="1180">
        <f ca="1">SUM(AC138:AC141)</f>
        <v>2878037.0367999999</v>
      </c>
      <c r="AD142" s="342"/>
      <c r="AE142" s="342"/>
      <c r="AF142" s="342"/>
      <c r="AG142" s="342"/>
      <c r="AH142" s="342"/>
      <c r="AI142" s="342"/>
      <c r="AJ142" s="342"/>
      <c r="AK142" s="342"/>
      <c r="AL142" s="342"/>
      <c r="AM142" s="342"/>
      <c r="AN142" s="342"/>
      <c r="AO142" s="342"/>
      <c r="AP142" s="342"/>
      <c r="AQ142" s="342"/>
      <c r="AR142" s="342"/>
    </row>
    <row r="143" spans="2:44" ht="15" customHeight="1">
      <c r="B143" s="46"/>
      <c r="C143" s="311"/>
      <c r="D143" s="311"/>
      <c r="P143" s="44"/>
      <c r="Q143" s="311"/>
      <c r="AD143" s="49"/>
      <c r="AE143" s="342"/>
      <c r="AF143" s="342"/>
      <c r="AG143" s="342"/>
      <c r="AH143" s="342"/>
      <c r="AI143" s="342"/>
      <c r="AJ143" s="342"/>
      <c r="AK143" s="342"/>
      <c r="AL143" s="342"/>
      <c r="AM143" s="342"/>
      <c r="AN143" s="342"/>
      <c r="AO143" s="342"/>
      <c r="AP143" s="49"/>
      <c r="AQ143" s="49"/>
      <c r="AR143" s="49"/>
    </row>
    <row r="144" spans="2:44" ht="15" customHeight="1">
      <c r="B144" s="46"/>
      <c r="C144" s="311"/>
      <c r="D144" s="311"/>
      <c r="P144" s="44"/>
      <c r="Q144" s="311"/>
      <c r="AC144" s="311"/>
      <c r="AD144" s="49"/>
      <c r="AE144" s="1181" t="s">
        <v>882</v>
      </c>
      <c r="AF144" s="1181"/>
      <c r="AG144" s="1181"/>
      <c r="AH144" s="1181"/>
      <c r="AI144" s="1181"/>
      <c r="AJ144" s="1181"/>
      <c r="AK144" s="307" t="s">
        <v>901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1"/>
      <c r="D145" s="311"/>
      <c r="P145" s="44"/>
      <c r="Q145" s="311"/>
      <c r="AE145" s="1151" t="s">
        <v>25</v>
      </c>
      <c r="AF145" s="1151" t="s">
        <v>118</v>
      </c>
      <c r="AG145" s="1151" t="s">
        <v>944</v>
      </c>
      <c r="AH145" s="1151" t="s">
        <v>945</v>
      </c>
      <c r="AI145" s="1151" t="s">
        <v>68</v>
      </c>
      <c r="AJ145" s="1151" t="s">
        <v>946</v>
      </c>
      <c r="AK145" s="1151" t="s">
        <v>942</v>
      </c>
      <c r="AL145" s="322" t="s">
        <v>910</v>
      </c>
    </row>
    <row r="146" spans="2:39" ht="15" customHeight="1">
      <c r="B146" s="46"/>
      <c r="C146" s="311"/>
      <c r="D146" s="311"/>
      <c r="P146" s="44"/>
      <c r="Q146" s="311"/>
      <c r="AC146" s="49"/>
      <c r="AD146" s="49"/>
      <c r="AE146" s="429" t="str">
        <f>CUSD!B6</f>
        <v>RGE SUL DISTRIBUIDORA DE ENERGIA S.A.</v>
      </c>
      <c r="AF146" s="386" t="str">
        <f>CUSD!C6</f>
        <v>A2 (88 a 138 kV)</v>
      </c>
      <c r="AG146" s="338" t="str">
        <f>CUSD!F6</f>
        <v>Potência</v>
      </c>
      <c r="AH146" s="338" t="str">
        <f>CUSD!F6</f>
        <v>Potência</v>
      </c>
      <c r="AI146" s="404">
        <f>CUSD!H6</f>
        <v>219045.38</v>
      </c>
      <c r="AJ146" s="405">
        <f>CUSD!J6</f>
        <v>12.22</v>
      </c>
      <c r="AK146" s="338">
        <f>IFERROR(AI146*AJ146,0)</f>
        <v>2676734.5436</v>
      </c>
      <c r="AL146" s="406">
        <f t="shared" ref="AL146:AL160" si="6">IF(AE146=0,0,1)</f>
        <v>1</v>
      </c>
      <c r="AM146" s="49"/>
    </row>
    <row r="147" spans="2:39" ht="15" customHeight="1">
      <c r="B147" s="46"/>
      <c r="C147" s="311"/>
      <c r="D147" s="311"/>
      <c r="P147" s="44"/>
      <c r="Q147" s="311"/>
      <c r="AC147" s="49"/>
      <c r="AD147" s="49"/>
      <c r="AE147" s="429" t="str">
        <f>CUSD!B7</f>
        <v>RGE SUL DISTRIBUIDORA DE ENERGIA S.A.</v>
      </c>
      <c r="AF147" s="386" t="str">
        <f>CUSD!C7</f>
        <v>A2 (88 a 138 kV)</v>
      </c>
      <c r="AG147" s="338" t="str">
        <f>CUSD!F7</f>
        <v>Potência</v>
      </c>
      <c r="AH147" s="338" t="str">
        <f>CUSD!F7</f>
        <v>Potência</v>
      </c>
      <c r="AI147" s="404">
        <f>CUSD!H7</f>
        <v>177638.99</v>
      </c>
      <c r="AJ147" s="405">
        <f>CUSD!J7</f>
        <v>12.37</v>
      </c>
      <c r="AK147" s="338">
        <f t="shared" ref="AK147:AK153" si="7">IFERROR(AI147*AJ147,0)</f>
        <v>2197394.3062999998</v>
      </c>
      <c r="AL147" s="406">
        <f t="shared" si="6"/>
        <v>1</v>
      </c>
      <c r="AM147" s="49"/>
    </row>
    <row r="148" spans="2:39" ht="15" customHeight="1">
      <c r="B148" s="46"/>
      <c r="C148" s="311"/>
      <c r="D148" s="311"/>
      <c r="P148" s="44"/>
      <c r="Q148" s="311"/>
      <c r="AC148" s="49"/>
      <c r="AD148" s="49"/>
      <c r="AE148" s="429" t="str">
        <f>CUSD!B8</f>
        <v>RGE SUL DISTRIBUIDORA DE ENERGIA S.A.</v>
      </c>
      <c r="AF148" s="386" t="str">
        <f>CUSD!C8</f>
        <v>A4 (2,3 a 25 kV)</v>
      </c>
      <c r="AG148" s="338" t="str">
        <f>CUSD!F8</f>
        <v>Potência</v>
      </c>
      <c r="AH148" s="338" t="str">
        <f>CUSD!F8</f>
        <v>Potência</v>
      </c>
      <c r="AI148" s="404">
        <f>CUSD!H8</f>
        <v>204284.63</v>
      </c>
      <c r="AJ148" s="405">
        <f>CUSD!J8</f>
        <v>19.98</v>
      </c>
      <c r="AK148" s="338">
        <f t="shared" si="7"/>
        <v>4081606.9074000004</v>
      </c>
      <c r="AL148" s="406">
        <f>IF(AE148=0,0,1)</f>
        <v>1</v>
      </c>
      <c r="AM148" s="405"/>
    </row>
    <row r="149" spans="2:39" ht="15" customHeight="1">
      <c r="B149" s="46"/>
      <c r="C149" s="311"/>
      <c r="D149" s="311"/>
      <c r="P149" s="44"/>
      <c r="Q149" s="311"/>
      <c r="AC149" s="49"/>
      <c r="AD149" s="49"/>
      <c r="AE149" s="429" t="str">
        <f>CUSD!B9</f>
        <v>RGE SUL DISTRIBUIDORA DE ENERGIA S.A.</v>
      </c>
      <c r="AF149" s="386" t="str">
        <f>CUSD!C9</f>
        <v>A4 (2,3 a 25 kV)</v>
      </c>
      <c r="AG149" s="338" t="str">
        <f>CUSD!F9</f>
        <v>Potência</v>
      </c>
      <c r="AH149" s="338" t="str">
        <f>CUSD!F9</f>
        <v>Potência</v>
      </c>
      <c r="AI149" s="404">
        <f>CUSD!H9</f>
        <v>163872.02999999997</v>
      </c>
      <c r="AJ149" s="405">
        <f>CUSD!J9</f>
        <v>26.9</v>
      </c>
      <c r="AK149" s="338">
        <f t="shared" si="7"/>
        <v>4408157.6069999989</v>
      </c>
      <c r="AL149" s="406">
        <f t="shared" si="6"/>
        <v>1</v>
      </c>
      <c r="AM149" s="405"/>
    </row>
    <row r="150" spans="2:39" ht="15" hidden="1" customHeight="1">
      <c r="B150" s="46"/>
      <c r="C150" s="311"/>
      <c r="D150" s="311"/>
      <c r="P150" s="44"/>
      <c r="Q150" s="311"/>
      <c r="AC150" s="49"/>
      <c r="AD150" s="49"/>
      <c r="AE150" s="386" t="str">
        <f>CUSD!B10</f>
        <v>RGE SUL DISTRIBUIDORA DE ENERGIA S.A.</v>
      </c>
      <c r="AF150" s="386" t="str">
        <f>CUSD!C10</f>
        <v>A2 (88 a 138 kV)</v>
      </c>
      <c r="AG150" s="338" t="str">
        <f>CUSD!F10</f>
        <v>Energia</v>
      </c>
      <c r="AH150" s="338" t="str">
        <f>CUSD!F10</f>
        <v>Energia</v>
      </c>
      <c r="AI150" s="404">
        <f>CUSD!H10</f>
        <v>69282.02496000001</v>
      </c>
      <c r="AJ150" s="405">
        <f>CUSD!J10</f>
        <v>3.86</v>
      </c>
      <c r="AK150" s="338">
        <f t="shared" si="7"/>
        <v>267428.61634560005</v>
      </c>
      <c r="AL150" s="406">
        <v>0</v>
      </c>
      <c r="AM150" s="405"/>
    </row>
    <row r="151" spans="2:39" ht="15" hidden="1" customHeight="1">
      <c r="B151" s="46"/>
      <c r="C151" s="311"/>
      <c r="D151" s="311"/>
      <c r="P151" s="44"/>
      <c r="Q151" s="311"/>
      <c r="AC151" s="49"/>
      <c r="AD151" s="49"/>
      <c r="AE151" s="386" t="str">
        <f>CUSD!B11</f>
        <v>RGE SUL DISTRIBUIDORA DE ENERGIA S.A.</v>
      </c>
      <c r="AF151" s="386" t="str">
        <f>CUSD!C11</f>
        <v>A2 (88 a 138 kV)</v>
      </c>
      <c r="AG151" s="338" t="str">
        <f>CUSD!F11</f>
        <v>Energia</v>
      </c>
      <c r="AH151" s="338" t="str">
        <f>CUSD!F11</f>
        <v>Energia</v>
      </c>
      <c r="AI151" s="404">
        <f>CUSD!H11</f>
        <v>8348.4894999999997</v>
      </c>
      <c r="AJ151" s="405">
        <f>CUSD!J11</f>
        <v>3.86</v>
      </c>
      <c r="AK151" s="338">
        <f t="shared" si="7"/>
        <v>32225.169469999997</v>
      </c>
      <c r="AL151" s="406">
        <v>0</v>
      </c>
      <c r="AM151" s="405"/>
    </row>
    <row r="152" spans="2:39" ht="15" customHeight="1">
      <c r="B152" s="46"/>
      <c r="C152" s="311"/>
      <c r="D152" s="311"/>
      <c r="P152" s="44"/>
      <c r="Q152" s="311"/>
      <c r="AC152" s="49"/>
      <c r="AD152" s="49"/>
      <c r="AE152" s="386" t="str">
        <f>CUSD!B12</f>
        <v>RGE SUL DISTRIBUIDORA DE ENERGIA S.A.</v>
      </c>
      <c r="AF152" s="386" t="str">
        <f>CUSD!C12</f>
        <v>A4 (2,3 a 25 kV)</v>
      </c>
      <c r="AG152" s="338" t="str">
        <f>CUSD!F12</f>
        <v>Energia</v>
      </c>
      <c r="AH152" s="338" t="str">
        <f>CUSD!F12</f>
        <v>Energia</v>
      </c>
      <c r="AI152" s="404">
        <f>CUSD!H12</f>
        <v>29419.30934</v>
      </c>
      <c r="AJ152" s="405">
        <f>CUSD!J12</f>
        <v>11.36</v>
      </c>
      <c r="AK152" s="338">
        <f t="shared" si="7"/>
        <v>334203.35410239996</v>
      </c>
      <c r="AL152" s="406">
        <f t="shared" si="6"/>
        <v>1</v>
      </c>
      <c r="AM152" s="405"/>
    </row>
    <row r="153" spans="2:39" ht="15" customHeight="1">
      <c r="B153" s="46"/>
      <c r="C153" s="311"/>
      <c r="D153" s="311"/>
      <c r="P153" s="44"/>
      <c r="Q153" s="311"/>
      <c r="AC153" s="49"/>
      <c r="AD153" s="49"/>
      <c r="AE153" s="386" t="str">
        <f>CUSD!B13</f>
        <v>RGE SUL DISTRIBUIDORA DE ENERGIA S.A.</v>
      </c>
      <c r="AF153" s="386" t="str">
        <f>CUSD!C13</f>
        <v>A4 (2,3 a 25 kV)</v>
      </c>
      <c r="AG153" s="338" t="str">
        <f>CUSD!F13</f>
        <v>Energia</v>
      </c>
      <c r="AH153" s="338" t="str">
        <f>CUSD!F13</f>
        <v>Energia</v>
      </c>
      <c r="AI153" s="404">
        <f>CUSD!H13</f>
        <v>3831.9353899999992</v>
      </c>
      <c r="AJ153" s="405">
        <f>CUSD!J13</f>
        <v>11.36</v>
      </c>
      <c r="AK153" s="338">
        <f t="shared" si="7"/>
        <v>43530.786030399991</v>
      </c>
      <c r="AL153" s="406">
        <f t="shared" si="6"/>
        <v>1</v>
      </c>
      <c r="AM153" s="405"/>
    </row>
    <row r="154" spans="2:39" ht="15" hidden="1" customHeight="1">
      <c r="B154" s="46"/>
      <c r="C154" s="311"/>
      <c r="D154" s="311"/>
      <c r="P154" s="44"/>
      <c r="Q154" s="311"/>
      <c r="AC154" s="49"/>
      <c r="AD154" s="49"/>
      <c r="AE154" s="386">
        <f>CUSD!B14</f>
        <v>0</v>
      </c>
      <c r="AF154" s="386">
        <f>CUSD!C14</f>
        <v>0</v>
      </c>
      <c r="AG154" s="338" t="str">
        <f>CUSD!F14</f>
        <v/>
      </c>
      <c r="AH154" s="338" t="str">
        <f>CUSD!F14</f>
        <v/>
      </c>
      <c r="AI154" s="404" t="str">
        <f>CUSD!H14</f>
        <v/>
      </c>
      <c r="AJ154" s="405" t="str">
        <f>CUSD!J14</f>
        <v/>
      </c>
      <c r="AK154" s="338">
        <f t="shared" ref="AK154:AK160" si="8">IFERROR(AI154*AJ154,0)</f>
        <v>0</v>
      </c>
      <c r="AL154" s="406">
        <f t="shared" si="6"/>
        <v>0</v>
      </c>
      <c r="AM154" s="405"/>
    </row>
    <row r="155" spans="2:39" ht="15" hidden="1" customHeight="1">
      <c r="B155" s="46"/>
      <c r="C155" s="311"/>
      <c r="D155" s="311"/>
      <c r="P155" s="44"/>
      <c r="Q155" s="311"/>
      <c r="AC155" s="49"/>
      <c r="AD155" s="49"/>
      <c r="AE155" s="386">
        <f>CUSD!B15</f>
        <v>0</v>
      </c>
      <c r="AF155" s="386">
        <f>CUSD!C15</f>
        <v>0</v>
      </c>
      <c r="AG155" s="338" t="str">
        <f>CUSD!F15</f>
        <v/>
      </c>
      <c r="AH155" s="338" t="str">
        <f>CUSD!F15</f>
        <v/>
      </c>
      <c r="AI155" s="404" t="str">
        <f>CUSD!H15</f>
        <v/>
      </c>
      <c r="AJ155" s="405" t="str">
        <f>CUSD!J15</f>
        <v/>
      </c>
      <c r="AK155" s="338">
        <f t="shared" si="8"/>
        <v>0</v>
      </c>
      <c r="AL155" s="406">
        <f t="shared" si="6"/>
        <v>0</v>
      </c>
      <c r="AM155" s="405"/>
    </row>
    <row r="156" spans="2:39" ht="15" hidden="1" customHeight="1">
      <c r="B156" s="46"/>
      <c r="C156" s="311"/>
      <c r="D156" s="311"/>
      <c r="P156" s="44"/>
      <c r="Q156" s="311"/>
      <c r="AC156" s="49"/>
      <c r="AD156" s="49"/>
      <c r="AE156" s="386">
        <f>CUSD!B16</f>
        <v>0</v>
      </c>
      <c r="AF156" s="386">
        <f>CUSD!C16</f>
        <v>0</v>
      </c>
      <c r="AG156" s="338" t="str">
        <f>CUSD!F16</f>
        <v/>
      </c>
      <c r="AH156" s="338" t="str">
        <f>CUSD!F16</f>
        <v/>
      </c>
      <c r="AI156" s="404" t="str">
        <f>CUSD!H16</f>
        <v/>
      </c>
      <c r="AJ156" s="405" t="str">
        <f>CUSD!J16</f>
        <v/>
      </c>
      <c r="AK156" s="338">
        <f t="shared" si="8"/>
        <v>0</v>
      </c>
      <c r="AL156" s="406">
        <f t="shared" si="6"/>
        <v>0</v>
      </c>
      <c r="AM156" s="405"/>
    </row>
    <row r="157" spans="2:39" ht="15" hidden="1" customHeight="1">
      <c r="B157" s="46"/>
      <c r="C157" s="311"/>
      <c r="D157" s="311"/>
      <c r="P157" s="44"/>
      <c r="Q157" s="311"/>
      <c r="AC157" s="49"/>
      <c r="AD157" s="49"/>
      <c r="AE157" s="386">
        <f>CUSD!B17</f>
        <v>0</v>
      </c>
      <c r="AF157" s="386">
        <f>CUSD!C17</f>
        <v>0</v>
      </c>
      <c r="AG157" s="338" t="str">
        <f>CUSD!F17</f>
        <v/>
      </c>
      <c r="AH157" s="338" t="str">
        <f>CUSD!F17</f>
        <v/>
      </c>
      <c r="AI157" s="404" t="str">
        <f>CUSD!H17</f>
        <v/>
      </c>
      <c r="AJ157" s="405" t="str">
        <f>CUSD!J17</f>
        <v/>
      </c>
      <c r="AK157" s="338">
        <f t="shared" si="8"/>
        <v>0</v>
      </c>
      <c r="AL157" s="406">
        <v>0</v>
      </c>
      <c r="AM157" s="405"/>
    </row>
    <row r="158" spans="2:39" ht="15" hidden="1" customHeight="1">
      <c r="B158" s="46"/>
      <c r="C158" s="311"/>
      <c r="D158" s="311"/>
      <c r="P158" s="44"/>
      <c r="Q158" s="311"/>
      <c r="AC158" s="49"/>
      <c r="AD158" s="49"/>
      <c r="AE158" s="386">
        <f>CUSD!B18</f>
        <v>0</v>
      </c>
      <c r="AF158" s="386">
        <f>CUSD!C18</f>
        <v>0</v>
      </c>
      <c r="AG158" s="338" t="str">
        <f>CUSD!F18</f>
        <v/>
      </c>
      <c r="AH158" s="338" t="str">
        <f>CUSD!F18</f>
        <v/>
      </c>
      <c r="AI158" s="404" t="str">
        <f>CUSD!H18</f>
        <v/>
      </c>
      <c r="AJ158" s="405" t="str">
        <f>CUSD!J18</f>
        <v/>
      </c>
      <c r="AK158" s="338">
        <f t="shared" si="8"/>
        <v>0</v>
      </c>
      <c r="AL158" s="406">
        <f t="shared" si="6"/>
        <v>0</v>
      </c>
      <c r="AM158" s="405"/>
    </row>
    <row r="159" spans="2:39" ht="15" hidden="1" customHeight="1">
      <c r="B159" s="46"/>
      <c r="C159" s="311"/>
      <c r="D159" s="311"/>
      <c r="P159" s="44"/>
      <c r="Q159" s="311"/>
      <c r="AC159" s="49"/>
      <c r="AD159" s="49"/>
      <c r="AE159" s="386">
        <f>CUSD!B19</f>
        <v>0</v>
      </c>
      <c r="AF159" s="386">
        <f>CUSD!C19</f>
        <v>0</v>
      </c>
      <c r="AG159" s="338" t="str">
        <f>CUSD!F19</f>
        <v/>
      </c>
      <c r="AH159" s="338" t="str">
        <f>CUSD!F19</f>
        <v/>
      </c>
      <c r="AI159" s="404" t="str">
        <f>CUSD!H19</f>
        <v/>
      </c>
      <c r="AJ159" s="405" t="str">
        <f>CUSD!J19</f>
        <v/>
      </c>
      <c r="AK159" s="338">
        <f t="shared" si="8"/>
        <v>0</v>
      </c>
      <c r="AL159" s="406">
        <f t="shared" si="6"/>
        <v>0</v>
      </c>
      <c r="AM159" s="405"/>
    </row>
    <row r="160" spans="2:39" ht="15" hidden="1" customHeight="1">
      <c r="B160" s="46"/>
      <c r="C160" s="311"/>
      <c r="D160" s="311"/>
      <c r="P160" s="44"/>
      <c r="Q160" s="311"/>
      <c r="AC160" s="49"/>
      <c r="AD160" s="49"/>
      <c r="AE160" s="386">
        <f>CUSD!B20</f>
        <v>0</v>
      </c>
      <c r="AF160" s="386">
        <f>CUSD!C20</f>
        <v>0</v>
      </c>
      <c r="AG160" s="338" t="str">
        <f>CUSD!F20</f>
        <v/>
      </c>
      <c r="AH160" s="338" t="str">
        <f>CUSD!F20</f>
        <v/>
      </c>
      <c r="AI160" s="404" t="str">
        <f>CUSD!H20</f>
        <v/>
      </c>
      <c r="AJ160" s="405" t="str">
        <f>CUSD!J20</f>
        <v/>
      </c>
      <c r="AK160" s="338">
        <f t="shared" si="8"/>
        <v>0</v>
      </c>
      <c r="AL160" s="406">
        <f t="shared" si="6"/>
        <v>0</v>
      </c>
      <c r="AM160" s="49"/>
    </row>
    <row r="161" spans="2:42" ht="15" customHeight="1">
      <c r="B161" s="46"/>
      <c r="C161" s="311"/>
      <c r="D161" s="311"/>
      <c r="P161" s="44"/>
      <c r="Q161" s="311"/>
      <c r="AE161" s="1156" t="s">
        <v>947</v>
      </c>
      <c r="AF161" s="1156"/>
      <c r="AG161" s="1156"/>
      <c r="AH161" s="1156"/>
      <c r="AI161" s="1182">
        <f>SUM(AI146:AI160)</f>
        <v>875722.78919000016</v>
      </c>
      <c r="AJ161" s="1158"/>
      <c r="AK161" s="1158">
        <f>SUM(AK146:AK160)</f>
        <v>14041281.290248398</v>
      </c>
    </row>
    <row r="162" spans="2:42" ht="15" customHeight="1">
      <c r="B162" s="46"/>
      <c r="C162" s="311"/>
      <c r="D162" s="311"/>
      <c r="P162" s="44"/>
      <c r="Q162" s="311"/>
    </row>
    <row r="163" spans="2:42" ht="15" customHeight="1">
      <c r="B163" s="46"/>
      <c r="C163" s="311"/>
      <c r="D163" s="311"/>
      <c r="P163" s="44"/>
      <c r="Q163" s="311"/>
      <c r="AM163" s="1181" t="s">
        <v>948</v>
      </c>
      <c r="AN163" s="307" t="s">
        <v>901</v>
      </c>
    </row>
    <row r="164" spans="2:42" ht="15" customHeight="1">
      <c r="B164" s="46"/>
      <c r="C164" s="311"/>
      <c r="D164" s="311"/>
      <c r="P164" s="44"/>
      <c r="Q164" s="311"/>
      <c r="AM164" s="1183" t="s">
        <v>854</v>
      </c>
      <c r="AN164" s="1151" t="s">
        <v>903</v>
      </c>
      <c r="AO164" s="23" t="s">
        <v>910</v>
      </c>
      <c r="AP164" s="676" t="s">
        <v>949</v>
      </c>
    </row>
    <row r="165" spans="2:42" ht="15" customHeight="1">
      <c r="B165" s="46"/>
      <c r="C165" s="311"/>
      <c r="D165" s="311"/>
      <c r="P165" s="44"/>
      <c r="Q165" s="311"/>
      <c r="AM165" s="53" t="str">
        <f>Financeiros!C9</f>
        <v>Repasse de PIS COFINS</v>
      </c>
      <c r="AN165" s="873">
        <f>LnkTXTPISCOFINS</f>
        <v>1010289.0827403127</v>
      </c>
      <c r="AO165" s="23">
        <f t="shared" ref="AO165:AO196" si="9">IF(AN165=0,0,1)</f>
        <v>1</v>
      </c>
      <c r="AP165" s="676"/>
    </row>
    <row r="166" spans="2:42" ht="15" customHeight="1">
      <c r="B166" s="46"/>
      <c r="C166" s="311"/>
      <c r="D166" s="311"/>
      <c r="P166" s="44"/>
      <c r="Q166" s="311"/>
      <c r="AM166" s="53" t="s">
        <v>858</v>
      </c>
      <c r="AN166" s="873">
        <f ca="1">SUM(Financeiros!D12:D17)</f>
        <v>-341663.26673667243</v>
      </c>
      <c r="AO166" s="23">
        <f t="shared" ca="1" si="9"/>
        <v>1</v>
      </c>
      <c r="AP166" s="676"/>
    </row>
    <row r="167" spans="2:42" ht="15" customHeight="1">
      <c r="B167" s="46"/>
      <c r="C167" s="311"/>
      <c r="D167" s="311"/>
      <c r="P167" s="44"/>
      <c r="Q167" s="311"/>
      <c r="AM167" s="23" t="s">
        <v>950</v>
      </c>
      <c r="AN167" s="424">
        <f ca="1">Financeiros!D18+Financeiros!D19</f>
        <v>-12977.375000485874</v>
      </c>
      <c r="AO167" s="23">
        <f t="shared" ca="1" si="9"/>
        <v>1</v>
      </c>
      <c r="AP167" s="676"/>
    </row>
    <row r="168" spans="2:42" ht="15" customHeight="1">
      <c r="B168" s="46"/>
      <c r="C168" s="311"/>
      <c r="D168" s="311"/>
      <c r="P168" s="44"/>
      <c r="Q168" s="311"/>
      <c r="AM168" s="23" t="s">
        <v>2393</v>
      </c>
      <c r="AN168" s="424">
        <f ca="1">Financeiros!D20</f>
        <v>62764.5567162558</v>
      </c>
      <c r="AO168" s="676">
        <f ca="1">IF(AN168=0,0,1)</f>
        <v>1</v>
      </c>
      <c r="AP168" s="676"/>
    </row>
    <row r="169" spans="2:42" ht="15" hidden="1" customHeight="1">
      <c r="B169" s="46"/>
      <c r="C169" s="311"/>
      <c r="D169" s="311"/>
      <c r="P169" s="44"/>
      <c r="Q169" s="311"/>
      <c r="AM169" s="53" t="str">
        <f>Financeiros!C25</f>
        <v>Ajustes Processos anteriores</v>
      </c>
      <c r="AN169" s="873">
        <f>Financeiros!D25</f>
        <v>0</v>
      </c>
      <c r="AO169" s="23">
        <f t="shared" si="9"/>
        <v>0</v>
      </c>
      <c r="AP169" s="676"/>
    </row>
    <row r="170" spans="2:42" ht="15" hidden="1" customHeight="1">
      <c r="B170" s="46"/>
      <c r="C170" s="311"/>
      <c r="D170" s="311"/>
      <c r="P170" s="44"/>
      <c r="Q170" s="311"/>
      <c r="AM170" s="53" t="str">
        <f>Financeiros!C26</f>
        <v>Ajuste CUST + PISCONFINS Transmissão</v>
      </c>
      <c r="AN170" s="873">
        <f>Financeiros!D26</f>
        <v>0</v>
      </c>
      <c r="AO170" s="23">
        <f t="shared" si="9"/>
        <v>0</v>
      </c>
      <c r="AP170" s="676"/>
    </row>
    <row r="171" spans="2:42" ht="15" customHeight="1">
      <c r="B171" s="46"/>
      <c r="C171" s="311"/>
      <c r="D171" s="311"/>
      <c r="P171" s="44"/>
      <c r="Q171" s="311"/>
      <c r="AM171" s="53" t="str">
        <f>Financeiros!C27</f>
        <v>Compensação DIC FIC</v>
      </c>
      <c r="AN171" s="873">
        <f>LnkTXTDICFIC</f>
        <v>-240275.83418137633</v>
      </c>
      <c r="AO171" s="23">
        <f t="shared" si="9"/>
        <v>1</v>
      </c>
      <c r="AP171" s="676"/>
    </row>
    <row r="172" spans="2:42" ht="15" customHeight="1">
      <c r="B172" s="46"/>
      <c r="C172" s="311"/>
      <c r="D172" s="311"/>
      <c r="P172" s="44"/>
      <c r="Q172" s="311"/>
      <c r="AM172" s="53" t="str">
        <f>Financeiros!C28</f>
        <v>Subvenção CDE</v>
      </c>
      <c r="AN172" s="873">
        <f ca="1">LnkTxTSubvencaoCDE</f>
        <v>-20761269.154540893</v>
      </c>
      <c r="AO172" s="23">
        <f t="shared" ca="1" si="9"/>
        <v>1</v>
      </c>
      <c r="AP172" s="676"/>
    </row>
    <row r="173" spans="2:42" ht="15" hidden="1" customHeight="1">
      <c r="B173" s="46"/>
      <c r="C173" s="311"/>
      <c r="D173" s="311"/>
      <c r="P173" s="44"/>
      <c r="Q173" s="311"/>
      <c r="AM173" s="53" t="str">
        <f>Financeiros!C29</f>
        <v>Retenção de Adicionais de Bandeiras Tarifárias</v>
      </c>
      <c r="AN173" s="873">
        <f>Financeiros!D29</f>
        <v>0</v>
      </c>
      <c r="AO173" s="23">
        <f t="shared" si="9"/>
        <v>0</v>
      </c>
      <c r="AP173" s="676"/>
    </row>
    <row r="174" spans="2:42" ht="15" hidden="1" customHeight="1">
      <c r="B174" s="46"/>
      <c r="C174" s="311"/>
      <c r="D174" s="311"/>
      <c r="P174" s="44"/>
      <c r="Q174" s="311"/>
      <c r="AM174" s="53" t="s">
        <v>951</v>
      </c>
      <c r="AN174" s="873">
        <f>Financeiros!D35</f>
        <v>0</v>
      </c>
      <c r="AO174" s="23">
        <f t="shared" si="9"/>
        <v>0</v>
      </c>
      <c r="AP174" s="676"/>
    </row>
    <row r="175" spans="2:42" ht="15" hidden="1" customHeight="1">
      <c r="B175" s="46"/>
      <c r="C175" s="311"/>
      <c r="D175" s="311"/>
      <c r="P175" s="44"/>
      <c r="Q175" s="311"/>
      <c r="AM175" s="53" t="str">
        <f>Financeiros!C31</f>
        <v>Repasse de ICMS</v>
      </c>
      <c r="AN175" s="873">
        <f>Financeiros!D31</f>
        <v>0</v>
      </c>
      <c r="AO175" s="676">
        <f>IF(AN175=0,0,1)</f>
        <v>0</v>
      </c>
      <c r="AP175" s="676"/>
    </row>
    <row r="176" spans="2:42" ht="15" hidden="1" customHeight="1">
      <c r="B176" s="46"/>
      <c r="C176" s="311"/>
      <c r="D176" s="311"/>
      <c r="P176" s="44"/>
      <c r="Q176" s="311"/>
      <c r="AM176" s="53" t="s">
        <v>952</v>
      </c>
      <c r="AN176" s="873">
        <f>Financeiros!D38</f>
        <v>0</v>
      </c>
      <c r="AO176" s="23">
        <f t="shared" si="9"/>
        <v>0</v>
      </c>
      <c r="AP176" s="676"/>
    </row>
    <row r="177" spans="2:42" ht="15" customHeight="1">
      <c r="B177" s="46"/>
      <c r="C177" s="311"/>
      <c r="D177" s="311"/>
      <c r="P177" s="44"/>
      <c r="Q177" s="311"/>
      <c r="AM177" s="53" t="str">
        <f>Financeiros!C36</f>
        <v>Previsão de Risco Hidrologico</v>
      </c>
      <c r="AN177" s="874">
        <f>Financeiros!D36</f>
        <v>1682963.5960436226</v>
      </c>
      <c r="AO177" s="23">
        <f t="shared" si="9"/>
        <v>1</v>
      </c>
      <c r="AP177" s="676"/>
    </row>
    <row r="178" spans="2:42" ht="15" customHeight="1">
      <c r="B178" s="46"/>
      <c r="C178" s="311"/>
      <c r="D178" s="311"/>
      <c r="P178" s="44"/>
      <c r="Q178" s="311"/>
      <c r="AM178" s="53" t="s">
        <v>2394</v>
      </c>
      <c r="AN178" s="874">
        <f>Financeiros!D82</f>
        <v>-2077950.0823306313</v>
      </c>
      <c r="AO178" s="23">
        <f>IF(AN178=0,0,1)</f>
        <v>1</v>
      </c>
      <c r="AP178" s="676"/>
    </row>
    <row r="179" spans="2:42" ht="15" hidden="1" customHeight="1">
      <c r="B179" s="46"/>
      <c r="C179" s="311"/>
      <c r="D179" s="311"/>
      <c r="P179" s="44"/>
      <c r="Q179" s="311"/>
      <c r="AM179" s="53" t="str">
        <f>Financeiros!C37</f>
        <v>Efeito COVID da Supridora</v>
      </c>
      <c r="AN179" s="873">
        <f>Financeiros!D37</f>
        <v>0</v>
      </c>
      <c r="AO179" s="23">
        <f t="shared" si="9"/>
        <v>0</v>
      </c>
      <c r="AP179" s="676"/>
    </row>
    <row r="180" spans="2:42" ht="15" hidden="1" customHeight="1">
      <c r="B180" s="46"/>
      <c r="C180" s="311"/>
      <c r="D180" s="311"/>
      <c r="P180" s="44"/>
      <c r="Q180" s="311"/>
      <c r="AM180" s="53" t="s">
        <v>953</v>
      </c>
      <c r="AN180" s="873">
        <f>Financeiros!D39+Financeiros!D40</f>
        <v>0</v>
      </c>
      <c r="AO180" s="23">
        <f t="shared" si="9"/>
        <v>0</v>
      </c>
      <c r="AP180" s="676"/>
    </row>
    <row r="181" spans="2:42" ht="15" customHeight="1">
      <c r="B181" s="46"/>
      <c r="C181" s="311"/>
      <c r="D181" s="311"/>
      <c r="P181" s="44"/>
      <c r="Q181" s="311"/>
      <c r="AM181" s="53" t="str">
        <f>Financeiros!C41</f>
        <v>Financeiros associados ao §7º do Art. 88 da Ren 414/2021</v>
      </c>
      <c r="AN181" s="873">
        <f>Financeiros!D41</f>
        <v>-4199.08</v>
      </c>
      <c r="AO181" s="23">
        <f t="shared" si="9"/>
        <v>1</v>
      </c>
      <c r="AP181" s="676"/>
    </row>
    <row r="182" spans="2:42" ht="15" customHeight="1">
      <c r="B182" s="46"/>
      <c r="C182" s="311"/>
      <c r="D182" s="311"/>
      <c r="P182" s="44"/>
      <c r="Q182" s="311"/>
      <c r="AM182" s="53" t="str">
        <f>Financeiros!C42</f>
        <v>Spread Conta Covid</v>
      </c>
      <c r="AN182" s="873">
        <f>Financeiros!D42</f>
        <v>-94838.229139715273</v>
      </c>
      <c r="AO182" s="23">
        <f t="shared" ref="AO182:AO187" si="10">IF(AN182=0,0,1)</f>
        <v>1</v>
      </c>
      <c r="AP182" s="676"/>
    </row>
    <row r="183" spans="2:42" ht="15" hidden="1" customHeight="1">
      <c r="B183" s="46"/>
      <c r="C183" s="311"/>
      <c r="D183" s="311"/>
      <c r="P183" s="44"/>
      <c r="Q183" s="311"/>
      <c r="AM183" s="53"/>
      <c r="AN183" s="873"/>
      <c r="AO183" s="23">
        <f t="shared" si="10"/>
        <v>0</v>
      </c>
      <c r="AP183" s="676"/>
    </row>
    <row r="184" spans="2:42" ht="15" hidden="1" customHeight="1">
      <c r="B184" s="46"/>
      <c r="C184" s="311"/>
      <c r="D184" s="311"/>
      <c r="P184" s="44"/>
      <c r="Q184" s="311"/>
      <c r="AM184" s="53">
        <f>Financeiros!C44</f>
        <v>0</v>
      </c>
      <c r="AN184" s="873">
        <f>Financeiros!D44</f>
        <v>0</v>
      </c>
      <c r="AO184" s="23">
        <f t="shared" si="10"/>
        <v>0</v>
      </c>
      <c r="AP184" s="676"/>
    </row>
    <row r="185" spans="2:42" ht="15" hidden="1" customHeight="1">
      <c r="B185" s="46"/>
      <c r="C185" s="311"/>
      <c r="D185" s="311"/>
      <c r="P185" s="44"/>
      <c r="Q185" s="311"/>
      <c r="AM185" s="53">
        <f>Financeiros!C45</f>
        <v>0</v>
      </c>
      <c r="AN185" s="873">
        <f>Financeiros!D45</f>
        <v>0</v>
      </c>
      <c r="AO185" s="23">
        <f t="shared" si="10"/>
        <v>0</v>
      </c>
      <c r="AP185" s="676"/>
    </row>
    <row r="186" spans="2:42" ht="15" hidden="1" customHeight="1">
      <c r="B186" s="46"/>
      <c r="C186" s="311"/>
      <c r="D186" s="311"/>
      <c r="P186" s="44"/>
      <c r="Q186" s="311"/>
      <c r="AM186" s="53">
        <f>Financeiros!C46</f>
        <v>0</v>
      </c>
      <c r="AN186" s="873">
        <f>Financeiros!D46</f>
        <v>0</v>
      </c>
      <c r="AO186" s="23">
        <f t="shared" si="10"/>
        <v>0</v>
      </c>
      <c r="AP186" s="676"/>
    </row>
    <row r="187" spans="2:42" ht="15" hidden="1" customHeight="1">
      <c r="B187" s="46"/>
      <c r="C187" s="311"/>
      <c r="D187" s="311"/>
      <c r="P187" s="44"/>
      <c r="Q187" s="311"/>
      <c r="AM187" s="53">
        <f>Financeiros!C47</f>
        <v>0</v>
      </c>
      <c r="AN187" s="873">
        <f>Financeiros!D47</f>
        <v>0</v>
      </c>
      <c r="AO187" s="23">
        <f t="shared" si="10"/>
        <v>0</v>
      </c>
      <c r="AP187" s="676"/>
    </row>
    <row r="188" spans="2:42" ht="15" customHeight="1">
      <c r="B188" s="46"/>
      <c r="C188" s="311"/>
      <c r="D188" s="311"/>
      <c r="P188" s="44"/>
      <c r="Q188" s="311"/>
      <c r="AM188" s="53" t="s">
        <v>954</v>
      </c>
      <c r="AN188" s="873">
        <f ca="1">SUM(Financeiros!D57:D61)</f>
        <v>351442.16209999996</v>
      </c>
      <c r="AO188" s="23">
        <f t="shared" ca="1" si="9"/>
        <v>1</v>
      </c>
      <c r="AP188" s="676"/>
    </row>
    <row r="189" spans="2:42" ht="15" customHeight="1">
      <c r="B189" s="46"/>
      <c r="C189" s="311"/>
      <c r="D189" s="311"/>
      <c r="P189" s="44"/>
      <c r="Q189" s="311"/>
      <c r="AM189" s="53" t="s">
        <v>955</v>
      </c>
      <c r="AN189" s="873">
        <f>Financeiros!D64</f>
        <v>2353444.7437</v>
      </c>
      <c r="AO189" s="23">
        <f t="shared" si="9"/>
        <v>1</v>
      </c>
      <c r="AP189" s="676"/>
    </row>
    <row r="190" spans="2:42" ht="15" customHeight="1">
      <c r="B190" s="46"/>
      <c r="C190" s="311"/>
      <c r="D190" s="311"/>
      <c r="P190" s="44"/>
      <c r="Q190" s="311"/>
      <c r="AM190" s="53" t="s">
        <v>2395</v>
      </c>
      <c r="AN190" s="873">
        <f ca="1">SUM(Financeiros!D65:D69)</f>
        <v>-202370.23245632171</v>
      </c>
      <c r="AO190" s="23">
        <f ca="1">IF(AN190=0,0,1)</f>
        <v>1</v>
      </c>
      <c r="AP190" s="676"/>
    </row>
    <row r="191" spans="2:42" ht="15" customHeight="1">
      <c r="B191" s="46"/>
      <c r="C191" s="311"/>
      <c r="D191" s="311"/>
      <c r="P191" s="44"/>
      <c r="Q191" s="311"/>
      <c r="AM191" s="53" t="s">
        <v>2396</v>
      </c>
      <c r="AN191" s="873">
        <f>Financeiros!D70</f>
        <v>-717784.45185218251</v>
      </c>
      <c r="AO191" s="23">
        <f t="shared" si="9"/>
        <v>1</v>
      </c>
      <c r="AP191" s="676"/>
    </row>
    <row r="192" spans="2:42" ht="15" hidden="1" customHeight="1">
      <c r="B192" s="46"/>
      <c r="C192" s="311"/>
      <c r="D192" s="311"/>
      <c r="P192" s="44"/>
      <c r="Q192" s="311"/>
      <c r="AM192" s="53" t="s">
        <v>2397</v>
      </c>
      <c r="AN192" s="873">
        <f ca="1">SUM(Financeiros!D71:D75)</f>
        <v>0</v>
      </c>
      <c r="AO192" s="23">
        <f t="shared" ca="1" si="9"/>
        <v>0</v>
      </c>
      <c r="AP192" s="676"/>
    </row>
    <row r="193" spans="2:54" ht="15" customHeight="1">
      <c r="B193" s="46"/>
      <c r="C193" s="311"/>
      <c r="D193" s="311"/>
      <c r="P193" s="44"/>
      <c r="Q193" s="311"/>
      <c r="AM193" s="53" t="s">
        <v>2398</v>
      </c>
      <c r="AN193" s="873">
        <f ca="1">SUM(Financeiros!D76:D80)</f>
        <v>-1121780.2466999998</v>
      </c>
      <c r="AO193" s="23">
        <f t="shared" ca="1" si="9"/>
        <v>1</v>
      </c>
      <c r="AP193" s="676"/>
    </row>
    <row r="194" spans="2:54" ht="15" hidden="1" customHeight="1">
      <c r="B194" s="46"/>
      <c r="C194" s="311"/>
      <c r="D194" s="311"/>
      <c r="P194" s="44"/>
      <c r="Q194" s="311"/>
      <c r="AM194" s="53"/>
      <c r="AN194" s="873"/>
      <c r="AO194" s="23">
        <f t="shared" si="9"/>
        <v>0</v>
      </c>
      <c r="AP194" s="676"/>
    </row>
    <row r="195" spans="2:54" ht="15" hidden="1" customHeight="1">
      <c r="B195" s="46"/>
      <c r="C195" s="311"/>
      <c r="D195" s="311"/>
      <c r="P195" s="44"/>
      <c r="Q195" s="311"/>
      <c r="AM195" s="53"/>
      <c r="AN195" s="873"/>
      <c r="AO195" s="23">
        <f t="shared" si="9"/>
        <v>0</v>
      </c>
      <c r="AP195" s="676"/>
    </row>
    <row r="196" spans="2:54" ht="15" hidden="1" customHeight="1">
      <c r="B196" s="46"/>
      <c r="C196" s="311"/>
      <c r="D196" s="311"/>
      <c r="P196" s="44"/>
      <c r="Q196" s="311"/>
      <c r="AM196" s="53"/>
      <c r="AN196" s="873"/>
      <c r="AO196" s="23">
        <f t="shared" si="9"/>
        <v>0</v>
      </c>
      <c r="AP196" s="676"/>
    </row>
    <row r="197" spans="2:54" ht="15" customHeight="1">
      <c r="B197" s="46"/>
      <c r="C197" s="311"/>
      <c r="D197" s="311"/>
      <c r="P197" s="44"/>
      <c r="Q197" s="311"/>
      <c r="AM197" s="1156" t="s">
        <v>857</v>
      </c>
      <c r="AN197" s="1184">
        <f ca="1">SUM(AN165:AN196)</f>
        <v>-20114203.811638087</v>
      </c>
      <c r="AP197" s="24"/>
    </row>
    <row r="198" spans="2:54" ht="15" customHeight="1">
      <c r="B198" s="46"/>
      <c r="C198" s="311"/>
      <c r="D198" s="311"/>
      <c r="P198" s="44"/>
      <c r="Q198" s="311"/>
    </row>
    <row r="199" spans="2:54" ht="15" customHeight="1">
      <c r="B199" s="46"/>
      <c r="C199" s="311"/>
      <c r="D199" s="311"/>
      <c r="P199" s="44"/>
      <c r="Q199" s="311"/>
    </row>
    <row r="200" spans="2:54" ht="15" customHeight="1">
      <c r="B200" s="46"/>
      <c r="C200" s="311"/>
      <c r="D200" s="311"/>
      <c r="P200" s="44"/>
      <c r="Q200" s="311"/>
      <c r="AM200" s="53"/>
      <c r="AN200" s="343"/>
      <c r="AP200" s="1181" t="s">
        <v>956</v>
      </c>
      <c r="AQ200" s="307" t="s">
        <v>901</v>
      </c>
    </row>
    <row r="201" spans="2:54" ht="15" customHeight="1">
      <c r="B201" s="46"/>
      <c r="C201" s="311"/>
      <c r="D201" s="311"/>
      <c r="P201" s="44"/>
      <c r="Q201" s="311"/>
      <c r="AM201" s="53"/>
      <c r="AN201" s="343">
        <f ca="1">Financeiros!D7</f>
        <v>-20114203.81163808</v>
      </c>
      <c r="AP201" s="1169" t="s">
        <v>957</v>
      </c>
      <c r="AQ201" s="1151" t="s">
        <v>958</v>
      </c>
    </row>
    <row r="202" spans="2:54" ht="15" customHeight="1">
      <c r="B202" s="46"/>
      <c r="C202" s="311"/>
      <c r="D202" s="311"/>
      <c r="P202" s="44"/>
      <c r="Q202" s="311"/>
      <c r="AM202" s="53"/>
      <c r="AN202" s="343"/>
      <c r="AP202" s="304" t="s">
        <v>959</v>
      </c>
      <c r="AQ202" s="229">
        <f>LnkTXTEfeitoAT</f>
        <v>0.28119014791446562</v>
      </c>
    </row>
    <row r="203" spans="2:54" ht="15" customHeight="1">
      <c r="B203" s="46"/>
      <c r="C203" s="311"/>
      <c r="D203" s="311"/>
      <c r="P203" s="44"/>
      <c r="Q203" s="311"/>
      <c r="AM203" s="53"/>
      <c r="AN203" s="343">
        <f ca="1">AN197-AN201</f>
        <v>0</v>
      </c>
      <c r="AP203" s="304" t="s">
        <v>960</v>
      </c>
      <c r="AQ203" s="229">
        <f>LnkTXTEfeitoBT</f>
        <v>0.24533947293666825</v>
      </c>
    </row>
    <row r="204" spans="2:54" ht="15" customHeight="1">
      <c r="B204" s="46"/>
      <c r="C204" s="311"/>
      <c r="D204" s="311"/>
      <c r="P204" s="44"/>
      <c r="Q204" s="311"/>
      <c r="AM204" s="53"/>
      <c r="AN204" s="343"/>
      <c r="AP204" s="1156" t="s">
        <v>961</v>
      </c>
      <c r="AQ204" s="1162">
        <f>LnkTXTEfeito</f>
        <v>0.25388708845325225</v>
      </c>
    </row>
    <row r="205" spans="2:54" ht="15" customHeight="1">
      <c r="B205" s="46"/>
      <c r="C205" s="311"/>
      <c r="D205" s="311"/>
      <c r="P205" s="44"/>
      <c r="Q205" s="311"/>
      <c r="AM205" s="53"/>
      <c r="AN205" s="343"/>
      <c r="AW205" s="424"/>
    </row>
    <row r="206" spans="2:54" ht="15" customHeight="1">
      <c r="B206" s="46"/>
      <c r="C206" s="311"/>
      <c r="D206" s="311"/>
      <c r="P206" s="44"/>
      <c r="Q206" s="311"/>
      <c r="AM206" s="53"/>
      <c r="AN206" s="343"/>
      <c r="AS206" s="1181" t="s">
        <v>962</v>
      </c>
      <c r="AT206" s="30"/>
      <c r="AU206" s="30"/>
      <c r="AV206" s="30"/>
      <c r="AW206" s="30"/>
      <c r="AX206" s="307" t="s">
        <v>901</v>
      </c>
    </row>
    <row r="207" spans="2:54" ht="39" customHeight="1" thickBot="1">
      <c r="B207" s="54"/>
      <c r="C207" s="321"/>
      <c r="D207" s="54"/>
      <c r="AS207" s="998" t="s">
        <v>963</v>
      </c>
      <c r="AT207" s="998" t="s">
        <v>921</v>
      </c>
      <c r="AU207" s="998" t="s">
        <v>964</v>
      </c>
      <c r="AV207" s="998" t="s">
        <v>965</v>
      </c>
      <c r="AW207" s="998" t="s">
        <v>966</v>
      </c>
      <c r="AX207" s="998" t="s">
        <v>967</v>
      </c>
      <c r="AY207" s="322" t="s">
        <v>910</v>
      </c>
      <c r="BB207" s="411"/>
    </row>
    <row r="208" spans="2:54" ht="15" customHeight="1" thickTop="1">
      <c r="B208" s="54"/>
      <c r="C208" s="321"/>
      <c r="D208" s="54"/>
      <c r="AS208" s="1185" t="s">
        <v>968</v>
      </c>
      <c r="AT208" s="1186">
        <f ca="1">SUM(AT209:AT218)</f>
        <v>11945574.080240412</v>
      </c>
      <c r="AU208" s="1186">
        <f ca="1">SUM(AU209:AU218)</f>
        <v>16125385.617310021</v>
      </c>
      <c r="AV208" s="1187">
        <f ca="1">IF(AU208=0,0,ROUND(AU208/AT208-1,4))</f>
        <v>0.34989999999999999</v>
      </c>
      <c r="AW208" s="1187">
        <f ca="1">SUM(AW209:AW218)</f>
        <v>4.7114645833847391E-2</v>
      </c>
      <c r="AX208" s="1187">
        <f t="shared" ref="AX208:AX214" ca="1" si="11">AU208/$AU$226</f>
        <v>0.15561631123315542</v>
      </c>
      <c r="AY208" s="322">
        <v>1</v>
      </c>
    </row>
    <row r="209" spans="2:51" ht="15" hidden="1" customHeight="1">
      <c r="AS209" s="999" t="str">
        <f t="shared" ref="AS209:AT212" si="12">I75</f>
        <v>Reserva Global de Reversão – RGR</v>
      </c>
      <c r="AT209" s="1000">
        <f t="shared" si="12"/>
        <v>0</v>
      </c>
      <c r="AU209" s="1000">
        <f>Resultado!D15</f>
        <v>0</v>
      </c>
      <c r="AV209" s="1001">
        <f t="shared" ref="AV209:AV224" si="13">IF(AU209=0,0,ROUND(AU209/AT209-1,3))</f>
        <v>0</v>
      </c>
      <c r="AW209" s="1001">
        <f t="shared" ref="AW209:AW218" ca="1" si="14">(AU209-AT209)/$AT$226</f>
        <v>0</v>
      </c>
      <c r="AX209" s="1001">
        <f t="shared" ca="1" si="11"/>
        <v>0</v>
      </c>
      <c r="AY209" s="322">
        <f ca="1">IF(AW209=0,0,1)</f>
        <v>0</v>
      </c>
    </row>
    <row r="210" spans="2:51" ht="15" hidden="1" customHeight="1">
      <c r="H210" s="23"/>
      <c r="AS210" s="999" t="str">
        <f t="shared" si="12"/>
        <v>Conta de Consumo de Combustíveis – CCC</v>
      </c>
      <c r="AT210" s="1000">
        <f t="shared" si="12"/>
        <v>0</v>
      </c>
      <c r="AU210" s="1000">
        <f>Resultado!D16</f>
        <v>0</v>
      </c>
      <c r="AV210" s="1001">
        <f t="shared" si="13"/>
        <v>0</v>
      </c>
      <c r="AW210" s="1001">
        <f t="shared" ca="1" si="14"/>
        <v>0</v>
      </c>
      <c r="AX210" s="1001">
        <f t="shared" ca="1" si="11"/>
        <v>0</v>
      </c>
      <c r="AY210" s="322">
        <f t="shared" ref="AY210:AY264" ca="1" si="15">IF(AW210=0,0,1)</f>
        <v>0</v>
      </c>
    </row>
    <row r="211" spans="2:51" ht="15" customHeight="1">
      <c r="B211" s="29"/>
      <c r="C211" s="39"/>
      <c r="H211" s="23"/>
      <c r="AS211" s="999" t="str">
        <f t="shared" si="12"/>
        <v>Taxa de Fisc. de Serviços de E.E. – TFSEE</v>
      </c>
      <c r="AT211" s="1000">
        <f t="shared" ca="1" si="12"/>
        <v>212045.12391727263</v>
      </c>
      <c r="AU211" s="1000">
        <f ca="1">Resultado!D17</f>
        <v>239798.53240680718</v>
      </c>
      <c r="AV211" s="1001">
        <f ca="1">IF(AU211=0,0,ROUND(AU211/AT211-1,4))</f>
        <v>0.13089999999999999</v>
      </c>
      <c r="AW211" s="1001">
        <f t="shared" ca="1" si="14"/>
        <v>3.1283516016687257E-4</v>
      </c>
      <c r="AX211" s="1001">
        <f t="shared" ca="1" si="11"/>
        <v>2.3141501194373689E-3</v>
      </c>
      <c r="AY211" s="322">
        <f t="shared" ca="1" si="15"/>
        <v>1</v>
      </c>
    </row>
    <row r="212" spans="2:51" ht="15" customHeight="1">
      <c r="C212" s="28"/>
      <c r="H212" s="23"/>
      <c r="AS212" s="999" t="str">
        <f t="shared" si="12"/>
        <v>Conta de Desenvolvimento Energético – CDE</v>
      </c>
      <c r="AT212" s="1000">
        <f t="shared" ca="1" si="12"/>
        <v>6816148.3122982113</v>
      </c>
      <c r="AU212" s="1000">
        <f ca="1">Encargos!I19</f>
        <v>9999282.5018300004</v>
      </c>
      <c r="AV212" s="1001">
        <f ca="1">IF(AU212=0,0,ROUND(AU212/AT212-1,4))</f>
        <v>0.46700000000000003</v>
      </c>
      <c r="AW212" s="1001">
        <f t="shared" ca="1" si="14"/>
        <v>3.5880144033131195E-2</v>
      </c>
      <c r="AX212" s="1001">
        <f t="shared" ca="1" si="11"/>
        <v>9.649700756567689E-2</v>
      </c>
      <c r="AY212" s="322">
        <f t="shared" ca="1" si="15"/>
        <v>1</v>
      </c>
    </row>
    <row r="213" spans="2:51" ht="12.75">
      <c r="C213" s="28"/>
      <c r="H213" s="23"/>
      <c r="AS213" s="999" t="s">
        <v>969</v>
      </c>
      <c r="AT213" s="1000">
        <f ca="1">Calc_Mercado!S75</f>
        <v>3228687.5855844123</v>
      </c>
      <c r="AU213" s="1000">
        <f>Encargos!I20</f>
        <v>3110206.1377646979</v>
      </c>
      <c r="AV213" s="1001">
        <f ca="1">IF(AU213=0,0,IF(AT213=0, 100%,ROUND(AU213/AT213-1,4)))</f>
        <v>-3.6700000000000003E-2</v>
      </c>
      <c r="AW213" s="1001">
        <f t="shared" ca="1" si="14"/>
        <v>-1.335517499389674E-3</v>
      </c>
      <c r="AX213" s="1001">
        <f t="shared" ca="1" si="11"/>
        <v>3.0014712070767859E-2</v>
      </c>
      <c r="AY213" s="322">
        <f t="shared" ca="1" si="15"/>
        <v>1</v>
      </c>
    </row>
    <row r="214" spans="2:51" ht="12.75">
      <c r="C214" s="28"/>
      <c r="H214" s="23"/>
      <c r="AS214" s="999" t="s">
        <v>113</v>
      </c>
      <c r="AT214" s="1000"/>
      <c r="AU214" s="1000">
        <f>Encargos!I21</f>
        <v>-1710000</v>
      </c>
      <c r="AV214" s="1001">
        <f>IF(AU214=0,0,IF(AT214=0, 100%,ROUND(AU214/AT214-1,4)))</f>
        <v>1</v>
      </c>
      <c r="AW214" s="1001">
        <f t="shared" ca="1" si="14"/>
        <v>-1.9275042346134683E-2</v>
      </c>
      <c r="AX214" s="1001">
        <f t="shared" ca="1" si="11"/>
        <v>-1.6502172321574922E-2</v>
      </c>
      <c r="AY214" s="992">
        <f ca="1">IF(AW214=0,0,1)</f>
        <v>1</v>
      </c>
    </row>
    <row r="215" spans="2:51" ht="12.75">
      <c r="C215" s="28"/>
      <c r="H215" s="23"/>
      <c r="AS215" s="999" t="str">
        <f t="shared" ref="AS215:AT218" si="16">I80</f>
        <v>Encargos Serv. Sist. - ESS e Energ. Reserv. – EER</v>
      </c>
      <c r="AT215" s="1000">
        <f t="shared" ca="1" si="16"/>
        <v>598830.8355464706</v>
      </c>
      <c r="AU215" s="1000">
        <f>Resultado!D20</f>
        <v>2838376.3960085167</v>
      </c>
      <c r="AV215" s="1001">
        <f ca="1">IF(AU215=0,0,ROUND(AU215/AT215-1,4))</f>
        <v>3.7399</v>
      </c>
      <c r="AW215" s="1001">
        <f t="shared" ca="1" si="14"/>
        <v>2.5244055856142613E-2</v>
      </c>
      <c r="AX215" s="1001">
        <f t="shared" ref="AX215:AX228" ca="1" si="17">AU215/$AU$226</f>
        <v>2.7391448187382064E-2</v>
      </c>
      <c r="AY215" s="322">
        <f ca="1">IF(AW215=0,0,1)</f>
        <v>1</v>
      </c>
    </row>
    <row r="216" spans="2:51" ht="15" customHeight="1">
      <c r="C216" s="28"/>
      <c r="H216" s="23"/>
      <c r="AS216" s="999" t="str">
        <f t="shared" si="16"/>
        <v>PROINFA</v>
      </c>
      <c r="AT216" s="1000">
        <f t="shared" ca="1" si="16"/>
        <v>1089862.2228940441</v>
      </c>
      <c r="AU216" s="1000">
        <f ca="1">Resultado!D21</f>
        <v>1647722.0493000001</v>
      </c>
      <c r="AV216" s="1001">
        <f ca="1">IF(AU216=0,0,ROUND(AU216/AT216-1,4))</f>
        <v>0.51190000000000002</v>
      </c>
      <c r="AW216" s="1001">
        <f t="shared" ca="1" si="14"/>
        <v>6.2881706299310778E-3</v>
      </c>
      <c r="AX216" s="1001">
        <f t="shared" ca="1" si="17"/>
        <v>1.5901165611466182E-2</v>
      </c>
      <c r="AY216" s="322">
        <f t="shared" ca="1" si="15"/>
        <v>1</v>
      </c>
    </row>
    <row r="217" spans="2:51" ht="15" hidden="1" customHeight="1">
      <c r="B217" s="29"/>
      <c r="C217" s="39"/>
      <c r="H217" s="23"/>
      <c r="AS217" s="999" t="str">
        <f t="shared" si="16"/>
        <v>P&amp;D e Eficiência Energética</v>
      </c>
      <c r="AT217" s="1000">
        <f t="shared" ca="1" si="16"/>
        <v>0</v>
      </c>
      <c r="AU217" s="1000">
        <f>Resultado!D22</f>
        <v>0</v>
      </c>
      <c r="AV217" s="1001">
        <f>IF(AU217=0,0,ROUND(AU217/AT217-1,4))</f>
        <v>0</v>
      </c>
      <c r="AW217" s="1001">
        <f t="shared" ca="1" si="14"/>
        <v>0</v>
      </c>
      <c r="AX217" s="1001">
        <f t="shared" ca="1" si="17"/>
        <v>0</v>
      </c>
      <c r="AY217" s="322">
        <v>0</v>
      </c>
    </row>
    <row r="218" spans="2:51" ht="15" hidden="1" customHeight="1">
      <c r="C218" s="344"/>
      <c r="H218" s="23"/>
      <c r="AS218" s="999" t="str">
        <f t="shared" si="16"/>
        <v>ONS</v>
      </c>
      <c r="AT218" s="1000">
        <f t="shared" ca="1" si="16"/>
        <v>0</v>
      </c>
      <c r="AU218" s="1000">
        <f>Resultado!D23</f>
        <v>0</v>
      </c>
      <c r="AV218" s="1001">
        <f t="shared" si="13"/>
        <v>0</v>
      </c>
      <c r="AW218" s="1001">
        <f t="shared" ca="1" si="14"/>
        <v>0</v>
      </c>
      <c r="AX218" s="1001">
        <f t="shared" ca="1" si="17"/>
        <v>0</v>
      </c>
      <c r="AY218" s="322">
        <v>0</v>
      </c>
    </row>
    <row r="219" spans="2:51" ht="15" customHeight="1">
      <c r="C219" s="311"/>
      <c r="H219" s="23"/>
      <c r="AS219" s="1185" t="s">
        <v>970</v>
      </c>
      <c r="AT219" s="1186">
        <f ca="1">AT220</f>
        <v>18947799.110848572</v>
      </c>
      <c r="AU219" s="1186">
        <f ca="1">AU220</f>
        <v>22086597.211066131</v>
      </c>
      <c r="AV219" s="1187">
        <f ca="1">IF(AU219=0,0,ROUND(AU219/AT219-1,4))</f>
        <v>0.16569999999999999</v>
      </c>
      <c r="AW219" s="1187">
        <f ca="1">AW220</f>
        <v>3.5380389647754695E-2</v>
      </c>
      <c r="AX219" s="1187">
        <f t="shared" ca="1" si="17"/>
        <v>0.21314434688551426</v>
      </c>
      <c r="AY219" s="322">
        <f t="shared" ca="1" si="15"/>
        <v>1</v>
      </c>
    </row>
    <row r="220" spans="2:51" ht="15" customHeight="1">
      <c r="C220" s="311"/>
      <c r="H220" s="23"/>
      <c r="AS220" s="999" t="s">
        <v>924</v>
      </c>
      <c r="AT220" s="1000">
        <f ca="1">J85</f>
        <v>18947799.110848572</v>
      </c>
      <c r="AU220" s="1000">
        <f ca="1">Resultado!D33</f>
        <v>22086597.211066131</v>
      </c>
      <c r="AV220" s="1001">
        <f ca="1">IF(AU220=0,0,ROUND(AU220/AT220-1,4))</f>
        <v>0.16569999999999999</v>
      </c>
      <c r="AW220" s="1001">
        <f ca="1">(AU220-AT220)/$AT$226</f>
        <v>3.5380389647754695E-2</v>
      </c>
      <c r="AX220" s="1001">
        <f t="shared" ca="1" si="17"/>
        <v>0.21314434688551426</v>
      </c>
      <c r="AY220" s="322">
        <f t="shared" ca="1" si="15"/>
        <v>1</v>
      </c>
    </row>
    <row r="221" spans="2:51" ht="15" customHeight="1">
      <c r="AS221" s="1185" t="s">
        <v>971</v>
      </c>
      <c r="AT221" s="1186">
        <f ca="1">SUM(AT222:AT225)</f>
        <v>14742424.798749864</v>
      </c>
      <c r="AU221" s="1186">
        <f>SUM(AU222:AU225)</f>
        <v>14041281.290248398</v>
      </c>
      <c r="AV221" s="1187">
        <f ca="1">IF(AU221=0,0,ROUND(AU221/AT221-1,4))</f>
        <v>-4.7600000000000003E-2</v>
      </c>
      <c r="AW221" s="1187">
        <f ca="1">SUM(AW222:AW225)</f>
        <v>-7.9032577877679571E-3</v>
      </c>
      <c r="AX221" s="1187">
        <f t="shared" ca="1" si="17"/>
        <v>0.13550388506864616</v>
      </c>
      <c r="AY221" s="322">
        <f t="shared" ca="1" si="15"/>
        <v>1</v>
      </c>
    </row>
    <row r="222" spans="2:51" ht="15" hidden="1" customHeight="1">
      <c r="AS222" s="999" t="str">
        <f>Resultado!B25</f>
        <v>Rede Básica</v>
      </c>
      <c r="AT222" s="1000">
        <f ca="1">J87</f>
        <v>0</v>
      </c>
      <c r="AU222" s="1000">
        <f>Resultado!D25</f>
        <v>0</v>
      </c>
      <c r="AV222" s="1001"/>
      <c r="AW222" s="1001">
        <f ca="1">(AU222-AT222)/$AT$226</f>
        <v>0</v>
      </c>
      <c r="AX222" s="1001">
        <f t="shared" ca="1" si="17"/>
        <v>0</v>
      </c>
      <c r="AY222" s="322">
        <f t="shared" ca="1" si="15"/>
        <v>0</v>
      </c>
    </row>
    <row r="223" spans="2:51" ht="15" hidden="1" customHeight="1">
      <c r="AS223" s="999" t="str">
        <f>Resultado!B26</f>
        <v>Rede Básica Fronteira</v>
      </c>
      <c r="AT223" s="1000">
        <f ca="1">J88</f>
        <v>0</v>
      </c>
      <c r="AU223" s="1000">
        <f>Resultado!D26</f>
        <v>0</v>
      </c>
      <c r="AV223" s="1001"/>
      <c r="AW223" s="1001">
        <f ca="1">(AU223-AT223)/$AT$226</f>
        <v>0</v>
      </c>
      <c r="AX223" s="1001">
        <f t="shared" ca="1" si="17"/>
        <v>0</v>
      </c>
      <c r="AY223" s="322">
        <f t="shared" ca="1" si="15"/>
        <v>0</v>
      </c>
    </row>
    <row r="224" spans="2:51" ht="15" hidden="1" customHeight="1">
      <c r="H224" s="23"/>
      <c r="AS224" s="999" t="str">
        <f>Resultado!B31</f>
        <v>Conexão</v>
      </c>
      <c r="AT224" s="1000">
        <f ca="1">J93</f>
        <v>0</v>
      </c>
      <c r="AU224" s="1000">
        <f>Resultado!D31</f>
        <v>0</v>
      </c>
      <c r="AV224" s="1001">
        <f t="shared" si="13"/>
        <v>0</v>
      </c>
      <c r="AW224" s="1001">
        <f ca="1">(AU224-AT224)/$AT$226</f>
        <v>0</v>
      </c>
      <c r="AX224" s="1001">
        <f t="shared" ca="1" si="17"/>
        <v>0</v>
      </c>
      <c r="AY224" s="322">
        <f t="shared" ca="1" si="15"/>
        <v>0</v>
      </c>
    </row>
    <row r="225" spans="2:51" ht="15" customHeight="1">
      <c r="H225" s="23"/>
      <c r="AS225" s="999" t="str">
        <f>Resultado!B32</f>
        <v>Uso do sistema de distribuição</v>
      </c>
      <c r="AT225" s="1000">
        <f ca="1">J94</f>
        <v>14742424.798749864</v>
      </c>
      <c r="AU225" s="1000">
        <f>Resultado!D32</f>
        <v>14041281.290248398</v>
      </c>
      <c r="AV225" s="1001">
        <f ca="1">IF(AU225=0,0,ROUND(AU225/AT225-1,4))</f>
        <v>-4.7600000000000003E-2</v>
      </c>
      <c r="AW225" s="1001">
        <f ca="1">(AU225-AT225)/$AT$226</f>
        <v>-7.9032577877679571E-3</v>
      </c>
      <c r="AX225" s="1001">
        <f t="shared" ca="1" si="17"/>
        <v>0.13550388506864616</v>
      </c>
      <c r="AY225" s="322">
        <f t="shared" ca="1" si="15"/>
        <v>1</v>
      </c>
    </row>
    <row r="226" spans="2:51" ht="15" hidden="1" customHeight="1">
      <c r="C226" s="19"/>
      <c r="AS226" s="1185" t="s">
        <v>972</v>
      </c>
      <c r="AT226" s="1186">
        <f ca="1">Mercado_RA0_Reais</f>
        <v>88715758.403659984</v>
      </c>
      <c r="AU226" s="1186">
        <f ca="1">AU208+AU219+AU221+AU228</f>
        <v>103622721.09862456</v>
      </c>
      <c r="AV226" s="1188"/>
      <c r="AW226" s="1188"/>
      <c r="AX226" s="1187">
        <f t="shared" ca="1" si="17"/>
        <v>1</v>
      </c>
      <c r="AY226" s="322">
        <f t="shared" si="15"/>
        <v>0</v>
      </c>
    </row>
    <row r="227" spans="2:51" ht="15" customHeight="1">
      <c r="C227" s="19"/>
      <c r="AS227" s="1189" t="s">
        <v>973</v>
      </c>
      <c r="AT227" s="1190">
        <f ca="1">AT208+AT219+AT221</f>
        <v>45635797.989838846</v>
      </c>
      <c r="AU227" s="1190">
        <f ca="1">AU208+AU219+AU221</f>
        <v>52253264.118624553</v>
      </c>
      <c r="AV227" s="1191">
        <f ca="1">IF(AU227=0,0,ROUND(AU227/AT227-1,4))</f>
        <v>0.14499999999999999</v>
      </c>
      <c r="AW227" s="1191">
        <f ca="1">(AU227-AT227)/AT226</f>
        <v>7.4591777693834183E-2</v>
      </c>
      <c r="AX227" s="1191">
        <f t="shared" ca="1" si="17"/>
        <v>0.50426454318731595</v>
      </c>
      <c r="AY227" s="322">
        <f t="shared" ca="1" si="15"/>
        <v>1</v>
      </c>
    </row>
    <row r="228" spans="2:51" ht="15" customHeight="1">
      <c r="B228" s="28"/>
      <c r="C228" s="19"/>
      <c r="AS228" s="1189" t="s">
        <v>974</v>
      </c>
      <c r="AT228" s="1190">
        <f ca="1">AT226-AT227</f>
        <v>43079960.413821138</v>
      </c>
      <c r="AU228" s="1190">
        <f>Resultado!D39</f>
        <v>51369456.980000004</v>
      </c>
      <c r="AV228" s="1191">
        <f ca="1">IF(AU228=0,0,ROUND(AU228/AT228-1,4))</f>
        <v>0.19239999999999999</v>
      </c>
      <c r="AW228" s="1191">
        <f ca="1">(AU228-AT228)/AT226</f>
        <v>9.3438828854523787E-2</v>
      </c>
      <c r="AX228" s="1191">
        <f t="shared" ca="1" si="17"/>
        <v>0.49573545681268411</v>
      </c>
      <c r="AY228" s="322">
        <f t="shared" ca="1" si="15"/>
        <v>1</v>
      </c>
    </row>
    <row r="229" spans="2:51" ht="15" customHeight="1">
      <c r="AS229" s="1192" t="str">
        <f>Resultado!B7</f>
        <v>Variação econômica</v>
      </c>
      <c r="AT229" s="1192"/>
      <c r="AU229" s="1192"/>
      <c r="AV229" s="1193"/>
      <c r="AW229" s="1194">
        <f ca="1">ROUND((AU228+AU227)/(AT227+AT228)-1,4)</f>
        <v>0.16800000000000001</v>
      </c>
      <c r="AX229" s="1193"/>
      <c r="AY229" s="322">
        <v>1</v>
      </c>
    </row>
    <row r="230" spans="2:51" ht="15" hidden="1" customHeight="1">
      <c r="AS230" s="1002"/>
      <c r="AT230" s="1002"/>
      <c r="AU230" s="1002"/>
      <c r="AV230" s="1003"/>
      <c r="AW230" s="1004"/>
      <c r="AX230" s="1004"/>
      <c r="AY230" s="322">
        <f t="shared" si="15"/>
        <v>0</v>
      </c>
    </row>
    <row r="231" spans="2:51" ht="15" customHeight="1">
      <c r="AS231" s="1185" t="s">
        <v>975</v>
      </c>
      <c r="AT231" s="1195"/>
      <c r="AU231" s="1195"/>
      <c r="AV231" s="1196"/>
      <c r="AW231" s="1187" t="s">
        <v>976</v>
      </c>
      <c r="AX231" s="1187"/>
      <c r="AY231" s="322">
        <v>1</v>
      </c>
    </row>
    <row r="232" spans="2:51" ht="15" customHeight="1">
      <c r="AS232" s="1005" t="str">
        <f>Financeiros!C9</f>
        <v>Repasse de PIS COFINS</v>
      </c>
      <c r="AT232" s="1005"/>
      <c r="AU232" s="1006">
        <f>LnkTXTPISCOFINS</f>
        <v>1010289.0827403127</v>
      </c>
      <c r="AV232" s="1007"/>
      <c r="AW232" s="1001">
        <f ca="1">AU232/Financeiros!$D$4</f>
        <v>1.1387932661787774E-2</v>
      </c>
      <c r="AX232" s="1004"/>
      <c r="AY232" s="322">
        <f ca="1">IF(AW232=0,0,1)</f>
        <v>1</v>
      </c>
    </row>
    <row r="233" spans="2:51" ht="15" customHeight="1">
      <c r="B233" s="345"/>
      <c r="C233" s="346"/>
      <c r="D233" s="346"/>
      <c r="E233" s="346"/>
      <c r="F233" s="346"/>
      <c r="G233" s="346"/>
      <c r="H233" s="346"/>
      <c r="AS233" s="1005" t="str">
        <f>AM166</f>
        <v>Neutralidade Encargos Setoriais</v>
      </c>
      <c r="AT233" s="1005"/>
      <c r="AU233" s="1006">
        <f ca="1">LnkTXTNeutralidade</f>
        <v>-341663.26673667243</v>
      </c>
      <c r="AV233" s="1007"/>
      <c r="AW233" s="1001">
        <f ca="1">AU233/Financeiros!$D$4</f>
        <v>-3.8512128271743101E-3</v>
      </c>
      <c r="AX233" s="1004"/>
      <c r="AY233" s="322">
        <f t="shared" ref="AY233:AY241" ca="1" si="18">IF(AW233=0,0,1)</f>
        <v>1</v>
      </c>
    </row>
    <row r="234" spans="2:51" ht="15" customHeight="1">
      <c r="B234" s="347"/>
      <c r="C234" s="348"/>
      <c r="D234" s="348"/>
      <c r="E234" s="348"/>
      <c r="F234" s="349"/>
      <c r="G234" s="349"/>
      <c r="H234" s="349"/>
      <c r="AS234" s="1008" t="str">
        <f>AM167</f>
        <v>Neutralidade Financeiros e Encargos Conta Covid</v>
      </c>
      <c r="AT234" s="1008"/>
      <c r="AU234" s="1009">
        <f ca="1">AN167</f>
        <v>-12977.375000485874</v>
      </c>
      <c r="AV234" s="1008"/>
      <c r="AW234" s="1001">
        <f ca="1">AU234/Financeiros!$D$4</f>
        <v>-1.462803816818917E-4</v>
      </c>
      <c r="AX234" s="1004"/>
      <c r="AY234" s="322">
        <f t="shared" ca="1" si="18"/>
        <v>1</v>
      </c>
    </row>
    <row r="235" spans="2:51" ht="15" customHeight="1">
      <c r="B235" s="347"/>
      <c r="C235" s="348"/>
      <c r="D235" s="348"/>
      <c r="E235" s="348"/>
      <c r="F235" s="349"/>
      <c r="G235" s="349"/>
      <c r="H235" s="349"/>
      <c r="AS235" s="1008" t="str">
        <f>AM168</f>
        <v>Neutralidade Crédito Pis Cofins</v>
      </c>
      <c r="AT235" s="1008"/>
      <c r="AU235" s="1009">
        <f ca="1">AN168</f>
        <v>62764.5567162558</v>
      </c>
      <c r="AV235" s="1007"/>
      <c r="AW235" s="1001">
        <f ca="1">AU235/Financeiros!$D$4</f>
        <v>7.0747923306561553E-4</v>
      </c>
      <c r="AX235" s="1004"/>
      <c r="AY235" s="322">
        <f t="shared" ca="1" si="18"/>
        <v>1</v>
      </c>
    </row>
    <row r="236" spans="2:51" ht="15" hidden="1" customHeight="1">
      <c r="B236" s="347"/>
      <c r="C236" s="348"/>
      <c r="D236" s="348"/>
      <c r="E236" s="348"/>
      <c r="F236" s="349"/>
      <c r="G236" s="349"/>
      <c r="H236" s="349"/>
      <c r="AS236" s="1008" t="str">
        <f t="shared" ref="AS236:AS243" si="19">AM170</f>
        <v>Ajuste CUST + PISCONFINS Transmissão</v>
      </c>
      <c r="AT236" s="1008"/>
      <c r="AU236" s="1009">
        <f t="shared" ref="AU236:AU243" si="20">AN170</f>
        <v>0</v>
      </c>
      <c r="AV236" s="1007"/>
      <c r="AW236" s="1001">
        <f ca="1">AU236/Financeiros!$D$4</f>
        <v>0</v>
      </c>
      <c r="AX236" s="1004"/>
      <c r="AY236" s="322">
        <f t="shared" ca="1" si="18"/>
        <v>0</v>
      </c>
    </row>
    <row r="237" spans="2:51" ht="15" customHeight="1">
      <c r="B237" s="347"/>
      <c r="C237" s="348"/>
      <c r="D237" s="348"/>
      <c r="E237" s="348"/>
      <c r="F237" s="349"/>
      <c r="G237" s="349"/>
      <c r="H237" s="349"/>
      <c r="AS237" s="1008" t="str">
        <f t="shared" si="19"/>
        <v>Compensação DIC FIC</v>
      </c>
      <c r="AT237" s="1008"/>
      <c r="AU237" s="1009">
        <f t="shared" si="20"/>
        <v>-240275.83418137633</v>
      </c>
      <c r="AV237" s="1007"/>
      <c r="AW237" s="1001">
        <f ca="1">AU237/Financeiros!$D$4</f>
        <v>-2.7083782915782828E-3</v>
      </c>
      <c r="AX237" s="1004"/>
      <c r="AY237" s="322">
        <f t="shared" ca="1" si="18"/>
        <v>1</v>
      </c>
    </row>
    <row r="238" spans="2:51" ht="15" customHeight="1">
      <c r="B238" s="347"/>
      <c r="C238" s="348"/>
      <c r="D238" s="348"/>
      <c r="E238" s="348"/>
      <c r="F238" s="349"/>
      <c r="G238" s="349"/>
      <c r="H238" s="349"/>
      <c r="AS238" s="1008" t="str">
        <f t="shared" si="19"/>
        <v>Subvenção CDE</v>
      </c>
      <c r="AT238" s="1008"/>
      <c r="AU238" s="1009">
        <f t="shared" ca="1" si="20"/>
        <v>-20761269.154540893</v>
      </c>
      <c r="AV238" s="1007"/>
      <c r="AW238" s="1001">
        <f ca="1">AU238/Financeiros!$D$4</f>
        <v>-0.23402008310717864</v>
      </c>
      <c r="AX238" s="1004"/>
      <c r="AY238" s="322">
        <f t="shared" ca="1" si="18"/>
        <v>1</v>
      </c>
    </row>
    <row r="239" spans="2:51" ht="15" hidden="1" customHeight="1">
      <c r="B239" s="347"/>
      <c r="C239" s="348"/>
      <c r="D239" s="348"/>
      <c r="E239" s="348"/>
      <c r="F239" s="349"/>
      <c r="G239" s="349"/>
      <c r="H239" s="349"/>
      <c r="AS239" s="1008" t="str">
        <f t="shared" si="19"/>
        <v>Retenção de Adicionais de Bandeiras Tarifárias</v>
      </c>
      <c r="AT239" s="1008"/>
      <c r="AU239" s="1009">
        <f t="shared" si="20"/>
        <v>0</v>
      </c>
      <c r="AV239" s="1007"/>
      <c r="AW239" s="1001">
        <f ca="1">AU239/Financeiros!$D$4</f>
        <v>0</v>
      </c>
      <c r="AX239" s="1004"/>
      <c r="AY239" s="322">
        <f t="shared" ca="1" si="18"/>
        <v>0</v>
      </c>
    </row>
    <row r="240" spans="2:51" ht="15" hidden="1" customHeight="1">
      <c r="B240" s="347"/>
      <c r="C240" s="348"/>
      <c r="D240" s="348"/>
      <c r="E240" s="348"/>
      <c r="F240" s="349"/>
      <c r="G240" s="349"/>
      <c r="H240" s="349"/>
      <c r="AS240" s="1008" t="str">
        <f t="shared" si="19"/>
        <v>Conta Covid-19</v>
      </c>
      <c r="AT240" s="1008"/>
      <c r="AU240" s="1009">
        <f t="shared" si="20"/>
        <v>0</v>
      </c>
      <c r="AV240" s="1007"/>
      <c r="AW240" s="1001">
        <f ca="1">AU240/Financeiros!$D$4</f>
        <v>0</v>
      </c>
      <c r="AX240" s="1004"/>
      <c r="AY240" s="322">
        <f t="shared" ca="1" si="18"/>
        <v>0</v>
      </c>
    </row>
    <row r="241" spans="2:51" ht="15" hidden="1" customHeight="1">
      <c r="B241" s="347"/>
      <c r="C241" s="348"/>
      <c r="D241" s="348"/>
      <c r="E241" s="348"/>
      <c r="F241" s="349"/>
      <c r="G241" s="349"/>
      <c r="H241" s="349"/>
      <c r="AS241" s="1008" t="str">
        <f t="shared" si="19"/>
        <v>Repasse de ICMS</v>
      </c>
      <c r="AT241" s="1008"/>
      <c r="AU241" s="1009">
        <f t="shared" si="20"/>
        <v>0</v>
      </c>
      <c r="AV241" s="1007"/>
      <c r="AW241" s="1001">
        <f ca="1">AU241/Financeiros!$D$4</f>
        <v>0</v>
      </c>
      <c r="AX241" s="1004"/>
      <c r="AY241" s="322">
        <f t="shared" ca="1" si="18"/>
        <v>0</v>
      </c>
    </row>
    <row r="242" spans="2:51" ht="15" hidden="1" customHeight="1">
      <c r="B242" s="347"/>
      <c r="C242" s="348"/>
      <c r="D242" s="348"/>
      <c r="E242" s="348"/>
      <c r="F242" s="349"/>
      <c r="G242" s="349"/>
      <c r="H242" s="349"/>
      <c r="AS242" s="1008" t="str">
        <f t="shared" si="19"/>
        <v>Crédito Pis Cofins sobre ICMS</v>
      </c>
      <c r="AT242" s="1008"/>
      <c r="AU242" s="1009">
        <f t="shared" si="20"/>
        <v>0</v>
      </c>
      <c r="AV242" s="1007"/>
      <c r="AW242" s="1001">
        <f ca="1">AU242/Financeiros!$D$4</f>
        <v>0</v>
      </c>
      <c r="AX242" s="1004"/>
      <c r="AY242" s="992">
        <f ca="1">IF(AW242=0,0,1)</f>
        <v>0</v>
      </c>
    </row>
    <row r="243" spans="2:51" ht="15" customHeight="1">
      <c r="B243" s="347"/>
      <c r="C243" s="348"/>
      <c r="D243" s="348"/>
      <c r="E243" s="348"/>
      <c r="F243" s="349"/>
      <c r="G243" s="349"/>
      <c r="H243" s="349"/>
      <c r="AS243" s="1008" t="str">
        <f t="shared" si="19"/>
        <v>Previsão de Risco Hidrologico</v>
      </c>
      <c r="AT243" s="1008"/>
      <c r="AU243" s="1009">
        <f t="shared" si="20"/>
        <v>1682963.5960436226</v>
      </c>
      <c r="AV243" s="1007"/>
      <c r="AW243" s="1001">
        <f ca="1">AU243/Financeiros!$D$4</f>
        <v>1.8970289228505223E-2</v>
      </c>
      <c r="AX243" s="1004"/>
      <c r="AY243" s="992">
        <f t="shared" ref="AY243:AY245" ca="1" si="21">IF(AW243=0,0,1)</f>
        <v>1</v>
      </c>
    </row>
    <row r="244" spans="2:51" ht="15" customHeight="1">
      <c r="B244" s="347"/>
      <c r="C244" s="348"/>
      <c r="D244" s="348"/>
      <c r="E244" s="348"/>
      <c r="F244" s="349"/>
      <c r="G244" s="349"/>
      <c r="H244" s="349"/>
      <c r="AS244" s="1008" t="str">
        <f t="shared" ref="AS244:AS260" si="22">AM178</f>
        <v>Reversão da Previsão de Risco Hidrologico</v>
      </c>
      <c r="AT244" s="1008"/>
      <c r="AU244" s="1009">
        <f t="shared" ref="AU244:AU260" si="23">AN178</f>
        <v>-2077950.0823306313</v>
      </c>
      <c r="AV244" s="1007"/>
      <c r="AW244" s="1001">
        <f ca="1">AU244/Financeiros!$D$4</f>
        <v>-2.3422558964957291E-2</v>
      </c>
      <c r="AX244" s="1004"/>
      <c r="AY244" s="992">
        <f t="shared" ca="1" si="21"/>
        <v>1</v>
      </c>
    </row>
    <row r="245" spans="2:51" ht="15" hidden="1" customHeight="1">
      <c r="B245" s="347"/>
      <c r="C245" s="348"/>
      <c r="D245" s="348"/>
      <c r="E245" s="348"/>
      <c r="F245" s="349"/>
      <c r="G245" s="349"/>
      <c r="H245" s="349"/>
      <c r="AS245" s="1008" t="str">
        <f t="shared" si="22"/>
        <v>Efeito COVID da Supridora</v>
      </c>
      <c r="AT245" s="1008"/>
      <c r="AU245" s="1009">
        <f t="shared" si="23"/>
        <v>0</v>
      </c>
      <c r="AV245" s="1007"/>
      <c r="AW245" s="1001">
        <f ca="1">AU245/Financeiros!$D$4</f>
        <v>0</v>
      </c>
      <c r="AX245" s="1004"/>
      <c r="AY245" s="992">
        <f t="shared" ca="1" si="21"/>
        <v>0</v>
      </c>
    </row>
    <row r="246" spans="2:51" ht="15" hidden="1" customHeight="1">
      <c r="B246" s="347"/>
      <c r="C246" s="348"/>
      <c r="D246" s="348"/>
      <c r="E246" s="348"/>
      <c r="F246" s="349"/>
      <c r="G246" s="349"/>
      <c r="H246" s="349"/>
      <c r="AS246" s="1008" t="str">
        <f t="shared" si="22"/>
        <v>Diferimento Pis Cofins</v>
      </c>
      <c r="AT246" s="1008"/>
      <c r="AU246" s="1009">
        <f t="shared" si="23"/>
        <v>0</v>
      </c>
      <c r="AV246" s="1007"/>
      <c r="AW246" s="1001">
        <f ca="1">AU246/Financeiros!$D$4</f>
        <v>0</v>
      </c>
      <c r="AX246" s="1004"/>
      <c r="AY246" s="992">
        <f t="shared" ref="AY246:AY250" ca="1" si="24">IF(AW246=0,0,1)</f>
        <v>0</v>
      </c>
    </row>
    <row r="247" spans="2:51" ht="15" customHeight="1">
      <c r="B247" s="347"/>
      <c r="C247" s="348"/>
      <c r="D247" s="348"/>
      <c r="E247" s="348"/>
      <c r="F247" s="349"/>
      <c r="G247" s="349"/>
      <c r="H247" s="349"/>
      <c r="AS247" s="1008" t="str">
        <f t="shared" si="22"/>
        <v>Financeiros associados ao §7º do Art. 88 da Ren 414/2021</v>
      </c>
      <c r="AT247" s="1008"/>
      <c r="AU247" s="1009">
        <f t="shared" si="23"/>
        <v>-4199.08</v>
      </c>
      <c r="AV247" s="1007"/>
      <c r="AW247" s="1001">
        <f ca="1">AU247/Financeiros!$D$4</f>
        <v>-4.7331839072986681E-5</v>
      </c>
      <c r="AX247" s="1004"/>
      <c r="AY247" s="992">
        <f t="shared" ref="AY247:AY249" ca="1" si="25">IF(AW247=0,0,1)</f>
        <v>1</v>
      </c>
    </row>
    <row r="248" spans="2:51" ht="15" customHeight="1">
      <c r="B248" s="347"/>
      <c r="C248" s="348"/>
      <c r="D248" s="348"/>
      <c r="E248" s="348"/>
      <c r="F248" s="349"/>
      <c r="G248" s="349"/>
      <c r="H248" s="349"/>
      <c r="AS248" s="1008" t="str">
        <f t="shared" si="22"/>
        <v>Spread Conta Covid</v>
      </c>
      <c r="AT248" s="1008"/>
      <c r="AU248" s="1009">
        <f t="shared" si="23"/>
        <v>-94838.229139715273</v>
      </c>
      <c r="AV248" s="1007"/>
      <c r="AW248" s="1001">
        <f ca="1">AU248/Financeiros!$D$4</f>
        <v>-1.0690122121055181E-3</v>
      </c>
      <c r="AX248" s="1004"/>
      <c r="AY248" s="992">
        <f t="shared" ca="1" si="25"/>
        <v>1</v>
      </c>
    </row>
    <row r="249" spans="2:51" ht="15" hidden="1" customHeight="1">
      <c r="B249" s="347"/>
      <c r="C249" s="348"/>
      <c r="D249" s="348"/>
      <c r="E249" s="348"/>
      <c r="F249" s="349"/>
      <c r="G249" s="349"/>
      <c r="H249" s="349"/>
      <c r="AS249" s="1008">
        <f t="shared" si="22"/>
        <v>0</v>
      </c>
      <c r="AT249" s="1008"/>
      <c r="AU249" s="1009">
        <f t="shared" si="23"/>
        <v>0</v>
      </c>
      <c r="AV249" s="1007"/>
      <c r="AW249" s="1001">
        <f ca="1">AU249/Financeiros!$D$4</f>
        <v>0</v>
      </c>
      <c r="AX249" s="1004"/>
      <c r="AY249" s="992">
        <f t="shared" ca="1" si="25"/>
        <v>0</v>
      </c>
    </row>
    <row r="250" spans="2:51" ht="15" hidden="1" customHeight="1">
      <c r="B250" s="347"/>
      <c r="C250" s="348"/>
      <c r="D250" s="348"/>
      <c r="E250" s="348"/>
      <c r="F250" s="349"/>
      <c r="G250" s="349"/>
      <c r="H250" s="349"/>
      <c r="AS250" s="1008">
        <f t="shared" si="22"/>
        <v>0</v>
      </c>
      <c r="AT250" s="1008"/>
      <c r="AU250" s="1009">
        <f t="shared" si="23"/>
        <v>0</v>
      </c>
      <c r="AV250" s="1007"/>
      <c r="AW250" s="1001">
        <f ca="1">AU250/Financeiros!$D$4</f>
        <v>0</v>
      </c>
      <c r="AX250" s="1004"/>
      <c r="AY250" s="992">
        <f t="shared" ca="1" si="24"/>
        <v>0</v>
      </c>
    </row>
    <row r="251" spans="2:51" ht="15" hidden="1" customHeight="1">
      <c r="B251" s="347"/>
      <c r="C251" s="348"/>
      <c r="D251" s="348"/>
      <c r="E251" s="348"/>
      <c r="F251" s="349"/>
      <c r="G251" s="349"/>
      <c r="H251" s="349"/>
      <c r="AS251" s="1008">
        <f t="shared" si="22"/>
        <v>0</v>
      </c>
      <c r="AT251" s="1008"/>
      <c r="AU251" s="1009">
        <f t="shared" si="23"/>
        <v>0</v>
      </c>
      <c r="AV251" s="1007"/>
      <c r="AW251" s="1001">
        <f ca="1">AU251/Financeiros!$D$4</f>
        <v>0</v>
      </c>
      <c r="AX251" s="1004"/>
      <c r="AY251" s="992">
        <f t="shared" ref="AY251:AY252" ca="1" si="26">IF(AW251=0,0,1)</f>
        <v>0</v>
      </c>
    </row>
    <row r="252" spans="2:51" ht="15" hidden="1" customHeight="1">
      <c r="B252" s="347"/>
      <c r="C252" s="348"/>
      <c r="D252" s="348"/>
      <c r="E252" s="348"/>
      <c r="F252" s="349"/>
      <c r="G252" s="349"/>
      <c r="H252" s="349"/>
      <c r="AS252" s="1008">
        <f t="shared" si="22"/>
        <v>0</v>
      </c>
      <c r="AT252" s="1008"/>
      <c r="AU252" s="1009">
        <f t="shared" si="23"/>
        <v>0</v>
      </c>
      <c r="AV252" s="1007"/>
      <c r="AW252" s="1001">
        <f ca="1">AU252/Financeiros!$D$4</f>
        <v>0</v>
      </c>
      <c r="AX252" s="1004"/>
      <c r="AY252" s="992">
        <f t="shared" ca="1" si="26"/>
        <v>0</v>
      </c>
    </row>
    <row r="253" spans="2:51" ht="15" hidden="1" customHeight="1">
      <c r="B253" s="347"/>
      <c r="C253" s="348"/>
      <c r="D253" s="348"/>
      <c r="E253" s="348"/>
      <c r="F253" s="349"/>
      <c r="G253" s="349"/>
      <c r="H253" s="349"/>
      <c r="AS253" s="1008">
        <f t="shared" si="22"/>
        <v>0</v>
      </c>
      <c r="AT253" s="1008"/>
      <c r="AU253" s="1009">
        <f t="shared" si="23"/>
        <v>0</v>
      </c>
      <c r="AV253" s="1007"/>
      <c r="AW253" s="1001">
        <f ca="1">AU253/Financeiros!$D$4</f>
        <v>0</v>
      </c>
      <c r="AX253" s="1004"/>
      <c r="AY253" s="992">
        <f t="shared" ref="AY253:AY260" ca="1" si="27">IF(AW253=0,0,1)</f>
        <v>0</v>
      </c>
    </row>
    <row r="254" spans="2:51" ht="15" customHeight="1">
      <c r="B254" s="347"/>
      <c r="C254" s="348"/>
      <c r="D254" s="348"/>
      <c r="E254" s="348"/>
      <c r="F254" s="349"/>
      <c r="G254" s="349"/>
      <c r="H254" s="349"/>
      <c r="AS254" s="1008" t="str">
        <f t="shared" si="22"/>
        <v>CVE Energia</v>
      </c>
      <c r="AT254" s="1008"/>
      <c r="AU254" s="1009">
        <f t="shared" ca="1" si="23"/>
        <v>351442.16209999996</v>
      </c>
      <c r="AV254" s="1007"/>
      <c r="AW254" s="1001">
        <f ca="1">AU254/Financeiros!$D$4</f>
        <v>3.9614400916342853E-3</v>
      </c>
      <c r="AX254" s="1004"/>
      <c r="AY254" s="992">
        <f t="shared" ca="1" si="27"/>
        <v>1</v>
      </c>
    </row>
    <row r="255" spans="2:51" ht="15" customHeight="1">
      <c r="B255" s="347"/>
      <c r="C255" s="348"/>
      <c r="D255" s="348"/>
      <c r="E255" s="348"/>
      <c r="F255" s="349"/>
      <c r="G255" s="349"/>
      <c r="H255" s="349"/>
      <c r="AS255" s="1008" t="str">
        <f t="shared" si="22"/>
        <v>CVE Encargos</v>
      </c>
      <c r="AT255" s="1008"/>
      <c r="AU255" s="1009">
        <f t="shared" si="23"/>
        <v>2353444.7437</v>
      </c>
      <c r="AV255" s="1007"/>
      <c r="AW255" s="1001">
        <f ca="1">AU255/Financeiros!$D$4</f>
        <v>2.6527922277254729E-2</v>
      </c>
      <c r="AX255" s="1004"/>
      <c r="AY255" s="992">
        <f t="shared" ca="1" si="27"/>
        <v>1</v>
      </c>
    </row>
    <row r="256" spans="2:51" ht="15" customHeight="1">
      <c r="B256" s="347"/>
      <c r="C256" s="348"/>
      <c r="D256" s="348"/>
      <c r="E256" s="348"/>
      <c r="F256" s="349"/>
      <c r="G256" s="349"/>
      <c r="H256" s="349"/>
      <c r="AS256" s="1008" t="str">
        <f t="shared" si="22"/>
        <v>Conta Escassez H. - Imp jul- ago/2021</v>
      </c>
      <c r="AT256" s="1008"/>
      <c r="AU256" s="1009">
        <f t="shared" ca="1" si="23"/>
        <v>-202370.23245632171</v>
      </c>
      <c r="AV256" s="1007"/>
      <c r="AW256" s="1001">
        <f ca="1">AU256/Financeiros!$D$4</f>
        <v>-2.2811080702881403E-3</v>
      </c>
      <c r="AX256" s="1004"/>
      <c r="AY256" s="992">
        <f t="shared" ca="1" si="27"/>
        <v>1</v>
      </c>
    </row>
    <row r="257" spans="2:84" ht="15" customHeight="1">
      <c r="B257" s="347"/>
      <c r="C257" s="348"/>
      <c r="D257" s="348"/>
      <c r="E257" s="348"/>
      <c r="F257" s="349"/>
      <c r="G257" s="349"/>
      <c r="H257" s="349"/>
      <c r="AS257" s="1008" t="str">
        <f t="shared" si="22"/>
        <v>Conta Escassez H. - Bônus Red. Voluntária</v>
      </c>
      <c r="AT257" s="1008"/>
      <c r="AU257" s="1009">
        <f t="shared" si="23"/>
        <v>-717784.45185218251</v>
      </c>
      <c r="AV257" s="1007"/>
      <c r="AW257" s="1001">
        <f ca="1">AU257/Financeiros!$D$4</f>
        <v>-8.0908337455250813E-3</v>
      </c>
      <c r="AX257" s="1004"/>
      <c r="AY257" s="992">
        <f t="shared" ca="1" si="27"/>
        <v>1</v>
      </c>
    </row>
    <row r="258" spans="2:84" ht="15" hidden="1" customHeight="1">
      <c r="B258" s="347"/>
      <c r="C258" s="348"/>
      <c r="D258" s="348"/>
      <c r="E258" s="348"/>
      <c r="F258" s="349"/>
      <c r="G258" s="349"/>
      <c r="H258" s="349"/>
      <c r="AS258" s="1008" t="str">
        <f t="shared" si="22"/>
        <v>Conta Escassez H. - Diferimento</v>
      </c>
      <c r="AT258" s="1008"/>
      <c r="AU258" s="1009">
        <f t="shared" ca="1" si="23"/>
        <v>0</v>
      </c>
      <c r="AV258" s="1007"/>
      <c r="AW258" s="1001">
        <f ca="1">AU258/Financeiros!$D$4</f>
        <v>0</v>
      </c>
      <c r="AX258" s="1004"/>
      <c r="AY258" s="992">
        <f t="shared" ca="1" si="27"/>
        <v>0</v>
      </c>
    </row>
    <row r="259" spans="2:84" ht="15" customHeight="1">
      <c r="B259" s="347"/>
      <c r="C259" s="348"/>
      <c r="D259" s="348"/>
      <c r="E259" s="348"/>
      <c r="F259" s="349"/>
      <c r="G259" s="349"/>
      <c r="H259" s="349"/>
      <c r="AS259" s="1008" t="str">
        <f t="shared" si="22"/>
        <v>Sobrecontratação/Reversão de Energia</v>
      </c>
      <c r="AT259" s="1008"/>
      <c r="AU259" s="1009">
        <f t="shared" ca="1" si="23"/>
        <v>-1121780.2466999998</v>
      </c>
      <c r="AV259" s="1007"/>
      <c r="AW259" s="1001">
        <f ca="1">AU259/Financeiros!$D$4</f>
        <v>-1.2644655998947313E-2</v>
      </c>
      <c r="AX259" s="1004"/>
      <c r="AY259" s="992">
        <f t="shared" ca="1" si="27"/>
        <v>1</v>
      </c>
    </row>
    <row r="260" spans="2:84" ht="15" hidden="1" customHeight="1">
      <c r="B260" s="347"/>
      <c r="C260" s="348"/>
      <c r="D260" s="348"/>
      <c r="E260" s="348"/>
      <c r="F260" s="349"/>
      <c r="G260" s="349"/>
      <c r="H260" s="349"/>
      <c r="AS260" s="1008">
        <f t="shared" si="22"/>
        <v>0</v>
      </c>
      <c r="AT260" s="1008"/>
      <c r="AU260" s="1009">
        <f t="shared" si="23"/>
        <v>0</v>
      </c>
      <c r="AV260" s="1007"/>
      <c r="AW260" s="1001">
        <f ca="1">AU260/Financeiros!$D$4</f>
        <v>0</v>
      </c>
      <c r="AX260" s="1004"/>
      <c r="AY260" s="992">
        <f t="shared" ca="1" si="27"/>
        <v>0</v>
      </c>
    </row>
    <row r="261" spans="2:84" ht="15" customHeight="1">
      <c r="B261" s="347"/>
      <c r="C261" s="350"/>
      <c r="D261" s="350"/>
      <c r="E261" s="348"/>
      <c r="F261" s="349"/>
      <c r="G261" s="349"/>
      <c r="H261" s="349"/>
      <c r="AS261" s="1192" t="s">
        <v>977</v>
      </c>
      <c r="AT261" s="1192"/>
      <c r="AU261" s="1197">
        <f ca="1">SUM(AU232:AU260)</f>
        <v>-20114203.811638087</v>
      </c>
      <c r="AV261" s="1198"/>
      <c r="AW261" s="1198">
        <f ca="1">ROUND(SUM(AW232:AW260),4)</f>
        <v>-0.22670000000000001</v>
      </c>
      <c r="AX261" s="1198"/>
      <c r="AY261" s="322">
        <v>1</v>
      </c>
    </row>
    <row r="262" spans="2:84" ht="15" customHeight="1">
      <c r="B262" s="347"/>
      <c r="C262" s="348"/>
      <c r="D262" s="348"/>
      <c r="E262" s="348"/>
      <c r="F262" s="349"/>
      <c r="G262" s="349"/>
      <c r="H262" s="349"/>
      <c r="AS262" s="1199" t="str">
        <f>Resultado!B9</f>
        <v>Variação econômica e financeira</v>
      </c>
      <c r="AT262" s="1199"/>
      <c r="AU262" s="1199"/>
      <c r="AV262" s="1200"/>
      <c r="AW262" s="1200">
        <f ca="1">ROUND(AW229+AW261,4)</f>
        <v>-5.8700000000000002E-2</v>
      </c>
      <c r="AX262" s="1200"/>
      <c r="AY262" s="322">
        <v>1</v>
      </c>
    </row>
    <row r="263" spans="2:84" ht="15" customHeight="1">
      <c r="B263" s="347"/>
      <c r="C263" s="351"/>
      <c r="D263" s="347"/>
      <c r="E263" s="348"/>
      <c r="F263" s="349"/>
      <c r="G263" s="349"/>
      <c r="H263" s="352"/>
      <c r="AS263" s="1192" t="s">
        <v>978</v>
      </c>
      <c r="AT263" s="1192"/>
      <c r="AU263" s="1192"/>
      <c r="AV263" s="1192"/>
      <c r="AW263" s="1201">
        <f ca="1">ROUND(AW265-AW262,4)</f>
        <v>0.31259999999999999</v>
      </c>
      <c r="AX263" s="1201"/>
      <c r="AY263" s="322">
        <v>1</v>
      </c>
    </row>
    <row r="264" spans="2:84" ht="26.25" hidden="1" customHeight="1">
      <c r="B264" s="347"/>
      <c r="C264" s="351"/>
      <c r="D264" s="347"/>
      <c r="E264" s="348"/>
      <c r="F264" s="349"/>
      <c r="G264" s="349"/>
      <c r="H264" s="352"/>
      <c r="AS264" s="1202" t="s">
        <v>979</v>
      </c>
      <c r="AT264" s="1202"/>
      <c r="AU264" s="1197"/>
      <c r="AV264" s="1197"/>
      <c r="AW264" s="1203">
        <v>0</v>
      </c>
      <c r="AX264" s="1204"/>
      <c r="AY264" s="322">
        <f t="shared" si="15"/>
        <v>0</v>
      </c>
      <c r="BA264" s="797"/>
    </row>
    <row r="265" spans="2:84" ht="15" customHeight="1">
      <c r="B265" s="347"/>
      <c r="C265" s="351"/>
      <c r="D265" s="351"/>
      <c r="E265" s="348"/>
      <c r="F265" s="349"/>
      <c r="G265" s="349"/>
      <c r="H265" s="353"/>
      <c r="AS265" s="1787" t="s">
        <v>980</v>
      </c>
      <c r="AT265" s="1787"/>
      <c r="AU265" s="1787"/>
      <c r="AV265" s="1787"/>
      <c r="AW265" s="1200">
        <f>Resultado!L5</f>
        <v>0.25388708845325225</v>
      </c>
      <c r="AX265" s="1200"/>
      <c r="AY265" s="322"/>
    </row>
    <row r="266" spans="2:84" ht="15" customHeight="1">
      <c r="AW266" s="799"/>
      <c r="BA266" s="1181" t="s">
        <v>981</v>
      </c>
      <c r="BB266" s="30" t="s">
        <v>982</v>
      </c>
      <c r="BC266" s="30"/>
      <c r="BD266" s="30"/>
      <c r="BE266" s="30"/>
      <c r="BF266" s="30"/>
      <c r="BG266" s="30"/>
      <c r="BH266" s="307" t="s">
        <v>901</v>
      </c>
      <c r="BI266" s="307" t="s">
        <v>901</v>
      </c>
    </row>
    <row r="267" spans="2:84" ht="45" customHeight="1">
      <c r="AU267" s="424"/>
      <c r="BA267" s="1010" t="s">
        <v>983</v>
      </c>
      <c r="BB267" s="1010" t="str">
        <f>"Cobertura "&amp;YEAR(CAPA!C14)&amp;"/"&amp;YEAR(CAPA!C14)+1</f>
        <v>Cobertura 2021/2022</v>
      </c>
      <c r="BC267" s="1010" t="str">
        <f>"Cobertura "&amp;YEAR(CAPA!C14)&amp;"/"&amp;YEAR(CAPA!C14)+1&amp;" Atualizada"</f>
        <v>Cobertura 2021/2022 Atualizada</v>
      </c>
      <c r="BD267" s="1010" t="s">
        <v>984</v>
      </c>
      <c r="BE267" s="1010" t="s">
        <v>985</v>
      </c>
      <c r="BF267" s="1010" t="s">
        <v>986</v>
      </c>
      <c r="BG267" s="1010" t="str">
        <f>"Previsão "&amp;YEAR(CAPA!C14)+1&amp;"/"&amp;YEAR(CAPA!C14)+2</f>
        <v>Previsão 2022/2023</v>
      </c>
      <c r="BH267" s="1010" t="str">
        <f>"Previsão "&amp;YEAR(CAPA!C14)+1&amp;"/"&amp;YEAR(CAPA!C14)+2&amp;" + Diferença"</f>
        <v>Previsão 2022/2023 + Diferença</v>
      </c>
      <c r="BI267" s="354" t="str">
        <f>"Previsão "&amp;YEAR(CAPA!C14)+1&amp;"/"&amp;YEAR(CAPA!C14)+2&amp;" Atualizada"&amp;" + Diferença (Mensal)"</f>
        <v>Previsão 2022/2023 Atualizada + Diferença (Mensal)</v>
      </c>
      <c r="BJ267" s="419" t="s">
        <v>856</v>
      </c>
    </row>
    <row r="268" spans="2:84" ht="15" hidden="1" customHeight="1">
      <c r="B268" s="355"/>
      <c r="C268" s="355"/>
      <c r="D268" s="355"/>
      <c r="E268" s="355"/>
      <c r="BA268" s="447" t="str">
        <f>BO288</f>
        <v>Subsidio Carga Fonte Incentivada</v>
      </c>
      <c r="BB268" s="1011" t="e">
        <f>Indexador!#REF!</f>
        <v>#REF!</v>
      </c>
      <c r="BC268" s="1011" t="e">
        <f>Indexador!#REF!</f>
        <v>#REF!</v>
      </c>
      <c r="BD268" s="1011" t="e">
        <f>Indexador!#REF!</f>
        <v>#REF!</v>
      </c>
      <c r="BE268" s="1011" t="e">
        <f>Indexador!#REF!</f>
        <v>#REF!</v>
      </c>
      <c r="BF268" s="1011">
        <f>BP288</f>
        <v>0</v>
      </c>
      <c r="BG268" s="1011">
        <f t="shared" ref="BG268:BH273" si="28">BQ288</f>
        <v>0</v>
      </c>
      <c r="BH268" s="1011">
        <f t="shared" si="28"/>
        <v>0</v>
      </c>
      <c r="BI268" s="356" t="e">
        <f>Indexador!#REF!</f>
        <v>#REF!</v>
      </c>
      <c r="BJ268" s="337">
        <f t="shared" ref="BJ268:BJ274" si="29">IF(BH268=0,0,1)</f>
        <v>0</v>
      </c>
    </row>
    <row r="269" spans="2:84" ht="15" customHeight="1">
      <c r="B269" s="347"/>
      <c r="C269" s="348"/>
      <c r="D269" s="348"/>
      <c r="E269" s="21"/>
      <c r="AZ269" s="357"/>
      <c r="BA269" s="1719" t="str">
        <f>BO289</f>
        <v>Subsidio Geração Fonte Incentivada</v>
      </c>
      <c r="BB269" s="1720" t="e">
        <f>Indexador!#REF!</f>
        <v>#REF!</v>
      </c>
      <c r="BC269" s="1720" t="e">
        <f>Indexador!#REF!</f>
        <v>#REF!</v>
      </c>
      <c r="BD269" s="1720" t="e">
        <f>Indexador!#REF!</f>
        <v>#REF!</v>
      </c>
      <c r="BE269" s="1720" t="e">
        <f>Indexador!#REF!</f>
        <v>#REF!</v>
      </c>
      <c r="BF269" s="1721">
        <f t="shared" ref="BF269:BF273" si="30">BP289</f>
        <v>197.61129281364506</v>
      </c>
      <c r="BG269" s="1721">
        <f t="shared" si="28"/>
        <v>28803.210192426533</v>
      </c>
      <c r="BH269" s="1721">
        <f t="shared" si="28"/>
        <v>29000.82148524018</v>
      </c>
      <c r="BI269" s="356" t="e">
        <f>Indexador!#REF!</f>
        <v>#REF!</v>
      </c>
      <c r="BJ269" s="337">
        <f t="shared" si="29"/>
        <v>1</v>
      </c>
      <c r="BK269" s="358"/>
      <c r="BL269" s="358"/>
      <c r="BM269" s="358"/>
      <c r="BN269" s="358"/>
      <c r="BO269" s="358"/>
      <c r="BP269" s="358"/>
      <c r="BQ269" s="358"/>
      <c r="BR269" s="358"/>
      <c r="BS269" s="358"/>
      <c r="BT269" s="358"/>
      <c r="BU269" s="357"/>
      <c r="BV269" s="357"/>
      <c r="BW269" s="357"/>
      <c r="BX269" s="357"/>
      <c r="BY269" s="357"/>
      <c r="BZ269" s="357"/>
      <c r="CA269" s="357"/>
      <c r="CB269" s="357"/>
      <c r="CC269" s="357"/>
      <c r="CD269" s="357"/>
      <c r="CE269" s="357"/>
      <c r="CF269" s="357"/>
    </row>
    <row r="270" spans="2:84" ht="15" hidden="1" customHeight="1">
      <c r="B270" s="347"/>
      <c r="C270" s="348"/>
      <c r="D270" s="348"/>
      <c r="E270" s="21"/>
      <c r="AZ270" s="357"/>
      <c r="BA270" s="1719" t="str">
        <f t="shared" ref="BA270:BA273" si="31">BO290</f>
        <v>Subsidio Distribuição</v>
      </c>
      <c r="BB270" s="1720" t="e">
        <f>Indexador!#REF!</f>
        <v>#REF!</v>
      </c>
      <c r="BC270" s="1720" t="e">
        <f>Indexador!#REF!</f>
        <v>#REF!</v>
      </c>
      <c r="BD270" s="1720" t="e">
        <f>Indexador!#REF!</f>
        <v>#REF!</v>
      </c>
      <c r="BE270" s="1720" t="e">
        <f>Indexador!#REF!</f>
        <v>#REF!</v>
      </c>
      <c r="BF270" s="1721">
        <f t="shared" si="30"/>
        <v>0</v>
      </c>
      <c r="BG270" s="1721">
        <f t="shared" si="28"/>
        <v>0</v>
      </c>
      <c r="BH270" s="1721">
        <f t="shared" si="28"/>
        <v>0</v>
      </c>
      <c r="BI270" s="356" t="e">
        <f>Indexador!#REF!</f>
        <v>#REF!</v>
      </c>
      <c r="BJ270" s="337">
        <f t="shared" si="29"/>
        <v>0</v>
      </c>
      <c r="BK270" s="357"/>
      <c r="BL270" s="357"/>
      <c r="BM270" s="357"/>
      <c r="BN270" s="357"/>
      <c r="BO270" s="357"/>
      <c r="BP270" s="357"/>
      <c r="BQ270" s="357"/>
      <c r="BR270" s="357"/>
      <c r="BS270" s="357"/>
      <c r="BT270" s="357"/>
      <c r="BU270" s="357"/>
      <c r="BV270" s="357"/>
      <c r="BW270" s="357"/>
      <c r="BX270" s="357"/>
      <c r="BY270" s="357"/>
      <c r="BZ270" s="357"/>
      <c r="CA270" s="357"/>
      <c r="CB270" s="357"/>
      <c r="CC270" s="357"/>
      <c r="CD270" s="357"/>
      <c r="CE270" s="357"/>
      <c r="CF270" s="357"/>
    </row>
    <row r="271" spans="2:84" ht="15" customHeight="1">
      <c r="B271" s="347"/>
      <c r="D271" s="22"/>
      <c r="AW271" s="25"/>
      <c r="AZ271" s="357"/>
      <c r="BA271" s="1719" t="str">
        <f t="shared" si="31"/>
        <v>Subsidio Água, Esgoto e Saneamento</v>
      </c>
      <c r="BB271" s="1720" t="e">
        <f>Indexador!#REF!</f>
        <v>#REF!</v>
      </c>
      <c r="BC271" s="1720" t="e">
        <f>Indexador!#REF!</f>
        <v>#REF!</v>
      </c>
      <c r="BD271" s="1720" t="e">
        <f>Indexador!#REF!</f>
        <v>#REF!</v>
      </c>
      <c r="BE271" s="1720" t="e">
        <f>Indexador!#REF!</f>
        <v>#REF!</v>
      </c>
      <c r="BF271" s="1721">
        <f t="shared" si="30"/>
        <v>50.437457580412833</v>
      </c>
      <c r="BG271" s="1721">
        <f t="shared" si="28"/>
        <v>7311.0780228944232</v>
      </c>
      <c r="BH271" s="1721">
        <f t="shared" si="28"/>
        <v>7361.5154804748363</v>
      </c>
      <c r="BI271" s="356" t="e">
        <f>Indexador!#REF!</f>
        <v>#REF!</v>
      </c>
      <c r="BJ271" s="337">
        <f t="shared" si="29"/>
        <v>1</v>
      </c>
      <c r="BK271" s="357"/>
      <c r="BL271" s="357"/>
      <c r="BM271" s="357"/>
      <c r="BN271" s="357"/>
      <c r="BO271" s="357"/>
      <c r="BP271" s="357"/>
      <c r="BQ271" s="357"/>
      <c r="BR271" s="357"/>
      <c r="BS271" s="357"/>
      <c r="BT271" s="357"/>
      <c r="BU271" s="357"/>
      <c r="BV271" s="357"/>
      <c r="BW271" s="357"/>
      <c r="BX271" s="357"/>
      <c r="BY271" s="357"/>
      <c r="BZ271" s="357"/>
      <c r="CA271" s="357"/>
      <c r="CB271" s="357"/>
      <c r="CC271" s="357"/>
      <c r="CD271" s="357"/>
      <c r="CE271" s="357"/>
      <c r="CF271" s="357"/>
    </row>
    <row r="272" spans="2:84" ht="15" customHeight="1">
      <c r="B272" s="347"/>
      <c r="C272" s="348"/>
      <c r="D272" s="348"/>
      <c r="E272" s="21"/>
      <c r="AU272" s="424"/>
      <c r="AZ272" s="357"/>
      <c r="BA272" s="1719" t="str">
        <f t="shared" si="31"/>
        <v>Subsidio Rural</v>
      </c>
      <c r="BB272" s="1720" t="e">
        <f>Indexador!#REF!</f>
        <v>#REF!</v>
      </c>
      <c r="BC272" s="1720" t="e">
        <f>Indexador!#REF!</f>
        <v>#REF!</v>
      </c>
      <c r="BD272" s="1720" t="e">
        <f>Indexador!#REF!</f>
        <v>#REF!</v>
      </c>
      <c r="BE272" s="1720" t="e">
        <f>Indexador!#REF!</f>
        <v>#REF!</v>
      </c>
      <c r="BF272" s="1721">
        <f t="shared" si="30"/>
        <v>3480.7104421435702</v>
      </c>
      <c r="BG272" s="1721">
        <f t="shared" si="28"/>
        <v>203245.52726326711</v>
      </c>
      <c r="BH272" s="1721">
        <f t="shared" si="28"/>
        <v>206726.23770541069</v>
      </c>
      <c r="BI272" s="356" t="e">
        <f>Indexador!#REF!</f>
        <v>#REF!</v>
      </c>
      <c r="BJ272" s="337">
        <f t="shared" si="29"/>
        <v>1</v>
      </c>
      <c r="BK272" s="357"/>
      <c r="BL272" s="357"/>
      <c r="BM272" s="357"/>
      <c r="BN272" s="357"/>
      <c r="BO272" s="357"/>
      <c r="BP272" s="357"/>
      <c r="BQ272" s="357"/>
      <c r="BR272" s="357"/>
      <c r="BS272" s="357"/>
      <c r="BT272" s="357"/>
      <c r="BU272" s="357"/>
      <c r="BV272" s="357"/>
      <c r="BW272" s="357"/>
      <c r="BX272" s="357"/>
      <c r="BY272" s="357"/>
      <c r="BZ272" s="357"/>
      <c r="CA272" s="357"/>
      <c r="CB272" s="357"/>
      <c r="CC272" s="357"/>
      <c r="CD272" s="357"/>
      <c r="CE272" s="357"/>
      <c r="CF272" s="357"/>
    </row>
    <row r="273" spans="2:84" ht="15" customHeight="1">
      <c r="AU273" s="424"/>
      <c r="AZ273" s="357"/>
      <c r="BA273" s="1719" t="str">
        <f t="shared" si="31"/>
        <v>Subsidio - Irrigante/Aquicultor</v>
      </c>
      <c r="BB273" s="1720" t="e">
        <f>Indexador!#REF!</f>
        <v>#REF!</v>
      </c>
      <c r="BC273" s="1720" t="e">
        <f>Indexador!#REF!</f>
        <v>#REF!</v>
      </c>
      <c r="BD273" s="1720" t="e">
        <f>Indexador!#REF!</f>
        <v>#REF!</v>
      </c>
      <c r="BE273" s="1720" t="e">
        <f>Indexador!#REF!</f>
        <v>#REF!</v>
      </c>
      <c r="BF273" s="1721">
        <f t="shared" si="30"/>
        <v>9839.7683707851102</v>
      </c>
      <c r="BG273" s="1721">
        <f t="shared" si="28"/>
        <v>69440.708242664099</v>
      </c>
      <c r="BH273" s="1721">
        <f t="shared" si="28"/>
        <v>79280.476613449209</v>
      </c>
      <c r="BI273" s="356" t="e">
        <f>Indexador!#REF!</f>
        <v>#REF!</v>
      </c>
      <c r="BJ273" s="337">
        <f t="shared" si="29"/>
        <v>1</v>
      </c>
      <c r="BK273" s="357"/>
      <c r="BL273" s="357"/>
      <c r="BM273" s="357"/>
      <c r="BN273" s="357"/>
      <c r="BO273" s="357"/>
      <c r="BP273" s="357"/>
      <c r="BQ273" s="357"/>
      <c r="BR273" s="357"/>
      <c r="BS273" s="357"/>
      <c r="BT273" s="357"/>
      <c r="BU273" s="357"/>
      <c r="BV273" s="357"/>
      <c r="BW273" s="357"/>
      <c r="BX273" s="357"/>
      <c r="BY273" s="357"/>
      <c r="BZ273" s="357"/>
      <c r="CA273" s="357"/>
      <c r="CB273" s="357"/>
      <c r="CC273" s="357"/>
      <c r="CD273" s="357"/>
      <c r="CE273" s="357"/>
      <c r="CF273" s="357"/>
    </row>
    <row r="274" spans="2:84" ht="15" customHeight="1">
      <c r="AU274" s="424"/>
      <c r="AW274" s="424"/>
      <c r="AZ274" s="357"/>
      <c r="BA274" s="1192" t="s">
        <v>889</v>
      </c>
      <c r="BB274" s="1205" t="e">
        <f t="shared" ref="BB274:BI274" si="32">SUM(BB268:BB273)</f>
        <v>#REF!</v>
      </c>
      <c r="BC274" s="1205" t="e">
        <f t="shared" si="32"/>
        <v>#REF!</v>
      </c>
      <c r="BD274" s="1205" t="e">
        <f t="shared" si="32"/>
        <v>#REF!</v>
      </c>
      <c r="BE274" s="1205" t="e">
        <f t="shared" si="32"/>
        <v>#REF!</v>
      </c>
      <c r="BF274" s="1206">
        <f t="shared" si="32"/>
        <v>13568.527563322739</v>
      </c>
      <c r="BG274" s="1206">
        <f t="shared" si="32"/>
        <v>308800.52372125216</v>
      </c>
      <c r="BH274" s="1206">
        <f t="shared" si="32"/>
        <v>322369.0512845749</v>
      </c>
      <c r="BI274" s="1207" t="e">
        <f t="shared" si="32"/>
        <v>#REF!</v>
      </c>
      <c r="BJ274" s="339">
        <f t="shared" si="29"/>
        <v>1</v>
      </c>
      <c r="BK274" s="357"/>
      <c r="BL274" s="357"/>
      <c r="BM274" s="357"/>
      <c r="BN274" s="357"/>
      <c r="BO274" s="357"/>
      <c r="BP274" s="357"/>
      <c r="BQ274" s="357"/>
      <c r="BR274" s="357"/>
      <c r="BS274" s="357"/>
      <c r="BT274" s="357"/>
      <c r="BU274" s="357"/>
      <c r="BV274" s="357"/>
      <c r="BW274" s="357"/>
      <c r="BX274" s="357"/>
      <c r="BY274" s="357"/>
      <c r="BZ274" s="357"/>
      <c r="CA274" s="357"/>
      <c r="CB274" s="357"/>
      <c r="CC274" s="357"/>
      <c r="CD274" s="357"/>
      <c r="CE274" s="357"/>
      <c r="CF274" s="357"/>
    </row>
    <row r="275" spans="2:84" ht="15" customHeight="1">
      <c r="B275" s="355"/>
      <c r="C275" s="355"/>
      <c r="AZ275" s="357"/>
      <c r="BC275" s="357"/>
      <c r="BD275" s="357"/>
      <c r="BE275" s="357"/>
      <c r="BF275" s="357"/>
      <c r="BG275" s="357"/>
      <c r="BH275" s="357"/>
      <c r="BI275" s="357"/>
      <c r="BK275" s="1181" t="s">
        <v>763</v>
      </c>
      <c r="BL275" s="357"/>
      <c r="BM275" s="307" t="s">
        <v>901</v>
      </c>
      <c r="BN275" s="357"/>
      <c r="BO275" s="357"/>
      <c r="BP275" s="357"/>
      <c r="BQ275" s="357"/>
      <c r="BR275" s="357"/>
      <c r="BS275" s="357"/>
      <c r="BT275" s="357"/>
      <c r="BU275" s="357"/>
      <c r="BV275" s="357"/>
      <c r="BW275" s="357"/>
      <c r="BX275" s="357"/>
      <c r="BY275" s="357"/>
      <c r="BZ275" s="357"/>
      <c r="CA275" s="357"/>
      <c r="CB275" s="357"/>
      <c r="CC275" s="357"/>
      <c r="CD275" s="357"/>
      <c r="CE275" s="357"/>
      <c r="CF275" s="357"/>
    </row>
    <row r="276" spans="2:84" ht="15" customHeight="1">
      <c r="B276" s="311"/>
      <c r="C276" s="311"/>
      <c r="AZ276" s="357"/>
      <c r="BC276" s="357"/>
      <c r="BD276" s="357"/>
      <c r="BE276" s="357"/>
      <c r="BF276" s="357"/>
      <c r="BG276" s="357"/>
      <c r="BH276" s="357"/>
      <c r="BI276" s="357"/>
      <c r="BJ276" s="357"/>
      <c r="BK276" s="1208" t="s">
        <v>987</v>
      </c>
      <c r="BL276" s="1208" t="s">
        <v>921</v>
      </c>
      <c r="BM276" s="1208" t="s">
        <v>964</v>
      </c>
      <c r="BN276" s="473" t="s">
        <v>856</v>
      </c>
      <c r="BO276" s="357"/>
      <c r="BP276" s="357"/>
      <c r="BQ276" s="357"/>
      <c r="BR276" s="357"/>
      <c r="BS276" s="357"/>
      <c r="BT276" s="357"/>
      <c r="BU276" s="357"/>
      <c r="BV276" s="357"/>
      <c r="BW276" s="357"/>
      <c r="BX276" s="357"/>
      <c r="BY276" s="357"/>
      <c r="BZ276" s="357"/>
      <c r="CA276" s="357"/>
      <c r="CB276" s="357"/>
      <c r="CC276" s="357"/>
      <c r="CD276" s="357"/>
      <c r="CE276" s="357"/>
      <c r="CF276" s="357"/>
    </row>
    <row r="277" spans="2:84" ht="15" hidden="1" customHeight="1">
      <c r="B277" s="311"/>
      <c r="C277" s="311"/>
      <c r="AZ277" s="357"/>
      <c r="BC277" s="357"/>
      <c r="BD277" s="357"/>
      <c r="BE277" s="357"/>
      <c r="BF277" s="357"/>
      <c r="BG277" s="357"/>
      <c r="BH277" s="357"/>
      <c r="BI277" s="357"/>
      <c r="BJ277" s="357"/>
      <c r="BK277" s="65" t="s">
        <v>763</v>
      </c>
      <c r="BL277" s="359">
        <f ca="1">Resultado!C25</f>
        <v>0</v>
      </c>
      <c r="BM277" s="359">
        <f>Resultado!D25</f>
        <v>0</v>
      </c>
      <c r="BN277" s="337">
        <f t="shared" ref="BN277:BN284" si="33">IF(BM277=0,0,1)</f>
        <v>0</v>
      </c>
      <c r="BO277" s="357"/>
      <c r="BP277" s="357"/>
      <c r="BQ277" s="357"/>
      <c r="BR277" s="357"/>
      <c r="BS277" s="357"/>
      <c r="BT277" s="357"/>
      <c r="BU277" s="357"/>
      <c r="BV277" s="357"/>
      <c r="BW277" s="357"/>
      <c r="BX277" s="357"/>
      <c r="BY277" s="357"/>
      <c r="BZ277" s="357"/>
      <c r="CA277" s="357"/>
      <c r="CB277" s="357"/>
      <c r="CC277" s="357"/>
      <c r="CD277" s="357"/>
      <c r="CE277" s="357"/>
      <c r="CF277" s="357"/>
    </row>
    <row r="278" spans="2:84" ht="15" hidden="1" customHeight="1">
      <c r="B278" s="311"/>
      <c r="C278" s="311"/>
      <c r="AZ278" s="357"/>
      <c r="BC278" s="357"/>
      <c r="BD278" s="357"/>
      <c r="BE278" s="357"/>
      <c r="BF278" s="357"/>
      <c r="BG278" s="357"/>
      <c r="BH278" s="357"/>
      <c r="BI278" s="357"/>
      <c r="BJ278" s="357"/>
      <c r="BK278" s="65" t="s">
        <v>765</v>
      </c>
      <c r="BL278" s="359">
        <f ca="1">Resultado!C26</f>
        <v>0</v>
      </c>
      <c r="BM278" s="359">
        <f>Resultado!D26</f>
        <v>0</v>
      </c>
      <c r="BN278" s="337">
        <f t="shared" si="33"/>
        <v>0</v>
      </c>
      <c r="BO278" s="357"/>
      <c r="BP278" s="357"/>
      <c r="BQ278" s="357"/>
      <c r="BR278" s="357"/>
      <c r="BS278" s="357"/>
      <c r="BT278" s="357"/>
      <c r="BU278" s="357"/>
      <c r="BV278" s="357"/>
      <c r="BW278" s="357"/>
      <c r="BX278" s="357"/>
      <c r="BY278" s="357"/>
      <c r="BZ278" s="357"/>
      <c r="CA278" s="357"/>
      <c r="CB278" s="357"/>
      <c r="CC278" s="357"/>
      <c r="CD278" s="357"/>
      <c r="CE278" s="357"/>
      <c r="CF278" s="357"/>
    </row>
    <row r="279" spans="2:84" ht="15" hidden="1" customHeight="1">
      <c r="B279" s="311"/>
      <c r="C279" s="311"/>
      <c r="H279" s="23"/>
      <c r="AZ279" s="357"/>
      <c r="BC279" s="357"/>
      <c r="BD279" s="357"/>
      <c r="BE279" s="357"/>
      <c r="BF279" s="357"/>
      <c r="BG279" s="357"/>
      <c r="BH279" s="357"/>
      <c r="BI279" s="357"/>
      <c r="BJ279" s="357"/>
      <c r="BK279" s="65" t="s">
        <v>848</v>
      </c>
      <c r="BL279" s="359"/>
      <c r="BM279" s="359"/>
      <c r="BN279" s="337">
        <f t="shared" si="33"/>
        <v>0</v>
      </c>
      <c r="BO279" s="357"/>
      <c r="BP279" s="357"/>
      <c r="BQ279" s="357"/>
      <c r="BR279" s="357"/>
      <c r="BS279" s="357"/>
      <c r="BT279" s="357"/>
      <c r="BU279" s="357"/>
      <c r="BV279" s="357"/>
      <c r="BW279" s="357"/>
      <c r="BX279" s="357"/>
      <c r="BY279" s="357"/>
      <c r="BZ279" s="357"/>
      <c r="CA279" s="357"/>
      <c r="CB279" s="357"/>
      <c r="CC279" s="357"/>
      <c r="CD279" s="357"/>
      <c r="CE279" s="357"/>
      <c r="CF279" s="357"/>
    </row>
    <row r="280" spans="2:84" ht="15" hidden="1" customHeight="1">
      <c r="B280" s="311"/>
      <c r="C280" s="311"/>
      <c r="H280" s="23"/>
      <c r="AZ280" s="357"/>
      <c r="BC280" s="357"/>
      <c r="BD280" s="357"/>
      <c r="BE280" s="357"/>
      <c r="BF280" s="357"/>
      <c r="BG280" s="357"/>
      <c r="BH280" s="357"/>
      <c r="BI280" s="357"/>
      <c r="BJ280" s="357"/>
      <c r="BK280" s="65" t="s">
        <v>849</v>
      </c>
      <c r="BL280" s="359"/>
      <c r="BM280" s="359"/>
      <c r="BN280" s="337">
        <f t="shared" si="33"/>
        <v>0</v>
      </c>
      <c r="BO280" s="357"/>
      <c r="BP280" s="357"/>
      <c r="BQ280" s="357"/>
      <c r="BR280" s="357"/>
      <c r="BS280" s="357"/>
      <c r="BT280" s="357"/>
      <c r="BU280" s="357"/>
      <c r="BV280" s="357"/>
      <c r="BW280" s="357"/>
      <c r="BX280" s="357"/>
      <c r="BY280" s="357"/>
      <c r="BZ280" s="357"/>
      <c r="CA280" s="357"/>
      <c r="CB280" s="357"/>
      <c r="CC280" s="357"/>
      <c r="CD280" s="357"/>
      <c r="CE280" s="357"/>
      <c r="CF280" s="357"/>
    </row>
    <row r="281" spans="2:84" ht="15" hidden="1" customHeight="1">
      <c r="B281" s="311"/>
      <c r="C281" s="311"/>
      <c r="H281" s="23"/>
      <c r="AZ281" s="357"/>
      <c r="BC281" s="357"/>
      <c r="BD281" s="357"/>
      <c r="BE281" s="357"/>
      <c r="BF281" s="357"/>
      <c r="BG281" s="357"/>
      <c r="BH281" s="357"/>
      <c r="BI281" s="357"/>
      <c r="BJ281" s="357"/>
      <c r="BK281" s="65" t="s">
        <v>850</v>
      </c>
      <c r="BL281" s="359"/>
      <c r="BM281" s="359"/>
      <c r="BN281" s="337">
        <f t="shared" si="33"/>
        <v>0</v>
      </c>
      <c r="BO281" s="357"/>
      <c r="BP281" s="357"/>
      <c r="BQ281" s="357"/>
      <c r="BR281" s="357"/>
      <c r="BS281" s="357"/>
      <c r="BT281" s="357"/>
      <c r="BU281" s="357"/>
      <c r="BV281" s="357"/>
      <c r="BW281" s="357"/>
      <c r="BX281" s="357"/>
      <c r="BY281" s="357"/>
      <c r="BZ281" s="357"/>
      <c r="CA281" s="357"/>
      <c r="CB281" s="357"/>
      <c r="CC281" s="357"/>
      <c r="CD281" s="357"/>
      <c r="CE281" s="357"/>
      <c r="CF281" s="357"/>
    </row>
    <row r="282" spans="2:84" ht="15" hidden="1" customHeight="1">
      <c r="B282" s="311"/>
      <c r="C282" s="311"/>
      <c r="H282" s="23"/>
      <c r="AZ282" s="357"/>
      <c r="BC282" s="357"/>
      <c r="BD282" s="357"/>
      <c r="BE282" s="357"/>
      <c r="BF282" s="357"/>
      <c r="BG282" s="357"/>
      <c r="BH282" s="357"/>
      <c r="BI282" s="357"/>
      <c r="BJ282" s="357"/>
      <c r="BK282" s="65" t="s">
        <v>851</v>
      </c>
      <c r="BL282" s="359"/>
      <c r="BM282" s="359"/>
      <c r="BN282" s="337">
        <f t="shared" si="33"/>
        <v>0</v>
      </c>
      <c r="BO282" s="357"/>
      <c r="BP282" s="357"/>
      <c r="BQ282" s="357"/>
      <c r="BR282" s="357"/>
      <c r="BS282" s="357"/>
      <c r="BT282" s="357"/>
      <c r="BU282" s="357"/>
      <c r="BV282" s="357"/>
      <c r="BW282" s="357"/>
      <c r="BX282" s="357"/>
      <c r="BY282" s="357"/>
      <c r="BZ282" s="357"/>
      <c r="CA282" s="357"/>
      <c r="CB282" s="357"/>
      <c r="CC282" s="357"/>
      <c r="CD282" s="357"/>
      <c r="CE282" s="357"/>
      <c r="CF282" s="357"/>
    </row>
    <row r="283" spans="2:84" ht="15" hidden="1" customHeight="1">
      <c r="B283" s="311"/>
      <c r="C283" s="311"/>
      <c r="H283" s="23"/>
      <c r="AZ283" s="357"/>
      <c r="BC283" s="357"/>
      <c r="BD283" s="357"/>
      <c r="BE283" s="357"/>
      <c r="BF283" s="357"/>
      <c r="BG283" s="357"/>
      <c r="BH283" s="357"/>
      <c r="BI283" s="357"/>
      <c r="BJ283" s="357"/>
      <c r="BK283" s="65" t="s">
        <v>766</v>
      </c>
      <c r="BL283" s="359">
        <f ca="1">Resultado!C31</f>
        <v>0</v>
      </c>
      <c r="BM283" s="359">
        <f>Resultado!D31</f>
        <v>0</v>
      </c>
      <c r="BN283" s="337">
        <f t="shared" si="33"/>
        <v>0</v>
      </c>
      <c r="BO283" s="357"/>
      <c r="BP283" s="357"/>
      <c r="BQ283" s="357"/>
      <c r="BR283" s="357"/>
      <c r="BS283" s="357"/>
      <c r="BT283" s="357"/>
      <c r="BU283" s="357"/>
      <c r="BV283" s="357"/>
      <c r="BW283" s="357"/>
      <c r="BX283" s="357"/>
      <c r="BY283" s="357"/>
      <c r="BZ283" s="357"/>
      <c r="CA283" s="357"/>
      <c r="CB283" s="357"/>
      <c r="CC283" s="357"/>
      <c r="CD283" s="357"/>
      <c r="CE283" s="357"/>
      <c r="CF283" s="357"/>
    </row>
    <row r="284" spans="2:84" ht="15" hidden="1" customHeight="1">
      <c r="B284" s="311"/>
      <c r="C284" s="311"/>
      <c r="H284" s="23"/>
      <c r="AZ284" s="357"/>
      <c r="BC284" s="357"/>
      <c r="BD284" s="357"/>
      <c r="BE284" s="357"/>
      <c r="BF284" s="357"/>
      <c r="BG284" s="357"/>
      <c r="BH284" s="357"/>
      <c r="BI284" s="357"/>
      <c r="BJ284" s="357"/>
      <c r="BK284" s="65" t="s">
        <v>767</v>
      </c>
      <c r="BL284" s="359">
        <f>Resultado!DJ284</f>
        <v>0</v>
      </c>
      <c r="BM284" s="359">
        <f>Resultado!DK284</f>
        <v>0</v>
      </c>
      <c r="BN284" s="339">
        <f t="shared" si="33"/>
        <v>0</v>
      </c>
      <c r="BO284" s="357"/>
      <c r="BP284" s="357"/>
      <c r="BQ284" s="357"/>
      <c r="BR284" s="357"/>
      <c r="BS284" s="357"/>
      <c r="BT284" s="357"/>
      <c r="BU284" s="357"/>
      <c r="BV284" s="357"/>
      <c r="BW284" s="357"/>
      <c r="BX284" s="357"/>
      <c r="BY284" s="357"/>
      <c r="BZ284" s="357"/>
      <c r="CA284" s="357"/>
      <c r="CB284" s="357"/>
      <c r="CC284" s="357"/>
      <c r="CD284" s="357"/>
      <c r="CE284" s="357"/>
      <c r="CF284" s="357"/>
    </row>
    <row r="285" spans="2:84" ht="15" customHeight="1">
      <c r="B285" s="311"/>
      <c r="C285" s="311"/>
      <c r="H285" s="23"/>
      <c r="AU285" s="314"/>
      <c r="AZ285" s="357"/>
      <c r="BA285" s="357"/>
      <c r="BB285" s="357"/>
      <c r="BC285" s="357"/>
      <c r="BD285" s="357"/>
      <c r="BE285" s="357"/>
      <c r="BF285" s="357"/>
      <c r="BG285" s="357"/>
      <c r="BH285" s="357"/>
      <c r="BI285" s="357"/>
      <c r="BJ285" s="357"/>
      <c r="BK285" s="1586" t="s">
        <v>988</v>
      </c>
      <c r="BL285" s="1207">
        <f ca="1">SUM(BL277:BL284)</f>
        <v>0</v>
      </c>
      <c r="BM285" s="1207">
        <f>SUM(BM277:BM284)</f>
        <v>0</v>
      </c>
      <c r="BN285" s="337">
        <f ca="1">IF(BL285=0,0,1)</f>
        <v>0</v>
      </c>
      <c r="BO285" s="1181" t="s">
        <v>989</v>
      </c>
      <c r="BP285" s="357"/>
      <c r="BQ285" s="357"/>
      <c r="BR285" s="307" t="s">
        <v>901</v>
      </c>
      <c r="BS285" s="357"/>
      <c r="BT285" s="357"/>
      <c r="BU285" s="357"/>
      <c r="BV285" s="357"/>
      <c r="BW285" s="357"/>
      <c r="BX285" s="357"/>
      <c r="BY285" s="357"/>
      <c r="BZ285" s="357"/>
      <c r="CA285" s="357"/>
      <c r="CB285" s="357"/>
      <c r="CC285" s="357"/>
      <c r="CD285" s="357"/>
      <c r="CE285" s="357"/>
      <c r="CF285" s="357"/>
    </row>
    <row r="286" spans="2:84" ht="15" customHeight="1">
      <c r="B286" s="311"/>
      <c r="C286" s="311"/>
      <c r="H286" s="23"/>
      <c r="AZ286" s="357"/>
      <c r="BA286" s="357"/>
      <c r="BB286" s="357"/>
      <c r="BC286" s="357"/>
      <c r="BD286" s="357"/>
      <c r="BE286" s="357"/>
      <c r="BF286" s="357"/>
      <c r="BG286" s="357"/>
      <c r="BH286" s="357"/>
      <c r="BI286" s="357"/>
      <c r="BJ286" s="357"/>
      <c r="BN286" s="357"/>
      <c r="BO286" s="360" t="str">
        <f>"TABELA 9 – VALOR MENSAL DA SUBVENÇÃO DA CDE PARA CUSTEAR DESCONTOS TARIFÁRIOS ("&amp;LnkTXTSigla&amp;")."</f>
        <v>TABELA 9 – VALOR MENSAL DA SUBVENÇÃO DA CDE PARA CUSTEAR DESCONTOS TARIFÁRIOS (Creluz).</v>
      </c>
      <c r="BP286" s="361"/>
      <c r="BQ286" s="361"/>
      <c r="BR286" s="361"/>
      <c r="BS286" s="289"/>
      <c r="BU286" s="357"/>
      <c r="BV286" s="357"/>
      <c r="BW286" s="357"/>
      <c r="BX286" s="357"/>
      <c r="BY286" s="357"/>
      <c r="BZ286" s="357"/>
      <c r="CA286" s="357"/>
      <c r="CB286" s="357"/>
      <c r="CC286" s="357"/>
      <c r="CD286" s="357"/>
      <c r="CE286" s="357"/>
      <c r="CF286" s="357"/>
    </row>
    <row r="287" spans="2:84" ht="12.75">
      <c r="B287" s="311"/>
      <c r="C287" s="311"/>
      <c r="H287" s="23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/>
      <c r="BJ287" s="357"/>
      <c r="BN287" s="357"/>
      <c r="BO287" s="1209" t="s">
        <v>990</v>
      </c>
      <c r="BP287" s="1209" t="s">
        <v>991</v>
      </c>
      <c r="BQ287" s="1209" t="s">
        <v>992</v>
      </c>
      <c r="BR287" s="1210" t="s">
        <v>993</v>
      </c>
      <c r="BS287" s="412" t="s">
        <v>856</v>
      </c>
      <c r="BU287" s="357"/>
      <c r="BV287" s="357"/>
      <c r="BW287" s="307" t="s">
        <v>901</v>
      </c>
      <c r="BX287" s="357"/>
      <c r="BY287" s="357"/>
      <c r="BZ287" s="357"/>
      <c r="CA287" s="357"/>
      <c r="CB287" s="357"/>
      <c r="CC287" s="357"/>
      <c r="CD287" s="357"/>
      <c r="CE287" s="357"/>
      <c r="CF287" s="357"/>
    </row>
    <row r="288" spans="2:84" ht="12.75">
      <c r="B288" s="311"/>
      <c r="C288" s="311"/>
      <c r="H288" s="23"/>
      <c r="AU288" s="424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/>
      <c r="BK288" s="357"/>
      <c r="BL288" s="357"/>
      <c r="BM288" s="357"/>
      <c r="BN288" s="357"/>
      <c r="BO288" s="1211" t="s">
        <v>2378</v>
      </c>
      <c r="BP288" s="1212">
        <f>IFERROR(Aj.Subsídio!L5,0)</f>
        <v>0</v>
      </c>
      <c r="BQ288" s="1212">
        <f>IFERROR(Aj.Subsídio!M5,0)</f>
        <v>0</v>
      </c>
      <c r="BR288" s="1212">
        <f t="shared" ref="BR288:BR294" si="34">BP288+BQ288</f>
        <v>0</v>
      </c>
      <c r="BS288" s="413">
        <f t="shared" ref="BS288:BS294" si="35">IF(BR288=0,0,1)</f>
        <v>0</v>
      </c>
      <c r="BU288" s="357"/>
      <c r="BV288" s="357"/>
      <c r="BW288" s="357"/>
      <c r="BX288" s="357"/>
      <c r="BY288" s="357"/>
      <c r="BZ288" s="357"/>
      <c r="CA288" s="357"/>
      <c r="CB288" s="357"/>
      <c r="CC288" s="357"/>
      <c r="CD288" s="357"/>
      <c r="CE288" s="357"/>
      <c r="CF288" s="357"/>
    </row>
    <row r="289" spans="2:84" ht="12.75">
      <c r="B289" s="311"/>
      <c r="C289" s="311"/>
      <c r="H289" s="23"/>
      <c r="AZ289" s="357"/>
      <c r="BA289" s="357"/>
      <c r="BB289" s="357"/>
      <c r="BC289" s="357"/>
      <c r="BD289" s="357"/>
      <c r="BE289" s="357"/>
      <c r="BF289" s="357"/>
      <c r="BG289" s="357"/>
      <c r="BH289" s="357"/>
      <c r="BI289" s="357"/>
      <c r="BJ289" s="357"/>
      <c r="BK289" s="357"/>
      <c r="BL289" s="357"/>
      <c r="BM289" s="357"/>
      <c r="BN289" s="357"/>
      <c r="BO289" s="1211" t="s">
        <v>2379</v>
      </c>
      <c r="BP289" s="1212">
        <f>IFERROR(Aj.Subsídio!L6,0)</f>
        <v>197.61129281364506</v>
      </c>
      <c r="BQ289" s="1212">
        <f>IFERROR(Aj.Subsídio!M6,0)</f>
        <v>28803.210192426533</v>
      </c>
      <c r="BR289" s="1213">
        <f t="shared" si="34"/>
        <v>29000.82148524018</v>
      </c>
      <c r="BS289" s="362">
        <f t="shared" si="35"/>
        <v>1</v>
      </c>
      <c r="BU289" s="357"/>
      <c r="BV289" s="357"/>
      <c r="BW289" s="357"/>
      <c r="BX289" s="357"/>
      <c r="BY289" s="357"/>
      <c r="BZ289" s="357"/>
      <c r="CA289" s="357"/>
      <c r="CB289" s="357"/>
      <c r="CC289" s="357"/>
      <c r="CD289" s="357"/>
      <c r="CE289" s="357"/>
      <c r="CF289" s="357"/>
    </row>
    <row r="290" spans="2:84" ht="12.75">
      <c r="B290" s="311"/>
      <c r="C290" s="311"/>
      <c r="H290" s="23"/>
      <c r="AZ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/>
      <c r="BM290" s="357"/>
      <c r="BN290" s="357"/>
      <c r="BO290" s="1211" t="s">
        <v>994</v>
      </c>
      <c r="BP290" s="1212">
        <f>IFERROR(Aj.Subsídio!L7,0)</f>
        <v>0</v>
      </c>
      <c r="BQ290" s="1212">
        <f>IFERROR(Aj.Subsídio!M7,0)</f>
        <v>0</v>
      </c>
      <c r="BR290" s="1213">
        <f t="shared" si="34"/>
        <v>0</v>
      </c>
      <c r="BS290" s="362">
        <f t="shared" si="35"/>
        <v>0</v>
      </c>
      <c r="BU290" s="357"/>
      <c r="BV290" s="357"/>
      <c r="BW290" s="357"/>
      <c r="BX290" s="357"/>
      <c r="BY290" s="357"/>
      <c r="BZ290" s="357"/>
      <c r="CA290" s="357"/>
      <c r="CB290" s="357"/>
      <c r="CC290" s="357"/>
      <c r="CD290" s="357"/>
      <c r="CE290" s="357"/>
      <c r="CF290" s="357"/>
    </row>
    <row r="291" spans="2:84" ht="12.75">
      <c r="B291" s="311"/>
      <c r="C291" s="311"/>
      <c r="H291" s="23"/>
      <c r="AZ291" s="357"/>
      <c r="BA291" s="357"/>
      <c r="BB291" s="357"/>
      <c r="BC291" s="357"/>
      <c r="BD291" s="357"/>
      <c r="BE291" s="357"/>
      <c r="BF291" s="357"/>
      <c r="BG291" s="357"/>
      <c r="BH291" s="357"/>
      <c r="BI291" s="357"/>
      <c r="BJ291" s="357"/>
      <c r="BK291" s="357"/>
      <c r="BL291" s="357"/>
      <c r="BM291" s="357"/>
      <c r="BN291" s="357"/>
      <c r="BO291" s="1211" t="s">
        <v>995</v>
      </c>
      <c r="BP291" s="1212">
        <f>IFERROR(Aj.Subsídio!L8,0)</f>
        <v>50.437457580412833</v>
      </c>
      <c r="BQ291" s="1212">
        <f>IFERROR(Aj.Subsídio!M8,0)</f>
        <v>7311.0780228944232</v>
      </c>
      <c r="BR291" s="1213">
        <f t="shared" si="34"/>
        <v>7361.5154804748363</v>
      </c>
      <c r="BS291" s="362">
        <f t="shared" si="35"/>
        <v>1</v>
      </c>
      <c r="BU291" s="357"/>
      <c r="BV291" s="357"/>
      <c r="BW291" s="357"/>
      <c r="BX291" s="357"/>
      <c r="BY291" s="357"/>
      <c r="BZ291" s="357"/>
      <c r="CA291" s="357"/>
      <c r="CB291" s="357"/>
      <c r="CC291" s="357"/>
      <c r="CD291" s="357"/>
      <c r="CE291" s="357"/>
      <c r="CF291" s="357"/>
    </row>
    <row r="292" spans="2:84" ht="12.75">
      <c r="B292" s="311"/>
      <c r="C292" s="311"/>
      <c r="H292" s="23"/>
      <c r="AZ292" s="357"/>
      <c r="BA292" s="357"/>
      <c r="BB292" s="357"/>
      <c r="BC292" s="357"/>
      <c r="BD292" s="357"/>
      <c r="BE292" s="357"/>
      <c r="BF292" s="357"/>
      <c r="BG292" s="357"/>
      <c r="BH292" s="357"/>
      <c r="BI292" s="357"/>
      <c r="BJ292" s="357"/>
      <c r="BK292" s="357"/>
      <c r="BL292" s="357"/>
      <c r="BM292" s="357"/>
      <c r="BN292" s="357"/>
      <c r="BO292" s="1211" t="s">
        <v>996</v>
      </c>
      <c r="BP292" s="1212">
        <f>IFERROR(Aj.Subsídio!L9,0)</f>
        <v>3480.7104421435702</v>
      </c>
      <c r="BQ292" s="1212">
        <f>IFERROR(Aj.Subsídio!M9,0)</f>
        <v>203245.52726326711</v>
      </c>
      <c r="BR292" s="1213">
        <f t="shared" si="34"/>
        <v>206726.23770541069</v>
      </c>
      <c r="BS292" s="362">
        <f t="shared" si="35"/>
        <v>1</v>
      </c>
      <c r="BU292" s="357"/>
      <c r="BV292" s="357"/>
      <c r="BW292" s="357"/>
      <c r="BX292" s="357"/>
      <c r="BY292" s="358"/>
      <c r="BZ292" s="358"/>
      <c r="CA292" s="358"/>
      <c r="CB292" s="358"/>
      <c r="CC292" s="358"/>
      <c r="CD292" s="358"/>
      <c r="CE292" s="358"/>
      <c r="CF292" s="357"/>
    </row>
    <row r="293" spans="2:84" ht="12.75">
      <c r="B293" s="311"/>
      <c r="C293" s="311"/>
      <c r="H293" s="23"/>
      <c r="AZ293" s="357"/>
      <c r="BA293" s="357"/>
      <c r="BB293" s="357"/>
      <c r="BC293" s="357"/>
      <c r="BD293" s="357"/>
      <c r="BE293" s="357"/>
      <c r="BF293" s="357"/>
      <c r="BG293" s="357"/>
      <c r="BH293" s="357"/>
      <c r="BI293" s="357"/>
      <c r="BJ293" s="357"/>
      <c r="BK293" s="357"/>
      <c r="BL293" s="357"/>
      <c r="BM293" s="357"/>
      <c r="BN293" s="357"/>
      <c r="BO293" s="1211" t="s">
        <v>997</v>
      </c>
      <c r="BP293" s="1212">
        <f>IFERROR(Aj.Subsídio!L10,0)</f>
        <v>9839.7683707851102</v>
      </c>
      <c r="BQ293" s="1212">
        <f>IFERROR(Aj.Subsídio!M10,0)</f>
        <v>69440.708242664099</v>
      </c>
      <c r="BR293" s="1213">
        <f t="shared" si="34"/>
        <v>79280.476613449209</v>
      </c>
      <c r="BS293" s="362">
        <f t="shared" si="35"/>
        <v>1</v>
      </c>
      <c r="BU293" s="357"/>
      <c r="BV293" s="357"/>
      <c r="BW293" s="357"/>
      <c r="BX293" s="357"/>
      <c r="BY293" s="357"/>
      <c r="BZ293" s="357"/>
      <c r="CA293" s="357"/>
      <c r="CB293" s="357"/>
      <c r="CC293" s="357"/>
      <c r="CD293" s="357"/>
      <c r="CE293" s="357"/>
      <c r="CF293" s="357"/>
    </row>
    <row r="294" spans="2:84" ht="12.75">
      <c r="B294" s="311"/>
      <c r="C294" s="311"/>
      <c r="H294" s="23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/>
      <c r="BM294" s="357"/>
      <c r="BN294" s="357"/>
      <c r="BO294" s="1214" t="s">
        <v>897</v>
      </c>
      <c r="BP294" s="1212">
        <f>SUM(BP288:BP293)</f>
        <v>13568.527563322739</v>
      </c>
      <c r="BQ294" s="1212">
        <f>SUM(BQ288:BQ293)</f>
        <v>308800.52372125216</v>
      </c>
      <c r="BR294" s="1213">
        <f t="shared" si="34"/>
        <v>322369.0512845749</v>
      </c>
      <c r="BS294" s="413">
        <f t="shared" si="35"/>
        <v>1</v>
      </c>
      <c r="BU294" s="357"/>
      <c r="BY294" s="357"/>
      <c r="BZ294" s="357"/>
      <c r="CA294" s="357"/>
      <c r="CB294" s="357"/>
      <c r="CC294" s="357"/>
      <c r="CD294" s="357"/>
      <c r="CE294" s="357"/>
      <c r="CF294" s="357"/>
    </row>
    <row r="295" spans="2:84" ht="12.75">
      <c r="B295" s="311"/>
      <c r="C295" s="311"/>
      <c r="H295" s="23"/>
      <c r="AZ295" s="357"/>
      <c r="BA295" s="357"/>
      <c r="BB295" s="357"/>
      <c r="BC295" s="357"/>
      <c r="BD295" s="357"/>
      <c r="BE295" s="357"/>
      <c r="BF295" s="357"/>
      <c r="BG295" s="357"/>
      <c r="BH295" s="357"/>
      <c r="BI295" s="357"/>
      <c r="BJ295" s="357"/>
      <c r="BK295" s="357"/>
      <c r="BL295" s="357"/>
      <c r="BM295" s="357"/>
      <c r="BN295" s="357"/>
      <c r="BO295" s="357"/>
      <c r="BP295" s="357"/>
      <c r="BQ295" s="357"/>
      <c r="BR295" s="357"/>
      <c r="BS295" s="414"/>
      <c r="BT295" s="674" t="s">
        <v>998</v>
      </c>
      <c r="BU295" s="357"/>
      <c r="BY295" s="357"/>
      <c r="BZ295" s="357"/>
      <c r="CA295" s="357"/>
      <c r="CB295" s="357"/>
      <c r="CC295" s="357"/>
      <c r="CD295" s="357"/>
      <c r="CE295" s="357"/>
      <c r="CF295" s="357"/>
    </row>
    <row r="296" spans="2:84" ht="25.5">
      <c r="B296" s="311"/>
      <c r="C296" s="311"/>
      <c r="H296" s="23"/>
      <c r="AZ296" s="357"/>
      <c r="BA296" s="357"/>
      <c r="BB296" s="357"/>
      <c r="BC296" s="357"/>
      <c r="BD296" s="357"/>
      <c r="BE296" s="357"/>
      <c r="BF296" s="357"/>
      <c r="BG296" s="357"/>
      <c r="BH296" s="357"/>
      <c r="BI296" s="357"/>
      <c r="BJ296" s="357"/>
      <c r="BK296" s="357"/>
      <c r="BL296" s="357"/>
      <c r="BM296" s="357"/>
      <c r="BN296" s="357"/>
      <c r="BO296" s="357"/>
      <c r="BP296" s="357"/>
      <c r="BQ296" s="357"/>
      <c r="BR296" s="49"/>
      <c r="BS296" s="357"/>
      <c r="BT296" s="60" t="s">
        <v>25</v>
      </c>
      <c r="BU296" s="60" t="s">
        <v>19</v>
      </c>
      <c r="BV296" s="60" t="s">
        <v>999</v>
      </c>
      <c r="BW296" s="60" t="s">
        <v>1000</v>
      </c>
      <c r="BY296" s="23" t="s">
        <v>856</v>
      </c>
      <c r="BZ296" s="676" t="s">
        <v>1001</v>
      </c>
      <c r="CA296" s="357"/>
      <c r="CB296" s="357"/>
      <c r="CC296" s="357"/>
      <c r="CD296" s="357"/>
      <c r="CE296" s="357"/>
      <c r="CF296" s="357"/>
    </row>
    <row r="297" spans="2:84" ht="15" customHeight="1">
      <c r="B297" s="311"/>
      <c r="C297" s="311"/>
      <c r="H297" s="23"/>
      <c r="AZ297" s="357"/>
      <c r="BA297" s="357"/>
      <c r="BB297" s="357"/>
      <c r="BC297" s="357"/>
      <c r="BD297" s="357"/>
      <c r="BE297" s="357"/>
      <c r="BF297" s="357"/>
      <c r="BG297" s="357"/>
      <c r="BH297" s="357"/>
      <c r="BI297" s="357"/>
      <c r="BJ297" s="357"/>
      <c r="BK297" s="357"/>
      <c r="BL297" s="357"/>
      <c r="BM297" s="357"/>
      <c r="BN297" s="357"/>
      <c r="BO297" s="357"/>
      <c r="BP297" s="357"/>
      <c r="BQ297" s="357"/>
      <c r="BR297" s="357"/>
      <c r="BS297" s="357"/>
      <c r="BT297" s="309" t="str">
        <f>Energia!B28</f>
        <v>RGE SUL DISTRIBUIDORA DE ENERGIA S.A.</v>
      </c>
      <c r="BU297" s="310" t="str">
        <f>Energia!C28</f>
        <v>A2 (88 a 138 kV)</v>
      </c>
      <c r="BV297" s="431">
        <f>Energia!I28</f>
        <v>0.28499999999999998</v>
      </c>
      <c r="BW297" s="431">
        <f>Energia!F28</f>
        <v>0.28499999999999998</v>
      </c>
      <c r="BY297" s="23">
        <f t="shared" ref="BY297:BY303" si="36">IF(BU297=0,0,1)</f>
        <v>1</v>
      </c>
      <c r="BZ297" s="675"/>
      <c r="CA297" s="357"/>
      <c r="CB297" s="357"/>
      <c r="CC297" s="357"/>
      <c r="CD297" s="357"/>
      <c r="CE297" s="357"/>
      <c r="CF297" s="357"/>
    </row>
    <row r="298" spans="2:84" ht="15" customHeight="1">
      <c r="B298" s="311"/>
      <c r="C298" s="311"/>
      <c r="H298" s="23"/>
      <c r="AZ298" s="357"/>
      <c r="BA298" s="357"/>
      <c r="BB298" s="357"/>
      <c r="BC298" s="357"/>
      <c r="BD298" s="357"/>
      <c r="BE298" s="357"/>
      <c r="BF298" s="357"/>
      <c r="BG298" s="357"/>
      <c r="BH298" s="357"/>
      <c r="BI298" s="357"/>
      <c r="BJ298" s="357"/>
      <c r="BK298" s="357"/>
      <c r="BL298" s="357"/>
      <c r="BM298" s="357"/>
      <c r="BN298" s="357"/>
      <c r="BO298" s="357"/>
      <c r="BP298" s="357"/>
      <c r="BQ298" s="357"/>
      <c r="BR298" s="357"/>
      <c r="BS298" s="357"/>
      <c r="BT298" s="309" t="str">
        <f>Energia!B29</f>
        <v>RGE SUL DISTRIBUIDORA DE ENERGIA S.A.</v>
      </c>
      <c r="BU298" s="310" t="str">
        <f>Energia!C29</f>
        <v>A4 (2,3 a 25 kV)</v>
      </c>
      <c r="BV298" s="431">
        <f>Energia!I29</f>
        <v>0.28499999999999998</v>
      </c>
      <c r="BW298" s="431">
        <f>Energia!F29</f>
        <v>0.28499999999999998</v>
      </c>
      <c r="BY298" s="23">
        <f t="shared" si="36"/>
        <v>1</v>
      </c>
      <c r="BZ298" s="675"/>
    </row>
    <row r="299" spans="2:84" ht="15" hidden="1" customHeight="1">
      <c r="B299" s="311"/>
      <c r="C299" s="311"/>
      <c r="H299" s="23"/>
      <c r="AZ299" s="357"/>
      <c r="BA299" s="357"/>
      <c r="BB299" s="357"/>
      <c r="BC299" s="357"/>
      <c r="BD299" s="357"/>
      <c r="BE299" s="357"/>
      <c r="BF299" s="357"/>
      <c r="BG299" s="357"/>
      <c r="BH299" s="357"/>
      <c r="BI299" s="357"/>
      <c r="BJ299" s="357"/>
      <c r="BK299" s="357"/>
      <c r="BL299" s="357"/>
      <c r="BM299" s="357"/>
      <c r="BN299" s="357"/>
      <c r="BO299" s="357"/>
      <c r="BP299" s="357"/>
      <c r="BQ299" s="357"/>
      <c r="BR299" s="357"/>
      <c r="BS299" s="357"/>
      <c r="BT299" s="309">
        <f>Energia!B30</f>
        <v>0</v>
      </c>
      <c r="BU299" s="310">
        <f>Energia!C30</f>
        <v>0</v>
      </c>
      <c r="BV299" s="431" t="str">
        <f>Energia!I30</f>
        <v/>
      </c>
      <c r="BW299" s="431" t="str">
        <f>Energia!F30</f>
        <v/>
      </c>
      <c r="BY299" s="23">
        <f t="shared" si="36"/>
        <v>0</v>
      </c>
      <c r="BZ299" s="675"/>
    </row>
    <row r="300" spans="2:84" ht="15" hidden="1" customHeight="1">
      <c r="B300" s="311"/>
      <c r="C300" s="311"/>
      <c r="H300" s="23"/>
      <c r="AZ300" s="357"/>
      <c r="BA300" s="357"/>
      <c r="BB300" s="357"/>
      <c r="BC300" s="357"/>
      <c r="BD300" s="357"/>
      <c r="BE300" s="357"/>
      <c r="BF300" s="357"/>
      <c r="BG300" s="357"/>
      <c r="BH300" s="357"/>
      <c r="BI300" s="357"/>
      <c r="BJ300" s="357"/>
      <c r="BK300" s="357"/>
      <c r="BL300" s="357"/>
      <c r="BM300" s="357"/>
      <c r="BN300" s="357"/>
      <c r="BO300" s="357"/>
      <c r="BP300" s="357"/>
      <c r="BQ300" s="357"/>
      <c r="BR300" s="357"/>
      <c r="BS300" s="357"/>
      <c r="BT300" s="309">
        <f>Energia!B31</f>
        <v>0</v>
      </c>
      <c r="BU300" s="310">
        <f>Energia!C31</f>
        <v>0</v>
      </c>
      <c r="BV300" s="431" t="str">
        <f>Energia!I31</f>
        <v/>
      </c>
      <c r="BW300" s="431" t="str">
        <f>Energia!F31</f>
        <v/>
      </c>
      <c r="BY300" s="23">
        <f t="shared" si="36"/>
        <v>0</v>
      </c>
      <c r="BZ300" s="675"/>
    </row>
    <row r="301" spans="2:84" ht="15" hidden="1" customHeight="1">
      <c r="B301" s="311"/>
      <c r="C301" s="311"/>
      <c r="H301" s="23"/>
      <c r="AZ301" s="357"/>
      <c r="BA301" s="357"/>
      <c r="BB301" s="357"/>
      <c r="BC301" s="357"/>
      <c r="BD301" s="357"/>
      <c r="BE301" s="357"/>
      <c r="BF301" s="357"/>
      <c r="BG301" s="357"/>
      <c r="BH301" s="357"/>
      <c r="BI301" s="357"/>
      <c r="BJ301" s="357"/>
      <c r="BK301" s="357"/>
      <c r="BL301" s="357"/>
      <c r="BM301" s="357"/>
      <c r="BN301" s="357"/>
      <c r="BO301" s="357"/>
      <c r="BP301" s="357"/>
      <c r="BQ301" s="357"/>
      <c r="BR301" s="357"/>
      <c r="BS301" s="357"/>
      <c r="BT301" s="309">
        <f>Energia!B32</f>
        <v>0</v>
      </c>
      <c r="BU301" s="310">
        <f>Energia!C32</f>
        <v>0</v>
      </c>
      <c r="BV301" s="431" t="str">
        <f>Energia!I32</f>
        <v/>
      </c>
      <c r="BW301" s="431" t="str">
        <f>Energia!F32</f>
        <v/>
      </c>
      <c r="BY301" s="23">
        <f t="shared" si="36"/>
        <v>0</v>
      </c>
      <c r="BZ301" s="675"/>
    </row>
    <row r="302" spans="2:84" ht="15" hidden="1" customHeight="1">
      <c r="B302" s="311"/>
      <c r="C302" s="311"/>
      <c r="H302" s="23"/>
      <c r="AZ302" s="357"/>
      <c r="BA302" s="357"/>
      <c r="BB302" s="357"/>
      <c r="BC302" s="357"/>
      <c r="BD302" s="357"/>
      <c r="BE302" s="357"/>
      <c r="BF302" s="357"/>
      <c r="BG302" s="357"/>
      <c r="BH302" s="357"/>
      <c r="BI302" s="357"/>
      <c r="BJ302" s="357"/>
      <c r="BK302" s="357"/>
      <c r="BL302" s="357"/>
      <c r="BM302" s="357"/>
      <c r="BN302" s="357"/>
      <c r="BO302" s="357"/>
      <c r="BP302" s="357"/>
      <c r="BQ302" s="357"/>
      <c r="BR302" s="357"/>
      <c r="BS302" s="357"/>
      <c r="BT302" s="309">
        <f>Energia!B34</f>
        <v>0</v>
      </c>
      <c r="BU302" s="310">
        <f>Energia!C34</f>
        <v>0</v>
      </c>
      <c r="BV302" s="431" t="str">
        <f>Energia!I34</f>
        <v/>
      </c>
      <c r="BW302" s="431" t="str">
        <f>Energia!F34</f>
        <v/>
      </c>
      <c r="BY302" s="23">
        <f t="shared" si="36"/>
        <v>0</v>
      </c>
      <c r="BZ302" s="675"/>
    </row>
    <row r="303" spans="2:84" ht="15" hidden="1" customHeight="1">
      <c r="B303" s="311"/>
      <c r="C303" s="311"/>
      <c r="H303" s="23"/>
      <c r="AZ303" s="357"/>
      <c r="BA303" s="357"/>
      <c r="BB303" s="357"/>
      <c r="BC303" s="357"/>
      <c r="BD303" s="357"/>
      <c r="BE303" s="357"/>
      <c r="BF303" s="357"/>
      <c r="BG303" s="357"/>
      <c r="BH303" s="357"/>
      <c r="BI303" s="357"/>
      <c r="BJ303" s="357"/>
      <c r="BK303" s="357"/>
      <c r="BL303" s="357"/>
      <c r="BM303" s="357"/>
      <c r="BN303" s="357"/>
      <c r="BO303" s="357"/>
      <c r="BP303" s="357"/>
      <c r="BQ303" s="357"/>
      <c r="BR303" s="357"/>
      <c r="BS303" s="357"/>
      <c r="BT303" s="309" t="e">
        <f>Energia!#REF!</f>
        <v>#REF!</v>
      </c>
      <c r="BU303" s="310" t="e">
        <f>Energia!#REF!</f>
        <v>#REF!</v>
      </c>
      <c r="BV303" s="431" t="e">
        <f>Energia!#REF!</f>
        <v>#REF!</v>
      </c>
      <c r="BW303" s="431" t="e">
        <f>Energia!#REF!</f>
        <v>#REF!</v>
      </c>
      <c r="BY303" s="23" t="e">
        <f t="shared" si="36"/>
        <v>#REF!</v>
      </c>
      <c r="BZ303" s="677" t="s">
        <v>760</v>
      </c>
      <c r="CB303" s="307" t="s">
        <v>901</v>
      </c>
    </row>
    <row r="304" spans="2:84" ht="15" customHeight="1">
      <c r="B304" s="311"/>
      <c r="C304" s="311"/>
      <c r="H304" s="23"/>
      <c r="AZ304" s="357"/>
      <c r="BA304" s="357"/>
      <c r="BB304" s="357"/>
      <c r="BC304" s="357"/>
      <c r="BD304" s="357"/>
      <c r="BE304" s="357"/>
      <c r="BF304" s="357"/>
      <c r="BG304" s="357"/>
      <c r="BH304" s="357"/>
      <c r="BI304" s="357"/>
      <c r="BJ304" s="357"/>
      <c r="BK304" s="357"/>
      <c r="BL304" s="357"/>
      <c r="BM304" s="357"/>
      <c r="BN304" s="357"/>
      <c r="BO304" s="357"/>
      <c r="BP304" s="357"/>
      <c r="BQ304" s="357"/>
      <c r="BR304" s="357"/>
      <c r="BS304" s="357"/>
      <c r="BZ304" s="1215" t="s">
        <v>760</v>
      </c>
      <c r="CA304" s="1216">
        <f>SUM(CA305:CA306)</f>
        <v>0</v>
      </c>
    </row>
    <row r="305" spans="2:79" ht="15" customHeight="1">
      <c r="B305" s="311"/>
      <c r="C305" s="311"/>
      <c r="H305" s="23"/>
      <c r="AZ305" s="357"/>
      <c r="BA305" s="357"/>
      <c r="BB305" s="357"/>
      <c r="BC305" s="357"/>
      <c r="BD305" s="357"/>
      <c r="BE305" s="357"/>
      <c r="BF305" s="357"/>
      <c r="BG305" s="357"/>
      <c r="BH305" s="357"/>
      <c r="BI305" s="357"/>
      <c r="BJ305" s="357"/>
      <c r="BK305" s="357"/>
      <c r="BL305" s="357"/>
      <c r="BM305" s="357"/>
      <c r="BN305" s="357"/>
      <c r="BO305" s="357"/>
      <c r="BP305" s="357"/>
      <c r="BQ305" s="357"/>
      <c r="BR305" s="357"/>
      <c r="BS305" s="357"/>
      <c r="BZ305" s="432" t="s">
        <v>1002</v>
      </c>
      <c r="CA305" s="433">
        <f>CAPA!H42</f>
        <v>0</v>
      </c>
    </row>
    <row r="306" spans="2:79" ht="15" customHeight="1">
      <c r="B306" s="311"/>
      <c r="C306" s="311"/>
      <c r="H306" s="23"/>
      <c r="AZ306" s="357"/>
      <c r="BA306" s="357"/>
      <c r="BB306" s="357"/>
      <c r="BC306" s="357"/>
      <c r="BD306" s="357"/>
      <c r="BE306" s="357"/>
      <c r="BF306" s="357"/>
      <c r="BG306" s="357"/>
      <c r="BH306" s="357"/>
      <c r="BI306" s="357"/>
      <c r="BJ306" s="357"/>
      <c r="BK306" s="357"/>
      <c r="BL306" s="357"/>
      <c r="BM306" s="357"/>
      <c r="BN306" s="357"/>
      <c r="BO306" s="357"/>
      <c r="BP306" s="357"/>
      <c r="BQ306" s="357"/>
      <c r="BR306" s="357"/>
      <c r="BS306" s="357"/>
      <c r="BZ306" s="1217" t="s">
        <v>1003</v>
      </c>
      <c r="CA306" s="1218">
        <f>CAPA!H44</f>
        <v>0</v>
      </c>
    </row>
    <row r="307" spans="2:79" ht="15" customHeight="1">
      <c r="B307" s="311"/>
      <c r="C307" s="311"/>
      <c r="H307" s="23"/>
      <c r="AZ307" s="357"/>
      <c r="BA307" s="357"/>
      <c r="BB307" s="357"/>
      <c r="BC307" s="357"/>
      <c r="BD307" s="357"/>
      <c r="BE307" s="357"/>
      <c r="BF307" s="357"/>
      <c r="BG307" s="357"/>
      <c r="BH307" s="357"/>
      <c r="BI307" s="357"/>
      <c r="BJ307" s="357"/>
      <c r="BK307" s="357"/>
      <c r="BL307" s="357"/>
      <c r="BM307" s="357"/>
      <c r="BN307" s="357"/>
      <c r="BO307" s="357"/>
      <c r="BP307" s="357"/>
      <c r="BQ307" s="357"/>
      <c r="BR307" s="357"/>
      <c r="BS307" s="357"/>
      <c r="BW307" s="310">
        <v>0</v>
      </c>
    </row>
    <row r="308" spans="2:79" ht="15" customHeight="1">
      <c r="B308" s="311"/>
      <c r="C308" s="311"/>
      <c r="H308" s="23"/>
      <c r="AZ308" s="357"/>
      <c r="BA308" s="357"/>
      <c r="BB308" s="357"/>
      <c r="BC308" s="357"/>
      <c r="BD308" s="357"/>
      <c r="BE308" s="357"/>
      <c r="BF308" s="357"/>
      <c r="BG308" s="357"/>
      <c r="BH308" s="357"/>
      <c r="BI308" s="357"/>
      <c r="BJ308" s="357"/>
      <c r="BK308" s="357"/>
      <c r="BL308" s="357"/>
      <c r="BM308" s="357"/>
      <c r="BN308" s="357"/>
      <c r="BO308" s="357"/>
      <c r="BP308" s="357"/>
      <c r="BQ308" s="357"/>
      <c r="BR308" s="357"/>
      <c r="BS308" s="357"/>
    </row>
    <row r="309" spans="2:79" ht="15" customHeight="1">
      <c r="B309" s="311"/>
      <c r="C309" s="311"/>
      <c r="H309" s="23"/>
      <c r="AZ309" s="357"/>
      <c r="BA309" s="357"/>
      <c r="BB309" s="357"/>
      <c r="BC309" s="357"/>
      <c r="BD309" s="357"/>
      <c r="BE309" s="357"/>
      <c r="BF309" s="357"/>
      <c r="BG309" s="357"/>
      <c r="BH309" s="357"/>
      <c r="BI309" s="357"/>
      <c r="BJ309" s="357"/>
      <c r="BK309" s="357"/>
      <c r="BL309" s="357"/>
      <c r="BM309" s="357"/>
      <c r="BN309" s="357"/>
      <c r="BO309" s="357"/>
      <c r="BP309" s="357"/>
      <c r="BQ309" s="357"/>
      <c r="BR309" s="357"/>
      <c r="BS309" s="357"/>
    </row>
    <row r="310" spans="2:79" ht="15" customHeight="1">
      <c r="B310" s="311"/>
      <c r="C310" s="311"/>
      <c r="H310" s="23"/>
      <c r="AZ310" s="357"/>
      <c r="BA310" s="357"/>
      <c r="BB310" s="357"/>
      <c r="BC310" s="357"/>
      <c r="BD310" s="357"/>
      <c r="BE310" s="357"/>
      <c r="BF310" s="357"/>
      <c r="BG310" s="357"/>
      <c r="BH310" s="357"/>
      <c r="BI310" s="357"/>
      <c r="BJ310" s="357"/>
      <c r="BK310" s="357"/>
      <c r="BL310" s="357"/>
      <c r="BM310" s="357"/>
      <c r="BN310" s="357"/>
      <c r="BO310" s="357"/>
      <c r="BP310" s="357"/>
      <c r="BQ310" s="357"/>
      <c r="BR310" s="357"/>
      <c r="BS310" s="357"/>
    </row>
    <row r="311" spans="2:79" ht="15" customHeight="1">
      <c r="B311" s="355"/>
      <c r="C311" s="363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790"/>
      <c r="C315" s="1790"/>
      <c r="H315" s="23"/>
    </row>
    <row r="316" spans="2:79" ht="15" customHeight="1">
      <c r="C316" s="24"/>
      <c r="H316" s="23"/>
    </row>
    <row r="317" spans="2:79" ht="15" customHeight="1">
      <c r="C317" s="311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790"/>
      <c r="C321" s="1790"/>
      <c r="H321" s="23"/>
    </row>
    <row r="322" spans="2:8" ht="15" customHeight="1">
      <c r="B322" s="366"/>
      <c r="C322" s="367"/>
      <c r="H322" s="23"/>
    </row>
    <row r="323" spans="2:8" ht="15" customHeight="1">
      <c r="C323" s="311"/>
      <c r="H323" s="23"/>
    </row>
    <row r="324" spans="2:8" ht="15" customHeight="1">
      <c r="C324" s="311"/>
      <c r="H324" s="23"/>
    </row>
    <row r="325" spans="2:8" ht="15" customHeight="1">
      <c r="C325" s="311"/>
      <c r="H325" s="23"/>
    </row>
    <row r="326" spans="2:8" ht="15" customHeight="1">
      <c r="C326" s="311"/>
      <c r="H326" s="23"/>
    </row>
    <row r="327" spans="2:8" ht="15" customHeight="1">
      <c r="B327" s="366"/>
      <c r="C327" s="26"/>
      <c r="H327" s="23"/>
    </row>
    <row r="328" spans="2:8" ht="15" customHeight="1">
      <c r="B328" s="366"/>
      <c r="C328" s="26"/>
      <c r="H328" s="23"/>
    </row>
    <row r="329" spans="2:8" ht="15" customHeight="1">
      <c r="B329" s="366"/>
      <c r="C329" s="367"/>
      <c r="H329" s="23"/>
    </row>
    <row r="330" spans="2:8" ht="15" customHeight="1">
      <c r="B330" s="1790"/>
      <c r="C330" s="1790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4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6"/>
      <c r="C337" s="26"/>
      <c r="H337" s="23"/>
    </row>
    <row r="338" spans="2:8" ht="15" customHeight="1">
      <c r="B338" s="366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69"/>
      <c r="C343" s="370"/>
      <c r="H343" s="23"/>
    </row>
    <row r="344" spans="2:8" ht="15" customHeight="1">
      <c r="B344" s="371"/>
      <c r="C344" s="27"/>
      <c r="H344" s="23"/>
    </row>
    <row r="345" spans="2:8" ht="15" customHeight="1">
      <c r="B345" s="371"/>
      <c r="C345" s="27"/>
      <c r="H345" s="23"/>
    </row>
    <row r="346" spans="2:8" ht="15" customHeight="1">
      <c r="B346" s="371"/>
      <c r="C346" s="27"/>
      <c r="H346" s="23"/>
    </row>
    <row r="347" spans="2:8" ht="15" customHeight="1">
      <c r="B347" s="371"/>
      <c r="C347" s="27"/>
      <c r="H347" s="23"/>
    </row>
    <row r="348" spans="2:8" ht="15" customHeight="1">
      <c r="B348" s="371"/>
      <c r="C348" s="372"/>
      <c r="H348" s="23"/>
    </row>
    <row r="349" spans="2:8" ht="15" customHeight="1">
      <c r="B349" s="371"/>
      <c r="C349" s="27"/>
      <c r="H349" s="23"/>
    </row>
    <row r="350" spans="2:8" ht="15" customHeight="1">
      <c r="B350" s="371"/>
      <c r="C350" s="372"/>
      <c r="H350" s="23"/>
    </row>
    <row r="376" ht="31.5" customHeight="1"/>
    <row r="377" ht="15.75" customHeight="1"/>
    <row r="387" spans="72:74" ht="15" customHeight="1">
      <c r="BT387" s="429"/>
      <c r="BU387" s="430"/>
      <c r="BV387" s="430"/>
    </row>
    <row r="388" spans="72:74" ht="15" customHeight="1">
      <c r="BT388" s="429"/>
      <c r="BU388" s="430"/>
      <c r="BV388" s="430"/>
    </row>
    <row r="389" spans="72:74" ht="15" customHeight="1">
      <c r="BT389" s="429"/>
      <c r="BU389" s="430"/>
      <c r="BV389" s="430"/>
    </row>
    <row r="390" spans="72:74" ht="15" customHeight="1">
      <c r="BT390" s="429"/>
      <c r="BU390" s="430"/>
      <c r="BV390" s="430"/>
    </row>
    <row r="391" spans="72:74" ht="15" customHeight="1">
      <c r="BT391" s="429"/>
      <c r="BU391" s="430"/>
      <c r="BV391" s="430"/>
    </row>
    <row r="392" spans="72:74" ht="15" customHeight="1">
      <c r="BT392" s="429"/>
      <c r="BU392" s="430"/>
      <c r="BV392" s="430"/>
    </row>
  </sheetData>
  <mergeCells count="31"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S7:U7"/>
    <mergeCell ref="C75:E75"/>
    <mergeCell ref="C76:E76"/>
    <mergeCell ref="C77:E77"/>
    <mergeCell ref="C78:E78"/>
    <mergeCell ref="C74:E74"/>
  </mergeCells>
  <conditionalFormatting sqref="AN179:AN182 AN196">
    <cfRule type="cellIs" dxfId="439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 AX239 AX240:AX241 AS261:AT261 AX261 AV261 AS224:AX224 AS222:AU222 AW222:AX222 AS223:AU223 AW223:AX223 AS267 AS265:AV265 AT264 AX264 AS215:AU215 AS212:AT212 AX212 AS208 AU208:AV208 AS229:AX231 AS228 AU228:AX228 AS227:AV227 AS226:AT226 AV226:AX226 AX227 AX208 AS262:AV262 AX262 AX263 AS211:AV211 AX211 AS217:AX218 AS216:AV216 AX216 AS221:AV221 AS219:AV219 AX219 AS220:AV220 AX220 AX221 AS225:AV225 AX225 K84 AW213:AX213 AV212 AW219:AW221 AW215:AX215 AX265 AX232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="90" zoomScaleNormal="90" workbookViewId="0">
      <selection activeCell="D49" sqref="D49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4" width="18.28515625" style="95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6.7109375" style="95" bestFit="1" customWidth="1"/>
    <col min="15" max="15" width="17.28515625" style="95" bestFit="1" customWidth="1"/>
    <col min="16" max="16" width="15.5703125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14" t="s">
        <v>1004</v>
      </c>
      <c r="C1" s="1110"/>
      <c r="D1" s="1015"/>
      <c r="E1" s="1015"/>
      <c r="F1" s="1015"/>
      <c r="G1" s="1219" t="s">
        <v>1005</v>
      </c>
      <c r="H1" s="1220">
        <f ca="1">LnkTXTIRTEco</f>
        <v>0.16800000000000001</v>
      </c>
      <c r="I1" s="70"/>
      <c r="J1" s="70"/>
      <c r="P1" s="1221" t="s">
        <v>1006</v>
      </c>
      <c r="Q1" s="1222"/>
      <c r="S1" s="1223" t="s">
        <v>1007</v>
      </c>
      <c r="T1" s="1222" t="s">
        <v>1008</v>
      </c>
      <c r="W1" s="1221" t="s">
        <v>1007</v>
      </c>
      <c r="X1" s="1222" t="s">
        <v>1008</v>
      </c>
    </row>
    <row r="2" spans="2:24" ht="14.25">
      <c r="B2" s="138" t="str">
        <f>CAPA!C9</f>
        <v>Creluz</v>
      </c>
      <c r="C2" s="70"/>
      <c r="D2" s="70"/>
      <c r="G2" s="121" t="s">
        <v>1009</v>
      </c>
      <c r="H2" s="122">
        <f ca="1">LnkTXTIRTTotal</f>
        <v>-5.8700000000000002E-2</v>
      </c>
      <c r="P2" s="1644">
        <f>DATE(YEAR(P4),MONTH(P4)-1,1)</f>
        <v>44378</v>
      </c>
      <c r="Q2" s="686"/>
      <c r="S2" s="1645" t="s">
        <v>1010</v>
      </c>
      <c r="T2" s="686" t="s">
        <v>1011</v>
      </c>
      <c r="W2" s="1645" t="s">
        <v>1012</v>
      </c>
      <c r="X2" s="686" t="s">
        <v>1011</v>
      </c>
    </row>
    <row r="3" spans="2:24" ht="14.25">
      <c r="P3" s="1221" t="s">
        <v>1006</v>
      </c>
      <c r="Q3" s="1222"/>
      <c r="S3" s="1223" t="s">
        <v>1007</v>
      </c>
      <c r="T3" s="1222" t="s">
        <v>1008</v>
      </c>
      <c r="W3" s="1221" t="s">
        <v>1007</v>
      </c>
      <c r="X3" s="1222" t="s">
        <v>1008</v>
      </c>
    </row>
    <row r="4" spans="2:24" ht="14.25">
      <c r="P4" s="1644">
        <f>DATE(YEAR(P6),MONTH(P6)-1,1)</f>
        <v>44409</v>
      </c>
      <c r="Q4" s="686"/>
      <c r="S4" s="1645" t="s">
        <v>655</v>
      </c>
      <c r="T4" s="686" t="s">
        <v>1011</v>
      </c>
      <c r="W4" s="1645" t="s">
        <v>1012</v>
      </c>
      <c r="X4" s="686" t="s">
        <v>1011</v>
      </c>
    </row>
    <row r="5" spans="2:24" ht="14.25">
      <c r="P5" s="1221" t="s">
        <v>1006</v>
      </c>
      <c r="Q5" s="1222"/>
      <c r="S5" s="1221" t="s">
        <v>1007</v>
      </c>
      <c r="T5" s="1222" t="s">
        <v>1008</v>
      </c>
      <c r="V5" s="96"/>
      <c r="W5" s="1221" t="s">
        <v>1007</v>
      </c>
      <c r="X5" s="1222" t="s">
        <v>1008</v>
      </c>
    </row>
    <row r="6" spans="2:24" ht="14.25">
      <c r="B6" s="112" t="s">
        <v>1013</v>
      </c>
      <c r="F6" s="112" t="s">
        <v>1014</v>
      </c>
      <c r="I6" s="112" t="s">
        <v>1015</v>
      </c>
      <c r="P6" s="1644">
        <f>DATE(YEAR(P8),MONTH(P8)-1,1)</f>
        <v>44440</v>
      </c>
      <c r="Q6" s="686"/>
      <c r="S6" s="1645" t="str">
        <f>"=A3"</f>
        <v>=A3</v>
      </c>
      <c r="T6" s="686" t="s">
        <v>1011</v>
      </c>
      <c r="W6" s="1645" t="s">
        <v>1012</v>
      </c>
      <c r="X6" s="686" t="s">
        <v>1011</v>
      </c>
    </row>
    <row r="7" spans="2:24" ht="14.25">
      <c r="B7" s="1224" t="s">
        <v>906</v>
      </c>
      <c r="C7" s="1224" t="s">
        <v>160</v>
      </c>
      <c r="D7" s="1224" t="s">
        <v>1016</v>
      </c>
      <c r="E7" s="97"/>
      <c r="F7" s="1224" t="s">
        <v>906</v>
      </c>
      <c r="G7" s="1224" t="s">
        <v>1016</v>
      </c>
      <c r="I7" s="1119" t="s">
        <v>906</v>
      </c>
      <c r="J7" s="1119" t="s">
        <v>1017</v>
      </c>
      <c r="L7" s="427" t="s">
        <v>1018</v>
      </c>
      <c r="M7" s="427"/>
      <c r="N7" s="427" t="s">
        <v>855</v>
      </c>
      <c r="P7" s="1221" t="s">
        <v>1006</v>
      </c>
      <c r="Q7" s="1222"/>
      <c r="S7" s="1221" t="s">
        <v>1007</v>
      </c>
      <c r="T7" s="1222" t="s">
        <v>1008</v>
      </c>
      <c r="W7" s="1221" t="s">
        <v>1007</v>
      </c>
      <c r="X7" s="1222" t="s">
        <v>1008</v>
      </c>
    </row>
    <row r="8" spans="2:24" ht="14.25">
      <c r="B8" s="1225" t="s">
        <v>1019</v>
      </c>
      <c r="C8" s="1226">
        <f ca="1">SUM(C9:C15)</f>
        <v>118365.851</v>
      </c>
      <c r="D8" s="1227">
        <f ca="1">SUM(D9:D15)</f>
        <v>87699305.603659987</v>
      </c>
      <c r="E8" s="97"/>
      <c r="F8" s="97" t="s">
        <v>1020</v>
      </c>
      <c r="G8" s="116">
        <f t="shared" ref="G8:G14" ca="1" si="0">SUM(INDIRECT("dados_Mercadobase["&amp;F8&amp;"]"))</f>
        <v>0</v>
      </c>
      <c r="I8" s="228" t="s">
        <v>272</v>
      </c>
      <c r="J8" s="117">
        <f ca="1">SUM(INDIRECT("dados_MercadoBase[ICMS]"))/SUM(INDIRECT("dados_MercadoBase[[PisPasep]:[ICMS]]"),INDIRECT("dados_MercadoBase[FinTotAj]"))</f>
        <v>0.1823984696964667</v>
      </c>
      <c r="L8" s="1587" t="s">
        <v>1021</v>
      </c>
      <c r="M8" s="1588"/>
      <c r="N8" s="1515">
        <f>DSUM('BD MERCADO'!A2:AAA999998,"Total",S27:S28)</f>
        <v>13699858.230800003</v>
      </c>
      <c r="P8" s="1644">
        <f>DATE(YEAR(P10),MONTH(P10)-1,1)</f>
        <v>44470</v>
      </c>
      <c r="Q8" s="686"/>
      <c r="S8" s="1645" t="str">
        <f>"=A3a"</f>
        <v>=A3a</v>
      </c>
      <c r="T8" s="686" t="s">
        <v>1011</v>
      </c>
      <c r="W8" s="1645" t="s">
        <v>1012</v>
      </c>
      <c r="X8" s="686" t="s">
        <v>1011</v>
      </c>
    </row>
    <row r="9" spans="2:24" ht="14.25">
      <c r="B9" s="113" t="s">
        <v>1010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54</v>
      </c>
      <c r="G9" s="116">
        <f t="shared" ca="1" si="0"/>
        <v>0</v>
      </c>
      <c r="I9" s="1228" t="s">
        <v>884</v>
      </c>
      <c r="J9" s="1229">
        <f ca="1">SUM(INDIRECT("dados_MercadoBase[[PisPasep]:[Cofins]]"))/SUM(INDIRECT("dados_MercadoBase[[PisPasep]:[ICMS]]"),INDIRECT("dados_MercadoBase[FinTotAj]"))</f>
        <v>1.5362754881659267E-2</v>
      </c>
      <c r="L9" s="97" t="s">
        <v>1022</v>
      </c>
      <c r="M9" s="426"/>
      <c r="N9" s="116">
        <f>DSUM('BD MERCADO'!A2:AAA999998,"Total",S29:S30)</f>
        <v>4189371.6902500009</v>
      </c>
      <c r="P9" s="1221" t="s">
        <v>1006</v>
      </c>
      <c r="Q9" s="1222"/>
      <c r="S9" s="1221" t="s">
        <v>1007</v>
      </c>
      <c r="T9" s="1222" t="s">
        <v>1008</v>
      </c>
      <c r="X9" s="98"/>
    </row>
    <row r="10" spans="2:24" ht="14.25">
      <c r="B10" s="113" t="s">
        <v>655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1023</v>
      </c>
      <c r="G10" s="116">
        <f t="shared" ca="1" si="0"/>
        <v>598830.83554647013</v>
      </c>
      <c r="L10" s="97" t="s">
        <v>1024</v>
      </c>
      <c r="M10" s="426"/>
      <c r="N10" s="116">
        <f>DSUM('BD MERCADO'!A2:AAA999998,"Total",S31:S32)</f>
        <v>9543996.680689998</v>
      </c>
      <c r="P10" s="1644">
        <f>DATE(YEAR(P12),MONTH(P12)-1,1)</f>
        <v>44501</v>
      </c>
      <c r="Q10" s="686"/>
      <c r="S10" s="1645" t="s">
        <v>650</v>
      </c>
      <c r="T10" s="686" t="s">
        <v>1011</v>
      </c>
      <c r="U10" s="95" t="s">
        <v>1025</v>
      </c>
      <c r="X10" s="98"/>
    </row>
    <row r="11" spans="2:24" ht="14.25">
      <c r="B11" s="113" t="s">
        <v>652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52</v>
      </c>
      <c r="G11" s="116">
        <f t="shared" ca="1" si="0"/>
        <v>1089862.2228940444</v>
      </c>
      <c r="L11" s="97" t="s">
        <v>1026</v>
      </c>
      <c r="M11" s="426"/>
      <c r="N11" s="116">
        <f>DSUM('BD MERCADO'!A2:AAA999998,"Total",S33:S34)</f>
        <v>51208921.996900007</v>
      </c>
      <c r="P11" s="1221" t="s">
        <v>1006</v>
      </c>
      <c r="Q11" s="1222"/>
      <c r="S11" s="1221" t="s">
        <v>1007</v>
      </c>
      <c r="T11" s="1222" t="s">
        <v>1008</v>
      </c>
      <c r="X11" s="98"/>
    </row>
    <row r="12" spans="2:24" ht="14.25">
      <c r="B12" s="113" t="s">
        <v>654</v>
      </c>
      <c r="C12" s="99">
        <f t="shared" ca="1" si="2"/>
        <v>0</v>
      </c>
      <c r="D12" s="114">
        <f t="shared" ca="1" si="1"/>
        <v>0</v>
      </c>
      <c r="E12" s="97"/>
      <c r="F12" s="97" t="s">
        <v>46</v>
      </c>
      <c r="G12" s="116">
        <f t="shared" ca="1" si="0"/>
        <v>6816148.3122982187</v>
      </c>
      <c r="I12" s="112" t="s">
        <v>1027</v>
      </c>
      <c r="L12" s="97" t="s">
        <v>1028</v>
      </c>
      <c r="M12" s="426"/>
      <c r="N12" s="116">
        <f>DSUM('BD MERCADO'!A2:AAA999998,"Total",S35:S36)</f>
        <v>2765075.7841599998</v>
      </c>
      <c r="P12" s="1644">
        <f>DATE(YEAR(P14),MONTH(P14)-1,1)</f>
        <v>44531</v>
      </c>
      <c r="Q12" s="686"/>
      <c r="S12" s="1645" t="s">
        <v>1029</v>
      </c>
      <c r="T12" s="686" t="s">
        <v>1011</v>
      </c>
      <c r="X12" s="98"/>
    </row>
    <row r="13" spans="2:24" ht="14.25">
      <c r="B13" s="113" t="s">
        <v>650</v>
      </c>
      <c r="C13" s="99">
        <f t="shared" ca="1" si="2"/>
        <v>29388.723000000016</v>
      </c>
      <c r="D13" s="114">
        <f t="shared" ca="1" si="1"/>
        <v>18258442.11115</v>
      </c>
      <c r="E13" s="97"/>
      <c r="F13" s="97" t="s">
        <v>44</v>
      </c>
      <c r="G13" s="116">
        <f t="shared" ca="1" si="0"/>
        <v>212045.12391727246</v>
      </c>
      <c r="I13" s="1119" t="s">
        <v>906</v>
      </c>
      <c r="J13" s="1119" t="s">
        <v>57</v>
      </c>
      <c r="L13" s="97" t="s">
        <v>1030</v>
      </c>
      <c r="M13" s="426"/>
      <c r="N13" s="116">
        <f>DSUM('BD MERCADO'!A2:AAA999998,"Total",S37:S38)</f>
        <v>3223288.8548599994</v>
      </c>
      <c r="P13" s="1221" t="s">
        <v>1006</v>
      </c>
      <c r="Q13" s="1222"/>
      <c r="S13" s="1221" t="s">
        <v>1007</v>
      </c>
      <c r="T13" s="1222" t="s">
        <v>1008</v>
      </c>
      <c r="X13" s="98"/>
    </row>
    <row r="14" spans="2:24" ht="14.25">
      <c r="B14" s="113" t="s">
        <v>1031</v>
      </c>
      <c r="C14" s="99">
        <f t="shared" ca="1" si="2"/>
        <v>0</v>
      </c>
      <c r="D14" s="114">
        <f t="shared" ca="1" si="1"/>
        <v>0</v>
      </c>
      <c r="E14" s="97"/>
      <c r="F14" s="97" t="s">
        <v>165</v>
      </c>
      <c r="G14" s="116">
        <f t="shared" ca="1" si="0"/>
        <v>0</v>
      </c>
      <c r="I14" s="1589" t="s">
        <v>1032</v>
      </c>
      <c r="J14" s="1590">
        <f>CAPA!D41</f>
        <v>113678.54399999999</v>
      </c>
      <c r="L14" s="97" t="s">
        <v>1033</v>
      </c>
      <c r="M14" s="426"/>
      <c r="N14" s="116">
        <f>DSUM('BD MERCADO'!A2:AAA999998,"Total",S39:S40)</f>
        <v>3024665.1754499995</v>
      </c>
      <c r="P14" s="1644">
        <f>DATE(YEAR(P16),MONTH(P16)-1,1)</f>
        <v>44562</v>
      </c>
      <c r="Q14" s="686"/>
      <c r="S14" s="1645" t="s">
        <v>1012</v>
      </c>
      <c r="T14" s="686" t="s">
        <v>1011</v>
      </c>
      <c r="X14" s="98"/>
    </row>
    <row r="15" spans="2:24" ht="14.25">
      <c r="B15" s="113" t="s">
        <v>657</v>
      </c>
      <c r="C15" s="99">
        <f t="shared" ca="1" si="2"/>
        <v>88977.127999999982</v>
      </c>
      <c r="D15" s="114">
        <f t="shared" ca="1" si="1"/>
        <v>69440863.492509991</v>
      </c>
      <c r="E15" s="97"/>
      <c r="F15" s="97" t="s">
        <v>160</v>
      </c>
      <c r="G15" s="116">
        <f ca="1">SUM(C79:C84)</f>
        <v>18947799.110848572</v>
      </c>
      <c r="I15" s="1230" t="s">
        <v>965</v>
      </c>
      <c r="J15" s="1231">
        <f ca="1">IFERROR(Mercado_RA0_MWh/J14-1,0)</f>
        <v>4.1232996439503955E-2</v>
      </c>
      <c r="L15" s="1232" t="s">
        <v>1034</v>
      </c>
      <c r="M15" s="1233"/>
      <c r="N15" s="1234">
        <f ca="1">D25-SUM(N8:N14)</f>
        <v>1060579.9905499816</v>
      </c>
      <c r="P15" s="1221" t="s">
        <v>1006</v>
      </c>
      <c r="Q15" s="1222"/>
      <c r="S15" s="1221" t="s">
        <v>1035</v>
      </c>
      <c r="T15" s="1222" t="s">
        <v>1008</v>
      </c>
      <c r="X15" s="98"/>
    </row>
    <row r="16" spans="2:24" ht="14.25">
      <c r="B16" s="1225" t="s">
        <v>1036</v>
      </c>
      <c r="C16" s="1235">
        <f ca="1">DSUM(MercadoBase,"TUSD_E",INDIRECT("Mercado_CriterioResBr"))</f>
        <v>1754.2409999999998</v>
      </c>
      <c r="D16" s="1236">
        <f ca="1">DSUM(MercadoBase,"Total",INDIRECT("Mercado_CriterioResBr"))</f>
        <v>1240160.6749499999</v>
      </c>
      <c r="E16" s="97"/>
      <c r="F16" s="97" t="s">
        <v>1037</v>
      </c>
      <c r="G16" s="116">
        <f ca="1">SUM(C87:C97)</f>
        <v>57823384.065284342</v>
      </c>
      <c r="P16" s="1644">
        <f>DATE(YEAR(P18),MONTH(P18)-1,1)</f>
        <v>44593</v>
      </c>
      <c r="Q16" s="686"/>
      <c r="S16" s="1645" t="s">
        <v>1038</v>
      </c>
      <c r="T16" s="686" t="s">
        <v>1011</v>
      </c>
      <c r="X16" s="98"/>
    </row>
    <row r="17" spans="2:24" ht="14.25">
      <c r="B17" s="1225" t="s">
        <v>1039</v>
      </c>
      <c r="C17" s="1235">
        <f ca="1">DSUM(MercadoBase,"TUSD_E",INDIRECT("Mercado_Criterio"&amp;$B17))</f>
        <v>0</v>
      </c>
      <c r="D17" s="1236">
        <f ca="1">DSUM(MercadoBase,"Total",INDIRECT("Mercado_Criterio"&amp;$B17))</f>
        <v>0</v>
      </c>
      <c r="E17" s="97"/>
      <c r="F17" s="1237" t="s">
        <v>889</v>
      </c>
      <c r="G17" s="1238">
        <f ca="1">SUM(G8:G16)</f>
        <v>85488069.670788914</v>
      </c>
      <c r="I17" s="227" t="str">
        <f>"Dado referente à "&amp;TEXT(P20,"mmmm/aaaa")</f>
        <v>Dado referente à abril/2022</v>
      </c>
      <c r="L17" s="79"/>
      <c r="P17" s="1221" t="s">
        <v>1006</v>
      </c>
      <c r="Q17" s="1222"/>
      <c r="S17" s="1221" t="s">
        <v>1008</v>
      </c>
      <c r="T17" s="1222"/>
      <c r="X17" s="98"/>
    </row>
    <row r="18" spans="2:24" ht="14.25">
      <c r="B18" s="1225" t="s">
        <v>1040</v>
      </c>
      <c r="C18" s="1235">
        <f ca="1">DSUM(MercadoBase,"TUSD_E",INDIRECT("Mercado_Criterio"&amp;$B18))</f>
        <v>0</v>
      </c>
      <c r="D18" s="1236">
        <f ca="1">DSUM(MercadoBase,"Total",INDIRECT("Mercado_Criterio"&amp;$B18))</f>
        <v>0</v>
      </c>
      <c r="E18" s="97"/>
      <c r="I18" s="1239" t="s">
        <v>1041</v>
      </c>
      <c r="J18" s="1240">
        <f>DSUM('BD MERCADO'!B2:BU724,"UC",C101:C102)</f>
        <v>10678</v>
      </c>
      <c r="L18" s="79"/>
      <c r="P18" s="1644">
        <f>DATE(YEAR(P20),MONTH(P20)-1,1)</f>
        <v>44621</v>
      </c>
      <c r="Q18" s="686"/>
      <c r="S18" s="1645" t="s">
        <v>918</v>
      </c>
      <c r="T18" s="686"/>
      <c r="X18" s="98"/>
    </row>
    <row r="19" spans="2:24" ht="14.25">
      <c r="B19" s="115" t="s">
        <v>1042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21" t="s">
        <v>1006</v>
      </c>
      <c r="Q19" s="1222"/>
      <c r="S19" s="1221" t="s">
        <v>1008</v>
      </c>
      <c r="T19" s="1222" t="s">
        <v>1007</v>
      </c>
      <c r="X19" s="98"/>
    </row>
    <row r="20" spans="2:24" ht="14.25">
      <c r="B20" s="115" t="s">
        <v>1043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644">
        <f>DATE(YEAR(P22),MONTH(P22)-1,1)</f>
        <v>44652</v>
      </c>
      <c r="Q20" s="686"/>
      <c r="S20" s="1645" t="s">
        <v>1040</v>
      </c>
      <c r="T20" s="686" t="s">
        <v>1010</v>
      </c>
    </row>
    <row r="21" spans="2:24" ht="14.25">
      <c r="B21" s="115" t="s">
        <v>1044</v>
      </c>
      <c r="C21" s="99"/>
      <c r="D21" s="114">
        <f ca="1">DSUM(MercadoBase,"Total",INDIRECT("Mercado_Criterio"&amp;$B21))</f>
        <v>1016452.8000000002</v>
      </c>
      <c r="E21" s="627"/>
      <c r="F21" s="628"/>
      <c r="G21" s="626"/>
      <c r="L21" s="79"/>
      <c r="P21" s="1221" t="s">
        <v>1006</v>
      </c>
      <c r="Q21" s="1222"/>
      <c r="S21" s="1221" t="s">
        <v>1008</v>
      </c>
      <c r="T21" s="1222"/>
    </row>
    <row r="22" spans="2:24" ht="14.25">
      <c r="B22" s="115" t="s">
        <v>1045</v>
      </c>
      <c r="C22" s="99">
        <f ca="1">C18-C19</f>
        <v>0</v>
      </c>
      <c r="D22" s="114">
        <f ca="1">D18-D19</f>
        <v>0</v>
      </c>
      <c r="F22" s="629"/>
      <c r="G22" s="630"/>
      <c r="L22" s="79"/>
      <c r="M22" s="101"/>
      <c r="N22" s="98"/>
      <c r="O22" s="98"/>
      <c r="P22" s="1644">
        <f>DATE(YEAR(P24),MONTH(P24)-1,1)</f>
        <v>44682</v>
      </c>
      <c r="Q22" s="686"/>
      <c r="S22" s="1645" t="s">
        <v>881</v>
      </c>
      <c r="T22" s="686"/>
      <c r="X22" s="98"/>
    </row>
    <row r="23" spans="2:24" ht="14.25">
      <c r="B23" s="1225" t="s">
        <v>1046</v>
      </c>
      <c r="C23" s="1235">
        <v>0</v>
      </c>
      <c r="D23" s="1236">
        <v>0</v>
      </c>
      <c r="E23" s="627"/>
      <c r="F23" s="629"/>
      <c r="G23" s="630"/>
      <c r="L23" s="79"/>
      <c r="M23" s="101"/>
      <c r="N23" s="98"/>
      <c r="O23" s="98"/>
      <c r="P23" s="1221" t="s">
        <v>1006</v>
      </c>
      <c r="Q23" s="1222"/>
      <c r="S23" s="1221" t="s">
        <v>1008</v>
      </c>
      <c r="T23" s="1222"/>
      <c r="X23" s="98"/>
    </row>
    <row r="24" spans="2:24" ht="14.25">
      <c r="B24" s="1225" t="s">
        <v>1047</v>
      </c>
      <c r="C24" s="1241"/>
      <c r="D24" s="1242"/>
      <c r="E24" s="627"/>
      <c r="F24" s="629"/>
      <c r="G24" s="630"/>
      <c r="L24" s="79"/>
      <c r="P24" s="1644">
        <f>SAS_RA0_DataFim</f>
        <v>44713</v>
      </c>
      <c r="Q24" s="686"/>
      <c r="S24" s="1645" t="s">
        <v>1044</v>
      </c>
      <c r="T24" s="686"/>
      <c r="X24" s="98"/>
    </row>
    <row r="25" spans="2:24" ht="14.25">
      <c r="B25" s="1243" t="s">
        <v>889</v>
      </c>
      <c r="C25" s="1244">
        <f ca="1">C18+C8+C24+C20+C21+SuprimentoE</f>
        <v>118365.851</v>
      </c>
      <c r="D25" s="1245">
        <f ca="1">D18+D8+D24+D20+D21+D17</f>
        <v>88715758.403659984</v>
      </c>
      <c r="E25" s="627"/>
      <c r="N25" s="69">
        <f>SUMIFS('BD MERCADO'!$P$3:$P$6000,'BD MERCADO'!$D$3:$D$6000,"A4",'BD MERCADO'!$I$3:$I$6000,U10)</f>
        <v>1399.2749999999999</v>
      </c>
      <c r="S25" s="102" t="s">
        <v>1008</v>
      </c>
      <c r="T25" s="103"/>
      <c r="X25" s="98"/>
    </row>
    <row r="26" spans="2:24" ht="14.25">
      <c r="F26" s="629"/>
      <c r="G26" s="630"/>
      <c r="S26" s="1645" t="s">
        <v>1048</v>
      </c>
      <c r="T26" s="686"/>
      <c r="X26" s="98"/>
    </row>
    <row r="27" spans="2:24" ht="14.25">
      <c r="F27" s="629"/>
      <c r="G27" s="630"/>
      <c r="I27" s="98"/>
      <c r="S27" s="1246" t="s">
        <v>640</v>
      </c>
      <c r="T27" s="1247"/>
      <c r="X27" s="98"/>
    </row>
    <row r="28" spans="2:24" ht="14.25">
      <c r="F28" s="227"/>
      <c r="G28" s="631"/>
      <c r="I28" s="98"/>
      <c r="S28" s="1248" t="s">
        <v>1021</v>
      </c>
      <c r="T28" s="1249"/>
      <c r="X28" s="98"/>
    </row>
    <row r="29" spans="2:24" ht="14.25">
      <c r="C29" s="79">
        <f ca="1">Mercado_RA0_MWh/117894.96-1</f>
        <v>3.9941571717738711E-3</v>
      </c>
      <c r="I29" s="98"/>
      <c r="S29" s="1246" t="s">
        <v>640</v>
      </c>
      <c r="T29" s="1247"/>
    </row>
    <row r="30" spans="2:24" ht="14.25">
      <c r="I30" s="98"/>
      <c r="S30" s="1248" t="s">
        <v>1022</v>
      </c>
      <c r="T30" s="1249"/>
    </row>
    <row r="31" spans="2:24" ht="16.5">
      <c r="B31"/>
      <c r="C31"/>
      <c r="H31" s="98"/>
      <c r="I31" s="98"/>
      <c r="S31" s="1246" t="s">
        <v>640</v>
      </c>
      <c r="T31" s="1247"/>
      <c r="X31" s="98"/>
    </row>
    <row r="32" spans="2:24" ht="14.25">
      <c r="H32" s="98"/>
      <c r="I32" s="98"/>
      <c r="S32" s="1248" t="s">
        <v>1049</v>
      </c>
      <c r="T32" s="1249"/>
      <c r="X32" s="98"/>
    </row>
    <row r="33" spans="2:24" ht="14.25">
      <c r="B33" s="1752" t="s">
        <v>1050</v>
      </c>
      <c r="C33" s="68" t="s">
        <v>1051</v>
      </c>
      <c r="D33" s="68" t="s">
        <v>2384</v>
      </c>
      <c r="S33" s="1246" t="s">
        <v>640</v>
      </c>
      <c r="T33" s="1247"/>
      <c r="X33" s="98"/>
    </row>
    <row r="34" spans="2:24" ht="14.25">
      <c r="B34" s="1753">
        <v>44378</v>
      </c>
      <c r="C34" s="93">
        <v>8460.1189999999988</v>
      </c>
      <c r="D34" s="93">
        <v>8460.1189999999988</v>
      </c>
      <c r="S34" s="1248" t="s">
        <v>1026</v>
      </c>
      <c r="T34" s="1249"/>
      <c r="X34" s="98"/>
    </row>
    <row r="35" spans="2:24" ht="14.25">
      <c r="B35" s="1753">
        <v>44409</v>
      </c>
      <c r="C35" s="93">
        <v>8571.7550000000028</v>
      </c>
      <c r="D35" s="93">
        <v>8571.7550000000028</v>
      </c>
      <c r="S35" s="1246" t="s">
        <v>640</v>
      </c>
      <c r="T35" s="1247"/>
    </row>
    <row r="36" spans="2:24" ht="14.25">
      <c r="B36" s="1753">
        <v>44440</v>
      </c>
      <c r="C36" s="93">
        <v>9105.3119999999999</v>
      </c>
      <c r="D36" s="93">
        <v>9105.3119999999999</v>
      </c>
      <c r="M36" s="98"/>
      <c r="S36" s="1248" t="s">
        <v>1028</v>
      </c>
      <c r="T36" s="1249"/>
    </row>
    <row r="37" spans="2:24" ht="14.25">
      <c r="B37" s="1753">
        <v>44470</v>
      </c>
      <c r="C37" s="93">
        <v>8728.7250000000022</v>
      </c>
      <c r="D37" s="93">
        <v>8728.7250000000022</v>
      </c>
      <c r="M37" s="98"/>
      <c r="S37" s="1246" t="s">
        <v>640</v>
      </c>
      <c r="T37" s="1247"/>
    </row>
    <row r="38" spans="2:24" ht="14.25">
      <c r="B38" s="1753">
        <v>44501</v>
      </c>
      <c r="C38" s="93">
        <v>10167.166000000001</v>
      </c>
      <c r="D38" s="93">
        <v>10167.166000000001</v>
      </c>
      <c r="M38" s="98"/>
      <c r="S38" s="1248" t="s">
        <v>1030</v>
      </c>
      <c r="T38" s="1249"/>
    </row>
    <row r="39" spans="2:24" ht="14.25">
      <c r="B39" s="1753">
        <v>44531</v>
      </c>
      <c r="C39" s="93">
        <v>11942.51</v>
      </c>
      <c r="D39" s="93">
        <v>11942.51</v>
      </c>
      <c r="S39" s="1246" t="s">
        <v>640</v>
      </c>
      <c r="T39" s="1247"/>
    </row>
    <row r="40" spans="2:24" ht="14.25">
      <c r="B40" s="1753">
        <v>44562</v>
      </c>
      <c r="C40" s="93">
        <v>12791.577000000001</v>
      </c>
      <c r="D40" s="93">
        <v>12791.577000000001</v>
      </c>
      <c r="S40" s="1248" t="s">
        <v>1052</v>
      </c>
      <c r="T40" s="1249"/>
    </row>
    <row r="41" spans="2:24" ht="14.25">
      <c r="B41" s="1753">
        <v>44593</v>
      </c>
      <c r="C41" s="93">
        <v>15445.988000000001</v>
      </c>
      <c r="D41" s="93">
        <v>15445.988000000001</v>
      </c>
      <c r="N41" s="98"/>
      <c r="O41" s="98"/>
      <c r="P41" s="98"/>
      <c r="Q41" s="98"/>
      <c r="R41" s="98"/>
      <c r="S41" s="1246" t="s">
        <v>640</v>
      </c>
      <c r="T41" s="1247"/>
    </row>
    <row r="42" spans="2:24" ht="14.25">
      <c r="B42" s="1753">
        <v>44621</v>
      </c>
      <c r="C42" s="93">
        <v>6326.4649999999983</v>
      </c>
      <c r="D42" s="93">
        <v>6326.4649999999983</v>
      </c>
      <c r="N42" s="98"/>
      <c r="O42" s="98"/>
      <c r="P42" s="98"/>
      <c r="Q42" s="98"/>
      <c r="R42" s="98"/>
      <c r="S42" s="1248" t="s">
        <v>1053</v>
      </c>
      <c r="T42" s="1249"/>
    </row>
    <row r="43" spans="2:24" ht="14.25">
      <c r="B43" s="1753">
        <v>44652</v>
      </c>
      <c r="C43" s="93">
        <v>9480.6399999999958</v>
      </c>
      <c r="D43" s="93">
        <v>9480.6399999999958</v>
      </c>
      <c r="N43" s="98"/>
      <c r="O43" s="98"/>
      <c r="P43" s="98"/>
      <c r="Q43" s="98"/>
      <c r="R43" s="98"/>
      <c r="S43" s="1221" t="s">
        <v>1007</v>
      </c>
      <c r="T43" s="1222" t="s">
        <v>1008</v>
      </c>
    </row>
    <row r="44" spans="2:24" ht="14.25">
      <c r="B44" s="1753">
        <v>44682</v>
      </c>
      <c r="C44" s="93">
        <v>8576.2420000000002</v>
      </c>
      <c r="D44" s="93">
        <v>8576.2420000000002</v>
      </c>
      <c r="S44" s="1645" t="s">
        <v>655</v>
      </c>
      <c r="T44" s="686" t="s">
        <v>1040</v>
      </c>
    </row>
    <row r="45" spans="2:24" ht="14.25">
      <c r="B45" s="1753">
        <v>44713</v>
      </c>
      <c r="C45" s="93">
        <v>8769.3519999999971</v>
      </c>
      <c r="D45" s="93">
        <v>8769.3519999999971</v>
      </c>
      <c r="S45" s="1221" t="s">
        <v>1007</v>
      </c>
      <c r="T45" s="1222" t="s">
        <v>1008</v>
      </c>
    </row>
    <row r="46" spans="2:24" ht="14.25">
      <c r="B46" s="1753" t="s">
        <v>1054</v>
      </c>
      <c r="C46" s="93">
        <v>118365.851</v>
      </c>
      <c r="D46" s="93">
        <v>118365.851</v>
      </c>
      <c r="S46" s="1645" t="s">
        <v>652</v>
      </c>
      <c r="T46" s="686" t="s">
        <v>1040</v>
      </c>
    </row>
    <row r="47" spans="2:24" ht="16.5">
      <c r="B47"/>
      <c r="C47"/>
      <c r="D47"/>
      <c r="S47" s="1221" t="s">
        <v>1007</v>
      </c>
      <c r="T47" s="1222" t="s">
        <v>1008</v>
      </c>
    </row>
    <row r="48" spans="2:24" ht="16.5">
      <c r="B48"/>
      <c r="C48"/>
      <c r="D48"/>
      <c r="S48" s="1645" t="s">
        <v>654</v>
      </c>
      <c r="T48" s="686" t="s">
        <v>1040</v>
      </c>
    </row>
    <row r="49" spans="2:21" ht="16.5">
      <c r="B49"/>
      <c r="C49"/>
      <c r="D49"/>
      <c r="S49" s="1221" t="s">
        <v>1007</v>
      </c>
      <c r="T49" s="1222" t="s">
        <v>1008</v>
      </c>
    </row>
    <row r="50" spans="2:21" ht="16.5">
      <c r="B50"/>
      <c r="C50"/>
      <c r="D50"/>
      <c r="S50" s="1645" t="s">
        <v>650</v>
      </c>
      <c r="T50" s="686" t="s">
        <v>1040</v>
      </c>
    </row>
    <row r="51" spans="2:21" ht="16.5">
      <c r="B51"/>
      <c r="C51"/>
      <c r="S51" s="1221" t="s">
        <v>1007</v>
      </c>
      <c r="T51" s="1222" t="s">
        <v>1008</v>
      </c>
    </row>
    <row r="52" spans="2:21" ht="16.5">
      <c r="B52"/>
      <c r="C52"/>
      <c r="S52" s="1645" t="s">
        <v>1012</v>
      </c>
      <c r="T52" s="686" t="s">
        <v>1040</v>
      </c>
    </row>
    <row r="53" spans="2:21" ht="16.5">
      <c r="B53"/>
      <c r="C53"/>
      <c r="S53" s="1221" t="s">
        <v>1007</v>
      </c>
      <c r="T53" s="1222" t="s">
        <v>1008</v>
      </c>
    </row>
    <row r="54" spans="2:21" ht="14.25">
      <c r="S54" s="1645" t="s">
        <v>1029</v>
      </c>
      <c r="T54" s="686" t="s">
        <v>1040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1055</v>
      </c>
      <c r="K61" s="68"/>
    </row>
    <row r="62" spans="2:21" ht="14.25">
      <c r="B62" s="1591" t="s">
        <v>1056</v>
      </c>
      <c r="C62" s="1591"/>
      <c r="D62" s="1591" t="s">
        <v>1020</v>
      </c>
      <c r="E62" s="1591" t="s">
        <v>54</v>
      </c>
      <c r="F62" s="1591" t="s">
        <v>1023</v>
      </c>
      <c r="G62" s="1591" t="s">
        <v>52</v>
      </c>
      <c r="H62" s="1591" t="s">
        <v>46</v>
      </c>
      <c r="I62" s="1591" t="s">
        <v>44</v>
      </c>
      <c r="J62" s="1591" t="s">
        <v>165</v>
      </c>
      <c r="K62" s="1591" t="s">
        <v>1057</v>
      </c>
      <c r="L62" s="1591" t="s">
        <v>1058</v>
      </c>
      <c r="M62" s="1591" t="s">
        <v>1059</v>
      </c>
      <c r="N62" s="1591" t="s">
        <v>1060</v>
      </c>
      <c r="O62" s="1591" t="s">
        <v>1061</v>
      </c>
      <c r="P62" s="1591" t="s">
        <v>1062</v>
      </c>
      <c r="Q62" s="1591" t="s">
        <v>1063</v>
      </c>
      <c r="R62" s="1591" t="s">
        <v>1064</v>
      </c>
      <c r="S62" s="1591" t="s">
        <v>1065</v>
      </c>
      <c r="T62" s="1591" t="s">
        <v>1066</v>
      </c>
      <c r="U62" s="1591" t="s">
        <v>1067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42424.921266169506</v>
      </c>
      <c r="G63" s="104">
        <f t="shared" ca="1" si="4"/>
        <v>77577.2484953495</v>
      </c>
      <c r="H63" s="104">
        <f t="shared" ca="1" si="4"/>
        <v>488239.1859562645</v>
      </c>
      <c r="I63" s="104">
        <f t="shared" ca="1" si="4"/>
        <v>15413.945242701908</v>
      </c>
      <c r="J63" s="104">
        <f t="shared" ca="1" si="4"/>
        <v>0</v>
      </c>
      <c r="K63" s="104">
        <f t="shared" ca="1" si="4"/>
        <v>0</v>
      </c>
      <c r="L63" s="104">
        <f t="shared" ca="1" si="4"/>
        <v>19917.810000000001</v>
      </c>
      <c r="M63" s="104">
        <f t="shared" ca="1" si="4"/>
        <v>0</v>
      </c>
      <c r="N63" s="104">
        <f t="shared" ca="1" si="4"/>
        <v>12863.298984000014</v>
      </c>
      <c r="O63" s="104">
        <f t="shared" ca="1" si="4"/>
        <v>301570.09105080011</v>
      </c>
      <c r="P63" s="104">
        <f t="shared" ca="1" si="4"/>
        <v>4103.8045620000003</v>
      </c>
      <c r="Q63" s="104">
        <f t="shared" ca="1" si="4"/>
        <v>15597.788650000002</v>
      </c>
      <c r="R63" s="104">
        <f t="shared" ca="1" si="4"/>
        <v>3201301.1688546315</v>
      </c>
      <c r="S63" s="104">
        <f ca="1">DSUM(MercadoBase,S$62,INDIRECT("P"&amp;5+2*(ROW()-65)&amp;":P"&amp;6+2*(ROW()-65)))</f>
        <v>231270.17287000941</v>
      </c>
      <c r="T63" s="104">
        <f t="shared" ca="1" si="4"/>
        <v>-1635232.0724678063</v>
      </c>
      <c r="U63" s="104">
        <f t="shared" ca="1" si="4"/>
        <v>-126332.53845952077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43242.44319613996</v>
      </c>
      <c r="G64" s="104">
        <f t="shared" ca="1" si="4"/>
        <v>79069.806477312653</v>
      </c>
      <c r="H64" s="104">
        <f t="shared" ca="1" si="4"/>
        <v>497068.01753713831</v>
      </c>
      <c r="I64" s="104">
        <f t="shared" ca="1" si="4"/>
        <v>15638.155786629148</v>
      </c>
      <c r="J64" s="104">
        <f t="shared" ca="1" si="4"/>
        <v>0</v>
      </c>
      <c r="K64" s="104">
        <f t="shared" ca="1" si="4"/>
        <v>0</v>
      </c>
      <c r="L64" s="104">
        <f t="shared" ca="1" si="4"/>
        <v>19917.810000000001</v>
      </c>
      <c r="M64" s="104">
        <f t="shared" ca="1" si="4"/>
        <v>0</v>
      </c>
      <c r="N64" s="104">
        <f t="shared" ca="1" si="4"/>
        <v>12792.007389600003</v>
      </c>
      <c r="O64" s="104">
        <f t="shared" ca="1" si="4"/>
        <v>312707.39050640003</v>
      </c>
      <c r="P64" s="104">
        <f t="shared" ca="1" si="4"/>
        <v>8702.0695410000008</v>
      </c>
      <c r="Q64" s="104">
        <f t="shared" ca="1" si="4"/>
        <v>15716.58771</v>
      </c>
      <c r="R64" s="104">
        <f t="shared" ca="1" si="4"/>
        <v>3260282.9307002854</v>
      </c>
      <c r="S64" s="104">
        <f t="shared" ca="1" si="4"/>
        <v>235452.23253396241</v>
      </c>
      <c r="T64" s="104">
        <f t="shared" ca="1" si="4"/>
        <v>-1665360.0934109841</v>
      </c>
      <c r="U64" s="104">
        <f t="shared" ca="1" si="4"/>
        <v>-129250.27172388168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46046.003962369825</v>
      </c>
      <c r="G65" s="104">
        <f t="shared" ca="1" si="4"/>
        <v>84154.437624287137</v>
      </c>
      <c r="H65" s="104">
        <f t="shared" ca="1" si="4"/>
        <v>529761.15016803821</v>
      </c>
      <c r="I65" s="104">
        <f t="shared" ca="1" si="4"/>
        <v>16734.597090160823</v>
      </c>
      <c r="J65" s="104">
        <f t="shared" ca="1" si="4"/>
        <v>0</v>
      </c>
      <c r="K65" s="104">
        <f t="shared" ca="1" si="4"/>
        <v>0</v>
      </c>
      <c r="L65" s="104">
        <f t="shared" ca="1" si="4"/>
        <v>19917.810000000001</v>
      </c>
      <c r="M65" s="104">
        <f t="shared" ca="1" si="4"/>
        <v>0</v>
      </c>
      <c r="N65" s="104">
        <f t="shared" ca="1" si="4"/>
        <v>12527.448717599993</v>
      </c>
      <c r="O65" s="104">
        <f t="shared" ca="1" si="4"/>
        <v>339974.68540520006</v>
      </c>
      <c r="P65" s="104">
        <f t="shared" ca="1" si="4"/>
        <v>10543.904171999999</v>
      </c>
      <c r="Q65" s="104">
        <f t="shared" ca="1" si="4"/>
        <v>16641.933610000004</v>
      </c>
      <c r="R65" s="104">
        <f t="shared" ca="1" si="4"/>
        <v>3438813.6396095087</v>
      </c>
      <c r="S65" s="104">
        <f t="shared" ca="1" si="4"/>
        <v>250938.38492134502</v>
      </c>
      <c r="T65" s="104">
        <f t="shared" ca="1" si="4"/>
        <v>-1756553.9941814092</v>
      </c>
      <c r="U65" s="104">
        <f t="shared" ca="1" si="4"/>
        <v>-136060.41304877735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44064.99530724185</v>
      </c>
      <c r="G66" s="104">
        <f t="shared" ca="1" si="4"/>
        <v>80539.226315534601</v>
      </c>
      <c r="H66" s="104">
        <f t="shared" ca="1" si="4"/>
        <v>505496.41471011128</v>
      </c>
      <c r="I66" s="104">
        <f t="shared" ca="1" si="4"/>
        <v>15833.219337584149</v>
      </c>
      <c r="J66" s="104">
        <f t="shared" ca="1" si="4"/>
        <v>0</v>
      </c>
      <c r="K66" s="104">
        <f t="shared" ca="1" si="4"/>
        <v>0</v>
      </c>
      <c r="L66" s="104">
        <f t="shared" ca="1" si="4"/>
        <v>19917.810000000001</v>
      </c>
      <c r="M66" s="104">
        <f t="shared" ca="1" si="4"/>
        <v>0</v>
      </c>
      <c r="N66" s="104">
        <f t="shared" ca="1" si="4"/>
        <v>12608.000878800005</v>
      </c>
      <c r="O66" s="104">
        <f t="shared" ca="1" si="4"/>
        <v>315906.43855800008</v>
      </c>
      <c r="P66" s="104">
        <f t="shared" ca="1" si="4"/>
        <v>10482.986953</v>
      </c>
      <c r="Q66" s="104">
        <f t="shared" ca="1" si="4"/>
        <v>16461.445400000001</v>
      </c>
      <c r="R66" s="104">
        <f t="shared" ca="1" si="4"/>
        <v>3288877.9609235697</v>
      </c>
      <c r="S66" s="104">
        <f t="shared" ca="1" si="4"/>
        <v>239444.61357849638</v>
      </c>
      <c r="T66" s="104">
        <f t="shared" ca="1" si="4"/>
        <v>-1679966.5012645214</v>
      </c>
      <c r="U66" s="104">
        <f t="shared" ca="1" si="4"/>
        <v>-130708.0512871195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51475.618525091391</v>
      </c>
      <c r="G67" s="104">
        <f t="shared" ca="1" si="4"/>
        <v>94197.466441391633</v>
      </c>
      <c r="H67" s="104">
        <f t="shared" ca="1" si="4"/>
        <v>585825.93398991076</v>
      </c>
      <c r="I67" s="104">
        <f t="shared" ca="1" si="4"/>
        <v>17799.291719259949</v>
      </c>
      <c r="J67" s="104">
        <f t="shared" ca="1" si="4"/>
        <v>0</v>
      </c>
      <c r="K67" s="104">
        <f t="shared" ca="1" si="4"/>
        <v>0</v>
      </c>
      <c r="L67" s="104">
        <f t="shared" ca="1" si="4"/>
        <v>19917.810000000001</v>
      </c>
      <c r="M67" s="104">
        <f t="shared" ca="1" si="4"/>
        <v>0</v>
      </c>
      <c r="N67" s="104">
        <f t="shared" ca="1" si="4"/>
        <v>12558.320997600003</v>
      </c>
      <c r="O67" s="104">
        <f t="shared" ca="1" si="4"/>
        <v>344338.81572200014</v>
      </c>
      <c r="P67" s="104">
        <f t="shared" ca="1" si="4"/>
        <v>101388.78171499999</v>
      </c>
      <c r="Q67" s="104">
        <f t="shared" ca="1" si="4"/>
        <v>16911.187849999998</v>
      </c>
      <c r="R67" s="104">
        <f t="shared" ca="1" si="4"/>
        <v>3570133.3152250247</v>
      </c>
      <c r="S67" s="104">
        <f t="shared" ca="1" si="4"/>
        <v>277495.27060230228</v>
      </c>
      <c r="T67" s="104">
        <f t="shared" ca="1" si="4"/>
        <v>-1823632.3894919613</v>
      </c>
      <c r="U67" s="104">
        <f t="shared" ca="1" si="4"/>
        <v>-146349.00063834584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60639.549915534095</v>
      </c>
      <c r="G68" s="104">
        <f t="shared" ca="1" si="4"/>
        <v>111090.32904735241</v>
      </c>
      <c r="H68" s="104">
        <f t="shared" ca="1" si="4"/>
        <v>686043.65814007178</v>
      </c>
      <c r="I68" s="104">
        <f t="shared" ca="1" si="4"/>
        <v>20337.699759888998</v>
      </c>
      <c r="J68" s="104">
        <f t="shared" ca="1" si="4"/>
        <v>0</v>
      </c>
      <c r="K68" s="104">
        <f t="shared" ca="1" si="4"/>
        <v>0</v>
      </c>
      <c r="L68" s="104">
        <f t="shared" ca="1" si="4"/>
        <v>19917.810000000001</v>
      </c>
      <c r="M68" s="104">
        <f t="shared" ca="1" si="4"/>
        <v>0</v>
      </c>
      <c r="N68" s="104">
        <f t="shared" ca="1" si="4"/>
        <v>12834.615655800002</v>
      </c>
      <c r="O68" s="104">
        <f t="shared" ca="1" si="4"/>
        <v>374843.91508120002</v>
      </c>
      <c r="P68" s="104">
        <f t="shared" ca="1" si="4"/>
        <v>239200.07338800002</v>
      </c>
      <c r="Q68" s="104">
        <f t="shared" ca="1" si="4"/>
        <v>17420.637449999998</v>
      </c>
      <c r="R68" s="104">
        <f t="shared" ca="1" si="4"/>
        <v>3974190.4489599871</v>
      </c>
      <c r="S68" s="104">
        <f t="shared" ca="1" si="4"/>
        <v>324966.61468020862</v>
      </c>
      <c r="T68" s="104">
        <f t="shared" ca="1" si="4"/>
        <v>-2030025.7118763144</v>
      </c>
      <c r="U68" s="104">
        <f t="shared" ca="1" si="4"/>
        <v>-166083.69487020108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65039.57125176995</v>
      </c>
      <c r="G69" s="104">
        <f t="shared" ca="1" si="4"/>
        <v>118994.88920345294</v>
      </c>
      <c r="H69" s="104">
        <f t="shared" ca="1" si="4"/>
        <v>739646.67189656</v>
      </c>
      <c r="I69" s="104">
        <f t="shared" ca="1" si="4"/>
        <v>22404.22868590325</v>
      </c>
      <c r="J69" s="104">
        <f t="shared" ca="1" si="4"/>
        <v>0</v>
      </c>
      <c r="K69" s="104">
        <f t="shared" ca="1" si="4"/>
        <v>0</v>
      </c>
      <c r="L69" s="104">
        <f t="shared" ca="1" si="4"/>
        <v>19917.810000000001</v>
      </c>
      <c r="M69" s="104">
        <f t="shared" ca="1" si="4"/>
        <v>0</v>
      </c>
      <c r="N69" s="104">
        <f t="shared" ca="1" si="4"/>
        <v>13284.445522799997</v>
      </c>
      <c r="O69" s="104">
        <f t="shared" ca="1" si="4"/>
        <v>418714.24583879998</v>
      </c>
      <c r="P69" s="104">
        <f t="shared" ca="1" si="4"/>
        <v>197370.01514500001</v>
      </c>
      <c r="Q69" s="104">
        <f t="shared" ca="1" si="4"/>
        <v>18603.064740000002</v>
      </c>
      <c r="R69" s="104">
        <f t="shared" ca="1" si="4"/>
        <v>4470247.7698913906</v>
      </c>
      <c r="S69" s="104">
        <f t="shared" ca="1" si="4"/>
        <v>350357.40389663778</v>
      </c>
      <c r="T69" s="104">
        <f t="shared" ca="1" si="4"/>
        <v>-2283412.9435623945</v>
      </c>
      <c r="U69" s="104">
        <f t="shared" ca="1" si="4"/>
        <v>-183362.55300929118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78913.888615585558</v>
      </c>
      <c r="G70" s="104">
        <f t="shared" ca="1" si="4"/>
        <v>143645.21178525774</v>
      </c>
      <c r="H70" s="104">
        <f t="shared" ca="1" si="4"/>
        <v>906660.79746011912</v>
      </c>
      <c r="I70" s="104">
        <f t="shared" ca="1" si="4"/>
        <v>28891.692975175283</v>
      </c>
      <c r="J70" s="104">
        <f t="shared" ca="1" si="4"/>
        <v>0</v>
      </c>
      <c r="K70" s="104">
        <f t="shared" ca="1" si="4"/>
        <v>0</v>
      </c>
      <c r="L70" s="104">
        <f t="shared" ca="1" si="4"/>
        <v>19917.810000000001</v>
      </c>
      <c r="M70" s="104">
        <f t="shared" ca="1" si="4"/>
        <v>0</v>
      </c>
      <c r="N70" s="104">
        <f t="shared" ca="1" si="4"/>
        <v>12784.64740020001</v>
      </c>
      <c r="O70" s="104">
        <f t="shared" ca="1" si="4"/>
        <v>670383.35628960014</v>
      </c>
      <c r="P70" s="104">
        <f t="shared" ca="1" si="4"/>
        <v>130144.419024</v>
      </c>
      <c r="Q70" s="104">
        <f t="shared" ca="1" si="4"/>
        <v>35369.162390000005</v>
      </c>
      <c r="R70" s="104">
        <f t="shared" ca="1" si="4"/>
        <v>5836504.2949360171</v>
      </c>
      <c r="S70" s="104">
        <f t="shared" ca="1" si="4"/>
        <v>429469.00903166237</v>
      </c>
      <c r="T70" s="104">
        <f t="shared" ca="1" si="4"/>
        <v>-2981299.9498545052</v>
      </c>
      <c r="U70" s="104">
        <f t="shared" ca="1" si="4"/>
        <v>-231498.93711246675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31577.665344982113</v>
      </c>
      <c r="G71" s="104">
        <f t="shared" ca="1" si="4"/>
        <v>56377.865738388566</v>
      </c>
      <c r="H71" s="104">
        <f t="shared" ca="1" si="4"/>
        <v>346418.77328675141</v>
      </c>
      <c r="I71" s="104">
        <f t="shared" ca="1" si="4"/>
        <v>10494.370503404738</v>
      </c>
      <c r="J71" s="104">
        <f t="shared" ca="1" si="4"/>
        <v>0</v>
      </c>
      <c r="K71" s="104">
        <f t="shared" ca="1" si="4"/>
        <v>0</v>
      </c>
      <c r="L71" s="104">
        <f t="shared" ca="1" si="4"/>
        <v>19917.810000000001</v>
      </c>
      <c r="M71" s="104">
        <f t="shared" ca="1" si="4"/>
        <v>0</v>
      </c>
      <c r="N71" s="104">
        <f t="shared" ca="1" si="4"/>
        <v>13136.933445600005</v>
      </c>
      <c r="O71" s="104">
        <f t="shared" ca="1" si="4"/>
        <v>66591.216447200088</v>
      </c>
      <c r="P71" s="104">
        <f t="shared" ca="1" si="4"/>
        <v>28385.128178999999</v>
      </c>
      <c r="Q71" s="104">
        <f t="shared" ca="1" si="4"/>
        <v>34945.365760000001</v>
      </c>
      <c r="R71" s="104">
        <f t="shared" ca="1" si="4"/>
        <v>2166540.6266226694</v>
      </c>
      <c r="S71" s="104">
        <f t="shared" ca="1" si="4"/>
        <v>164092.37907958549</v>
      </c>
      <c r="T71" s="104">
        <f t="shared" ca="1" si="4"/>
        <v>-1106673.9841367179</v>
      </c>
      <c r="U71" s="104">
        <f t="shared" ca="1" si="4"/>
        <v>-89484.308748402749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47945.734062107069</v>
      </c>
      <c r="G72" s="104">
        <f t="shared" ca="1" si="4"/>
        <v>86460.386226545175</v>
      </c>
      <c r="H72" s="104">
        <f t="shared" ca="1" si="4"/>
        <v>542923.33518405352</v>
      </c>
      <c r="I72" s="104">
        <f t="shared" ca="1" si="4"/>
        <v>17276.544135334228</v>
      </c>
      <c r="J72" s="104">
        <f t="shared" ca="1" si="4"/>
        <v>0</v>
      </c>
      <c r="K72" s="104">
        <f t="shared" ca="1" si="4"/>
        <v>0</v>
      </c>
      <c r="L72" s="104">
        <f t="shared" ca="1" si="4"/>
        <v>19917.810000000001</v>
      </c>
      <c r="M72" s="104">
        <f t="shared" ca="1" si="4"/>
        <v>0</v>
      </c>
      <c r="N72" s="104">
        <f t="shared" ca="1" si="4"/>
        <v>12715.246812000012</v>
      </c>
      <c r="O72" s="104">
        <f t="shared" ca="1" si="4"/>
        <v>323745.51928280003</v>
      </c>
      <c r="P72" s="104">
        <f t="shared" ca="1" si="4"/>
        <v>4563.0733810000002</v>
      </c>
      <c r="Q72" s="104">
        <f t="shared" ca="1" si="4"/>
        <v>38193.937820000006</v>
      </c>
      <c r="R72" s="104">
        <f t="shared" ca="1" si="4"/>
        <v>3534202.8064356684</v>
      </c>
      <c r="S72" s="104">
        <f t="shared" ca="1" si="4"/>
        <v>257173.07662893279</v>
      </c>
      <c r="T72" s="104">
        <f t="shared" ca="1" si="4"/>
        <v>-1805279.0021493186</v>
      </c>
      <c r="U72" s="104">
        <f t="shared" ca="1" si="4"/>
        <v>-140141.37328497248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43211.768807014523</v>
      </c>
      <c r="G73" s="104">
        <f t="shared" ca="1" si="4"/>
        <v>77933.141156051512</v>
      </c>
      <c r="H73" s="104">
        <f t="shared" ca="1" si="4"/>
        <v>487660.34849233739</v>
      </c>
      <c r="I73" s="104">
        <f t="shared" ca="1" si="4"/>
        <v>15370.826878917518</v>
      </c>
      <c r="J73" s="104">
        <f t="shared" ca="1" si="4"/>
        <v>0</v>
      </c>
      <c r="K73" s="104">
        <f t="shared" ca="1" si="4"/>
        <v>0</v>
      </c>
      <c r="L73" s="104">
        <f t="shared" ca="1" si="4"/>
        <v>19917.810000000001</v>
      </c>
      <c r="M73" s="104">
        <f t="shared" ca="1" si="4"/>
        <v>0</v>
      </c>
      <c r="N73" s="104">
        <f t="shared" ca="1" si="4"/>
        <v>12416.413505399993</v>
      </c>
      <c r="O73" s="104">
        <f t="shared" ca="1" si="4"/>
        <v>284138.20161440002</v>
      </c>
      <c r="P73" s="104">
        <f t="shared" ca="1" si="4"/>
        <v>3516.681603</v>
      </c>
      <c r="Q73" s="104">
        <f t="shared" ca="1" si="4"/>
        <v>36825.201699999998</v>
      </c>
      <c r="R73" s="104">
        <f t="shared" ca="1" si="4"/>
        <v>3137963.7137955874</v>
      </c>
      <c r="S73" s="104">
        <f t="shared" ca="1" si="4"/>
        <v>230995.98791272487</v>
      </c>
      <c r="T73" s="104">
        <f t="shared" ca="1" si="4"/>
        <v>-1602879.1533145946</v>
      </c>
      <c r="U73" s="104">
        <f t="shared" ca="1" si="4"/>
        <v>-125169.91448309888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44248.675292464766</v>
      </c>
      <c r="G74" s="104">
        <f t="shared" ca="1" si="4"/>
        <v>79822.214383120125</v>
      </c>
      <c r="H74" s="104">
        <f t="shared" ca="1" si="4"/>
        <v>500404.02547685558</v>
      </c>
      <c r="I74" s="104">
        <f t="shared" ca="1" si="4"/>
        <v>15850.551802312646</v>
      </c>
      <c r="J74" s="104">
        <f t="shared" ca="1" si="4"/>
        <v>0</v>
      </c>
      <c r="K74" s="104">
        <f t="shared" ca="1" si="4"/>
        <v>0</v>
      </c>
      <c r="L74" s="104">
        <f t="shared" ca="1" si="4"/>
        <v>19917.810000000001</v>
      </c>
      <c r="M74" s="104">
        <f t="shared" ca="1" si="4"/>
        <v>0</v>
      </c>
      <c r="N74" s="104">
        <f t="shared" ca="1" si="4"/>
        <v>12316.658765399992</v>
      </c>
      <c r="O74" s="104">
        <f t="shared" ca="1" si="4"/>
        <v>291955.1183092001</v>
      </c>
      <c r="P74" s="104">
        <f t="shared" ca="1" si="4"/>
        <v>2549.7804349999997</v>
      </c>
      <c r="Q74" s="104">
        <f t="shared" ca="1" si="4"/>
        <v>36215.219069999999</v>
      </c>
      <c r="R74" s="104">
        <f t="shared" ca="1" si="4"/>
        <v>3201900.5905801379</v>
      </c>
      <c r="S74" s="104">
        <f t="shared" ca="1" si="4"/>
        <v>237032.43984854539</v>
      </c>
      <c r="T74" s="104">
        <f t="shared" ca="1" si="4"/>
        <v>-1635538.2584774264</v>
      </c>
      <c r="U74" s="104">
        <f t="shared" ca="1" si="4"/>
        <v>-127732.82610133884</v>
      </c>
    </row>
    <row r="75" spans="2:21" ht="14.25">
      <c r="B75" s="1250" t="s">
        <v>1068</v>
      </c>
      <c r="C75" s="1251"/>
      <c r="D75" s="1251">
        <f t="shared" ref="D75:Q75" ca="1" si="5">SUM(D63:D74)</f>
        <v>0</v>
      </c>
      <c r="E75" s="1251">
        <f t="shared" ca="1" si="5"/>
        <v>0</v>
      </c>
      <c r="F75" s="1251">
        <f t="shared" ca="1" si="5"/>
        <v>598830.8355464706</v>
      </c>
      <c r="G75" s="1251">
        <f t="shared" ca="1" si="5"/>
        <v>1089862.2228940441</v>
      </c>
      <c r="H75" s="1251">
        <f t="shared" ca="1" si="5"/>
        <v>6816148.3122982113</v>
      </c>
      <c r="I75" s="1251">
        <f t="shared" ca="1" si="5"/>
        <v>212045.12391727263</v>
      </c>
      <c r="J75" s="1251">
        <f t="shared" ca="1" si="5"/>
        <v>0</v>
      </c>
      <c r="K75" s="1251">
        <f t="shared" ca="1" si="5"/>
        <v>0</v>
      </c>
      <c r="L75" s="1251">
        <f t="shared" ca="1" si="5"/>
        <v>239013.72</v>
      </c>
      <c r="M75" s="1251">
        <f t="shared" ca="1" si="5"/>
        <v>0</v>
      </c>
      <c r="N75" s="1251">
        <f t="shared" ca="1" si="5"/>
        <v>152838.03807480005</v>
      </c>
      <c r="O75" s="1251">
        <f t="shared" ca="1" si="5"/>
        <v>4044868.9941056012</v>
      </c>
      <c r="P75" s="1251">
        <f t="shared" ca="1" si="5"/>
        <v>740950.71809800004</v>
      </c>
      <c r="Q75" s="1251">
        <f t="shared" ca="1" si="5"/>
        <v>298901.53214999998</v>
      </c>
      <c r="R75" s="1251">
        <f t="shared" ref="R75:S75" ca="1" si="6">SUM(R63:R74)</f>
        <v>43080959.26653447</v>
      </c>
      <c r="S75" s="1251">
        <f t="shared" ca="1" si="6"/>
        <v>3228687.5855844123</v>
      </c>
      <c r="T75" s="1251">
        <f t="shared" ref="T75:U75" ca="1" si="7">SUM(T63:T74)</f>
        <v>-22005854.054187953</v>
      </c>
      <c r="U75" s="1251">
        <f t="shared" ca="1" si="7"/>
        <v>-1732173.882767417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1069</v>
      </c>
    </row>
    <row r="78" spans="2:21" ht="14.25">
      <c r="J78" s="95" t="s">
        <v>1070</v>
      </c>
      <c r="K78" s="1252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592" t="s">
        <v>1071</v>
      </c>
      <c r="C79" s="1593">
        <f t="shared" ref="C79:C84" ca="1" si="8">SUM(INDIRECT("dados_MercadoBase["&amp;B79&amp;"]"))</f>
        <v>17823738.733716436</v>
      </c>
      <c r="J79" s="95" t="s">
        <v>1072</v>
      </c>
      <c r="K79" s="1253"/>
      <c r="L79" s="1253"/>
      <c r="M79" s="1253">
        <f>SUMIFS(M63:M74,$B$63:$B$74,42826)</f>
        <v>0</v>
      </c>
      <c r="N79" s="1253">
        <f>SUMIFS(N63:N74,$B$63:$B$74,42826)</f>
        <v>0</v>
      </c>
      <c r="O79" s="1253">
        <f>SUMIFS(O63:O74,$B$63:$B$74,42826)</f>
        <v>0</v>
      </c>
      <c r="P79" s="1253">
        <f>SUMIFS(P63:P74,$B$63:$B$74,42826)</f>
        <v>0</v>
      </c>
      <c r="Q79" s="1253">
        <f>SUMIFS(Q63:Q74,$B$63:$B$74,42826)</f>
        <v>0</v>
      </c>
    </row>
    <row r="80" spans="2:21" ht="14.25">
      <c r="B80" s="118" t="s">
        <v>1073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1074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1075</v>
      </c>
      <c r="C82" s="104">
        <f t="shared" ca="1" si="8"/>
        <v>0</v>
      </c>
    </row>
    <row r="83" spans="2:13" ht="14.25">
      <c r="B83" s="118" t="s">
        <v>1076</v>
      </c>
      <c r="C83" s="104">
        <f t="shared" ca="1" si="8"/>
        <v>1124060.3771321364</v>
      </c>
    </row>
    <row r="84" spans="2:13" ht="14.25">
      <c r="B84" s="118" t="s">
        <v>1075</v>
      </c>
      <c r="C84" s="104">
        <f t="shared" ca="1" si="8"/>
        <v>0</v>
      </c>
    </row>
    <row r="85" spans="2:13" ht="14.25">
      <c r="B85" s="1254"/>
      <c r="C85" s="1255"/>
    </row>
    <row r="86" spans="2:13" ht="14.25"/>
    <row r="87" spans="2:13" ht="14.25">
      <c r="B87" s="1592" t="s">
        <v>1077</v>
      </c>
      <c r="C87" s="1593">
        <f t="shared" ref="C87:C97" ca="1" si="9">SUM(INDIRECT("dados_MercadoBase["&amp;B87&amp;"]"))</f>
        <v>0</v>
      </c>
    </row>
    <row r="88" spans="2:13" ht="14.25">
      <c r="B88" s="118" t="s">
        <v>1078</v>
      </c>
      <c r="C88" s="104">
        <f t="shared" ca="1" si="9"/>
        <v>0</v>
      </c>
    </row>
    <row r="89" spans="2:13" ht="14.25">
      <c r="B89" s="118" t="s">
        <v>1079</v>
      </c>
      <c r="C89" s="104">
        <f t="shared" ca="1" si="9"/>
        <v>0</v>
      </c>
    </row>
    <row r="90" spans="2:13" ht="14.25">
      <c r="B90" s="118" t="s">
        <v>1080</v>
      </c>
      <c r="C90" s="104">
        <f t="shared" ca="1" si="9"/>
        <v>0</v>
      </c>
    </row>
    <row r="91" spans="2:13" ht="14.25">
      <c r="B91" s="118" t="s">
        <v>1081</v>
      </c>
      <c r="C91" s="104">
        <f t="shared" ca="1" si="9"/>
        <v>0</v>
      </c>
    </row>
    <row r="92" spans="2:13" ht="14.25">
      <c r="B92" s="118" t="s">
        <v>1082</v>
      </c>
      <c r="C92" s="104">
        <f t="shared" ca="1" si="9"/>
        <v>0</v>
      </c>
      <c r="G92" s="105"/>
    </row>
    <row r="93" spans="2:13" ht="14.25">
      <c r="B93" s="118" t="s">
        <v>1083</v>
      </c>
      <c r="C93" s="104">
        <f t="shared" ca="1" si="9"/>
        <v>0</v>
      </c>
      <c r="E93" s="106"/>
      <c r="G93" s="79"/>
    </row>
    <row r="94" spans="2:13" ht="14.25">
      <c r="B94" s="118" t="s">
        <v>1084</v>
      </c>
      <c r="C94" s="104">
        <f t="shared" ca="1" si="9"/>
        <v>0</v>
      </c>
      <c r="E94" s="106"/>
      <c r="G94" s="106"/>
    </row>
    <row r="95" spans="2:13" ht="14.25">
      <c r="B95" s="118" t="s">
        <v>1085</v>
      </c>
      <c r="C95" s="104">
        <f t="shared" ca="1" si="9"/>
        <v>0</v>
      </c>
      <c r="E95" s="106"/>
      <c r="G95" s="106"/>
    </row>
    <row r="96" spans="2:13" ht="14.25">
      <c r="B96" s="118" t="s">
        <v>1086</v>
      </c>
      <c r="C96" s="104">
        <f ca="1">SUM(INDIRECT("dados_MercadoBase["&amp;B96&amp;"]"))</f>
        <v>14742424.798749864</v>
      </c>
      <c r="E96" s="106"/>
      <c r="G96" s="106"/>
    </row>
    <row r="97" spans="1:7" ht="14.25">
      <c r="B97" s="1254" t="s">
        <v>1087</v>
      </c>
      <c r="C97" s="1255">
        <f t="shared" ca="1" si="9"/>
        <v>43080959.266534477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1"/>
      <c r="B99" s="231"/>
      <c r="C99" s="231"/>
      <c r="D99" s="232"/>
      <c r="E99" s="106"/>
      <c r="G99" s="251"/>
    </row>
    <row r="100" spans="1:7" ht="12.75" customHeight="1">
      <c r="A100" s="231"/>
      <c r="B100" s="230" t="s">
        <v>1088</v>
      </c>
      <c r="C100" s="230"/>
      <c r="D100" s="231"/>
      <c r="E100" s="106"/>
      <c r="G100" s="251"/>
    </row>
    <row r="101" spans="1:7" ht="12.75" customHeight="1">
      <c r="A101" s="231"/>
      <c r="B101" s="1246" t="s">
        <v>1089</v>
      </c>
      <c r="C101" s="1247" t="s">
        <v>1006</v>
      </c>
      <c r="D101" s="231"/>
    </row>
    <row r="102" spans="1:7" ht="12.75" customHeight="1">
      <c r="A102" s="231"/>
      <c r="B102" s="1248" t="s">
        <v>1090</v>
      </c>
      <c r="C102" s="1256">
        <f>SAS_RA0_DataFim</f>
        <v>44713</v>
      </c>
      <c r="D102" s="231"/>
    </row>
    <row r="103" spans="1:7" ht="12.75" customHeight="1">
      <c r="A103" s="231"/>
      <c r="B103" s="231"/>
      <c r="C103" s="231"/>
      <c r="D103" s="231"/>
      <c r="G103" s="249"/>
    </row>
    <row r="104" spans="1:7" ht="12.75" customHeight="1">
      <c r="G104" s="250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1091</v>
      </c>
      <c r="E109" s="111"/>
    </row>
    <row r="111" spans="1:7" ht="12.75" customHeight="1">
      <c r="B111" s="1224" t="s">
        <v>906</v>
      </c>
      <c r="C111" s="1224" t="s">
        <v>160</v>
      </c>
      <c r="D111" s="1224" t="s">
        <v>1016</v>
      </c>
    </row>
    <row r="112" spans="1:7" ht="12.75" customHeight="1">
      <c r="B112" s="1225" t="s">
        <v>1040</v>
      </c>
      <c r="C112" s="1226"/>
      <c r="D112" s="1227"/>
    </row>
    <row r="113" spans="2:4" ht="12.75" customHeight="1">
      <c r="B113" s="113"/>
      <c r="C113" s="99"/>
      <c r="D113" s="114"/>
    </row>
    <row r="114" spans="2:4" ht="12.75" customHeight="1">
      <c r="B114" s="113" t="s">
        <v>655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652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654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650</v>
      </c>
      <c r="C117" s="99">
        <f ca="1">DSUM(MercadoBase,"TUSD_E",INDIRECT("Mercado_Livre"&amp;$B117))</f>
        <v>0</v>
      </c>
      <c r="D117" s="114">
        <f t="shared" ca="1" si="11"/>
        <v>0</v>
      </c>
    </row>
    <row r="118" spans="2:4" ht="12.75" customHeight="1">
      <c r="B118" s="113" t="s">
        <v>1029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657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43" t="s">
        <v>897</v>
      </c>
      <c r="C120" s="1244">
        <f ca="1">SUM(C114:C119)</f>
        <v>0</v>
      </c>
      <c r="D120" s="1245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M1" zoomScaleNormal="100" workbookViewId="0">
      <pane ySplit="2" topLeftCell="A3" activePane="bottomLeft" state="frozen"/>
      <selection pane="bottomLeft" activeCell="M15" sqref="M15"/>
    </sheetView>
  </sheetViews>
  <sheetFormatPr defaultColWidth="9.140625" defaultRowHeight="15.75"/>
  <cols>
    <col min="1" max="1" width="11.140625" style="265" customWidth="1"/>
    <col min="2" max="2" width="23" style="265" bestFit="1" customWidth="1"/>
    <col min="3" max="3" width="15.42578125" style="265" bestFit="1" customWidth="1"/>
    <col min="4" max="4" width="9.28515625" style="265" customWidth="1"/>
    <col min="5" max="5" width="16.85546875" style="265" bestFit="1" customWidth="1"/>
    <col min="6" max="6" width="16.85546875" style="265" customWidth="1"/>
    <col min="7" max="7" width="17.7109375" style="265" customWidth="1"/>
    <col min="8" max="8" width="14.140625" style="265" customWidth="1"/>
    <col min="9" max="9" width="12.7109375" style="265" bestFit="1" customWidth="1"/>
    <col min="10" max="10" width="14.5703125" style="265" bestFit="1" customWidth="1"/>
    <col min="11" max="11" width="15.5703125" style="496" bestFit="1" customWidth="1"/>
    <col min="12" max="12" width="14.7109375" style="290" customWidth="1"/>
    <col min="13" max="13" width="19.28515625" style="290" customWidth="1"/>
    <col min="14" max="14" width="20.7109375" style="290" customWidth="1"/>
    <col min="15" max="15" width="21.85546875" style="290" bestFit="1" customWidth="1"/>
    <col min="16" max="16" width="20.28515625" style="290" customWidth="1"/>
    <col min="17" max="17" width="18" style="290" bestFit="1" customWidth="1"/>
    <col min="18" max="18" width="21.28515625" style="265" bestFit="1" customWidth="1"/>
    <col min="19" max="19" width="23.7109375" style="265" bestFit="1" customWidth="1"/>
    <col min="20" max="20" width="23.5703125" style="265" bestFit="1" customWidth="1"/>
    <col min="21" max="21" width="20.7109375" style="265" bestFit="1" customWidth="1"/>
    <col min="22" max="22" width="20.5703125" style="265" bestFit="1" customWidth="1"/>
    <col min="23" max="23" width="19.5703125" style="265" bestFit="1" customWidth="1"/>
    <col min="24" max="24" width="16.42578125" style="265" bestFit="1" customWidth="1"/>
    <col min="25" max="25" width="13.42578125" style="265" bestFit="1" customWidth="1"/>
    <col min="26" max="26" width="21.85546875" style="265" bestFit="1" customWidth="1"/>
    <col min="27" max="28" width="11.85546875" style="265" bestFit="1" customWidth="1"/>
    <col min="29" max="29" width="15.5703125" style="265" bestFit="1" customWidth="1"/>
    <col min="30" max="30" width="14.42578125" style="265" bestFit="1" customWidth="1"/>
    <col min="31" max="31" width="17.85546875" style="265" bestFit="1" customWidth="1"/>
    <col min="32" max="32" width="32.28515625" style="265" bestFit="1" customWidth="1"/>
    <col min="33" max="33" width="15.5703125" style="265" bestFit="1" customWidth="1"/>
    <col min="34" max="34" width="14" style="265" bestFit="1" customWidth="1"/>
    <col min="35" max="36" width="13.42578125" style="265" bestFit="1" customWidth="1"/>
    <col min="37" max="37" width="15" style="265" bestFit="1" customWidth="1"/>
    <col min="38" max="38" width="17.85546875" style="265" bestFit="1" customWidth="1"/>
    <col min="39" max="39" width="13.42578125" style="265" bestFit="1" customWidth="1"/>
    <col min="40" max="40" width="14.85546875" style="265" bestFit="1" customWidth="1"/>
    <col min="41" max="42" width="15.5703125" style="265" bestFit="1" customWidth="1"/>
    <col min="43" max="43" width="14" style="265" bestFit="1" customWidth="1"/>
    <col min="44" max="45" width="11.85546875" style="265" bestFit="1" customWidth="1"/>
    <col min="46" max="46" width="14" style="265" bestFit="1" customWidth="1"/>
    <col min="47" max="47" width="11.85546875" style="265" bestFit="1" customWidth="1"/>
    <col min="48" max="48" width="15.5703125" style="265" bestFit="1" customWidth="1"/>
    <col min="49" max="49" width="15" style="265" bestFit="1" customWidth="1"/>
    <col min="50" max="50" width="13.42578125" style="265" bestFit="1" customWidth="1"/>
    <col min="51" max="51" width="16.42578125" style="265" bestFit="1" customWidth="1"/>
    <col min="52" max="52" width="14.42578125" style="265" bestFit="1" customWidth="1"/>
    <col min="53" max="53" width="13.7109375" style="265" bestFit="1" customWidth="1"/>
    <col min="54" max="54" width="16.140625" style="265" bestFit="1" customWidth="1"/>
    <col min="55" max="55" width="18" style="265" bestFit="1" customWidth="1"/>
    <col min="56" max="56" width="17.7109375" style="265" bestFit="1" customWidth="1"/>
    <col min="57" max="57" width="18.140625" style="265" bestFit="1" customWidth="1"/>
    <col min="58" max="58" width="14" style="265" bestFit="1" customWidth="1"/>
    <col min="59" max="59" width="26.28515625" style="265" bestFit="1" customWidth="1"/>
    <col min="60" max="60" width="9.85546875" style="265" bestFit="1" customWidth="1"/>
    <col min="61" max="61" width="17.85546875" style="265" bestFit="1" customWidth="1"/>
    <col min="62" max="62" width="15" style="265" bestFit="1" customWidth="1"/>
    <col min="63" max="63" width="17.85546875" style="265" bestFit="1" customWidth="1"/>
    <col min="64" max="64" width="14.28515625" style="265" bestFit="1" customWidth="1"/>
    <col min="65" max="65" width="19" style="265" bestFit="1" customWidth="1"/>
    <col min="66" max="67" width="22.7109375" style="265" bestFit="1" customWidth="1"/>
    <col min="68" max="68" width="20.140625" style="265" bestFit="1" customWidth="1"/>
    <col min="69" max="69" width="32.5703125" style="265" bestFit="1" customWidth="1"/>
    <col min="70" max="70" width="35.140625" style="290" bestFit="1" customWidth="1"/>
    <col min="71" max="71" width="24.85546875" style="290" bestFit="1" customWidth="1"/>
    <col min="72" max="72" width="29.42578125" style="290" bestFit="1" customWidth="1"/>
    <col min="73" max="73" width="34.42578125" style="290" bestFit="1" customWidth="1"/>
    <col min="74" max="74" width="19.85546875" style="290" bestFit="1" customWidth="1"/>
    <col min="75" max="75" width="10.28515625" style="265" bestFit="1" customWidth="1"/>
    <col min="76" max="76" width="9.28515625" style="265" bestFit="1" customWidth="1"/>
    <col min="77" max="77" width="10.28515625" style="265" bestFit="1" customWidth="1"/>
    <col min="78" max="86" width="9.28515625" style="265" bestFit="1" customWidth="1"/>
    <col min="87" max="87" width="19.5703125" style="265" bestFit="1" customWidth="1"/>
    <col min="88" max="88" width="15.5703125" style="290" bestFit="1" customWidth="1"/>
    <col min="89" max="90" width="9.28515625" style="265" bestFit="1" customWidth="1"/>
    <col min="91" max="91" width="10.7109375" style="265" bestFit="1" customWidth="1"/>
    <col min="92" max="92" width="15.5703125" style="265" bestFit="1" customWidth="1"/>
    <col min="93" max="94" width="15.7109375" style="290" bestFit="1" customWidth="1"/>
    <col min="95" max="95" width="11.140625" style="290" bestFit="1" customWidth="1"/>
    <col min="96" max="96" width="13.42578125" style="290" bestFit="1" customWidth="1"/>
    <col min="97" max="102" width="10.42578125" style="290" bestFit="1" customWidth="1"/>
    <col min="103" max="103" width="11" style="290" bestFit="1" customWidth="1"/>
    <col min="104" max="104" width="10.42578125" style="290" bestFit="1" customWidth="1"/>
    <col min="105" max="105" width="10.28515625" style="290" bestFit="1" customWidth="1"/>
    <col min="106" max="106" width="11.42578125" style="290" bestFit="1" customWidth="1"/>
    <col min="107" max="107" width="13.42578125" style="290" bestFit="1" customWidth="1"/>
    <col min="108" max="108" width="11" style="290" bestFit="1" customWidth="1"/>
    <col min="109" max="109" width="10.28515625" style="290" bestFit="1" customWidth="1"/>
    <col min="110" max="110" width="10.5703125" style="290" bestFit="1" customWidth="1"/>
    <col min="111" max="111" width="11.5703125" style="290" bestFit="1" customWidth="1"/>
    <col min="112" max="113" width="14.5703125" style="290" bestFit="1" customWidth="1"/>
    <col min="114" max="116" width="10.28515625" style="290" bestFit="1" customWidth="1"/>
    <col min="117" max="117" width="11.5703125" style="290" bestFit="1" customWidth="1"/>
    <col min="118" max="118" width="11.28515625" style="290" bestFit="1" customWidth="1"/>
    <col min="119" max="119" width="12.28515625" style="290" bestFit="1" customWidth="1"/>
    <col min="120" max="120" width="16.42578125" style="290" bestFit="1" customWidth="1"/>
    <col min="121" max="121" width="10" style="290" bestFit="1" customWidth="1"/>
    <col min="122" max="122" width="11.140625" style="290" bestFit="1" customWidth="1"/>
    <col min="123" max="123" width="11.28515625" style="290" bestFit="1" customWidth="1"/>
    <col min="124" max="124" width="11.85546875" style="265" bestFit="1" customWidth="1"/>
    <col min="125" max="125" width="11.7109375" style="265" bestFit="1" customWidth="1"/>
    <col min="126" max="126" width="12.7109375" style="265" bestFit="1" customWidth="1"/>
    <col min="127" max="127" width="9.7109375" style="265" bestFit="1" customWidth="1"/>
    <col min="128" max="128" width="9.42578125" style="265" bestFit="1" customWidth="1"/>
    <col min="129" max="129" width="13.5703125" style="290" bestFit="1" customWidth="1"/>
    <col min="130" max="130" width="10.140625" style="265" bestFit="1" customWidth="1"/>
    <col min="131" max="132" width="9.42578125" style="265" bestFit="1" customWidth="1"/>
    <col min="133" max="133" width="31.7109375" style="290" customWidth="1"/>
    <col min="134" max="134" width="9.42578125" style="265" bestFit="1" customWidth="1"/>
    <col min="135" max="135" width="9.5703125" style="265" bestFit="1" customWidth="1"/>
    <col min="136" max="136" width="9.42578125" style="265" bestFit="1" customWidth="1"/>
    <col min="137" max="137" width="9.5703125" style="265" bestFit="1" customWidth="1"/>
    <col min="138" max="138" width="10.85546875" style="265" bestFit="1" customWidth="1"/>
    <col min="139" max="140" width="9.5703125" style="265" bestFit="1" customWidth="1"/>
    <col min="141" max="142" width="9.28515625" style="265" bestFit="1" customWidth="1"/>
    <col min="143" max="145" width="9.42578125" style="265" bestFit="1" customWidth="1"/>
    <col min="146" max="146" width="17.28515625" style="290" bestFit="1" customWidth="1"/>
    <col min="147" max="149" width="9.28515625" style="265" bestFit="1" customWidth="1"/>
    <col min="150" max="150" width="9.140625" style="265"/>
    <col min="151" max="151" width="9.28515625" style="265" bestFit="1" customWidth="1"/>
    <col min="152" max="155" width="9.140625" style="265"/>
    <col min="156" max="158" width="9.28515625" style="265" bestFit="1" customWidth="1"/>
    <col min="159" max="159" width="18.140625" style="265" customWidth="1"/>
    <col min="160" max="16384" width="9.140625" style="265"/>
  </cols>
  <sheetData>
    <row r="1" spans="1:165" s="9" customFormat="1">
      <c r="K1" s="17"/>
      <c r="L1" s="234"/>
      <c r="M1" s="234"/>
      <c r="N1" s="234"/>
      <c r="O1" s="234"/>
      <c r="P1" s="234"/>
      <c r="Q1" s="234"/>
      <c r="R1" s="500"/>
      <c r="S1" s="500"/>
      <c r="T1" s="500"/>
      <c r="BR1" s="234"/>
      <c r="BS1" s="234"/>
      <c r="BT1" s="234"/>
      <c r="BU1" s="234"/>
      <c r="BV1" s="234"/>
      <c r="CJ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Y1" s="234"/>
      <c r="EC1" s="234"/>
      <c r="EP1" s="234"/>
    </row>
    <row r="2" spans="1:165">
      <c r="A2" s="265" t="s">
        <v>1092</v>
      </c>
      <c r="B2" s="263" t="s">
        <v>1089</v>
      </c>
      <c r="C2" s="264" t="s">
        <v>66</v>
      </c>
      <c r="D2" s="263" t="s">
        <v>1007</v>
      </c>
      <c r="E2" s="264" t="s">
        <v>640</v>
      </c>
      <c r="F2" s="264" t="s">
        <v>1035</v>
      </c>
      <c r="G2" s="264" t="s">
        <v>1093</v>
      </c>
      <c r="H2" s="264" t="s">
        <v>1094</v>
      </c>
      <c r="I2" s="264" t="s">
        <v>1095</v>
      </c>
      <c r="J2" s="264" t="s">
        <v>1096</v>
      </c>
      <c r="K2" s="496" t="s">
        <v>1006</v>
      </c>
      <c r="L2" s="290" t="s">
        <v>1097</v>
      </c>
      <c r="M2" s="290" t="s">
        <v>1098</v>
      </c>
      <c r="N2" s="290" t="s">
        <v>1099</v>
      </c>
      <c r="O2" s="290" t="s">
        <v>1100</v>
      </c>
      <c r="P2" s="290" t="s">
        <v>1101</v>
      </c>
      <c r="Q2" s="290" t="s">
        <v>1102</v>
      </c>
      <c r="R2" s="264" t="s">
        <v>1103</v>
      </c>
      <c r="S2" s="264" t="s">
        <v>1104</v>
      </c>
      <c r="T2" s="264" t="s">
        <v>1105</v>
      </c>
      <c r="U2" s="264" t="s">
        <v>1106</v>
      </c>
      <c r="V2" s="264" t="s">
        <v>1107</v>
      </c>
      <c r="W2" s="264" t="s">
        <v>897</v>
      </c>
      <c r="X2" s="264" t="s">
        <v>1108</v>
      </c>
      <c r="Y2" s="264" t="s">
        <v>42</v>
      </c>
      <c r="Z2" s="264" t="s">
        <v>46</v>
      </c>
      <c r="AA2" s="264" t="s">
        <v>165</v>
      </c>
      <c r="AB2" s="264" t="s">
        <v>1084</v>
      </c>
      <c r="AC2" s="264" t="s">
        <v>1085</v>
      </c>
      <c r="AD2" s="264" t="s">
        <v>1086</v>
      </c>
      <c r="AE2" s="264" t="s">
        <v>1087</v>
      </c>
      <c r="AF2" s="264" t="s">
        <v>1071</v>
      </c>
      <c r="AG2" s="264" t="s">
        <v>1023</v>
      </c>
      <c r="AH2" s="264" t="s">
        <v>1109</v>
      </c>
      <c r="AI2" s="264" t="s">
        <v>54</v>
      </c>
      <c r="AJ2" s="264" t="s">
        <v>1083</v>
      </c>
      <c r="AK2" s="264" t="s">
        <v>1020</v>
      </c>
      <c r="AL2" s="264" t="s">
        <v>52</v>
      </c>
      <c r="AM2" s="264" t="s">
        <v>40</v>
      </c>
      <c r="AN2" s="264" t="s">
        <v>44</v>
      </c>
      <c r="AO2" s="264" t="s">
        <v>1079</v>
      </c>
      <c r="AP2" s="264" t="s">
        <v>1081</v>
      </c>
      <c r="AQ2" s="264" t="s">
        <v>1080</v>
      </c>
      <c r="AR2" s="264" t="s">
        <v>1077</v>
      </c>
      <c r="AS2" s="264" t="s">
        <v>1078</v>
      </c>
      <c r="AT2" s="264" t="s">
        <v>1082</v>
      </c>
      <c r="AU2" s="264" t="s">
        <v>1110</v>
      </c>
      <c r="AV2" s="264" t="s">
        <v>1111</v>
      </c>
      <c r="AW2" s="264" t="s">
        <v>1112</v>
      </c>
      <c r="AX2" s="264" t="s">
        <v>1113</v>
      </c>
      <c r="AY2" s="264" t="s">
        <v>1114</v>
      </c>
      <c r="AZ2" s="264" t="s">
        <v>1115</v>
      </c>
      <c r="BA2" s="264" t="s">
        <v>1116</v>
      </c>
      <c r="BB2" s="264" t="s">
        <v>1117</v>
      </c>
      <c r="BC2" s="264" t="s">
        <v>1118</v>
      </c>
      <c r="BD2" s="264" t="s">
        <v>1119</v>
      </c>
      <c r="BE2" s="264" t="s">
        <v>1120</v>
      </c>
      <c r="BF2" s="264" t="s">
        <v>1121</v>
      </c>
      <c r="BG2" s="264" t="s">
        <v>1122</v>
      </c>
      <c r="BH2" s="264" t="s">
        <v>1123</v>
      </c>
      <c r="BI2" s="264" t="s">
        <v>1124</v>
      </c>
      <c r="BJ2" s="264" t="s">
        <v>1125</v>
      </c>
      <c r="BK2" s="264" t="s">
        <v>272</v>
      </c>
      <c r="BL2" s="264" t="s">
        <v>1126</v>
      </c>
      <c r="BM2" s="264" t="s">
        <v>1127</v>
      </c>
      <c r="BN2" s="264" t="s">
        <v>1057</v>
      </c>
      <c r="BO2" s="264" t="s">
        <v>1058</v>
      </c>
      <c r="BP2" s="264" t="s">
        <v>1059</v>
      </c>
      <c r="BQ2" s="264" t="s">
        <v>1060</v>
      </c>
      <c r="BR2" s="290" t="s">
        <v>1061</v>
      </c>
      <c r="BS2" s="290" t="s">
        <v>1062</v>
      </c>
      <c r="BT2" s="290" t="s">
        <v>1063</v>
      </c>
      <c r="BU2" s="290" t="s">
        <v>1128</v>
      </c>
      <c r="BV2" s="290" t="s">
        <v>1129</v>
      </c>
      <c r="BW2" s="265" t="s">
        <v>1130</v>
      </c>
      <c r="BX2" s="265" t="s">
        <v>1131</v>
      </c>
      <c r="BY2" s="265" t="s">
        <v>1132</v>
      </c>
      <c r="BZ2" s="265" t="s">
        <v>1133</v>
      </c>
      <c r="CA2" s="265" t="s">
        <v>1134</v>
      </c>
      <c r="CB2" s="265" t="s">
        <v>1135</v>
      </c>
      <c r="CC2" s="265" t="s">
        <v>1136</v>
      </c>
      <c r="CD2" s="265" t="s">
        <v>1137</v>
      </c>
      <c r="CE2" s="265" t="s">
        <v>1138</v>
      </c>
      <c r="CF2" s="265" t="s">
        <v>1139</v>
      </c>
      <c r="CG2" s="265" t="s">
        <v>1140</v>
      </c>
      <c r="CH2" s="265" t="s">
        <v>1141</v>
      </c>
      <c r="CI2" s="265" t="s">
        <v>1142</v>
      </c>
      <c r="CJ2" s="290" t="s">
        <v>1143</v>
      </c>
      <c r="CK2" s="265" t="s">
        <v>1144</v>
      </c>
      <c r="CL2" s="265" t="s">
        <v>1145</v>
      </c>
      <c r="CM2" s="265" t="s">
        <v>1146</v>
      </c>
      <c r="CN2" s="265" t="s">
        <v>1147</v>
      </c>
      <c r="CO2" s="290" t="s">
        <v>1148</v>
      </c>
      <c r="CP2" s="290" t="s">
        <v>1149</v>
      </c>
      <c r="CQ2" s="290" t="s">
        <v>1150</v>
      </c>
      <c r="CR2" s="290" t="s">
        <v>1151</v>
      </c>
      <c r="CS2" s="290" t="s">
        <v>1152</v>
      </c>
      <c r="CT2" s="290" t="s">
        <v>1153</v>
      </c>
      <c r="CU2" s="290" t="s">
        <v>1154</v>
      </c>
      <c r="CV2" s="290" t="s">
        <v>1155</v>
      </c>
      <c r="CW2" s="290" t="s">
        <v>1156</v>
      </c>
      <c r="CX2" s="290" t="s">
        <v>1157</v>
      </c>
      <c r="CY2" s="290" t="s">
        <v>1158</v>
      </c>
      <c r="CZ2" s="290" t="s">
        <v>1159</v>
      </c>
      <c r="DA2" s="290" t="s">
        <v>1160</v>
      </c>
      <c r="DB2" s="290" t="s">
        <v>1161</v>
      </c>
      <c r="DC2" s="290" t="s">
        <v>1162</v>
      </c>
      <c r="DD2" s="290" t="s">
        <v>1163</v>
      </c>
      <c r="DE2" s="290" t="s">
        <v>1164</v>
      </c>
      <c r="DF2" s="290" t="s">
        <v>1165</v>
      </c>
      <c r="DG2" s="290" t="s">
        <v>1166</v>
      </c>
      <c r="DH2" s="290" t="s">
        <v>1167</v>
      </c>
      <c r="DI2" s="290" t="s">
        <v>1168</v>
      </c>
      <c r="DJ2" s="290" t="s">
        <v>1169</v>
      </c>
      <c r="DK2" s="290" t="s">
        <v>1170</v>
      </c>
      <c r="DL2" s="290" t="s">
        <v>1171</v>
      </c>
      <c r="DM2" s="290" t="s">
        <v>1172</v>
      </c>
      <c r="DN2" s="290" t="s">
        <v>1173</v>
      </c>
      <c r="DO2" s="290" t="s">
        <v>1174</v>
      </c>
      <c r="DP2" s="290" t="s">
        <v>1175</v>
      </c>
      <c r="DQ2" s="290" t="s">
        <v>1176</v>
      </c>
      <c r="DR2" s="290" t="s">
        <v>1067</v>
      </c>
      <c r="DS2" s="290" t="s">
        <v>1177</v>
      </c>
      <c r="DT2" s="265" t="s">
        <v>1178</v>
      </c>
      <c r="DU2" s="265" t="s">
        <v>1179</v>
      </c>
      <c r="DV2" s="265" t="s">
        <v>1180</v>
      </c>
      <c r="DW2" s="265" t="s">
        <v>1181</v>
      </c>
      <c r="DX2" s="265" t="s">
        <v>1182</v>
      </c>
      <c r="DY2" s="290" t="s">
        <v>1183</v>
      </c>
      <c r="DZ2" s="265" t="s">
        <v>1184</v>
      </c>
      <c r="EA2" s="265" t="s">
        <v>1185</v>
      </c>
      <c r="EB2" s="265" t="s">
        <v>1186</v>
      </c>
      <c r="EC2" s="290" t="s">
        <v>1066</v>
      </c>
      <c r="ED2" s="265" t="s">
        <v>1187</v>
      </c>
      <c r="EE2" s="265" t="s">
        <v>1188</v>
      </c>
      <c r="EF2" s="265" t="s">
        <v>1189</v>
      </c>
      <c r="EG2" s="265" t="s">
        <v>1190</v>
      </c>
      <c r="EH2" s="265" t="s">
        <v>1191</v>
      </c>
      <c r="EI2" s="265" t="s">
        <v>1192</v>
      </c>
      <c r="EJ2" s="265" t="s">
        <v>1193</v>
      </c>
      <c r="EK2" s="265" t="s">
        <v>1194</v>
      </c>
      <c r="EL2" s="265" t="s">
        <v>1195</v>
      </c>
      <c r="EM2" s="265" t="s">
        <v>1196</v>
      </c>
      <c r="EN2" s="265" t="s">
        <v>1197</v>
      </c>
      <c r="EO2" s="265" t="s">
        <v>1198</v>
      </c>
      <c r="EP2" s="290" t="s">
        <v>1065</v>
      </c>
      <c r="EQ2" s="265" t="s">
        <v>1199</v>
      </c>
      <c r="ER2" s="265" t="s">
        <v>1200</v>
      </c>
      <c r="ES2" s="265" t="s">
        <v>1201</v>
      </c>
      <c r="ET2" s="265" t="s">
        <v>1202</v>
      </c>
      <c r="EU2" s="265" t="s">
        <v>1203</v>
      </c>
      <c r="EV2" s="265" t="s">
        <v>1204</v>
      </c>
      <c r="EW2" s="265" t="s">
        <v>1205</v>
      </c>
      <c r="EX2" s="265" t="s">
        <v>1206</v>
      </c>
      <c r="EY2" s="265" t="s">
        <v>1207</v>
      </c>
      <c r="EZ2" s="265" t="s">
        <v>1208</v>
      </c>
      <c r="FA2" s="265" t="s">
        <v>1209</v>
      </c>
      <c r="FB2" s="265" t="s">
        <v>1210</v>
      </c>
      <c r="FC2" s="265" t="s">
        <v>1211</v>
      </c>
      <c r="FD2" s="265" t="s">
        <v>1212</v>
      </c>
      <c r="FE2" s="265" t="s">
        <v>1213</v>
      </c>
      <c r="FF2" s="265" t="s">
        <v>1214</v>
      </c>
      <c r="FG2" s="265" t="s">
        <v>1215</v>
      </c>
      <c r="FH2" s="265" t="s">
        <v>1216</v>
      </c>
      <c r="FI2" s="265" t="s">
        <v>1217</v>
      </c>
    </row>
    <row r="3" spans="1:165" customFormat="1">
      <c r="A3" s="407">
        <v>1</v>
      </c>
      <c r="B3" s="407" t="s">
        <v>1090</v>
      </c>
      <c r="C3" s="407" t="s">
        <v>2306</v>
      </c>
      <c r="D3" s="407" t="s">
        <v>1218</v>
      </c>
      <c r="E3" s="407" t="s">
        <v>1021</v>
      </c>
      <c r="F3" s="407" t="s">
        <v>1021</v>
      </c>
      <c r="G3" s="407" t="s">
        <v>97</v>
      </c>
      <c r="H3" s="407" t="s">
        <v>97</v>
      </c>
      <c r="I3" s="407" t="s">
        <v>97</v>
      </c>
      <c r="J3" s="407" t="s">
        <v>2307</v>
      </c>
      <c r="K3" s="818">
        <v>44378</v>
      </c>
      <c r="L3" s="407">
        <v>0</v>
      </c>
      <c r="M3" s="407">
        <v>0</v>
      </c>
      <c r="N3" s="407">
        <v>1158.306</v>
      </c>
      <c r="O3" s="407">
        <v>1158.306</v>
      </c>
      <c r="P3" s="407">
        <v>1158.306</v>
      </c>
      <c r="Q3" s="407">
        <v>1158.306</v>
      </c>
      <c r="R3" s="407"/>
      <c r="S3" s="407">
        <v>648.44000000000005</v>
      </c>
      <c r="T3" s="407">
        <v>159.41</v>
      </c>
      <c r="U3" s="407"/>
      <c r="V3" s="407">
        <v>935737.50210000016</v>
      </c>
      <c r="W3" s="407">
        <v>935737.50210000016</v>
      </c>
      <c r="X3" s="407">
        <v>708674.77692000009</v>
      </c>
      <c r="Y3" s="407">
        <v>0</v>
      </c>
      <c r="Z3" s="407">
        <v>71780.513126240548</v>
      </c>
      <c r="AA3" s="407">
        <v>0</v>
      </c>
      <c r="AB3" s="407">
        <v>0</v>
      </c>
      <c r="AC3" s="407">
        <v>0</v>
      </c>
      <c r="AD3" s="407">
        <v>135109.93874781957</v>
      </c>
      <c r="AE3" s="407">
        <v>483646.02640461607</v>
      </c>
      <c r="AF3" s="407">
        <v>178646.36455309443</v>
      </c>
      <c r="AG3" s="407">
        <v>6002.0489163870643</v>
      </c>
      <c r="AH3" s="407">
        <v>0</v>
      </c>
      <c r="AI3" s="407">
        <v>0</v>
      </c>
      <c r="AJ3" s="407">
        <v>0</v>
      </c>
      <c r="AK3" s="407">
        <v>0</v>
      </c>
      <c r="AL3" s="407">
        <v>11092.002369096715</v>
      </c>
      <c r="AM3" s="407"/>
      <c r="AN3" s="407">
        <v>2403.5957309399273</v>
      </c>
      <c r="AO3" s="407">
        <v>0</v>
      </c>
      <c r="AP3" s="407">
        <v>0</v>
      </c>
      <c r="AQ3" s="407">
        <v>0</v>
      </c>
      <c r="AR3" s="407">
        <v>0</v>
      </c>
      <c r="AS3" s="407">
        <v>0</v>
      </c>
      <c r="AT3" s="407">
        <v>0</v>
      </c>
      <c r="AU3" s="407">
        <v>0</v>
      </c>
      <c r="AV3" s="407">
        <v>0</v>
      </c>
      <c r="AW3" s="407">
        <v>0</v>
      </c>
      <c r="AX3" s="407">
        <v>0</v>
      </c>
      <c r="AY3" s="407">
        <v>0</v>
      </c>
      <c r="AZ3" s="407">
        <v>0</v>
      </c>
      <c r="BA3" s="407"/>
      <c r="BB3" s="407">
        <v>0</v>
      </c>
      <c r="BC3" s="407">
        <v>0</v>
      </c>
      <c r="BD3" s="407">
        <v>0</v>
      </c>
      <c r="BE3" s="407">
        <v>0</v>
      </c>
      <c r="BF3" s="407">
        <v>0</v>
      </c>
      <c r="BG3" s="407">
        <v>13058.478788647886</v>
      </c>
      <c r="BH3" s="407">
        <v>0</v>
      </c>
      <c r="BI3" s="407">
        <v>3347.63</v>
      </c>
      <c r="BJ3" s="407">
        <v>15612.45</v>
      </c>
      <c r="BK3" s="407">
        <v>322642.45</v>
      </c>
      <c r="BL3" s="407">
        <v>7212</v>
      </c>
      <c r="BM3" s="407"/>
      <c r="BN3" s="407"/>
      <c r="BO3" s="407"/>
      <c r="BP3" s="407"/>
      <c r="BQ3" s="407"/>
      <c r="BR3" s="407"/>
      <c r="BS3" s="407"/>
      <c r="BT3" s="407"/>
      <c r="BU3" s="407"/>
      <c r="BV3" s="407">
        <v>191704.84334174232</v>
      </c>
      <c r="BW3" s="407"/>
      <c r="BX3" s="407"/>
      <c r="BY3" s="407"/>
      <c r="BZ3" s="407"/>
      <c r="CA3" s="407"/>
      <c r="CB3" s="407"/>
      <c r="CC3" s="407"/>
      <c r="CD3" s="407"/>
      <c r="CE3" s="407"/>
      <c r="CF3" s="407"/>
      <c r="CG3" s="407"/>
      <c r="CH3" s="407"/>
      <c r="CI3" s="407">
        <v>708677.22419999994</v>
      </c>
      <c r="CJ3" s="407">
        <v>-227060.30790000025</v>
      </c>
      <c r="CK3" s="407"/>
      <c r="CL3" s="407"/>
      <c r="CM3" s="407"/>
      <c r="CN3" s="407"/>
      <c r="CO3" s="407">
        <v>-258881.39100000006</v>
      </c>
      <c r="CP3" s="407">
        <v>31818.665819999998</v>
      </c>
      <c r="CQ3" s="407">
        <v>31</v>
      </c>
      <c r="CR3" s="407">
        <v>19985.432591645163</v>
      </c>
      <c r="CS3" s="407">
        <v>0</v>
      </c>
      <c r="CT3" s="407">
        <v>0</v>
      </c>
      <c r="CU3" s="407">
        <v>0</v>
      </c>
      <c r="CV3" s="407">
        <v>0</v>
      </c>
      <c r="CW3" s="407">
        <v>0</v>
      </c>
      <c r="CX3" s="407">
        <v>0</v>
      </c>
      <c r="CY3" s="407">
        <v>0</v>
      </c>
      <c r="CZ3" s="407">
        <v>6103.1838305813144</v>
      </c>
      <c r="DA3" s="407">
        <v>0</v>
      </c>
      <c r="DB3" s="407">
        <v>0</v>
      </c>
      <c r="DC3" s="407">
        <v>35420.749773638352</v>
      </c>
      <c r="DD3" s="407">
        <v>0</v>
      </c>
      <c r="DE3" s="407">
        <v>0</v>
      </c>
      <c r="DF3" s="407">
        <v>0</v>
      </c>
      <c r="DG3" s="407">
        <v>2589.1437016038126</v>
      </c>
      <c r="DH3" s="407">
        <v>0</v>
      </c>
      <c r="DI3" s="407">
        <v>-5027.648744126258</v>
      </c>
      <c r="DJ3" s="407"/>
      <c r="DK3" s="407">
        <v>0</v>
      </c>
      <c r="DL3" s="407">
        <v>0</v>
      </c>
      <c r="DM3" s="407">
        <v>0</v>
      </c>
      <c r="DN3" s="407">
        <v>0</v>
      </c>
      <c r="DO3" s="407">
        <v>-676.73833728554564</v>
      </c>
      <c r="DP3" s="407">
        <v>-153.15131720755971</v>
      </c>
      <c r="DQ3" s="407">
        <v>0</v>
      </c>
      <c r="DR3" s="407">
        <v>-18270.1063155589</v>
      </c>
      <c r="DS3" s="407"/>
      <c r="DT3" s="407"/>
      <c r="DU3" s="407"/>
      <c r="DV3" s="407">
        <v>483646.02640461607</v>
      </c>
      <c r="DW3" s="407">
        <v>0</v>
      </c>
      <c r="DX3" s="407">
        <v>0</v>
      </c>
      <c r="DY3" s="407">
        <v>-258881.39100000012</v>
      </c>
      <c r="DZ3" s="407">
        <v>31818.665820000024</v>
      </c>
      <c r="EA3" s="407">
        <v>0</v>
      </c>
      <c r="EB3" s="407">
        <v>0</v>
      </c>
      <c r="EC3" s="407">
        <v>-247047.51361503446</v>
      </c>
      <c r="ED3" s="407">
        <v>0</v>
      </c>
      <c r="EE3" s="407">
        <v>0</v>
      </c>
      <c r="EF3" s="407">
        <v>0</v>
      </c>
      <c r="EG3" s="407">
        <v>0</v>
      </c>
      <c r="EH3" s="407">
        <v>0</v>
      </c>
      <c r="EI3" s="407">
        <v>0</v>
      </c>
      <c r="EJ3" s="407">
        <v>0</v>
      </c>
      <c r="EK3" s="407">
        <v>0</v>
      </c>
      <c r="EL3" s="407">
        <v>0</v>
      </c>
      <c r="EM3" s="407">
        <v>0</v>
      </c>
      <c r="EN3" s="407">
        <v>0</v>
      </c>
      <c r="EO3" s="407">
        <v>0</v>
      </c>
      <c r="EP3" s="407">
        <v>34001.14566160753</v>
      </c>
      <c r="EQ3" s="407">
        <v>0</v>
      </c>
      <c r="ER3" s="407">
        <v>0</v>
      </c>
      <c r="ES3" s="407">
        <v>0</v>
      </c>
      <c r="ET3" s="407">
        <v>0</v>
      </c>
      <c r="EU3" s="407">
        <v>0</v>
      </c>
      <c r="EV3" s="407">
        <v>246</v>
      </c>
      <c r="EW3" s="407">
        <v>0</v>
      </c>
      <c r="EX3" s="407">
        <v>0</v>
      </c>
      <c r="EY3" s="407">
        <v>0</v>
      </c>
      <c r="EZ3" s="407"/>
      <c r="FA3" s="407">
        <v>0</v>
      </c>
      <c r="FB3" s="407"/>
      <c r="FC3" s="407"/>
      <c r="FD3" s="407"/>
      <c r="FE3" s="407"/>
      <c r="FF3" s="407">
        <v>0</v>
      </c>
      <c r="FG3" s="407">
        <v>0</v>
      </c>
      <c r="FH3" s="407">
        <v>0</v>
      </c>
      <c r="FI3" s="407">
        <v>0</v>
      </c>
    </row>
    <row r="4" spans="1:165" customFormat="1">
      <c r="A4" s="407">
        <v>2</v>
      </c>
      <c r="B4" s="407" t="s">
        <v>2308</v>
      </c>
      <c r="C4" s="407" t="s">
        <v>2306</v>
      </c>
      <c r="D4" s="407" t="s">
        <v>1218</v>
      </c>
      <c r="E4" s="407" t="s">
        <v>1021</v>
      </c>
      <c r="F4" s="407" t="s">
        <v>1021</v>
      </c>
      <c r="G4" s="407" t="s">
        <v>97</v>
      </c>
      <c r="H4" s="407" t="s">
        <v>97</v>
      </c>
      <c r="I4" s="407" t="s">
        <v>97</v>
      </c>
      <c r="J4" s="407" t="s">
        <v>2307</v>
      </c>
      <c r="K4" s="818">
        <v>44378</v>
      </c>
      <c r="L4" s="407">
        <v>0</v>
      </c>
      <c r="M4" s="407">
        <v>0</v>
      </c>
      <c r="N4" s="407">
        <v>-0.44600000000000001</v>
      </c>
      <c r="O4" s="407">
        <v>-0.44600000000000001</v>
      </c>
      <c r="P4" s="407">
        <v>-0.44600000000000001</v>
      </c>
      <c r="Q4" s="407">
        <v>-0.44600000000000001</v>
      </c>
      <c r="R4" s="407"/>
      <c r="S4" s="407">
        <v>648.44000000000005</v>
      </c>
      <c r="T4" s="407">
        <v>159.41</v>
      </c>
      <c r="U4" s="407"/>
      <c r="V4" s="407">
        <v>-360.30110000000002</v>
      </c>
      <c r="W4" s="407">
        <v>-360.30110000000002</v>
      </c>
      <c r="X4" s="407">
        <v>-272.87171999999998</v>
      </c>
      <c r="Y4" s="407">
        <v>0</v>
      </c>
      <c r="Z4" s="407">
        <v>-27.63873178098299</v>
      </c>
      <c r="AA4" s="407">
        <v>0</v>
      </c>
      <c r="AB4" s="407">
        <v>0</v>
      </c>
      <c r="AC4" s="407">
        <v>0</v>
      </c>
      <c r="AD4" s="407">
        <v>-52.023414090514535</v>
      </c>
      <c r="AE4" s="407">
        <v>-186.22551189103635</v>
      </c>
      <c r="AF4" s="407">
        <v>-68.786899654046607</v>
      </c>
      <c r="AG4" s="407">
        <v>-2.3110592681973769</v>
      </c>
      <c r="AH4" s="407">
        <v>0</v>
      </c>
      <c r="AI4" s="407">
        <v>0</v>
      </c>
      <c r="AJ4" s="407">
        <v>0</v>
      </c>
      <c r="AK4" s="407">
        <v>0</v>
      </c>
      <c r="AL4" s="407">
        <v>-4.2709206864309905</v>
      </c>
      <c r="AM4" s="407"/>
      <c r="AN4" s="407">
        <v>-0.92549265565334848</v>
      </c>
      <c r="AO4" s="407">
        <v>0</v>
      </c>
      <c r="AP4" s="407">
        <v>0</v>
      </c>
      <c r="AQ4" s="407">
        <v>0</v>
      </c>
      <c r="AR4" s="407">
        <v>0</v>
      </c>
      <c r="AS4" s="407">
        <v>0</v>
      </c>
      <c r="AT4" s="407">
        <v>0</v>
      </c>
      <c r="AU4" s="407">
        <v>0</v>
      </c>
      <c r="AV4" s="407">
        <v>0</v>
      </c>
      <c r="AW4" s="407">
        <v>0</v>
      </c>
      <c r="AX4" s="407">
        <v>0</v>
      </c>
      <c r="AY4" s="407">
        <v>0</v>
      </c>
      <c r="AZ4" s="407">
        <v>0</v>
      </c>
      <c r="BA4" s="407"/>
      <c r="BB4" s="407">
        <v>0</v>
      </c>
      <c r="BC4" s="407">
        <v>0</v>
      </c>
      <c r="BD4" s="407">
        <v>0</v>
      </c>
      <c r="BE4" s="407">
        <v>0</v>
      </c>
      <c r="BF4" s="407">
        <v>0</v>
      </c>
      <c r="BG4" s="407">
        <v>-5.0281027118369037</v>
      </c>
      <c r="BH4" s="407">
        <v>0</v>
      </c>
      <c r="BI4" s="407">
        <v>-2.35</v>
      </c>
      <c r="BJ4" s="407">
        <v>-10.65</v>
      </c>
      <c r="BK4" s="407">
        <v>-159.16999999999999</v>
      </c>
      <c r="BL4" s="407">
        <v>0</v>
      </c>
      <c r="BM4" s="407"/>
      <c r="BN4" s="407"/>
      <c r="BO4" s="407"/>
      <c r="BP4" s="407"/>
      <c r="BQ4" s="407"/>
      <c r="BR4" s="407"/>
      <c r="BS4" s="407"/>
      <c r="BT4" s="407"/>
      <c r="BU4" s="407"/>
      <c r="BV4" s="407">
        <v>-73.815002365883515</v>
      </c>
      <c r="BW4" s="407"/>
      <c r="BX4" s="407"/>
      <c r="BY4" s="407"/>
      <c r="BZ4" s="407"/>
      <c r="CA4" s="407"/>
      <c r="CB4" s="407"/>
      <c r="CC4" s="407"/>
      <c r="CD4" s="407"/>
      <c r="CE4" s="407"/>
      <c r="CF4" s="407"/>
      <c r="CG4" s="407"/>
      <c r="CH4" s="407"/>
      <c r="CI4" s="407">
        <v>-275.31900000000002</v>
      </c>
      <c r="CJ4" s="407">
        <v>84.95210000000003</v>
      </c>
      <c r="CK4" s="407"/>
      <c r="CL4" s="407"/>
      <c r="CM4" s="407"/>
      <c r="CN4" s="407"/>
      <c r="CO4" s="407">
        <v>99.681000000000026</v>
      </c>
      <c r="CP4" s="407">
        <v>-12.251619999999999</v>
      </c>
      <c r="CQ4" s="407">
        <v>31</v>
      </c>
      <c r="CR4" s="407">
        <v>-7.6952920349835949</v>
      </c>
      <c r="CS4" s="407">
        <v>0</v>
      </c>
      <c r="CT4" s="407">
        <v>0</v>
      </c>
      <c r="CU4" s="407">
        <v>0</v>
      </c>
      <c r="CV4" s="407">
        <v>0</v>
      </c>
      <c r="CW4" s="407">
        <v>0</v>
      </c>
      <c r="CX4" s="407">
        <v>0</v>
      </c>
      <c r="CY4" s="407">
        <v>0</v>
      </c>
      <c r="CZ4" s="407">
        <v>-2.3500007670160272</v>
      </c>
      <c r="DA4" s="407">
        <v>0</v>
      </c>
      <c r="DB4" s="407">
        <v>0</v>
      </c>
      <c r="DC4" s="407">
        <v>-13.638584621889819</v>
      </c>
      <c r="DD4" s="407">
        <v>0</v>
      </c>
      <c r="DE4" s="407">
        <v>0</v>
      </c>
      <c r="DF4" s="407">
        <v>0</v>
      </c>
      <c r="DG4" s="407">
        <v>-0.99693698462694691</v>
      </c>
      <c r="DH4" s="407">
        <v>0</v>
      </c>
      <c r="DI4" s="407">
        <v>1.9358712981546446</v>
      </c>
      <c r="DJ4" s="407"/>
      <c r="DK4" s="407">
        <v>0</v>
      </c>
      <c r="DL4" s="407">
        <v>0</v>
      </c>
      <c r="DM4" s="407">
        <v>0</v>
      </c>
      <c r="DN4" s="407">
        <v>0</v>
      </c>
      <c r="DO4" s="407">
        <v>0.26057475177487976</v>
      </c>
      <c r="DP4" s="407">
        <v>5.8970157691120906E-2</v>
      </c>
      <c r="DQ4" s="407">
        <v>0</v>
      </c>
      <c r="DR4" s="407">
        <v>7.0348141309285017</v>
      </c>
      <c r="DS4" s="407"/>
      <c r="DT4" s="407"/>
      <c r="DU4" s="407"/>
      <c r="DV4" s="407">
        <v>-186.22551189103635</v>
      </c>
      <c r="DW4" s="407">
        <v>0</v>
      </c>
      <c r="DX4" s="407">
        <v>0</v>
      </c>
      <c r="DY4" s="407">
        <v>99.681000000000012</v>
      </c>
      <c r="DZ4" s="407">
        <v>-12.251619999999988</v>
      </c>
      <c r="EA4" s="407">
        <v>0</v>
      </c>
      <c r="EB4" s="407">
        <v>0</v>
      </c>
      <c r="EC4" s="407">
        <v>95.124424005664608</v>
      </c>
      <c r="ED4" s="407">
        <v>0</v>
      </c>
      <c r="EE4" s="407">
        <v>0</v>
      </c>
      <c r="EF4" s="407">
        <v>0</v>
      </c>
      <c r="EG4" s="407">
        <v>0</v>
      </c>
      <c r="EH4" s="407">
        <v>0</v>
      </c>
      <c r="EI4" s="407">
        <v>0</v>
      </c>
      <c r="EJ4" s="407">
        <v>0</v>
      </c>
      <c r="EK4" s="407">
        <v>0</v>
      </c>
      <c r="EL4" s="407">
        <v>0</v>
      </c>
      <c r="EM4" s="407">
        <v>0</v>
      </c>
      <c r="EN4" s="407">
        <v>0</v>
      </c>
      <c r="EO4" s="407">
        <v>0</v>
      </c>
      <c r="EP4" s="407">
        <v>-13.091973075402318</v>
      </c>
      <c r="EQ4" s="407">
        <v>0</v>
      </c>
      <c r="ER4" s="407">
        <v>0</v>
      </c>
      <c r="ES4" s="407">
        <v>0</v>
      </c>
      <c r="ET4" s="407">
        <v>0</v>
      </c>
      <c r="EU4" s="407">
        <v>0</v>
      </c>
      <c r="EV4" s="407">
        <v>246</v>
      </c>
      <c r="EW4" s="407">
        <v>0</v>
      </c>
      <c r="EX4" s="407">
        <v>0</v>
      </c>
      <c r="EY4" s="407">
        <v>0</v>
      </c>
      <c r="EZ4" s="407"/>
      <c r="FA4" s="407">
        <v>0</v>
      </c>
      <c r="FB4" s="407"/>
      <c r="FC4" s="407"/>
      <c r="FD4" s="407"/>
      <c r="FE4" s="407"/>
      <c r="FF4" s="407">
        <v>0</v>
      </c>
      <c r="FG4" s="407">
        <v>0</v>
      </c>
      <c r="FH4" s="407">
        <v>0</v>
      </c>
      <c r="FI4" s="407">
        <v>0</v>
      </c>
    </row>
    <row r="5" spans="1:165" customFormat="1">
      <c r="A5" s="407">
        <v>3</v>
      </c>
      <c r="B5" s="407" t="s">
        <v>2309</v>
      </c>
      <c r="C5" s="407" t="s">
        <v>2306</v>
      </c>
      <c r="D5" s="407" t="s">
        <v>1218</v>
      </c>
      <c r="E5" s="407" t="s">
        <v>1021</v>
      </c>
      <c r="F5" s="407" t="s">
        <v>1021</v>
      </c>
      <c r="G5" s="407" t="s">
        <v>97</v>
      </c>
      <c r="H5" s="407" t="s">
        <v>97</v>
      </c>
      <c r="I5" s="407" t="s">
        <v>97</v>
      </c>
      <c r="J5" s="407" t="s">
        <v>2307</v>
      </c>
      <c r="K5" s="818">
        <v>44378</v>
      </c>
      <c r="L5" s="407">
        <v>0</v>
      </c>
      <c r="M5" s="407">
        <v>0</v>
      </c>
      <c r="N5" s="407">
        <v>22.919</v>
      </c>
      <c r="O5" s="407">
        <v>22.919</v>
      </c>
      <c r="P5" s="407">
        <v>22.919</v>
      </c>
      <c r="Q5" s="407">
        <v>22.919</v>
      </c>
      <c r="R5" s="407"/>
      <c r="S5" s="407">
        <v>648.44000000000005</v>
      </c>
      <c r="T5" s="407">
        <v>159.41</v>
      </c>
      <c r="U5" s="407"/>
      <c r="V5" s="407">
        <v>18515.114150000001</v>
      </c>
      <c r="W5" s="407">
        <v>18515.114150000001</v>
      </c>
      <c r="X5" s="407">
        <v>14022.30258</v>
      </c>
      <c r="Y5" s="407">
        <v>0</v>
      </c>
      <c r="Z5" s="407">
        <v>1420.2961741891236</v>
      </c>
      <c r="AA5" s="407">
        <v>0</v>
      </c>
      <c r="AB5" s="407">
        <v>0</v>
      </c>
      <c r="AC5" s="407">
        <v>0</v>
      </c>
      <c r="AD5" s="407">
        <v>2673.373604350903</v>
      </c>
      <c r="AE5" s="407">
        <v>9569.7365628490188</v>
      </c>
      <c r="AF5" s="407">
        <v>3534.8137963477452</v>
      </c>
      <c r="AG5" s="407">
        <v>118.76046495025938</v>
      </c>
      <c r="AH5" s="407">
        <v>0</v>
      </c>
      <c r="AI5" s="407">
        <v>0</v>
      </c>
      <c r="AJ5" s="407">
        <v>0</v>
      </c>
      <c r="AK5" s="407">
        <v>0</v>
      </c>
      <c r="AL5" s="407">
        <v>219.47361258365891</v>
      </c>
      <c r="AM5" s="407"/>
      <c r="AN5" s="407">
        <v>47.559116984123527</v>
      </c>
      <c r="AO5" s="407">
        <v>0</v>
      </c>
      <c r="AP5" s="407">
        <v>0</v>
      </c>
      <c r="AQ5" s="407">
        <v>0</v>
      </c>
      <c r="AR5" s="407">
        <v>0</v>
      </c>
      <c r="AS5" s="407">
        <v>0</v>
      </c>
      <c r="AT5" s="407">
        <v>0</v>
      </c>
      <c r="AU5" s="407">
        <v>0</v>
      </c>
      <c r="AV5" s="407">
        <v>0</v>
      </c>
      <c r="AW5" s="407">
        <v>0</v>
      </c>
      <c r="AX5" s="407">
        <v>0</v>
      </c>
      <c r="AY5" s="407">
        <v>0</v>
      </c>
      <c r="AZ5" s="407">
        <v>0</v>
      </c>
      <c r="BA5" s="407"/>
      <c r="BB5" s="407">
        <v>0</v>
      </c>
      <c r="BC5" s="407">
        <v>0</v>
      </c>
      <c r="BD5" s="407">
        <v>0</v>
      </c>
      <c r="BE5" s="407">
        <v>0</v>
      </c>
      <c r="BF5" s="407">
        <v>0</v>
      </c>
      <c r="BG5" s="407">
        <v>258.38360101477582</v>
      </c>
      <c r="BH5" s="407">
        <v>0</v>
      </c>
      <c r="BI5" s="407">
        <v>66.349999999999994</v>
      </c>
      <c r="BJ5" s="407">
        <v>310.44</v>
      </c>
      <c r="BK5" s="407">
        <v>13606.32</v>
      </c>
      <c r="BL5" s="407">
        <v>146</v>
      </c>
      <c r="BM5" s="407"/>
      <c r="BN5" s="407"/>
      <c r="BO5" s="407"/>
      <c r="BP5" s="407"/>
      <c r="BQ5" s="407"/>
      <c r="BR5" s="407"/>
      <c r="BS5" s="407"/>
      <c r="BT5" s="407"/>
      <c r="BU5" s="407"/>
      <c r="BV5" s="407">
        <v>3793.1973973625209</v>
      </c>
      <c r="BW5" s="407"/>
      <c r="BX5" s="407"/>
      <c r="BY5" s="407"/>
      <c r="BZ5" s="407"/>
      <c r="CA5" s="407"/>
      <c r="CB5" s="407"/>
      <c r="CC5" s="407"/>
      <c r="CD5" s="407"/>
      <c r="CE5" s="407"/>
      <c r="CF5" s="407"/>
      <c r="CG5" s="407"/>
      <c r="CH5" s="407"/>
      <c r="CI5" s="407">
        <v>14022.914400000001</v>
      </c>
      <c r="CJ5" s="407">
        <v>-4492.2297499999986</v>
      </c>
      <c r="CK5" s="407"/>
      <c r="CL5" s="407"/>
      <c r="CM5" s="407"/>
      <c r="CN5" s="407"/>
      <c r="CO5" s="407">
        <v>-5122.3965000000017</v>
      </c>
      <c r="CP5" s="407">
        <v>629.58492999999999</v>
      </c>
      <c r="CQ5" s="407">
        <v>31</v>
      </c>
      <c r="CR5" s="407">
        <v>395.44483890087577</v>
      </c>
      <c r="CS5" s="407">
        <v>0</v>
      </c>
      <c r="CT5" s="407">
        <v>0</v>
      </c>
      <c r="CU5" s="407">
        <v>0</v>
      </c>
      <c r="CV5" s="407">
        <v>0</v>
      </c>
      <c r="CW5" s="407">
        <v>0</v>
      </c>
      <c r="CX5" s="407">
        <v>0</v>
      </c>
      <c r="CY5" s="407">
        <v>0</v>
      </c>
      <c r="CZ5" s="407">
        <v>120.76158650053867</v>
      </c>
      <c r="DA5" s="407">
        <v>0</v>
      </c>
      <c r="DB5" s="407">
        <v>0</v>
      </c>
      <c r="DC5" s="407">
        <v>700.85811871993837</v>
      </c>
      <c r="DD5" s="407">
        <v>0</v>
      </c>
      <c r="DE5" s="407">
        <v>0</v>
      </c>
      <c r="DF5" s="407">
        <v>0</v>
      </c>
      <c r="DG5" s="407">
        <v>51.230490472343035</v>
      </c>
      <c r="DH5" s="407">
        <v>0</v>
      </c>
      <c r="DI5" s="407">
        <v>-99.480345924677749</v>
      </c>
      <c r="DJ5" s="407"/>
      <c r="DK5" s="407">
        <v>0</v>
      </c>
      <c r="DL5" s="407">
        <v>0</v>
      </c>
      <c r="DM5" s="407">
        <v>0</v>
      </c>
      <c r="DN5" s="407">
        <v>0</v>
      </c>
      <c r="DO5" s="407">
        <v>-13.39038730028804</v>
      </c>
      <c r="DP5" s="407">
        <v>-3.0303521168672631</v>
      </c>
      <c r="DQ5" s="407">
        <v>0</v>
      </c>
      <c r="DR5" s="407">
        <v>-361.50427145011287</v>
      </c>
      <c r="DS5" s="407"/>
      <c r="DT5" s="407"/>
      <c r="DU5" s="407"/>
      <c r="DV5" s="407">
        <v>9569.7365628490188</v>
      </c>
      <c r="DW5" s="407">
        <v>0</v>
      </c>
      <c r="DX5" s="407">
        <v>0</v>
      </c>
      <c r="DY5" s="407">
        <v>-5122.3965000000007</v>
      </c>
      <c r="DZ5" s="407">
        <v>629.58492999999999</v>
      </c>
      <c r="EA5" s="407">
        <v>0</v>
      </c>
      <c r="EB5" s="407">
        <v>0</v>
      </c>
      <c r="EC5" s="407">
        <v>-4888.2436631969231</v>
      </c>
      <c r="ED5" s="407">
        <v>0</v>
      </c>
      <c r="EE5" s="407">
        <v>0</v>
      </c>
      <c r="EF5" s="407">
        <v>0</v>
      </c>
      <c r="EG5" s="407">
        <v>0</v>
      </c>
      <c r="EH5" s="407">
        <v>0</v>
      </c>
      <c r="EI5" s="407">
        <v>0</v>
      </c>
      <c r="EJ5" s="407">
        <v>0</v>
      </c>
      <c r="EK5" s="407">
        <v>0</v>
      </c>
      <c r="EL5" s="407">
        <v>0</v>
      </c>
      <c r="EM5" s="407">
        <v>0</v>
      </c>
      <c r="EN5" s="407">
        <v>0</v>
      </c>
      <c r="EO5" s="407">
        <v>0</v>
      </c>
      <c r="EP5" s="407">
        <v>672.76890339718773</v>
      </c>
      <c r="EQ5" s="407">
        <v>0</v>
      </c>
      <c r="ER5" s="407">
        <v>0</v>
      </c>
      <c r="ES5" s="407">
        <v>0</v>
      </c>
      <c r="ET5" s="407">
        <v>0</v>
      </c>
      <c r="EU5" s="407">
        <v>0</v>
      </c>
      <c r="EV5" s="407">
        <v>246</v>
      </c>
      <c r="EW5" s="407">
        <v>0</v>
      </c>
      <c r="EX5" s="407">
        <v>0</v>
      </c>
      <c r="EY5" s="407">
        <v>0</v>
      </c>
      <c r="EZ5" s="407"/>
      <c r="FA5" s="407">
        <v>0</v>
      </c>
      <c r="FB5" s="407"/>
      <c r="FC5" s="407"/>
      <c r="FD5" s="407"/>
      <c r="FE5" s="407"/>
      <c r="FF5" s="407">
        <v>0</v>
      </c>
      <c r="FG5" s="407">
        <v>0</v>
      </c>
      <c r="FH5" s="407">
        <v>0</v>
      </c>
      <c r="FI5" s="407">
        <v>0</v>
      </c>
    </row>
    <row r="6" spans="1:165" customFormat="1">
      <c r="A6" s="407">
        <v>4</v>
      </c>
      <c r="B6" s="407" t="s">
        <v>1090</v>
      </c>
      <c r="C6" s="407" t="s">
        <v>2306</v>
      </c>
      <c r="D6" s="407" t="s">
        <v>1218</v>
      </c>
      <c r="E6" s="407" t="s">
        <v>1021</v>
      </c>
      <c r="F6" s="407" t="s">
        <v>2310</v>
      </c>
      <c r="G6" s="407" t="s">
        <v>97</v>
      </c>
      <c r="H6" s="407" t="s">
        <v>97</v>
      </c>
      <c r="I6" s="407" t="s">
        <v>97</v>
      </c>
      <c r="J6" s="407" t="s">
        <v>2307</v>
      </c>
      <c r="K6" s="818">
        <v>44378</v>
      </c>
      <c r="L6" s="407">
        <v>0</v>
      </c>
      <c r="M6" s="407">
        <v>0</v>
      </c>
      <c r="N6" s="407">
        <v>19.5</v>
      </c>
      <c r="O6" s="407">
        <v>19.5</v>
      </c>
      <c r="P6" s="407">
        <v>19.5</v>
      </c>
      <c r="Q6" s="407">
        <v>19.5</v>
      </c>
      <c r="R6" s="407"/>
      <c r="S6" s="407">
        <v>547.54</v>
      </c>
      <c r="T6" s="407">
        <v>159.41</v>
      </c>
      <c r="U6" s="407"/>
      <c r="V6" s="407">
        <v>13785.524999999998</v>
      </c>
      <c r="W6" s="407">
        <v>13785.524999999998</v>
      </c>
      <c r="X6" s="407">
        <v>10097.49</v>
      </c>
      <c r="Y6" s="407">
        <v>0</v>
      </c>
      <c r="Z6" s="407">
        <v>0</v>
      </c>
      <c r="AA6" s="407">
        <v>0</v>
      </c>
      <c r="AB6" s="407">
        <v>0</v>
      </c>
      <c r="AC6" s="407">
        <v>0</v>
      </c>
      <c r="AD6" s="407">
        <v>2274.566311132362</v>
      </c>
      <c r="AE6" s="407">
        <v>8142.1468203480017</v>
      </c>
      <c r="AF6" s="407">
        <v>3007.4989759056252</v>
      </c>
      <c r="AG6" s="407">
        <v>101.04407114315885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/>
      <c r="AN6" s="407">
        <v>40.464364989328018</v>
      </c>
      <c r="AO6" s="407">
        <v>0</v>
      </c>
      <c r="AP6" s="407">
        <v>0</v>
      </c>
      <c r="AQ6" s="407">
        <v>0</v>
      </c>
      <c r="AR6" s="407">
        <v>0</v>
      </c>
      <c r="AS6" s="407">
        <v>0</v>
      </c>
      <c r="AT6" s="407">
        <v>0</v>
      </c>
      <c r="AU6" s="407">
        <v>0</v>
      </c>
      <c r="AV6" s="407">
        <v>0</v>
      </c>
      <c r="AW6" s="407">
        <v>0</v>
      </c>
      <c r="AX6" s="407">
        <v>0</v>
      </c>
      <c r="AY6" s="407">
        <v>0</v>
      </c>
      <c r="AZ6" s="407">
        <v>0</v>
      </c>
      <c r="BA6" s="407"/>
      <c r="BB6" s="407">
        <v>0</v>
      </c>
      <c r="BC6" s="407">
        <v>0</v>
      </c>
      <c r="BD6" s="407">
        <v>0</v>
      </c>
      <c r="BE6" s="407">
        <v>0</v>
      </c>
      <c r="BF6" s="407">
        <v>0</v>
      </c>
      <c r="BG6" s="407">
        <v>219.83857148165836</v>
      </c>
      <c r="BH6" s="407">
        <v>0</v>
      </c>
      <c r="BI6" s="407">
        <v>12.34</v>
      </c>
      <c r="BJ6" s="407">
        <v>67.16</v>
      </c>
      <c r="BK6" s="407">
        <v>1344.46</v>
      </c>
      <c r="BL6" s="407">
        <v>46</v>
      </c>
      <c r="BM6" s="407"/>
      <c r="BN6" s="407"/>
      <c r="BO6" s="407"/>
      <c r="BP6" s="407"/>
      <c r="BQ6" s="407"/>
      <c r="BR6" s="407"/>
      <c r="BS6" s="407"/>
      <c r="BT6" s="407">
        <v>6563.31</v>
      </c>
      <c r="BU6" s="407"/>
      <c r="BV6" s="407">
        <v>3227.3375473872834</v>
      </c>
      <c r="BW6" s="407"/>
      <c r="BX6" s="407"/>
      <c r="BY6" s="407"/>
      <c r="BZ6" s="407"/>
      <c r="CA6" s="407"/>
      <c r="CB6" s="407"/>
      <c r="CC6" s="407"/>
      <c r="CD6" s="407"/>
      <c r="CE6" s="407"/>
      <c r="CF6" s="407"/>
      <c r="CG6" s="407"/>
      <c r="CH6" s="407"/>
      <c r="CI6" s="407">
        <v>3534.18</v>
      </c>
      <c r="CJ6" s="407">
        <v>-1290.7350000000001</v>
      </c>
      <c r="CK6" s="407"/>
      <c r="CL6" s="407"/>
      <c r="CM6" s="407"/>
      <c r="CN6" s="407"/>
      <c r="CO6" s="407">
        <v>-4223.6999999999989</v>
      </c>
      <c r="CP6" s="407">
        <v>535.66499999999996</v>
      </c>
      <c r="CQ6" s="407">
        <v>31</v>
      </c>
      <c r="CR6" s="407">
        <v>470.90245133125791</v>
      </c>
      <c r="CS6" s="407">
        <v>0</v>
      </c>
      <c r="CT6" s="407">
        <v>0</v>
      </c>
      <c r="CU6" s="407">
        <v>0</v>
      </c>
      <c r="CV6" s="407">
        <v>0</v>
      </c>
      <c r="CW6" s="407">
        <v>0</v>
      </c>
      <c r="CX6" s="407">
        <v>0</v>
      </c>
      <c r="CY6" s="407">
        <v>0</v>
      </c>
      <c r="CZ6" s="407">
        <v>102.74667030675437</v>
      </c>
      <c r="DA6" s="407">
        <v>0</v>
      </c>
      <c r="DB6" s="407">
        <v>0</v>
      </c>
      <c r="DC6" s="407">
        <v>596.30582988083279</v>
      </c>
      <c r="DD6" s="407">
        <v>0</v>
      </c>
      <c r="DE6" s="407">
        <v>0</v>
      </c>
      <c r="DF6" s="407">
        <v>0</v>
      </c>
      <c r="DG6" s="407">
        <v>43.58805201844271</v>
      </c>
      <c r="DH6" s="407">
        <v>0</v>
      </c>
      <c r="DI6" s="407">
        <v>0</v>
      </c>
      <c r="DJ6" s="407"/>
      <c r="DK6" s="407">
        <v>0</v>
      </c>
      <c r="DL6" s="407">
        <v>0</v>
      </c>
      <c r="DM6" s="407">
        <v>0</v>
      </c>
      <c r="DN6" s="407">
        <v>0</v>
      </c>
      <c r="DO6" s="407">
        <v>0</v>
      </c>
      <c r="DP6" s="407">
        <v>-2.578291647930179</v>
      </c>
      <c r="DQ6" s="407">
        <v>0</v>
      </c>
      <c r="DR6" s="407">
        <v>-269.15980922684253</v>
      </c>
      <c r="DS6" s="407"/>
      <c r="DT6" s="407"/>
      <c r="DU6" s="407"/>
      <c r="DV6" s="407">
        <v>8142.1468203480017</v>
      </c>
      <c r="DW6" s="407">
        <v>0</v>
      </c>
      <c r="DX6" s="407">
        <v>0</v>
      </c>
      <c r="DY6" s="407">
        <v>-4223.6999999999989</v>
      </c>
      <c r="DZ6" s="407">
        <v>535.66499999999996</v>
      </c>
      <c r="EA6" s="407">
        <v>0</v>
      </c>
      <c r="EB6" s="407">
        <v>0</v>
      </c>
      <c r="EC6" s="407">
        <v>-4159.0275069741256</v>
      </c>
      <c r="ED6" s="407">
        <v>0</v>
      </c>
      <c r="EE6" s="407">
        <v>0</v>
      </c>
      <c r="EF6" s="407">
        <v>0</v>
      </c>
      <c r="EG6" s="407">
        <v>0</v>
      </c>
      <c r="EH6" s="407">
        <v>0</v>
      </c>
      <c r="EI6" s="407">
        <v>0</v>
      </c>
      <c r="EJ6" s="407">
        <v>0</v>
      </c>
      <c r="EK6" s="407">
        <v>0</v>
      </c>
      <c r="EL6" s="407">
        <v>0</v>
      </c>
      <c r="EM6" s="407">
        <v>0</v>
      </c>
      <c r="EN6" s="407">
        <v>0</v>
      </c>
      <c r="EO6" s="407">
        <v>0</v>
      </c>
      <c r="EP6" s="407">
        <v>0</v>
      </c>
      <c r="EQ6" s="407">
        <v>0</v>
      </c>
      <c r="ER6" s="407">
        <v>0</v>
      </c>
      <c r="ES6" s="407">
        <v>0</v>
      </c>
      <c r="ET6" s="407">
        <v>0</v>
      </c>
      <c r="EU6" s="407">
        <v>0</v>
      </c>
      <c r="EV6" s="407">
        <v>246</v>
      </c>
      <c r="EW6" s="407">
        <v>0</v>
      </c>
      <c r="EX6" s="407">
        <v>0</v>
      </c>
      <c r="EY6" s="407">
        <v>0</v>
      </c>
      <c r="EZ6" s="407"/>
      <c r="FA6" s="407">
        <v>0</v>
      </c>
      <c r="FB6" s="407"/>
      <c r="FC6" s="407"/>
      <c r="FD6" s="407"/>
      <c r="FE6" s="407"/>
      <c r="FF6" s="407">
        <v>0</v>
      </c>
      <c r="FG6" s="407">
        <v>0</v>
      </c>
      <c r="FH6" s="407">
        <v>0</v>
      </c>
      <c r="FI6" s="407">
        <v>0</v>
      </c>
    </row>
    <row r="7" spans="1:165" customFormat="1">
      <c r="A7" s="407">
        <v>5</v>
      </c>
      <c r="B7" s="407" t="s">
        <v>2309</v>
      </c>
      <c r="C7" s="407" t="s">
        <v>2306</v>
      </c>
      <c r="D7" s="407" t="s">
        <v>1218</v>
      </c>
      <c r="E7" s="407" t="s">
        <v>1021</v>
      </c>
      <c r="F7" s="407" t="s">
        <v>2310</v>
      </c>
      <c r="G7" s="407" t="s">
        <v>97</v>
      </c>
      <c r="H7" s="407" t="s">
        <v>97</v>
      </c>
      <c r="I7" s="407" t="s">
        <v>97</v>
      </c>
      <c r="J7" s="407" t="s">
        <v>2307</v>
      </c>
      <c r="K7" s="818">
        <v>44378</v>
      </c>
      <c r="L7" s="407">
        <v>0</v>
      </c>
      <c r="M7" s="407">
        <v>0</v>
      </c>
      <c r="N7" s="407">
        <v>0.03</v>
      </c>
      <c r="O7" s="407">
        <v>0.03</v>
      </c>
      <c r="P7" s="407">
        <v>0.03</v>
      </c>
      <c r="Q7" s="407">
        <v>0.03</v>
      </c>
      <c r="R7" s="407"/>
      <c r="S7" s="407">
        <v>547.54</v>
      </c>
      <c r="T7" s="407">
        <v>159.41</v>
      </c>
      <c r="U7" s="407"/>
      <c r="V7" s="407">
        <v>21.208499999999997</v>
      </c>
      <c r="W7" s="407">
        <v>21.208499999999997</v>
      </c>
      <c r="X7" s="407">
        <v>15.534600000000001</v>
      </c>
      <c r="Y7" s="407">
        <v>0</v>
      </c>
      <c r="Z7" s="407">
        <v>0</v>
      </c>
      <c r="AA7" s="407">
        <v>0</v>
      </c>
      <c r="AB7" s="407">
        <v>0</v>
      </c>
      <c r="AC7" s="407">
        <v>0</v>
      </c>
      <c r="AD7" s="407">
        <v>3.4993327863574799</v>
      </c>
      <c r="AE7" s="407">
        <v>12.52637972361231</v>
      </c>
      <c r="AF7" s="407">
        <v>4.6269215013932694</v>
      </c>
      <c r="AG7" s="407">
        <v>0.15545241714332131</v>
      </c>
      <c r="AH7" s="407">
        <v>0</v>
      </c>
      <c r="AI7" s="407">
        <v>0</v>
      </c>
      <c r="AJ7" s="407">
        <v>0</v>
      </c>
      <c r="AK7" s="407">
        <v>0</v>
      </c>
      <c r="AL7" s="407">
        <v>0</v>
      </c>
      <c r="AM7" s="407"/>
      <c r="AN7" s="407">
        <v>6.2252869214350789E-2</v>
      </c>
      <c r="AO7" s="407">
        <v>0</v>
      </c>
      <c r="AP7" s="407">
        <v>0</v>
      </c>
      <c r="AQ7" s="407">
        <v>0</v>
      </c>
      <c r="AR7" s="407">
        <v>0</v>
      </c>
      <c r="AS7" s="407">
        <v>0</v>
      </c>
      <c r="AT7" s="407">
        <v>0</v>
      </c>
      <c r="AU7" s="407">
        <v>0</v>
      </c>
      <c r="AV7" s="407">
        <v>0</v>
      </c>
      <c r="AW7" s="407">
        <v>0</v>
      </c>
      <c r="AX7" s="407">
        <v>0</v>
      </c>
      <c r="AY7" s="407">
        <v>0</v>
      </c>
      <c r="AZ7" s="407">
        <v>0</v>
      </c>
      <c r="BA7" s="407"/>
      <c r="BB7" s="407">
        <v>0</v>
      </c>
      <c r="BC7" s="407">
        <v>0</v>
      </c>
      <c r="BD7" s="407">
        <v>0</v>
      </c>
      <c r="BE7" s="407">
        <v>0</v>
      </c>
      <c r="BF7" s="407">
        <v>0</v>
      </c>
      <c r="BG7" s="407">
        <v>0.33821318689485902</v>
      </c>
      <c r="BH7" s="407">
        <v>0</v>
      </c>
      <c r="BI7" s="407">
        <v>0</v>
      </c>
      <c r="BJ7" s="407">
        <v>0.02</v>
      </c>
      <c r="BK7" s="407">
        <v>2.74</v>
      </c>
      <c r="BL7" s="407">
        <v>0</v>
      </c>
      <c r="BM7" s="407"/>
      <c r="BN7" s="407"/>
      <c r="BO7" s="407"/>
      <c r="BP7" s="407"/>
      <c r="BQ7" s="407"/>
      <c r="BR7" s="407"/>
      <c r="BS7" s="407"/>
      <c r="BT7" s="407">
        <v>10.0974</v>
      </c>
      <c r="BU7" s="407"/>
      <c r="BV7" s="407">
        <v>4.9651346882881287</v>
      </c>
      <c r="BW7" s="407"/>
      <c r="BX7" s="407"/>
      <c r="BY7" s="407"/>
      <c r="BZ7" s="407"/>
      <c r="CA7" s="407"/>
      <c r="CB7" s="407"/>
      <c r="CC7" s="407"/>
      <c r="CD7" s="407"/>
      <c r="CE7" s="407"/>
      <c r="CF7" s="407"/>
      <c r="CG7" s="407"/>
      <c r="CH7" s="407"/>
      <c r="CI7" s="407">
        <v>5.4371999999999998</v>
      </c>
      <c r="CJ7" s="407">
        <v>-2.0156999999999989</v>
      </c>
      <c r="CK7" s="407"/>
      <c r="CL7" s="407"/>
      <c r="CM7" s="407"/>
      <c r="CN7" s="407"/>
      <c r="CO7" s="407">
        <v>-6.4979999999999984</v>
      </c>
      <c r="CP7" s="407">
        <v>0.82409999999999994</v>
      </c>
      <c r="CQ7" s="407">
        <v>31</v>
      </c>
      <c r="CR7" s="407">
        <v>0.72446530974039369</v>
      </c>
      <c r="CS7" s="407">
        <v>0</v>
      </c>
      <c r="CT7" s="407">
        <v>0</v>
      </c>
      <c r="CU7" s="407">
        <v>0</v>
      </c>
      <c r="CV7" s="407">
        <v>0</v>
      </c>
      <c r="CW7" s="407">
        <v>0</v>
      </c>
      <c r="CX7" s="407">
        <v>0</v>
      </c>
      <c r="CY7" s="407">
        <v>0</v>
      </c>
      <c r="CZ7" s="407">
        <v>0.1580718004719297</v>
      </c>
      <c r="DA7" s="407">
        <v>0</v>
      </c>
      <c r="DB7" s="407">
        <v>0</v>
      </c>
      <c r="DC7" s="407">
        <v>0.91739358443204999</v>
      </c>
      <c r="DD7" s="407">
        <v>0</v>
      </c>
      <c r="DE7" s="407">
        <v>0</v>
      </c>
      <c r="DF7" s="407">
        <v>0</v>
      </c>
      <c r="DG7" s="407">
        <v>6.7058541566834939E-2</v>
      </c>
      <c r="DH7" s="407">
        <v>0</v>
      </c>
      <c r="DI7" s="407">
        <v>0</v>
      </c>
      <c r="DJ7" s="407"/>
      <c r="DK7" s="407">
        <v>0</v>
      </c>
      <c r="DL7" s="407">
        <v>0</v>
      </c>
      <c r="DM7" s="407">
        <v>0</v>
      </c>
      <c r="DN7" s="407">
        <v>0</v>
      </c>
      <c r="DO7" s="407">
        <v>0</v>
      </c>
      <c r="DP7" s="407">
        <v>-3.9666025352771903E-3</v>
      </c>
      <c r="DQ7" s="407">
        <v>0</v>
      </c>
      <c r="DR7" s="407">
        <v>-0.41409201419514241</v>
      </c>
      <c r="DS7" s="407"/>
      <c r="DT7" s="407"/>
      <c r="DU7" s="407"/>
      <c r="DV7" s="407">
        <v>12.52637972361231</v>
      </c>
      <c r="DW7" s="407">
        <v>0</v>
      </c>
      <c r="DX7" s="407">
        <v>0</v>
      </c>
      <c r="DY7" s="407">
        <v>-6.4979999999999976</v>
      </c>
      <c r="DZ7" s="407">
        <v>0.8241000000000005</v>
      </c>
      <c r="EA7" s="407">
        <v>0</v>
      </c>
      <c r="EB7" s="407">
        <v>0</v>
      </c>
      <c r="EC7" s="407">
        <v>-6.3985038568832699</v>
      </c>
      <c r="ED7" s="407">
        <v>0</v>
      </c>
      <c r="EE7" s="407">
        <v>0</v>
      </c>
      <c r="EF7" s="407">
        <v>0</v>
      </c>
      <c r="EG7" s="407">
        <v>0</v>
      </c>
      <c r="EH7" s="407">
        <v>0</v>
      </c>
      <c r="EI7" s="407">
        <v>0</v>
      </c>
      <c r="EJ7" s="407">
        <v>0</v>
      </c>
      <c r="EK7" s="407">
        <v>0</v>
      </c>
      <c r="EL7" s="407">
        <v>0</v>
      </c>
      <c r="EM7" s="407">
        <v>0</v>
      </c>
      <c r="EN7" s="407">
        <v>0</v>
      </c>
      <c r="EO7" s="407">
        <v>0</v>
      </c>
      <c r="EP7" s="407">
        <v>0</v>
      </c>
      <c r="EQ7" s="407">
        <v>0</v>
      </c>
      <c r="ER7" s="407">
        <v>0</v>
      </c>
      <c r="ES7" s="407">
        <v>0</v>
      </c>
      <c r="ET7" s="407">
        <v>0</v>
      </c>
      <c r="EU7" s="407">
        <v>0</v>
      </c>
      <c r="EV7" s="407">
        <v>246</v>
      </c>
      <c r="EW7" s="407">
        <v>0</v>
      </c>
      <c r="EX7" s="407">
        <v>0</v>
      </c>
      <c r="EY7" s="407">
        <v>0</v>
      </c>
      <c r="EZ7" s="407"/>
      <c r="FA7" s="407">
        <v>0</v>
      </c>
      <c r="FB7" s="407"/>
      <c r="FC7" s="407"/>
      <c r="FD7" s="407"/>
      <c r="FE7" s="407"/>
      <c r="FF7" s="407">
        <v>0</v>
      </c>
      <c r="FG7" s="407">
        <v>0</v>
      </c>
      <c r="FH7" s="407">
        <v>0</v>
      </c>
      <c r="FI7" s="407">
        <v>0</v>
      </c>
    </row>
    <row r="8" spans="1:165" customFormat="1">
      <c r="A8" s="407">
        <v>6</v>
      </c>
      <c r="B8" s="407" t="s">
        <v>1090</v>
      </c>
      <c r="C8" s="407" t="s">
        <v>2306</v>
      </c>
      <c r="D8" s="407" t="s">
        <v>1218</v>
      </c>
      <c r="E8" s="407" t="s">
        <v>1021</v>
      </c>
      <c r="F8" s="407" t="s">
        <v>2311</v>
      </c>
      <c r="G8" s="407" t="s">
        <v>97</v>
      </c>
      <c r="H8" s="407" t="s">
        <v>97</v>
      </c>
      <c r="I8" s="407" t="s">
        <v>97</v>
      </c>
      <c r="J8" s="407" t="s">
        <v>2307</v>
      </c>
      <c r="K8" s="818">
        <v>44378</v>
      </c>
      <c r="L8" s="407">
        <v>0</v>
      </c>
      <c r="M8" s="407">
        <v>0</v>
      </c>
      <c r="N8" s="407">
        <v>37.058</v>
      </c>
      <c r="O8" s="407">
        <v>37.058</v>
      </c>
      <c r="P8" s="407">
        <v>37.058</v>
      </c>
      <c r="Q8" s="407">
        <v>37.058</v>
      </c>
      <c r="R8" s="407"/>
      <c r="S8" s="407">
        <v>547.54</v>
      </c>
      <c r="T8" s="407">
        <v>159.41</v>
      </c>
      <c r="U8" s="407"/>
      <c r="V8" s="407">
        <v>26198.1531</v>
      </c>
      <c r="W8" s="407">
        <v>26198.1531</v>
      </c>
      <c r="X8" s="407">
        <v>19189.37356</v>
      </c>
      <c r="Y8" s="407">
        <v>0</v>
      </c>
      <c r="Z8" s="407">
        <v>0</v>
      </c>
      <c r="AA8" s="407">
        <v>0</v>
      </c>
      <c r="AB8" s="407">
        <v>0</v>
      </c>
      <c r="AC8" s="407">
        <v>0</v>
      </c>
      <c r="AD8" s="407">
        <v>4322.6091465611835</v>
      </c>
      <c r="AE8" s="407">
        <v>15473.4193265875</v>
      </c>
      <c r="AF8" s="407">
        <v>5715.4818999543932</v>
      </c>
      <c r="AG8" s="407">
        <v>192.02518914990671</v>
      </c>
      <c r="AH8" s="407">
        <v>0</v>
      </c>
      <c r="AI8" s="407">
        <v>0</v>
      </c>
      <c r="AJ8" s="407">
        <v>0</v>
      </c>
      <c r="AK8" s="407">
        <v>0</v>
      </c>
      <c r="AL8" s="407">
        <v>0</v>
      </c>
      <c r="AM8" s="407"/>
      <c r="AN8" s="407">
        <v>76.898894244847057</v>
      </c>
      <c r="AO8" s="407">
        <v>0</v>
      </c>
      <c r="AP8" s="407">
        <v>0</v>
      </c>
      <c r="AQ8" s="407">
        <v>0</v>
      </c>
      <c r="AR8" s="407">
        <v>0</v>
      </c>
      <c r="AS8" s="407">
        <v>0</v>
      </c>
      <c r="AT8" s="407">
        <v>0</v>
      </c>
      <c r="AU8" s="407">
        <v>0</v>
      </c>
      <c r="AV8" s="407">
        <v>0</v>
      </c>
      <c r="AW8" s="407">
        <v>0</v>
      </c>
      <c r="AX8" s="407">
        <v>0</v>
      </c>
      <c r="AY8" s="407">
        <v>0</v>
      </c>
      <c r="AZ8" s="407">
        <v>0</v>
      </c>
      <c r="BA8" s="407"/>
      <c r="BB8" s="407">
        <v>0</v>
      </c>
      <c r="BC8" s="407">
        <v>0</v>
      </c>
      <c r="BD8" s="407">
        <v>0</v>
      </c>
      <c r="BE8" s="407">
        <v>0</v>
      </c>
      <c r="BF8" s="407">
        <v>0</v>
      </c>
      <c r="BG8" s="407">
        <v>417.78347599832284</v>
      </c>
      <c r="BH8" s="407">
        <v>0</v>
      </c>
      <c r="BI8" s="407">
        <v>52.87</v>
      </c>
      <c r="BJ8" s="407">
        <v>244.07</v>
      </c>
      <c r="BK8" s="407">
        <v>5065.46</v>
      </c>
      <c r="BL8" s="407">
        <v>175</v>
      </c>
      <c r="BM8" s="407"/>
      <c r="BN8" s="407"/>
      <c r="BO8" s="407"/>
      <c r="BP8" s="407"/>
      <c r="BQ8" s="407"/>
      <c r="BR8" s="407"/>
      <c r="BS8" s="407"/>
      <c r="BT8" s="407">
        <v>7675.8235400000003</v>
      </c>
      <c r="BU8" s="407"/>
      <c r="BV8" s="407">
        <v>6133.2653759527157</v>
      </c>
      <c r="BW8" s="407"/>
      <c r="BX8" s="407"/>
      <c r="BY8" s="407"/>
      <c r="BZ8" s="407"/>
      <c r="CA8" s="407"/>
      <c r="CB8" s="407"/>
      <c r="CC8" s="407"/>
      <c r="CD8" s="407"/>
      <c r="CE8" s="407"/>
      <c r="CF8" s="407"/>
      <c r="CG8" s="407"/>
      <c r="CH8" s="407"/>
      <c r="CI8" s="407">
        <v>11514.171399999999</v>
      </c>
      <c r="CJ8" s="407">
        <v>-4204.7504600000011</v>
      </c>
      <c r="CK8" s="407"/>
      <c r="CL8" s="407"/>
      <c r="CM8" s="407"/>
      <c r="CN8" s="407"/>
      <c r="CO8" s="407">
        <v>-8026.7627999999986</v>
      </c>
      <c r="CP8" s="407">
        <v>1017.98326</v>
      </c>
      <c r="CQ8" s="407">
        <v>31</v>
      </c>
      <c r="CR8" s="407">
        <v>894.90784827865173</v>
      </c>
      <c r="CS8" s="407">
        <v>0</v>
      </c>
      <c r="CT8" s="407">
        <v>0</v>
      </c>
      <c r="CU8" s="407">
        <v>0</v>
      </c>
      <c r="CV8" s="407">
        <v>0</v>
      </c>
      <c r="CW8" s="407">
        <v>0</v>
      </c>
      <c r="CX8" s="407">
        <v>0</v>
      </c>
      <c r="CY8" s="407">
        <v>0</v>
      </c>
      <c r="CZ8" s="407">
        <v>195.26082606295859</v>
      </c>
      <c r="DA8" s="407">
        <v>0</v>
      </c>
      <c r="DB8" s="407">
        <v>0</v>
      </c>
      <c r="DC8" s="407">
        <v>1133.2257150627638</v>
      </c>
      <c r="DD8" s="407">
        <v>0</v>
      </c>
      <c r="DE8" s="407">
        <v>0</v>
      </c>
      <c r="DF8" s="407">
        <v>0</v>
      </c>
      <c r="DG8" s="407">
        <v>82.835181112792384</v>
      </c>
      <c r="DH8" s="407">
        <v>0</v>
      </c>
      <c r="DI8" s="407">
        <v>0</v>
      </c>
      <c r="DJ8" s="407"/>
      <c r="DK8" s="407">
        <v>0</v>
      </c>
      <c r="DL8" s="407">
        <v>0</v>
      </c>
      <c r="DM8" s="407">
        <v>0</v>
      </c>
      <c r="DN8" s="407">
        <v>0</v>
      </c>
      <c r="DO8" s="407">
        <v>0</v>
      </c>
      <c r="DP8" s="407">
        <v>-4.8998118917434113</v>
      </c>
      <c r="DQ8" s="407">
        <v>0</v>
      </c>
      <c r="DR8" s="407">
        <v>-511.51406206811953</v>
      </c>
      <c r="DS8" s="407"/>
      <c r="DT8" s="407"/>
      <c r="DU8" s="407"/>
      <c r="DV8" s="407">
        <v>15473.4193265875</v>
      </c>
      <c r="DW8" s="407">
        <v>0</v>
      </c>
      <c r="DX8" s="407">
        <v>0</v>
      </c>
      <c r="DY8" s="407">
        <v>-8026.7628000000004</v>
      </c>
      <c r="DZ8" s="407">
        <v>1017.98326</v>
      </c>
      <c r="EA8" s="407">
        <v>0</v>
      </c>
      <c r="EB8" s="407">
        <v>0</v>
      </c>
      <c r="EC8" s="407">
        <v>-7903.8585309460077</v>
      </c>
      <c r="ED8" s="407">
        <v>0</v>
      </c>
      <c r="EE8" s="407">
        <v>0</v>
      </c>
      <c r="EF8" s="407">
        <v>0</v>
      </c>
      <c r="EG8" s="407">
        <v>0</v>
      </c>
      <c r="EH8" s="407">
        <v>0</v>
      </c>
      <c r="EI8" s="407">
        <v>0</v>
      </c>
      <c r="EJ8" s="407">
        <v>0</v>
      </c>
      <c r="EK8" s="407">
        <v>0</v>
      </c>
      <c r="EL8" s="407">
        <v>0</v>
      </c>
      <c r="EM8" s="407">
        <v>0</v>
      </c>
      <c r="EN8" s="407">
        <v>0</v>
      </c>
      <c r="EO8" s="407">
        <v>0</v>
      </c>
      <c r="EP8" s="407">
        <v>0</v>
      </c>
      <c r="EQ8" s="407">
        <v>0</v>
      </c>
      <c r="ER8" s="407">
        <v>0</v>
      </c>
      <c r="ES8" s="407">
        <v>0</v>
      </c>
      <c r="ET8" s="407">
        <v>0</v>
      </c>
      <c r="EU8" s="407">
        <v>0</v>
      </c>
      <c r="EV8" s="407">
        <v>246</v>
      </c>
      <c r="EW8" s="407">
        <v>0</v>
      </c>
      <c r="EX8" s="407">
        <v>0</v>
      </c>
      <c r="EY8" s="407">
        <v>0</v>
      </c>
      <c r="EZ8" s="407"/>
      <c r="FA8" s="407">
        <v>0</v>
      </c>
      <c r="FB8" s="407"/>
      <c r="FC8" s="407"/>
      <c r="FD8" s="407"/>
      <c r="FE8" s="407"/>
      <c r="FF8" s="407">
        <v>0</v>
      </c>
      <c r="FG8" s="407">
        <v>0</v>
      </c>
      <c r="FH8" s="407">
        <v>0</v>
      </c>
      <c r="FI8" s="407">
        <v>0</v>
      </c>
    </row>
    <row r="9" spans="1:165" customFormat="1">
      <c r="A9" s="407">
        <v>7</v>
      </c>
      <c r="B9" s="407" t="s">
        <v>2309</v>
      </c>
      <c r="C9" s="407" t="s">
        <v>2306</v>
      </c>
      <c r="D9" s="407" t="s">
        <v>1218</v>
      </c>
      <c r="E9" s="407" t="s">
        <v>1021</v>
      </c>
      <c r="F9" s="407" t="s">
        <v>2311</v>
      </c>
      <c r="G9" s="407" t="s">
        <v>97</v>
      </c>
      <c r="H9" s="407" t="s">
        <v>97</v>
      </c>
      <c r="I9" s="407" t="s">
        <v>97</v>
      </c>
      <c r="J9" s="407" t="s">
        <v>2307</v>
      </c>
      <c r="K9" s="818">
        <v>44378</v>
      </c>
      <c r="L9" s="407">
        <v>0</v>
      </c>
      <c r="M9" s="407">
        <v>0</v>
      </c>
      <c r="N9" s="407">
        <v>7.0000000000000007E-2</v>
      </c>
      <c r="O9" s="407">
        <v>7.0000000000000007E-2</v>
      </c>
      <c r="P9" s="407">
        <v>7.0000000000000007E-2</v>
      </c>
      <c r="Q9" s="407">
        <v>7.0000000000000007E-2</v>
      </c>
      <c r="R9" s="407"/>
      <c r="S9" s="407">
        <v>547.54</v>
      </c>
      <c r="T9" s="407">
        <v>159.41</v>
      </c>
      <c r="U9" s="407"/>
      <c r="V9" s="407">
        <v>49.486500000000007</v>
      </c>
      <c r="W9" s="407">
        <v>49.486500000000007</v>
      </c>
      <c r="X9" s="407">
        <v>36.247399999999999</v>
      </c>
      <c r="Y9" s="407">
        <v>0</v>
      </c>
      <c r="Z9" s="407">
        <v>0</v>
      </c>
      <c r="AA9" s="407">
        <v>0</v>
      </c>
      <c r="AB9" s="407">
        <v>0</v>
      </c>
      <c r="AC9" s="407">
        <v>0</v>
      </c>
      <c r="AD9" s="407">
        <v>8.1651098348341211</v>
      </c>
      <c r="AE9" s="407">
        <v>29.228219355095394</v>
      </c>
      <c r="AF9" s="407">
        <v>10.796150169917631</v>
      </c>
      <c r="AG9" s="407">
        <v>0.36272230666774974</v>
      </c>
      <c r="AH9" s="407">
        <v>0</v>
      </c>
      <c r="AI9" s="407">
        <v>0</v>
      </c>
      <c r="AJ9" s="407">
        <v>0</v>
      </c>
      <c r="AK9" s="407">
        <v>0</v>
      </c>
      <c r="AL9" s="407">
        <v>0</v>
      </c>
      <c r="AM9" s="407"/>
      <c r="AN9" s="407">
        <v>0.14525669483348519</v>
      </c>
      <c r="AO9" s="407">
        <v>0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  <c r="AV9" s="407">
        <v>0</v>
      </c>
      <c r="AW9" s="407">
        <v>0</v>
      </c>
      <c r="AX9" s="407">
        <v>0</v>
      </c>
      <c r="AY9" s="407">
        <v>0</v>
      </c>
      <c r="AZ9" s="407">
        <v>0</v>
      </c>
      <c r="BA9" s="407"/>
      <c r="BB9" s="407">
        <v>0</v>
      </c>
      <c r="BC9" s="407">
        <v>0</v>
      </c>
      <c r="BD9" s="407">
        <v>0</v>
      </c>
      <c r="BE9" s="407">
        <v>0</v>
      </c>
      <c r="BF9" s="407">
        <v>0</v>
      </c>
      <c r="BG9" s="407">
        <v>0.78916410275467108</v>
      </c>
      <c r="BH9" s="407">
        <v>0</v>
      </c>
      <c r="BI9" s="407">
        <v>0.56999999999999995</v>
      </c>
      <c r="BJ9" s="407">
        <v>0.63</v>
      </c>
      <c r="BK9" s="407">
        <v>11.02</v>
      </c>
      <c r="BL9" s="407">
        <v>0</v>
      </c>
      <c r="BM9" s="407"/>
      <c r="BN9" s="407"/>
      <c r="BO9" s="407"/>
      <c r="BP9" s="407"/>
      <c r="BQ9" s="407"/>
      <c r="BR9" s="407"/>
      <c r="BS9" s="407"/>
      <c r="BT9" s="407">
        <v>14.499100000000002</v>
      </c>
      <c r="BU9" s="407"/>
      <c r="BV9" s="407">
        <v>11.585314272672303</v>
      </c>
      <c r="BW9" s="407"/>
      <c r="BX9" s="407"/>
      <c r="BY9" s="407"/>
      <c r="BZ9" s="407"/>
      <c r="CA9" s="407"/>
      <c r="CB9" s="407"/>
      <c r="CC9" s="407"/>
      <c r="CD9" s="407"/>
      <c r="CE9" s="407"/>
      <c r="CF9" s="407"/>
      <c r="CG9" s="407"/>
      <c r="CH9" s="407"/>
      <c r="CI9" s="407">
        <v>21.748300000000004</v>
      </c>
      <c r="CJ9" s="407">
        <v>-7.9736000000000047</v>
      </c>
      <c r="CK9" s="407"/>
      <c r="CL9" s="407"/>
      <c r="CM9" s="407"/>
      <c r="CN9" s="407"/>
      <c r="CO9" s="407">
        <v>-15.161999999999999</v>
      </c>
      <c r="CP9" s="407">
        <v>1.9229000000000001</v>
      </c>
      <c r="CQ9" s="407">
        <v>31</v>
      </c>
      <c r="CR9" s="407">
        <v>1.6904190560609216</v>
      </c>
      <c r="CS9" s="407">
        <v>0</v>
      </c>
      <c r="CT9" s="407">
        <v>0</v>
      </c>
      <c r="CU9" s="407">
        <v>0</v>
      </c>
      <c r="CV9" s="407">
        <v>0</v>
      </c>
      <c r="CW9" s="407">
        <v>0</v>
      </c>
      <c r="CX9" s="407">
        <v>0</v>
      </c>
      <c r="CY9" s="407">
        <v>0</v>
      </c>
      <c r="CZ9" s="407">
        <v>0.36883420110116916</v>
      </c>
      <c r="DA9" s="407">
        <v>0</v>
      </c>
      <c r="DB9" s="407">
        <v>0</v>
      </c>
      <c r="DC9" s="407">
        <v>2.14058503034145</v>
      </c>
      <c r="DD9" s="407">
        <v>0</v>
      </c>
      <c r="DE9" s="407">
        <v>0</v>
      </c>
      <c r="DF9" s="407">
        <v>0</v>
      </c>
      <c r="DG9" s="407">
        <v>0.15646993032261503</v>
      </c>
      <c r="DH9" s="407">
        <v>0</v>
      </c>
      <c r="DI9" s="407">
        <v>0</v>
      </c>
      <c r="DJ9" s="407"/>
      <c r="DK9" s="407">
        <v>0</v>
      </c>
      <c r="DL9" s="407">
        <v>0</v>
      </c>
      <c r="DM9" s="407">
        <v>0</v>
      </c>
      <c r="DN9" s="407">
        <v>0</v>
      </c>
      <c r="DO9" s="407">
        <v>0</v>
      </c>
      <c r="DP9" s="407">
        <v>-9.255405915646775E-3</v>
      </c>
      <c r="DQ9" s="407">
        <v>0</v>
      </c>
      <c r="DR9" s="407">
        <v>-0.9662146997886657</v>
      </c>
      <c r="DS9" s="407"/>
      <c r="DT9" s="407"/>
      <c r="DU9" s="407"/>
      <c r="DV9" s="407">
        <v>29.228219355095394</v>
      </c>
      <c r="DW9" s="407">
        <v>0</v>
      </c>
      <c r="DX9" s="407">
        <v>0</v>
      </c>
      <c r="DY9" s="407">
        <v>-15.162000000000003</v>
      </c>
      <c r="DZ9" s="407">
        <v>1.9229000000000003</v>
      </c>
      <c r="EA9" s="407">
        <v>0</v>
      </c>
      <c r="EB9" s="407">
        <v>0</v>
      </c>
      <c r="EC9" s="407">
        <v>-14.929842332727631</v>
      </c>
      <c r="ED9" s="407">
        <v>0</v>
      </c>
      <c r="EE9" s="407">
        <v>0</v>
      </c>
      <c r="EF9" s="407">
        <v>0</v>
      </c>
      <c r="EG9" s="407">
        <v>0</v>
      </c>
      <c r="EH9" s="407">
        <v>0</v>
      </c>
      <c r="EI9" s="407">
        <v>0</v>
      </c>
      <c r="EJ9" s="407">
        <v>0</v>
      </c>
      <c r="EK9" s="407">
        <v>0</v>
      </c>
      <c r="EL9" s="407">
        <v>0</v>
      </c>
      <c r="EM9" s="407">
        <v>0</v>
      </c>
      <c r="EN9" s="407">
        <v>0</v>
      </c>
      <c r="EO9" s="407">
        <v>0</v>
      </c>
      <c r="EP9" s="407">
        <v>0</v>
      </c>
      <c r="EQ9" s="407">
        <v>0</v>
      </c>
      <c r="ER9" s="407">
        <v>0</v>
      </c>
      <c r="ES9" s="407">
        <v>0</v>
      </c>
      <c r="ET9" s="407">
        <v>0</v>
      </c>
      <c r="EU9" s="407">
        <v>0</v>
      </c>
      <c r="EV9" s="407">
        <v>246</v>
      </c>
      <c r="EW9" s="407">
        <v>0</v>
      </c>
      <c r="EX9" s="407">
        <v>0</v>
      </c>
      <c r="EY9" s="407">
        <v>0</v>
      </c>
      <c r="EZ9" s="407"/>
      <c r="FA9" s="407">
        <v>0</v>
      </c>
      <c r="FB9" s="407"/>
      <c r="FC9" s="407"/>
      <c r="FD9" s="407"/>
      <c r="FE9" s="407"/>
      <c r="FF9" s="407">
        <v>0</v>
      </c>
      <c r="FG9" s="407">
        <v>0</v>
      </c>
      <c r="FH9" s="407">
        <v>0</v>
      </c>
      <c r="FI9" s="407">
        <v>0</v>
      </c>
    </row>
    <row r="10" spans="1:165" customFormat="1">
      <c r="A10" s="407">
        <v>8</v>
      </c>
      <c r="B10" s="407" t="s">
        <v>1090</v>
      </c>
      <c r="C10" s="407" t="s">
        <v>2306</v>
      </c>
      <c r="D10" s="407" t="s">
        <v>1218</v>
      </c>
      <c r="E10" s="407" t="s">
        <v>1021</v>
      </c>
      <c r="F10" s="407" t="s">
        <v>2312</v>
      </c>
      <c r="G10" s="407" t="s">
        <v>97</v>
      </c>
      <c r="H10" s="407" t="s">
        <v>97</v>
      </c>
      <c r="I10" s="407" t="s">
        <v>97</v>
      </c>
      <c r="J10" s="407" t="s">
        <v>2307</v>
      </c>
      <c r="K10" s="818">
        <v>44378</v>
      </c>
      <c r="L10" s="407">
        <v>0</v>
      </c>
      <c r="M10" s="407">
        <v>0</v>
      </c>
      <c r="N10" s="407">
        <v>25.638999999999999</v>
      </c>
      <c r="O10" s="407">
        <v>25.638999999999999</v>
      </c>
      <c r="P10" s="407">
        <v>25.638999999999999</v>
      </c>
      <c r="Q10" s="407">
        <v>25.638999999999999</v>
      </c>
      <c r="R10" s="407"/>
      <c r="S10" s="407">
        <v>547.54</v>
      </c>
      <c r="T10" s="407">
        <v>159.41</v>
      </c>
      <c r="U10" s="407"/>
      <c r="V10" s="407">
        <v>18125.491049999997</v>
      </c>
      <c r="W10" s="407">
        <v>18125.491049999997</v>
      </c>
      <c r="X10" s="407">
        <v>13276.386979999999</v>
      </c>
      <c r="Y10" s="407">
        <v>0</v>
      </c>
      <c r="Z10" s="407">
        <v>0</v>
      </c>
      <c r="AA10" s="407">
        <v>0</v>
      </c>
      <c r="AB10" s="407">
        <v>0</v>
      </c>
      <c r="AC10" s="407">
        <v>0</v>
      </c>
      <c r="AD10" s="407">
        <v>2990.6464436473143</v>
      </c>
      <c r="AE10" s="407">
        <v>10705.461657789867</v>
      </c>
      <c r="AF10" s="407">
        <v>3954.3213458074015</v>
      </c>
      <c r="AG10" s="407">
        <v>132.8548174379205</v>
      </c>
      <c r="AH10" s="407">
        <v>0</v>
      </c>
      <c r="AI10" s="407">
        <v>0</v>
      </c>
      <c r="AJ10" s="407">
        <v>0</v>
      </c>
      <c r="AK10" s="407">
        <v>0</v>
      </c>
      <c r="AL10" s="407">
        <v>0</v>
      </c>
      <c r="AM10" s="407"/>
      <c r="AN10" s="407">
        <v>53.203377126224666</v>
      </c>
      <c r="AO10" s="407">
        <v>0</v>
      </c>
      <c r="AP10" s="407">
        <v>0</v>
      </c>
      <c r="AQ10" s="407">
        <v>0</v>
      </c>
      <c r="AR10" s="407">
        <v>0</v>
      </c>
      <c r="AS10" s="407">
        <v>0</v>
      </c>
      <c r="AT10" s="407">
        <v>0</v>
      </c>
      <c r="AU10" s="407">
        <v>0</v>
      </c>
      <c r="AV10" s="407">
        <v>0</v>
      </c>
      <c r="AW10" s="407">
        <v>0</v>
      </c>
      <c r="AX10" s="407">
        <v>0</v>
      </c>
      <c r="AY10" s="407">
        <v>0</v>
      </c>
      <c r="AZ10" s="407">
        <v>0</v>
      </c>
      <c r="BA10" s="407"/>
      <c r="BB10" s="407">
        <v>0</v>
      </c>
      <c r="BC10" s="407">
        <v>0</v>
      </c>
      <c r="BD10" s="407">
        <v>0</v>
      </c>
      <c r="BE10" s="407">
        <v>0</v>
      </c>
      <c r="BF10" s="407">
        <v>0</v>
      </c>
      <c r="BG10" s="407">
        <v>289.048263293243</v>
      </c>
      <c r="BH10" s="407">
        <v>0</v>
      </c>
      <c r="BI10" s="407">
        <v>64.87</v>
      </c>
      <c r="BJ10" s="407">
        <v>302.63</v>
      </c>
      <c r="BK10" s="407">
        <v>6340.43</v>
      </c>
      <c r="BL10" s="407">
        <v>363</v>
      </c>
      <c r="BM10" s="407"/>
      <c r="BN10" s="407"/>
      <c r="BO10" s="407"/>
      <c r="BP10" s="407"/>
      <c r="BQ10" s="407"/>
      <c r="BR10" s="407"/>
      <c r="BS10" s="407"/>
      <c r="BT10" s="407">
        <v>1327.8438100000005</v>
      </c>
      <c r="BU10" s="407"/>
      <c r="BV10" s="407">
        <v>4243.3696091006441</v>
      </c>
      <c r="BW10" s="407"/>
      <c r="BX10" s="407"/>
      <c r="BY10" s="407"/>
      <c r="BZ10" s="407"/>
      <c r="CA10" s="407"/>
      <c r="CB10" s="407"/>
      <c r="CC10" s="407"/>
      <c r="CD10" s="407"/>
      <c r="CE10" s="407"/>
      <c r="CF10" s="407"/>
      <c r="CG10" s="407"/>
      <c r="CH10" s="407"/>
      <c r="CI10" s="407">
        <v>11949.0092</v>
      </c>
      <c r="CJ10" s="407">
        <v>-4364.09094</v>
      </c>
      <c r="CK10" s="407"/>
      <c r="CL10" s="407"/>
      <c r="CM10" s="407"/>
      <c r="CN10" s="407"/>
      <c r="CO10" s="407">
        <v>-5553.4073999999991</v>
      </c>
      <c r="CP10" s="407">
        <v>704.30332999999996</v>
      </c>
      <c r="CQ10" s="407">
        <v>31</v>
      </c>
      <c r="CR10" s="407">
        <v>619.15220254780161</v>
      </c>
      <c r="CS10" s="407">
        <v>0</v>
      </c>
      <c r="CT10" s="407">
        <v>0</v>
      </c>
      <c r="CU10" s="407">
        <v>0</v>
      </c>
      <c r="CV10" s="407">
        <v>0</v>
      </c>
      <c r="CW10" s="407">
        <v>0</v>
      </c>
      <c r="CX10" s="407">
        <v>0</v>
      </c>
      <c r="CY10" s="407">
        <v>0</v>
      </c>
      <c r="CZ10" s="407">
        <v>135.09342974332685</v>
      </c>
      <c r="DA10" s="407">
        <v>0</v>
      </c>
      <c r="DB10" s="407">
        <v>0</v>
      </c>
      <c r="DC10" s="407">
        <v>784.03513704177749</v>
      </c>
      <c r="DD10" s="407">
        <v>0</v>
      </c>
      <c r="DE10" s="407">
        <v>0</v>
      </c>
      <c r="DF10" s="407">
        <v>0</v>
      </c>
      <c r="DG10" s="407">
        <v>57.310464907736048</v>
      </c>
      <c r="DH10" s="407">
        <v>0</v>
      </c>
      <c r="DI10" s="407">
        <v>0</v>
      </c>
      <c r="DJ10" s="407"/>
      <c r="DK10" s="407">
        <v>0</v>
      </c>
      <c r="DL10" s="407">
        <v>0</v>
      </c>
      <c r="DM10" s="407">
        <v>0</v>
      </c>
      <c r="DN10" s="407">
        <v>0</v>
      </c>
      <c r="DO10" s="407">
        <v>0</v>
      </c>
      <c r="DP10" s="407">
        <v>-3.3899907467324013</v>
      </c>
      <c r="DQ10" s="407">
        <v>0</v>
      </c>
      <c r="DR10" s="407">
        <v>-353.89683839830855</v>
      </c>
      <c r="DS10" s="407"/>
      <c r="DT10" s="407"/>
      <c r="DU10" s="407"/>
      <c r="DV10" s="407">
        <v>10705.461657789867</v>
      </c>
      <c r="DW10" s="407">
        <v>0</v>
      </c>
      <c r="DX10" s="407">
        <v>0</v>
      </c>
      <c r="DY10" s="407">
        <v>-5553.4074000000001</v>
      </c>
      <c r="DZ10" s="407">
        <v>704.30332999999973</v>
      </c>
      <c r="EA10" s="407">
        <v>0</v>
      </c>
      <c r="EB10" s="407">
        <v>0</v>
      </c>
      <c r="EC10" s="407">
        <v>-5468.3746795543384</v>
      </c>
      <c r="ED10" s="407">
        <v>0</v>
      </c>
      <c r="EE10" s="407">
        <v>0</v>
      </c>
      <c r="EF10" s="407">
        <v>0</v>
      </c>
      <c r="EG10" s="407">
        <v>0</v>
      </c>
      <c r="EH10" s="407">
        <v>0</v>
      </c>
      <c r="EI10" s="407">
        <v>0</v>
      </c>
      <c r="EJ10" s="407">
        <v>0</v>
      </c>
      <c r="EK10" s="407">
        <v>0</v>
      </c>
      <c r="EL10" s="407">
        <v>0</v>
      </c>
      <c r="EM10" s="407">
        <v>0</v>
      </c>
      <c r="EN10" s="407">
        <v>0</v>
      </c>
      <c r="EO10" s="407">
        <v>0</v>
      </c>
      <c r="EP10" s="407">
        <v>0</v>
      </c>
      <c r="EQ10" s="407">
        <v>0</v>
      </c>
      <c r="ER10" s="407">
        <v>0</v>
      </c>
      <c r="ES10" s="407">
        <v>0</v>
      </c>
      <c r="ET10" s="407">
        <v>0</v>
      </c>
      <c r="EU10" s="407">
        <v>0</v>
      </c>
      <c r="EV10" s="407">
        <v>246</v>
      </c>
      <c r="EW10" s="407">
        <v>0</v>
      </c>
      <c r="EX10" s="407">
        <v>0</v>
      </c>
      <c r="EY10" s="407">
        <v>0</v>
      </c>
      <c r="EZ10" s="407"/>
      <c r="FA10" s="407">
        <v>0</v>
      </c>
      <c r="FB10" s="407"/>
      <c r="FC10" s="407"/>
      <c r="FD10" s="407"/>
      <c r="FE10" s="407"/>
      <c r="FF10" s="407">
        <v>0</v>
      </c>
      <c r="FG10" s="407">
        <v>0</v>
      </c>
      <c r="FH10" s="407">
        <v>0</v>
      </c>
      <c r="FI10" s="407">
        <v>0</v>
      </c>
    </row>
    <row r="11" spans="1:165" customFormat="1">
      <c r="A11" s="407">
        <v>9</v>
      </c>
      <c r="B11" s="407" t="s">
        <v>2309</v>
      </c>
      <c r="C11" s="407" t="s">
        <v>2306</v>
      </c>
      <c r="D11" s="407" t="s">
        <v>1218</v>
      </c>
      <c r="E11" s="407" t="s">
        <v>1021</v>
      </c>
      <c r="F11" s="407" t="s">
        <v>2312</v>
      </c>
      <c r="G11" s="407" t="s">
        <v>97</v>
      </c>
      <c r="H11" s="407" t="s">
        <v>97</v>
      </c>
      <c r="I11" s="407" t="s">
        <v>97</v>
      </c>
      <c r="J11" s="407" t="s">
        <v>2307</v>
      </c>
      <c r="K11" s="818">
        <v>44378</v>
      </c>
      <c r="L11" s="407">
        <v>0</v>
      </c>
      <c r="M11" s="407">
        <v>0</v>
      </c>
      <c r="N11" s="407">
        <v>0.12</v>
      </c>
      <c r="O11" s="407">
        <v>0.12</v>
      </c>
      <c r="P11" s="407">
        <v>0.12</v>
      </c>
      <c r="Q11" s="407">
        <v>0.12</v>
      </c>
      <c r="R11" s="407"/>
      <c r="S11" s="407">
        <v>547.54</v>
      </c>
      <c r="T11" s="407">
        <v>159.41</v>
      </c>
      <c r="U11" s="407"/>
      <c r="V11" s="407">
        <v>84.833999999999989</v>
      </c>
      <c r="W11" s="407">
        <v>84.833999999999989</v>
      </c>
      <c r="X11" s="407">
        <v>62.138400000000004</v>
      </c>
      <c r="Y11" s="407">
        <v>0</v>
      </c>
      <c r="Z11" s="407">
        <v>0</v>
      </c>
      <c r="AA11" s="407">
        <v>0</v>
      </c>
      <c r="AB11" s="407">
        <v>0</v>
      </c>
      <c r="AC11" s="407">
        <v>0</v>
      </c>
      <c r="AD11" s="407">
        <v>13.99733114542992</v>
      </c>
      <c r="AE11" s="407">
        <v>50.10551889444924</v>
      </c>
      <c r="AF11" s="407">
        <v>18.507686005573078</v>
      </c>
      <c r="AG11" s="407">
        <v>0.62180966857328523</v>
      </c>
      <c r="AH11" s="407">
        <v>0</v>
      </c>
      <c r="AI11" s="407">
        <v>0</v>
      </c>
      <c r="AJ11" s="407">
        <v>0</v>
      </c>
      <c r="AK11" s="407">
        <v>0</v>
      </c>
      <c r="AL11" s="407">
        <v>0</v>
      </c>
      <c r="AM11" s="407"/>
      <c r="AN11" s="407">
        <v>0.24901147685740316</v>
      </c>
      <c r="AO11" s="407">
        <v>0</v>
      </c>
      <c r="AP11" s="407">
        <v>0</v>
      </c>
      <c r="AQ11" s="407">
        <v>0</v>
      </c>
      <c r="AR11" s="407">
        <v>0</v>
      </c>
      <c r="AS11" s="407">
        <v>0</v>
      </c>
      <c r="AT11" s="407">
        <v>0</v>
      </c>
      <c r="AU11" s="407">
        <v>0</v>
      </c>
      <c r="AV11" s="407">
        <v>0</v>
      </c>
      <c r="AW11" s="407">
        <v>0</v>
      </c>
      <c r="AX11" s="407">
        <v>0</v>
      </c>
      <c r="AY11" s="407">
        <v>0</v>
      </c>
      <c r="AZ11" s="407">
        <v>0</v>
      </c>
      <c r="BA11" s="407"/>
      <c r="BB11" s="407">
        <v>0</v>
      </c>
      <c r="BC11" s="407">
        <v>0</v>
      </c>
      <c r="BD11" s="407">
        <v>0</v>
      </c>
      <c r="BE11" s="407">
        <v>0</v>
      </c>
      <c r="BF11" s="407">
        <v>0</v>
      </c>
      <c r="BG11" s="407">
        <v>1.3528527475794361</v>
      </c>
      <c r="BH11" s="407">
        <v>0</v>
      </c>
      <c r="BI11" s="407">
        <v>1.45</v>
      </c>
      <c r="BJ11" s="407">
        <v>1.61</v>
      </c>
      <c r="BK11" s="407">
        <v>28.36</v>
      </c>
      <c r="BL11" s="407">
        <v>0</v>
      </c>
      <c r="BM11" s="407"/>
      <c r="BN11" s="407"/>
      <c r="BO11" s="407"/>
      <c r="BP11" s="407"/>
      <c r="BQ11" s="407"/>
      <c r="BR11" s="407"/>
      <c r="BS11" s="407"/>
      <c r="BT11" s="407">
        <v>6.2148000000000021</v>
      </c>
      <c r="BU11" s="407"/>
      <c r="BV11" s="407">
        <v>19.860538753152515</v>
      </c>
      <c r="BW11" s="407"/>
      <c r="BX11" s="407"/>
      <c r="BY11" s="407"/>
      <c r="BZ11" s="407"/>
      <c r="CA11" s="407"/>
      <c r="CB11" s="407"/>
      <c r="CC11" s="407"/>
      <c r="CD11" s="407"/>
      <c r="CE11" s="407"/>
      <c r="CF11" s="407"/>
      <c r="CG11" s="407"/>
      <c r="CH11" s="407"/>
      <c r="CI11" s="407">
        <v>55.923599999999993</v>
      </c>
      <c r="CJ11" s="407">
        <v>-20.457599999999999</v>
      </c>
      <c r="CK11" s="407"/>
      <c r="CL11" s="407"/>
      <c r="CM11" s="407"/>
      <c r="CN11" s="407"/>
      <c r="CO11" s="407">
        <v>-25.991999999999994</v>
      </c>
      <c r="CP11" s="407">
        <v>3.2963999999999998</v>
      </c>
      <c r="CQ11" s="407">
        <v>31</v>
      </c>
      <c r="CR11" s="407">
        <v>2.8978612389615748</v>
      </c>
      <c r="CS11" s="407">
        <v>0</v>
      </c>
      <c r="CT11" s="407">
        <v>0</v>
      </c>
      <c r="CU11" s="407">
        <v>0</v>
      </c>
      <c r="CV11" s="407">
        <v>0</v>
      </c>
      <c r="CW11" s="407">
        <v>0</v>
      </c>
      <c r="CX11" s="407">
        <v>0</v>
      </c>
      <c r="CY11" s="407">
        <v>0</v>
      </c>
      <c r="CZ11" s="407">
        <v>0.63228720188771881</v>
      </c>
      <c r="DA11" s="407">
        <v>0</v>
      </c>
      <c r="DB11" s="407">
        <v>0</v>
      </c>
      <c r="DC11" s="407">
        <v>3.6695743377282</v>
      </c>
      <c r="DD11" s="407">
        <v>0</v>
      </c>
      <c r="DE11" s="407">
        <v>0</v>
      </c>
      <c r="DF11" s="407">
        <v>0</v>
      </c>
      <c r="DG11" s="407">
        <v>0.26823416626733976</v>
      </c>
      <c r="DH11" s="407">
        <v>0</v>
      </c>
      <c r="DI11" s="407">
        <v>0</v>
      </c>
      <c r="DJ11" s="407"/>
      <c r="DK11" s="407">
        <v>0</v>
      </c>
      <c r="DL11" s="407">
        <v>0</v>
      </c>
      <c r="DM11" s="407">
        <v>0</v>
      </c>
      <c r="DN11" s="407">
        <v>0</v>
      </c>
      <c r="DO11" s="407">
        <v>0</v>
      </c>
      <c r="DP11" s="407">
        <v>-1.5866410141108761E-2</v>
      </c>
      <c r="DQ11" s="407">
        <v>0</v>
      </c>
      <c r="DR11" s="407">
        <v>-1.6563680567805696</v>
      </c>
      <c r="DS11" s="407"/>
      <c r="DT11" s="407"/>
      <c r="DU11" s="407"/>
      <c r="DV11" s="407">
        <v>50.10551889444924</v>
      </c>
      <c r="DW11" s="407">
        <v>0</v>
      </c>
      <c r="DX11" s="407">
        <v>0</v>
      </c>
      <c r="DY11" s="407">
        <v>-25.99199999999999</v>
      </c>
      <c r="DZ11" s="407">
        <v>3.296400000000002</v>
      </c>
      <c r="EA11" s="407">
        <v>0</v>
      </c>
      <c r="EB11" s="407">
        <v>0</v>
      </c>
      <c r="EC11" s="407">
        <v>-25.59401542753308</v>
      </c>
      <c r="ED11" s="407">
        <v>0</v>
      </c>
      <c r="EE11" s="407">
        <v>0</v>
      </c>
      <c r="EF11" s="407">
        <v>0</v>
      </c>
      <c r="EG11" s="407">
        <v>0</v>
      </c>
      <c r="EH11" s="407">
        <v>0</v>
      </c>
      <c r="EI11" s="407">
        <v>0</v>
      </c>
      <c r="EJ11" s="407">
        <v>0</v>
      </c>
      <c r="EK11" s="407">
        <v>0</v>
      </c>
      <c r="EL11" s="407">
        <v>0</v>
      </c>
      <c r="EM11" s="407">
        <v>0</v>
      </c>
      <c r="EN11" s="407">
        <v>0</v>
      </c>
      <c r="EO11" s="407">
        <v>0</v>
      </c>
      <c r="EP11" s="407">
        <v>0</v>
      </c>
      <c r="EQ11" s="407">
        <v>0</v>
      </c>
      <c r="ER11" s="407">
        <v>0</v>
      </c>
      <c r="ES11" s="407">
        <v>0</v>
      </c>
      <c r="ET11" s="407">
        <v>0</v>
      </c>
      <c r="EU11" s="407">
        <v>0</v>
      </c>
      <c r="EV11" s="407">
        <v>246</v>
      </c>
      <c r="EW11" s="407">
        <v>0</v>
      </c>
      <c r="EX11" s="407">
        <v>0</v>
      </c>
      <c r="EY11" s="407">
        <v>0</v>
      </c>
      <c r="EZ11" s="407"/>
      <c r="FA11" s="407">
        <v>0</v>
      </c>
      <c r="FB11" s="407"/>
      <c r="FC11" s="407"/>
      <c r="FD11" s="407"/>
      <c r="FE11" s="407"/>
      <c r="FF11" s="407">
        <v>0</v>
      </c>
      <c r="FG11" s="407">
        <v>0</v>
      </c>
      <c r="FH11" s="407">
        <v>0</v>
      </c>
      <c r="FI11" s="407">
        <v>0</v>
      </c>
    </row>
    <row r="12" spans="1:165" customFormat="1">
      <c r="A12" s="407">
        <v>10</v>
      </c>
      <c r="B12" s="407" t="s">
        <v>1090</v>
      </c>
      <c r="C12" s="407" t="s">
        <v>2306</v>
      </c>
      <c r="D12" s="407" t="s">
        <v>1218</v>
      </c>
      <c r="E12" s="407" t="s">
        <v>1021</v>
      </c>
      <c r="F12" s="407" t="s">
        <v>2313</v>
      </c>
      <c r="G12" s="407" t="s">
        <v>97</v>
      </c>
      <c r="H12" s="407" t="s">
        <v>97</v>
      </c>
      <c r="I12" s="407" t="s">
        <v>97</v>
      </c>
      <c r="J12" s="407" t="s">
        <v>2307</v>
      </c>
      <c r="K12" s="818">
        <v>44378</v>
      </c>
      <c r="L12" s="407">
        <v>0</v>
      </c>
      <c r="M12" s="407">
        <v>0</v>
      </c>
      <c r="N12" s="407">
        <v>3.5920000000000001</v>
      </c>
      <c r="O12" s="407">
        <v>3.5920000000000001</v>
      </c>
      <c r="P12" s="407">
        <v>3.5920000000000001</v>
      </c>
      <c r="Q12" s="407">
        <v>3.5920000000000001</v>
      </c>
      <c r="R12" s="407"/>
      <c r="S12" s="407">
        <v>547.54</v>
      </c>
      <c r="T12" s="407">
        <v>159.41</v>
      </c>
      <c r="U12" s="407"/>
      <c r="V12" s="407">
        <v>2539.3643999999999</v>
      </c>
      <c r="W12" s="407">
        <v>2539.3643999999999</v>
      </c>
      <c r="X12" s="407">
        <v>1860.00944</v>
      </c>
      <c r="Y12" s="407">
        <v>0</v>
      </c>
      <c r="Z12" s="407">
        <v>0</v>
      </c>
      <c r="AA12" s="407">
        <v>0</v>
      </c>
      <c r="AB12" s="407">
        <v>0</v>
      </c>
      <c r="AC12" s="407">
        <v>0</v>
      </c>
      <c r="AD12" s="407">
        <v>418.9867789532023</v>
      </c>
      <c r="AE12" s="407">
        <v>1499.8251989071807</v>
      </c>
      <c r="AF12" s="407">
        <v>553.99673443348752</v>
      </c>
      <c r="AG12" s="407">
        <v>18.612836079293672</v>
      </c>
      <c r="AH12" s="407">
        <v>0</v>
      </c>
      <c r="AI12" s="407">
        <v>0</v>
      </c>
      <c r="AJ12" s="407">
        <v>0</v>
      </c>
      <c r="AK12" s="407">
        <v>0</v>
      </c>
      <c r="AL12" s="407">
        <v>0</v>
      </c>
      <c r="AM12" s="407"/>
      <c r="AN12" s="407">
        <v>7.4537435405982686</v>
      </c>
      <c r="AO12" s="407">
        <v>0</v>
      </c>
      <c r="AP12" s="407">
        <v>0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  <c r="AV12" s="407">
        <v>0</v>
      </c>
      <c r="AW12" s="407">
        <v>0</v>
      </c>
      <c r="AX12" s="407">
        <v>0</v>
      </c>
      <c r="AY12" s="407">
        <v>0</v>
      </c>
      <c r="AZ12" s="407">
        <v>0</v>
      </c>
      <c r="BA12" s="407"/>
      <c r="BB12" s="407">
        <v>0</v>
      </c>
      <c r="BC12" s="407">
        <v>0</v>
      </c>
      <c r="BD12" s="407">
        <v>0</v>
      </c>
      <c r="BE12" s="407">
        <v>0</v>
      </c>
      <c r="BF12" s="407">
        <v>0</v>
      </c>
      <c r="BG12" s="407">
        <v>40.495392244211118</v>
      </c>
      <c r="BH12" s="407">
        <v>0</v>
      </c>
      <c r="BI12" s="407">
        <v>13.11</v>
      </c>
      <c r="BJ12" s="407">
        <v>61.23</v>
      </c>
      <c r="BK12" s="407">
        <v>1285.55</v>
      </c>
      <c r="BL12" s="407">
        <v>66</v>
      </c>
      <c r="BM12" s="407"/>
      <c r="BN12" s="407"/>
      <c r="BO12" s="407"/>
      <c r="BP12" s="407"/>
      <c r="BQ12" s="407"/>
      <c r="BR12" s="407"/>
      <c r="BS12" s="407"/>
      <c r="BT12" s="407"/>
      <c r="BU12" s="407"/>
      <c r="BV12" s="407">
        <v>594.49212667769859</v>
      </c>
      <c r="BW12" s="407"/>
      <c r="BX12" s="407"/>
      <c r="BY12" s="407"/>
      <c r="BZ12" s="407"/>
      <c r="CA12" s="407"/>
      <c r="CB12" s="407"/>
      <c r="CC12" s="407"/>
      <c r="CD12" s="407"/>
      <c r="CE12" s="407"/>
      <c r="CF12" s="407"/>
      <c r="CG12" s="407"/>
      <c r="CH12" s="407"/>
      <c r="CI12" s="407">
        <v>1858.9737999999998</v>
      </c>
      <c r="CJ12" s="407">
        <v>-680.42060000000038</v>
      </c>
      <c r="CK12" s="407"/>
      <c r="CL12" s="407"/>
      <c r="CM12" s="407"/>
      <c r="CN12" s="407"/>
      <c r="CO12" s="407">
        <v>-778.02719999999988</v>
      </c>
      <c r="CP12" s="407">
        <v>98.672240000000002</v>
      </c>
      <c r="CQ12" s="407">
        <v>31</v>
      </c>
      <c r="CR12" s="407">
        <v>86.742646419583252</v>
      </c>
      <c r="CS12" s="407">
        <v>0</v>
      </c>
      <c r="CT12" s="407">
        <v>0</v>
      </c>
      <c r="CU12" s="407">
        <v>0</v>
      </c>
      <c r="CV12" s="407">
        <v>0</v>
      </c>
      <c r="CW12" s="407">
        <v>0</v>
      </c>
      <c r="CX12" s="407">
        <v>0</v>
      </c>
      <c r="CY12" s="407">
        <v>0</v>
      </c>
      <c r="CZ12" s="407">
        <v>18.926463576505739</v>
      </c>
      <c r="DA12" s="407">
        <v>0</v>
      </c>
      <c r="DB12" s="407">
        <v>0</v>
      </c>
      <c r="DC12" s="407">
        <v>109.84259184266409</v>
      </c>
      <c r="DD12" s="407">
        <v>0</v>
      </c>
      <c r="DE12" s="407">
        <v>0</v>
      </c>
      <c r="DF12" s="407">
        <v>0</v>
      </c>
      <c r="DG12" s="407">
        <v>8.029142710269042</v>
      </c>
      <c r="DH12" s="407">
        <v>0</v>
      </c>
      <c r="DI12" s="407">
        <v>0</v>
      </c>
      <c r="DJ12" s="407"/>
      <c r="DK12" s="407">
        <v>0</v>
      </c>
      <c r="DL12" s="407">
        <v>0</v>
      </c>
      <c r="DM12" s="407">
        <v>0</v>
      </c>
      <c r="DN12" s="407">
        <v>0</v>
      </c>
      <c r="DO12" s="407">
        <v>0</v>
      </c>
      <c r="DP12" s="407">
        <v>-0.47493454355718967</v>
      </c>
      <c r="DQ12" s="407">
        <v>0</v>
      </c>
      <c r="DR12" s="407">
        <v>-49.580617166298381</v>
      </c>
      <c r="DS12" s="407"/>
      <c r="DT12" s="407"/>
      <c r="DU12" s="407"/>
      <c r="DV12" s="407">
        <v>1499.8251989071807</v>
      </c>
      <c r="DW12" s="407">
        <v>0</v>
      </c>
      <c r="DX12" s="407">
        <v>0</v>
      </c>
      <c r="DY12" s="407">
        <v>-778.02719999999999</v>
      </c>
      <c r="DZ12" s="407">
        <v>98.672239999999988</v>
      </c>
      <c r="EA12" s="407">
        <v>0</v>
      </c>
      <c r="EB12" s="407">
        <v>0</v>
      </c>
      <c r="EC12" s="407">
        <v>-766.11419513082365</v>
      </c>
      <c r="ED12" s="407">
        <v>0</v>
      </c>
      <c r="EE12" s="407">
        <v>0</v>
      </c>
      <c r="EF12" s="407">
        <v>0</v>
      </c>
      <c r="EG12" s="407">
        <v>0</v>
      </c>
      <c r="EH12" s="407">
        <v>0</v>
      </c>
      <c r="EI12" s="407">
        <v>0</v>
      </c>
      <c r="EJ12" s="407">
        <v>0</v>
      </c>
      <c r="EK12" s="407">
        <v>0</v>
      </c>
      <c r="EL12" s="407">
        <v>0</v>
      </c>
      <c r="EM12" s="407">
        <v>0</v>
      </c>
      <c r="EN12" s="407">
        <v>0</v>
      </c>
      <c r="EO12" s="407">
        <v>0</v>
      </c>
      <c r="EP12" s="407">
        <v>0</v>
      </c>
      <c r="EQ12" s="407">
        <v>0</v>
      </c>
      <c r="ER12" s="407">
        <v>0</v>
      </c>
      <c r="ES12" s="407">
        <v>0</v>
      </c>
      <c r="ET12" s="407">
        <v>0</v>
      </c>
      <c r="EU12" s="407">
        <v>0</v>
      </c>
      <c r="EV12" s="407">
        <v>246</v>
      </c>
      <c r="EW12" s="407">
        <v>0</v>
      </c>
      <c r="EX12" s="407">
        <v>0</v>
      </c>
      <c r="EY12" s="407">
        <v>0</v>
      </c>
      <c r="EZ12" s="407"/>
      <c r="FA12" s="407">
        <v>0</v>
      </c>
      <c r="FB12" s="407"/>
      <c r="FC12" s="407"/>
      <c r="FD12" s="407"/>
      <c r="FE12" s="407"/>
      <c r="FF12" s="407">
        <v>0</v>
      </c>
      <c r="FG12" s="407">
        <v>0</v>
      </c>
      <c r="FH12" s="407">
        <v>0</v>
      </c>
      <c r="FI12" s="407">
        <v>0</v>
      </c>
    </row>
    <row r="13" spans="1:165" customFormat="1">
      <c r="A13" s="407">
        <v>11</v>
      </c>
      <c r="B13" s="407" t="s">
        <v>2309</v>
      </c>
      <c r="C13" s="407" t="s">
        <v>2306</v>
      </c>
      <c r="D13" s="407" t="s">
        <v>1218</v>
      </c>
      <c r="E13" s="407" t="s">
        <v>1021</v>
      </c>
      <c r="F13" s="407" t="s">
        <v>2313</v>
      </c>
      <c r="G13" s="407" t="s">
        <v>97</v>
      </c>
      <c r="H13" s="407" t="s">
        <v>97</v>
      </c>
      <c r="I13" s="407" t="s">
        <v>97</v>
      </c>
      <c r="J13" s="407" t="s">
        <v>2307</v>
      </c>
      <c r="K13" s="818">
        <v>44378</v>
      </c>
      <c r="L13" s="407">
        <v>0</v>
      </c>
      <c r="M13" s="407">
        <v>0</v>
      </c>
      <c r="N13" s="407">
        <v>0.19900000000000001</v>
      </c>
      <c r="O13" s="407">
        <v>0.19900000000000001</v>
      </c>
      <c r="P13" s="407">
        <v>0.19900000000000001</v>
      </c>
      <c r="Q13" s="407">
        <v>0.19900000000000001</v>
      </c>
      <c r="R13" s="407"/>
      <c r="S13" s="407">
        <v>547.54</v>
      </c>
      <c r="T13" s="407">
        <v>159.41</v>
      </c>
      <c r="U13" s="407"/>
      <c r="V13" s="407">
        <v>140.68305000000001</v>
      </c>
      <c r="W13" s="407">
        <v>140.68305000000001</v>
      </c>
      <c r="X13" s="407">
        <v>103.04618000000001</v>
      </c>
      <c r="Y13" s="407">
        <v>0</v>
      </c>
      <c r="Z13" s="407">
        <v>0</v>
      </c>
      <c r="AA13" s="407">
        <v>0</v>
      </c>
      <c r="AB13" s="407">
        <v>0</v>
      </c>
      <c r="AC13" s="407">
        <v>0</v>
      </c>
      <c r="AD13" s="407">
        <v>23.212240816171285</v>
      </c>
      <c r="AE13" s="407">
        <v>83.091652166628336</v>
      </c>
      <c r="AF13" s="407">
        <v>30.691912625908692</v>
      </c>
      <c r="AG13" s="407">
        <v>1.0311677003840314</v>
      </c>
      <c r="AH13" s="407">
        <v>0</v>
      </c>
      <c r="AI13" s="407">
        <v>0</v>
      </c>
      <c r="AJ13" s="407">
        <v>0</v>
      </c>
      <c r="AK13" s="407">
        <v>0</v>
      </c>
      <c r="AL13" s="407">
        <v>0</v>
      </c>
      <c r="AM13" s="407"/>
      <c r="AN13" s="407">
        <v>0.41294403245519362</v>
      </c>
      <c r="AO13" s="407">
        <v>0</v>
      </c>
      <c r="AP13" s="407">
        <v>0</v>
      </c>
      <c r="AQ13" s="407">
        <v>0</v>
      </c>
      <c r="AR13" s="407">
        <v>0</v>
      </c>
      <c r="AS13" s="407">
        <v>0</v>
      </c>
      <c r="AT13" s="407">
        <v>0</v>
      </c>
      <c r="AU13" s="407">
        <v>0</v>
      </c>
      <c r="AV13" s="407">
        <v>0</v>
      </c>
      <c r="AW13" s="407">
        <v>0</v>
      </c>
      <c r="AX13" s="407">
        <v>0</v>
      </c>
      <c r="AY13" s="407">
        <v>0</v>
      </c>
      <c r="AZ13" s="407">
        <v>0</v>
      </c>
      <c r="BA13" s="407"/>
      <c r="BB13" s="407">
        <v>0</v>
      </c>
      <c r="BC13" s="407">
        <v>0</v>
      </c>
      <c r="BD13" s="407">
        <v>0</v>
      </c>
      <c r="BE13" s="407">
        <v>0</v>
      </c>
      <c r="BF13" s="407">
        <v>0</v>
      </c>
      <c r="BG13" s="407">
        <v>2.2434808064025651</v>
      </c>
      <c r="BH13" s="407">
        <v>0</v>
      </c>
      <c r="BI13" s="407">
        <v>2.67</v>
      </c>
      <c r="BJ13" s="407">
        <v>0.63</v>
      </c>
      <c r="BK13" s="407">
        <v>81.489999999999995</v>
      </c>
      <c r="BL13" s="407">
        <v>1</v>
      </c>
      <c r="BM13" s="407"/>
      <c r="BN13" s="407"/>
      <c r="BO13" s="407"/>
      <c r="BP13" s="407"/>
      <c r="BQ13" s="407"/>
      <c r="BR13" s="407"/>
      <c r="BS13" s="407"/>
      <c r="BT13" s="407"/>
      <c r="BU13" s="407"/>
      <c r="BV13" s="407">
        <v>32.935393432311258</v>
      </c>
      <c r="BW13" s="407"/>
      <c r="BX13" s="407"/>
      <c r="BY13" s="407"/>
      <c r="BZ13" s="407"/>
      <c r="CA13" s="407"/>
      <c r="CB13" s="407"/>
      <c r="CC13" s="407"/>
      <c r="CD13" s="407"/>
      <c r="CE13" s="407"/>
      <c r="CF13" s="407"/>
      <c r="CG13" s="407"/>
      <c r="CH13" s="407"/>
      <c r="CI13" s="407">
        <v>103.56399999999999</v>
      </c>
      <c r="CJ13" s="407">
        <v>-37.149050000000017</v>
      </c>
      <c r="CK13" s="407"/>
      <c r="CL13" s="407"/>
      <c r="CM13" s="407"/>
      <c r="CN13" s="407"/>
      <c r="CO13" s="407">
        <v>-43.103399999999993</v>
      </c>
      <c r="CP13" s="407">
        <v>5.4665299999999997</v>
      </c>
      <c r="CQ13" s="407">
        <v>31</v>
      </c>
      <c r="CR13" s="407">
        <v>4.8056198879446228</v>
      </c>
      <c r="CS13" s="407">
        <v>0</v>
      </c>
      <c r="CT13" s="407">
        <v>0</v>
      </c>
      <c r="CU13" s="407">
        <v>0</v>
      </c>
      <c r="CV13" s="407">
        <v>0</v>
      </c>
      <c r="CW13" s="407">
        <v>0</v>
      </c>
      <c r="CX13" s="407">
        <v>0</v>
      </c>
      <c r="CY13" s="407">
        <v>0</v>
      </c>
      <c r="CZ13" s="407">
        <v>1.0485429431304709</v>
      </c>
      <c r="DA13" s="407">
        <v>0</v>
      </c>
      <c r="DB13" s="407">
        <v>0</v>
      </c>
      <c r="DC13" s="407">
        <v>6.0853774433992669</v>
      </c>
      <c r="DD13" s="407">
        <v>0</v>
      </c>
      <c r="DE13" s="407">
        <v>0</v>
      </c>
      <c r="DF13" s="407">
        <v>0</v>
      </c>
      <c r="DG13" s="407">
        <v>0.44482165906000537</v>
      </c>
      <c r="DH13" s="407">
        <v>0</v>
      </c>
      <c r="DI13" s="407">
        <v>0</v>
      </c>
      <c r="DJ13" s="407"/>
      <c r="DK13" s="407">
        <v>0</v>
      </c>
      <c r="DL13" s="407">
        <v>0</v>
      </c>
      <c r="DM13" s="407">
        <v>0</v>
      </c>
      <c r="DN13" s="407">
        <v>0</v>
      </c>
      <c r="DO13" s="407">
        <v>0</v>
      </c>
      <c r="DP13" s="407">
        <v>-2.6311796817338751E-2</v>
      </c>
      <c r="DQ13" s="407">
        <v>0</v>
      </c>
      <c r="DR13" s="407">
        <v>-2.7468103608277779</v>
      </c>
      <c r="DS13" s="407"/>
      <c r="DT13" s="407"/>
      <c r="DU13" s="407"/>
      <c r="DV13" s="407">
        <v>83.091652166628336</v>
      </c>
      <c r="DW13" s="407">
        <v>0</v>
      </c>
      <c r="DX13" s="407">
        <v>0</v>
      </c>
      <c r="DY13" s="407">
        <v>-43.103399999999993</v>
      </c>
      <c r="DZ13" s="407">
        <v>5.4665300000000023</v>
      </c>
      <c r="EA13" s="407">
        <v>0</v>
      </c>
      <c r="EB13" s="407">
        <v>0</v>
      </c>
      <c r="EC13" s="407">
        <v>-42.443408917325698</v>
      </c>
      <c r="ED13" s="407">
        <v>0</v>
      </c>
      <c r="EE13" s="407">
        <v>0</v>
      </c>
      <c r="EF13" s="407">
        <v>0</v>
      </c>
      <c r="EG13" s="407">
        <v>0</v>
      </c>
      <c r="EH13" s="407">
        <v>0</v>
      </c>
      <c r="EI13" s="407">
        <v>0</v>
      </c>
      <c r="EJ13" s="407">
        <v>0</v>
      </c>
      <c r="EK13" s="407">
        <v>0</v>
      </c>
      <c r="EL13" s="407">
        <v>0</v>
      </c>
      <c r="EM13" s="407">
        <v>0</v>
      </c>
      <c r="EN13" s="407">
        <v>0</v>
      </c>
      <c r="EO13" s="407">
        <v>0</v>
      </c>
      <c r="EP13" s="407">
        <v>0</v>
      </c>
      <c r="EQ13" s="407">
        <v>0</v>
      </c>
      <c r="ER13" s="407">
        <v>0</v>
      </c>
      <c r="ES13" s="407">
        <v>0</v>
      </c>
      <c r="ET13" s="407">
        <v>0</v>
      </c>
      <c r="EU13" s="407">
        <v>0</v>
      </c>
      <c r="EV13" s="407">
        <v>246</v>
      </c>
      <c r="EW13" s="407">
        <v>0</v>
      </c>
      <c r="EX13" s="407">
        <v>0</v>
      </c>
      <c r="EY13" s="407">
        <v>0</v>
      </c>
      <c r="EZ13" s="407"/>
      <c r="FA13" s="407">
        <v>0</v>
      </c>
      <c r="FB13" s="407"/>
      <c r="FC13" s="407"/>
      <c r="FD13" s="407"/>
      <c r="FE13" s="407"/>
      <c r="FF13" s="407">
        <v>0</v>
      </c>
      <c r="FG13" s="407">
        <v>0</v>
      </c>
      <c r="FH13" s="407">
        <v>0</v>
      </c>
      <c r="FI13" s="407">
        <v>0</v>
      </c>
    </row>
    <row r="14" spans="1:165" customFormat="1">
      <c r="A14" s="407">
        <v>12</v>
      </c>
      <c r="B14" s="407" t="s">
        <v>1090</v>
      </c>
      <c r="C14" s="407" t="s">
        <v>2306</v>
      </c>
      <c r="D14" s="407" t="s">
        <v>1219</v>
      </c>
      <c r="E14" s="407" t="s">
        <v>1022</v>
      </c>
      <c r="F14" s="407" t="s">
        <v>97</v>
      </c>
      <c r="G14" s="407" t="s">
        <v>97</v>
      </c>
      <c r="H14" s="407" t="s">
        <v>97</v>
      </c>
      <c r="I14" s="407" t="s">
        <v>97</v>
      </c>
      <c r="J14" s="407" t="s">
        <v>2307</v>
      </c>
      <c r="K14" s="818">
        <v>44378</v>
      </c>
      <c r="L14" s="407">
        <v>0</v>
      </c>
      <c r="M14" s="407">
        <v>0</v>
      </c>
      <c r="N14" s="407">
        <v>97.879000000000005</v>
      </c>
      <c r="O14" s="407">
        <v>97.879000000000005</v>
      </c>
      <c r="P14" s="407">
        <v>97.879000000000005</v>
      </c>
      <c r="Q14" s="407">
        <v>97.879000000000005</v>
      </c>
      <c r="R14" s="407"/>
      <c r="S14" s="407">
        <v>648.44000000000005</v>
      </c>
      <c r="T14" s="407">
        <v>159.41</v>
      </c>
      <c r="U14" s="407"/>
      <c r="V14" s="407">
        <v>79071.55015000001</v>
      </c>
      <c r="W14" s="407">
        <v>79071.55015000001</v>
      </c>
      <c r="X14" s="407">
        <v>59884.329780000007</v>
      </c>
      <c r="Y14" s="407">
        <v>0</v>
      </c>
      <c r="Z14" s="407">
        <v>6065.586161414426</v>
      </c>
      <c r="AA14" s="407">
        <v>0</v>
      </c>
      <c r="AB14" s="407">
        <v>0</v>
      </c>
      <c r="AC14" s="407">
        <v>0</v>
      </c>
      <c r="AD14" s="407">
        <v>11417.039793196127</v>
      </c>
      <c r="AE14" s="407">
        <v>40868.984032248314</v>
      </c>
      <c r="AF14" s="407">
        <v>15095.948321162396</v>
      </c>
      <c r="AG14" s="407">
        <v>507.18423791903825</v>
      </c>
      <c r="AH14" s="407">
        <v>0</v>
      </c>
      <c r="AI14" s="407">
        <v>0</v>
      </c>
      <c r="AJ14" s="407">
        <v>0</v>
      </c>
      <c r="AK14" s="407">
        <v>0</v>
      </c>
      <c r="AL14" s="407">
        <v>937.294721675289</v>
      </c>
      <c r="AM14" s="407"/>
      <c r="AN14" s="407">
        <v>203.10828619438138</v>
      </c>
      <c r="AO14" s="407">
        <v>0</v>
      </c>
      <c r="AP14" s="407">
        <v>0</v>
      </c>
      <c r="AQ14" s="407">
        <v>0</v>
      </c>
      <c r="AR14" s="407">
        <v>0</v>
      </c>
      <c r="AS14" s="407">
        <v>0</v>
      </c>
      <c r="AT14" s="407">
        <v>0</v>
      </c>
      <c r="AU14" s="407">
        <v>0</v>
      </c>
      <c r="AV14" s="407">
        <v>0</v>
      </c>
      <c r="AW14" s="407">
        <v>0</v>
      </c>
      <c r="AX14" s="407">
        <v>0</v>
      </c>
      <c r="AY14" s="407">
        <v>0</v>
      </c>
      <c r="AZ14" s="407">
        <v>0</v>
      </c>
      <c r="BA14" s="407"/>
      <c r="BB14" s="407">
        <v>0</v>
      </c>
      <c r="BC14" s="407">
        <v>0</v>
      </c>
      <c r="BD14" s="407">
        <v>0</v>
      </c>
      <c r="BE14" s="407">
        <v>0</v>
      </c>
      <c r="BF14" s="407">
        <v>0</v>
      </c>
      <c r="BG14" s="407">
        <v>1103.4656173360636</v>
      </c>
      <c r="BH14" s="407">
        <v>0</v>
      </c>
      <c r="BI14" s="407">
        <v>244.15</v>
      </c>
      <c r="BJ14" s="407">
        <v>1128.1199999999999</v>
      </c>
      <c r="BK14" s="407">
        <v>13805.42</v>
      </c>
      <c r="BL14" s="407">
        <v>88</v>
      </c>
      <c r="BM14" s="407"/>
      <c r="BN14" s="407"/>
      <c r="BO14" s="407"/>
      <c r="BP14" s="407"/>
      <c r="BQ14" s="407"/>
      <c r="BR14" s="407"/>
      <c r="BS14" s="407"/>
      <c r="BT14" s="407"/>
      <c r="BU14" s="407"/>
      <c r="BV14" s="407">
        <v>16199.413938498459</v>
      </c>
      <c r="BW14" s="407"/>
      <c r="BX14" s="407"/>
      <c r="BY14" s="407"/>
      <c r="BZ14" s="407"/>
      <c r="CA14" s="407"/>
      <c r="CB14" s="407"/>
      <c r="CC14" s="407"/>
      <c r="CD14" s="407"/>
      <c r="CE14" s="407"/>
      <c r="CF14" s="407"/>
      <c r="CG14" s="407"/>
      <c r="CH14" s="407"/>
      <c r="CI14" s="407">
        <v>59884.941599999991</v>
      </c>
      <c r="CJ14" s="407">
        <v>-19186.638550000018</v>
      </c>
      <c r="CK14" s="407"/>
      <c r="CL14" s="407"/>
      <c r="CM14" s="407"/>
      <c r="CN14" s="407"/>
      <c r="CO14" s="407">
        <v>-21875.956500000008</v>
      </c>
      <c r="CP14" s="407">
        <v>2688.7361300000002</v>
      </c>
      <c r="CQ14" s="407">
        <v>31</v>
      </c>
      <c r="CR14" s="407">
        <v>1688.8060293546223</v>
      </c>
      <c r="CS14" s="407">
        <v>0</v>
      </c>
      <c r="CT14" s="407">
        <v>0</v>
      </c>
      <c r="CU14" s="407">
        <v>0</v>
      </c>
      <c r="CV14" s="407">
        <v>0</v>
      </c>
      <c r="CW14" s="407">
        <v>0</v>
      </c>
      <c r="CX14" s="407">
        <v>0</v>
      </c>
      <c r="CY14" s="407">
        <v>0</v>
      </c>
      <c r="CZ14" s="407">
        <v>515.73032527973373</v>
      </c>
      <c r="DA14" s="407">
        <v>0</v>
      </c>
      <c r="DB14" s="407">
        <v>0</v>
      </c>
      <c r="DC14" s="407">
        <v>2993.1188883541545</v>
      </c>
      <c r="DD14" s="407">
        <v>0</v>
      </c>
      <c r="DE14" s="407">
        <v>0</v>
      </c>
      <c r="DF14" s="407">
        <v>0</v>
      </c>
      <c r="DG14" s="407">
        <v>218.78743300067481</v>
      </c>
      <c r="DH14" s="407">
        <v>0</v>
      </c>
      <c r="DI14" s="407">
        <v>-424.8456206100409</v>
      </c>
      <c r="DJ14" s="407"/>
      <c r="DK14" s="407">
        <v>0</v>
      </c>
      <c r="DL14" s="407">
        <v>0</v>
      </c>
      <c r="DM14" s="407">
        <v>0</v>
      </c>
      <c r="DN14" s="407">
        <v>0</v>
      </c>
      <c r="DO14" s="407">
        <v>-57.18564154478338</v>
      </c>
      <c r="DP14" s="407">
        <v>-12.941569651679885</v>
      </c>
      <c r="DQ14" s="407">
        <v>0</v>
      </c>
      <c r="DR14" s="407">
        <v>-1543.8577854734324</v>
      </c>
      <c r="DS14" s="407"/>
      <c r="DT14" s="407"/>
      <c r="DU14" s="407"/>
      <c r="DV14" s="407">
        <v>40868.984032248314</v>
      </c>
      <c r="DW14" s="407">
        <v>0</v>
      </c>
      <c r="DX14" s="407">
        <v>0</v>
      </c>
      <c r="DY14" s="407">
        <v>-21875.9565</v>
      </c>
      <c r="DZ14" s="407">
        <v>2688.7361300000011</v>
      </c>
      <c r="EA14" s="407">
        <v>0</v>
      </c>
      <c r="EB14" s="407">
        <v>0</v>
      </c>
      <c r="EC14" s="407">
        <v>-20875.971966929254</v>
      </c>
      <c r="ED14" s="407">
        <v>0</v>
      </c>
      <c r="EE14" s="407">
        <v>0</v>
      </c>
      <c r="EF14" s="407">
        <v>0</v>
      </c>
      <c r="EG14" s="407">
        <v>0</v>
      </c>
      <c r="EH14" s="407">
        <v>0</v>
      </c>
      <c r="EI14" s="407">
        <v>0</v>
      </c>
      <c r="EJ14" s="407">
        <v>0</v>
      </c>
      <c r="EK14" s="407">
        <v>0</v>
      </c>
      <c r="EL14" s="407">
        <v>0</v>
      </c>
      <c r="EM14" s="407">
        <v>0</v>
      </c>
      <c r="EN14" s="407">
        <v>0</v>
      </c>
      <c r="EO14" s="407">
        <v>0</v>
      </c>
      <c r="EP14" s="407">
        <v>2873.1597144558377</v>
      </c>
      <c r="EQ14" s="407">
        <v>0</v>
      </c>
      <c r="ER14" s="407">
        <v>0</v>
      </c>
      <c r="ES14" s="407">
        <v>0</v>
      </c>
      <c r="ET14" s="407">
        <v>0</v>
      </c>
      <c r="EU14" s="407">
        <v>0</v>
      </c>
      <c r="EV14" s="407">
        <v>246</v>
      </c>
      <c r="EW14" s="407">
        <v>0</v>
      </c>
      <c r="EX14" s="407">
        <v>0</v>
      </c>
      <c r="EY14" s="407">
        <v>0</v>
      </c>
      <c r="EZ14" s="407"/>
      <c r="FA14" s="407">
        <v>0</v>
      </c>
      <c r="FB14" s="407"/>
      <c r="FC14" s="407"/>
      <c r="FD14" s="407"/>
      <c r="FE14" s="407"/>
      <c r="FF14" s="407">
        <v>0</v>
      </c>
      <c r="FG14" s="407">
        <v>0</v>
      </c>
      <c r="FH14" s="407">
        <v>0</v>
      </c>
      <c r="FI14" s="407">
        <v>0</v>
      </c>
    </row>
    <row r="15" spans="1:165" customFormat="1">
      <c r="A15" s="407">
        <v>13</v>
      </c>
      <c r="B15" s="407" t="s">
        <v>2309</v>
      </c>
      <c r="C15" s="407" t="s">
        <v>2306</v>
      </c>
      <c r="D15" s="407" t="s">
        <v>1219</v>
      </c>
      <c r="E15" s="407" t="s">
        <v>1022</v>
      </c>
      <c r="F15" s="407" t="s">
        <v>97</v>
      </c>
      <c r="G15" s="407" t="s">
        <v>97</v>
      </c>
      <c r="H15" s="407" t="s">
        <v>97</v>
      </c>
      <c r="I15" s="407" t="s">
        <v>97</v>
      </c>
      <c r="J15" s="407" t="s">
        <v>2307</v>
      </c>
      <c r="K15" s="818">
        <v>44378</v>
      </c>
      <c r="L15" s="407">
        <v>0</v>
      </c>
      <c r="M15" s="407">
        <v>0</v>
      </c>
      <c r="N15" s="407">
        <v>15.601000000000001</v>
      </c>
      <c r="O15" s="407">
        <v>15.601000000000001</v>
      </c>
      <c r="P15" s="407">
        <v>15.601000000000001</v>
      </c>
      <c r="Q15" s="407">
        <v>15.601000000000001</v>
      </c>
      <c r="R15" s="407"/>
      <c r="S15" s="407">
        <v>648.44000000000005</v>
      </c>
      <c r="T15" s="407">
        <v>159.41</v>
      </c>
      <c r="U15" s="407"/>
      <c r="V15" s="407">
        <v>12603.267850000002</v>
      </c>
      <c r="W15" s="407">
        <v>12603.267850000002</v>
      </c>
      <c r="X15" s="407">
        <v>9545.0038199999999</v>
      </c>
      <c r="Y15" s="407">
        <v>0</v>
      </c>
      <c r="Z15" s="407">
        <v>966.79788007873458</v>
      </c>
      <c r="AA15" s="407">
        <v>0</v>
      </c>
      <c r="AB15" s="407">
        <v>0</v>
      </c>
      <c r="AC15" s="407">
        <v>0</v>
      </c>
      <c r="AD15" s="407">
        <v>1819.7696933321015</v>
      </c>
      <c r="AE15" s="407">
        <v>6514.1350022691886</v>
      </c>
      <c r="AF15" s="407">
        <v>2406.1534114412134</v>
      </c>
      <c r="AG15" s="407">
        <v>80.840438661765191</v>
      </c>
      <c r="AH15" s="407">
        <v>0</v>
      </c>
      <c r="AI15" s="407">
        <v>0</v>
      </c>
      <c r="AJ15" s="407">
        <v>0</v>
      </c>
      <c r="AK15" s="407">
        <v>0</v>
      </c>
      <c r="AL15" s="407">
        <v>149.39603952692798</v>
      </c>
      <c r="AM15" s="407"/>
      <c r="AN15" s="407">
        <v>32.373567087102892</v>
      </c>
      <c r="AO15" s="407">
        <v>0</v>
      </c>
      <c r="AP15" s="407">
        <v>0</v>
      </c>
      <c r="AQ15" s="407">
        <v>0</v>
      </c>
      <c r="AR15" s="407">
        <v>0</v>
      </c>
      <c r="AS15" s="407">
        <v>0</v>
      </c>
      <c r="AT15" s="407">
        <v>0</v>
      </c>
      <c r="AU15" s="407">
        <v>0</v>
      </c>
      <c r="AV15" s="407">
        <v>0</v>
      </c>
      <c r="AW15" s="407">
        <v>0</v>
      </c>
      <c r="AX15" s="407">
        <v>0</v>
      </c>
      <c r="AY15" s="407">
        <v>0</v>
      </c>
      <c r="AZ15" s="407">
        <v>0</v>
      </c>
      <c r="BA15" s="407"/>
      <c r="BB15" s="407">
        <v>0</v>
      </c>
      <c r="BC15" s="407">
        <v>0</v>
      </c>
      <c r="BD15" s="407">
        <v>0</v>
      </c>
      <c r="BE15" s="407">
        <v>0</v>
      </c>
      <c r="BF15" s="407">
        <v>0</v>
      </c>
      <c r="BG15" s="407">
        <v>175.8821309582232</v>
      </c>
      <c r="BH15" s="407">
        <v>0</v>
      </c>
      <c r="BI15" s="407">
        <v>38.83</v>
      </c>
      <c r="BJ15" s="407">
        <v>179.37</v>
      </c>
      <c r="BK15" s="407">
        <v>3417.6</v>
      </c>
      <c r="BL15" s="407">
        <v>14</v>
      </c>
      <c r="BM15" s="407"/>
      <c r="BN15" s="407"/>
      <c r="BO15" s="407"/>
      <c r="BP15" s="407"/>
      <c r="BQ15" s="407"/>
      <c r="BR15" s="407"/>
      <c r="BS15" s="407"/>
      <c r="BT15" s="407"/>
      <c r="BU15" s="407"/>
      <c r="BV15" s="407">
        <v>2582.0355423994365</v>
      </c>
      <c r="BW15" s="407"/>
      <c r="BX15" s="407"/>
      <c r="BY15" s="407"/>
      <c r="BZ15" s="407"/>
      <c r="CA15" s="407"/>
      <c r="CB15" s="407"/>
      <c r="CC15" s="407"/>
      <c r="CD15" s="407"/>
      <c r="CE15" s="407"/>
      <c r="CF15" s="407"/>
      <c r="CG15" s="407"/>
      <c r="CH15" s="407"/>
      <c r="CI15" s="407">
        <v>9544.3919999999998</v>
      </c>
      <c r="CJ15" s="407">
        <v>-3058.9058500000028</v>
      </c>
      <c r="CK15" s="407"/>
      <c r="CL15" s="407"/>
      <c r="CM15" s="407"/>
      <c r="CN15" s="407"/>
      <c r="CO15" s="407">
        <v>-3486.8235000000009</v>
      </c>
      <c r="CP15" s="407">
        <v>428.55947000000003</v>
      </c>
      <c r="CQ15" s="407">
        <v>31</v>
      </c>
      <c r="CR15" s="407">
        <v>269.17993506228595</v>
      </c>
      <c r="CS15" s="407">
        <v>0</v>
      </c>
      <c r="CT15" s="407">
        <v>0</v>
      </c>
      <c r="CU15" s="407">
        <v>0</v>
      </c>
      <c r="CV15" s="407">
        <v>0</v>
      </c>
      <c r="CW15" s="407">
        <v>0</v>
      </c>
      <c r="CX15" s="407">
        <v>0</v>
      </c>
      <c r="CY15" s="407">
        <v>0</v>
      </c>
      <c r="CZ15" s="407">
        <v>82.202605305419411</v>
      </c>
      <c r="DA15" s="407">
        <v>0</v>
      </c>
      <c r="DB15" s="407">
        <v>0</v>
      </c>
      <c r="DC15" s="407">
        <v>477.07524369081375</v>
      </c>
      <c r="DD15" s="407">
        <v>0</v>
      </c>
      <c r="DE15" s="407">
        <v>0</v>
      </c>
      <c r="DF15" s="407">
        <v>0</v>
      </c>
      <c r="DG15" s="407">
        <v>34.872676899473078</v>
      </c>
      <c r="DH15" s="407">
        <v>0</v>
      </c>
      <c r="DI15" s="407">
        <v>-67.716430767960901</v>
      </c>
      <c r="DJ15" s="407"/>
      <c r="DK15" s="407">
        <v>0</v>
      </c>
      <c r="DL15" s="407">
        <v>0</v>
      </c>
      <c r="DM15" s="407">
        <v>0</v>
      </c>
      <c r="DN15" s="407">
        <v>0</v>
      </c>
      <c r="DO15" s="407">
        <v>-9.1148580772194805</v>
      </c>
      <c r="DP15" s="407">
        <v>-2.0627655384286498</v>
      </c>
      <c r="DQ15" s="407">
        <v>0</v>
      </c>
      <c r="DR15" s="407">
        <v>-246.0765364498107</v>
      </c>
      <c r="DS15" s="407"/>
      <c r="DT15" s="407"/>
      <c r="DU15" s="407"/>
      <c r="DV15" s="407">
        <v>6514.1350022691886</v>
      </c>
      <c r="DW15" s="407">
        <v>0</v>
      </c>
      <c r="DX15" s="407">
        <v>0</v>
      </c>
      <c r="DY15" s="407">
        <v>-3486.8235000000013</v>
      </c>
      <c r="DZ15" s="407">
        <v>428.55947000000015</v>
      </c>
      <c r="EA15" s="407">
        <v>0</v>
      </c>
      <c r="EB15" s="407">
        <v>0</v>
      </c>
      <c r="EC15" s="407">
        <v>-3327.4352890411965</v>
      </c>
      <c r="ED15" s="407">
        <v>0</v>
      </c>
      <c r="EE15" s="407">
        <v>0</v>
      </c>
      <c r="EF15" s="407">
        <v>0</v>
      </c>
      <c r="EG15" s="407">
        <v>0</v>
      </c>
      <c r="EH15" s="407">
        <v>0</v>
      </c>
      <c r="EI15" s="407">
        <v>0</v>
      </c>
      <c r="EJ15" s="407">
        <v>0</v>
      </c>
      <c r="EK15" s="407">
        <v>0</v>
      </c>
      <c r="EL15" s="407">
        <v>0</v>
      </c>
      <c r="EM15" s="407">
        <v>0</v>
      </c>
      <c r="EN15" s="407">
        <v>0</v>
      </c>
      <c r="EO15" s="407">
        <v>0</v>
      </c>
      <c r="EP15" s="407">
        <v>457.9548698415955</v>
      </c>
      <c r="EQ15" s="407">
        <v>0</v>
      </c>
      <c r="ER15" s="407">
        <v>0</v>
      </c>
      <c r="ES15" s="407">
        <v>0</v>
      </c>
      <c r="ET15" s="407">
        <v>0</v>
      </c>
      <c r="EU15" s="407">
        <v>0</v>
      </c>
      <c r="EV15" s="407">
        <v>246</v>
      </c>
      <c r="EW15" s="407">
        <v>0</v>
      </c>
      <c r="EX15" s="407">
        <v>0</v>
      </c>
      <c r="EY15" s="407">
        <v>0</v>
      </c>
      <c r="EZ15" s="407"/>
      <c r="FA15" s="407">
        <v>0</v>
      </c>
      <c r="FB15" s="407"/>
      <c r="FC15" s="407"/>
      <c r="FD15" s="407"/>
      <c r="FE15" s="407"/>
      <c r="FF15" s="407">
        <v>0</v>
      </c>
      <c r="FG15" s="407">
        <v>0</v>
      </c>
      <c r="FH15" s="407">
        <v>0</v>
      </c>
      <c r="FI15" s="407">
        <v>0</v>
      </c>
    </row>
    <row r="16" spans="1:165" customFormat="1">
      <c r="A16" s="407">
        <v>14</v>
      </c>
      <c r="B16" s="407" t="s">
        <v>1090</v>
      </c>
      <c r="C16" s="407" t="s">
        <v>2314</v>
      </c>
      <c r="D16" s="407" t="s">
        <v>650</v>
      </c>
      <c r="E16" s="407" t="s">
        <v>1022</v>
      </c>
      <c r="F16" s="407" t="s">
        <v>97</v>
      </c>
      <c r="G16" s="407" t="s">
        <v>97</v>
      </c>
      <c r="H16" s="407" t="s">
        <v>97</v>
      </c>
      <c r="I16" s="407" t="s">
        <v>1025</v>
      </c>
      <c r="J16" s="407" t="s">
        <v>2307</v>
      </c>
      <c r="K16" s="818">
        <v>44378</v>
      </c>
      <c r="L16" s="407">
        <v>0</v>
      </c>
      <c r="M16" s="407">
        <v>0</v>
      </c>
      <c r="N16" s="407">
        <v>14.005000000000001</v>
      </c>
      <c r="O16" s="407">
        <v>14.005000000000001</v>
      </c>
      <c r="P16" s="407">
        <v>14.005000000000001</v>
      </c>
      <c r="Q16" s="407">
        <v>14.005000000000001</v>
      </c>
      <c r="R16" s="407"/>
      <c r="S16" s="407">
        <v>2810.7</v>
      </c>
      <c r="T16" s="407">
        <v>159.41</v>
      </c>
      <c r="U16" s="407"/>
      <c r="V16" s="407">
        <v>41596.390549999996</v>
      </c>
      <c r="W16" s="407">
        <v>41596.390549999996</v>
      </c>
      <c r="X16" s="407">
        <v>26493.118450000002</v>
      </c>
      <c r="Y16" s="407">
        <v>0</v>
      </c>
      <c r="Z16" s="407">
        <v>755.06722326372176</v>
      </c>
      <c r="AA16" s="407">
        <v>0</v>
      </c>
      <c r="AB16" s="407">
        <v>0</v>
      </c>
      <c r="AC16" s="407">
        <v>0</v>
      </c>
      <c r="AD16" s="407">
        <v>8550.2708853804961</v>
      </c>
      <c r="AE16" s="407">
        <v>29478.969101793475</v>
      </c>
      <c r="AF16" s="407">
        <v>2160.0011875670916</v>
      </c>
      <c r="AG16" s="407">
        <v>72.570370069740505</v>
      </c>
      <c r="AH16" s="407">
        <v>0</v>
      </c>
      <c r="AI16" s="407">
        <v>0</v>
      </c>
      <c r="AJ16" s="407">
        <v>0</v>
      </c>
      <c r="AK16" s="407">
        <v>0</v>
      </c>
      <c r="AL16" s="407">
        <v>134.11265518714356</v>
      </c>
      <c r="AM16" s="407"/>
      <c r="AN16" s="407">
        <v>15.037636040271515</v>
      </c>
      <c r="AO16" s="407">
        <v>0</v>
      </c>
      <c r="AP16" s="407">
        <v>0</v>
      </c>
      <c r="AQ16" s="407">
        <v>0</v>
      </c>
      <c r="AR16" s="407">
        <v>0</v>
      </c>
      <c r="AS16" s="407">
        <v>0</v>
      </c>
      <c r="AT16" s="407">
        <v>0</v>
      </c>
      <c r="AU16" s="407">
        <v>0</v>
      </c>
      <c r="AV16" s="407">
        <v>0</v>
      </c>
      <c r="AW16" s="407">
        <v>0</v>
      </c>
      <c r="AX16" s="407">
        <v>0</v>
      </c>
      <c r="AY16" s="407">
        <v>0</v>
      </c>
      <c r="AZ16" s="407">
        <v>0</v>
      </c>
      <c r="BA16" s="407"/>
      <c r="BB16" s="407">
        <v>0</v>
      </c>
      <c r="BC16" s="407">
        <v>0</v>
      </c>
      <c r="BD16" s="407">
        <v>0</v>
      </c>
      <c r="BE16" s="407">
        <v>0</v>
      </c>
      <c r="BF16" s="407">
        <v>0</v>
      </c>
      <c r="BG16" s="407">
        <v>72.684190396952332</v>
      </c>
      <c r="BH16" s="407">
        <v>0</v>
      </c>
      <c r="BI16" s="407">
        <v>0</v>
      </c>
      <c r="BJ16" s="407">
        <v>0</v>
      </c>
      <c r="BK16" s="407">
        <v>0</v>
      </c>
      <c r="BL16" s="407">
        <v>0</v>
      </c>
      <c r="BM16" s="407"/>
      <c r="BN16" s="407"/>
      <c r="BO16" s="407"/>
      <c r="BP16" s="407"/>
      <c r="BQ16" s="407"/>
      <c r="BR16" s="407"/>
      <c r="BS16" s="407"/>
      <c r="BT16" s="407"/>
      <c r="BU16" s="407"/>
      <c r="BV16" s="407">
        <v>2232.6853779640442</v>
      </c>
      <c r="BW16" s="407"/>
      <c r="BX16" s="407"/>
      <c r="BY16" s="407"/>
      <c r="BZ16" s="407"/>
      <c r="CA16" s="407"/>
      <c r="CB16" s="407"/>
      <c r="CC16" s="407"/>
      <c r="CD16" s="407"/>
      <c r="CE16" s="407"/>
      <c r="CF16" s="407"/>
      <c r="CG16" s="407"/>
      <c r="CH16" s="407"/>
      <c r="CI16" s="407">
        <v>26502.5769</v>
      </c>
      <c r="CJ16" s="407">
        <v>-15093.843650000003</v>
      </c>
      <c r="CK16" s="407"/>
      <c r="CL16" s="407"/>
      <c r="CM16" s="407"/>
      <c r="CN16" s="407"/>
      <c r="CO16" s="407">
        <v>-15487.989449999999</v>
      </c>
      <c r="CP16" s="407">
        <v>384.71735000000001</v>
      </c>
      <c r="CQ16" s="407">
        <v>31</v>
      </c>
      <c r="CR16" s="407">
        <v>-45.272520914149936</v>
      </c>
      <c r="CS16" s="407">
        <v>0</v>
      </c>
      <c r="CT16" s="407">
        <v>0</v>
      </c>
      <c r="CU16" s="407">
        <v>0</v>
      </c>
      <c r="CV16" s="407">
        <v>0</v>
      </c>
      <c r="CW16" s="407">
        <v>0</v>
      </c>
      <c r="CX16" s="407">
        <v>0</v>
      </c>
      <c r="CY16" s="407">
        <v>0</v>
      </c>
      <c r="CZ16" s="407">
        <v>386.23268945554264</v>
      </c>
      <c r="DA16" s="407">
        <v>0</v>
      </c>
      <c r="DB16" s="407">
        <v>0</v>
      </c>
      <c r="DC16" s="407">
        <v>428.26990499902877</v>
      </c>
      <c r="DD16" s="407">
        <v>0</v>
      </c>
      <c r="DE16" s="407">
        <v>0</v>
      </c>
      <c r="DF16" s="407">
        <v>0</v>
      </c>
      <c r="DG16" s="407">
        <v>14.411312130478763</v>
      </c>
      <c r="DH16" s="407">
        <v>0</v>
      </c>
      <c r="DI16" s="407">
        <v>-52.886397873701185</v>
      </c>
      <c r="DJ16" s="407"/>
      <c r="DK16" s="407">
        <v>0</v>
      </c>
      <c r="DL16" s="407">
        <v>0</v>
      </c>
      <c r="DM16" s="407">
        <v>0</v>
      </c>
      <c r="DN16" s="407">
        <v>0</v>
      </c>
      <c r="DO16" s="407">
        <v>-8.1823977547246329</v>
      </c>
      <c r="DP16" s="407">
        <v>-0.9581618645805694</v>
      </c>
      <c r="DQ16" s="407">
        <v>0</v>
      </c>
      <c r="DR16" s="407">
        <v>-812.15947000619337</v>
      </c>
      <c r="DS16" s="407"/>
      <c r="DT16" s="407"/>
      <c r="DU16" s="407"/>
      <c r="DV16" s="407">
        <v>29478.969101793475</v>
      </c>
      <c r="DW16" s="407">
        <v>0</v>
      </c>
      <c r="DX16" s="407">
        <v>0</v>
      </c>
      <c r="DY16" s="407">
        <v>-15487.989449999997</v>
      </c>
      <c r="DZ16" s="407">
        <v>384.71735000000035</v>
      </c>
      <c r="EA16" s="407">
        <v>0</v>
      </c>
      <c r="EB16" s="407">
        <v>0</v>
      </c>
      <c r="EC16" s="407">
        <v>-15057.925885738148</v>
      </c>
      <c r="ED16" s="407">
        <v>0</v>
      </c>
      <c r="EE16" s="407">
        <v>0</v>
      </c>
      <c r="EF16" s="407">
        <v>0</v>
      </c>
      <c r="EG16" s="407">
        <v>0</v>
      </c>
      <c r="EH16" s="407">
        <v>0</v>
      </c>
      <c r="EI16" s="407">
        <v>0</v>
      </c>
      <c r="EJ16" s="407">
        <v>0</v>
      </c>
      <c r="EK16" s="407">
        <v>0</v>
      </c>
      <c r="EL16" s="407">
        <v>0</v>
      </c>
      <c r="EM16" s="407">
        <v>0</v>
      </c>
      <c r="EN16" s="407">
        <v>0</v>
      </c>
      <c r="EO16" s="407">
        <v>0</v>
      </c>
      <c r="EP16" s="407">
        <v>357.66184336609456</v>
      </c>
      <c r="EQ16" s="407">
        <v>0</v>
      </c>
      <c r="ER16" s="407">
        <v>0</v>
      </c>
      <c r="ES16" s="407">
        <v>0</v>
      </c>
      <c r="ET16" s="407">
        <v>0</v>
      </c>
      <c r="EU16" s="407">
        <v>0</v>
      </c>
      <c r="EV16" s="407">
        <v>246</v>
      </c>
      <c r="EW16" s="407">
        <v>0</v>
      </c>
      <c r="EX16" s="407">
        <v>0</v>
      </c>
      <c r="EY16" s="407">
        <v>0</v>
      </c>
      <c r="EZ16" s="407"/>
      <c r="FA16" s="407">
        <v>0</v>
      </c>
      <c r="FB16" s="407"/>
      <c r="FC16" s="407"/>
      <c r="FD16" s="407"/>
      <c r="FE16" s="407"/>
      <c r="FF16" s="407">
        <v>0</v>
      </c>
      <c r="FG16" s="407">
        <v>0</v>
      </c>
      <c r="FH16" s="407">
        <v>0</v>
      </c>
      <c r="FI16" s="407">
        <v>0</v>
      </c>
    </row>
    <row r="17" spans="1:165" customFormat="1">
      <c r="A17" s="407">
        <v>15</v>
      </c>
      <c r="B17" s="407" t="s">
        <v>1090</v>
      </c>
      <c r="C17" s="407" t="s">
        <v>2314</v>
      </c>
      <c r="D17" s="407" t="s">
        <v>650</v>
      </c>
      <c r="E17" s="407" t="s">
        <v>1022</v>
      </c>
      <c r="F17" s="407" t="s">
        <v>97</v>
      </c>
      <c r="G17" s="407" t="s">
        <v>97</v>
      </c>
      <c r="H17" s="407" t="s">
        <v>97</v>
      </c>
      <c r="I17" s="407" t="s">
        <v>2290</v>
      </c>
      <c r="J17" s="407" t="s">
        <v>2307</v>
      </c>
      <c r="K17" s="818">
        <v>44378</v>
      </c>
      <c r="L17" s="407">
        <v>0</v>
      </c>
      <c r="M17" s="407">
        <v>0</v>
      </c>
      <c r="N17" s="407">
        <v>450.01299999999998</v>
      </c>
      <c r="O17" s="407">
        <v>450.01299999999998</v>
      </c>
      <c r="P17" s="407">
        <v>450.01299999999998</v>
      </c>
      <c r="Q17" s="407">
        <v>450.01299999999998</v>
      </c>
      <c r="R17" s="407"/>
      <c r="S17" s="407">
        <v>95.29</v>
      </c>
      <c r="T17" s="407">
        <v>159.41</v>
      </c>
      <c r="U17" s="407"/>
      <c r="V17" s="407">
        <v>114618.31109999999</v>
      </c>
      <c r="W17" s="407">
        <v>114618.31109999999</v>
      </c>
      <c r="X17" s="407">
        <v>124613.09982999999</v>
      </c>
      <c r="Y17" s="407">
        <v>0</v>
      </c>
      <c r="Z17" s="407">
        <v>24262.054005182232</v>
      </c>
      <c r="AA17" s="407">
        <v>0</v>
      </c>
      <c r="AB17" s="407">
        <v>0</v>
      </c>
      <c r="AC17" s="407">
        <v>0</v>
      </c>
      <c r="AD17" s="407">
        <v>0</v>
      </c>
      <c r="AE17" s="407">
        <v>0</v>
      </c>
      <c r="AF17" s="407">
        <v>69405.827520216306</v>
      </c>
      <c r="AG17" s="407">
        <v>2331.8536198639149</v>
      </c>
      <c r="AH17" s="407">
        <v>0</v>
      </c>
      <c r="AI17" s="407">
        <v>0</v>
      </c>
      <c r="AJ17" s="407">
        <v>0</v>
      </c>
      <c r="AK17" s="407">
        <v>0</v>
      </c>
      <c r="AL17" s="407">
        <v>4309.3493965535181</v>
      </c>
      <c r="AM17" s="407"/>
      <c r="AN17" s="407">
        <v>483.19398124889</v>
      </c>
      <c r="AO17" s="407">
        <v>0</v>
      </c>
      <c r="AP17" s="407">
        <v>0</v>
      </c>
      <c r="AQ17" s="407">
        <v>0</v>
      </c>
      <c r="AR17" s="407">
        <v>0</v>
      </c>
      <c r="AS17" s="407">
        <v>0</v>
      </c>
      <c r="AT17" s="407">
        <v>0</v>
      </c>
      <c r="AU17" s="407">
        <v>0</v>
      </c>
      <c r="AV17" s="407">
        <v>0</v>
      </c>
      <c r="AW17" s="407">
        <v>0</v>
      </c>
      <c r="AX17" s="407">
        <v>0</v>
      </c>
      <c r="AY17" s="407">
        <v>0</v>
      </c>
      <c r="AZ17" s="407">
        <v>0</v>
      </c>
      <c r="BA17" s="407"/>
      <c r="BB17" s="407">
        <v>0</v>
      </c>
      <c r="BC17" s="407">
        <v>0</v>
      </c>
      <c r="BD17" s="407">
        <v>0</v>
      </c>
      <c r="BE17" s="407">
        <v>0</v>
      </c>
      <c r="BF17" s="407">
        <v>0</v>
      </c>
      <c r="BG17" s="407">
        <v>2335.51092988959</v>
      </c>
      <c r="BH17" s="407">
        <v>0</v>
      </c>
      <c r="BI17" s="407">
        <v>0</v>
      </c>
      <c r="BJ17" s="407">
        <v>0</v>
      </c>
      <c r="BK17" s="407">
        <v>0</v>
      </c>
      <c r="BL17" s="407">
        <v>0</v>
      </c>
      <c r="BM17" s="407"/>
      <c r="BN17" s="407"/>
      <c r="BO17" s="407"/>
      <c r="BP17" s="407"/>
      <c r="BQ17" s="407"/>
      <c r="BR17" s="407"/>
      <c r="BS17" s="407"/>
      <c r="BT17" s="407"/>
      <c r="BU17" s="407"/>
      <c r="BV17" s="407">
        <v>71741.33845010589</v>
      </c>
      <c r="BW17" s="407"/>
      <c r="BX17" s="407"/>
      <c r="BY17" s="407"/>
      <c r="BZ17" s="407"/>
      <c r="CA17" s="407"/>
      <c r="CB17" s="407"/>
      <c r="CC17" s="407"/>
      <c r="CD17" s="407"/>
      <c r="CE17" s="407"/>
      <c r="CF17" s="407"/>
      <c r="CG17" s="407"/>
      <c r="CH17" s="407"/>
      <c r="CI17" s="407">
        <v>124612.2691</v>
      </c>
      <c r="CJ17" s="407">
        <v>9993.9279999999999</v>
      </c>
      <c r="CK17" s="407"/>
      <c r="CL17" s="407"/>
      <c r="CM17" s="407"/>
      <c r="CN17" s="407"/>
      <c r="CO17" s="407">
        <v>-2367.068380000002</v>
      </c>
      <c r="CP17" s="407">
        <v>12361.857109999999</v>
      </c>
      <c r="CQ17" s="407">
        <v>31</v>
      </c>
      <c r="CR17" s="407">
        <v>9993.3663332222204</v>
      </c>
      <c r="CS17" s="407">
        <v>0</v>
      </c>
      <c r="CT17" s="407">
        <v>0</v>
      </c>
      <c r="CU17" s="407">
        <v>0</v>
      </c>
      <c r="CV17" s="407">
        <v>0</v>
      </c>
      <c r="CW17" s="407">
        <v>0</v>
      </c>
      <c r="CX17" s="407">
        <v>0</v>
      </c>
      <c r="CY17" s="407">
        <v>0</v>
      </c>
      <c r="CZ17" s="407">
        <v>0</v>
      </c>
      <c r="DA17" s="407">
        <v>0</v>
      </c>
      <c r="DB17" s="407">
        <v>0</v>
      </c>
      <c r="DC17" s="407">
        <v>13761.301303700675</v>
      </c>
      <c r="DD17" s="407">
        <v>0</v>
      </c>
      <c r="DE17" s="407">
        <v>0</v>
      </c>
      <c r="DF17" s="407">
        <v>0</v>
      </c>
      <c r="DG17" s="407">
        <v>463.06874728833554</v>
      </c>
      <c r="DH17" s="407">
        <v>0</v>
      </c>
      <c r="DI17" s="407">
        <v>-1699.3621254079153</v>
      </c>
      <c r="DJ17" s="407"/>
      <c r="DK17" s="407">
        <v>0</v>
      </c>
      <c r="DL17" s="407">
        <v>0</v>
      </c>
      <c r="DM17" s="407">
        <v>0</v>
      </c>
      <c r="DN17" s="407">
        <v>0</v>
      </c>
      <c r="DO17" s="407">
        <v>-262.91934029253071</v>
      </c>
      <c r="DP17" s="407">
        <v>-30.787953956836532</v>
      </c>
      <c r="DQ17" s="407">
        <v>0</v>
      </c>
      <c r="DR17" s="407">
        <v>-2237.9342981095042</v>
      </c>
      <c r="DS17" s="407"/>
      <c r="DT17" s="407"/>
      <c r="DU17" s="407"/>
      <c r="DV17" s="407">
        <v>0</v>
      </c>
      <c r="DW17" s="407">
        <v>0</v>
      </c>
      <c r="DX17" s="407">
        <v>0</v>
      </c>
      <c r="DY17" s="407">
        <v>-2367.0683800000043</v>
      </c>
      <c r="DZ17" s="407">
        <v>12361.857109999997</v>
      </c>
      <c r="EA17" s="407">
        <v>0</v>
      </c>
      <c r="EB17" s="407">
        <v>0</v>
      </c>
      <c r="EC17" s="407">
        <v>0</v>
      </c>
      <c r="ED17" s="407">
        <v>0</v>
      </c>
      <c r="EE17" s="407">
        <v>0</v>
      </c>
      <c r="EF17" s="407">
        <v>0</v>
      </c>
      <c r="EG17" s="407">
        <v>0</v>
      </c>
      <c r="EH17" s="407">
        <v>0</v>
      </c>
      <c r="EI17" s="407">
        <v>0</v>
      </c>
      <c r="EJ17" s="407">
        <v>0</v>
      </c>
      <c r="EK17" s="407">
        <v>0</v>
      </c>
      <c r="EL17" s="407">
        <v>0</v>
      </c>
      <c r="EM17" s="407">
        <v>0</v>
      </c>
      <c r="EN17" s="407">
        <v>0</v>
      </c>
      <c r="EO17" s="407">
        <v>0</v>
      </c>
      <c r="EP17" s="407">
        <v>11492.501186626654</v>
      </c>
      <c r="EQ17" s="407">
        <v>0</v>
      </c>
      <c r="ER17" s="407">
        <v>0</v>
      </c>
      <c r="ES17" s="407">
        <v>0</v>
      </c>
      <c r="ET17" s="407">
        <v>0</v>
      </c>
      <c r="EU17" s="407">
        <v>0</v>
      </c>
      <c r="EV17" s="407">
        <v>246</v>
      </c>
      <c r="EW17" s="407">
        <v>0</v>
      </c>
      <c r="EX17" s="407">
        <v>0</v>
      </c>
      <c r="EY17" s="407">
        <v>0</v>
      </c>
      <c r="EZ17" s="407"/>
      <c r="FA17" s="407">
        <v>0</v>
      </c>
      <c r="FB17" s="407"/>
      <c r="FC17" s="407"/>
      <c r="FD17" s="407"/>
      <c r="FE17" s="407"/>
      <c r="FF17" s="407">
        <v>0</v>
      </c>
      <c r="FG17" s="407">
        <v>0</v>
      </c>
      <c r="FH17" s="407">
        <v>0</v>
      </c>
      <c r="FI17" s="407">
        <v>0</v>
      </c>
    </row>
    <row r="18" spans="1:165" customFormat="1">
      <c r="A18" s="407">
        <v>16</v>
      </c>
      <c r="B18" s="407" t="s">
        <v>1090</v>
      </c>
      <c r="C18" s="407" t="s">
        <v>2314</v>
      </c>
      <c r="D18" s="407" t="s">
        <v>650</v>
      </c>
      <c r="E18" s="407" t="s">
        <v>1022</v>
      </c>
      <c r="F18" s="407" t="s">
        <v>97</v>
      </c>
      <c r="G18" s="407" t="s">
        <v>97</v>
      </c>
      <c r="H18" s="407" t="s">
        <v>97</v>
      </c>
      <c r="I18" s="407" t="s">
        <v>97</v>
      </c>
      <c r="J18" s="407" t="s">
        <v>2307</v>
      </c>
      <c r="K18" s="818">
        <v>44378</v>
      </c>
      <c r="L18" s="407">
        <v>2134</v>
      </c>
      <c r="M18" s="407">
        <v>2134</v>
      </c>
      <c r="N18" s="407">
        <v>0</v>
      </c>
      <c r="O18" s="407">
        <v>0</v>
      </c>
      <c r="P18" s="407">
        <v>0</v>
      </c>
      <c r="Q18" s="407">
        <v>0</v>
      </c>
      <c r="R18" s="407">
        <v>43.29</v>
      </c>
      <c r="S18" s="407"/>
      <c r="T18" s="407"/>
      <c r="U18" s="407">
        <v>92380.86</v>
      </c>
      <c r="V18" s="407"/>
      <c r="W18" s="407">
        <v>92380.86</v>
      </c>
      <c r="X18" s="407">
        <v>71467.66</v>
      </c>
      <c r="Y18" s="407">
        <v>0</v>
      </c>
      <c r="Z18" s="407">
        <v>0</v>
      </c>
      <c r="AA18" s="407">
        <v>0</v>
      </c>
      <c r="AB18" s="407">
        <v>0</v>
      </c>
      <c r="AC18" s="407">
        <v>0</v>
      </c>
      <c r="AD18" s="407">
        <v>50498.948596106697</v>
      </c>
      <c r="AE18" s="407">
        <v>41888.685280728991</v>
      </c>
      <c r="AF18" s="407"/>
      <c r="AG18" s="407"/>
      <c r="AH18" s="407"/>
      <c r="AI18" s="407">
        <v>0</v>
      </c>
      <c r="AJ18" s="407">
        <v>0</v>
      </c>
      <c r="AK18" s="407">
        <v>0</v>
      </c>
      <c r="AL18" s="407">
        <v>0</v>
      </c>
      <c r="AM18" s="407"/>
      <c r="AN18" s="407">
        <v>0</v>
      </c>
      <c r="AO18" s="407">
        <v>0</v>
      </c>
      <c r="AP18" s="407">
        <v>0</v>
      </c>
      <c r="AQ18" s="407">
        <v>0</v>
      </c>
      <c r="AR18" s="407">
        <v>0</v>
      </c>
      <c r="AS18" s="407"/>
      <c r="AT18" s="407"/>
      <c r="AU18" s="407">
        <v>0</v>
      </c>
      <c r="AV18" s="407">
        <v>0</v>
      </c>
      <c r="AW18" s="407">
        <v>0</v>
      </c>
      <c r="AX18" s="407"/>
      <c r="AY18" s="407"/>
      <c r="AZ18" s="407">
        <v>0</v>
      </c>
      <c r="BA18" s="407"/>
      <c r="BB18" s="407">
        <v>0</v>
      </c>
      <c r="BC18" s="407">
        <v>0</v>
      </c>
      <c r="BD18" s="407">
        <v>0</v>
      </c>
      <c r="BE18" s="407">
        <v>0</v>
      </c>
      <c r="BF18" s="407"/>
      <c r="BG18" s="407">
        <v>0</v>
      </c>
      <c r="BH18" s="407">
        <v>0</v>
      </c>
      <c r="BI18" s="407">
        <v>981.81</v>
      </c>
      <c r="BJ18" s="407">
        <v>4529.22</v>
      </c>
      <c r="BK18" s="407">
        <v>54254.04</v>
      </c>
      <c r="BL18" s="407">
        <v>13</v>
      </c>
      <c r="BM18" s="407"/>
      <c r="BN18" s="407"/>
      <c r="BO18" s="407"/>
      <c r="BP18" s="407"/>
      <c r="BQ18" s="407"/>
      <c r="BR18" s="407"/>
      <c r="BS18" s="407"/>
      <c r="BT18" s="407"/>
      <c r="BU18" s="407"/>
      <c r="BV18" s="407">
        <v>0</v>
      </c>
      <c r="BW18" s="407"/>
      <c r="BX18" s="407"/>
      <c r="BY18" s="407"/>
      <c r="BZ18" s="407"/>
      <c r="CA18" s="407"/>
      <c r="CB18" s="407"/>
      <c r="CC18" s="407"/>
      <c r="CD18" s="407"/>
      <c r="CE18" s="407"/>
      <c r="CF18" s="407"/>
      <c r="CG18" s="407"/>
      <c r="CH18" s="407"/>
      <c r="CI18" s="407">
        <v>71467.66</v>
      </c>
      <c r="CJ18" s="407">
        <v>-20913.229999999981</v>
      </c>
      <c r="CK18" s="407"/>
      <c r="CL18" s="407"/>
      <c r="CM18" s="407"/>
      <c r="CN18" s="407"/>
      <c r="CO18" s="407">
        <v>-20913.199999999993</v>
      </c>
      <c r="CP18" s="407">
        <v>0</v>
      </c>
      <c r="CQ18" s="407">
        <v>31</v>
      </c>
      <c r="CR18" s="407">
        <v>477.29074988808134</v>
      </c>
      <c r="CS18" s="407">
        <v>0</v>
      </c>
      <c r="CT18" s="407">
        <v>0</v>
      </c>
      <c r="CU18" s="407">
        <v>0</v>
      </c>
      <c r="CV18" s="407">
        <v>0</v>
      </c>
      <c r="CW18" s="407"/>
      <c r="CX18" s="407"/>
      <c r="CY18" s="407"/>
      <c r="CZ18" s="407">
        <v>2281.1376379080612</v>
      </c>
      <c r="DA18" s="407">
        <v>0</v>
      </c>
      <c r="DB18" s="407">
        <v>0</v>
      </c>
      <c r="DC18" s="407"/>
      <c r="DD18" s="407"/>
      <c r="DE18" s="407">
        <v>0</v>
      </c>
      <c r="DF18" s="407">
        <v>0</v>
      </c>
      <c r="DG18" s="407">
        <v>0</v>
      </c>
      <c r="DH18" s="407">
        <v>0</v>
      </c>
      <c r="DI18" s="407">
        <v>0</v>
      </c>
      <c r="DJ18" s="407"/>
      <c r="DK18" s="407">
        <v>0</v>
      </c>
      <c r="DL18" s="407">
        <v>0</v>
      </c>
      <c r="DM18" s="407"/>
      <c r="DN18" s="407">
        <v>0</v>
      </c>
      <c r="DO18" s="407">
        <v>0</v>
      </c>
      <c r="DP18" s="407">
        <v>0</v>
      </c>
      <c r="DQ18" s="407">
        <v>0</v>
      </c>
      <c r="DR18" s="407">
        <v>-1803.8468880199764</v>
      </c>
      <c r="DS18" s="407"/>
      <c r="DT18" s="407"/>
      <c r="DU18" s="407">
        <v>41888.685280728991</v>
      </c>
      <c r="DV18" s="407"/>
      <c r="DW18" s="407">
        <v>0</v>
      </c>
      <c r="DX18" s="407">
        <v>0</v>
      </c>
      <c r="DY18" s="407">
        <v>-20913.199999999997</v>
      </c>
      <c r="DZ18" s="407"/>
      <c r="EA18" s="407">
        <v>0</v>
      </c>
      <c r="EB18" s="407"/>
      <c r="EC18" s="407">
        <v>-21396.83773303515</v>
      </c>
      <c r="ED18" s="407"/>
      <c r="EE18" s="407">
        <v>0</v>
      </c>
      <c r="EF18" s="407">
        <v>0</v>
      </c>
      <c r="EG18" s="407"/>
      <c r="EH18" s="407">
        <v>0</v>
      </c>
      <c r="EI18" s="407">
        <v>0</v>
      </c>
      <c r="EJ18" s="407">
        <v>0</v>
      </c>
      <c r="EK18" s="407">
        <v>0</v>
      </c>
      <c r="EL18" s="407">
        <v>0</v>
      </c>
      <c r="EM18" s="407"/>
      <c r="EN18" s="407"/>
      <c r="EO18" s="407">
        <v>0</v>
      </c>
      <c r="EP18" s="407">
        <v>0</v>
      </c>
      <c r="EQ18" s="407"/>
      <c r="ER18" s="407">
        <v>0</v>
      </c>
      <c r="ES18" s="407"/>
      <c r="ET18" s="407">
        <v>0</v>
      </c>
      <c r="EU18" s="407"/>
      <c r="EV18" s="407">
        <v>246</v>
      </c>
      <c r="EW18" s="407"/>
      <c r="EX18" s="407"/>
      <c r="EY18" s="407"/>
      <c r="EZ18" s="407"/>
      <c r="FA18" s="407">
        <v>0</v>
      </c>
      <c r="FB18" s="407"/>
      <c r="FC18" s="407"/>
      <c r="FD18" s="407"/>
      <c r="FE18" s="407"/>
      <c r="FF18" s="407">
        <v>0</v>
      </c>
      <c r="FG18" s="407">
        <v>0</v>
      </c>
      <c r="FH18" s="407">
        <v>0</v>
      </c>
      <c r="FI18" s="407">
        <v>0</v>
      </c>
    </row>
    <row r="19" spans="1:165" customFormat="1">
      <c r="A19" s="407">
        <v>17</v>
      </c>
      <c r="B19" s="407" t="s">
        <v>1090</v>
      </c>
      <c r="C19" s="407" t="s">
        <v>2306</v>
      </c>
      <c r="D19" s="407" t="s">
        <v>1219</v>
      </c>
      <c r="E19" s="407" t="s">
        <v>1049</v>
      </c>
      <c r="F19" s="407" t="s">
        <v>97</v>
      </c>
      <c r="G19" s="407" t="s">
        <v>97</v>
      </c>
      <c r="H19" s="407" t="s">
        <v>97</v>
      </c>
      <c r="I19" s="407" t="s">
        <v>97</v>
      </c>
      <c r="J19" s="407" t="s">
        <v>2307</v>
      </c>
      <c r="K19" s="818">
        <v>44378</v>
      </c>
      <c r="L19" s="407">
        <v>0</v>
      </c>
      <c r="M19" s="407">
        <v>0</v>
      </c>
      <c r="N19" s="407">
        <v>520.15899999999999</v>
      </c>
      <c r="O19" s="407">
        <v>520.15899999999999</v>
      </c>
      <c r="P19" s="407">
        <v>520.15899999999999</v>
      </c>
      <c r="Q19" s="407">
        <v>520.15899999999999</v>
      </c>
      <c r="R19" s="407"/>
      <c r="S19" s="407">
        <v>648.44000000000005</v>
      </c>
      <c r="T19" s="407">
        <v>159.41</v>
      </c>
      <c r="U19" s="407"/>
      <c r="V19" s="407">
        <v>420210.44815000007</v>
      </c>
      <c r="W19" s="407">
        <v>420210.44815000007</v>
      </c>
      <c r="X19" s="407">
        <v>318243.67937999999</v>
      </c>
      <c r="Y19" s="407">
        <v>0</v>
      </c>
      <c r="Z19" s="407">
        <v>32234.383597453656</v>
      </c>
      <c r="AA19" s="407">
        <v>0</v>
      </c>
      <c r="AB19" s="407">
        <v>0</v>
      </c>
      <c r="AC19" s="407">
        <v>0</v>
      </c>
      <c r="AD19" s="407">
        <v>60673.64809396401</v>
      </c>
      <c r="AE19" s="407">
        <v>217190.30502181518</v>
      </c>
      <c r="AF19" s="407">
        <v>80224.495374774051</v>
      </c>
      <c r="AG19" s="407">
        <v>2695.332461628429</v>
      </c>
      <c r="AH19" s="407">
        <v>0</v>
      </c>
      <c r="AI19" s="407">
        <v>0</v>
      </c>
      <c r="AJ19" s="407">
        <v>0</v>
      </c>
      <c r="AK19" s="407">
        <v>0</v>
      </c>
      <c r="AL19" s="407">
        <v>4981.0713751866761</v>
      </c>
      <c r="AM19" s="407"/>
      <c r="AN19" s="407">
        <v>1079.3796732555832</v>
      </c>
      <c r="AO19" s="407">
        <v>0</v>
      </c>
      <c r="AP19" s="407">
        <v>0</v>
      </c>
      <c r="AQ19" s="407">
        <v>0</v>
      </c>
      <c r="AR19" s="407">
        <v>0</v>
      </c>
      <c r="AS19" s="407">
        <v>0</v>
      </c>
      <c r="AT19" s="407">
        <v>0</v>
      </c>
      <c r="AU19" s="407">
        <v>0</v>
      </c>
      <c r="AV19" s="407">
        <v>0</v>
      </c>
      <c r="AW19" s="407">
        <v>0</v>
      </c>
      <c r="AX19" s="407">
        <v>0</v>
      </c>
      <c r="AY19" s="407">
        <v>0</v>
      </c>
      <c r="AZ19" s="407">
        <v>0</v>
      </c>
      <c r="BA19" s="407"/>
      <c r="BB19" s="407">
        <v>0</v>
      </c>
      <c r="BC19" s="407">
        <v>0</v>
      </c>
      <c r="BD19" s="407">
        <v>0</v>
      </c>
      <c r="BE19" s="407">
        <v>0</v>
      </c>
      <c r="BF19" s="407">
        <v>0</v>
      </c>
      <c r="BG19" s="407">
        <v>5864.1544360680991</v>
      </c>
      <c r="BH19" s="407">
        <v>0</v>
      </c>
      <c r="BI19" s="407">
        <v>1522.87</v>
      </c>
      <c r="BJ19" s="407">
        <v>7063.78</v>
      </c>
      <c r="BK19" s="407">
        <v>148164.73000000001</v>
      </c>
      <c r="BL19" s="407">
        <v>1429</v>
      </c>
      <c r="BM19" s="407"/>
      <c r="BN19" s="407"/>
      <c r="BO19" s="407"/>
      <c r="BP19" s="407"/>
      <c r="BQ19" s="407"/>
      <c r="BR19" s="407"/>
      <c r="BS19" s="407"/>
      <c r="BT19" s="407"/>
      <c r="BU19" s="407"/>
      <c r="BV19" s="407">
        <v>86088.649810842151</v>
      </c>
      <c r="BW19" s="407"/>
      <c r="BX19" s="407"/>
      <c r="BY19" s="407"/>
      <c r="BZ19" s="407"/>
      <c r="CA19" s="407"/>
      <c r="CB19" s="407"/>
      <c r="CC19" s="407"/>
      <c r="CD19" s="407"/>
      <c r="CE19" s="407"/>
      <c r="CF19" s="407"/>
      <c r="CG19" s="407"/>
      <c r="CH19" s="407"/>
      <c r="CI19" s="407">
        <v>318244.29119999998</v>
      </c>
      <c r="CJ19" s="407">
        <v>-101966.18695000012</v>
      </c>
      <c r="CK19" s="407"/>
      <c r="CL19" s="407"/>
      <c r="CM19" s="407"/>
      <c r="CN19" s="407"/>
      <c r="CO19" s="407">
        <v>-116255.53650000003</v>
      </c>
      <c r="CP19" s="407">
        <v>14288.76773</v>
      </c>
      <c r="CQ19" s="407">
        <v>31</v>
      </c>
      <c r="CR19" s="407">
        <v>8974.8327570068359</v>
      </c>
      <c r="CS19" s="407">
        <v>0</v>
      </c>
      <c r="CT19" s="407">
        <v>0</v>
      </c>
      <c r="CU19" s="407">
        <v>0</v>
      </c>
      <c r="CV19" s="407">
        <v>0</v>
      </c>
      <c r="CW19" s="407">
        <v>0</v>
      </c>
      <c r="CX19" s="407">
        <v>0</v>
      </c>
      <c r="CY19" s="407">
        <v>0</v>
      </c>
      <c r="CZ19" s="407">
        <v>2740.7489887226257</v>
      </c>
      <c r="DA19" s="407">
        <v>0</v>
      </c>
      <c r="DB19" s="407">
        <v>0</v>
      </c>
      <c r="DC19" s="407">
        <v>15906.350982819698</v>
      </c>
      <c r="DD19" s="407">
        <v>0</v>
      </c>
      <c r="DE19" s="407">
        <v>0</v>
      </c>
      <c r="DF19" s="407">
        <v>0</v>
      </c>
      <c r="DG19" s="407">
        <v>1162.7034640954435</v>
      </c>
      <c r="DH19" s="407">
        <v>0</v>
      </c>
      <c r="DI19" s="407">
        <v>-2257.7598174368177</v>
      </c>
      <c r="DJ19" s="407"/>
      <c r="DK19" s="407">
        <v>0</v>
      </c>
      <c r="DL19" s="407">
        <v>0</v>
      </c>
      <c r="DM19" s="407">
        <v>0</v>
      </c>
      <c r="DN19" s="407">
        <v>0</v>
      </c>
      <c r="DO19" s="407">
        <v>-303.90202311315988</v>
      </c>
      <c r="DP19" s="407">
        <v>-68.775466938241721</v>
      </c>
      <c r="DQ19" s="407">
        <v>0</v>
      </c>
      <c r="DR19" s="407">
        <v>-8204.5333711426865</v>
      </c>
      <c r="DS19" s="407"/>
      <c r="DT19" s="407"/>
      <c r="DU19" s="407"/>
      <c r="DV19" s="407">
        <v>217190.30502181518</v>
      </c>
      <c r="DW19" s="407">
        <v>0</v>
      </c>
      <c r="DX19" s="407">
        <v>0</v>
      </c>
      <c r="DY19" s="407">
        <v>-116255.53650000005</v>
      </c>
      <c r="DZ19" s="407">
        <v>14288.767730000007</v>
      </c>
      <c r="EA19" s="407">
        <v>0</v>
      </c>
      <c r="EB19" s="407">
        <v>0</v>
      </c>
      <c r="EC19" s="407">
        <v>-110941.31225641815</v>
      </c>
      <c r="ED19" s="407">
        <v>0</v>
      </c>
      <c r="EE19" s="407">
        <v>0</v>
      </c>
      <c r="EF19" s="407">
        <v>0</v>
      </c>
      <c r="EG19" s="407">
        <v>0</v>
      </c>
      <c r="EH19" s="407">
        <v>0</v>
      </c>
      <c r="EI19" s="407">
        <v>0</v>
      </c>
      <c r="EJ19" s="407">
        <v>0</v>
      </c>
      <c r="EK19" s="407">
        <v>0</v>
      </c>
      <c r="EL19" s="407">
        <v>0</v>
      </c>
      <c r="EM19" s="407">
        <v>0</v>
      </c>
      <c r="EN19" s="407">
        <v>0</v>
      </c>
      <c r="EO19" s="407">
        <v>0</v>
      </c>
      <c r="EP19" s="407">
        <v>15268.851172484741</v>
      </c>
      <c r="EQ19" s="407">
        <v>0</v>
      </c>
      <c r="ER19" s="407">
        <v>0</v>
      </c>
      <c r="ES19" s="407">
        <v>0</v>
      </c>
      <c r="ET19" s="407">
        <v>0</v>
      </c>
      <c r="EU19" s="407">
        <v>0</v>
      </c>
      <c r="EV19" s="407">
        <v>246</v>
      </c>
      <c r="EW19" s="407">
        <v>0</v>
      </c>
      <c r="EX19" s="407">
        <v>0</v>
      </c>
      <c r="EY19" s="407">
        <v>0</v>
      </c>
      <c r="EZ19" s="407"/>
      <c r="FA19" s="407">
        <v>0</v>
      </c>
      <c r="FB19" s="407"/>
      <c r="FC19" s="407"/>
      <c r="FD19" s="407"/>
      <c r="FE19" s="407"/>
      <c r="FF19" s="407">
        <v>0</v>
      </c>
      <c r="FG19" s="407">
        <v>0</v>
      </c>
      <c r="FH19" s="407">
        <v>0</v>
      </c>
      <c r="FI19" s="407">
        <v>0</v>
      </c>
    </row>
    <row r="20" spans="1:165" customFormat="1">
      <c r="A20" s="407">
        <v>18</v>
      </c>
      <c r="B20" s="407" t="s">
        <v>2308</v>
      </c>
      <c r="C20" s="407" t="s">
        <v>2306</v>
      </c>
      <c r="D20" s="407" t="s">
        <v>1219</v>
      </c>
      <c r="E20" s="407" t="s">
        <v>1049</v>
      </c>
      <c r="F20" s="407" t="s">
        <v>97</v>
      </c>
      <c r="G20" s="407" t="s">
        <v>97</v>
      </c>
      <c r="H20" s="407" t="s">
        <v>97</v>
      </c>
      <c r="I20" s="407" t="s">
        <v>97</v>
      </c>
      <c r="J20" s="407" t="s">
        <v>2307</v>
      </c>
      <c r="K20" s="818">
        <v>44378</v>
      </c>
      <c r="L20" s="407">
        <v>0</v>
      </c>
      <c r="M20" s="407">
        <v>0</v>
      </c>
      <c r="N20" s="407">
        <v>-6.4000000000000001E-2</v>
      </c>
      <c r="O20" s="407">
        <v>-6.4000000000000001E-2</v>
      </c>
      <c r="P20" s="407">
        <v>-6.4000000000000001E-2</v>
      </c>
      <c r="Q20" s="407">
        <v>-6.4000000000000001E-2</v>
      </c>
      <c r="R20" s="407"/>
      <c r="S20" s="407">
        <v>648.44000000000005</v>
      </c>
      <c r="T20" s="407">
        <v>159.41</v>
      </c>
      <c r="U20" s="407"/>
      <c r="V20" s="407">
        <v>-51.702399999999997</v>
      </c>
      <c r="W20" s="407">
        <v>-51.702399999999997</v>
      </c>
      <c r="X20" s="407">
        <v>-39.156480000000002</v>
      </c>
      <c r="Y20" s="407">
        <v>0</v>
      </c>
      <c r="Z20" s="407">
        <v>-3.9660960403204291</v>
      </c>
      <c r="AA20" s="407">
        <v>0</v>
      </c>
      <c r="AB20" s="407">
        <v>0</v>
      </c>
      <c r="AC20" s="407">
        <v>0</v>
      </c>
      <c r="AD20" s="407">
        <v>-7.4652432775626245</v>
      </c>
      <c r="AE20" s="407">
        <v>-26.722943410372931</v>
      </c>
      <c r="AF20" s="407">
        <v>-9.8707658696389764</v>
      </c>
      <c r="AG20" s="407">
        <v>-0.33163182323908547</v>
      </c>
      <c r="AH20" s="407">
        <v>0</v>
      </c>
      <c r="AI20" s="407">
        <v>0</v>
      </c>
      <c r="AJ20" s="407">
        <v>0</v>
      </c>
      <c r="AK20" s="407">
        <v>0</v>
      </c>
      <c r="AL20" s="407">
        <v>-0.61286754244749642</v>
      </c>
      <c r="AM20" s="407"/>
      <c r="AN20" s="407">
        <v>-0.13280612099061503</v>
      </c>
      <c r="AO20" s="407">
        <v>0</v>
      </c>
      <c r="AP20" s="407">
        <v>0</v>
      </c>
      <c r="AQ20" s="407">
        <v>0</v>
      </c>
      <c r="AR20" s="407">
        <v>0</v>
      </c>
      <c r="AS20" s="407">
        <v>0</v>
      </c>
      <c r="AT20" s="407">
        <v>0</v>
      </c>
      <c r="AU20" s="407">
        <v>0</v>
      </c>
      <c r="AV20" s="407">
        <v>0</v>
      </c>
      <c r="AW20" s="407">
        <v>0</v>
      </c>
      <c r="AX20" s="407">
        <v>0</v>
      </c>
      <c r="AY20" s="407">
        <v>0</v>
      </c>
      <c r="AZ20" s="407">
        <v>0</v>
      </c>
      <c r="BA20" s="407"/>
      <c r="BB20" s="407">
        <v>0</v>
      </c>
      <c r="BC20" s="407">
        <v>0</v>
      </c>
      <c r="BD20" s="407">
        <v>0</v>
      </c>
      <c r="BE20" s="407">
        <v>0</v>
      </c>
      <c r="BF20" s="407">
        <v>0</v>
      </c>
      <c r="BG20" s="407">
        <v>-0.72152146537569928</v>
      </c>
      <c r="BH20" s="407">
        <v>0</v>
      </c>
      <c r="BI20" s="407">
        <v>-0.33</v>
      </c>
      <c r="BJ20" s="407">
        <v>-1.5</v>
      </c>
      <c r="BK20" s="407">
        <v>-17.77</v>
      </c>
      <c r="BL20" s="407">
        <v>0</v>
      </c>
      <c r="BM20" s="407"/>
      <c r="BN20" s="407"/>
      <c r="BO20" s="407"/>
      <c r="BP20" s="407"/>
      <c r="BQ20" s="407"/>
      <c r="BR20" s="407"/>
      <c r="BS20" s="407"/>
      <c r="BT20" s="407"/>
      <c r="BU20" s="407"/>
      <c r="BV20" s="407">
        <v>-10.592287335014676</v>
      </c>
      <c r="BW20" s="407"/>
      <c r="BX20" s="407"/>
      <c r="BY20" s="407"/>
      <c r="BZ20" s="407"/>
      <c r="CA20" s="407"/>
      <c r="CB20" s="407"/>
      <c r="CC20" s="407"/>
      <c r="CD20" s="407"/>
      <c r="CE20" s="407"/>
      <c r="CF20" s="407"/>
      <c r="CG20" s="407"/>
      <c r="CH20" s="407"/>
      <c r="CI20" s="407">
        <v>-36.709199999999996</v>
      </c>
      <c r="CJ20" s="407">
        <v>14.963200000000008</v>
      </c>
      <c r="CK20" s="407"/>
      <c r="CL20" s="407"/>
      <c r="CM20" s="407"/>
      <c r="CN20" s="407"/>
      <c r="CO20" s="407">
        <v>14.304000000000004</v>
      </c>
      <c r="CP20" s="407">
        <v>-1.7580799999999999</v>
      </c>
      <c r="CQ20" s="407">
        <v>31</v>
      </c>
      <c r="CR20" s="407">
        <v>-1.104257153002127</v>
      </c>
      <c r="CS20" s="407">
        <v>0</v>
      </c>
      <c r="CT20" s="407">
        <v>0</v>
      </c>
      <c r="CU20" s="407">
        <v>0</v>
      </c>
      <c r="CV20" s="407">
        <v>0</v>
      </c>
      <c r="CW20" s="407">
        <v>0</v>
      </c>
      <c r="CX20" s="407">
        <v>0</v>
      </c>
      <c r="CY20" s="407">
        <v>0</v>
      </c>
      <c r="CZ20" s="407">
        <v>-0.33721984100678348</v>
      </c>
      <c r="DA20" s="407">
        <v>0</v>
      </c>
      <c r="DB20" s="407">
        <v>0</v>
      </c>
      <c r="DC20" s="407">
        <v>-1.9571063134550393</v>
      </c>
      <c r="DD20" s="407">
        <v>0</v>
      </c>
      <c r="DE20" s="407">
        <v>0</v>
      </c>
      <c r="DF20" s="407">
        <v>0</v>
      </c>
      <c r="DG20" s="407">
        <v>-0.14305822200924789</v>
      </c>
      <c r="DH20" s="407">
        <v>0</v>
      </c>
      <c r="DI20" s="407">
        <v>0.2777931907665856</v>
      </c>
      <c r="DJ20" s="407"/>
      <c r="DK20" s="407">
        <v>0</v>
      </c>
      <c r="DL20" s="407">
        <v>0</v>
      </c>
      <c r="DM20" s="407">
        <v>0</v>
      </c>
      <c r="DN20" s="407">
        <v>0</v>
      </c>
      <c r="DO20" s="407">
        <v>3.7391892631372881E-2</v>
      </c>
      <c r="DP20" s="407">
        <v>8.4620854085913494E-3</v>
      </c>
      <c r="DQ20" s="407">
        <v>0</v>
      </c>
      <c r="DR20" s="407">
        <v>1.0094800546623861</v>
      </c>
      <c r="DS20" s="407"/>
      <c r="DT20" s="407"/>
      <c r="DU20" s="407"/>
      <c r="DV20" s="407">
        <v>-26.722943410372931</v>
      </c>
      <c r="DW20" s="407">
        <v>0</v>
      </c>
      <c r="DX20" s="407">
        <v>0</v>
      </c>
      <c r="DY20" s="407">
        <v>14.304000000000002</v>
      </c>
      <c r="DZ20" s="407">
        <v>-1.7580799999999996</v>
      </c>
      <c r="EA20" s="407">
        <v>0</v>
      </c>
      <c r="EB20" s="407">
        <v>0</v>
      </c>
      <c r="EC20" s="407">
        <v>13.650141561350978</v>
      </c>
      <c r="ED20" s="407">
        <v>0</v>
      </c>
      <c r="EE20" s="407">
        <v>0</v>
      </c>
      <c r="EF20" s="407">
        <v>0</v>
      </c>
      <c r="EG20" s="407">
        <v>0</v>
      </c>
      <c r="EH20" s="407">
        <v>0</v>
      </c>
      <c r="EI20" s="407">
        <v>0</v>
      </c>
      <c r="EJ20" s="407">
        <v>0</v>
      </c>
      <c r="EK20" s="407">
        <v>0</v>
      </c>
      <c r="EL20" s="407">
        <v>0</v>
      </c>
      <c r="EM20" s="407">
        <v>0</v>
      </c>
      <c r="EN20" s="407">
        <v>0</v>
      </c>
      <c r="EO20" s="407">
        <v>0</v>
      </c>
      <c r="EP20" s="407">
        <v>-1.8786687821205121</v>
      </c>
      <c r="EQ20" s="407">
        <v>0</v>
      </c>
      <c r="ER20" s="407">
        <v>0</v>
      </c>
      <c r="ES20" s="407">
        <v>0</v>
      </c>
      <c r="ET20" s="407">
        <v>0</v>
      </c>
      <c r="EU20" s="407">
        <v>0</v>
      </c>
      <c r="EV20" s="407">
        <v>246</v>
      </c>
      <c r="EW20" s="407">
        <v>0</v>
      </c>
      <c r="EX20" s="407">
        <v>0</v>
      </c>
      <c r="EY20" s="407">
        <v>0</v>
      </c>
      <c r="EZ20" s="407"/>
      <c r="FA20" s="407">
        <v>0</v>
      </c>
      <c r="FB20" s="407"/>
      <c r="FC20" s="407"/>
      <c r="FD20" s="407"/>
      <c r="FE20" s="407"/>
      <c r="FF20" s="407">
        <v>0</v>
      </c>
      <c r="FG20" s="407">
        <v>0</v>
      </c>
      <c r="FH20" s="407">
        <v>0</v>
      </c>
      <c r="FI20" s="407">
        <v>0</v>
      </c>
    </row>
    <row r="21" spans="1:165" customFormat="1">
      <c r="A21" s="407">
        <v>19</v>
      </c>
      <c r="B21" s="407" t="s">
        <v>2309</v>
      </c>
      <c r="C21" s="407" t="s">
        <v>2306</v>
      </c>
      <c r="D21" s="407" t="s">
        <v>1219</v>
      </c>
      <c r="E21" s="407" t="s">
        <v>1049</v>
      </c>
      <c r="F21" s="407" t="s">
        <v>97</v>
      </c>
      <c r="G21" s="407" t="s">
        <v>97</v>
      </c>
      <c r="H21" s="407" t="s">
        <v>97</v>
      </c>
      <c r="I21" s="407" t="s">
        <v>97</v>
      </c>
      <c r="J21" s="407" t="s">
        <v>2307</v>
      </c>
      <c r="K21" s="818">
        <v>44378</v>
      </c>
      <c r="L21" s="407">
        <v>0</v>
      </c>
      <c r="M21" s="407">
        <v>0</v>
      </c>
      <c r="N21" s="407">
        <v>60.548000000000002</v>
      </c>
      <c r="O21" s="407">
        <v>60.548000000000002</v>
      </c>
      <c r="P21" s="407">
        <v>60.548000000000002</v>
      </c>
      <c r="Q21" s="407">
        <v>60.548000000000002</v>
      </c>
      <c r="R21" s="407"/>
      <c r="S21" s="407">
        <v>648.44000000000005</v>
      </c>
      <c r="T21" s="407">
        <v>159.41</v>
      </c>
      <c r="U21" s="407"/>
      <c r="V21" s="407">
        <v>48913.70180000001</v>
      </c>
      <c r="W21" s="407">
        <v>48913.70180000001</v>
      </c>
      <c r="X21" s="407">
        <v>37044.477360000004</v>
      </c>
      <c r="Y21" s="407">
        <v>0</v>
      </c>
      <c r="Z21" s="407">
        <v>3752.1747351456461</v>
      </c>
      <c r="AA21" s="407">
        <v>0</v>
      </c>
      <c r="AB21" s="407">
        <v>0</v>
      </c>
      <c r="AC21" s="407">
        <v>0</v>
      </c>
      <c r="AD21" s="407">
        <v>7062.5867182790898</v>
      </c>
      <c r="AE21" s="407">
        <v>25281.574650175939</v>
      </c>
      <c r="AF21" s="407">
        <v>9338.3614355453228</v>
      </c>
      <c r="AG21" s="407">
        <v>313.7444317731273</v>
      </c>
      <c r="AH21" s="407">
        <v>0</v>
      </c>
      <c r="AI21" s="407">
        <v>0</v>
      </c>
      <c r="AJ21" s="407">
        <v>0</v>
      </c>
      <c r="AK21" s="407">
        <v>0</v>
      </c>
      <c r="AL21" s="407">
        <v>579.81099937673457</v>
      </c>
      <c r="AM21" s="407"/>
      <c r="AN21" s="407">
        <v>125.64289083968373</v>
      </c>
      <c r="AO21" s="407">
        <v>0</v>
      </c>
      <c r="AP21" s="407">
        <v>0</v>
      </c>
      <c r="AQ21" s="407">
        <v>0</v>
      </c>
      <c r="AR21" s="407">
        <v>0</v>
      </c>
      <c r="AS21" s="407">
        <v>0</v>
      </c>
      <c r="AT21" s="407">
        <v>0</v>
      </c>
      <c r="AU21" s="407">
        <v>0</v>
      </c>
      <c r="AV21" s="407">
        <v>0</v>
      </c>
      <c r="AW21" s="407">
        <v>0</v>
      </c>
      <c r="AX21" s="407">
        <v>0</v>
      </c>
      <c r="AY21" s="407">
        <v>0</v>
      </c>
      <c r="AZ21" s="407">
        <v>0</v>
      </c>
      <c r="BA21" s="407"/>
      <c r="BB21" s="407">
        <v>0</v>
      </c>
      <c r="BC21" s="407">
        <v>0</v>
      </c>
      <c r="BD21" s="407">
        <v>0</v>
      </c>
      <c r="BE21" s="407">
        <v>0</v>
      </c>
      <c r="BF21" s="407">
        <v>0</v>
      </c>
      <c r="BG21" s="407">
        <v>682.60440133699751</v>
      </c>
      <c r="BH21" s="407">
        <v>0</v>
      </c>
      <c r="BI21" s="407">
        <v>177.92</v>
      </c>
      <c r="BJ21" s="407">
        <v>823.88</v>
      </c>
      <c r="BK21" s="407">
        <v>29196.45</v>
      </c>
      <c r="BL21" s="407">
        <v>106</v>
      </c>
      <c r="BM21" s="407"/>
      <c r="BN21" s="407"/>
      <c r="BO21" s="407"/>
      <c r="BP21" s="407"/>
      <c r="BQ21" s="407"/>
      <c r="BR21" s="407"/>
      <c r="BS21" s="407"/>
      <c r="BT21" s="407"/>
      <c r="BU21" s="407"/>
      <c r="BV21" s="407">
        <v>10020.96583688232</v>
      </c>
      <c r="BW21" s="407"/>
      <c r="BX21" s="407"/>
      <c r="BY21" s="407"/>
      <c r="BZ21" s="407"/>
      <c r="CA21" s="407"/>
      <c r="CB21" s="407"/>
      <c r="CC21" s="407"/>
      <c r="CD21" s="407"/>
      <c r="CE21" s="407"/>
      <c r="CF21" s="407"/>
      <c r="CG21" s="407"/>
      <c r="CH21" s="407"/>
      <c r="CI21" s="407">
        <v>37045.701000000001</v>
      </c>
      <c r="CJ21" s="407">
        <v>-11868.030800000015</v>
      </c>
      <c r="CK21" s="407"/>
      <c r="CL21" s="407"/>
      <c r="CM21" s="407"/>
      <c r="CN21" s="407"/>
      <c r="CO21" s="407">
        <v>-13532.478000000005</v>
      </c>
      <c r="CP21" s="407">
        <v>1663.2535599999999</v>
      </c>
      <c r="CQ21" s="407">
        <v>31</v>
      </c>
      <c r="CR21" s="407">
        <v>1044.6962828120813</v>
      </c>
      <c r="CS21" s="407">
        <v>0</v>
      </c>
      <c r="CT21" s="407">
        <v>0</v>
      </c>
      <c r="CU21" s="407">
        <v>0</v>
      </c>
      <c r="CV21" s="407">
        <v>0</v>
      </c>
      <c r="CW21" s="407">
        <v>0</v>
      </c>
      <c r="CX21" s="407">
        <v>0</v>
      </c>
      <c r="CY21" s="407">
        <v>0</v>
      </c>
      <c r="CZ21" s="407">
        <v>319.03104583248114</v>
      </c>
      <c r="DA21" s="407">
        <v>0</v>
      </c>
      <c r="DB21" s="407">
        <v>0</v>
      </c>
      <c r="DC21" s="407">
        <v>1851.5448916730602</v>
      </c>
      <c r="DD21" s="407">
        <v>0</v>
      </c>
      <c r="DE21" s="407">
        <v>0</v>
      </c>
      <c r="DF21" s="407">
        <v>0</v>
      </c>
      <c r="DG21" s="407">
        <v>135.3420191596241</v>
      </c>
      <c r="DH21" s="407">
        <v>0</v>
      </c>
      <c r="DI21" s="407">
        <v>-262.80972053961295</v>
      </c>
      <c r="DJ21" s="407"/>
      <c r="DK21" s="407">
        <v>0</v>
      </c>
      <c r="DL21" s="407">
        <v>0</v>
      </c>
      <c r="DM21" s="407">
        <v>0</v>
      </c>
      <c r="DN21" s="407">
        <v>0</v>
      </c>
      <c r="DO21" s="407">
        <v>-35.375067422568122</v>
      </c>
      <c r="DP21" s="407">
        <v>-8.0056616768654436</v>
      </c>
      <c r="DQ21" s="407">
        <v>0</v>
      </c>
      <c r="DR21" s="407">
        <v>-955.0312242140335</v>
      </c>
      <c r="DS21" s="407"/>
      <c r="DT21" s="407"/>
      <c r="DU21" s="407"/>
      <c r="DV21" s="407">
        <v>25281.574650175939</v>
      </c>
      <c r="DW21" s="407">
        <v>0</v>
      </c>
      <c r="DX21" s="407">
        <v>0</v>
      </c>
      <c r="DY21" s="407">
        <v>-13532.478000000006</v>
      </c>
      <c r="DZ21" s="407">
        <v>1663.253560000001</v>
      </c>
      <c r="EA21" s="407">
        <v>0</v>
      </c>
      <c r="EB21" s="407">
        <v>0</v>
      </c>
      <c r="EC21" s="407">
        <v>-12913.887050885607</v>
      </c>
      <c r="ED21" s="407">
        <v>0</v>
      </c>
      <c r="EE21" s="407">
        <v>0</v>
      </c>
      <c r="EF21" s="407">
        <v>0</v>
      </c>
      <c r="EG21" s="407">
        <v>0</v>
      </c>
      <c r="EH21" s="407">
        <v>0</v>
      </c>
      <c r="EI21" s="407">
        <v>0</v>
      </c>
      <c r="EJ21" s="407">
        <v>0</v>
      </c>
      <c r="EK21" s="407">
        <v>0</v>
      </c>
      <c r="EL21" s="407">
        <v>0</v>
      </c>
      <c r="EM21" s="407">
        <v>0</v>
      </c>
      <c r="EN21" s="407">
        <v>0</v>
      </c>
      <c r="EO21" s="407">
        <v>0</v>
      </c>
      <c r="EP21" s="407">
        <v>1777.338084684887</v>
      </c>
      <c r="EQ21" s="407">
        <v>0</v>
      </c>
      <c r="ER21" s="407">
        <v>0</v>
      </c>
      <c r="ES21" s="407">
        <v>0</v>
      </c>
      <c r="ET21" s="407">
        <v>0</v>
      </c>
      <c r="EU21" s="407">
        <v>0</v>
      </c>
      <c r="EV21" s="407">
        <v>246</v>
      </c>
      <c r="EW21" s="407">
        <v>0</v>
      </c>
      <c r="EX21" s="407">
        <v>0</v>
      </c>
      <c r="EY21" s="407">
        <v>0</v>
      </c>
      <c r="EZ21" s="407"/>
      <c r="FA21" s="407">
        <v>0</v>
      </c>
      <c r="FB21" s="407"/>
      <c r="FC21" s="407"/>
      <c r="FD21" s="407"/>
      <c r="FE21" s="407"/>
      <c r="FF21" s="407">
        <v>0</v>
      </c>
      <c r="FG21" s="407">
        <v>0</v>
      </c>
      <c r="FH21" s="407">
        <v>0</v>
      </c>
      <c r="FI21" s="407">
        <v>0</v>
      </c>
    </row>
    <row r="22" spans="1:165" customFormat="1">
      <c r="A22" s="407">
        <v>20</v>
      </c>
      <c r="B22" s="407" t="s">
        <v>1090</v>
      </c>
      <c r="C22" s="407" t="s">
        <v>2314</v>
      </c>
      <c r="D22" s="407" t="s">
        <v>650</v>
      </c>
      <c r="E22" s="407" t="s">
        <v>1049</v>
      </c>
      <c r="F22" s="407" t="s">
        <v>97</v>
      </c>
      <c r="G22" s="407" t="s">
        <v>97</v>
      </c>
      <c r="H22" s="407" t="s">
        <v>97</v>
      </c>
      <c r="I22" s="407" t="s">
        <v>1025</v>
      </c>
      <c r="J22" s="407" t="s">
        <v>2307</v>
      </c>
      <c r="K22" s="818">
        <v>44378</v>
      </c>
      <c r="L22" s="407">
        <v>0</v>
      </c>
      <c r="M22" s="407">
        <v>0</v>
      </c>
      <c r="N22" s="407">
        <v>8.0690000000000008</v>
      </c>
      <c r="O22" s="407">
        <v>8.0690000000000008</v>
      </c>
      <c r="P22" s="407">
        <v>8.0690000000000008</v>
      </c>
      <c r="Q22" s="407">
        <v>8.0690000000000008</v>
      </c>
      <c r="R22" s="407"/>
      <c r="S22" s="407">
        <v>2810.7</v>
      </c>
      <c r="T22" s="407">
        <v>159.41</v>
      </c>
      <c r="U22" s="407"/>
      <c r="V22" s="407">
        <v>23965.817589999999</v>
      </c>
      <c r="W22" s="407">
        <v>23965.817589999999</v>
      </c>
      <c r="X22" s="407">
        <v>15264.046610000001</v>
      </c>
      <c r="Y22" s="407">
        <v>0</v>
      </c>
      <c r="Z22" s="407">
        <v>435.03301853016575</v>
      </c>
      <c r="AA22" s="407">
        <v>0</v>
      </c>
      <c r="AB22" s="407">
        <v>0</v>
      </c>
      <c r="AC22" s="407">
        <v>0</v>
      </c>
      <c r="AD22" s="407">
        <v>4926.2503230371458</v>
      </c>
      <c r="AE22" s="407">
        <v>16984.348567109715</v>
      </c>
      <c r="AF22" s="407">
        <v>1244.4876531580765</v>
      </c>
      <c r="AG22" s="407">
        <v>41.811518464315327</v>
      </c>
      <c r="AH22" s="407">
        <v>0</v>
      </c>
      <c r="AI22" s="407">
        <v>0</v>
      </c>
      <c r="AJ22" s="407">
        <v>0</v>
      </c>
      <c r="AK22" s="407">
        <v>0</v>
      </c>
      <c r="AL22" s="407">
        <v>77.269190625138265</v>
      </c>
      <c r="AM22" s="407"/>
      <c r="AN22" s="407">
        <v>8.663954673970073</v>
      </c>
      <c r="AO22" s="407">
        <v>0</v>
      </c>
      <c r="AP22" s="407">
        <v>0</v>
      </c>
      <c r="AQ22" s="407">
        <v>0</v>
      </c>
      <c r="AR22" s="407">
        <v>0</v>
      </c>
      <c r="AS22" s="407">
        <v>0</v>
      </c>
      <c r="AT22" s="407">
        <v>0</v>
      </c>
      <c r="AU22" s="407">
        <v>0</v>
      </c>
      <c r="AV22" s="407">
        <v>0</v>
      </c>
      <c r="AW22" s="407">
        <v>0</v>
      </c>
      <c r="AX22" s="407">
        <v>0</v>
      </c>
      <c r="AY22" s="407">
        <v>0</v>
      </c>
      <c r="AZ22" s="407">
        <v>0</v>
      </c>
      <c r="BA22" s="407"/>
      <c r="BB22" s="407">
        <v>0</v>
      </c>
      <c r="BC22" s="407">
        <v>0</v>
      </c>
      <c r="BD22" s="407">
        <v>0</v>
      </c>
      <c r="BE22" s="407">
        <v>0</v>
      </c>
      <c r="BF22" s="407">
        <v>0</v>
      </c>
      <c r="BG22" s="407">
        <v>41.877096202285493</v>
      </c>
      <c r="BH22" s="407">
        <v>0</v>
      </c>
      <c r="BI22" s="407">
        <v>0</v>
      </c>
      <c r="BJ22" s="407">
        <v>0</v>
      </c>
      <c r="BK22" s="407">
        <v>0</v>
      </c>
      <c r="BL22" s="407">
        <v>0</v>
      </c>
      <c r="BM22" s="407"/>
      <c r="BN22" s="407"/>
      <c r="BO22" s="407"/>
      <c r="BP22" s="407"/>
      <c r="BQ22" s="407"/>
      <c r="BR22" s="407"/>
      <c r="BS22" s="407"/>
      <c r="BT22" s="407"/>
      <c r="BU22" s="407"/>
      <c r="BV22" s="407">
        <v>1286.3647493603619</v>
      </c>
      <c r="BW22" s="407"/>
      <c r="BX22" s="407"/>
      <c r="BY22" s="407"/>
      <c r="BZ22" s="407"/>
      <c r="CA22" s="407"/>
      <c r="CB22" s="407"/>
      <c r="CC22" s="407"/>
      <c r="CD22" s="407"/>
      <c r="CE22" s="407"/>
      <c r="CF22" s="407"/>
      <c r="CG22" s="407"/>
      <c r="CH22" s="407"/>
      <c r="CI22" s="407">
        <v>15265.9383</v>
      </c>
      <c r="CJ22" s="407">
        <v>-8699.9092899999941</v>
      </c>
      <c r="CK22" s="407"/>
      <c r="CL22" s="407"/>
      <c r="CM22" s="407"/>
      <c r="CN22" s="407"/>
      <c r="CO22" s="407">
        <v>-8923.42641</v>
      </c>
      <c r="CP22" s="407">
        <v>221.65543000000002</v>
      </c>
      <c r="CQ22" s="407">
        <v>31</v>
      </c>
      <c r="CR22" s="407">
        <v>-26.083825152179088</v>
      </c>
      <c r="CS22" s="407">
        <v>0</v>
      </c>
      <c r="CT22" s="407">
        <v>0</v>
      </c>
      <c r="CU22" s="407">
        <v>0</v>
      </c>
      <c r="CV22" s="407">
        <v>0</v>
      </c>
      <c r="CW22" s="407">
        <v>0</v>
      </c>
      <c r="CX22" s="407">
        <v>0</v>
      </c>
      <c r="CY22" s="407">
        <v>0</v>
      </c>
      <c r="CZ22" s="407">
        <v>222.52849491015877</v>
      </c>
      <c r="DA22" s="407">
        <v>0</v>
      </c>
      <c r="DB22" s="407">
        <v>0</v>
      </c>
      <c r="DC22" s="407">
        <v>246.74829442607393</v>
      </c>
      <c r="DD22" s="407">
        <v>0</v>
      </c>
      <c r="DE22" s="407">
        <v>0</v>
      </c>
      <c r="DF22" s="407">
        <v>0</v>
      </c>
      <c r="DG22" s="407">
        <v>8.3030972924550639</v>
      </c>
      <c r="DH22" s="407">
        <v>0</v>
      </c>
      <c r="DI22" s="407">
        <v>-30.470570827768256</v>
      </c>
      <c r="DJ22" s="407"/>
      <c r="DK22" s="407">
        <v>0</v>
      </c>
      <c r="DL22" s="407">
        <v>0</v>
      </c>
      <c r="DM22" s="407">
        <v>0</v>
      </c>
      <c r="DN22" s="407">
        <v>0</v>
      </c>
      <c r="DO22" s="407">
        <v>-4.7142997131648059</v>
      </c>
      <c r="DP22" s="407">
        <v>-0.55204627528030237</v>
      </c>
      <c r="DQ22" s="407">
        <v>0</v>
      </c>
      <c r="DR22" s="407">
        <v>-467.92679496465365</v>
      </c>
      <c r="DS22" s="407"/>
      <c r="DT22" s="407"/>
      <c r="DU22" s="407"/>
      <c r="DV22" s="407">
        <v>16984.348567109715</v>
      </c>
      <c r="DW22" s="407">
        <v>0</v>
      </c>
      <c r="DX22" s="407">
        <v>0</v>
      </c>
      <c r="DY22" s="407">
        <v>-8923.42641</v>
      </c>
      <c r="DZ22" s="407">
        <v>221.65543000000002</v>
      </c>
      <c r="EA22" s="407">
        <v>0</v>
      </c>
      <c r="EB22" s="407">
        <v>0</v>
      </c>
      <c r="EC22" s="407">
        <v>-8675.6446963242506</v>
      </c>
      <c r="ED22" s="407">
        <v>0</v>
      </c>
      <c r="EE22" s="407">
        <v>0</v>
      </c>
      <c r="EF22" s="407">
        <v>0</v>
      </c>
      <c r="EG22" s="407">
        <v>0</v>
      </c>
      <c r="EH22" s="407">
        <v>0</v>
      </c>
      <c r="EI22" s="407">
        <v>0</v>
      </c>
      <c r="EJ22" s="407">
        <v>0</v>
      </c>
      <c r="EK22" s="407">
        <v>0</v>
      </c>
      <c r="EL22" s="407">
        <v>0</v>
      </c>
      <c r="EM22" s="407">
        <v>0</v>
      </c>
      <c r="EN22" s="407">
        <v>0</v>
      </c>
      <c r="EO22" s="407">
        <v>0</v>
      </c>
      <c r="EP22" s="407">
        <v>206.0673626648352</v>
      </c>
      <c r="EQ22" s="407">
        <v>0</v>
      </c>
      <c r="ER22" s="407">
        <v>0</v>
      </c>
      <c r="ES22" s="407">
        <v>0</v>
      </c>
      <c r="ET22" s="407">
        <v>0</v>
      </c>
      <c r="EU22" s="407">
        <v>0</v>
      </c>
      <c r="EV22" s="407">
        <v>246</v>
      </c>
      <c r="EW22" s="407">
        <v>0</v>
      </c>
      <c r="EX22" s="407">
        <v>0</v>
      </c>
      <c r="EY22" s="407">
        <v>0</v>
      </c>
      <c r="EZ22" s="407"/>
      <c r="FA22" s="407">
        <v>0</v>
      </c>
      <c r="FB22" s="407"/>
      <c r="FC22" s="407"/>
      <c r="FD22" s="407"/>
      <c r="FE22" s="407"/>
      <c r="FF22" s="407">
        <v>0</v>
      </c>
      <c r="FG22" s="407">
        <v>0</v>
      </c>
      <c r="FH22" s="407">
        <v>0</v>
      </c>
      <c r="FI22" s="407">
        <v>0</v>
      </c>
    </row>
    <row r="23" spans="1:165" customFormat="1">
      <c r="A23" s="407">
        <v>21</v>
      </c>
      <c r="B23" s="407" t="s">
        <v>2309</v>
      </c>
      <c r="C23" s="407" t="s">
        <v>2314</v>
      </c>
      <c r="D23" s="407" t="s">
        <v>650</v>
      </c>
      <c r="E23" s="407" t="s">
        <v>1049</v>
      </c>
      <c r="F23" s="407" t="s">
        <v>97</v>
      </c>
      <c r="G23" s="407" t="s">
        <v>97</v>
      </c>
      <c r="H23" s="407" t="s">
        <v>97</v>
      </c>
      <c r="I23" s="407" t="s">
        <v>1025</v>
      </c>
      <c r="J23" s="407" t="s">
        <v>2307</v>
      </c>
      <c r="K23" s="818">
        <v>44378</v>
      </c>
      <c r="L23" s="407">
        <v>0</v>
      </c>
      <c r="M23" s="407">
        <v>0</v>
      </c>
      <c r="N23" s="407">
        <v>1.212</v>
      </c>
      <c r="O23" s="407">
        <v>1.212</v>
      </c>
      <c r="P23" s="407">
        <v>1.212</v>
      </c>
      <c r="Q23" s="407">
        <v>1.212</v>
      </c>
      <c r="R23" s="407"/>
      <c r="S23" s="407">
        <v>2810.7</v>
      </c>
      <c r="T23" s="407">
        <v>159.41</v>
      </c>
      <c r="U23" s="407"/>
      <c r="V23" s="407">
        <v>3599.7733199999998</v>
      </c>
      <c r="W23" s="407">
        <v>3599.7733199999998</v>
      </c>
      <c r="X23" s="407">
        <v>2292.7282799999998</v>
      </c>
      <c r="Y23" s="407">
        <v>0</v>
      </c>
      <c r="Z23" s="407">
        <v>65.343911074304231</v>
      </c>
      <c r="AA23" s="407">
        <v>0</v>
      </c>
      <c r="AB23" s="407">
        <v>0</v>
      </c>
      <c r="AC23" s="407">
        <v>0</v>
      </c>
      <c r="AD23" s="407">
        <v>739.94489918465979</v>
      </c>
      <c r="AE23" s="407">
        <v>2551.1253517582068</v>
      </c>
      <c r="AF23" s="407">
        <v>186.92762865628808</v>
      </c>
      <c r="AG23" s="407">
        <v>6.2802776525901809</v>
      </c>
      <c r="AH23" s="407">
        <v>0</v>
      </c>
      <c r="AI23" s="407">
        <v>0</v>
      </c>
      <c r="AJ23" s="407">
        <v>0</v>
      </c>
      <c r="AK23" s="407">
        <v>0</v>
      </c>
      <c r="AL23" s="407">
        <v>11.606179085099463</v>
      </c>
      <c r="AM23" s="407"/>
      <c r="AN23" s="407">
        <v>1.3013648611787987</v>
      </c>
      <c r="AO23" s="407">
        <v>0</v>
      </c>
      <c r="AP23" s="407">
        <v>0</v>
      </c>
      <c r="AQ23" s="407">
        <v>0</v>
      </c>
      <c r="AR23" s="407">
        <v>0</v>
      </c>
      <c r="AS23" s="407">
        <v>0</v>
      </c>
      <c r="AT23" s="407">
        <v>0</v>
      </c>
      <c r="AU23" s="407">
        <v>0</v>
      </c>
      <c r="AV23" s="407">
        <v>0</v>
      </c>
      <c r="AW23" s="407">
        <v>0</v>
      </c>
      <c r="AX23" s="407">
        <v>0</v>
      </c>
      <c r="AY23" s="407">
        <v>0</v>
      </c>
      <c r="AZ23" s="407">
        <v>0</v>
      </c>
      <c r="BA23" s="407"/>
      <c r="BB23" s="407">
        <v>0</v>
      </c>
      <c r="BC23" s="407">
        <v>0</v>
      </c>
      <c r="BD23" s="407">
        <v>0</v>
      </c>
      <c r="BE23" s="407">
        <v>0</v>
      </c>
      <c r="BF23" s="407">
        <v>0</v>
      </c>
      <c r="BG23" s="407">
        <v>6.2901277230350745</v>
      </c>
      <c r="BH23" s="407">
        <v>0</v>
      </c>
      <c r="BI23" s="407">
        <v>0</v>
      </c>
      <c r="BJ23" s="407">
        <v>0</v>
      </c>
      <c r="BK23" s="407">
        <v>0</v>
      </c>
      <c r="BL23" s="407">
        <v>0</v>
      </c>
      <c r="BM23" s="407"/>
      <c r="BN23" s="407"/>
      <c r="BO23" s="407"/>
      <c r="BP23" s="407"/>
      <c r="BQ23" s="407"/>
      <c r="BR23" s="407"/>
      <c r="BS23" s="407"/>
      <c r="BT23" s="407"/>
      <c r="BU23" s="407"/>
      <c r="BV23" s="407">
        <v>193.21775637932316</v>
      </c>
      <c r="BW23" s="407"/>
      <c r="BX23" s="407"/>
      <c r="BY23" s="407"/>
      <c r="BZ23" s="407"/>
      <c r="CA23" s="407"/>
      <c r="CB23" s="407"/>
      <c r="CC23" s="407"/>
      <c r="CD23" s="407"/>
      <c r="CE23" s="407"/>
      <c r="CF23" s="407"/>
      <c r="CG23" s="407"/>
      <c r="CH23" s="407"/>
      <c r="CI23" s="407">
        <v>2288.9449</v>
      </c>
      <c r="CJ23" s="407">
        <v>-1310.8584200000005</v>
      </c>
      <c r="CK23" s="407"/>
      <c r="CL23" s="407"/>
      <c r="CM23" s="407"/>
      <c r="CN23" s="407"/>
      <c r="CO23" s="407">
        <v>-1340.3386799999998</v>
      </c>
      <c r="CP23" s="407">
        <v>33.293639999999996</v>
      </c>
      <c r="CQ23" s="407">
        <v>31</v>
      </c>
      <c r="CR23" s="407">
        <v>-3.9179075578686025</v>
      </c>
      <c r="CS23" s="407">
        <v>0</v>
      </c>
      <c r="CT23" s="407">
        <v>0</v>
      </c>
      <c r="CU23" s="407">
        <v>0</v>
      </c>
      <c r="CV23" s="407">
        <v>0</v>
      </c>
      <c r="CW23" s="407">
        <v>0</v>
      </c>
      <c r="CX23" s="407">
        <v>0</v>
      </c>
      <c r="CY23" s="407">
        <v>0</v>
      </c>
      <c r="CZ23" s="407">
        <v>33.424778266341832</v>
      </c>
      <c r="DA23" s="407">
        <v>0</v>
      </c>
      <c r="DB23" s="407">
        <v>0</v>
      </c>
      <c r="DC23" s="407">
        <v>37.062700811054839</v>
      </c>
      <c r="DD23" s="407">
        <v>0</v>
      </c>
      <c r="DE23" s="407">
        <v>0</v>
      </c>
      <c r="DF23" s="407">
        <v>0</v>
      </c>
      <c r="DG23" s="407">
        <v>1.2471624635587473</v>
      </c>
      <c r="DH23" s="407">
        <v>0</v>
      </c>
      <c r="DI23" s="407">
        <v>-4.5768164386237657</v>
      </c>
      <c r="DJ23" s="407"/>
      <c r="DK23" s="407">
        <v>0</v>
      </c>
      <c r="DL23" s="407">
        <v>0</v>
      </c>
      <c r="DM23" s="407">
        <v>0</v>
      </c>
      <c r="DN23" s="407">
        <v>0</v>
      </c>
      <c r="DO23" s="407">
        <v>-0.70810896670662338</v>
      </c>
      <c r="DP23" s="407">
        <v>-8.2919827195405249E-2</v>
      </c>
      <c r="DQ23" s="407">
        <v>0</v>
      </c>
      <c r="DR23" s="407">
        <v>-70.284703866298202</v>
      </c>
      <c r="DS23" s="407"/>
      <c r="DT23" s="407"/>
      <c r="DU23" s="407"/>
      <c r="DV23" s="407">
        <v>2551.1253517582068</v>
      </c>
      <c r="DW23" s="407">
        <v>0</v>
      </c>
      <c r="DX23" s="407">
        <v>0</v>
      </c>
      <c r="DY23" s="407">
        <v>-1340.3386799999998</v>
      </c>
      <c r="DZ23" s="407">
        <v>33.293640000000011</v>
      </c>
      <c r="EA23" s="407">
        <v>0</v>
      </c>
      <c r="EB23" s="407">
        <v>0</v>
      </c>
      <c r="EC23" s="407">
        <v>-1303.1207549814089</v>
      </c>
      <c r="ED23" s="407">
        <v>0</v>
      </c>
      <c r="EE23" s="407">
        <v>0</v>
      </c>
      <c r="EF23" s="407">
        <v>0</v>
      </c>
      <c r="EG23" s="407">
        <v>0</v>
      </c>
      <c r="EH23" s="407">
        <v>0</v>
      </c>
      <c r="EI23" s="407">
        <v>0</v>
      </c>
      <c r="EJ23" s="407">
        <v>0</v>
      </c>
      <c r="EK23" s="407">
        <v>0</v>
      </c>
      <c r="EL23" s="407">
        <v>0</v>
      </c>
      <c r="EM23" s="407">
        <v>0</v>
      </c>
      <c r="EN23" s="407">
        <v>0</v>
      </c>
      <c r="EO23" s="407">
        <v>0</v>
      </c>
      <c r="EP23" s="407">
        <v>30.952242353424246</v>
      </c>
      <c r="EQ23" s="407">
        <v>0</v>
      </c>
      <c r="ER23" s="407">
        <v>0</v>
      </c>
      <c r="ES23" s="407">
        <v>0</v>
      </c>
      <c r="ET23" s="407">
        <v>0</v>
      </c>
      <c r="EU23" s="407">
        <v>0</v>
      </c>
      <c r="EV23" s="407">
        <v>246</v>
      </c>
      <c r="EW23" s="407">
        <v>0</v>
      </c>
      <c r="EX23" s="407">
        <v>0</v>
      </c>
      <c r="EY23" s="407">
        <v>0</v>
      </c>
      <c r="EZ23" s="407"/>
      <c r="FA23" s="407">
        <v>0</v>
      </c>
      <c r="FB23" s="407"/>
      <c r="FC23" s="407"/>
      <c r="FD23" s="407"/>
      <c r="FE23" s="407"/>
      <c r="FF23" s="407">
        <v>0</v>
      </c>
      <c r="FG23" s="407">
        <v>0</v>
      </c>
      <c r="FH23" s="407">
        <v>0</v>
      </c>
      <c r="FI23" s="407">
        <v>0</v>
      </c>
    </row>
    <row r="24" spans="1:165" customFormat="1">
      <c r="A24" s="407">
        <v>22</v>
      </c>
      <c r="B24" s="407" t="s">
        <v>1090</v>
      </c>
      <c r="C24" s="407" t="s">
        <v>2314</v>
      </c>
      <c r="D24" s="407" t="s">
        <v>650</v>
      </c>
      <c r="E24" s="407" t="s">
        <v>1049</v>
      </c>
      <c r="F24" s="407" t="s">
        <v>97</v>
      </c>
      <c r="G24" s="407" t="s">
        <v>97</v>
      </c>
      <c r="H24" s="407" t="s">
        <v>97</v>
      </c>
      <c r="I24" s="407" t="s">
        <v>2290</v>
      </c>
      <c r="J24" s="407" t="s">
        <v>2307</v>
      </c>
      <c r="K24" s="818">
        <v>44378</v>
      </c>
      <c r="L24" s="407">
        <v>0</v>
      </c>
      <c r="M24" s="407">
        <v>0</v>
      </c>
      <c r="N24" s="407">
        <v>99.015000000000001</v>
      </c>
      <c r="O24" s="407">
        <v>99.015000000000001</v>
      </c>
      <c r="P24" s="407">
        <v>99.015000000000001</v>
      </c>
      <c r="Q24" s="407">
        <v>99.015000000000001</v>
      </c>
      <c r="R24" s="407"/>
      <c r="S24" s="407">
        <v>95.29</v>
      </c>
      <c r="T24" s="407">
        <v>159.41</v>
      </c>
      <c r="U24" s="407"/>
      <c r="V24" s="407">
        <v>25219.120500000001</v>
      </c>
      <c r="W24" s="407">
        <v>25219.120500000001</v>
      </c>
      <c r="X24" s="407">
        <v>27418.24365</v>
      </c>
      <c r="Y24" s="407">
        <v>0</v>
      </c>
      <c r="Z24" s="407">
        <v>5338.3063985331955</v>
      </c>
      <c r="AA24" s="407">
        <v>0</v>
      </c>
      <c r="AB24" s="407">
        <v>0</v>
      </c>
      <c r="AC24" s="407">
        <v>0</v>
      </c>
      <c r="AD24" s="407">
        <v>0</v>
      </c>
      <c r="AE24" s="407">
        <v>0</v>
      </c>
      <c r="AF24" s="407">
        <v>15271.154415348487</v>
      </c>
      <c r="AG24" s="407">
        <v>513.07070278153196</v>
      </c>
      <c r="AH24" s="407">
        <v>0</v>
      </c>
      <c r="AI24" s="407">
        <v>0</v>
      </c>
      <c r="AJ24" s="407">
        <v>0</v>
      </c>
      <c r="AK24" s="407">
        <v>0</v>
      </c>
      <c r="AL24" s="407">
        <v>948.17312055373202</v>
      </c>
      <c r="AM24" s="407"/>
      <c r="AN24" s="407">
        <v>106.31571099803527</v>
      </c>
      <c r="AO24" s="407">
        <v>0</v>
      </c>
      <c r="AP24" s="407">
        <v>0</v>
      </c>
      <c r="AQ24" s="407">
        <v>0</v>
      </c>
      <c r="AR24" s="407">
        <v>0</v>
      </c>
      <c r="AS24" s="407">
        <v>0</v>
      </c>
      <c r="AT24" s="407">
        <v>0</v>
      </c>
      <c r="AU24" s="407">
        <v>0</v>
      </c>
      <c r="AV24" s="407">
        <v>0</v>
      </c>
      <c r="AW24" s="407">
        <v>0</v>
      </c>
      <c r="AX24" s="407">
        <v>0</v>
      </c>
      <c r="AY24" s="407">
        <v>0</v>
      </c>
      <c r="AZ24" s="407">
        <v>0</v>
      </c>
      <c r="BA24" s="407"/>
      <c r="BB24" s="407">
        <v>0</v>
      </c>
      <c r="BC24" s="407">
        <v>0</v>
      </c>
      <c r="BD24" s="407">
        <v>0</v>
      </c>
      <c r="BE24" s="407">
        <v>0</v>
      </c>
      <c r="BF24" s="407">
        <v>0</v>
      </c>
      <c r="BG24" s="407">
        <v>513.87540965042729</v>
      </c>
      <c r="BH24" s="407">
        <v>0</v>
      </c>
      <c r="BI24" s="407">
        <v>0</v>
      </c>
      <c r="BJ24" s="407">
        <v>0</v>
      </c>
      <c r="BK24" s="407">
        <v>0</v>
      </c>
      <c r="BL24" s="407">
        <v>0</v>
      </c>
      <c r="BM24" s="407"/>
      <c r="BN24" s="407"/>
      <c r="BO24" s="407"/>
      <c r="BP24" s="407"/>
      <c r="BQ24" s="407"/>
      <c r="BR24" s="407"/>
      <c r="BS24" s="407"/>
      <c r="BT24" s="407"/>
      <c r="BU24" s="407"/>
      <c r="BV24" s="407">
        <v>15785.029824998914</v>
      </c>
      <c r="BW24" s="407"/>
      <c r="BX24" s="407"/>
      <c r="BY24" s="407"/>
      <c r="BZ24" s="407"/>
      <c r="CA24" s="407"/>
      <c r="CB24" s="407"/>
      <c r="CC24" s="407"/>
      <c r="CD24" s="407"/>
      <c r="CE24" s="407"/>
      <c r="CF24" s="407"/>
      <c r="CG24" s="407"/>
      <c r="CH24" s="407"/>
      <c r="CI24" s="407">
        <v>27419.628199999999</v>
      </c>
      <c r="CJ24" s="407">
        <v>2200.4776999999995</v>
      </c>
      <c r="CK24" s="407"/>
      <c r="CL24" s="407"/>
      <c r="CM24" s="407"/>
      <c r="CN24" s="407"/>
      <c r="CO24" s="407">
        <v>-520.81890000000055</v>
      </c>
      <c r="CP24" s="407">
        <v>2719.9420500000001</v>
      </c>
      <c r="CQ24" s="407">
        <v>31</v>
      </c>
      <c r="CR24" s="407">
        <v>2198.8101843368895</v>
      </c>
      <c r="CS24" s="407">
        <v>0</v>
      </c>
      <c r="CT24" s="407">
        <v>0</v>
      </c>
      <c r="CU24" s="407">
        <v>0</v>
      </c>
      <c r="CV24" s="407">
        <v>0</v>
      </c>
      <c r="CW24" s="407">
        <v>0</v>
      </c>
      <c r="CX24" s="407">
        <v>0</v>
      </c>
      <c r="CY24" s="407">
        <v>0</v>
      </c>
      <c r="CZ24" s="407">
        <v>0</v>
      </c>
      <c r="DA24" s="407">
        <v>0</v>
      </c>
      <c r="DB24" s="407">
        <v>0</v>
      </c>
      <c r="DC24" s="407">
        <v>3027.8575254179814</v>
      </c>
      <c r="DD24" s="407">
        <v>0</v>
      </c>
      <c r="DE24" s="407">
        <v>0</v>
      </c>
      <c r="DF24" s="407">
        <v>0</v>
      </c>
      <c r="DG24" s="407">
        <v>101.88761660830812</v>
      </c>
      <c r="DH24" s="407">
        <v>0</v>
      </c>
      <c r="DI24" s="407">
        <v>-373.90551127915114</v>
      </c>
      <c r="DJ24" s="407"/>
      <c r="DK24" s="407">
        <v>0</v>
      </c>
      <c r="DL24" s="407">
        <v>0</v>
      </c>
      <c r="DM24" s="407">
        <v>0</v>
      </c>
      <c r="DN24" s="407">
        <v>0</v>
      </c>
      <c r="DO24" s="407">
        <v>-57.849347638990253</v>
      </c>
      <c r="DP24" s="407">
        <v>-6.7741804370899814</v>
      </c>
      <c r="DQ24" s="407">
        <v>0</v>
      </c>
      <c r="DR24" s="407">
        <v>-492.40591833416499</v>
      </c>
      <c r="DS24" s="407"/>
      <c r="DT24" s="407"/>
      <c r="DU24" s="407"/>
      <c r="DV24" s="407">
        <v>0</v>
      </c>
      <c r="DW24" s="407">
        <v>0</v>
      </c>
      <c r="DX24" s="407">
        <v>0</v>
      </c>
      <c r="DY24" s="407">
        <v>-520.81890000000203</v>
      </c>
      <c r="DZ24" s="407">
        <v>2719.9420500000015</v>
      </c>
      <c r="EA24" s="407">
        <v>0</v>
      </c>
      <c r="EB24" s="407">
        <v>0</v>
      </c>
      <c r="EC24" s="407">
        <v>0</v>
      </c>
      <c r="ED24" s="407">
        <v>0</v>
      </c>
      <c r="EE24" s="407">
        <v>0</v>
      </c>
      <c r="EF24" s="407">
        <v>0</v>
      </c>
      <c r="EG24" s="407">
        <v>0</v>
      </c>
      <c r="EH24" s="407">
        <v>0</v>
      </c>
      <c r="EI24" s="407">
        <v>0</v>
      </c>
      <c r="EJ24" s="407">
        <v>0</v>
      </c>
      <c r="EK24" s="407">
        <v>0</v>
      </c>
      <c r="EL24" s="407">
        <v>0</v>
      </c>
      <c r="EM24" s="407">
        <v>0</v>
      </c>
      <c r="EN24" s="407">
        <v>0</v>
      </c>
      <c r="EO24" s="407">
        <v>0</v>
      </c>
      <c r="EP24" s="407">
        <v>2528.6602942444733</v>
      </c>
      <c r="EQ24" s="407">
        <v>0</v>
      </c>
      <c r="ER24" s="407">
        <v>0</v>
      </c>
      <c r="ES24" s="407">
        <v>0</v>
      </c>
      <c r="ET24" s="407">
        <v>0</v>
      </c>
      <c r="EU24" s="407">
        <v>0</v>
      </c>
      <c r="EV24" s="407">
        <v>246</v>
      </c>
      <c r="EW24" s="407">
        <v>0</v>
      </c>
      <c r="EX24" s="407">
        <v>0</v>
      </c>
      <c r="EY24" s="407">
        <v>0</v>
      </c>
      <c r="EZ24" s="407"/>
      <c r="FA24" s="407">
        <v>0</v>
      </c>
      <c r="FB24" s="407"/>
      <c r="FC24" s="407"/>
      <c r="FD24" s="407"/>
      <c r="FE24" s="407"/>
      <c r="FF24" s="407">
        <v>0</v>
      </c>
      <c r="FG24" s="407">
        <v>0</v>
      </c>
      <c r="FH24" s="407">
        <v>0</v>
      </c>
      <c r="FI24" s="407">
        <v>0</v>
      </c>
    </row>
    <row r="25" spans="1:165" customFormat="1">
      <c r="A25" s="407">
        <v>23</v>
      </c>
      <c r="B25" s="407" t="s">
        <v>2309</v>
      </c>
      <c r="C25" s="407" t="s">
        <v>2314</v>
      </c>
      <c r="D25" s="407" t="s">
        <v>650</v>
      </c>
      <c r="E25" s="407" t="s">
        <v>1049</v>
      </c>
      <c r="F25" s="407" t="s">
        <v>97</v>
      </c>
      <c r="G25" s="407" t="s">
        <v>97</v>
      </c>
      <c r="H25" s="407" t="s">
        <v>97</v>
      </c>
      <c r="I25" s="407" t="s">
        <v>2290</v>
      </c>
      <c r="J25" s="407" t="s">
        <v>2307</v>
      </c>
      <c r="K25" s="818">
        <v>44378</v>
      </c>
      <c r="L25" s="407">
        <v>0</v>
      </c>
      <c r="M25" s="407">
        <v>0</v>
      </c>
      <c r="N25" s="407">
        <v>15.497999999999999</v>
      </c>
      <c r="O25" s="407">
        <v>15.497999999999999</v>
      </c>
      <c r="P25" s="407">
        <v>15.497999999999999</v>
      </c>
      <c r="Q25" s="407">
        <v>15.497999999999999</v>
      </c>
      <c r="R25" s="407"/>
      <c r="S25" s="407">
        <v>95.29</v>
      </c>
      <c r="T25" s="407">
        <v>159.41</v>
      </c>
      <c r="U25" s="407"/>
      <c r="V25" s="407">
        <v>3947.3406</v>
      </c>
      <c r="W25" s="407">
        <v>3947.3406</v>
      </c>
      <c r="X25" s="407">
        <v>4291.5511800000004</v>
      </c>
      <c r="Y25" s="407">
        <v>0</v>
      </c>
      <c r="Z25" s="407">
        <v>835.56100150954364</v>
      </c>
      <c r="AA25" s="407">
        <v>0</v>
      </c>
      <c r="AB25" s="407">
        <v>0</v>
      </c>
      <c r="AC25" s="407">
        <v>0</v>
      </c>
      <c r="AD25" s="407">
        <v>0</v>
      </c>
      <c r="AE25" s="407">
        <v>0</v>
      </c>
      <c r="AF25" s="407">
        <v>2390.267647619763</v>
      </c>
      <c r="AG25" s="407">
        <v>80.306718696239784</v>
      </c>
      <c r="AH25" s="407">
        <v>0</v>
      </c>
      <c r="AI25" s="407">
        <v>0</v>
      </c>
      <c r="AJ25" s="407">
        <v>0</v>
      </c>
      <c r="AK25" s="407">
        <v>0</v>
      </c>
      <c r="AL25" s="407">
        <v>148.40970582580152</v>
      </c>
      <c r="AM25" s="407"/>
      <c r="AN25" s="407">
        <v>16.640719982301171</v>
      </c>
      <c r="AO25" s="407">
        <v>0</v>
      </c>
      <c r="AP25" s="407">
        <v>0</v>
      </c>
      <c r="AQ25" s="407">
        <v>0</v>
      </c>
      <c r="AR25" s="407">
        <v>0</v>
      </c>
      <c r="AS25" s="407">
        <v>0</v>
      </c>
      <c r="AT25" s="407">
        <v>0</v>
      </c>
      <c r="AU25" s="407">
        <v>0</v>
      </c>
      <c r="AV25" s="407">
        <v>0</v>
      </c>
      <c r="AW25" s="407">
        <v>0</v>
      </c>
      <c r="AX25" s="407">
        <v>0</v>
      </c>
      <c r="AY25" s="407">
        <v>0</v>
      </c>
      <c r="AZ25" s="407">
        <v>0</v>
      </c>
      <c r="BA25" s="407"/>
      <c r="BB25" s="407">
        <v>0</v>
      </c>
      <c r="BC25" s="407">
        <v>0</v>
      </c>
      <c r="BD25" s="407">
        <v>0</v>
      </c>
      <c r="BE25" s="407">
        <v>0</v>
      </c>
      <c r="BF25" s="407">
        <v>0</v>
      </c>
      <c r="BG25" s="407">
        <v>80.432672814849482</v>
      </c>
      <c r="BH25" s="407">
        <v>0</v>
      </c>
      <c r="BI25" s="407">
        <v>0</v>
      </c>
      <c r="BJ25" s="407">
        <v>0</v>
      </c>
      <c r="BK25" s="407">
        <v>0</v>
      </c>
      <c r="BL25" s="407">
        <v>0</v>
      </c>
      <c r="BM25" s="407"/>
      <c r="BN25" s="407"/>
      <c r="BO25" s="407"/>
      <c r="BP25" s="407"/>
      <c r="BQ25" s="407"/>
      <c r="BR25" s="407"/>
      <c r="BS25" s="407"/>
      <c r="BT25" s="407"/>
      <c r="BU25" s="407"/>
      <c r="BV25" s="407">
        <v>2470.7003204346124</v>
      </c>
      <c r="BW25" s="407"/>
      <c r="BX25" s="407"/>
      <c r="BY25" s="407"/>
      <c r="BZ25" s="407"/>
      <c r="CA25" s="407"/>
      <c r="CB25" s="407"/>
      <c r="CC25" s="407"/>
      <c r="CD25" s="407"/>
      <c r="CE25" s="407"/>
      <c r="CF25" s="407"/>
      <c r="CG25" s="407"/>
      <c r="CH25" s="407"/>
      <c r="CI25" s="407">
        <v>4292.1049999999996</v>
      </c>
      <c r="CJ25" s="407">
        <v>344.73439999999937</v>
      </c>
      <c r="CK25" s="407"/>
      <c r="CL25" s="407"/>
      <c r="CM25" s="407"/>
      <c r="CN25" s="407"/>
      <c r="CO25" s="407">
        <v>-81.519480000000073</v>
      </c>
      <c r="CP25" s="407">
        <v>425.73005999999998</v>
      </c>
      <c r="CQ25" s="407">
        <v>31</v>
      </c>
      <c r="CR25" s="407">
        <v>344.1615940701231</v>
      </c>
      <c r="CS25" s="407">
        <v>0</v>
      </c>
      <c r="CT25" s="407">
        <v>0</v>
      </c>
      <c r="CU25" s="407">
        <v>0</v>
      </c>
      <c r="CV25" s="407">
        <v>0</v>
      </c>
      <c r="CW25" s="407">
        <v>0</v>
      </c>
      <c r="CX25" s="407">
        <v>0</v>
      </c>
      <c r="CY25" s="407">
        <v>0</v>
      </c>
      <c r="CZ25" s="407">
        <v>0</v>
      </c>
      <c r="DA25" s="407">
        <v>0</v>
      </c>
      <c r="DB25" s="407">
        <v>0</v>
      </c>
      <c r="DC25" s="407">
        <v>473.92552571759734</v>
      </c>
      <c r="DD25" s="407">
        <v>0</v>
      </c>
      <c r="DE25" s="407">
        <v>0</v>
      </c>
      <c r="DF25" s="407">
        <v>0</v>
      </c>
      <c r="DG25" s="407">
        <v>15.947626947387363</v>
      </c>
      <c r="DH25" s="407">
        <v>0</v>
      </c>
      <c r="DI25" s="407">
        <v>-58.524340895867226</v>
      </c>
      <c r="DJ25" s="407"/>
      <c r="DK25" s="407">
        <v>0</v>
      </c>
      <c r="DL25" s="407">
        <v>0</v>
      </c>
      <c r="DM25" s="407">
        <v>0</v>
      </c>
      <c r="DN25" s="407">
        <v>0</v>
      </c>
      <c r="DO25" s="407">
        <v>-9.0546805000158486</v>
      </c>
      <c r="DP25" s="407">
        <v>-1.0603065031966903</v>
      </c>
      <c r="DQ25" s="407">
        <v>0</v>
      </c>
      <c r="DR25" s="407">
        <v>-77.072230695782352</v>
      </c>
      <c r="DS25" s="407"/>
      <c r="DT25" s="407"/>
      <c r="DU25" s="407"/>
      <c r="DV25" s="407">
        <v>0</v>
      </c>
      <c r="DW25" s="407">
        <v>0</v>
      </c>
      <c r="DX25" s="407">
        <v>0</v>
      </c>
      <c r="DY25" s="407">
        <v>-81.51947999999993</v>
      </c>
      <c r="DZ25" s="407">
        <v>425.73005999999987</v>
      </c>
      <c r="EA25" s="407">
        <v>0</v>
      </c>
      <c r="EB25" s="407">
        <v>0</v>
      </c>
      <c r="EC25" s="407">
        <v>0</v>
      </c>
      <c r="ED25" s="407">
        <v>0</v>
      </c>
      <c r="EE25" s="407">
        <v>0</v>
      </c>
      <c r="EF25" s="407">
        <v>0</v>
      </c>
      <c r="EG25" s="407">
        <v>0</v>
      </c>
      <c r="EH25" s="407">
        <v>0</v>
      </c>
      <c r="EI25" s="407">
        <v>0</v>
      </c>
      <c r="EJ25" s="407">
        <v>0</v>
      </c>
      <c r="EK25" s="407">
        <v>0</v>
      </c>
      <c r="EL25" s="407">
        <v>0</v>
      </c>
      <c r="EM25" s="407">
        <v>0</v>
      </c>
      <c r="EN25" s="407">
        <v>0</v>
      </c>
      <c r="EO25" s="407">
        <v>0</v>
      </c>
      <c r="EP25" s="407">
        <v>395.7903069252219</v>
      </c>
      <c r="EQ25" s="407">
        <v>0</v>
      </c>
      <c r="ER25" s="407">
        <v>0</v>
      </c>
      <c r="ES25" s="407">
        <v>0</v>
      </c>
      <c r="ET25" s="407">
        <v>0</v>
      </c>
      <c r="EU25" s="407">
        <v>0</v>
      </c>
      <c r="EV25" s="407">
        <v>246</v>
      </c>
      <c r="EW25" s="407">
        <v>0</v>
      </c>
      <c r="EX25" s="407">
        <v>0</v>
      </c>
      <c r="EY25" s="407">
        <v>0</v>
      </c>
      <c r="EZ25" s="407"/>
      <c r="FA25" s="407">
        <v>0</v>
      </c>
      <c r="FB25" s="407"/>
      <c r="FC25" s="407"/>
      <c r="FD25" s="407"/>
      <c r="FE25" s="407"/>
      <c r="FF25" s="407">
        <v>0</v>
      </c>
      <c r="FG25" s="407">
        <v>0</v>
      </c>
      <c r="FH25" s="407">
        <v>0</v>
      </c>
      <c r="FI25" s="407">
        <v>0</v>
      </c>
    </row>
    <row r="26" spans="1:165" customFormat="1">
      <c r="A26" s="407">
        <v>24</v>
      </c>
      <c r="B26" s="407" t="s">
        <v>1090</v>
      </c>
      <c r="C26" s="407" t="s">
        <v>2314</v>
      </c>
      <c r="D26" s="407" t="s">
        <v>650</v>
      </c>
      <c r="E26" s="407" t="s">
        <v>1049</v>
      </c>
      <c r="F26" s="407" t="s">
        <v>97</v>
      </c>
      <c r="G26" s="407" t="s">
        <v>97</v>
      </c>
      <c r="H26" s="407" t="s">
        <v>97</v>
      </c>
      <c r="I26" s="407" t="s">
        <v>97</v>
      </c>
      <c r="J26" s="407" t="s">
        <v>2307</v>
      </c>
      <c r="K26" s="818">
        <v>44378</v>
      </c>
      <c r="L26" s="407">
        <v>1245</v>
      </c>
      <c r="M26" s="407">
        <v>1245</v>
      </c>
      <c r="N26" s="407">
        <v>0</v>
      </c>
      <c r="O26" s="407">
        <v>0</v>
      </c>
      <c r="P26" s="407">
        <v>0</v>
      </c>
      <c r="Q26" s="407">
        <v>0</v>
      </c>
      <c r="R26" s="407">
        <v>43.29</v>
      </c>
      <c r="S26" s="407"/>
      <c r="T26" s="407"/>
      <c r="U26" s="407">
        <v>53896.049999999996</v>
      </c>
      <c r="V26" s="407"/>
      <c r="W26" s="407">
        <v>53896.049999999996</v>
      </c>
      <c r="X26" s="407">
        <v>41695.050000000003</v>
      </c>
      <c r="Y26" s="407">
        <v>0</v>
      </c>
      <c r="Z26" s="407">
        <v>0</v>
      </c>
      <c r="AA26" s="407">
        <v>0</v>
      </c>
      <c r="AB26" s="407">
        <v>0</v>
      </c>
      <c r="AC26" s="407">
        <v>0</v>
      </c>
      <c r="AD26" s="407">
        <v>29461.664012255311</v>
      </c>
      <c r="AE26" s="407">
        <v>24438.337944942643</v>
      </c>
      <c r="AF26" s="407"/>
      <c r="AG26" s="407"/>
      <c r="AH26" s="407"/>
      <c r="AI26" s="407">
        <v>0</v>
      </c>
      <c r="AJ26" s="407">
        <v>0</v>
      </c>
      <c r="AK26" s="407">
        <v>0</v>
      </c>
      <c r="AL26" s="407">
        <v>0</v>
      </c>
      <c r="AM26" s="407"/>
      <c r="AN26" s="407">
        <v>0</v>
      </c>
      <c r="AO26" s="407">
        <v>0</v>
      </c>
      <c r="AP26" s="407">
        <v>0</v>
      </c>
      <c r="AQ26" s="407">
        <v>0</v>
      </c>
      <c r="AR26" s="407">
        <v>0</v>
      </c>
      <c r="AS26" s="407"/>
      <c r="AT26" s="407"/>
      <c r="AU26" s="407">
        <v>0</v>
      </c>
      <c r="AV26" s="407">
        <v>0</v>
      </c>
      <c r="AW26" s="407">
        <v>0</v>
      </c>
      <c r="AX26" s="407"/>
      <c r="AY26" s="407"/>
      <c r="AZ26" s="407">
        <v>0</v>
      </c>
      <c r="BA26" s="407"/>
      <c r="BB26" s="407">
        <v>0</v>
      </c>
      <c r="BC26" s="407">
        <v>0</v>
      </c>
      <c r="BD26" s="407">
        <v>0</v>
      </c>
      <c r="BE26" s="407">
        <v>0</v>
      </c>
      <c r="BF26" s="407"/>
      <c r="BG26" s="407">
        <v>0</v>
      </c>
      <c r="BH26" s="407">
        <v>0</v>
      </c>
      <c r="BI26" s="407">
        <v>391.15</v>
      </c>
      <c r="BJ26" s="407">
        <v>1804.65</v>
      </c>
      <c r="BK26" s="407">
        <v>35050.639999999999</v>
      </c>
      <c r="BL26" s="407">
        <v>13</v>
      </c>
      <c r="BM26" s="407"/>
      <c r="BN26" s="407"/>
      <c r="BO26" s="407"/>
      <c r="BP26" s="407"/>
      <c r="BQ26" s="407"/>
      <c r="BR26" s="407"/>
      <c r="BS26" s="407"/>
      <c r="BT26" s="407"/>
      <c r="BU26" s="407"/>
      <c r="BV26" s="407">
        <v>0</v>
      </c>
      <c r="BW26" s="407"/>
      <c r="BX26" s="407"/>
      <c r="BY26" s="407"/>
      <c r="BZ26" s="407"/>
      <c r="CA26" s="407"/>
      <c r="CB26" s="407"/>
      <c r="CC26" s="407"/>
      <c r="CD26" s="407"/>
      <c r="CE26" s="407"/>
      <c r="CF26" s="407"/>
      <c r="CG26" s="407"/>
      <c r="CH26" s="407"/>
      <c r="CI26" s="407">
        <v>41695.050000000003</v>
      </c>
      <c r="CJ26" s="407">
        <v>-12201.029999999999</v>
      </c>
      <c r="CK26" s="407"/>
      <c r="CL26" s="407"/>
      <c r="CM26" s="407"/>
      <c r="CN26" s="407"/>
      <c r="CO26" s="407">
        <v>-12200.999999999996</v>
      </c>
      <c r="CP26" s="407">
        <v>0</v>
      </c>
      <c r="CQ26" s="407">
        <v>31</v>
      </c>
      <c r="CR26" s="407">
        <v>278.45688079225511</v>
      </c>
      <c r="CS26" s="407">
        <v>0</v>
      </c>
      <c r="CT26" s="407">
        <v>0</v>
      </c>
      <c r="CU26" s="407">
        <v>0</v>
      </c>
      <c r="CV26" s="407">
        <v>0</v>
      </c>
      <c r="CW26" s="407"/>
      <c r="CX26" s="407"/>
      <c r="CY26" s="407"/>
      <c r="CZ26" s="407">
        <v>1330.8417803165612</v>
      </c>
      <c r="DA26" s="407">
        <v>0</v>
      </c>
      <c r="DB26" s="407">
        <v>0</v>
      </c>
      <c r="DC26" s="407"/>
      <c r="DD26" s="407"/>
      <c r="DE26" s="407">
        <v>0</v>
      </c>
      <c r="DF26" s="407">
        <v>0</v>
      </c>
      <c r="DG26" s="407">
        <v>0</v>
      </c>
      <c r="DH26" s="407">
        <v>0</v>
      </c>
      <c r="DI26" s="407">
        <v>0</v>
      </c>
      <c r="DJ26" s="407"/>
      <c r="DK26" s="407">
        <v>0</v>
      </c>
      <c r="DL26" s="407">
        <v>0</v>
      </c>
      <c r="DM26" s="407"/>
      <c r="DN26" s="407">
        <v>0</v>
      </c>
      <c r="DO26" s="407">
        <v>0</v>
      </c>
      <c r="DP26" s="407">
        <v>0</v>
      </c>
      <c r="DQ26" s="407">
        <v>0</v>
      </c>
      <c r="DR26" s="407">
        <v>-1052.3848995243068</v>
      </c>
      <c r="DS26" s="407"/>
      <c r="DT26" s="407"/>
      <c r="DU26" s="407">
        <v>24438.337944942643</v>
      </c>
      <c r="DV26" s="407"/>
      <c r="DW26" s="407">
        <v>0</v>
      </c>
      <c r="DX26" s="407">
        <v>0</v>
      </c>
      <c r="DY26" s="407">
        <v>-12200.999999999993</v>
      </c>
      <c r="DZ26" s="407"/>
      <c r="EA26" s="407">
        <v>0</v>
      </c>
      <c r="EB26" s="407"/>
      <c r="EC26" s="407">
        <v>-12483.159783331195</v>
      </c>
      <c r="ED26" s="407"/>
      <c r="EE26" s="407">
        <v>0</v>
      </c>
      <c r="EF26" s="407">
        <v>0</v>
      </c>
      <c r="EG26" s="407"/>
      <c r="EH26" s="407">
        <v>0</v>
      </c>
      <c r="EI26" s="407">
        <v>0</v>
      </c>
      <c r="EJ26" s="407">
        <v>0</v>
      </c>
      <c r="EK26" s="407">
        <v>0</v>
      </c>
      <c r="EL26" s="407">
        <v>0</v>
      </c>
      <c r="EM26" s="407"/>
      <c r="EN26" s="407"/>
      <c r="EO26" s="407">
        <v>0</v>
      </c>
      <c r="EP26" s="407">
        <v>0</v>
      </c>
      <c r="EQ26" s="407"/>
      <c r="ER26" s="407">
        <v>0</v>
      </c>
      <c r="ES26" s="407"/>
      <c r="ET26" s="407">
        <v>0</v>
      </c>
      <c r="EU26" s="407"/>
      <c r="EV26" s="407">
        <v>246</v>
      </c>
      <c r="EW26" s="407"/>
      <c r="EX26" s="407"/>
      <c r="EY26" s="407"/>
      <c r="EZ26" s="407"/>
      <c r="FA26" s="407">
        <v>0</v>
      </c>
      <c r="FB26" s="407"/>
      <c r="FC26" s="407"/>
      <c r="FD26" s="407"/>
      <c r="FE26" s="407"/>
      <c r="FF26" s="407">
        <v>0</v>
      </c>
      <c r="FG26" s="407">
        <v>0</v>
      </c>
      <c r="FH26" s="407">
        <v>0</v>
      </c>
      <c r="FI26" s="407">
        <v>0</v>
      </c>
    </row>
    <row r="27" spans="1:165" customFormat="1">
      <c r="A27" s="407">
        <v>25</v>
      </c>
      <c r="B27" s="407" t="s">
        <v>2309</v>
      </c>
      <c r="C27" s="407" t="s">
        <v>2314</v>
      </c>
      <c r="D27" s="407" t="s">
        <v>650</v>
      </c>
      <c r="E27" s="407" t="s">
        <v>1049</v>
      </c>
      <c r="F27" s="407" t="s">
        <v>97</v>
      </c>
      <c r="G27" s="407" t="s">
        <v>97</v>
      </c>
      <c r="H27" s="407" t="s">
        <v>97</v>
      </c>
      <c r="I27" s="407" t="s">
        <v>97</v>
      </c>
      <c r="J27" s="407" t="s">
        <v>2307</v>
      </c>
      <c r="K27" s="818">
        <v>44378</v>
      </c>
      <c r="L27" s="407">
        <v>915</v>
      </c>
      <c r="M27" s="407">
        <v>915</v>
      </c>
      <c r="N27" s="407">
        <v>0</v>
      </c>
      <c r="O27" s="407">
        <v>0</v>
      </c>
      <c r="P27" s="407">
        <v>0</v>
      </c>
      <c r="Q27" s="407">
        <v>0</v>
      </c>
      <c r="R27" s="407">
        <v>43.29</v>
      </c>
      <c r="S27" s="407"/>
      <c r="T27" s="407"/>
      <c r="U27" s="407">
        <v>39610.35</v>
      </c>
      <c r="V27" s="407"/>
      <c r="W27" s="407">
        <v>39610.35</v>
      </c>
      <c r="X27" s="407">
        <v>30643.350000000002</v>
      </c>
      <c r="Y27" s="407">
        <v>0</v>
      </c>
      <c r="Z27" s="407">
        <v>0</v>
      </c>
      <c r="AA27" s="407">
        <v>0</v>
      </c>
      <c r="AB27" s="407">
        <v>0</v>
      </c>
      <c r="AC27" s="407">
        <v>0</v>
      </c>
      <c r="AD27" s="407">
        <v>21652.548249970772</v>
      </c>
      <c r="AE27" s="407">
        <v>17960.706200500012</v>
      </c>
      <c r="AF27" s="407"/>
      <c r="AG27" s="407"/>
      <c r="AH27" s="407"/>
      <c r="AI27" s="407">
        <v>0</v>
      </c>
      <c r="AJ27" s="407">
        <v>0</v>
      </c>
      <c r="AK27" s="407">
        <v>0</v>
      </c>
      <c r="AL27" s="407">
        <v>0</v>
      </c>
      <c r="AM27" s="407"/>
      <c r="AN27" s="407">
        <v>0</v>
      </c>
      <c r="AO27" s="407">
        <v>0</v>
      </c>
      <c r="AP27" s="407">
        <v>0</v>
      </c>
      <c r="AQ27" s="407">
        <v>0</v>
      </c>
      <c r="AR27" s="407">
        <v>0</v>
      </c>
      <c r="AS27" s="407"/>
      <c r="AT27" s="407"/>
      <c r="AU27" s="407">
        <v>0</v>
      </c>
      <c r="AV27" s="407">
        <v>0</v>
      </c>
      <c r="AW27" s="407">
        <v>0</v>
      </c>
      <c r="AX27" s="407"/>
      <c r="AY27" s="407"/>
      <c r="AZ27" s="407">
        <v>0</v>
      </c>
      <c r="BA27" s="407"/>
      <c r="BB27" s="407">
        <v>0</v>
      </c>
      <c r="BC27" s="407">
        <v>0</v>
      </c>
      <c r="BD27" s="407">
        <v>0</v>
      </c>
      <c r="BE27" s="407">
        <v>0</v>
      </c>
      <c r="BF27" s="407"/>
      <c r="BG27" s="407">
        <v>0</v>
      </c>
      <c r="BH27" s="407">
        <v>0</v>
      </c>
      <c r="BI27" s="407">
        <v>170.93</v>
      </c>
      <c r="BJ27" s="407">
        <v>788.62</v>
      </c>
      <c r="BK27" s="407">
        <v>15765.11</v>
      </c>
      <c r="BL27" s="407">
        <v>6</v>
      </c>
      <c r="BM27" s="407"/>
      <c r="BN27" s="407"/>
      <c r="BO27" s="407"/>
      <c r="BP27" s="407"/>
      <c r="BQ27" s="407"/>
      <c r="BR27" s="407"/>
      <c r="BS27" s="407"/>
      <c r="BT27" s="407"/>
      <c r="BU27" s="407"/>
      <c r="BV27" s="407">
        <v>0</v>
      </c>
      <c r="BW27" s="407"/>
      <c r="BX27" s="407"/>
      <c r="BY27" s="407"/>
      <c r="BZ27" s="407"/>
      <c r="CA27" s="407"/>
      <c r="CB27" s="407"/>
      <c r="CC27" s="407"/>
      <c r="CD27" s="407"/>
      <c r="CE27" s="407"/>
      <c r="CF27" s="407"/>
      <c r="CG27" s="407"/>
      <c r="CH27" s="407"/>
      <c r="CI27" s="407">
        <v>30643.350000000002</v>
      </c>
      <c r="CJ27" s="407">
        <v>-8967.0300000000025</v>
      </c>
      <c r="CK27" s="407"/>
      <c r="CL27" s="407"/>
      <c r="CM27" s="407"/>
      <c r="CN27" s="407"/>
      <c r="CO27" s="407">
        <v>-8966.9999999999982</v>
      </c>
      <c r="CP27" s="407">
        <v>0</v>
      </c>
      <c r="CQ27" s="407">
        <v>31</v>
      </c>
      <c r="CR27" s="407">
        <v>204.64903287141351</v>
      </c>
      <c r="CS27" s="407">
        <v>0</v>
      </c>
      <c r="CT27" s="407">
        <v>0</v>
      </c>
      <c r="CU27" s="407">
        <v>0</v>
      </c>
      <c r="CV27" s="407">
        <v>0</v>
      </c>
      <c r="CW27" s="407"/>
      <c r="CX27" s="407"/>
      <c r="CY27" s="407"/>
      <c r="CZ27" s="407">
        <v>978.08853734108561</v>
      </c>
      <c r="DA27" s="407">
        <v>0</v>
      </c>
      <c r="DB27" s="407">
        <v>0</v>
      </c>
      <c r="DC27" s="407"/>
      <c r="DD27" s="407"/>
      <c r="DE27" s="407">
        <v>0</v>
      </c>
      <c r="DF27" s="407">
        <v>0</v>
      </c>
      <c r="DG27" s="407">
        <v>0</v>
      </c>
      <c r="DH27" s="407">
        <v>0</v>
      </c>
      <c r="DI27" s="407">
        <v>0</v>
      </c>
      <c r="DJ27" s="407"/>
      <c r="DK27" s="407">
        <v>0</v>
      </c>
      <c r="DL27" s="407">
        <v>0</v>
      </c>
      <c r="DM27" s="407"/>
      <c r="DN27" s="407">
        <v>0</v>
      </c>
      <c r="DO27" s="407">
        <v>0</v>
      </c>
      <c r="DP27" s="407">
        <v>0</v>
      </c>
      <c r="DQ27" s="407">
        <v>0</v>
      </c>
      <c r="DR27" s="407">
        <v>-773.43950446967119</v>
      </c>
      <c r="DS27" s="407"/>
      <c r="DT27" s="407"/>
      <c r="DU27" s="407">
        <v>17960.706200500012</v>
      </c>
      <c r="DV27" s="407"/>
      <c r="DW27" s="407">
        <v>0</v>
      </c>
      <c r="DX27" s="407">
        <v>0</v>
      </c>
      <c r="DY27" s="407">
        <v>-8966.9999999999964</v>
      </c>
      <c r="DZ27" s="407"/>
      <c r="EA27" s="407">
        <v>0</v>
      </c>
      <c r="EB27" s="407"/>
      <c r="EC27" s="407">
        <v>-9174.3704431711158</v>
      </c>
      <c r="ED27" s="407"/>
      <c r="EE27" s="407">
        <v>0</v>
      </c>
      <c r="EF27" s="407">
        <v>0</v>
      </c>
      <c r="EG27" s="407"/>
      <c r="EH27" s="407">
        <v>0</v>
      </c>
      <c r="EI27" s="407">
        <v>0</v>
      </c>
      <c r="EJ27" s="407">
        <v>0</v>
      </c>
      <c r="EK27" s="407">
        <v>0</v>
      </c>
      <c r="EL27" s="407">
        <v>0</v>
      </c>
      <c r="EM27" s="407"/>
      <c r="EN27" s="407"/>
      <c r="EO27" s="407">
        <v>0</v>
      </c>
      <c r="EP27" s="407">
        <v>0</v>
      </c>
      <c r="EQ27" s="407"/>
      <c r="ER27" s="407">
        <v>0</v>
      </c>
      <c r="ES27" s="407"/>
      <c r="ET27" s="407">
        <v>0</v>
      </c>
      <c r="EU27" s="407"/>
      <c r="EV27" s="407">
        <v>246</v>
      </c>
      <c r="EW27" s="407"/>
      <c r="EX27" s="407"/>
      <c r="EY27" s="407"/>
      <c r="EZ27" s="407"/>
      <c r="FA27" s="407">
        <v>0</v>
      </c>
      <c r="FB27" s="407"/>
      <c r="FC27" s="407"/>
      <c r="FD27" s="407"/>
      <c r="FE27" s="407"/>
      <c r="FF27" s="407">
        <v>0</v>
      </c>
      <c r="FG27" s="407">
        <v>0</v>
      </c>
      <c r="FH27" s="407">
        <v>0</v>
      </c>
      <c r="FI27" s="407">
        <v>0</v>
      </c>
    </row>
    <row r="28" spans="1:165" customFormat="1">
      <c r="A28" s="407">
        <v>26</v>
      </c>
      <c r="B28" s="407" t="s">
        <v>1090</v>
      </c>
      <c r="C28" s="407" t="s">
        <v>2306</v>
      </c>
      <c r="D28" s="407" t="s">
        <v>2315</v>
      </c>
      <c r="E28" s="407" t="s">
        <v>1026</v>
      </c>
      <c r="F28" s="407" t="s">
        <v>97</v>
      </c>
      <c r="G28" s="407" t="s">
        <v>97</v>
      </c>
      <c r="H28" s="407" t="s">
        <v>97</v>
      </c>
      <c r="I28" s="407" t="s">
        <v>97</v>
      </c>
      <c r="J28" s="407" t="s">
        <v>2307</v>
      </c>
      <c r="K28" s="818">
        <v>44378</v>
      </c>
      <c r="L28" s="407">
        <v>0</v>
      </c>
      <c r="M28" s="407">
        <v>0</v>
      </c>
      <c r="N28" s="407">
        <v>3793.623</v>
      </c>
      <c r="O28" s="407">
        <v>3793.623</v>
      </c>
      <c r="P28" s="407">
        <v>3793.623</v>
      </c>
      <c r="Q28" s="407">
        <v>3793.623</v>
      </c>
      <c r="R28" s="407"/>
      <c r="S28" s="407">
        <v>648.44000000000005</v>
      </c>
      <c r="T28" s="407">
        <v>159.41</v>
      </c>
      <c r="U28" s="407"/>
      <c r="V28" s="407">
        <v>3064678.3405499998</v>
      </c>
      <c r="W28" s="407">
        <v>3064678.3405499998</v>
      </c>
      <c r="X28" s="407">
        <v>2321014.42386</v>
      </c>
      <c r="Y28" s="407">
        <v>0</v>
      </c>
      <c r="Z28" s="407">
        <v>235091.76810575792</v>
      </c>
      <c r="AA28" s="407">
        <v>0</v>
      </c>
      <c r="AB28" s="407">
        <v>0</v>
      </c>
      <c r="AC28" s="407">
        <v>0</v>
      </c>
      <c r="AD28" s="407">
        <v>442504.97809932742</v>
      </c>
      <c r="AE28" s="407">
        <v>1584012.0742076435</v>
      </c>
      <c r="AF28" s="407">
        <v>585093.19422933471</v>
      </c>
      <c r="AG28" s="407">
        <v>19657.595502683267</v>
      </c>
      <c r="AH28" s="407">
        <v>0</v>
      </c>
      <c r="AI28" s="407">
        <v>0</v>
      </c>
      <c r="AJ28" s="407">
        <v>0</v>
      </c>
      <c r="AK28" s="407">
        <v>0</v>
      </c>
      <c r="AL28" s="407">
        <v>36327.943827848416</v>
      </c>
      <c r="AM28" s="407"/>
      <c r="AN28" s="407">
        <v>7872.1305489184369</v>
      </c>
      <c r="AO28" s="407">
        <v>0</v>
      </c>
      <c r="AP28" s="407">
        <v>0</v>
      </c>
      <c r="AQ28" s="407">
        <v>0</v>
      </c>
      <c r="AR28" s="407">
        <v>0</v>
      </c>
      <c r="AS28" s="407">
        <v>0</v>
      </c>
      <c r="AT28" s="407">
        <v>0</v>
      </c>
      <c r="AU28" s="407">
        <v>0</v>
      </c>
      <c r="AV28" s="407">
        <v>0</v>
      </c>
      <c r="AW28" s="407">
        <v>0</v>
      </c>
      <c r="AX28" s="407">
        <v>0</v>
      </c>
      <c r="AY28" s="407">
        <v>0</v>
      </c>
      <c r="AZ28" s="407">
        <v>0</v>
      </c>
      <c r="BA28" s="407"/>
      <c r="BB28" s="407">
        <v>0</v>
      </c>
      <c r="BC28" s="407">
        <v>0</v>
      </c>
      <c r="BD28" s="407">
        <v>0</v>
      </c>
      <c r="BE28" s="407">
        <v>0</v>
      </c>
      <c r="BF28" s="407">
        <v>0</v>
      </c>
      <c r="BG28" s="407">
        <v>42768.444156921192</v>
      </c>
      <c r="BH28" s="407">
        <v>0</v>
      </c>
      <c r="BI28" s="407">
        <v>7119.01</v>
      </c>
      <c r="BJ28" s="407">
        <v>33168.230000000003</v>
      </c>
      <c r="BK28" s="407">
        <v>204827.21</v>
      </c>
      <c r="BL28" s="407">
        <v>14035</v>
      </c>
      <c r="BM28" s="407"/>
      <c r="BN28" s="407"/>
      <c r="BO28" s="407"/>
      <c r="BP28" s="407"/>
      <c r="BQ28" s="407"/>
      <c r="BR28" s="407">
        <v>278527.80066000007</v>
      </c>
      <c r="BS28" s="407"/>
      <c r="BT28" s="407"/>
      <c r="BU28" s="407"/>
      <c r="BV28" s="407">
        <v>627861.63838625595</v>
      </c>
      <c r="BW28" s="407"/>
      <c r="BX28" s="407"/>
      <c r="BY28" s="407"/>
      <c r="BZ28" s="407"/>
      <c r="CA28" s="407"/>
      <c r="CB28" s="407"/>
      <c r="CC28" s="407"/>
      <c r="CD28" s="407"/>
      <c r="CE28" s="407"/>
      <c r="CF28" s="407"/>
      <c r="CG28" s="407"/>
      <c r="CH28" s="407"/>
      <c r="CI28" s="407">
        <v>2042485.0079999999</v>
      </c>
      <c r="CJ28" s="407">
        <v>-654439.54892999958</v>
      </c>
      <c r="CK28" s="407"/>
      <c r="CL28" s="407"/>
      <c r="CM28" s="407"/>
      <c r="CN28" s="407"/>
      <c r="CO28" s="407">
        <v>-847874.74050000019</v>
      </c>
      <c r="CP28" s="407">
        <v>104210.82381</v>
      </c>
      <c r="CQ28" s="407">
        <v>31</v>
      </c>
      <c r="CR28" s="407">
        <v>65455.239586615702</v>
      </c>
      <c r="CS28" s="407">
        <v>0</v>
      </c>
      <c r="CT28" s="407">
        <v>0</v>
      </c>
      <c r="CU28" s="407">
        <v>0</v>
      </c>
      <c r="CV28" s="407">
        <v>0</v>
      </c>
      <c r="CW28" s="407">
        <v>0</v>
      </c>
      <c r="CX28" s="407">
        <v>0</v>
      </c>
      <c r="CY28" s="407">
        <v>0</v>
      </c>
      <c r="CZ28" s="407">
        <v>19988.827264057472</v>
      </c>
      <c r="DA28" s="407">
        <v>0</v>
      </c>
      <c r="DB28" s="407">
        <v>0</v>
      </c>
      <c r="DC28" s="407">
        <v>116008.18006512884</v>
      </c>
      <c r="DD28" s="407">
        <v>0</v>
      </c>
      <c r="DE28" s="407">
        <v>0</v>
      </c>
      <c r="DF28" s="407">
        <v>0</v>
      </c>
      <c r="DG28" s="407">
        <v>8479.8275211467044</v>
      </c>
      <c r="DH28" s="407">
        <v>0</v>
      </c>
      <c r="DI28" s="407">
        <v>-16466.291214617289</v>
      </c>
      <c r="DJ28" s="407"/>
      <c r="DK28" s="407">
        <v>0</v>
      </c>
      <c r="DL28" s="407">
        <v>0</v>
      </c>
      <c r="DM28" s="407">
        <v>0</v>
      </c>
      <c r="DN28" s="407">
        <v>0</v>
      </c>
      <c r="DO28" s="407">
        <v>-2216.4178734360394</v>
      </c>
      <c r="DP28" s="407">
        <v>-501.59315365619568</v>
      </c>
      <c r="DQ28" s="407">
        <v>0</v>
      </c>
      <c r="DR28" s="407">
        <v>-59837.293022007572</v>
      </c>
      <c r="DS28" s="407"/>
      <c r="DT28" s="407"/>
      <c r="DU28" s="407"/>
      <c r="DV28" s="407">
        <v>1584012.0742076435</v>
      </c>
      <c r="DW28" s="407">
        <v>0</v>
      </c>
      <c r="DX28" s="407">
        <v>0</v>
      </c>
      <c r="DY28" s="407">
        <v>-847874.74050000007</v>
      </c>
      <c r="DZ28" s="407">
        <v>104210.82381000009</v>
      </c>
      <c r="EA28" s="407">
        <v>0</v>
      </c>
      <c r="EB28" s="407">
        <v>0</v>
      </c>
      <c r="EC28" s="407">
        <v>-809117.04656870279</v>
      </c>
      <c r="ED28" s="407">
        <v>0</v>
      </c>
      <c r="EE28" s="407">
        <v>0</v>
      </c>
      <c r="EF28" s="407">
        <v>0</v>
      </c>
      <c r="EG28" s="407">
        <v>0</v>
      </c>
      <c r="EH28" s="407">
        <v>0</v>
      </c>
      <c r="EI28" s="407">
        <v>0</v>
      </c>
      <c r="EJ28" s="407">
        <v>0</v>
      </c>
      <c r="EK28" s="407">
        <v>0</v>
      </c>
      <c r="EL28" s="407">
        <v>0</v>
      </c>
      <c r="EM28" s="407">
        <v>0</v>
      </c>
      <c r="EN28" s="407">
        <v>0</v>
      </c>
      <c r="EO28" s="407">
        <v>0</v>
      </c>
      <c r="EP28" s="407">
        <v>111358.76720678693</v>
      </c>
      <c r="EQ28" s="407">
        <v>0</v>
      </c>
      <c r="ER28" s="407">
        <v>0</v>
      </c>
      <c r="ES28" s="407">
        <v>0</v>
      </c>
      <c r="ET28" s="407">
        <v>0</v>
      </c>
      <c r="EU28" s="407">
        <v>0</v>
      </c>
      <c r="EV28" s="407">
        <v>246</v>
      </c>
      <c r="EW28" s="407">
        <v>0</v>
      </c>
      <c r="EX28" s="407">
        <v>0</v>
      </c>
      <c r="EY28" s="407">
        <v>0</v>
      </c>
      <c r="EZ28" s="407"/>
      <c r="FA28" s="407">
        <v>0</v>
      </c>
      <c r="FB28" s="407"/>
      <c r="FC28" s="407"/>
      <c r="FD28" s="407"/>
      <c r="FE28" s="407"/>
      <c r="FF28" s="407">
        <v>0</v>
      </c>
      <c r="FG28" s="407">
        <v>0</v>
      </c>
      <c r="FH28" s="407">
        <v>0</v>
      </c>
      <c r="FI28" s="407">
        <v>0</v>
      </c>
    </row>
    <row r="29" spans="1:165" customFormat="1">
      <c r="A29" s="407">
        <v>27</v>
      </c>
      <c r="B29" s="407" t="s">
        <v>2308</v>
      </c>
      <c r="C29" s="407" t="s">
        <v>2306</v>
      </c>
      <c r="D29" s="407" t="s">
        <v>2315</v>
      </c>
      <c r="E29" s="407" t="s">
        <v>1026</v>
      </c>
      <c r="F29" s="407" t="s">
        <v>97</v>
      </c>
      <c r="G29" s="407" t="s">
        <v>97</v>
      </c>
      <c r="H29" s="407" t="s">
        <v>97</v>
      </c>
      <c r="I29" s="407" t="s">
        <v>97</v>
      </c>
      <c r="J29" s="407" t="s">
        <v>2307</v>
      </c>
      <c r="K29" s="818">
        <v>44378</v>
      </c>
      <c r="L29" s="407">
        <v>0</v>
      </c>
      <c r="M29" s="407">
        <v>0</v>
      </c>
      <c r="N29" s="407">
        <v>-1.3320000000000001</v>
      </c>
      <c r="O29" s="407">
        <v>-1.3320000000000001</v>
      </c>
      <c r="P29" s="407">
        <v>-1.3320000000000001</v>
      </c>
      <c r="Q29" s="407">
        <v>-1.3320000000000001</v>
      </c>
      <c r="R29" s="407"/>
      <c r="S29" s="407">
        <v>648.44000000000005</v>
      </c>
      <c r="T29" s="407">
        <v>159.41</v>
      </c>
      <c r="U29" s="407"/>
      <c r="V29" s="407">
        <v>-1076.0562000000002</v>
      </c>
      <c r="W29" s="407">
        <v>-1076.0562000000002</v>
      </c>
      <c r="X29" s="407">
        <v>-814.94424000000004</v>
      </c>
      <c r="Y29" s="407">
        <v>0</v>
      </c>
      <c r="Z29" s="407">
        <v>-82.544373839168927</v>
      </c>
      <c r="AA29" s="407">
        <v>0</v>
      </c>
      <c r="AB29" s="407">
        <v>0</v>
      </c>
      <c r="AC29" s="407">
        <v>0</v>
      </c>
      <c r="AD29" s="407">
        <v>-155.37037571427211</v>
      </c>
      <c r="AE29" s="407">
        <v>-556.17125972838664</v>
      </c>
      <c r="AF29" s="407">
        <v>-205.43531466186118</v>
      </c>
      <c r="AG29" s="407">
        <v>-6.9020873211634663</v>
      </c>
      <c r="AH29" s="407">
        <v>0</v>
      </c>
      <c r="AI29" s="407">
        <v>0</v>
      </c>
      <c r="AJ29" s="407">
        <v>0</v>
      </c>
      <c r="AK29" s="407">
        <v>0</v>
      </c>
      <c r="AL29" s="407">
        <v>-12.755305727188519</v>
      </c>
      <c r="AM29" s="407"/>
      <c r="AN29" s="407">
        <v>-2.7640273931171753</v>
      </c>
      <c r="AO29" s="407">
        <v>0</v>
      </c>
      <c r="AP29" s="407">
        <v>0</v>
      </c>
      <c r="AQ29" s="407">
        <v>0</v>
      </c>
      <c r="AR29" s="407">
        <v>0</v>
      </c>
      <c r="AS29" s="407">
        <v>0</v>
      </c>
      <c r="AT29" s="407">
        <v>0</v>
      </c>
      <c r="AU29" s="407">
        <v>0</v>
      </c>
      <c r="AV29" s="407">
        <v>0</v>
      </c>
      <c r="AW29" s="407">
        <v>0</v>
      </c>
      <c r="AX29" s="407">
        <v>0</v>
      </c>
      <c r="AY29" s="407">
        <v>0</v>
      </c>
      <c r="AZ29" s="407">
        <v>0</v>
      </c>
      <c r="BA29" s="407"/>
      <c r="BB29" s="407">
        <v>0</v>
      </c>
      <c r="BC29" s="407">
        <v>0</v>
      </c>
      <c r="BD29" s="407">
        <v>0</v>
      </c>
      <c r="BE29" s="407">
        <v>0</v>
      </c>
      <c r="BF29" s="407">
        <v>0</v>
      </c>
      <c r="BG29" s="407">
        <v>-15.01666549813174</v>
      </c>
      <c r="BH29" s="407">
        <v>0</v>
      </c>
      <c r="BI29" s="407">
        <v>-4.25</v>
      </c>
      <c r="BJ29" s="407">
        <v>-19.399999999999999</v>
      </c>
      <c r="BK29" s="407">
        <v>-103.31</v>
      </c>
      <c r="BL29" s="407">
        <v>0</v>
      </c>
      <c r="BM29" s="407"/>
      <c r="BN29" s="407"/>
      <c r="BO29" s="407"/>
      <c r="BP29" s="407"/>
      <c r="BQ29" s="407"/>
      <c r="BR29" s="407">
        <v>-97.795440000000013</v>
      </c>
      <c r="BS29" s="407"/>
      <c r="BT29" s="407"/>
      <c r="BU29" s="407"/>
      <c r="BV29" s="407">
        <v>-220.45198015999293</v>
      </c>
      <c r="BW29" s="407"/>
      <c r="BX29" s="407"/>
      <c r="BY29" s="407"/>
      <c r="BZ29" s="407"/>
      <c r="CA29" s="407"/>
      <c r="CB29" s="407"/>
      <c r="CC29" s="407"/>
      <c r="CD29" s="407"/>
      <c r="CE29" s="407"/>
      <c r="CF29" s="407"/>
      <c r="CG29" s="407"/>
      <c r="CH29" s="407"/>
      <c r="CI29" s="407">
        <v>-716.072</v>
      </c>
      <c r="CJ29" s="407">
        <v>230.83012000000008</v>
      </c>
      <c r="CK29" s="407"/>
      <c r="CL29" s="407"/>
      <c r="CM29" s="407"/>
      <c r="CN29" s="407"/>
      <c r="CO29" s="407">
        <v>297.70200000000011</v>
      </c>
      <c r="CP29" s="407">
        <v>-36.590040000000002</v>
      </c>
      <c r="CQ29" s="407">
        <v>31</v>
      </c>
      <c r="CR29" s="407">
        <v>-22.982351996857005</v>
      </c>
      <c r="CS29" s="407">
        <v>0</v>
      </c>
      <c r="CT29" s="407">
        <v>0</v>
      </c>
      <c r="CU29" s="407">
        <v>0</v>
      </c>
      <c r="CV29" s="407">
        <v>0</v>
      </c>
      <c r="CW29" s="407">
        <v>0</v>
      </c>
      <c r="CX29" s="407">
        <v>0</v>
      </c>
      <c r="CY29" s="407">
        <v>0</v>
      </c>
      <c r="CZ29" s="407">
        <v>-7.0183879409536871</v>
      </c>
      <c r="DA29" s="407">
        <v>0</v>
      </c>
      <c r="DB29" s="407">
        <v>0</v>
      </c>
      <c r="DC29" s="407">
        <v>-40.732275148783032</v>
      </c>
      <c r="DD29" s="407">
        <v>0</v>
      </c>
      <c r="DE29" s="407">
        <v>0</v>
      </c>
      <c r="DF29" s="407">
        <v>0</v>
      </c>
      <c r="DG29" s="407">
        <v>-2.9773992455674758</v>
      </c>
      <c r="DH29" s="407">
        <v>0</v>
      </c>
      <c r="DI29" s="407">
        <v>5.7815707828295615</v>
      </c>
      <c r="DJ29" s="407"/>
      <c r="DK29" s="407">
        <v>0</v>
      </c>
      <c r="DL29" s="407">
        <v>0</v>
      </c>
      <c r="DM29" s="407">
        <v>0</v>
      </c>
      <c r="DN29" s="407">
        <v>0</v>
      </c>
      <c r="DO29" s="407">
        <v>0.77821876539044688</v>
      </c>
      <c r="DP29" s="407">
        <v>0.17611715256630722</v>
      </c>
      <c r="DQ29" s="407">
        <v>0</v>
      </c>
      <c r="DR29" s="407">
        <v>21.009803637660909</v>
      </c>
      <c r="DS29" s="407"/>
      <c r="DT29" s="407"/>
      <c r="DU29" s="407"/>
      <c r="DV29" s="407">
        <v>-556.17125972838664</v>
      </c>
      <c r="DW29" s="407">
        <v>0</v>
      </c>
      <c r="DX29" s="407">
        <v>0</v>
      </c>
      <c r="DY29" s="407">
        <v>297.70200000000011</v>
      </c>
      <c r="DZ29" s="407">
        <v>-36.590039999999988</v>
      </c>
      <c r="EA29" s="407">
        <v>0</v>
      </c>
      <c r="EB29" s="407">
        <v>0</v>
      </c>
      <c r="EC29" s="407">
        <v>284.09357124561723</v>
      </c>
      <c r="ED29" s="407">
        <v>0</v>
      </c>
      <c r="EE29" s="407">
        <v>0</v>
      </c>
      <c r="EF29" s="407">
        <v>0</v>
      </c>
      <c r="EG29" s="407">
        <v>0</v>
      </c>
      <c r="EH29" s="407">
        <v>0</v>
      </c>
      <c r="EI29" s="407">
        <v>0</v>
      </c>
      <c r="EJ29" s="407">
        <v>0</v>
      </c>
      <c r="EK29" s="407">
        <v>0</v>
      </c>
      <c r="EL29" s="407">
        <v>0</v>
      </c>
      <c r="EM29" s="407">
        <v>0</v>
      </c>
      <c r="EN29" s="407">
        <v>0</v>
      </c>
      <c r="EO29" s="407">
        <v>0</v>
      </c>
      <c r="EP29" s="407">
        <v>-39.099794027883163</v>
      </c>
      <c r="EQ29" s="407">
        <v>0</v>
      </c>
      <c r="ER29" s="407">
        <v>0</v>
      </c>
      <c r="ES29" s="407">
        <v>0</v>
      </c>
      <c r="ET29" s="407">
        <v>0</v>
      </c>
      <c r="EU29" s="407">
        <v>0</v>
      </c>
      <c r="EV29" s="407">
        <v>246</v>
      </c>
      <c r="EW29" s="407">
        <v>0</v>
      </c>
      <c r="EX29" s="407">
        <v>0</v>
      </c>
      <c r="EY29" s="407">
        <v>0</v>
      </c>
      <c r="EZ29" s="407"/>
      <c r="FA29" s="407">
        <v>0</v>
      </c>
      <c r="FB29" s="407"/>
      <c r="FC29" s="407"/>
      <c r="FD29" s="407"/>
      <c r="FE29" s="407"/>
      <c r="FF29" s="407">
        <v>0</v>
      </c>
      <c r="FG29" s="407">
        <v>0</v>
      </c>
      <c r="FH29" s="407">
        <v>0</v>
      </c>
      <c r="FI29" s="407">
        <v>0</v>
      </c>
    </row>
    <row r="30" spans="1:165" customFormat="1">
      <c r="A30" s="407">
        <v>28</v>
      </c>
      <c r="B30" s="407" t="s">
        <v>2309</v>
      </c>
      <c r="C30" s="407" t="s">
        <v>2306</v>
      </c>
      <c r="D30" s="407" t="s">
        <v>2315</v>
      </c>
      <c r="E30" s="407" t="s">
        <v>1026</v>
      </c>
      <c r="F30" s="407" t="s">
        <v>97</v>
      </c>
      <c r="G30" s="407" t="s">
        <v>97</v>
      </c>
      <c r="H30" s="407" t="s">
        <v>97</v>
      </c>
      <c r="I30" s="407" t="s">
        <v>97</v>
      </c>
      <c r="J30" s="407" t="s">
        <v>2307</v>
      </c>
      <c r="K30" s="818">
        <v>44378</v>
      </c>
      <c r="L30" s="407">
        <v>0</v>
      </c>
      <c r="M30" s="407">
        <v>0</v>
      </c>
      <c r="N30" s="407">
        <v>77.444000000000003</v>
      </c>
      <c r="O30" s="407">
        <v>77.444000000000003</v>
      </c>
      <c r="P30" s="407">
        <v>77.444000000000003</v>
      </c>
      <c r="Q30" s="407">
        <v>77.444000000000003</v>
      </c>
      <c r="R30" s="407"/>
      <c r="S30" s="407">
        <v>648.44000000000005</v>
      </c>
      <c r="T30" s="407">
        <v>159.41</v>
      </c>
      <c r="U30" s="407"/>
      <c r="V30" s="407">
        <v>62563.135400000014</v>
      </c>
      <c r="W30" s="407">
        <v>62563.135400000014</v>
      </c>
      <c r="X30" s="407">
        <v>47381.788079999998</v>
      </c>
      <c r="Y30" s="407">
        <v>0</v>
      </c>
      <c r="Z30" s="407">
        <v>4799.2240897902393</v>
      </c>
      <c r="AA30" s="407">
        <v>0</v>
      </c>
      <c r="AB30" s="407">
        <v>0</v>
      </c>
      <c r="AC30" s="407">
        <v>0</v>
      </c>
      <c r="AD30" s="407">
        <v>9033.4109435556238</v>
      </c>
      <c r="AE30" s="407">
        <v>32336.431710514393</v>
      </c>
      <c r="AF30" s="407">
        <v>11944.243625130013</v>
      </c>
      <c r="AG30" s="407">
        <v>401.29523310824584</v>
      </c>
      <c r="AH30" s="407">
        <v>0</v>
      </c>
      <c r="AI30" s="407">
        <v>0</v>
      </c>
      <c r="AJ30" s="407">
        <v>0</v>
      </c>
      <c r="AK30" s="407">
        <v>0</v>
      </c>
      <c r="AL30" s="407">
        <v>741.60803058287354</v>
      </c>
      <c r="AM30" s="407"/>
      <c r="AN30" s="407">
        <v>160.70370678120611</v>
      </c>
      <c r="AO30" s="407">
        <v>0</v>
      </c>
      <c r="AP30" s="407">
        <v>0</v>
      </c>
      <c r="AQ30" s="407">
        <v>0</v>
      </c>
      <c r="AR30" s="407">
        <v>0</v>
      </c>
      <c r="AS30" s="407">
        <v>0</v>
      </c>
      <c r="AT30" s="407">
        <v>0</v>
      </c>
      <c r="AU30" s="407">
        <v>0</v>
      </c>
      <c r="AV30" s="407">
        <v>0</v>
      </c>
      <c r="AW30" s="407">
        <v>0</v>
      </c>
      <c r="AX30" s="407">
        <v>0</v>
      </c>
      <c r="AY30" s="407">
        <v>0</v>
      </c>
      <c r="AZ30" s="407">
        <v>0</v>
      </c>
      <c r="BA30" s="407"/>
      <c r="BB30" s="407">
        <v>0</v>
      </c>
      <c r="BC30" s="407">
        <v>0</v>
      </c>
      <c r="BD30" s="407">
        <v>0</v>
      </c>
      <c r="BE30" s="407">
        <v>0</v>
      </c>
      <c r="BF30" s="407">
        <v>0</v>
      </c>
      <c r="BG30" s="407">
        <v>873.08606819618205</v>
      </c>
      <c r="BH30" s="407">
        <v>0</v>
      </c>
      <c r="BI30" s="407">
        <v>141.16</v>
      </c>
      <c r="BJ30" s="407">
        <v>655.47</v>
      </c>
      <c r="BK30" s="407">
        <v>2957.71</v>
      </c>
      <c r="BL30" s="407">
        <v>215</v>
      </c>
      <c r="BM30" s="407"/>
      <c r="BN30" s="407"/>
      <c r="BO30" s="407"/>
      <c r="BP30" s="407"/>
      <c r="BQ30" s="407"/>
      <c r="BR30" s="407">
        <v>5685.9384800000016</v>
      </c>
      <c r="BS30" s="407"/>
      <c r="BT30" s="407"/>
      <c r="BU30" s="407"/>
      <c r="BV30" s="407">
        <v>12817.329693326195</v>
      </c>
      <c r="BW30" s="407"/>
      <c r="BX30" s="407"/>
      <c r="BY30" s="407"/>
      <c r="BZ30" s="407"/>
      <c r="CA30" s="407"/>
      <c r="CB30" s="407"/>
      <c r="CC30" s="407"/>
      <c r="CD30" s="407"/>
      <c r="CE30" s="407"/>
      <c r="CF30" s="407"/>
      <c r="CG30" s="407"/>
      <c r="CH30" s="407"/>
      <c r="CI30" s="407">
        <v>41693.695999999996</v>
      </c>
      <c r="CJ30" s="407">
        <v>-13362.048040000016</v>
      </c>
      <c r="CK30" s="407"/>
      <c r="CL30" s="407"/>
      <c r="CM30" s="407"/>
      <c r="CN30" s="407"/>
      <c r="CO30" s="407">
        <v>-17308.734000000004</v>
      </c>
      <c r="CP30" s="407">
        <v>2127.3866800000001</v>
      </c>
      <c r="CQ30" s="407">
        <v>31</v>
      </c>
      <c r="CR30" s="407">
        <v>1336.2201712046517</v>
      </c>
      <c r="CS30" s="407">
        <v>0</v>
      </c>
      <c r="CT30" s="407">
        <v>0</v>
      </c>
      <c r="CU30" s="407">
        <v>0</v>
      </c>
      <c r="CV30" s="407">
        <v>0</v>
      </c>
      <c r="CW30" s="407">
        <v>0</v>
      </c>
      <c r="CX30" s="407">
        <v>0</v>
      </c>
      <c r="CY30" s="407">
        <v>0</v>
      </c>
      <c r="CZ30" s="407">
        <v>408.05708385826983</v>
      </c>
      <c r="DA30" s="407">
        <v>0</v>
      </c>
      <c r="DB30" s="407">
        <v>0</v>
      </c>
      <c r="DC30" s="407">
        <v>2368.2209584251905</v>
      </c>
      <c r="DD30" s="407">
        <v>0</v>
      </c>
      <c r="DE30" s="407">
        <v>0</v>
      </c>
      <c r="DF30" s="407">
        <v>0</v>
      </c>
      <c r="DG30" s="407">
        <v>173.1093897700656</v>
      </c>
      <c r="DH30" s="407">
        <v>0</v>
      </c>
      <c r="DI30" s="407">
        <v>-336.14712290199168</v>
      </c>
      <c r="DJ30" s="407"/>
      <c r="DK30" s="407">
        <v>0</v>
      </c>
      <c r="DL30" s="407">
        <v>0</v>
      </c>
      <c r="DM30" s="407">
        <v>0</v>
      </c>
      <c r="DN30" s="407">
        <v>0</v>
      </c>
      <c r="DO30" s="407">
        <v>-45.246527077250448</v>
      </c>
      <c r="DP30" s="407">
        <v>-10.239652224733561</v>
      </c>
      <c r="DQ30" s="407">
        <v>0</v>
      </c>
      <c r="DR30" s="407">
        <v>-1221.5339586449036</v>
      </c>
      <c r="DS30" s="407"/>
      <c r="DT30" s="407"/>
      <c r="DU30" s="407"/>
      <c r="DV30" s="407">
        <v>32336.431710514393</v>
      </c>
      <c r="DW30" s="407">
        <v>0</v>
      </c>
      <c r="DX30" s="407">
        <v>0</v>
      </c>
      <c r="DY30" s="407">
        <v>-17308.734000000011</v>
      </c>
      <c r="DZ30" s="407">
        <v>2127.3866799999996</v>
      </c>
      <c r="EA30" s="407">
        <v>0</v>
      </c>
      <c r="EB30" s="407">
        <v>0</v>
      </c>
      <c r="EC30" s="407">
        <v>-16517.524423082265</v>
      </c>
      <c r="ED30" s="407">
        <v>0</v>
      </c>
      <c r="EE30" s="407">
        <v>0</v>
      </c>
      <c r="EF30" s="407">
        <v>0</v>
      </c>
      <c r="EG30" s="407">
        <v>0</v>
      </c>
      <c r="EH30" s="407">
        <v>0</v>
      </c>
      <c r="EI30" s="407">
        <v>0</v>
      </c>
      <c r="EJ30" s="407">
        <v>0</v>
      </c>
      <c r="EK30" s="407">
        <v>0</v>
      </c>
      <c r="EL30" s="407">
        <v>0</v>
      </c>
      <c r="EM30" s="407">
        <v>0</v>
      </c>
      <c r="EN30" s="407">
        <v>0</v>
      </c>
      <c r="EO30" s="407">
        <v>0</v>
      </c>
      <c r="EP30" s="407">
        <v>2273.3066431647021</v>
      </c>
      <c r="EQ30" s="407">
        <v>0</v>
      </c>
      <c r="ER30" s="407">
        <v>0</v>
      </c>
      <c r="ES30" s="407">
        <v>0</v>
      </c>
      <c r="ET30" s="407">
        <v>0</v>
      </c>
      <c r="EU30" s="407">
        <v>0</v>
      </c>
      <c r="EV30" s="407">
        <v>246</v>
      </c>
      <c r="EW30" s="407">
        <v>0</v>
      </c>
      <c r="EX30" s="407">
        <v>0</v>
      </c>
      <c r="EY30" s="407">
        <v>0</v>
      </c>
      <c r="EZ30" s="407"/>
      <c r="FA30" s="407">
        <v>0</v>
      </c>
      <c r="FB30" s="407"/>
      <c r="FC30" s="407"/>
      <c r="FD30" s="407"/>
      <c r="FE30" s="407"/>
      <c r="FF30" s="407">
        <v>0</v>
      </c>
      <c r="FG30" s="407">
        <v>0</v>
      </c>
      <c r="FH30" s="407">
        <v>0</v>
      </c>
      <c r="FI30" s="407">
        <v>0</v>
      </c>
    </row>
    <row r="31" spans="1:165" customFormat="1">
      <c r="A31" s="407">
        <v>29</v>
      </c>
      <c r="B31" s="407" t="s">
        <v>1090</v>
      </c>
      <c r="C31" s="407" t="s">
        <v>2314</v>
      </c>
      <c r="D31" s="407" t="s">
        <v>650</v>
      </c>
      <c r="E31" s="407" t="s">
        <v>1026</v>
      </c>
      <c r="F31" s="407" t="s">
        <v>97</v>
      </c>
      <c r="G31" s="407" t="s">
        <v>97</v>
      </c>
      <c r="H31" s="407" t="s">
        <v>97</v>
      </c>
      <c r="I31" s="407" t="s">
        <v>1025</v>
      </c>
      <c r="J31" s="407" t="s">
        <v>2307</v>
      </c>
      <c r="K31" s="818">
        <v>44378</v>
      </c>
      <c r="L31" s="407">
        <v>0</v>
      </c>
      <c r="M31" s="407">
        <v>0</v>
      </c>
      <c r="N31" s="407">
        <v>31.495999999999999</v>
      </c>
      <c r="O31" s="407">
        <v>30.236159999999998</v>
      </c>
      <c r="P31" s="407">
        <v>31.495999999999999</v>
      </c>
      <c r="Q31" s="407">
        <v>30.236159999999998</v>
      </c>
      <c r="R31" s="407"/>
      <c r="S31" s="407">
        <v>2810.7</v>
      </c>
      <c r="T31" s="407">
        <v>159.41</v>
      </c>
      <c r="U31" s="407"/>
      <c r="V31" s="407">
        <v>93546.584559999988</v>
      </c>
      <c r="W31" s="407">
        <v>93546.584559999988</v>
      </c>
      <c r="X31" s="407">
        <v>59580.668239999992</v>
      </c>
      <c r="Y31" s="407">
        <v>0</v>
      </c>
      <c r="Z31" s="407">
        <v>1698.0790620431401</v>
      </c>
      <c r="AA31" s="407">
        <v>0</v>
      </c>
      <c r="AB31" s="407">
        <v>0</v>
      </c>
      <c r="AC31" s="407">
        <v>0</v>
      </c>
      <c r="AD31" s="407">
        <v>19228.799129306968</v>
      </c>
      <c r="AE31" s="407">
        <v>66295.580923247922</v>
      </c>
      <c r="AF31" s="407">
        <v>4857.6506535960807</v>
      </c>
      <c r="AG31" s="407">
        <v>163.20431101153494</v>
      </c>
      <c r="AH31" s="407">
        <v>0</v>
      </c>
      <c r="AI31" s="407">
        <v>0</v>
      </c>
      <c r="AJ31" s="407">
        <v>0</v>
      </c>
      <c r="AK31" s="407">
        <v>0</v>
      </c>
      <c r="AL31" s="407">
        <v>301.60743932697414</v>
      </c>
      <c r="AM31" s="407"/>
      <c r="AN31" s="407">
        <v>33.818306656507794</v>
      </c>
      <c r="AO31" s="407">
        <v>0</v>
      </c>
      <c r="AP31" s="407">
        <v>0</v>
      </c>
      <c r="AQ31" s="407">
        <v>0</v>
      </c>
      <c r="AR31" s="407">
        <v>0</v>
      </c>
      <c r="AS31" s="407">
        <v>0</v>
      </c>
      <c r="AT31" s="407">
        <v>0</v>
      </c>
      <c r="AU31" s="407">
        <v>0</v>
      </c>
      <c r="AV31" s="407">
        <v>0</v>
      </c>
      <c r="AW31" s="407">
        <v>0</v>
      </c>
      <c r="AX31" s="407">
        <v>0</v>
      </c>
      <c r="AY31" s="407">
        <v>0</v>
      </c>
      <c r="AZ31" s="407">
        <v>0</v>
      </c>
      <c r="BA31" s="407"/>
      <c r="BB31" s="407">
        <v>0</v>
      </c>
      <c r="BC31" s="407">
        <v>0</v>
      </c>
      <c r="BD31" s="407">
        <v>0</v>
      </c>
      <c r="BE31" s="407">
        <v>0</v>
      </c>
      <c r="BF31" s="407">
        <v>0</v>
      </c>
      <c r="BG31" s="407">
        <v>163.46028280916889</v>
      </c>
      <c r="BH31" s="407">
        <v>0</v>
      </c>
      <c r="BI31" s="407">
        <v>0</v>
      </c>
      <c r="BJ31" s="407">
        <v>0</v>
      </c>
      <c r="BK31" s="407">
        <v>0</v>
      </c>
      <c r="BL31" s="407">
        <v>0</v>
      </c>
      <c r="BM31" s="407"/>
      <c r="BN31" s="407"/>
      <c r="BO31" s="407"/>
      <c r="BP31" s="407"/>
      <c r="BQ31" s="407"/>
      <c r="BR31" s="407">
        <v>2383.2267296000009</v>
      </c>
      <c r="BS31" s="407"/>
      <c r="BT31" s="407"/>
      <c r="BU31" s="407"/>
      <c r="BV31" s="407">
        <v>5021.11093640525</v>
      </c>
      <c r="BW31" s="407"/>
      <c r="BX31" s="407"/>
      <c r="BY31" s="407"/>
      <c r="BZ31" s="407"/>
      <c r="CA31" s="407"/>
      <c r="CB31" s="407"/>
      <c r="CC31" s="407"/>
      <c r="CD31" s="407"/>
      <c r="CE31" s="407"/>
      <c r="CF31" s="407"/>
      <c r="CG31" s="407"/>
      <c r="CH31" s="407"/>
      <c r="CI31" s="407">
        <v>57204.705599999994</v>
      </c>
      <c r="CJ31" s="407">
        <v>-32600.04557759998</v>
      </c>
      <c r="CK31" s="407"/>
      <c r="CL31" s="407"/>
      <c r="CM31" s="407"/>
      <c r="CN31" s="407"/>
      <c r="CO31" s="407">
        <v>-34831.111439999993</v>
      </c>
      <c r="CP31" s="407">
        <v>865.19511999999997</v>
      </c>
      <c r="CQ31" s="407">
        <v>31</v>
      </c>
      <c r="CR31" s="407">
        <v>-101.81387495266608</v>
      </c>
      <c r="CS31" s="407">
        <v>0</v>
      </c>
      <c r="CT31" s="407">
        <v>0</v>
      </c>
      <c r="CU31" s="407">
        <v>0</v>
      </c>
      <c r="CV31" s="407">
        <v>0</v>
      </c>
      <c r="CW31" s="407">
        <v>0</v>
      </c>
      <c r="CX31" s="407">
        <v>0</v>
      </c>
      <c r="CY31" s="407">
        <v>0</v>
      </c>
      <c r="CZ31" s="407">
        <v>868.60298372665056</v>
      </c>
      <c r="DA31" s="407">
        <v>0</v>
      </c>
      <c r="DB31" s="407">
        <v>0</v>
      </c>
      <c r="DC31" s="407">
        <v>963.14094450906123</v>
      </c>
      <c r="DD31" s="407">
        <v>0</v>
      </c>
      <c r="DE31" s="407">
        <v>0</v>
      </c>
      <c r="DF31" s="407">
        <v>0</v>
      </c>
      <c r="DG31" s="407">
        <v>32.409759861589379</v>
      </c>
      <c r="DH31" s="407">
        <v>0</v>
      </c>
      <c r="DI31" s="407">
        <v>-118.93680738522607</v>
      </c>
      <c r="DJ31" s="407"/>
      <c r="DK31" s="407">
        <v>0</v>
      </c>
      <c r="DL31" s="407">
        <v>0</v>
      </c>
      <c r="DM31" s="407">
        <v>0</v>
      </c>
      <c r="DN31" s="407">
        <v>0</v>
      </c>
      <c r="DO31" s="407">
        <v>-18.401485161214339</v>
      </c>
      <c r="DP31" s="407">
        <v>-2.1548208558964426</v>
      </c>
      <c r="DQ31" s="407">
        <v>0</v>
      </c>
      <c r="DR31" s="407">
        <v>-1826.4744496476303</v>
      </c>
      <c r="DS31" s="407"/>
      <c r="DT31" s="407"/>
      <c r="DU31" s="407"/>
      <c r="DV31" s="407">
        <v>66295.580923247922</v>
      </c>
      <c r="DW31" s="407">
        <v>0</v>
      </c>
      <c r="DX31" s="407">
        <v>0</v>
      </c>
      <c r="DY31" s="407">
        <v>-34831.111440000001</v>
      </c>
      <c r="DZ31" s="407">
        <v>865.19511999999941</v>
      </c>
      <c r="EA31" s="407">
        <v>0</v>
      </c>
      <c r="EB31" s="407">
        <v>0</v>
      </c>
      <c r="EC31" s="407">
        <v>-33863.93671525945</v>
      </c>
      <c r="ED31" s="407">
        <v>0</v>
      </c>
      <c r="EE31" s="407">
        <v>0</v>
      </c>
      <c r="EF31" s="407">
        <v>0</v>
      </c>
      <c r="EG31" s="407">
        <v>0</v>
      </c>
      <c r="EH31" s="407">
        <v>0</v>
      </c>
      <c r="EI31" s="407">
        <v>0</v>
      </c>
      <c r="EJ31" s="407">
        <v>0</v>
      </c>
      <c r="EK31" s="407">
        <v>0</v>
      </c>
      <c r="EL31" s="407">
        <v>0</v>
      </c>
      <c r="EM31" s="407">
        <v>0</v>
      </c>
      <c r="EN31" s="407">
        <v>0</v>
      </c>
      <c r="EO31" s="407">
        <v>0</v>
      </c>
      <c r="EP31" s="407">
        <v>804.3496907289192</v>
      </c>
      <c r="EQ31" s="407">
        <v>0</v>
      </c>
      <c r="ER31" s="407">
        <v>0</v>
      </c>
      <c r="ES31" s="407">
        <v>0</v>
      </c>
      <c r="ET31" s="407">
        <v>0</v>
      </c>
      <c r="EU31" s="407">
        <v>0</v>
      </c>
      <c r="EV31" s="407">
        <v>246</v>
      </c>
      <c r="EW31" s="407">
        <v>0</v>
      </c>
      <c r="EX31" s="407">
        <v>0</v>
      </c>
      <c r="EY31" s="407">
        <v>0</v>
      </c>
      <c r="EZ31" s="407"/>
      <c r="FA31" s="407">
        <v>0</v>
      </c>
      <c r="FB31" s="407"/>
      <c r="FC31" s="407"/>
      <c r="FD31" s="407"/>
      <c r="FE31" s="407"/>
      <c r="FF31" s="407">
        <v>0</v>
      </c>
      <c r="FG31" s="407">
        <v>0</v>
      </c>
      <c r="FH31" s="407">
        <v>0</v>
      </c>
      <c r="FI31" s="407">
        <v>0</v>
      </c>
    </row>
    <row r="32" spans="1:165" customFormat="1">
      <c r="A32" s="407">
        <v>30</v>
      </c>
      <c r="B32" s="407" t="s">
        <v>2309</v>
      </c>
      <c r="C32" s="407" t="s">
        <v>2314</v>
      </c>
      <c r="D32" s="407" t="s">
        <v>650</v>
      </c>
      <c r="E32" s="407" t="s">
        <v>1026</v>
      </c>
      <c r="F32" s="407" t="s">
        <v>97</v>
      </c>
      <c r="G32" s="407" t="s">
        <v>97</v>
      </c>
      <c r="H32" s="407" t="s">
        <v>97</v>
      </c>
      <c r="I32" s="407" t="s">
        <v>1025</v>
      </c>
      <c r="J32" s="407" t="s">
        <v>2307</v>
      </c>
      <c r="K32" s="818">
        <v>44378</v>
      </c>
      <c r="L32" s="407">
        <v>0</v>
      </c>
      <c r="M32" s="407">
        <v>0</v>
      </c>
      <c r="N32" s="407">
        <v>8.6999999999999994E-2</v>
      </c>
      <c r="O32" s="407">
        <v>8.3519999999999997E-2</v>
      </c>
      <c r="P32" s="407">
        <v>8.6999999999999994E-2</v>
      </c>
      <c r="Q32" s="407">
        <v>8.3519999999999997E-2</v>
      </c>
      <c r="R32" s="407"/>
      <c r="S32" s="407">
        <v>2810.7</v>
      </c>
      <c r="T32" s="407">
        <v>159.41</v>
      </c>
      <c r="U32" s="407"/>
      <c r="V32" s="407">
        <v>258.39956999999998</v>
      </c>
      <c r="W32" s="407">
        <v>258.39956999999998</v>
      </c>
      <c r="X32" s="407">
        <v>164.57702999999998</v>
      </c>
      <c r="Y32" s="407">
        <v>0</v>
      </c>
      <c r="Z32" s="407">
        <v>4.6905282701852045</v>
      </c>
      <c r="AA32" s="407">
        <v>0</v>
      </c>
      <c r="AB32" s="407">
        <v>0</v>
      </c>
      <c r="AC32" s="407">
        <v>0</v>
      </c>
      <c r="AD32" s="407">
        <v>53.114856624641419</v>
      </c>
      <c r="AE32" s="407">
        <v>183.12533465591088</v>
      </c>
      <c r="AF32" s="407">
        <v>13.418072354040481</v>
      </c>
      <c r="AG32" s="407">
        <v>0.45081200971563179</v>
      </c>
      <c r="AH32" s="407">
        <v>0</v>
      </c>
      <c r="AI32" s="407">
        <v>0</v>
      </c>
      <c r="AJ32" s="407">
        <v>0</v>
      </c>
      <c r="AK32" s="407">
        <v>0</v>
      </c>
      <c r="AL32" s="407">
        <v>0.83311681551456529</v>
      </c>
      <c r="AM32" s="407"/>
      <c r="AN32" s="407">
        <v>9.3414804391547424E-2</v>
      </c>
      <c r="AO32" s="407">
        <v>0</v>
      </c>
      <c r="AP32" s="407">
        <v>0</v>
      </c>
      <c r="AQ32" s="407">
        <v>0</v>
      </c>
      <c r="AR32" s="407">
        <v>0</v>
      </c>
      <c r="AS32" s="407">
        <v>0</v>
      </c>
      <c r="AT32" s="407">
        <v>0</v>
      </c>
      <c r="AU32" s="407">
        <v>0</v>
      </c>
      <c r="AV32" s="407">
        <v>0</v>
      </c>
      <c r="AW32" s="407">
        <v>0</v>
      </c>
      <c r="AX32" s="407">
        <v>0</v>
      </c>
      <c r="AY32" s="407">
        <v>0</v>
      </c>
      <c r="AZ32" s="407">
        <v>0</v>
      </c>
      <c r="BA32" s="407"/>
      <c r="BB32" s="407">
        <v>0</v>
      </c>
      <c r="BC32" s="407">
        <v>0</v>
      </c>
      <c r="BD32" s="407">
        <v>0</v>
      </c>
      <c r="BE32" s="407">
        <v>0</v>
      </c>
      <c r="BF32" s="407">
        <v>0</v>
      </c>
      <c r="BG32" s="407">
        <v>0.45151906922776519</v>
      </c>
      <c r="BH32" s="407">
        <v>0</v>
      </c>
      <c r="BI32" s="407">
        <v>0</v>
      </c>
      <c r="BJ32" s="407">
        <v>0</v>
      </c>
      <c r="BK32" s="407">
        <v>0</v>
      </c>
      <c r="BL32" s="407">
        <v>0</v>
      </c>
      <c r="BM32" s="407"/>
      <c r="BN32" s="407"/>
      <c r="BO32" s="407"/>
      <c r="BP32" s="407"/>
      <c r="BQ32" s="407"/>
      <c r="BR32" s="407">
        <v>6.5830811999999943</v>
      </c>
      <c r="BS32" s="407"/>
      <c r="BT32" s="407"/>
      <c r="BU32" s="407"/>
      <c r="BV32" s="407">
        <v>13.869591423268247</v>
      </c>
      <c r="BW32" s="407"/>
      <c r="BX32" s="407"/>
      <c r="BY32" s="407"/>
      <c r="BZ32" s="407"/>
      <c r="CA32" s="407"/>
      <c r="CB32" s="407"/>
      <c r="CC32" s="407"/>
      <c r="CD32" s="407"/>
      <c r="CE32" s="407"/>
      <c r="CF32" s="407"/>
      <c r="CG32" s="407"/>
      <c r="CH32" s="407"/>
      <c r="CI32" s="407">
        <v>151.33519999999999</v>
      </c>
      <c r="CJ32" s="407">
        <v>-96.758387199999959</v>
      </c>
      <c r="CK32" s="407"/>
      <c r="CL32" s="407"/>
      <c r="CM32" s="407"/>
      <c r="CN32" s="407"/>
      <c r="CO32" s="407">
        <v>-96.212429999999983</v>
      </c>
      <c r="CP32" s="407">
        <v>2.3898899999999998</v>
      </c>
      <c r="CQ32" s="407">
        <v>31</v>
      </c>
      <c r="CR32" s="407">
        <v>-0.28123593855988815</v>
      </c>
      <c r="CS32" s="407">
        <v>0</v>
      </c>
      <c r="CT32" s="407">
        <v>0</v>
      </c>
      <c r="CU32" s="407">
        <v>0</v>
      </c>
      <c r="CV32" s="407">
        <v>0</v>
      </c>
      <c r="CW32" s="407">
        <v>0</v>
      </c>
      <c r="CX32" s="407">
        <v>0</v>
      </c>
      <c r="CY32" s="407">
        <v>0</v>
      </c>
      <c r="CZ32" s="407">
        <v>2.3993033904057199</v>
      </c>
      <c r="DA32" s="407">
        <v>0</v>
      </c>
      <c r="DB32" s="407">
        <v>0</v>
      </c>
      <c r="DC32" s="407">
        <v>2.6604413948529473</v>
      </c>
      <c r="DD32" s="407">
        <v>0</v>
      </c>
      <c r="DE32" s="407">
        <v>0</v>
      </c>
      <c r="DF32" s="407">
        <v>0</v>
      </c>
      <c r="DG32" s="407">
        <v>8.9524038225751723E-2</v>
      </c>
      <c r="DH32" s="407">
        <v>0</v>
      </c>
      <c r="DI32" s="407">
        <v>-0.32853385326754747</v>
      </c>
      <c r="DJ32" s="407"/>
      <c r="DK32" s="407">
        <v>0</v>
      </c>
      <c r="DL32" s="407">
        <v>0</v>
      </c>
      <c r="DM32" s="407">
        <v>0</v>
      </c>
      <c r="DN32" s="407">
        <v>0</v>
      </c>
      <c r="DO32" s="407">
        <v>-5.0829604045772414E-2</v>
      </c>
      <c r="DP32" s="407">
        <v>-5.9521658135315708E-3</v>
      </c>
      <c r="DQ32" s="407">
        <v>0</v>
      </c>
      <c r="DR32" s="407">
        <v>-5.0451891389174452</v>
      </c>
      <c r="DS32" s="407"/>
      <c r="DT32" s="407"/>
      <c r="DU32" s="407"/>
      <c r="DV32" s="407">
        <v>183.12533465591088</v>
      </c>
      <c r="DW32" s="407">
        <v>0</v>
      </c>
      <c r="DX32" s="407">
        <v>0</v>
      </c>
      <c r="DY32" s="407">
        <v>-96.212429999999983</v>
      </c>
      <c r="DZ32" s="407">
        <v>2.3898900000000012</v>
      </c>
      <c r="EA32" s="407">
        <v>0</v>
      </c>
      <c r="EB32" s="407">
        <v>0</v>
      </c>
      <c r="EC32" s="407">
        <v>-93.540846273417955</v>
      </c>
      <c r="ED32" s="407">
        <v>0</v>
      </c>
      <c r="EE32" s="407">
        <v>0</v>
      </c>
      <c r="EF32" s="407">
        <v>0</v>
      </c>
      <c r="EG32" s="407">
        <v>0</v>
      </c>
      <c r="EH32" s="407">
        <v>0</v>
      </c>
      <c r="EI32" s="407">
        <v>0</v>
      </c>
      <c r="EJ32" s="407">
        <v>0</v>
      </c>
      <c r="EK32" s="407">
        <v>0</v>
      </c>
      <c r="EL32" s="407">
        <v>0</v>
      </c>
      <c r="EM32" s="407">
        <v>0</v>
      </c>
      <c r="EN32" s="407">
        <v>0</v>
      </c>
      <c r="EO32" s="407">
        <v>0</v>
      </c>
      <c r="EP32" s="407">
        <v>2.2218193768547105</v>
      </c>
      <c r="EQ32" s="407">
        <v>0</v>
      </c>
      <c r="ER32" s="407">
        <v>0</v>
      </c>
      <c r="ES32" s="407">
        <v>0</v>
      </c>
      <c r="ET32" s="407">
        <v>0</v>
      </c>
      <c r="EU32" s="407">
        <v>0</v>
      </c>
      <c r="EV32" s="407">
        <v>246</v>
      </c>
      <c r="EW32" s="407">
        <v>0</v>
      </c>
      <c r="EX32" s="407">
        <v>0</v>
      </c>
      <c r="EY32" s="407">
        <v>0</v>
      </c>
      <c r="EZ32" s="407"/>
      <c r="FA32" s="407">
        <v>0</v>
      </c>
      <c r="FB32" s="407"/>
      <c r="FC32" s="407"/>
      <c r="FD32" s="407"/>
      <c r="FE32" s="407"/>
      <c r="FF32" s="407">
        <v>0</v>
      </c>
      <c r="FG32" s="407">
        <v>0</v>
      </c>
      <c r="FH32" s="407">
        <v>0</v>
      </c>
      <c r="FI32" s="407">
        <v>0</v>
      </c>
    </row>
    <row r="33" spans="1:165" customFormat="1">
      <c r="A33" s="407">
        <v>31</v>
      </c>
      <c r="B33" s="407" t="s">
        <v>1090</v>
      </c>
      <c r="C33" s="407" t="s">
        <v>2314</v>
      </c>
      <c r="D33" s="407" t="s">
        <v>650</v>
      </c>
      <c r="E33" s="407" t="s">
        <v>1026</v>
      </c>
      <c r="F33" s="407" t="s">
        <v>97</v>
      </c>
      <c r="G33" s="407" t="s">
        <v>97</v>
      </c>
      <c r="H33" s="407" t="s">
        <v>97</v>
      </c>
      <c r="I33" s="407" t="s">
        <v>2290</v>
      </c>
      <c r="J33" s="407" t="s">
        <v>2307</v>
      </c>
      <c r="K33" s="818">
        <v>44378</v>
      </c>
      <c r="L33" s="407">
        <v>0</v>
      </c>
      <c r="M33" s="407">
        <v>0</v>
      </c>
      <c r="N33" s="407">
        <v>588.40899999999999</v>
      </c>
      <c r="O33" s="407">
        <v>564.87263999999993</v>
      </c>
      <c r="P33" s="407">
        <v>588.40899999999999</v>
      </c>
      <c r="Q33" s="407">
        <v>564.87263999999993</v>
      </c>
      <c r="R33" s="407"/>
      <c r="S33" s="407">
        <v>95.29</v>
      </c>
      <c r="T33" s="407">
        <v>159.41</v>
      </c>
      <c r="U33" s="407"/>
      <c r="V33" s="407">
        <v>149867.77230000001</v>
      </c>
      <c r="W33" s="407">
        <v>149867.77230000001</v>
      </c>
      <c r="X33" s="407">
        <v>162936.33619</v>
      </c>
      <c r="Y33" s="407">
        <v>0</v>
      </c>
      <c r="Z33" s="407">
        <v>31723.552286567883</v>
      </c>
      <c r="AA33" s="407">
        <v>0</v>
      </c>
      <c r="AB33" s="407">
        <v>0</v>
      </c>
      <c r="AC33" s="407">
        <v>0</v>
      </c>
      <c r="AD33" s="407">
        <v>0</v>
      </c>
      <c r="AE33" s="407">
        <v>0</v>
      </c>
      <c r="AF33" s="407">
        <v>90750.741790443746</v>
      </c>
      <c r="AG33" s="407">
        <v>3048.9867106294851</v>
      </c>
      <c r="AH33" s="407">
        <v>0</v>
      </c>
      <c r="AI33" s="407">
        <v>0</v>
      </c>
      <c r="AJ33" s="407">
        <v>0</v>
      </c>
      <c r="AK33" s="407">
        <v>0</v>
      </c>
      <c r="AL33" s="407">
        <v>5634.6371528748259</v>
      </c>
      <c r="AM33" s="407"/>
      <c r="AN33" s="407">
        <v>631.79438663478197</v>
      </c>
      <c r="AO33" s="407">
        <v>0</v>
      </c>
      <c r="AP33" s="407">
        <v>0</v>
      </c>
      <c r="AQ33" s="407">
        <v>0</v>
      </c>
      <c r="AR33" s="407">
        <v>0</v>
      </c>
      <c r="AS33" s="407">
        <v>0</v>
      </c>
      <c r="AT33" s="407">
        <v>0</v>
      </c>
      <c r="AU33" s="407">
        <v>0</v>
      </c>
      <c r="AV33" s="407">
        <v>0</v>
      </c>
      <c r="AW33" s="407">
        <v>0</v>
      </c>
      <c r="AX33" s="407">
        <v>0</v>
      </c>
      <c r="AY33" s="407">
        <v>0</v>
      </c>
      <c r="AZ33" s="407">
        <v>0</v>
      </c>
      <c r="BA33" s="407"/>
      <c r="BB33" s="407">
        <v>0</v>
      </c>
      <c r="BC33" s="407">
        <v>0</v>
      </c>
      <c r="BD33" s="407">
        <v>0</v>
      </c>
      <c r="BE33" s="407">
        <v>0</v>
      </c>
      <c r="BF33" s="407">
        <v>0</v>
      </c>
      <c r="BG33" s="407">
        <v>3053.7687816694265</v>
      </c>
      <c r="BH33" s="407">
        <v>0</v>
      </c>
      <c r="BI33" s="407">
        <v>0</v>
      </c>
      <c r="BJ33" s="407">
        <v>0</v>
      </c>
      <c r="BK33" s="407">
        <v>0</v>
      </c>
      <c r="BL33" s="407">
        <v>0</v>
      </c>
      <c r="BM33" s="407"/>
      <c r="BN33" s="407"/>
      <c r="BO33" s="407"/>
      <c r="BP33" s="407"/>
      <c r="BQ33" s="407"/>
      <c r="BR33" s="407">
        <v>6517.4534476000154</v>
      </c>
      <c r="BS33" s="407"/>
      <c r="BT33" s="407"/>
      <c r="BU33" s="407"/>
      <c r="BV33" s="407">
        <v>93804.510572113169</v>
      </c>
      <c r="BW33" s="407"/>
      <c r="BX33" s="407"/>
      <c r="BY33" s="407"/>
      <c r="BZ33" s="407"/>
      <c r="CA33" s="407"/>
      <c r="CB33" s="407"/>
      <c r="CC33" s="407"/>
      <c r="CD33" s="407"/>
      <c r="CE33" s="407"/>
      <c r="CF33" s="407"/>
      <c r="CG33" s="407"/>
      <c r="CH33" s="407"/>
      <c r="CI33" s="407">
        <v>156418.15169999999</v>
      </c>
      <c r="CJ33" s="407">
        <v>12545.06029199998</v>
      </c>
      <c r="CK33" s="407"/>
      <c r="CL33" s="407"/>
      <c r="CM33" s="407"/>
      <c r="CN33" s="407"/>
      <c r="CO33" s="407">
        <v>-3095.0313400000032</v>
      </c>
      <c r="CP33" s="407">
        <v>16163.595229999999</v>
      </c>
      <c r="CQ33" s="407">
        <v>31</v>
      </c>
      <c r="CR33" s="407">
        <v>13066.70405247173</v>
      </c>
      <c r="CS33" s="407">
        <v>0</v>
      </c>
      <c r="CT33" s="407">
        <v>0</v>
      </c>
      <c r="CU33" s="407">
        <v>0</v>
      </c>
      <c r="CV33" s="407">
        <v>0</v>
      </c>
      <c r="CW33" s="407">
        <v>0</v>
      </c>
      <c r="CX33" s="407">
        <v>0</v>
      </c>
      <c r="CY33" s="407">
        <v>0</v>
      </c>
      <c r="CZ33" s="407">
        <v>0</v>
      </c>
      <c r="DA33" s="407">
        <v>0</v>
      </c>
      <c r="DB33" s="407">
        <v>0</v>
      </c>
      <c r="DC33" s="407">
        <v>17993.421387402603</v>
      </c>
      <c r="DD33" s="407">
        <v>0</v>
      </c>
      <c r="DE33" s="407">
        <v>0</v>
      </c>
      <c r="DF33" s="407">
        <v>0</v>
      </c>
      <c r="DG33" s="407">
        <v>605.47988285490055</v>
      </c>
      <c r="DH33" s="407">
        <v>0</v>
      </c>
      <c r="DI33" s="407">
        <v>-2221.9801846816554</v>
      </c>
      <c r="DJ33" s="407"/>
      <c r="DK33" s="407">
        <v>0</v>
      </c>
      <c r="DL33" s="407">
        <v>0</v>
      </c>
      <c r="DM33" s="407">
        <v>0</v>
      </c>
      <c r="DN33" s="407">
        <v>0</v>
      </c>
      <c r="DO33" s="407">
        <v>-343.77697111458474</v>
      </c>
      <c r="DP33" s="407">
        <v>-40.256413036486151</v>
      </c>
      <c r="DQ33" s="407">
        <v>0</v>
      </c>
      <c r="DR33" s="407">
        <v>-2926.1836489530647</v>
      </c>
      <c r="DS33" s="407"/>
      <c r="DT33" s="407"/>
      <c r="DU33" s="407"/>
      <c r="DV33" s="407">
        <v>0</v>
      </c>
      <c r="DW33" s="407">
        <v>0</v>
      </c>
      <c r="DX33" s="407">
        <v>0</v>
      </c>
      <c r="DY33" s="407">
        <v>-3095.0313400000086</v>
      </c>
      <c r="DZ33" s="407">
        <v>16163.595230000006</v>
      </c>
      <c r="EA33" s="407">
        <v>0</v>
      </c>
      <c r="EB33" s="407">
        <v>0</v>
      </c>
      <c r="EC33" s="407">
        <v>0</v>
      </c>
      <c r="ED33" s="407">
        <v>0</v>
      </c>
      <c r="EE33" s="407">
        <v>0</v>
      </c>
      <c r="EF33" s="407">
        <v>0</v>
      </c>
      <c r="EG33" s="407">
        <v>0</v>
      </c>
      <c r="EH33" s="407">
        <v>0</v>
      </c>
      <c r="EI33" s="407">
        <v>0</v>
      </c>
      <c r="EJ33" s="407">
        <v>0</v>
      </c>
      <c r="EK33" s="407">
        <v>0</v>
      </c>
      <c r="EL33" s="407">
        <v>0</v>
      </c>
      <c r="EM33" s="407">
        <v>0</v>
      </c>
      <c r="EN33" s="407">
        <v>0</v>
      </c>
      <c r="EO33" s="407">
        <v>0</v>
      </c>
      <c r="EP33" s="407">
        <v>15026.879513973603</v>
      </c>
      <c r="EQ33" s="407">
        <v>0</v>
      </c>
      <c r="ER33" s="407">
        <v>0</v>
      </c>
      <c r="ES33" s="407">
        <v>0</v>
      </c>
      <c r="ET33" s="407">
        <v>0</v>
      </c>
      <c r="EU33" s="407">
        <v>0</v>
      </c>
      <c r="EV33" s="407">
        <v>246</v>
      </c>
      <c r="EW33" s="407">
        <v>0</v>
      </c>
      <c r="EX33" s="407">
        <v>0</v>
      </c>
      <c r="EY33" s="407">
        <v>0</v>
      </c>
      <c r="EZ33" s="407"/>
      <c r="FA33" s="407">
        <v>0</v>
      </c>
      <c r="FB33" s="407"/>
      <c r="FC33" s="407"/>
      <c r="FD33" s="407"/>
      <c r="FE33" s="407"/>
      <c r="FF33" s="407">
        <v>0</v>
      </c>
      <c r="FG33" s="407">
        <v>0</v>
      </c>
      <c r="FH33" s="407">
        <v>0</v>
      </c>
      <c r="FI33" s="407">
        <v>0</v>
      </c>
    </row>
    <row r="34" spans="1:165" customFormat="1">
      <c r="A34" s="407">
        <v>32</v>
      </c>
      <c r="B34" s="407" t="s">
        <v>2309</v>
      </c>
      <c r="C34" s="407" t="s">
        <v>2314</v>
      </c>
      <c r="D34" s="407" t="s">
        <v>650</v>
      </c>
      <c r="E34" s="407" t="s">
        <v>1026</v>
      </c>
      <c r="F34" s="407" t="s">
        <v>97</v>
      </c>
      <c r="G34" s="407" t="s">
        <v>97</v>
      </c>
      <c r="H34" s="407" t="s">
        <v>97</v>
      </c>
      <c r="I34" s="407" t="s">
        <v>2290</v>
      </c>
      <c r="J34" s="407" t="s">
        <v>2307</v>
      </c>
      <c r="K34" s="818">
        <v>44378</v>
      </c>
      <c r="L34" s="407">
        <v>0</v>
      </c>
      <c r="M34" s="407">
        <v>0</v>
      </c>
      <c r="N34" s="407">
        <v>17.452000000000002</v>
      </c>
      <c r="O34" s="407">
        <v>16.753920000000001</v>
      </c>
      <c r="P34" s="407">
        <v>17.452000000000002</v>
      </c>
      <c r="Q34" s="407">
        <v>16.753920000000001</v>
      </c>
      <c r="R34" s="407"/>
      <c r="S34" s="407">
        <v>95.29</v>
      </c>
      <c r="T34" s="407">
        <v>159.41</v>
      </c>
      <c r="U34" s="407"/>
      <c r="V34" s="407">
        <v>4445.0244000000002</v>
      </c>
      <c r="W34" s="407">
        <v>4445.0244000000002</v>
      </c>
      <c r="X34" s="407">
        <v>4832.6333200000008</v>
      </c>
      <c r="Y34" s="407">
        <v>0</v>
      </c>
      <c r="Z34" s="407">
        <v>940.90918817554245</v>
      </c>
      <c r="AA34" s="407">
        <v>0</v>
      </c>
      <c r="AB34" s="407">
        <v>0</v>
      </c>
      <c r="AC34" s="407">
        <v>0</v>
      </c>
      <c r="AD34" s="407">
        <v>0</v>
      </c>
      <c r="AE34" s="407">
        <v>0</v>
      </c>
      <c r="AF34" s="407">
        <v>2691.6344680771786</v>
      </c>
      <c r="AG34" s="407">
        <v>90.431852799508121</v>
      </c>
      <c r="AH34" s="407">
        <v>0</v>
      </c>
      <c r="AI34" s="407">
        <v>0</v>
      </c>
      <c r="AJ34" s="407">
        <v>0</v>
      </c>
      <c r="AK34" s="407">
        <v>0</v>
      </c>
      <c r="AL34" s="407">
        <v>167.12131798115169</v>
      </c>
      <c r="AM34" s="407"/>
      <c r="AN34" s="407">
        <v>18.738795014267655</v>
      </c>
      <c r="AO34" s="407">
        <v>0</v>
      </c>
      <c r="AP34" s="407">
        <v>0</v>
      </c>
      <c r="AQ34" s="407">
        <v>0</v>
      </c>
      <c r="AR34" s="407">
        <v>0</v>
      </c>
      <c r="AS34" s="407">
        <v>0</v>
      </c>
      <c r="AT34" s="407">
        <v>0</v>
      </c>
      <c r="AU34" s="407">
        <v>0</v>
      </c>
      <c r="AV34" s="407">
        <v>0</v>
      </c>
      <c r="AW34" s="407">
        <v>0</v>
      </c>
      <c r="AX34" s="407">
        <v>0</v>
      </c>
      <c r="AY34" s="407">
        <v>0</v>
      </c>
      <c r="AZ34" s="407">
        <v>0</v>
      </c>
      <c r="BA34" s="407"/>
      <c r="BB34" s="407">
        <v>0</v>
      </c>
      <c r="BC34" s="407">
        <v>0</v>
      </c>
      <c r="BD34" s="407">
        <v>0</v>
      </c>
      <c r="BE34" s="407">
        <v>0</v>
      </c>
      <c r="BF34" s="407">
        <v>0</v>
      </c>
      <c r="BG34" s="407">
        <v>90.573687312217928</v>
      </c>
      <c r="BH34" s="407">
        <v>0</v>
      </c>
      <c r="BI34" s="407">
        <v>0</v>
      </c>
      <c r="BJ34" s="407">
        <v>0</v>
      </c>
      <c r="BK34" s="407">
        <v>0</v>
      </c>
      <c r="BL34" s="407">
        <v>0</v>
      </c>
      <c r="BM34" s="407"/>
      <c r="BN34" s="407"/>
      <c r="BO34" s="407"/>
      <c r="BP34" s="407"/>
      <c r="BQ34" s="407"/>
      <c r="BR34" s="407">
        <v>193.30533280000026</v>
      </c>
      <c r="BS34" s="407"/>
      <c r="BT34" s="407"/>
      <c r="BU34" s="407"/>
      <c r="BV34" s="407">
        <v>2782.2081553893963</v>
      </c>
      <c r="BW34" s="407"/>
      <c r="BX34" s="407"/>
      <c r="BY34" s="407"/>
      <c r="BZ34" s="407"/>
      <c r="CA34" s="407"/>
      <c r="CB34" s="407"/>
      <c r="CC34" s="407"/>
      <c r="CD34" s="407"/>
      <c r="CE34" s="407"/>
      <c r="CF34" s="407"/>
      <c r="CG34" s="407"/>
      <c r="CH34" s="407"/>
      <c r="CI34" s="407">
        <v>4638.2425000000003</v>
      </c>
      <c r="CJ34" s="407">
        <v>370.98907599999984</v>
      </c>
      <c r="CK34" s="407"/>
      <c r="CL34" s="407"/>
      <c r="CM34" s="407"/>
      <c r="CN34" s="407"/>
      <c r="CO34" s="407">
        <v>-91.797520000000105</v>
      </c>
      <c r="CP34" s="407">
        <v>479.40644000000003</v>
      </c>
      <c r="CQ34" s="407">
        <v>31</v>
      </c>
      <c r="CR34" s="407">
        <v>387.55375788564834</v>
      </c>
      <c r="CS34" s="407">
        <v>0</v>
      </c>
      <c r="CT34" s="407">
        <v>0</v>
      </c>
      <c r="CU34" s="407">
        <v>0</v>
      </c>
      <c r="CV34" s="407">
        <v>0</v>
      </c>
      <c r="CW34" s="407">
        <v>0</v>
      </c>
      <c r="CX34" s="407">
        <v>0</v>
      </c>
      <c r="CY34" s="407">
        <v>0</v>
      </c>
      <c r="CZ34" s="407">
        <v>0</v>
      </c>
      <c r="DA34" s="407">
        <v>0</v>
      </c>
      <c r="DB34" s="407">
        <v>0</v>
      </c>
      <c r="DC34" s="407">
        <v>533.67842785027142</v>
      </c>
      <c r="DD34" s="407">
        <v>0</v>
      </c>
      <c r="DE34" s="407">
        <v>0</v>
      </c>
      <c r="DF34" s="407">
        <v>0</v>
      </c>
      <c r="DG34" s="407">
        <v>17.958316265699068</v>
      </c>
      <c r="DH34" s="407">
        <v>0</v>
      </c>
      <c r="DI34" s="407">
        <v>-65.903135715232565</v>
      </c>
      <c r="DJ34" s="407"/>
      <c r="DK34" s="407">
        <v>0</v>
      </c>
      <c r="DL34" s="407">
        <v>0</v>
      </c>
      <c r="DM34" s="407">
        <v>0</v>
      </c>
      <c r="DN34" s="407">
        <v>0</v>
      </c>
      <c r="DO34" s="407">
        <v>-10.196301721917479</v>
      </c>
      <c r="DP34" s="407">
        <v>-1.1939907790546336</v>
      </c>
      <c r="DQ34" s="407">
        <v>0</v>
      </c>
      <c r="DR34" s="407">
        <v>-86.789558014117546</v>
      </c>
      <c r="DS34" s="407"/>
      <c r="DT34" s="407"/>
      <c r="DU34" s="407"/>
      <c r="DV34" s="407">
        <v>0</v>
      </c>
      <c r="DW34" s="407">
        <v>0</v>
      </c>
      <c r="DX34" s="407">
        <v>0</v>
      </c>
      <c r="DY34" s="407">
        <v>-91.797520000000077</v>
      </c>
      <c r="DZ34" s="407">
        <v>479.4064400000002</v>
      </c>
      <c r="EA34" s="407">
        <v>0</v>
      </c>
      <c r="EB34" s="407">
        <v>0</v>
      </c>
      <c r="EC34" s="407">
        <v>0</v>
      </c>
      <c r="ED34" s="407">
        <v>0</v>
      </c>
      <c r="EE34" s="407">
        <v>0</v>
      </c>
      <c r="EF34" s="407">
        <v>0</v>
      </c>
      <c r="EG34" s="407">
        <v>0</v>
      </c>
      <c r="EH34" s="407">
        <v>0</v>
      </c>
      <c r="EI34" s="407">
        <v>0</v>
      </c>
      <c r="EJ34" s="407">
        <v>0</v>
      </c>
      <c r="EK34" s="407">
        <v>0</v>
      </c>
      <c r="EL34" s="407">
        <v>0</v>
      </c>
      <c r="EM34" s="407">
        <v>0</v>
      </c>
      <c r="EN34" s="407">
        <v>0</v>
      </c>
      <c r="EO34" s="407">
        <v>0</v>
      </c>
      <c r="EP34" s="407">
        <v>445.69185936630362</v>
      </c>
      <c r="EQ34" s="407">
        <v>0</v>
      </c>
      <c r="ER34" s="407">
        <v>0</v>
      </c>
      <c r="ES34" s="407">
        <v>0</v>
      </c>
      <c r="ET34" s="407">
        <v>0</v>
      </c>
      <c r="EU34" s="407">
        <v>0</v>
      </c>
      <c r="EV34" s="407">
        <v>246</v>
      </c>
      <c r="EW34" s="407">
        <v>0</v>
      </c>
      <c r="EX34" s="407">
        <v>0</v>
      </c>
      <c r="EY34" s="407">
        <v>0</v>
      </c>
      <c r="EZ34" s="407"/>
      <c r="FA34" s="407">
        <v>0</v>
      </c>
      <c r="FB34" s="407"/>
      <c r="FC34" s="407"/>
      <c r="FD34" s="407"/>
      <c r="FE34" s="407"/>
      <c r="FF34" s="407">
        <v>0</v>
      </c>
      <c r="FG34" s="407">
        <v>0</v>
      </c>
      <c r="FH34" s="407">
        <v>0</v>
      </c>
      <c r="FI34" s="407">
        <v>0</v>
      </c>
    </row>
    <row r="35" spans="1:165" customFormat="1">
      <c r="A35" s="407">
        <v>33</v>
      </c>
      <c r="B35" s="407" t="s">
        <v>1090</v>
      </c>
      <c r="C35" s="407" t="s">
        <v>2314</v>
      </c>
      <c r="D35" s="407" t="s">
        <v>650</v>
      </c>
      <c r="E35" s="407" t="s">
        <v>1026</v>
      </c>
      <c r="F35" s="407" t="s">
        <v>97</v>
      </c>
      <c r="G35" s="407" t="s">
        <v>97</v>
      </c>
      <c r="H35" s="407" t="s">
        <v>97</v>
      </c>
      <c r="I35" s="407" t="s">
        <v>97</v>
      </c>
      <c r="J35" s="407" t="s">
        <v>2307</v>
      </c>
      <c r="K35" s="818">
        <v>44378</v>
      </c>
      <c r="L35" s="407">
        <v>3537</v>
      </c>
      <c r="M35" s="407">
        <v>3395.52</v>
      </c>
      <c r="N35" s="407">
        <v>0</v>
      </c>
      <c r="O35" s="407">
        <v>0</v>
      </c>
      <c r="P35" s="407">
        <v>0</v>
      </c>
      <c r="Q35" s="407">
        <v>0</v>
      </c>
      <c r="R35" s="407">
        <v>43.29</v>
      </c>
      <c r="S35" s="407"/>
      <c r="T35" s="407"/>
      <c r="U35" s="407">
        <v>153116.73000000001</v>
      </c>
      <c r="V35" s="407"/>
      <c r="W35" s="407">
        <v>153116.73000000001</v>
      </c>
      <c r="X35" s="407">
        <v>118454.13</v>
      </c>
      <c r="Y35" s="407">
        <v>0</v>
      </c>
      <c r="Z35" s="407">
        <v>0</v>
      </c>
      <c r="AA35" s="407">
        <v>0</v>
      </c>
      <c r="AB35" s="407">
        <v>0</v>
      </c>
      <c r="AC35" s="407">
        <v>0</v>
      </c>
      <c r="AD35" s="407">
        <v>83699.522579395212</v>
      </c>
      <c r="AE35" s="407">
        <v>69428.43478816234</v>
      </c>
      <c r="AF35" s="407"/>
      <c r="AG35" s="407"/>
      <c r="AH35" s="407"/>
      <c r="AI35" s="407">
        <v>0</v>
      </c>
      <c r="AJ35" s="407">
        <v>0</v>
      </c>
      <c r="AK35" s="407">
        <v>0</v>
      </c>
      <c r="AL35" s="407">
        <v>0</v>
      </c>
      <c r="AM35" s="407"/>
      <c r="AN35" s="407">
        <v>0</v>
      </c>
      <c r="AO35" s="407">
        <v>0</v>
      </c>
      <c r="AP35" s="407">
        <v>0</v>
      </c>
      <c r="AQ35" s="407">
        <v>0</v>
      </c>
      <c r="AR35" s="407">
        <v>0</v>
      </c>
      <c r="AS35" s="407"/>
      <c r="AT35" s="407"/>
      <c r="AU35" s="407">
        <v>0</v>
      </c>
      <c r="AV35" s="407">
        <v>0</v>
      </c>
      <c r="AW35" s="407">
        <v>0</v>
      </c>
      <c r="AX35" s="407"/>
      <c r="AY35" s="407"/>
      <c r="AZ35" s="407">
        <v>0</v>
      </c>
      <c r="BA35" s="407"/>
      <c r="BB35" s="407">
        <v>0</v>
      </c>
      <c r="BC35" s="407">
        <v>0</v>
      </c>
      <c r="BD35" s="407">
        <v>0</v>
      </c>
      <c r="BE35" s="407">
        <v>0</v>
      </c>
      <c r="BF35" s="407"/>
      <c r="BG35" s="407">
        <v>0</v>
      </c>
      <c r="BH35" s="407">
        <v>0</v>
      </c>
      <c r="BI35" s="407">
        <v>1155.1400000000001</v>
      </c>
      <c r="BJ35" s="407">
        <v>5328.9</v>
      </c>
      <c r="BK35" s="407">
        <v>132.9</v>
      </c>
      <c r="BL35" s="407">
        <v>22</v>
      </c>
      <c r="BM35" s="407"/>
      <c r="BN35" s="407"/>
      <c r="BO35" s="407"/>
      <c r="BP35" s="407"/>
      <c r="BQ35" s="407"/>
      <c r="BR35" s="407">
        <v>4738.1652000000013</v>
      </c>
      <c r="BS35" s="407"/>
      <c r="BT35" s="407"/>
      <c r="BU35" s="407"/>
      <c r="BV35" s="407">
        <v>0</v>
      </c>
      <c r="BW35" s="407"/>
      <c r="BX35" s="407"/>
      <c r="BY35" s="407"/>
      <c r="BZ35" s="407"/>
      <c r="CA35" s="407"/>
      <c r="CB35" s="407"/>
      <c r="CC35" s="407"/>
      <c r="CD35" s="407"/>
      <c r="CE35" s="407"/>
      <c r="CF35" s="407"/>
      <c r="CG35" s="407"/>
      <c r="CH35" s="407"/>
      <c r="CI35" s="407">
        <v>113715.9648</v>
      </c>
      <c r="CJ35" s="407">
        <v>-33276.126000000033</v>
      </c>
      <c r="CK35" s="407"/>
      <c r="CL35" s="407"/>
      <c r="CM35" s="407"/>
      <c r="CN35" s="407"/>
      <c r="CO35" s="407">
        <v>-34662.599999999991</v>
      </c>
      <c r="CP35" s="407">
        <v>0</v>
      </c>
      <c r="CQ35" s="407">
        <v>31</v>
      </c>
      <c r="CR35" s="407">
        <v>791.08593362425745</v>
      </c>
      <c r="CS35" s="407">
        <v>0</v>
      </c>
      <c r="CT35" s="407">
        <v>0</v>
      </c>
      <c r="CU35" s="407">
        <v>0</v>
      </c>
      <c r="CV35" s="407">
        <v>0</v>
      </c>
      <c r="CW35" s="407"/>
      <c r="CX35" s="407"/>
      <c r="CY35" s="407"/>
      <c r="CZ35" s="407">
        <v>3780.8733951643953</v>
      </c>
      <c r="DA35" s="407">
        <v>0</v>
      </c>
      <c r="DB35" s="407">
        <v>0</v>
      </c>
      <c r="DC35" s="407"/>
      <c r="DD35" s="407"/>
      <c r="DE35" s="407">
        <v>0</v>
      </c>
      <c r="DF35" s="407">
        <v>0</v>
      </c>
      <c r="DG35" s="407">
        <v>0</v>
      </c>
      <c r="DH35" s="407">
        <v>0</v>
      </c>
      <c r="DI35" s="407">
        <v>0</v>
      </c>
      <c r="DJ35" s="407"/>
      <c r="DK35" s="407">
        <v>0</v>
      </c>
      <c r="DL35" s="407">
        <v>0</v>
      </c>
      <c r="DM35" s="407"/>
      <c r="DN35" s="407">
        <v>0</v>
      </c>
      <c r="DO35" s="407">
        <v>0</v>
      </c>
      <c r="DP35" s="407">
        <v>0</v>
      </c>
      <c r="DQ35" s="407">
        <v>0</v>
      </c>
      <c r="DR35" s="407">
        <v>-2989.7874615401388</v>
      </c>
      <c r="DS35" s="407"/>
      <c r="DT35" s="407"/>
      <c r="DU35" s="407">
        <v>69428.43478816234</v>
      </c>
      <c r="DV35" s="407"/>
      <c r="DW35" s="407">
        <v>0</v>
      </c>
      <c r="DX35" s="407">
        <v>0</v>
      </c>
      <c r="DY35" s="407">
        <v>-34662.600000000006</v>
      </c>
      <c r="DZ35" s="407"/>
      <c r="EA35" s="407">
        <v>0</v>
      </c>
      <c r="EB35" s="407"/>
      <c r="EC35" s="407">
        <v>-35464.205745897525</v>
      </c>
      <c r="ED35" s="407"/>
      <c r="EE35" s="407">
        <v>0</v>
      </c>
      <c r="EF35" s="407">
        <v>0</v>
      </c>
      <c r="EG35" s="407"/>
      <c r="EH35" s="407">
        <v>0</v>
      </c>
      <c r="EI35" s="407">
        <v>0</v>
      </c>
      <c r="EJ35" s="407">
        <v>0</v>
      </c>
      <c r="EK35" s="407">
        <v>0</v>
      </c>
      <c r="EL35" s="407">
        <v>0</v>
      </c>
      <c r="EM35" s="407"/>
      <c r="EN35" s="407"/>
      <c r="EO35" s="407">
        <v>0</v>
      </c>
      <c r="EP35" s="407">
        <v>0</v>
      </c>
      <c r="EQ35" s="407"/>
      <c r="ER35" s="407">
        <v>0</v>
      </c>
      <c r="ES35" s="407"/>
      <c r="ET35" s="407">
        <v>0</v>
      </c>
      <c r="EU35" s="407"/>
      <c r="EV35" s="407">
        <v>246</v>
      </c>
      <c r="EW35" s="407"/>
      <c r="EX35" s="407"/>
      <c r="EY35" s="407"/>
      <c r="EZ35" s="407"/>
      <c r="FA35" s="407">
        <v>0</v>
      </c>
      <c r="FB35" s="407"/>
      <c r="FC35" s="407"/>
      <c r="FD35" s="407"/>
      <c r="FE35" s="407"/>
      <c r="FF35" s="407">
        <v>0</v>
      </c>
      <c r="FG35" s="407">
        <v>0</v>
      </c>
      <c r="FH35" s="407">
        <v>0</v>
      </c>
      <c r="FI35" s="407">
        <v>0</v>
      </c>
    </row>
    <row r="36" spans="1:165" customFormat="1">
      <c r="A36" s="407">
        <v>34</v>
      </c>
      <c r="B36" s="407" t="s">
        <v>2309</v>
      </c>
      <c r="C36" s="407" t="s">
        <v>2314</v>
      </c>
      <c r="D36" s="407" t="s">
        <v>650</v>
      </c>
      <c r="E36" s="407" t="s">
        <v>1026</v>
      </c>
      <c r="F36" s="407" t="s">
        <v>97</v>
      </c>
      <c r="G36" s="407" t="s">
        <v>97</v>
      </c>
      <c r="H36" s="407" t="s">
        <v>97</v>
      </c>
      <c r="I36" s="407" t="s">
        <v>97</v>
      </c>
      <c r="J36" s="407" t="s">
        <v>2307</v>
      </c>
      <c r="K36" s="818">
        <v>44378</v>
      </c>
      <c r="L36" s="407">
        <v>215</v>
      </c>
      <c r="M36" s="407">
        <v>206.4</v>
      </c>
      <c r="N36" s="407">
        <v>0</v>
      </c>
      <c r="O36" s="407">
        <v>0</v>
      </c>
      <c r="P36" s="407">
        <v>0</v>
      </c>
      <c r="Q36" s="407">
        <v>0</v>
      </c>
      <c r="R36" s="407">
        <v>43.29</v>
      </c>
      <c r="S36" s="407"/>
      <c r="T36" s="407"/>
      <c r="U36" s="407">
        <v>9307.35</v>
      </c>
      <c r="V36" s="407"/>
      <c r="W36" s="407">
        <v>9307.35</v>
      </c>
      <c r="X36" s="407">
        <v>7200.35</v>
      </c>
      <c r="Y36" s="407">
        <v>0</v>
      </c>
      <c r="Z36" s="407">
        <v>0</v>
      </c>
      <c r="AA36" s="407">
        <v>0</v>
      </c>
      <c r="AB36" s="407">
        <v>0</v>
      </c>
      <c r="AC36" s="407">
        <v>0</v>
      </c>
      <c r="AD36" s="407">
        <v>5087.7572390641699</v>
      </c>
      <c r="AE36" s="407">
        <v>4220.2752274398936</v>
      </c>
      <c r="AF36" s="407"/>
      <c r="AG36" s="407"/>
      <c r="AH36" s="407"/>
      <c r="AI36" s="407">
        <v>0</v>
      </c>
      <c r="AJ36" s="407">
        <v>0</v>
      </c>
      <c r="AK36" s="407">
        <v>0</v>
      </c>
      <c r="AL36" s="407">
        <v>0</v>
      </c>
      <c r="AM36" s="407"/>
      <c r="AN36" s="407">
        <v>0</v>
      </c>
      <c r="AO36" s="407">
        <v>0</v>
      </c>
      <c r="AP36" s="407">
        <v>0</v>
      </c>
      <c r="AQ36" s="407">
        <v>0</v>
      </c>
      <c r="AR36" s="407">
        <v>0</v>
      </c>
      <c r="AS36" s="407"/>
      <c r="AT36" s="407"/>
      <c r="AU36" s="407">
        <v>0</v>
      </c>
      <c r="AV36" s="407">
        <v>0</v>
      </c>
      <c r="AW36" s="407">
        <v>0</v>
      </c>
      <c r="AX36" s="407"/>
      <c r="AY36" s="407"/>
      <c r="AZ36" s="407">
        <v>0</v>
      </c>
      <c r="BA36" s="407"/>
      <c r="BB36" s="407">
        <v>0</v>
      </c>
      <c r="BC36" s="407">
        <v>0</v>
      </c>
      <c r="BD36" s="407">
        <v>0</v>
      </c>
      <c r="BE36" s="407">
        <v>0</v>
      </c>
      <c r="BF36" s="407"/>
      <c r="BG36" s="407">
        <v>0</v>
      </c>
      <c r="BH36" s="407">
        <v>0</v>
      </c>
      <c r="BI36" s="407">
        <v>39.840000000000003</v>
      </c>
      <c r="BJ36" s="407">
        <v>183.83</v>
      </c>
      <c r="BK36" s="407">
        <v>9.19</v>
      </c>
      <c r="BL36" s="407">
        <v>2</v>
      </c>
      <c r="BM36" s="407"/>
      <c r="BN36" s="407"/>
      <c r="BO36" s="407"/>
      <c r="BP36" s="407"/>
      <c r="BQ36" s="407"/>
      <c r="BR36" s="407">
        <v>288.01399999999984</v>
      </c>
      <c r="BS36" s="407"/>
      <c r="BT36" s="407"/>
      <c r="BU36" s="407"/>
      <c r="BV36" s="407">
        <v>0</v>
      </c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>
        <v>6912.3360000000002</v>
      </c>
      <c r="CJ36" s="407">
        <v>-2022.7500000000009</v>
      </c>
      <c r="CK36" s="407"/>
      <c r="CL36" s="407"/>
      <c r="CM36" s="407"/>
      <c r="CN36" s="407"/>
      <c r="CO36" s="407">
        <v>-2106.9999999999995</v>
      </c>
      <c r="CP36" s="407">
        <v>0</v>
      </c>
      <c r="CQ36" s="407">
        <v>31</v>
      </c>
      <c r="CR36" s="407">
        <v>48.086931221152554</v>
      </c>
      <c r="CS36" s="407">
        <v>0</v>
      </c>
      <c r="CT36" s="407">
        <v>0</v>
      </c>
      <c r="CU36" s="407">
        <v>0</v>
      </c>
      <c r="CV36" s="407">
        <v>0</v>
      </c>
      <c r="CW36" s="407"/>
      <c r="CX36" s="407"/>
      <c r="CY36" s="407"/>
      <c r="CZ36" s="407">
        <v>229.82408254462734</v>
      </c>
      <c r="DA36" s="407">
        <v>0</v>
      </c>
      <c r="DB36" s="407">
        <v>0</v>
      </c>
      <c r="DC36" s="407"/>
      <c r="DD36" s="407"/>
      <c r="DE36" s="407">
        <v>0</v>
      </c>
      <c r="DF36" s="407">
        <v>0</v>
      </c>
      <c r="DG36" s="407">
        <v>0</v>
      </c>
      <c r="DH36" s="407">
        <v>0</v>
      </c>
      <c r="DI36" s="407">
        <v>0</v>
      </c>
      <c r="DJ36" s="407"/>
      <c r="DK36" s="407">
        <v>0</v>
      </c>
      <c r="DL36" s="407">
        <v>0</v>
      </c>
      <c r="DM36" s="407"/>
      <c r="DN36" s="407">
        <v>0</v>
      </c>
      <c r="DO36" s="407">
        <v>0</v>
      </c>
      <c r="DP36" s="407">
        <v>0</v>
      </c>
      <c r="DQ36" s="407">
        <v>0</v>
      </c>
      <c r="DR36" s="407">
        <v>-181.73715132347465</v>
      </c>
      <c r="DS36" s="407"/>
      <c r="DT36" s="407"/>
      <c r="DU36" s="407">
        <v>4220.2752274398936</v>
      </c>
      <c r="DV36" s="407"/>
      <c r="DW36" s="407">
        <v>0</v>
      </c>
      <c r="DX36" s="407">
        <v>0</v>
      </c>
      <c r="DY36" s="407">
        <v>-2107</v>
      </c>
      <c r="DZ36" s="407"/>
      <c r="EA36" s="407">
        <v>0</v>
      </c>
      <c r="EB36" s="407"/>
      <c r="EC36" s="407">
        <v>-2155.7263882861093</v>
      </c>
      <c r="ED36" s="407"/>
      <c r="EE36" s="407">
        <v>0</v>
      </c>
      <c r="EF36" s="407">
        <v>0</v>
      </c>
      <c r="EG36" s="407"/>
      <c r="EH36" s="407">
        <v>0</v>
      </c>
      <c r="EI36" s="407">
        <v>0</v>
      </c>
      <c r="EJ36" s="407">
        <v>0</v>
      </c>
      <c r="EK36" s="407">
        <v>0</v>
      </c>
      <c r="EL36" s="407">
        <v>0</v>
      </c>
      <c r="EM36" s="407"/>
      <c r="EN36" s="407"/>
      <c r="EO36" s="407">
        <v>0</v>
      </c>
      <c r="EP36" s="407">
        <v>0</v>
      </c>
      <c r="EQ36" s="407"/>
      <c r="ER36" s="407">
        <v>0</v>
      </c>
      <c r="ES36" s="407"/>
      <c r="ET36" s="407">
        <v>0</v>
      </c>
      <c r="EU36" s="407"/>
      <c r="EV36" s="407">
        <v>246</v>
      </c>
      <c r="EW36" s="407"/>
      <c r="EX36" s="407"/>
      <c r="EY36" s="407"/>
      <c r="EZ36" s="407"/>
      <c r="FA36" s="407">
        <v>0</v>
      </c>
      <c r="FB36" s="407"/>
      <c r="FC36" s="407"/>
      <c r="FD36" s="407"/>
      <c r="FE36" s="407"/>
      <c r="FF36" s="407">
        <v>0</v>
      </c>
      <c r="FG36" s="407">
        <v>0</v>
      </c>
      <c r="FH36" s="407">
        <v>0</v>
      </c>
      <c r="FI36" s="407">
        <v>0</v>
      </c>
    </row>
    <row r="37" spans="1:165" customFormat="1">
      <c r="A37" s="407">
        <v>35</v>
      </c>
      <c r="B37" s="407" t="s">
        <v>1090</v>
      </c>
      <c r="C37" s="407" t="s">
        <v>2306</v>
      </c>
      <c r="D37" s="407" t="s">
        <v>1219</v>
      </c>
      <c r="E37" s="407" t="s">
        <v>2316</v>
      </c>
      <c r="F37" s="407" t="s">
        <v>97</v>
      </c>
      <c r="G37" s="407" t="s">
        <v>97</v>
      </c>
      <c r="H37" s="407" t="s">
        <v>97</v>
      </c>
      <c r="I37" s="407" t="s">
        <v>97</v>
      </c>
      <c r="J37" s="407" t="s">
        <v>2307</v>
      </c>
      <c r="K37" s="818">
        <v>44378</v>
      </c>
      <c r="L37" s="407">
        <v>0</v>
      </c>
      <c r="M37" s="407">
        <v>0</v>
      </c>
      <c r="N37" s="407">
        <v>248.672</v>
      </c>
      <c r="O37" s="407">
        <v>248.672</v>
      </c>
      <c r="P37" s="407">
        <v>248.672</v>
      </c>
      <c r="Q37" s="407">
        <v>248.672</v>
      </c>
      <c r="R37" s="407"/>
      <c r="S37" s="407">
        <v>648.44000000000005</v>
      </c>
      <c r="T37" s="407">
        <v>159.41</v>
      </c>
      <c r="U37" s="407"/>
      <c r="V37" s="407">
        <v>200889.6752</v>
      </c>
      <c r="W37" s="407">
        <v>200889.6752</v>
      </c>
      <c r="X37" s="407">
        <v>152142.50303999998</v>
      </c>
      <c r="Y37" s="407">
        <v>0</v>
      </c>
      <c r="Z37" s="407">
        <v>15410.266164665027</v>
      </c>
      <c r="AA37" s="407">
        <v>0</v>
      </c>
      <c r="AB37" s="407">
        <v>0</v>
      </c>
      <c r="AC37" s="407">
        <v>0</v>
      </c>
      <c r="AD37" s="407">
        <v>29006.202754969574</v>
      </c>
      <c r="AE37" s="407">
        <v>103831.99662100401</v>
      </c>
      <c r="AF37" s="407">
        <v>38352.860786482241</v>
      </c>
      <c r="AG37" s="407">
        <v>1288.5554491954665</v>
      </c>
      <c r="AH37" s="407">
        <v>0</v>
      </c>
      <c r="AI37" s="407">
        <v>0</v>
      </c>
      <c r="AJ37" s="407">
        <v>0</v>
      </c>
      <c r="AK37" s="407">
        <v>0</v>
      </c>
      <c r="AL37" s="407">
        <v>2381.2968361797471</v>
      </c>
      <c r="AM37" s="407"/>
      <c r="AN37" s="407">
        <v>516.01818310903468</v>
      </c>
      <c r="AO37" s="407">
        <v>0</v>
      </c>
      <c r="AP37" s="407">
        <v>0</v>
      </c>
      <c r="AQ37" s="407">
        <v>0</v>
      </c>
      <c r="AR37" s="407">
        <v>0</v>
      </c>
      <c r="AS37" s="407">
        <v>0</v>
      </c>
      <c r="AT37" s="407">
        <v>0</v>
      </c>
      <c r="AU37" s="407">
        <v>0</v>
      </c>
      <c r="AV37" s="407">
        <v>0</v>
      </c>
      <c r="AW37" s="407">
        <v>0</v>
      </c>
      <c r="AX37" s="407">
        <v>0</v>
      </c>
      <c r="AY37" s="407">
        <v>0</v>
      </c>
      <c r="AZ37" s="407">
        <v>0</v>
      </c>
      <c r="BA37" s="407"/>
      <c r="BB37" s="407">
        <v>0</v>
      </c>
      <c r="BC37" s="407">
        <v>0</v>
      </c>
      <c r="BD37" s="407">
        <v>0</v>
      </c>
      <c r="BE37" s="407">
        <v>0</v>
      </c>
      <c r="BF37" s="407">
        <v>0</v>
      </c>
      <c r="BG37" s="407">
        <v>2803.4716537172794</v>
      </c>
      <c r="BH37" s="407">
        <v>0</v>
      </c>
      <c r="BI37" s="407">
        <v>713.44</v>
      </c>
      <c r="BJ37" s="407">
        <v>3300.36</v>
      </c>
      <c r="BK37" s="407">
        <v>66039.78</v>
      </c>
      <c r="BL37" s="407">
        <v>358</v>
      </c>
      <c r="BM37" s="407"/>
      <c r="BN37" s="407"/>
      <c r="BO37" s="407"/>
      <c r="BP37" s="407"/>
      <c r="BQ37" s="407"/>
      <c r="BR37" s="407"/>
      <c r="BS37" s="407"/>
      <c r="BT37" s="407"/>
      <c r="BU37" s="407"/>
      <c r="BV37" s="407">
        <v>41156.33244019952</v>
      </c>
      <c r="BW37" s="407"/>
      <c r="BX37" s="407"/>
      <c r="BY37" s="407"/>
      <c r="BZ37" s="407"/>
      <c r="CA37" s="407"/>
      <c r="CB37" s="407"/>
      <c r="CC37" s="407"/>
      <c r="CD37" s="407"/>
      <c r="CE37" s="407"/>
      <c r="CF37" s="407"/>
      <c r="CG37" s="407"/>
      <c r="CH37" s="407"/>
      <c r="CI37" s="407">
        <v>152141.2794</v>
      </c>
      <c r="CJ37" s="407">
        <v>-48748.425800000026</v>
      </c>
      <c r="CK37" s="407"/>
      <c r="CL37" s="407"/>
      <c r="CM37" s="407"/>
      <c r="CN37" s="407"/>
      <c r="CO37" s="407">
        <v>-55578.19200000001</v>
      </c>
      <c r="CP37" s="407">
        <v>6831.0198399999999</v>
      </c>
      <c r="CQ37" s="407">
        <v>31</v>
      </c>
      <c r="CR37" s="407">
        <v>4290.5911679897981</v>
      </c>
      <c r="CS37" s="407">
        <v>0</v>
      </c>
      <c r="CT37" s="407">
        <v>0</v>
      </c>
      <c r="CU37" s="407">
        <v>0</v>
      </c>
      <c r="CV37" s="407">
        <v>0</v>
      </c>
      <c r="CW37" s="407">
        <v>0</v>
      </c>
      <c r="CX37" s="407">
        <v>0</v>
      </c>
      <c r="CY37" s="407">
        <v>0</v>
      </c>
      <c r="CZ37" s="407">
        <v>1310.2676922318606</v>
      </c>
      <c r="DA37" s="407">
        <v>0</v>
      </c>
      <c r="DB37" s="407">
        <v>0</v>
      </c>
      <c r="DC37" s="407">
        <v>7604.3365809295574</v>
      </c>
      <c r="DD37" s="407">
        <v>0</v>
      </c>
      <c r="DE37" s="407">
        <v>0</v>
      </c>
      <c r="DF37" s="407">
        <v>0</v>
      </c>
      <c r="DG37" s="407">
        <v>555.85272161693274</v>
      </c>
      <c r="DH37" s="407">
        <v>0</v>
      </c>
      <c r="DI37" s="407">
        <v>-1079.3654427235688</v>
      </c>
      <c r="DJ37" s="407"/>
      <c r="DK37" s="407">
        <v>0</v>
      </c>
      <c r="DL37" s="407">
        <v>0</v>
      </c>
      <c r="DM37" s="407">
        <v>0</v>
      </c>
      <c r="DN37" s="407">
        <v>0</v>
      </c>
      <c r="DO37" s="407">
        <v>-145.28619881919894</v>
      </c>
      <c r="DP37" s="407">
        <v>-32.879432855081689</v>
      </c>
      <c r="DQ37" s="407">
        <v>0</v>
      </c>
      <c r="DR37" s="407">
        <v>-3922.3347523907005</v>
      </c>
      <c r="DS37" s="407"/>
      <c r="DT37" s="407"/>
      <c r="DU37" s="407"/>
      <c r="DV37" s="407">
        <v>103831.99662100401</v>
      </c>
      <c r="DW37" s="407">
        <v>0</v>
      </c>
      <c r="DX37" s="407">
        <v>0</v>
      </c>
      <c r="DY37" s="407">
        <v>-55578.19200000001</v>
      </c>
      <c r="DZ37" s="407">
        <v>6831.0198399999936</v>
      </c>
      <c r="EA37" s="407">
        <v>0</v>
      </c>
      <c r="EB37" s="407">
        <v>0</v>
      </c>
      <c r="EC37" s="407">
        <v>-53037.625036629215</v>
      </c>
      <c r="ED37" s="407">
        <v>0</v>
      </c>
      <c r="EE37" s="407">
        <v>0</v>
      </c>
      <c r="EF37" s="407">
        <v>0</v>
      </c>
      <c r="EG37" s="407">
        <v>0</v>
      </c>
      <c r="EH37" s="407">
        <v>0</v>
      </c>
      <c r="EI37" s="407">
        <v>0</v>
      </c>
      <c r="EJ37" s="407">
        <v>0</v>
      </c>
      <c r="EK37" s="407">
        <v>0</v>
      </c>
      <c r="EL37" s="407">
        <v>0</v>
      </c>
      <c r="EM37" s="407">
        <v>0</v>
      </c>
      <c r="EN37" s="407">
        <v>0</v>
      </c>
      <c r="EO37" s="407">
        <v>0</v>
      </c>
      <c r="EP37" s="407">
        <v>7299.5675529292494</v>
      </c>
      <c r="EQ37" s="407">
        <v>0</v>
      </c>
      <c r="ER37" s="407">
        <v>0</v>
      </c>
      <c r="ES37" s="407">
        <v>0</v>
      </c>
      <c r="ET37" s="407">
        <v>0</v>
      </c>
      <c r="EU37" s="407">
        <v>0</v>
      </c>
      <c r="EV37" s="407">
        <v>246</v>
      </c>
      <c r="EW37" s="407">
        <v>0</v>
      </c>
      <c r="EX37" s="407">
        <v>0</v>
      </c>
      <c r="EY37" s="407">
        <v>0</v>
      </c>
      <c r="EZ37" s="407"/>
      <c r="FA37" s="407">
        <v>0</v>
      </c>
      <c r="FB37" s="407"/>
      <c r="FC37" s="407"/>
      <c r="FD37" s="407"/>
      <c r="FE37" s="407"/>
      <c r="FF37" s="407">
        <v>0</v>
      </c>
      <c r="FG37" s="407">
        <v>0</v>
      </c>
      <c r="FH37" s="407">
        <v>0</v>
      </c>
      <c r="FI37" s="407">
        <v>0</v>
      </c>
    </row>
    <row r="38" spans="1:165" customFormat="1">
      <c r="A38" s="407">
        <v>36</v>
      </c>
      <c r="B38" s="407" t="s">
        <v>1090</v>
      </c>
      <c r="C38" s="407" t="s">
        <v>2317</v>
      </c>
      <c r="D38" s="407" t="s">
        <v>650</v>
      </c>
      <c r="E38" s="407" t="s">
        <v>2316</v>
      </c>
      <c r="F38" s="407" t="s">
        <v>97</v>
      </c>
      <c r="G38" s="407" t="s">
        <v>97</v>
      </c>
      <c r="H38" s="407" t="s">
        <v>97</v>
      </c>
      <c r="I38" s="407" t="s">
        <v>1025</v>
      </c>
      <c r="J38" s="407" t="s">
        <v>2307</v>
      </c>
      <c r="K38" s="818">
        <v>44378</v>
      </c>
      <c r="L38" s="407">
        <v>200</v>
      </c>
      <c r="M38" s="407">
        <v>200</v>
      </c>
      <c r="N38" s="407">
        <v>2.952</v>
      </c>
      <c r="O38" s="407">
        <v>2.952</v>
      </c>
      <c r="P38" s="407">
        <v>2.952</v>
      </c>
      <c r="Q38" s="407">
        <v>2.952</v>
      </c>
      <c r="R38" s="407">
        <v>112.91</v>
      </c>
      <c r="S38" s="407">
        <v>95.29</v>
      </c>
      <c r="T38" s="407">
        <v>159.41</v>
      </c>
      <c r="U38" s="407">
        <v>22582</v>
      </c>
      <c r="V38" s="407">
        <v>751.87439999999992</v>
      </c>
      <c r="W38" s="407">
        <v>23333.874400000001</v>
      </c>
      <c r="X38" s="407">
        <v>14245.438320000001</v>
      </c>
      <c r="Y38" s="407">
        <v>0</v>
      </c>
      <c r="Z38" s="407">
        <v>159.15447647800832</v>
      </c>
      <c r="AA38" s="407">
        <v>0</v>
      </c>
      <c r="AB38" s="407">
        <v>0</v>
      </c>
      <c r="AC38" s="407">
        <v>0</v>
      </c>
      <c r="AD38" s="407">
        <v>5077.0827132346003</v>
      </c>
      <c r="AE38" s="407">
        <v>17504.269107723037</v>
      </c>
      <c r="AF38" s="407">
        <v>455.28907573709773</v>
      </c>
      <c r="AG38" s="407">
        <v>15.296517846902816</v>
      </c>
      <c r="AH38" s="407">
        <v>0</v>
      </c>
      <c r="AI38" s="407">
        <v>0</v>
      </c>
      <c r="AJ38" s="407">
        <v>0</v>
      </c>
      <c r="AK38" s="407">
        <v>0</v>
      </c>
      <c r="AL38" s="407">
        <v>28.268515395390768</v>
      </c>
      <c r="AM38" s="407"/>
      <c r="AN38" s="407">
        <v>3.1696609490097472</v>
      </c>
      <c r="AO38" s="407">
        <v>0</v>
      </c>
      <c r="AP38" s="407">
        <v>0</v>
      </c>
      <c r="AQ38" s="407">
        <v>0</v>
      </c>
      <c r="AR38" s="407">
        <v>0</v>
      </c>
      <c r="AS38" s="407">
        <v>0</v>
      </c>
      <c r="AT38" s="407">
        <v>0</v>
      </c>
      <c r="AU38" s="407">
        <v>0</v>
      </c>
      <c r="AV38" s="407">
        <v>0</v>
      </c>
      <c r="AW38" s="407">
        <v>0</v>
      </c>
      <c r="AX38" s="407">
        <v>0</v>
      </c>
      <c r="AY38" s="407">
        <v>0</v>
      </c>
      <c r="AZ38" s="407">
        <v>0</v>
      </c>
      <c r="BA38" s="407"/>
      <c r="BB38" s="407">
        <v>0</v>
      </c>
      <c r="BC38" s="407">
        <v>0</v>
      </c>
      <c r="BD38" s="407">
        <v>0</v>
      </c>
      <c r="BE38" s="407">
        <v>0</v>
      </c>
      <c r="BF38" s="407">
        <v>0</v>
      </c>
      <c r="BG38" s="407">
        <v>15.320509107590379</v>
      </c>
      <c r="BH38" s="407">
        <v>0</v>
      </c>
      <c r="BI38" s="407">
        <v>0</v>
      </c>
      <c r="BJ38" s="407">
        <v>0</v>
      </c>
      <c r="BK38" s="407">
        <v>0</v>
      </c>
      <c r="BL38" s="407">
        <v>0</v>
      </c>
      <c r="BM38" s="407"/>
      <c r="BN38" s="407"/>
      <c r="BO38" s="407"/>
      <c r="BP38" s="407"/>
      <c r="BQ38" s="407"/>
      <c r="BR38" s="407"/>
      <c r="BS38" s="407"/>
      <c r="BT38" s="407"/>
      <c r="BU38" s="407"/>
      <c r="BV38" s="407">
        <v>470.60958484468813</v>
      </c>
      <c r="BW38" s="407"/>
      <c r="BX38" s="407"/>
      <c r="BY38" s="407"/>
      <c r="BZ38" s="407"/>
      <c r="CA38" s="407"/>
      <c r="CB38" s="407"/>
      <c r="CC38" s="407"/>
      <c r="CD38" s="407"/>
      <c r="CE38" s="407"/>
      <c r="CF38" s="407"/>
      <c r="CG38" s="407"/>
      <c r="CH38" s="407"/>
      <c r="CI38" s="407">
        <v>14244.8845</v>
      </c>
      <c r="CJ38" s="407">
        <v>-9089.0198999999957</v>
      </c>
      <c r="CK38" s="407"/>
      <c r="CL38" s="407"/>
      <c r="CM38" s="407"/>
      <c r="CN38" s="407"/>
      <c r="CO38" s="407">
        <v>-9169.5275199999996</v>
      </c>
      <c r="CP38" s="407">
        <v>81.091439999999992</v>
      </c>
      <c r="CQ38" s="407">
        <v>31</v>
      </c>
      <c r="CR38" s="407">
        <v>-145.99911694364255</v>
      </c>
      <c r="CS38" s="407">
        <v>0</v>
      </c>
      <c r="CT38" s="407">
        <v>0</v>
      </c>
      <c r="CU38" s="407">
        <v>0</v>
      </c>
      <c r="CV38" s="407">
        <v>0</v>
      </c>
      <c r="CW38" s="407">
        <v>0</v>
      </c>
      <c r="CX38" s="407">
        <v>0</v>
      </c>
      <c r="CY38" s="407">
        <v>0</v>
      </c>
      <c r="CZ38" s="407">
        <v>229.34189304735992</v>
      </c>
      <c r="DA38" s="407">
        <v>0</v>
      </c>
      <c r="DB38" s="407">
        <v>0</v>
      </c>
      <c r="DC38" s="407">
        <v>90.271528708113692</v>
      </c>
      <c r="DD38" s="407">
        <v>0</v>
      </c>
      <c r="DE38" s="407">
        <v>0</v>
      </c>
      <c r="DF38" s="407">
        <v>0</v>
      </c>
      <c r="DG38" s="407">
        <v>3.0376432280737831</v>
      </c>
      <c r="DH38" s="407">
        <v>0</v>
      </c>
      <c r="DI38" s="407">
        <v>-11.147493503974715</v>
      </c>
      <c r="DJ38" s="407"/>
      <c r="DK38" s="407">
        <v>0</v>
      </c>
      <c r="DL38" s="407">
        <v>0</v>
      </c>
      <c r="DM38" s="407">
        <v>0</v>
      </c>
      <c r="DN38" s="407">
        <v>0</v>
      </c>
      <c r="DO38" s="407">
        <v>-1.7247010476220694</v>
      </c>
      <c r="DP38" s="407">
        <v>-0.2019631434660365</v>
      </c>
      <c r="DQ38" s="407">
        <v>0</v>
      </c>
      <c r="DR38" s="407">
        <v>-455.57602423212671</v>
      </c>
      <c r="DS38" s="407"/>
      <c r="DT38" s="407"/>
      <c r="DU38" s="407">
        <v>17504.269107723037</v>
      </c>
      <c r="DV38" s="407">
        <v>0</v>
      </c>
      <c r="DW38" s="407">
        <v>0</v>
      </c>
      <c r="DX38" s="407">
        <v>0</v>
      </c>
      <c r="DY38" s="407">
        <v>-9169.5275199999996</v>
      </c>
      <c r="DZ38" s="407">
        <v>81.091440000000034</v>
      </c>
      <c r="EA38" s="407">
        <v>0</v>
      </c>
      <c r="EB38" s="407">
        <v>0</v>
      </c>
      <c r="EC38" s="407">
        <v>-8941.2213160491574</v>
      </c>
      <c r="ED38" s="407">
        <v>0</v>
      </c>
      <c r="EE38" s="407">
        <v>0</v>
      </c>
      <c r="EF38" s="407">
        <v>0</v>
      </c>
      <c r="EG38" s="407">
        <v>0</v>
      </c>
      <c r="EH38" s="407">
        <v>0</v>
      </c>
      <c r="EI38" s="407">
        <v>0</v>
      </c>
      <c r="EJ38" s="407">
        <v>0</v>
      </c>
      <c r="EK38" s="407">
        <v>0</v>
      </c>
      <c r="EL38" s="407">
        <v>0</v>
      </c>
      <c r="EM38" s="407">
        <v>0</v>
      </c>
      <c r="EN38" s="407">
        <v>0</v>
      </c>
      <c r="EO38" s="407">
        <v>0</v>
      </c>
      <c r="EP38" s="407">
        <v>75.388629890518459</v>
      </c>
      <c r="EQ38" s="407">
        <v>0</v>
      </c>
      <c r="ER38" s="407">
        <v>0</v>
      </c>
      <c r="ES38" s="407">
        <v>0</v>
      </c>
      <c r="ET38" s="407">
        <v>0</v>
      </c>
      <c r="EU38" s="407">
        <v>0</v>
      </c>
      <c r="EV38" s="407">
        <v>246</v>
      </c>
      <c r="EW38" s="407">
        <v>0</v>
      </c>
      <c r="EX38" s="407">
        <v>0</v>
      </c>
      <c r="EY38" s="407">
        <v>0</v>
      </c>
      <c r="EZ38" s="407"/>
      <c r="FA38" s="407">
        <v>0</v>
      </c>
      <c r="FB38" s="407"/>
      <c r="FC38" s="407"/>
      <c r="FD38" s="407"/>
      <c r="FE38" s="407"/>
      <c r="FF38" s="407">
        <v>0</v>
      </c>
      <c r="FG38" s="407">
        <v>0</v>
      </c>
      <c r="FH38" s="407">
        <v>0</v>
      </c>
      <c r="FI38" s="407">
        <v>0</v>
      </c>
    </row>
    <row r="39" spans="1:165" customFormat="1">
      <c r="A39" s="407">
        <v>37</v>
      </c>
      <c r="B39" s="407" t="s">
        <v>1090</v>
      </c>
      <c r="C39" s="407" t="s">
        <v>2317</v>
      </c>
      <c r="D39" s="407" t="s">
        <v>650</v>
      </c>
      <c r="E39" s="407" t="s">
        <v>2316</v>
      </c>
      <c r="F39" s="407" t="s">
        <v>97</v>
      </c>
      <c r="G39" s="407" t="s">
        <v>97</v>
      </c>
      <c r="H39" s="407" t="s">
        <v>97</v>
      </c>
      <c r="I39" s="407" t="s">
        <v>2290</v>
      </c>
      <c r="J39" s="407" t="s">
        <v>2307</v>
      </c>
      <c r="K39" s="818">
        <v>44378</v>
      </c>
      <c r="L39" s="407">
        <v>230</v>
      </c>
      <c r="M39" s="407">
        <v>230</v>
      </c>
      <c r="N39" s="407">
        <v>22.67</v>
      </c>
      <c r="O39" s="407">
        <v>22.67</v>
      </c>
      <c r="P39" s="407">
        <v>22.67</v>
      </c>
      <c r="Q39" s="407">
        <v>22.67</v>
      </c>
      <c r="R39" s="407">
        <v>43.29</v>
      </c>
      <c r="S39" s="407">
        <v>95.29</v>
      </c>
      <c r="T39" s="407">
        <v>159.41</v>
      </c>
      <c r="U39" s="407">
        <v>9956.6999999999989</v>
      </c>
      <c r="V39" s="407">
        <v>5774.0490000000009</v>
      </c>
      <c r="W39" s="407">
        <v>15730.749</v>
      </c>
      <c r="X39" s="407">
        <v>13980.2497</v>
      </c>
      <c r="Y39" s="407">
        <v>0</v>
      </c>
      <c r="Z39" s="407">
        <v>1222.2330561505585</v>
      </c>
      <c r="AA39" s="407">
        <v>0</v>
      </c>
      <c r="AB39" s="407">
        <v>0</v>
      </c>
      <c r="AC39" s="407">
        <v>0</v>
      </c>
      <c r="AD39" s="407">
        <v>5442.71704644074</v>
      </c>
      <c r="AE39" s="407">
        <v>4514.7130340054682</v>
      </c>
      <c r="AF39" s="407">
        <v>3496.4103478861812</v>
      </c>
      <c r="AG39" s="407">
        <v>117.47020988796982</v>
      </c>
      <c r="AH39" s="407">
        <v>0</v>
      </c>
      <c r="AI39" s="407">
        <v>0</v>
      </c>
      <c r="AJ39" s="407">
        <v>0</v>
      </c>
      <c r="AK39" s="407">
        <v>0</v>
      </c>
      <c r="AL39" s="407">
        <v>217.08917480132411</v>
      </c>
      <c r="AM39" s="407"/>
      <c r="AN39" s="407">
        <v>24.341535810992877</v>
      </c>
      <c r="AO39" s="407">
        <v>0</v>
      </c>
      <c r="AP39" s="407">
        <v>0</v>
      </c>
      <c r="AQ39" s="407">
        <v>0</v>
      </c>
      <c r="AR39" s="407">
        <v>0</v>
      </c>
      <c r="AS39" s="407">
        <v>0</v>
      </c>
      <c r="AT39" s="407">
        <v>0</v>
      </c>
      <c r="AU39" s="407">
        <v>0</v>
      </c>
      <c r="AV39" s="407">
        <v>0</v>
      </c>
      <c r="AW39" s="407">
        <v>0</v>
      </c>
      <c r="AX39" s="407">
        <v>0</v>
      </c>
      <c r="AY39" s="407">
        <v>0</v>
      </c>
      <c r="AZ39" s="407">
        <v>0</v>
      </c>
      <c r="BA39" s="407"/>
      <c r="BB39" s="407">
        <v>0</v>
      </c>
      <c r="BC39" s="407">
        <v>0</v>
      </c>
      <c r="BD39" s="407">
        <v>0</v>
      </c>
      <c r="BE39" s="407">
        <v>0</v>
      </c>
      <c r="BF39" s="407">
        <v>0</v>
      </c>
      <c r="BG39" s="407">
        <v>117.65445171716597</v>
      </c>
      <c r="BH39" s="407">
        <v>0</v>
      </c>
      <c r="BI39" s="407">
        <v>0</v>
      </c>
      <c r="BJ39" s="407">
        <v>0</v>
      </c>
      <c r="BK39" s="407">
        <v>0</v>
      </c>
      <c r="BL39" s="407">
        <v>0</v>
      </c>
      <c r="BM39" s="407"/>
      <c r="BN39" s="407"/>
      <c r="BO39" s="407"/>
      <c r="BP39" s="407"/>
      <c r="BQ39" s="407"/>
      <c r="BR39" s="407"/>
      <c r="BS39" s="407"/>
      <c r="BT39" s="407"/>
      <c r="BU39" s="407"/>
      <c r="BV39" s="407">
        <v>3614.0647996033472</v>
      </c>
      <c r="BW39" s="407"/>
      <c r="BX39" s="407"/>
      <c r="BY39" s="407"/>
      <c r="BZ39" s="407"/>
      <c r="CA39" s="407"/>
      <c r="CB39" s="407"/>
      <c r="CC39" s="407"/>
      <c r="CD39" s="407"/>
      <c r="CE39" s="407"/>
      <c r="CF39" s="407"/>
      <c r="CG39" s="407"/>
      <c r="CH39" s="407"/>
      <c r="CI39" s="407">
        <v>13980.2497</v>
      </c>
      <c r="CJ39" s="407">
        <v>-1750.5293000000001</v>
      </c>
      <c r="CK39" s="407"/>
      <c r="CL39" s="407"/>
      <c r="CM39" s="407"/>
      <c r="CN39" s="407"/>
      <c r="CO39" s="407">
        <v>-2373.2441999999996</v>
      </c>
      <c r="CP39" s="407">
        <v>622.74490000000003</v>
      </c>
      <c r="CQ39" s="407">
        <v>31</v>
      </c>
      <c r="CR39" s="407">
        <v>554.87087828062795</v>
      </c>
      <c r="CS39" s="407">
        <v>0</v>
      </c>
      <c r="CT39" s="407">
        <v>0</v>
      </c>
      <c r="CU39" s="407">
        <v>0</v>
      </c>
      <c r="CV39" s="407">
        <v>0</v>
      </c>
      <c r="CW39" s="407">
        <v>0</v>
      </c>
      <c r="CX39" s="407">
        <v>0</v>
      </c>
      <c r="CY39" s="407">
        <v>0</v>
      </c>
      <c r="CZ39" s="407">
        <v>245.85832086169376</v>
      </c>
      <c r="DA39" s="407">
        <v>0</v>
      </c>
      <c r="DB39" s="407">
        <v>0</v>
      </c>
      <c r="DC39" s="407">
        <v>693.24375196915253</v>
      </c>
      <c r="DD39" s="407">
        <v>0</v>
      </c>
      <c r="DE39" s="407">
        <v>0</v>
      </c>
      <c r="DF39" s="407">
        <v>0</v>
      </c>
      <c r="DG39" s="407">
        <v>23.327700535376906</v>
      </c>
      <c r="DH39" s="407">
        <v>0</v>
      </c>
      <c r="DI39" s="407">
        <v>-85.607614408911331</v>
      </c>
      <c r="DJ39" s="407"/>
      <c r="DK39" s="407">
        <v>0</v>
      </c>
      <c r="DL39" s="407">
        <v>0</v>
      </c>
      <c r="DM39" s="407">
        <v>0</v>
      </c>
      <c r="DN39" s="407">
        <v>0</v>
      </c>
      <c r="DO39" s="407">
        <v>-13.244909468019074</v>
      </c>
      <c r="DP39" s="407">
        <v>-1.5509838964685123</v>
      </c>
      <c r="DQ39" s="407">
        <v>0</v>
      </c>
      <c r="DR39" s="407">
        <v>-307.15538731219823</v>
      </c>
      <c r="DS39" s="407"/>
      <c r="DT39" s="407"/>
      <c r="DU39" s="407">
        <v>4514.7130340054682</v>
      </c>
      <c r="DV39" s="407">
        <v>0</v>
      </c>
      <c r="DW39" s="407">
        <v>0</v>
      </c>
      <c r="DX39" s="407">
        <v>0</v>
      </c>
      <c r="DY39" s="407">
        <v>-2373.2441999999974</v>
      </c>
      <c r="DZ39" s="407">
        <v>622.74489999999969</v>
      </c>
      <c r="EA39" s="407">
        <v>0</v>
      </c>
      <c r="EB39" s="407">
        <v>0</v>
      </c>
      <c r="EC39" s="407">
        <v>-2306.1259037479317</v>
      </c>
      <c r="ED39" s="407">
        <v>0</v>
      </c>
      <c r="EE39" s="407">
        <v>0</v>
      </c>
      <c r="EF39" s="407">
        <v>0</v>
      </c>
      <c r="EG39" s="407">
        <v>0</v>
      </c>
      <c r="EH39" s="407">
        <v>0</v>
      </c>
      <c r="EI39" s="407">
        <v>0</v>
      </c>
      <c r="EJ39" s="407">
        <v>0</v>
      </c>
      <c r="EK39" s="407">
        <v>0</v>
      </c>
      <c r="EL39" s="407">
        <v>0</v>
      </c>
      <c r="EM39" s="407">
        <v>0</v>
      </c>
      <c r="EN39" s="407">
        <v>0</v>
      </c>
      <c r="EO39" s="407">
        <v>0</v>
      </c>
      <c r="EP39" s="407">
        <v>578.94994567007234</v>
      </c>
      <c r="EQ39" s="407">
        <v>0</v>
      </c>
      <c r="ER39" s="407">
        <v>0</v>
      </c>
      <c r="ES39" s="407">
        <v>0</v>
      </c>
      <c r="ET39" s="407">
        <v>0</v>
      </c>
      <c r="EU39" s="407">
        <v>0</v>
      </c>
      <c r="EV39" s="407">
        <v>246</v>
      </c>
      <c r="EW39" s="407">
        <v>0</v>
      </c>
      <c r="EX39" s="407">
        <v>0</v>
      </c>
      <c r="EY39" s="407">
        <v>0</v>
      </c>
      <c r="EZ39" s="407"/>
      <c r="FA39" s="407">
        <v>0</v>
      </c>
      <c r="FB39" s="407"/>
      <c r="FC39" s="407"/>
      <c r="FD39" s="407"/>
      <c r="FE39" s="407"/>
      <c r="FF39" s="407">
        <v>0</v>
      </c>
      <c r="FG39" s="407">
        <v>0</v>
      </c>
      <c r="FH39" s="407">
        <v>0</v>
      </c>
      <c r="FI39" s="407">
        <v>0</v>
      </c>
    </row>
    <row r="40" spans="1:165" customFormat="1">
      <c r="A40" s="407">
        <v>38</v>
      </c>
      <c r="B40" s="407" t="s">
        <v>1090</v>
      </c>
      <c r="C40" s="407" t="s">
        <v>2317</v>
      </c>
      <c r="D40" s="407" t="s">
        <v>650</v>
      </c>
      <c r="E40" s="407" t="s">
        <v>2316</v>
      </c>
      <c r="F40" s="407" t="s">
        <v>97</v>
      </c>
      <c r="G40" s="407" t="s">
        <v>97</v>
      </c>
      <c r="H40" s="407" t="s">
        <v>97</v>
      </c>
      <c r="I40" s="407" t="s">
        <v>97</v>
      </c>
      <c r="J40" s="407" t="s">
        <v>2307</v>
      </c>
      <c r="K40" s="818">
        <v>44378</v>
      </c>
      <c r="L40" s="407">
        <v>0</v>
      </c>
      <c r="M40" s="407">
        <v>0</v>
      </c>
      <c r="N40" s="407">
        <v>0</v>
      </c>
      <c r="O40" s="407">
        <v>0</v>
      </c>
      <c r="P40" s="407">
        <v>0</v>
      </c>
      <c r="Q40" s="407">
        <v>0</v>
      </c>
      <c r="R40" s="407"/>
      <c r="S40" s="407"/>
      <c r="T40" s="407"/>
      <c r="U40" s="407"/>
      <c r="V40" s="407"/>
      <c r="W40" s="407"/>
      <c r="X40" s="407"/>
      <c r="Y40" s="407"/>
      <c r="Z40" s="407"/>
      <c r="AA40" s="407">
        <v>0</v>
      </c>
      <c r="AB40" s="407"/>
      <c r="AC40" s="407"/>
      <c r="AD40" s="407"/>
      <c r="AE40" s="407"/>
      <c r="AF40" s="407"/>
      <c r="AG40" s="407"/>
      <c r="AH40" s="407"/>
      <c r="AI40" s="407"/>
      <c r="AJ40" s="407"/>
      <c r="AK40" s="407"/>
      <c r="AL40" s="407"/>
      <c r="AM40" s="407"/>
      <c r="AN40" s="407"/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>
        <v>0</v>
      </c>
      <c r="BA40" s="407"/>
      <c r="BB40" s="407"/>
      <c r="BC40" s="407"/>
      <c r="BD40" s="407"/>
      <c r="BE40" s="407"/>
      <c r="BF40" s="407"/>
      <c r="BG40" s="407"/>
      <c r="BH40" s="407"/>
      <c r="BI40" s="407">
        <v>111.49</v>
      </c>
      <c r="BJ40" s="407">
        <v>514.33000000000004</v>
      </c>
      <c r="BK40" s="407">
        <v>6560.83</v>
      </c>
      <c r="BL40" s="407">
        <v>1</v>
      </c>
      <c r="BM40" s="407"/>
      <c r="BN40" s="407"/>
      <c r="BO40" s="407"/>
      <c r="BP40" s="407"/>
      <c r="BQ40" s="407"/>
      <c r="BR40" s="407"/>
      <c r="BS40" s="407"/>
      <c r="BT40" s="407"/>
      <c r="BU40" s="407"/>
      <c r="BV40" s="407"/>
      <c r="BW40" s="407"/>
      <c r="BX40" s="407"/>
      <c r="BY40" s="407"/>
      <c r="BZ40" s="407"/>
      <c r="CA40" s="407"/>
      <c r="CB40" s="407"/>
      <c r="CC40" s="407"/>
      <c r="CD40" s="407"/>
      <c r="CE40" s="407"/>
      <c r="CF40" s="407"/>
      <c r="CG40" s="407"/>
      <c r="CH40" s="407"/>
      <c r="CI40" s="407"/>
      <c r="CJ40" s="407">
        <v>-0.03</v>
      </c>
      <c r="CK40" s="407"/>
      <c r="CL40" s="407"/>
      <c r="CM40" s="407"/>
      <c r="CN40" s="407"/>
      <c r="CO40" s="407">
        <v>0</v>
      </c>
      <c r="CP40" s="407">
        <v>0</v>
      </c>
      <c r="CQ40" s="407">
        <v>31</v>
      </c>
      <c r="CR40" s="407"/>
      <c r="CS40" s="407"/>
      <c r="CT40" s="407"/>
      <c r="CU40" s="407"/>
      <c r="CV40" s="407"/>
      <c r="CW40" s="407"/>
      <c r="CX40" s="407"/>
      <c r="CY40" s="407"/>
      <c r="CZ40" s="407"/>
      <c r="DA40" s="407"/>
      <c r="DB40" s="407"/>
      <c r="DC40" s="407"/>
      <c r="DD40" s="407"/>
      <c r="DE40" s="407"/>
      <c r="DF40" s="407"/>
      <c r="DG40" s="407"/>
      <c r="DH40" s="407"/>
      <c r="DI40" s="407"/>
      <c r="DJ40" s="407"/>
      <c r="DK40" s="407">
        <v>0</v>
      </c>
      <c r="DL40" s="407"/>
      <c r="DM40" s="407"/>
      <c r="DN40" s="407"/>
      <c r="DO40" s="407"/>
      <c r="DP40" s="407"/>
      <c r="DQ40" s="407"/>
      <c r="DR40" s="407"/>
      <c r="DS40" s="407"/>
      <c r="DT40" s="407"/>
      <c r="DU40" s="407"/>
      <c r="DV40" s="407"/>
      <c r="DW40" s="407"/>
      <c r="DX40" s="407"/>
      <c r="DY40" s="407"/>
      <c r="DZ40" s="407"/>
      <c r="EA40" s="407"/>
      <c r="EB40" s="407"/>
      <c r="EC40" s="407"/>
      <c r="ED40" s="407"/>
      <c r="EE40" s="407"/>
      <c r="EF40" s="407"/>
      <c r="EG40" s="407"/>
      <c r="EH40" s="407"/>
      <c r="EI40" s="407"/>
      <c r="EJ40" s="407"/>
      <c r="EK40" s="407"/>
      <c r="EL40" s="407"/>
      <c r="EM40" s="407"/>
      <c r="EN40" s="407"/>
      <c r="EO40" s="407"/>
      <c r="EP40" s="407"/>
      <c r="EQ40" s="407"/>
      <c r="ER40" s="407"/>
      <c r="ES40" s="407"/>
      <c r="ET40" s="407"/>
      <c r="EU40" s="407"/>
      <c r="EV40" s="407">
        <v>246</v>
      </c>
      <c r="EW40" s="407"/>
      <c r="EX40" s="407"/>
      <c r="EY40" s="407"/>
      <c r="EZ40" s="407"/>
      <c r="FA40" s="407">
        <v>0</v>
      </c>
      <c r="FB40" s="407"/>
      <c r="FC40" s="407"/>
      <c r="FD40" s="407"/>
      <c r="FE40" s="407"/>
      <c r="FF40" s="407">
        <v>0</v>
      </c>
      <c r="FG40" s="407">
        <v>0</v>
      </c>
      <c r="FH40" s="407">
        <v>0</v>
      </c>
      <c r="FI40" s="407">
        <v>0</v>
      </c>
    </row>
    <row r="41" spans="1:165" customFormat="1">
      <c r="A41" s="407">
        <v>39</v>
      </c>
      <c r="B41" s="407" t="s">
        <v>1090</v>
      </c>
      <c r="C41" s="407" t="s">
        <v>2314</v>
      </c>
      <c r="D41" s="407" t="s">
        <v>650</v>
      </c>
      <c r="E41" s="407" t="s">
        <v>2316</v>
      </c>
      <c r="F41" s="407" t="s">
        <v>97</v>
      </c>
      <c r="G41" s="407" t="s">
        <v>97</v>
      </c>
      <c r="H41" s="407" t="s">
        <v>97</v>
      </c>
      <c r="I41" s="407" t="s">
        <v>1025</v>
      </c>
      <c r="J41" s="407" t="s">
        <v>2307</v>
      </c>
      <c r="K41" s="818">
        <v>44378</v>
      </c>
      <c r="L41" s="407">
        <v>0</v>
      </c>
      <c r="M41" s="407">
        <v>0</v>
      </c>
      <c r="N41" s="407">
        <v>0.54700000000000004</v>
      </c>
      <c r="O41" s="407">
        <v>0.54700000000000004</v>
      </c>
      <c r="P41" s="407">
        <v>0.54700000000000004</v>
      </c>
      <c r="Q41" s="407">
        <v>0.54700000000000004</v>
      </c>
      <c r="R41" s="407"/>
      <c r="S41" s="407">
        <v>2810.7</v>
      </c>
      <c r="T41" s="407">
        <v>159.41</v>
      </c>
      <c r="U41" s="407"/>
      <c r="V41" s="407">
        <v>1624.6501699999999</v>
      </c>
      <c r="W41" s="407">
        <v>1624.6501699999999</v>
      </c>
      <c r="X41" s="407">
        <v>1034.75443</v>
      </c>
      <c r="Y41" s="407">
        <v>0</v>
      </c>
      <c r="Z41" s="407">
        <v>29.491022572313874</v>
      </c>
      <c r="AA41" s="407">
        <v>0</v>
      </c>
      <c r="AB41" s="407">
        <v>0</v>
      </c>
      <c r="AC41" s="407">
        <v>0</v>
      </c>
      <c r="AD41" s="407">
        <v>333.95202958251565</v>
      </c>
      <c r="AE41" s="407">
        <v>1151.3742305377386</v>
      </c>
      <c r="AF41" s="407">
        <v>84.36420204207063</v>
      </c>
      <c r="AG41" s="407">
        <v>2.834415739246559</v>
      </c>
      <c r="AH41" s="407">
        <v>0</v>
      </c>
      <c r="AI41" s="407">
        <v>0</v>
      </c>
      <c r="AJ41" s="407">
        <v>0</v>
      </c>
      <c r="AK41" s="407">
        <v>0</v>
      </c>
      <c r="AL41" s="407">
        <v>5.2381022768559458</v>
      </c>
      <c r="AM41" s="407"/>
      <c r="AN41" s="407">
        <v>0.58733216094455687</v>
      </c>
      <c r="AO41" s="407">
        <v>0</v>
      </c>
      <c r="AP41" s="407">
        <v>0</v>
      </c>
      <c r="AQ41" s="407">
        <v>0</v>
      </c>
      <c r="AR41" s="407">
        <v>0</v>
      </c>
      <c r="AS41" s="407">
        <v>0</v>
      </c>
      <c r="AT41" s="407">
        <v>0</v>
      </c>
      <c r="AU41" s="407">
        <v>0</v>
      </c>
      <c r="AV41" s="407">
        <v>0</v>
      </c>
      <c r="AW41" s="407">
        <v>0</v>
      </c>
      <c r="AX41" s="407">
        <v>0</v>
      </c>
      <c r="AY41" s="407">
        <v>0</v>
      </c>
      <c r="AZ41" s="407">
        <v>0</v>
      </c>
      <c r="BA41" s="407"/>
      <c r="BB41" s="407">
        <v>0</v>
      </c>
      <c r="BC41" s="407">
        <v>0</v>
      </c>
      <c r="BD41" s="407">
        <v>0</v>
      </c>
      <c r="BE41" s="407">
        <v>0</v>
      </c>
      <c r="BF41" s="407">
        <v>0</v>
      </c>
      <c r="BG41" s="407">
        <v>2.8388612743400876</v>
      </c>
      <c r="BH41" s="407">
        <v>0</v>
      </c>
      <c r="BI41" s="407">
        <v>0</v>
      </c>
      <c r="BJ41" s="407">
        <v>0</v>
      </c>
      <c r="BK41" s="407">
        <v>0</v>
      </c>
      <c r="BL41" s="407">
        <v>0</v>
      </c>
      <c r="BM41" s="407"/>
      <c r="BN41" s="407"/>
      <c r="BO41" s="407"/>
      <c r="BP41" s="407"/>
      <c r="BQ41" s="407"/>
      <c r="BR41" s="407"/>
      <c r="BS41" s="407"/>
      <c r="BT41" s="407"/>
      <c r="BU41" s="407"/>
      <c r="BV41" s="407">
        <v>87.20306331641072</v>
      </c>
      <c r="BW41" s="407"/>
      <c r="BX41" s="407"/>
      <c r="BY41" s="407"/>
      <c r="BZ41" s="407"/>
      <c r="CA41" s="407"/>
      <c r="CB41" s="407"/>
      <c r="CC41" s="407"/>
      <c r="CD41" s="407"/>
      <c r="CE41" s="407"/>
      <c r="CF41" s="407"/>
      <c r="CG41" s="407"/>
      <c r="CH41" s="407"/>
      <c r="CI41" s="407">
        <v>1040.4295000000002</v>
      </c>
      <c r="CJ41" s="407">
        <v>-584.25066999999967</v>
      </c>
      <c r="CK41" s="407"/>
      <c r="CL41" s="407"/>
      <c r="CM41" s="407"/>
      <c r="CN41" s="407"/>
      <c r="CO41" s="407">
        <v>-604.92183</v>
      </c>
      <c r="CP41" s="407">
        <v>15.02609</v>
      </c>
      <c r="CQ41" s="407">
        <v>31</v>
      </c>
      <c r="CR41" s="407">
        <v>-1.7682305562327656</v>
      </c>
      <c r="CS41" s="407">
        <v>0</v>
      </c>
      <c r="CT41" s="407">
        <v>0</v>
      </c>
      <c r="CU41" s="407">
        <v>0</v>
      </c>
      <c r="CV41" s="407">
        <v>0</v>
      </c>
      <c r="CW41" s="407">
        <v>0</v>
      </c>
      <c r="CX41" s="407">
        <v>0</v>
      </c>
      <c r="CY41" s="407">
        <v>0</v>
      </c>
      <c r="CZ41" s="407">
        <v>15.085275339677366</v>
      </c>
      <c r="DA41" s="407">
        <v>0</v>
      </c>
      <c r="DB41" s="407">
        <v>0</v>
      </c>
      <c r="DC41" s="407">
        <v>16.727143022811049</v>
      </c>
      <c r="DD41" s="407">
        <v>0</v>
      </c>
      <c r="DE41" s="407">
        <v>0</v>
      </c>
      <c r="DF41" s="407">
        <v>0</v>
      </c>
      <c r="DG41" s="407">
        <v>0.56286952769524357</v>
      </c>
      <c r="DH41" s="407">
        <v>0</v>
      </c>
      <c r="DI41" s="407">
        <v>-2.0656093992798645</v>
      </c>
      <c r="DJ41" s="407"/>
      <c r="DK41" s="407">
        <v>0</v>
      </c>
      <c r="DL41" s="407">
        <v>0</v>
      </c>
      <c r="DM41" s="407">
        <v>0</v>
      </c>
      <c r="DN41" s="407">
        <v>0</v>
      </c>
      <c r="DO41" s="407">
        <v>-0.31958383233376431</v>
      </c>
      <c r="DP41" s="407">
        <v>-3.7423387356342208E-2</v>
      </c>
      <c r="DQ41" s="407">
        <v>0</v>
      </c>
      <c r="DR41" s="407">
        <v>-31.720901827446468</v>
      </c>
      <c r="DS41" s="407"/>
      <c r="DT41" s="407"/>
      <c r="DU41" s="407"/>
      <c r="DV41" s="407">
        <v>1151.3742305377386</v>
      </c>
      <c r="DW41" s="407">
        <v>0</v>
      </c>
      <c r="DX41" s="407">
        <v>0</v>
      </c>
      <c r="DY41" s="407">
        <v>-604.92183</v>
      </c>
      <c r="DZ41" s="407">
        <v>15.026089999999996</v>
      </c>
      <c r="EA41" s="407">
        <v>0</v>
      </c>
      <c r="EB41" s="407">
        <v>0</v>
      </c>
      <c r="EC41" s="407">
        <v>-588.12463116735205</v>
      </c>
      <c r="ED41" s="407">
        <v>0</v>
      </c>
      <c r="EE41" s="407">
        <v>0</v>
      </c>
      <c r="EF41" s="407">
        <v>0</v>
      </c>
      <c r="EG41" s="407">
        <v>0</v>
      </c>
      <c r="EH41" s="407">
        <v>0</v>
      </c>
      <c r="EI41" s="407">
        <v>0</v>
      </c>
      <c r="EJ41" s="407">
        <v>0</v>
      </c>
      <c r="EK41" s="407">
        <v>0</v>
      </c>
      <c r="EL41" s="407">
        <v>0</v>
      </c>
      <c r="EM41" s="407">
        <v>0</v>
      </c>
      <c r="EN41" s="407">
        <v>0</v>
      </c>
      <c r="EO41" s="407">
        <v>0</v>
      </c>
      <c r="EP41" s="407">
        <v>13.969370105052034</v>
      </c>
      <c r="EQ41" s="407">
        <v>0</v>
      </c>
      <c r="ER41" s="407">
        <v>0</v>
      </c>
      <c r="ES41" s="407">
        <v>0</v>
      </c>
      <c r="ET41" s="407">
        <v>0</v>
      </c>
      <c r="EU41" s="407">
        <v>0</v>
      </c>
      <c r="EV41" s="407">
        <v>246</v>
      </c>
      <c r="EW41" s="407">
        <v>0</v>
      </c>
      <c r="EX41" s="407">
        <v>0</v>
      </c>
      <c r="EY41" s="407">
        <v>0</v>
      </c>
      <c r="EZ41" s="407"/>
      <c r="FA41" s="407">
        <v>0</v>
      </c>
      <c r="FB41" s="407"/>
      <c r="FC41" s="407"/>
      <c r="FD41" s="407"/>
      <c r="FE41" s="407"/>
      <c r="FF41" s="407">
        <v>0</v>
      </c>
      <c r="FG41" s="407">
        <v>0</v>
      </c>
      <c r="FH41" s="407">
        <v>0</v>
      </c>
      <c r="FI41" s="407">
        <v>0</v>
      </c>
    </row>
    <row r="42" spans="1:165" customFormat="1">
      <c r="A42" s="407">
        <v>40</v>
      </c>
      <c r="B42" s="407" t="s">
        <v>1090</v>
      </c>
      <c r="C42" s="407" t="s">
        <v>2314</v>
      </c>
      <c r="D42" s="407" t="s">
        <v>650</v>
      </c>
      <c r="E42" s="407" t="s">
        <v>2316</v>
      </c>
      <c r="F42" s="407" t="s">
        <v>97</v>
      </c>
      <c r="G42" s="407" t="s">
        <v>97</v>
      </c>
      <c r="H42" s="407" t="s">
        <v>97</v>
      </c>
      <c r="I42" s="407" t="s">
        <v>2290</v>
      </c>
      <c r="J42" s="407" t="s">
        <v>2307</v>
      </c>
      <c r="K42" s="818">
        <v>44378</v>
      </c>
      <c r="L42" s="407">
        <v>0</v>
      </c>
      <c r="M42" s="407">
        <v>0</v>
      </c>
      <c r="N42" s="407">
        <v>5.22</v>
      </c>
      <c r="O42" s="407">
        <v>5.22</v>
      </c>
      <c r="P42" s="407">
        <v>5.22</v>
      </c>
      <c r="Q42" s="407">
        <v>5.22</v>
      </c>
      <c r="R42" s="407"/>
      <c r="S42" s="407">
        <v>95.29</v>
      </c>
      <c r="T42" s="407">
        <v>159.41</v>
      </c>
      <c r="U42" s="407"/>
      <c r="V42" s="407">
        <v>1329.5339999999999</v>
      </c>
      <c r="W42" s="407">
        <v>1329.5339999999999</v>
      </c>
      <c r="X42" s="407">
        <v>1445.4701999999997</v>
      </c>
      <c r="Y42" s="407">
        <v>0</v>
      </c>
      <c r="Z42" s="407">
        <v>281.43169621111224</v>
      </c>
      <c r="AA42" s="407">
        <v>0</v>
      </c>
      <c r="AB42" s="407">
        <v>0</v>
      </c>
      <c r="AC42" s="407">
        <v>0</v>
      </c>
      <c r="AD42" s="407">
        <v>0</v>
      </c>
      <c r="AE42" s="407">
        <v>0</v>
      </c>
      <c r="AF42" s="407">
        <v>805.08434124242888</v>
      </c>
      <c r="AG42" s="407">
        <v>27.048720582937907</v>
      </c>
      <c r="AH42" s="407">
        <v>0</v>
      </c>
      <c r="AI42" s="407">
        <v>0</v>
      </c>
      <c r="AJ42" s="407">
        <v>0</v>
      </c>
      <c r="AK42" s="407">
        <v>0</v>
      </c>
      <c r="AL42" s="407">
        <v>49.98700893087392</v>
      </c>
      <c r="AM42" s="407"/>
      <c r="AN42" s="407">
        <v>5.6048882634928452</v>
      </c>
      <c r="AO42" s="407">
        <v>0</v>
      </c>
      <c r="AP42" s="407">
        <v>0</v>
      </c>
      <c r="AQ42" s="407">
        <v>0</v>
      </c>
      <c r="AR42" s="407">
        <v>0</v>
      </c>
      <c r="AS42" s="407">
        <v>0</v>
      </c>
      <c r="AT42" s="407">
        <v>0</v>
      </c>
      <c r="AU42" s="407">
        <v>0</v>
      </c>
      <c r="AV42" s="407">
        <v>0</v>
      </c>
      <c r="AW42" s="407">
        <v>0</v>
      </c>
      <c r="AX42" s="407">
        <v>0</v>
      </c>
      <c r="AY42" s="407">
        <v>0</v>
      </c>
      <c r="AZ42" s="407">
        <v>0</v>
      </c>
      <c r="BA42" s="407"/>
      <c r="BB42" s="407">
        <v>0</v>
      </c>
      <c r="BC42" s="407">
        <v>0</v>
      </c>
      <c r="BD42" s="407">
        <v>0</v>
      </c>
      <c r="BE42" s="407">
        <v>0</v>
      </c>
      <c r="BF42" s="407">
        <v>0</v>
      </c>
      <c r="BG42" s="407">
        <v>27.091144153665912</v>
      </c>
      <c r="BH42" s="407">
        <v>0</v>
      </c>
      <c r="BI42" s="407">
        <v>0</v>
      </c>
      <c r="BJ42" s="407">
        <v>0</v>
      </c>
      <c r="BK42" s="407">
        <v>0</v>
      </c>
      <c r="BL42" s="407">
        <v>0</v>
      </c>
      <c r="BM42" s="407"/>
      <c r="BN42" s="407"/>
      <c r="BO42" s="407"/>
      <c r="BP42" s="407"/>
      <c r="BQ42" s="407"/>
      <c r="BR42" s="407"/>
      <c r="BS42" s="407"/>
      <c r="BT42" s="407"/>
      <c r="BU42" s="407"/>
      <c r="BV42" s="407">
        <v>832.17548539609481</v>
      </c>
      <c r="BW42" s="407"/>
      <c r="BX42" s="407"/>
      <c r="BY42" s="407"/>
      <c r="BZ42" s="407"/>
      <c r="CA42" s="407"/>
      <c r="CB42" s="407"/>
      <c r="CC42" s="407"/>
      <c r="CD42" s="407"/>
      <c r="CE42" s="407"/>
      <c r="CF42" s="407"/>
      <c r="CG42" s="407"/>
      <c r="CH42" s="407"/>
      <c r="CI42" s="407">
        <v>1445.4701999999997</v>
      </c>
      <c r="CJ42" s="407">
        <v>115.9061999999999</v>
      </c>
      <c r="CK42" s="407"/>
      <c r="CL42" s="407"/>
      <c r="CM42" s="407"/>
      <c r="CN42" s="407"/>
      <c r="CO42" s="407">
        <v>-27.457200000000025</v>
      </c>
      <c r="CP42" s="407">
        <v>143.39339999999999</v>
      </c>
      <c r="CQ42" s="407">
        <v>31</v>
      </c>
      <c r="CR42" s="407">
        <v>115.91970067402485</v>
      </c>
      <c r="CS42" s="407">
        <v>0</v>
      </c>
      <c r="CT42" s="407">
        <v>0</v>
      </c>
      <c r="CU42" s="407">
        <v>0</v>
      </c>
      <c r="CV42" s="407">
        <v>0</v>
      </c>
      <c r="CW42" s="407">
        <v>0</v>
      </c>
      <c r="CX42" s="407">
        <v>0</v>
      </c>
      <c r="CY42" s="407">
        <v>0</v>
      </c>
      <c r="CZ42" s="407">
        <v>0</v>
      </c>
      <c r="DA42" s="407">
        <v>0</v>
      </c>
      <c r="DB42" s="407">
        <v>0</v>
      </c>
      <c r="DC42" s="407">
        <v>159.62648369117676</v>
      </c>
      <c r="DD42" s="407">
        <v>0</v>
      </c>
      <c r="DE42" s="407">
        <v>0</v>
      </c>
      <c r="DF42" s="407">
        <v>0</v>
      </c>
      <c r="DG42" s="407">
        <v>5.3714422935451047</v>
      </c>
      <c r="DH42" s="407">
        <v>0</v>
      </c>
      <c r="DI42" s="407">
        <v>-19.712031196052806</v>
      </c>
      <c r="DJ42" s="407"/>
      <c r="DK42" s="407">
        <v>0</v>
      </c>
      <c r="DL42" s="407">
        <v>0</v>
      </c>
      <c r="DM42" s="407">
        <v>0</v>
      </c>
      <c r="DN42" s="407">
        <v>0</v>
      </c>
      <c r="DO42" s="407">
        <v>-3.0497762427463471</v>
      </c>
      <c r="DP42" s="407">
        <v>-0.35712994881189353</v>
      </c>
      <c r="DQ42" s="407">
        <v>0</v>
      </c>
      <c r="DR42" s="407">
        <v>-25.95928792308581</v>
      </c>
      <c r="DS42" s="407"/>
      <c r="DT42" s="407"/>
      <c r="DU42" s="407"/>
      <c r="DV42" s="407">
        <v>0</v>
      </c>
      <c r="DW42" s="407">
        <v>0</v>
      </c>
      <c r="DX42" s="407">
        <v>0</v>
      </c>
      <c r="DY42" s="407">
        <v>-27.4572</v>
      </c>
      <c r="DZ42" s="407">
        <v>143.39339999999993</v>
      </c>
      <c r="EA42" s="407">
        <v>0</v>
      </c>
      <c r="EB42" s="407">
        <v>0</v>
      </c>
      <c r="EC42" s="407">
        <v>0</v>
      </c>
      <c r="ED42" s="407">
        <v>0</v>
      </c>
      <c r="EE42" s="407">
        <v>0</v>
      </c>
      <c r="EF42" s="407">
        <v>0</v>
      </c>
      <c r="EG42" s="407">
        <v>0</v>
      </c>
      <c r="EH42" s="407">
        <v>0</v>
      </c>
      <c r="EI42" s="407">
        <v>0</v>
      </c>
      <c r="EJ42" s="407">
        <v>0</v>
      </c>
      <c r="EK42" s="407">
        <v>0</v>
      </c>
      <c r="EL42" s="407">
        <v>0</v>
      </c>
      <c r="EM42" s="407">
        <v>0</v>
      </c>
      <c r="EN42" s="407">
        <v>0</v>
      </c>
      <c r="EO42" s="407">
        <v>0</v>
      </c>
      <c r="EP42" s="407">
        <v>133.30916261128263</v>
      </c>
      <c r="EQ42" s="407">
        <v>0</v>
      </c>
      <c r="ER42" s="407">
        <v>0</v>
      </c>
      <c r="ES42" s="407">
        <v>0</v>
      </c>
      <c r="ET42" s="407">
        <v>0</v>
      </c>
      <c r="EU42" s="407">
        <v>0</v>
      </c>
      <c r="EV42" s="407">
        <v>246</v>
      </c>
      <c r="EW42" s="407">
        <v>0</v>
      </c>
      <c r="EX42" s="407">
        <v>0</v>
      </c>
      <c r="EY42" s="407">
        <v>0</v>
      </c>
      <c r="EZ42" s="407"/>
      <c r="FA42" s="407">
        <v>0</v>
      </c>
      <c r="FB42" s="407"/>
      <c r="FC42" s="407"/>
      <c r="FD42" s="407"/>
      <c r="FE42" s="407"/>
      <c r="FF42" s="407">
        <v>0</v>
      </c>
      <c r="FG42" s="407">
        <v>0</v>
      </c>
      <c r="FH42" s="407">
        <v>0</v>
      </c>
      <c r="FI42" s="407">
        <v>0</v>
      </c>
    </row>
    <row r="43" spans="1:165" customFormat="1">
      <c r="A43" s="407">
        <v>41</v>
      </c>
      <c r="B43" s="407" t="s">
        <v>1090</v>
      </c>
      <c r="C43" s="407" t="s">
        <v>2314</v>
      </c>
      <c r="D43" s="407" t="s">
        <v>650</v>
      </c>
      <c r="E43" s="407" t="s">
        <v>2316</v>
      </c>
      <c r="F43" s="407" t="s">
        <v>97</v>
      </c>
      <c r="G43" s="407" t="s">
        <v>97</v>
      </c>
      <c r="H43" s="407" t="s">
        <v>97</v>
      </c>
      <c r="I43" s="407" t="s">
        <v>97</v>
      </c>
      <c r="J43" s="407" t="s">
        <v>2307</v>
      </c>
      <c r="K43" s="818">
        <v>44378</v>
      </c>
      <c r="L43" s="407">
        <v>45</v>
      </c>
      <c r="M43" s="407">
        <v>45</v>
      </c>
      <c r="N43" s="407">
        <v>0</v>
      </c>
      <c r="O43" s="407">
        <v>0</v>
      </c>
      <c r="P43" s="407">
        <v>0</v>
      </c>
      <c r="Q43" s="407">
        <v>0</v>
      </c>
      <c r="R43" s="407">
        <v>43.29</v>
      </c>
      <c r="S43" s="407"/>
      <c r="T43" s="407"/>
      <c r="U43" s="407">
        <v>1948.05</v>
      </c>
      <c r="V43" s="407"/>
      <c r="W43" s="407">
        <v>1948.05</v>
      </c>
      <c r="X43" s="407">
        <v>1507.0500000000002</v>
      </c>
      <c r="Y43" s="407">
        <v>0</v>
      </c>
      <c r="Z43" s="407">
        <v>0</v>
      </c>
      <c r="AA43" s="407">
        <v>0</v>
      </c>
      <c r="AB43" s="407">
        <v>0</v>
      </c>
      <c r="AC43" s="407">
        <v>0</v>
      </c>
      <c r="AD43" s="407">
        <v>1064.8794221297101</v>
      </c>
      <c r="AE43" s="407">
        <v>883.31341969672201</v>
      </c>
      <c r="AF43" s="407"/>
      <c r="AG43" s="407"/>
      <c r="AH43" s="407"/>
      <c r="AI43" s="407">
        <v>0</v>
      </c>
      <c r="AJ43" s="407">
        <v>0</v>
      </c>
      <c r="AK43" s="407">
        <v>0</v>
      </c>
      <c r="AL43" s="407">
        <v>0</v>
      </c>
      <c r="AM43" s="407"/>
      <c r="AN43" s="407">
        <v>0</v>
      </c>
      <c r="AO43" s="407">
        <v>0</v>
      </c>
      <c r="AP43" s="407">
        <v>0</v>
      </c>
      <c r="AQ43" s="407">
        <v>0</v>
      </c>
      <c r="AR43" s="407">
        <v>0</v>
      </c>
      <c r="AS43" s="407"/>
      <c r="AT43" s="407"/>
      <c r="AU43" s="407">
        <v>0</v>
      </c>
      <c r="AV43" s="407">
        <v>0</v>
      </c>
      <c r="AW43" s="407">
        <v>0</v>
      </c>
      <c r="AX43" s="407"/>
      <c r="AY43" s="407"/>
      <c r="AZ43" s="407">
        <v>0</v>
      </c>
      <c r="BA43" s="407"/>
      <c r="BB43" s="407">
        <v>0</v>
      </c>
      <c r="BC43" s="407">
        <v>0</v>
      </c>
      <c r="BD43" s="407">
        <v>0</v>
      </c>
      <c r="BE43" s="407">
        <v>0</v>
      </c>
      <c r="BF43" s="407"/>
      <c r="BG43" s="407">
        <v>0</v>
      </c>
      <c r="BH43" s="407">
        <v>0</v>
      </c>
      <c r="BI43" s="407">
        <v>13.51</v>
      </c>
      <c r="BJ43" s="407">
        <v>62.33</v>
      </c>
      <c r="BK43" s="407">
        <v>0</v>
      </c>
      <c r="BL43" s="407">
        <v>1</v>
      </c>
      <c r="BM43" s="407"/>
      <c r="BN43" s="407"/>
      <c r="BO43" s="407"/>
      <c r="BP43" s="407"/>
      <c r="BQ43" s="407"/>
      <c r="BR43" s="407"/>
      <c r="BS43" s="407"/>
      <c r="BT43" s="407"/>
      <c r="BU43" s="407"/>
      <c r="BV43" s="407">
        <v>0</v>
      </c>
      <c r="BW43" s="407"/>
      <c r="BX43" s="407"/>
      <c r="BY43" s="407"/>
      <c r="BZ43" s="407"/>
      <c r="CA43" s="407"/>
      <c r="CB43" s="407"/>
      <c r="CC43" s="407"/>
      <c r="CD43" s="407"/>
      <c r="CE43" s="407"/>
      <c r="CF43" s="407"/>
      <c r="CG43" s="407"/>
      <c r="CH43" s="407"/>
      <c r="CI43" s="407">
        <v>1507.0500000000002</v>
      </c>
      <c r="CJ43" s="407">
        <v>-441.02999999999975</v>
      </c>
      <c r="CK43" s="407"/>
      <c r="CL43" s="407"/>
      <c r="CM43" s="407"/>
      <c r="CN43" s="407"/>
      <c r="CO43" s="407">
        <v>-440.99999999999989</v>
      </c>
      <c r="CP43" s="407">
        <v>0</v>
      </c>
      <c r="CQ43" s="407">
        <v>31</v>
      </c>
      <c r="CR43" s="407">
        <v>10.064706534659763</v>
      </c>
      <c r="CS43" s="407">
        <v>0</v>
      </c>
      <c r="CT43" s="407">
        <v>0</v>
      </c>
      <c r="CU43" s="407">
        <v>0</v>
      </c>
      <c r="CV43" s="407">
        <v>0</v>
      </c>
      <c r="CW43" s="407"/>
      <c r="CX43" s="407"/>
      <c r="CY43" s="407"/>
      <c r="CZ43" s="407">
        <v>48.102714951201051</v>
      </c>
      <c r="DA43" s="407">
        <v>0</v>
      </c>
      <c r="DB43" s="407">
        <v>0</v>
      </c>
      <c r="DC43" s="407"/>
      <c r="DD43" s="407"/>
      <c r="DE43" s="407">
        <v>0</v>
      </c>
      <c r="DF43" s="407">
        <v>0</v>
      </c>
      <c r="DG43" s="407">
        <v>0</v>
      </c>
      <c r="DH43" s="407">
        <v>0</v>
      </c>
      <c r="DI43" s="407">
        <v>0</v>
      </c>
      <c r="DJ43" s="407"/>
      <c r="DK43" s="407">
        <v>0</v>
      </c>
      <c r="DL43" s="407">
        <v>0</v>
      </c>
      <c r="DM43" s="407"/>
      <c r="DN43" s="407">
        <v>0</v>
      </c>
      <c r="DO43" s="407">
        <v>0</v>
      </c>
      <c r="DP43" s="407">
        <v>0</v>
      </c>
      <c r="DQ43" s="407">
        <v>0</v>
      </c>
      <c r="DR43" s="407">
        <v>-38.03800841654121</v>
      </c>
      <c r="DS43" s="407"/>
      <c r="DT43" s="407"/>
      <c r="DU43" s="407">
        <v>883.31341969672201</v>
      </c>
      <c r="DV43" s="407"/>
      <c r="DW43" s="407">
        <v>0</v>
      </c>
      <c r="DX43" s="407">
        <v>0</v>
      </c>
      <c r="DY43" s="407">
        <v>-440.99999999999977</v>
      </c>
      <c r="DZ43" s="407"/>
      <c r="EA43" s="407">
        <v>0</v>
      </c>
      <c r="EB43" s="407"/>
      <c r="EC43" s="407">
        <v>-451.19854638546485</v>
      </c>
      <c r="ED43" s="407"/>
      <c r="EE43" s="407">
        <v>0</v>
      </c>
      <c r="EF43" s="407">
        <v>0</v>
      </c>
      <c r="EG43" s="407"/>
      <c r="EH43" s="407">
        <v>0</v>
      </c>
      <c r="EI43" s="407">
        <v>0</v>
      </c>
      <c r="EJ43" s="407">
        <v>0</v>
      </c>
      <c r="EK43" s="407">
        <v>0</v>
      </c>
      <c r="EL43" s="407">
        <v>0</v>
      </c>
      <c r="EM43" s="407"/>
      <c r="EN43" s="407"/>
      <c r="EO43" s="407">
        <v>0</v>
      </c>
      <c r="EP43" s="407">
        <v>0</v>
      </c>
      <c r="EQ43" s="407"/>
      <c r="ER43" s="407">
        <v>0</v>
      </c>
      <c r="ES43" s="407"/>
      <c r="ET43" s="407">
        <v>0</v>
      </c>
      <c r="EU43" s="407"/>
      <c r="EV43" s="407">
        <v>246</v>
      </c>
      <c r="EW43" s="407"/>
      <c r="EX43" s="407"/>
      <c r="EY43" s="407"/>
      <c r="EZ43" s="407"/>
      <c r="FA43" s="407">
        <v>0</v>
      </c>
      <c r="FB43" s="407"/>
      <c r="FC43" s="407"/>
      <c r="FD43" s="407"/>
      <c r="FE43" s="407"/>
      <c r="FF43" s="407">
        <v>0</v>
      </c>
      <c r="FG43" s="407">
        <v>0</v>
      </c>
      <c r="FH43" s="407">
        <v>0</v>
      </c>
      <c r="FI43" s="407">
        <v>0</v>
      </c>
    </row>
    <row r="44" spans="1:165" customFormat="1">
      <c r="A44" s="407">
        <v>42</v>
      </c>
      <c r="B44" s="407" t="s">
        <v>1090</v>
      </c>
      <c r="C44" s="407" t="s">
        <v>2306</v>
      </c>
      <c r="D44" s="407" t="s">
        <v>2318</v>
      </c>
      <c r="E44" s="407" t="s">
        <v>2319</v>
      </c>
      <c r="F44" s="407" t="s">
        <v>2320</v>
      </c>
      <c r="G44" s="407" t="s">
        <v>97</v>
      </c>
      <c r="H44" s="407" t="s">
        <v>97</v>
      </c>
      <c r="I44" s="407" t="s">
        <v>97</v>
      </c>
      <c r="J44" s="407" t="s">
        <v>2307</v>
      </c>
      <c r="K44" s="818">
        <v>44378</v>
      </c>
      <c r="L44" s="407">
        <v>0</v>
      </c>
      <c r="M44" s="407">
        <v>0</v>
      </c>
      <c r="N44" s="407">
        <v>606.09199999999998</v>
      </c>
      <c r="O44" s="407">
        <v>606.09199999999998</v>
      </c>
      <c r="P44" s="407">
        <v>606.09199999999998</v>
      </c>
      <c r="Q44" s="407">
        <v>606.09199999999998</v>
      </c>
      <c r="R44" s="407"/>
      <c r="S44" s="407">
        <v>356.64</v>
      </c>
      <c r="T44" s="407">
        <v>87.68</v>
      </c>
      <c r="U44" s="407"/>
      <c r="V44" s="407">
        <v>269298.79743999999</v>
      </c>
      <c r="W44" s="407">
        <v>269298.79743999999</v>
      </c>
      <c r="X44" s="407">
        <v>203949.95800000001</v>
      </c>
      <c r="Y44" s="407">
        <v>0</v>
      </c>
      <c r="Z44" s="407">
        <v>20657.820229663121</v>
      </c>
      <c r="AA44" s="407">
        <v>0</v>
      </c>
      <c r="AB44" s="407">
        <v>0</v>
      </c>
      <c r="AC44" s="407">
        <v>0</v>
      </c>
      <c r="AD44" s="407">
        <v>38883.489464397862</v>
      </c>
      <c r="AE44" s="407">
        <v>139189.20655646638</v>
      </c>
      <c r="AF44" s="407">
        <v>51412.901954744826</v>
      </c>
      <c r="AG44" s="407">
        <v>1727.3385508725478</v>
      </c>
      <c r="AH44" s="407">
        <v>0</v>
      </c>
      <c r="AI44" s="407">
        <v>0</v>
      </c>
      <c r="AJ44" s="407">
        <v>0</v>
      </c>
      <c r="AK44" s="407">
        <v>0</v>
      </c>
      <c r="AL44" s="407">
        <v>3192.1837968030986</v>
      </c>
      <c r="AM44" s="407"/>
      <c r="AN44" s="407">
        <v>691.73437681084681</v>
      </c>
      <c r="AO44" s="407">
        <v>0</v>
      </c>
      <c r="AP44" s="407">
        <v>0</v>
      </c>
      <c r="AQ44" s="407">
        <v>0</v>
      </c>
      <c r="AR44" s="407">
        <v>0</v>
      </c>
      <c r="AS44" s="407">
        <v>0</v>
      </c>
      <c r="AT44" s="407">
        <v>0</v>
      </c>
      <c r="AU44" s="407">
        <v>0</v>
      </c>
      <c r="AV44" s="407">
        <v>0</v>
      </c>
      <c r="AW44" s="407">
        <v>0</v>
      </c>
      <c r="AX44" s="407">
        <v>0</v>
      </c>
      <c r="AY44" s="407">
        <v>0</v>
      </c>
      <c r="AZ44" s="407">
        <v>0</v>
      </c>
      <c r="BA44" s="407"/>
      <c r="BB44" s="407">
        <v>0</v>
      </c>
      <c r="BC44" s="407">
        <v>0</v>
      </c>
      <c r="BD44" s="407">
        <v>0</v>
      </c>
      <c r="BE44" s="407">
        <v>0</v>
      </c>
      <c r="BF44" s="407">
        <v>0</v>
      </c>
      <c r="BG44" s="407">
        <v>3758.1189593104555</v>
      </c>
      <c r="BH44" s="407">
        <v>0</v>
      </c>
      <c r="BI44" s="407">
        <v>984.97</v>
      </c>
      <c r="BJ44" s="407">
        <v>4544.95</v>
      </c>
      <c r="BK44" s="407">
        <v>63565.65</v>
      </c>
      <c r="BL44" s="407">
        <v>62</v>
      </c>
      <c r="BM44" s="407"/>
      <c r="BN44" s="407"/>
      <c r="BO44" s="407"/>
      <c r="BP44" s="407"/>
      <c r="BQ44" s="407"/>
      <c r="BR44" s="407"/>
      <c r="BS44" s="407"/>
      <c r="BT44" s="407"/>
      <c r="BU44" s="407"/>
      <c r="BV44" s="407">
        <v>55171.020914055283</v>
      </c>
      <c r="BW44" s="407"/>
      <c r="BX44" s="407"/>
      <c r="BY44" s="407"/>
      <c r="BZ44" s="407"/>
      <c r="CA44" s="407"/>
      <c r="CB44" s="407"/>
      <c r="CC44" s="407"/>
      <c r="CD44" s="407"/>
      <c r="CE44" s="407"/>
      <c r="CF44" s="407"/>
      <c r="CG44" s="407"/>
      <c r="CH44" s="407"/>
      <c r="CI44" s="407">
        <v>203949.285</v>
      </c>
      <c r="CJ44" s="407">
        <v>-65349.542440000019</v>
      </c>
      <c r="CK44" s="407"/>
      <c r="CL44" s="407"/>
      <c r="CM44" s="407"/>
      <c r="CN44" s="407"/>
      <c r="CO44" s="407">
        <v>-74500.828639999992</v>
      </c>
      <c r="CP44" s="407">
        <v>9151.9891999999963</v>
      </c>
      <c r="CQ44" s="407">
        <v>31</v>
      </c>
      <c r="CR44" s="407">
        <v>5751.637257930488</v>
      </c>
      <c r="CS44" s="407">
        <v>0</v>
      </c>
      <c r="CT44" s="407">
        <v>0</v>
      </c>
      <c r="CU44" s="407">
        <v>0</v>
      </c>
      <c r="CV44" s="407">
        <v>0</v>
      </c>
      <c r="CW44" s="407">
        <v>0</v>
      </c>
      <c r="CX44" s="407">
        <v>0</v>
      </c>
      <c r="CY44" s="407">
        <v>0</v>
      </c>
      <c r="CZ44" s="407">
        <v>1756.4443176799687</v>
      </c>
      <c r="DA44" s="407">
        <v>0</v>
      </c>
      <c r="DB44" s="407">
        <v>0</v>
      </c>
      <c r="DC44" s="407">
        <v>10193.790060219115</v>
      </c>
      <c r="DD44" s="407">
        <v>0</v>
      </c>
      <c r="DE44" s="407">
        <v>0</v>
      </c>
      <c r="DF44" s="407">
        <v>0</v>
      </c>
      <c r="DG44" s="407">
        <v>745.13350221430937</v>
      </c>
      <c r="DH44" s="407">
        <v>0</v>
      </c>
      <c r="DI44" s="407">
        <v>-1446.9144815305917</v>
      </c>
      <c r="DJ44" s="407"/>
      <c r="DK44" s="407">
        <v>0</v>
      </c>
      <c r="DL44" s="407">
        <v>0</v>
      </c>
      <c r="DM44" s="407">
        <v>0</v>
      </c>
      <c r="DN44" s="407">
        <v>0</v>
      </c>
      <c r="DO44" s="407">
        <v>-194.75952880943305</v>
      </c>
      <c r="DP44" s="407">
        <v>-44.075644503210697</v>
      </c>
      <c r="DQ44" s="407">
        <v>0</v>
      </c>
      <c r="DR44" s="407">
        <v>-5257.9809673396685</v>
      </c>
      <c r="DS44" s="407"/>
      <c r="DT44" s="407"/>
      <c r="DU44" s="407"/>
      <c r="DV44" s="407">
        <v>139189.20655646638</v>
      </c>
      <c r="DW44" s="407">
        <v>0</v>
      </c>
      <c r="DX44" s="407">
        <v>0</v>
      </c>
      <c r="DY44" s="407">
        <v>-74500.828639999963</v>
      </c>
      <c r="DZ44" s="407">
        <v>9151.9891999999963</v>
      </c>
      <c r="EA44" s="407">
        <v>0</v>
      </c>
      <c r="EB44" s="407">
        <v>0</v>
      </c>
      <c r="EC44" s="407">
        <v>-71098.169993144504</v>
      </c>
      <c r="ED44" s="407">
        <v>0</v>
      </c>
      <c r="EE44" s="407">
        <v>0</v>
      </c>
      <c r="EF44" s="407">
        <v>0</v>
      </c>
      <c r="EG44" s="407">
        <v>0</v>
      </c>
      <c r="EH44" s="407">
        <v>0</v>
      </c>
      <c r="EI44" s="407">
        <v>0</v>
      </c>
      <c r="EJ44" s="407">
        <v>0</v>
      </c>
      <c r="EK44" s="407">
        <v>0</v>
      </c>
      <c r="EL44" s="407">
        <v>0</v>
      </c>
      <c r="EM44" s="407">
        <v>0</v>
      </c>
      <c r="EN44" s="407">
        <v>0</v>
      </c>
      <c r="EO44" s="407">
        <v>0</v>
      </c>
      <c r="EP44" s="407">
        <v>9785.2400893928116</v>
      </c>
      <c r="EQ44" s="407">
        <v>0</v>
      </c>
      <c r="ER44" s="407">
        <v>0</v>
      </c>
      <c r="ES44" s="407">
        <v>0</v>
      </c>
      <c r="ET44" s="407">
        <v>0</v>
      </c>
      <c r="EU44" s="407">
        <v>0</v>
      </c>
      <c r="EV44" s="407">
        <v>246</v>
      </c>
      <c r="EW44" s="407">
        <v>0</v>
      </c>
      <c r="EX44" s="407">
        <v>0</v>
      </c>
      <c r="EY44" s="407">
        <v>0</v>
      </c>
      <c r="EZ44" s="407"/>
      <c r="FA44" s="407">
        <v>0</v>
      </c>
      <c r="FB44" s="407"/>
      <c r="FC44" s="407"/>
      <c r="FD44" s="407"/>
      <c r="FE44" s="407"/>
      <c r="FF44" s="407">
        <v>0</v>
      </c>
      <c r="FG44" s="407">
        <v>0</v>
      </c>
      <c r="FH44" s="407">
        <v>0</v>
      </c>
      <c r="FI44" s="407">
        <v>0</v>
      </c>
    </row>
    <row r="45" spans="1:165" customFormat="1">
      <c r="A45" s="407">
        <v>43</v>
      </c>
      <c r="B45" s="407" t="s">
        <v>1090</v>
      </c>
      <c r="C45" s="407" t="s">
        <v>2306</v>
      </c>
      <c r="D45" s="407" t="s">
        <v>1219</v>
      </c>
      <c r="E45" s="407" t="s">
        <v>1052</v>
      </c>
      <c r="F45" s="407" t="s">
        <v>2321</v>
      </c>
      <c r="G45" s="407" t="s">
        <v>97</v>
      </c>
      <c r="H45" s="407" t="s">
        <v>97</v>
      </c>
      <c r="I45" s="407" t="s">
        <v>97</v>
      </c>
      <c r="J45" s="407" t="s">
        <v>2307</v>
      </c>
      <c r="K45" s="818">
        <v>44378</v>
      </c>
      <c r="L45" s="407">
        <v>0</v>
      </c>
      <c r="M45" s="407">
        <v>0</v>
      </c>
      <c r="N45" s="407">
        <v>47.158999999999999</v>
      </c>
      <c r="O45" s="407">
        <v>44.329459999999997</v>
      </c>
      <c r="P45" s="407">
        <v>47.158999999999999</v>
      </c>
      <c r="Q45" s="407">
        <v>44.329459999999997</v>
      </c>
      <c r="R45" s="407"/>
      <c r="S45" s="407">
        <v>648.44000000000005</v>
      </c>
      <c r="T45" s="407">
        <v>159.41</v>
      </c>
      <c r="U45" s="407"/>
      <c r="V45" s="407">
        <v>38097.398150000001</v>
      </c>
      <c r="W45" s="407">
        <v>38097.398150000001</v>
      </c>
      <c r="X45" s="407">
        <v>28852.819379999997</v>
      </c>
      <c r="Y45" s="407">
        <v>0</v>
      </c>
      <c r="Z45" s="407">
        <v>2922.455049460486</v>
      </c>
      <c r="AA45" s="407">
        <v>0</v>
      </c>
      <c r="AB45" s="407">
        <v>0</v>
      </c>
      <c r="AC45" s="407">
        <v>0</v>
      </c>
      <c r="AD45" s="407">
        <v>5500.8344957277468</v>
      </c>
      <c r="AE45" s="407">
        <v>19691.051379527766</v>
      </c>
      <c r="AF45" s="407">
        <v>7273.3663694735069</v>
      </c>
      <c r="AG45" s="407">
        <v>244.36601800206299</v>
      </c>
      <c r="AH45" s="407">
        <v>0</v>
      </c>
      <c r="AI45" s="407">
        <v>0</v>
      </c>
      <c r="AJ45" s="407">
        <v>0</v>
      </c>
      <c r="AK45" s="407">
        <v>0</v>
      </c>
      <c r="AL45" s="407">
        <v>451.59719428564813</v>
      </c>
      <c r="AM45" s="407"/>
      <c r="AN45" s="407">
        <v>97.859435309318968</v>
      </c>
      <c r="AO45" s="407">
        <v>0</v>
      </c>
      <c r="AP45" s="407">
        <v>0</v>
      </c>
      <c r="AQ45" s="407">
        <v>0</v>
      </c>
      <c r="AR45" s="407">
        <v>0</v>
      </c>
      <c r="AS45" s="407">
        <v>0</v>
      </c>
      <c r="AT45" s="407">
        <v>0</v>
      </c>
      <c r="AU45" s="407">
        <v>0</v>
      </c>
      <c r="AV45" s="407">
        <v>0</v>
      </c>
      <c r="AW45" s="407">
        <v>0</v>
      </c>
      <c r="AX45" s="407">
        <v>0</v>
      </c>
      <c r="AY45" s="407">
        <v>0</v>
      </c>
      <c r="AZ45" s="407">
        <v>0</v>
      </c>
      <c r="BA45" s="407"/>
      <c r="BB45" s="407">
        <v>0</v>
      </c>
      <c r="BC45" s="407">
        <v>0</v>
      </c>
      <c r="BD45" s="407">
        <v>0</v>
      </c>
      <c r="BE45" s="407">
        <v>0</v>
      </c>
      <c r="BF45" s="407">
        <v>0</v>
      </c>
      <c r="BG45" s="407">
        <v>531.65985602582191</v>
      </c>
      <c r="BH45" s="407">
        <v>0</v>
      </c>
      <c r="BI45" s="407">
        <v>131.29</v>
      </c>
      <c r="BJ45" s="407">
        <v>605.85</v>
      </c>
      <c r="BK45" s="407">
        <v>13452.82</v>
      </c>
      <c r="BL45" s="407">
        <v>13</v>
      </c>
      <c r="BM45" s="407"/>
      <c r="BN45" s="407"/>
      <c r="BO45" s="407"/>
      <c r="BP45" s="407"/>
      <c r="BQ45" s="407">
        <v>1731.1691628000008</v>
      </c>
      <c r="BR45" s="407"/>
      <c r="BS45" s="407"/>
      <c r="BT45" s="407"/>
      <c r="BU45" s="407"/>
      <c r="BV45" s="407">
        <v>7805.0262254993286</v>
      </c>
      <c r="BW45" s="407"/>
      <c r="BX45" s="407"/>
      <c r="BY45" s="407"/>
      <c r="BZ45" s="407"/>
      <c r="CA45" s="407"/>
      <c r="CB45" s="407"/>
      <c r="CC45" s="407"/>
      <c r="CD45" s="407"/>
      <c r="CE45" s="407"/>
      <c r="CF45" s="407"/>
      <c r="CG45" s="407"/>
      <c r="CH45" s="407"/>
      <c r="CI45" s="407">
        <v>27121.980599999999</v>
      </c>
      <c r="CJ45" s="407">
        <v>-8689.6036610000046</v>
      </c>
      <c r="CK45" s="407"/>
      <c r="CL45" s="407"/>
      <c r="CM45" s="407"/>
      <c r="CN45" s="407"/>
      <c r="CO45" s="407">
        <v>-10540.036500000002</v>
      </c>
      <c r="CP45" s="407">
        <v>1295.4577299999999</v>
      </c>
      <c r="CQ45" s="407">
        <v>31</v>
      </c>
      <c r="CR45" s="407">
        <v>813.68223560043043</v>
      </c>
      <c r="CS45" s="407">
        <v>0</v>
      </c>
      <c r="CT45" s="407">
        <v>0</v>
      </c>
      <c r="CU45" s="407">
        <v>0</v>
      </c>
      <c r="CV45" s="407">
        <v>0</v>
      </c>
      <c r="CW45" s="407">
        <v>0</v>
      </c>
      <c r="CX45" s="407">
        <v>0</v>
      </c>
      <c r="CY45" s="407">
        <v>0</v>
      </c>
      <c r="CZ45" s="407">
        <v>248.48360128185777</v>
      </c>
      <c r="DA45" s="407">
        <v>0</v>
      </c>
      <c r="DB45" s="407">
        <v>0</v>
      </c>
      <c r="DC45" s="407">
        <v>1442.1121349410341</v>
      </c>
      <c r="DD45" s="407">
        <v>0</v>
      </c>
      <c r="DE45" s="407">
        <v>0</v>
      </c>
      <c r="DF45" s="407">
        <v>0</v>
      </c>
      <c r="DG45" s="407">
        <v>105.41379205834562</v>
      </c>
      <c r="DH45" s="407">
        <v>0</v>
      </c>
      <c r="DI45" s="407">
        <v>-204.69451692752182</v>
      </c>
      <c r="DJ45" s="407"/>
      <c r="DK45" s="407">
        <v>0</v>
      </c>
      <c r="DL45" s="407">
        <v>0</v>
      </c>
      <c r="DM45" s="407">
        <v>0</v>
      </c>
      <c r="DN45" s="407">
        <v>0</v>
      </c>
      <c r="DO45" s="407">
        <v>-27.552566634420486</v>
      </c>
      <c r="DP45" s="407">
        <v>-6.2353669653712416</v>
      </c>
      <c r="DQ45" s="407">
        <v>0</v>
      </c>
      <c r="DR45" s="407">
        <v>-743.84484215349153</v>
      </c>
      <c r="DS45" s="407"/>
      <c r="DT45" s="407"/>
      <c r="DU45" s="407"/>
      <c r="DV45" s="407">
        <v>19691.051379527766</v>
      </c>
      <c r="DW45" s="407">
        <v>0</v>
      </c>
      <c r="DX45" s="407">
        <v>0</v>
      </c>
      <c r="DY45" s="407">
        <v>-10540.036500000002</v>
      </c>
      <c r="DZ45" s="407">
        <v>1295.4577299999992</v>
      </c>
      <c r="EA45" s="407">
        <v>0</v>
      </c>
      <c r="EB45" s="407">
        <v>0</v>
      </c>
      <c r="EC45" s="407">
        <v>-10058.234779558605</v>
      </c>
      <c r="ED45" s="407">
        <v>0</v>
      </c>
      <c r="EE45" s="407">
        <v>0</v>
      </c>
      <c r="EF45" s="407">
        <v>0</v>
      </c>
      <c r="EG45" s="407">
        <v>0</v>
      </c>
      <c r="EH45" s="407">
        <v>0</v>
      </c>
      <c r="EI45" s="407">
        <v>0</v>
      </c>
      <c r="EJ45" s="407">
        <v>0</v>
      </c>
      <c r="EK45" s="407">
        <v>0</v>
      </c>
      <c r="EL45" s="407">
        <v>0</v>
      </c>
      <c r="EM45" s="407">
        <v>0</v>
      </c>
      <c r="EN45" s="407">
        <v>0</v>
      </c>
      <c r="EO45" s="407">
        <v>0</v>
      </c>
      <c r="EP45" s="407">
        <v>1384.3147046253316</v>
      </c>
      <c r="EQ45" s="407">
        <v>0</v>
      </c>
      <c r="ER45" s="407">
        <v>0</v>
      </c>
      <c r="ES45" s="407">
        <v>0</v>
      </c>
      <c r="ET45" s="407">
        <v>0</v>
      </c>
      <c r="EU45" s="407">
        <v>0</v>
      </c>
      <c r="EV45" s="407">
        <v>246</v>
      </c>
      <c r="EW45" s="407">
        <v>0</v>
      </c>
      <c r="EX45" s="407">
        <v>0</v>
      </c>
      <c r="EY45" s="407">
        <v>0</v>
      </c>
      <c r="EZ45" s="407"/>
      <c r="FA45" s="407">
        <v>0</v>
      </c>
      <c r="FB45" s="407"/>
      <c r="FC45" s="407"/>
      <c r="FD45" s="407"/>
      <c r="FE45" s="407"/>
      <c r="FF45" s="407">
        <v>0</v>
      </c>
      <c r="FG45" s="407">
        <v>0</v>
      </c>
      <c r="FH45" s="407">
        <v>0</v>
      </c>
      <c r="FI45" s="407">
        <v>0</v>
      </c>
    </row>
    <row r="46" spans="1:165" customFormat="1">
      <c r="A46" s="407">
        <v>44</v>
      </c>
      <c r="B46" s="407" t="s">
        <v>1090</v>
      </c>
      <c r="C46" s="407" t="s">
        <v>2317</v>
      </c>
      <c r="D46" s="407" t="s">
        <v>650</v>
      </c>
      <c r="E46" s="407" t="s">
        <v>1052</v>
      </c>
      <c r="F46" s="407" t="s">
        <v>2321</v>
      </c>
      <c r="G46" s="407" t="s">
        <v>97</v>
      </c>
      <c r="H46" s="407" t="s">
        <v>97</v>
      </c>
      <c r="I46" s="407" t="s">
        <v>1025</v>
      </c>
      <c r="J46" s="407" t="s">
        <v>2307</v>
      </c>
      <c r="K46" s="818">
        <v>44378</v>
      </c>
      <c r="L46" s="407">
        <v>708</v>
      </c>
      <c r="M46" s="407">
        <v>665.52</v>
      </c>
      <c r="N46" s="407">
        <v>38.078000000000003</v>
      </c>
      <c r="O46" s="407">
        <v>35.793320000000001</v>
      </c>
      <c r="P46" s="407">
        <v>38.078000000000003</v>
      </c>
      <c r="Q46" s="407">
        <v>35.793320000000001</v>
      </c>
      <c r="R46" s="407">
        <v>112.91</v>
      </c>
      <c r="S46" s="407">
        <v>95.29</v>
      </c>
      <c r="T46" s="407">
        <v>159.41</v>
      </c>
      <c r="U46" s="407">
        <v>79940.28</v>
      </c>
      <c r="V46" s="407">
        <v>9698.4666000000016</v>
      </c>
      <c r="W46" s="407">
        <v>89638.746599999999</v>
      </c>
      <c r="X46" s="407">
        <v>58079.298980000007</v>
      </c>
      <c r="Y46" s="407">
        <v>0</v>
      </c>
      <c r="Z46" s="407">
        <v>2052.9417870357729</v>
      </c>
      <c r="AA46" s="407">
        <v>0</v>
      </c>
      <c r="AB46" s="407">
        <v>0</v>
      </c>
      <c r="AC46" s="407">
        <v>0</v>
      </c>
      <c r="AD46" s="407">
        <v>17972.872804850485</v>
      </c>
      <c r="AE46" s="407">
        <v>61965.112641339554</v>
      </c>
      <c r="AF46" s="407">
        <v>5872.7972310017649</v>
      </c>
      <c r="AG46" s="407">
        <v>197.31057133277963</v>
      </c>
      <c r="AH46" s="407">
        <v>0</v>
      </c>
      <c r="AI46" s="407">
        <v>0</v>
      </c>
      <c r="AJ46" s="407">
        <v>0</v>
      </c>
      <c r="AK46" s="407">
        <v>0</v>
      </c>
      <c r="AL46" s="407">
        <v>364.63703564555885</v>
      </c>
      <c r="AM46" s="407"/>
      <c r="AN46" s="407">
        <v>40.885619788751072</v>
      </c>
      <c r="AO46" s="407">
        <v>0</v>
      </c>
      <c r="AP46" s="407">
        <v>0</v>
      </c>
      <c r="AQ46" s="407">
        <v>0</v>
      </c>
      <c r="AR46" s="407">
        <v>0</v>
      </c>
      <c r="AS46" s="407">
        <v>0</v>
      </c>
      <c r="AT46" s="407">
        <v>0</v>
      </c>
      <c r="AU46" s="407">
        <v>0</v>
      </c>
      <c r="AV46" s="407">
        <v>0</v>
      </c>
      <c r="AW46" s="407">
        <v>0</v>
      </c>
      <c r="AX46" s="407">
        <v>0</v>
      </c>
      <c r="AY46" s="407">
        <v>0</v>
      </c>
      <c r="AZ46" s="407">
        <v>0</v>
      </c>
      <c r="BA46" s="407"/>
      <c r="BB46" s="407">
        <v>0</v>
      </c>
      <c r="BC46" s="407">
        <v>0</v>
      </c>
      <c r="BD46" s="407">
        <v>0</v>
      </c>
      <c r="BE46" s="407">
        <v>0</v>
      </c>
      <c r="BF46" s="407">
        <v>0</v>
      </c>
      <c r="BG46" s="407">
        <v>197.62003583971088</v>
      </c>
      <c r="BH46" s="407">
        <v>0</v>
      </c>
      <c r="BI46" s="407">
        <v>0</v>
      </c>
      <c r="BJ46" s="407">
        <v>0</v>
      </c>
      <c r="BK46" s="407">
        <v>0</v>
      </c>
      <c r="BL46" s="407">
        <v>0</v>
      </c>
      <c r="BM46" s="407"/>
      <c r="BN46" s="407"/>
      <c r="BO46" s="407"/>
      <c r="BP46" s="407"/>
      <c r="BQ46" s="407">
        <v>3484.7579388000017</v>
      </c>
      <c r="BR46" s="407"/>
      <c r="BS46" s="407"/>
      <c r="BT46" s="407"/>
      <c r="BU46" s="407"/>
      <c r="BV46" s="407">
        <v>6070.4172668414758</v>
      </c>
      <c r="BW46" s="407"/>
      <c r="BX46" s="407"/>
      <c r="BY46" s="407"/>
      <c r="BZ46" s="407"/>
      <c r="CA46" s="407"/>
      <c r="CB46" s="407"/>
      <c r="CC46" s="407"/>
      <c r="CD46" s="407"/>
      <c r="CE46" s="407"/>
      <c r="CF46" s="407"/>
      <c r="CG46" s="407"/>
      <c r="CH46" s="407"/>
      <c r="CI46" s="407">
        <v>54593.621699999996</v>
      </c>
      <c r="CJ46" s="407">
        <v>-29666.830103999971</v>
      </c>
      <c r="CK46" s="407"/>
      <c r="CL46" s="407"/>
      <c r="CM46" s="407"/>
      <c r="CN46" s="407"/>
      <c r="CO46" s="407">
        <v>-32605.450279999997</v>
      </c>
      <c r="CP46" s="407">
        <v>1046.0026600000001</v>
      </c>
      <c r="CQ46" s="407">
        <v>31</v>
      </c>
      <c r="CR46" s="407">
        <v>96.691903154733154</v>
      </c>
      <c r="CS46" s="407">
        <v>0</v>
      </c>
      <c r="CT46" s="407">
        <v>0</v>
      </c>
      <c r="CU46" s="407">
        <v>0</v>
      </c>
      <c r="CV46" s="407">
        <v>0</v>
      </c>
      <c r="CW46" s="407">
        <v>0</v>
      </c>
      <c r="CX46" s="407">
        <v>0</v>
      </c>
      <c r="CY46" s="407">
        <v>0</v>
      </c>
      <c r="CZ46" s="407">
        <v>811.87030138765112</v>
      </c>
      <c r="DA46" s="407">
        <v>0</v>
      </c>
      <c r="DB46" s="407">
        <v>0</v>
      </c>
      <c r="DC46" s="407">
        <v>1164.4170969334536</v>
      </c>
      <c r="DD46" s="407">
        <v>0</v>
      </c>
      <c r="DE46" s="407">
        <v>0</v>
      </c>
      <c r="DF46" s="407">
        <v>0</v>
      </c>
      <c r="DG46" s="407">
        <v>39.182716408737633</v>
      </c>
      <c r="DH46" s="407">
        <v>0</v>
      </c>
      <c r="DI46" s="407">
        <v>-143.79209269795024</v>
      </c>
      <c r="DJ46" s="407"/>
      <c r="DK46" s="407">
        <v>0</v>
      </c>
      <c r="DL46" s="407">
        <v>0</v>
      </c>
      <c r="DM46" s="407">
        <v>0</v>
      </c>
      <c r="DN46" s="407">
        <v>0</v>
      </c>
      <c r="DO46" s="407">
        <v>-22.247007619022042</v>
      </c>
      <c r="DP46" s="407">
        <v>-2.6051329867546542</v>
      </c>
      <c r="DQ46" s="407">
        <v>0</v>
      </c>
      <c r="DR46" s="407">
        <v>-1750.1339782713801</v>
      </c>
      <c r="DS46" s="407"/>
      <c r="DT46" s="407"/>
      <c r="DU46" s="407">
        <v>61965.112641339554</v>
      </c>
      <c r="DV46" s="407">
        <v>0</v>
      </c>
      <c r="DW46" s="407">
        <v>0</v>
      </c>
      <c r="DX46" s="407">
        <v>0</v>
      </c>
      <c r="DY46" s="407">
        <v>-32605.45027999999</v>
      </c>
      <c r="DZ46" s="407">
        <v>1046.0026600000001</v>
      </c>
      <c r="EA46" s="407">
        <v>0</v>
      </c>
      <c r="EB46" s="407">
        <v>0</v>
      </c>
      <c r="EC46" s="407">
        <v>-31651.923458814021</v>
      </c>
      <c r="ED46" s="407">
        <v>0</v>
      </c>
      <c r="EE46" s="407">
        <v>0</v>
      </c>
      <c r="EF46" s="407">
        <v>0</v>
      </c>
      <c r="EG46" s="407">
        <v>0</v>
      </c>
      <c r="EH46" s="407">
        <v>0</v>
      </c>
      <c r="EI46" s="407">
        <v>0</v>
      </c>
      <c r="EJ46" s="407">
        <v>0</v>
      </c>
      <c r="EK46" s="407">
        <v>0</v>
      </c>
      <c r="EL46" s="407">
        <v>0</v>
      </c>
      <c r="EM46" s="407">
        <v>0</v>
      </c>
      <c r="EN46" s="407">
        <v>0</v>
      </c>
      <c r="EO46" s="407">
        <v>0</v>
      </c>
      <c r="EP46" s="407">
        <v>972.44181875716879</v>
      </c>
      <c r="EQ46" s="407">
        <v>0</v>
      </c>
      <c r="ER46" s="407">
        <v>0</v>
      </c>
      <c r="ES46" s="407">
        <v>0</v>
      </c>
      <c r="ET46" s="407">
        <v>0</v>
      </c>
      <c r="EU46" s="407">
        <v>0</v>
      </c>
      <c r="EV46" s="407">
        <v>246</v>
      </c>
      <c r="EW46" s="407">
        <v>0</v>
      </c>
      <c r="EX46" s="407">
        <v>0</v>
      </c>
      <c r="EY46" s="407">
        <v>0</v>
      </c>
      <c r="EZ46" s="407"/>
      <c r="FA46" s="407">
        <v>0</v>
      </c>
      <c r="FB46" s="407"/>
      <c r="FC46" s="407"/>
      <c r="FD46" s="407"/>
      <c r="FE46" s="407"/>
      <c r="FF46" s="407">
        <v>0</v>
      </c>
      <c r="FG46" s="407">
        <v>0</v>
      </c>
      <c r="FH46" s="407">
        <v>0</v>
      </c>
      <c r="FI46" s="407">
        <v>0</v>
      </c>
    </row>
    <row r="47" spans="1:165" customFormat="1">
      <c r="A47" s="407">
        <v>45</v>
      </c>
      <c r="B47" s="407" t="s">
        <v>1090</v>
      </c>
      <c r="C47" s="407" t="s">
        <v>2317</v>
      </c>
      <c r="D47" s="407" t="s">
        <v>650</v>
      </c>
      <c r="E47" s="407" t="s">
        <v>1052</v>
      </c>
      <c r="F47" s="407" t="s">
        <v>2321</v>
      </c>
      <c r="G47" s="407" t="s">
        <v>97</v>
      </c>
      <c r="H47" s="407" t="s">
        <v>97</v>
      </c>
      <c r="I47" s="407" t="s">
        <v>2290</v>
      </c>
      <c r="J47" s="407" t="s">
        <v>2307</v>
      </c>
      <c r="K47" s="818">
        <v>44378</v>
      </c>
      <c r="L47" s="407">
        <v>718</v>
      </c>
      <c r="M47" s="407">
        <v>674.92</v>
      </c>
      <c r="N47" s="407">
        <v>373.44400000000002</v>
      </c>
      <c r="O47" s="407">
        <v>351.03735999999998</v>
      </c>
      <c r="P47" s="407">
        <v>373.44400000000002</v>
      </c>
      <c r="Q47" s="407">
        <v>351.03735999999998</v>
      </c>
      <c r="R47" s="407">
        <v>43.29</v>
      </c>
      <c r="S47" s="407">
        <v>95.29</v>
      </c>
      <c r="T47" s="407">
        <v>159.41</v>
      </c>
      <c r="U47" s="407">
        <v>31082.22</v>
      </c>
      <c r="V47" s="407">
        <v>95116.18680000001</v>
      </c>
      <c r="W47" s="407">
        <v>126198.4068</v>
      </c>
      <c r="X47" s="407">
        <v>127456.19804</v>
      </c>
      <c r="Y47" s="407">
        <v>0</v>
      </c>
      <c r="Z47" s="407">
        <v>20133.903900356821</v>
      </c>
      <c r="AA47" s="407">
        <v>0</v>
      </c>
      <c r="AB47" s="407">
        <v>0</v>
      </c>
      <c r="AC47" s="407">
        <v>0</v>
      </c>
      <c r="AD47" s="407">
        <v>16990.742779758486</v>
      </c>
      <c r="AE47" s="407">
        <v>14093.756340938808</v>
      </c>
      <c r="AF47" s="407">
        <v>57596.535772210278</v>
      </c>
      <c r="AG47" s="407">
        <v>1935.0924155890161</v>
      </c>
      <c r="AH47" s="407">
        <v>0</v>
      </c>
      <c r="AI47" s="407">
        <v>0</v>
      </c>
      <c r="AJ47" s="407">
        <v>0</v>
      </c>
      <c r="AK47" s="407">
        <v>0</v>
      </c>
      <c r="AL47" s="407">
        <v>3576.1204144025446</v>
      </c>
      <c r="AM47" s="407"/>
      <c r="AN47" s="407">
        <v>400.97928978387404</v>
      </c>
      <c r="AO47" s="407">
        <v>0</v>
      </c>
      <c r="AP47" s="407">
        <v>0</v>
      </c>
      <c r="AQ47" s="407">
        <v>0</v>
      </c>
      <c r="AR47" s="407">
        <v>0</v>
      </c>
      <c r="AS47" s="407">
        <v>0</v>
      </c>
      <c r="AT47" s="407">
        <v>0</v>
      </c>
      <c r="AU47" s="407">
        <v>0</v>
      </c>
      <c r="AV47" s="407">
        <v>0</v>
      </c>
      <c r="AW47" s="407">
        <v>0</v>
      </c>
      <c r="AX47" s="407">
        <v>0</v>
      </c>
      <c r="AY47" s="407">
        <v>0</v>
      </c>
      <c r="AZ47" s="407">
        <v>0</v>
      </c>
      <c r="BA47" s="407"/>
      <c r="BB47" s="407">
        <v>0</v>
      </c>
      <c r="BC47" s="407">
        <v>0</v>
      </c>
      <c r="BD47" s="407">
        <v>0</v>
      </c>
      <c r="BE47" s="407">
        <v>0</v>
      </c>
      <c r="BF47" s="407">
        <v>0</v>
      </c>
      <c r="BG47" s="407">
        <v>1938.1274400999262</v>
      </c>
      <c r="BH47" s="407">
        <v>0</v>
      </c>
      <c r="BI47" s="407">
        <v>0</v>
      </c>
      <c r="BJ47" s="407">
        <v>0</v>
      </c>
      <c r="BK47" s="407">
        <v>0</v>
      </c>
      <c r="BL47" s="407">
        <v>0</v>
      </c>
      <c r="BM47" s="407"/>
      <c r="BN47" s="407"/>
      <c r="BO47" s="407"/>
      <c r="BP47" s="407"/>
      <c r="BQ47" s="407">
        <v>7647.3718824000116</v>
      </c>
      <c r="BR47" s="407"/>
      <c r="BS47" s="407"/>
      <c r="BT47" s="407"/>
      <c r="BU47" s="407"/>
      <c r="BV47" s="407">
        <v>59534.663212310203</v>
      </c>
      <c r="BW47" s="407"/>
      <c r="BX47" s="407"/>
      <c r="BY47" s="407"/>
      <c r="BZ47" s="407"/>
      <c r="CA47" s="407"/>
      <c r="CB47" s="407"/>
      <c r="CC47" s="407"/>
      <c r="CD47" s="407"/>
      <c r="CE47" s="407"/>
      <c r="CF47" s="407"/>
      <c r="CG47" s="407"/>
      <c r="CH47" s="407"/>
      <c r="CI47" s="407">
        <v>119809.55720000001</v>
      </c>
      <c r="CJ47" s="407">
        <v>1183.024808000031</v>
      </c>
      <c r="CK47" s="407"/>
      <c r="CL47" s="407"/>
      <c r="CM47" s="407"/>
      <c r="CN47" s="407"/>
      <c r="CO47" s="407">
        <v>-9000.7154399999999</v>
      </c>
      <c r="CP47" s="407">
        <v>10258.50668</v>
      </c>
      <c r="CQ47" s="407">
        <v>31</v>
      </c>
      <c r="CR47" s="407">
        <v>8453.5988460477674</v>
      </c>
      <c r="CS47" s="407">
        <v>0</v>
      </c>
      <c r="CT47" s="407">
        <v>0</v>
      </c>
      <c r="CU47" s="407">
        <v>0</v>
      </c>
      <c r="CV47" s="407">
        <v>0</v>
      </c>
      <c r="CW47" s="407">
        <v>0</v>
      </c>
      <c r="CX47" s="407">
        <v>0</v>
      </c>
      <c r="CY47" s="407">
        <v>0</v>
      </c>
      <c r="CZ47" s="407">
        <v>767.5055407769396</v>
      </c>
      <c r="DA47" s="407">
        <v>0</v>
      </c>
      <c r="DB47" s="407">
        <v>0</v>
      </c>
      <c r="DC47" s="407">
        <v>11419.837658154749</v>
      </c>
      <c r="DD47" s="407">
        <v>0</v>
      </c>
      <c r="DE47" s="407">
        <v>0</v>
      </c>
      <c r="DF47" s="407">
        <v>0</v>
      </c>
      <c r="DG47" s="407">
        <v>384.2783325422713</v>
      </c>
      <c r="DH47" s="407">
        <v>0</v>
      </c>
      <c r="DI47" s="407">
        <v>-1410.2183482717919</v>
      </c>
      <c r="DJ47" s="407"/>
      <c r="DK47" s="407">
        <v>0</v>
      </c>
      <c r="DL47" s="407">
        <v>0</v>
      </c>
      <c r="DM47" s="407">
        <v>0</v>
      </c>
      <c r="DN47" s="407">
        <v>0</v>
      </c>
      <c r="DO47" s="407">
        <v>-218.1840304973498</v>
      </c>
      <c r="DP47" s="407">
        <v>-25.549432299637772</v>
      </c>
      <c r="DQ47" s="407">
        <v>0</v>
      </c>
      <c r="DR47" s="407">
        <v>-2464.0708743574219</v>
      </c>
      <c r="DS47" s="407"/>
      <c r="DT47" s="407"/>
      <c r="DU47" s="407">
        <v>14093.756340938808</v>
      </c>
      <c r="DV47" s="407">
        <v>0</v>
      </c>
      <c r="DW47" s="407">
        <v>0</v>
      </c>
      <c r="DX47" s="407">
        <v>0</v>
      </c>
      <c r="DY47" s="407">
        <v>-9000.7154399999999</v>
      </c>
      <c r="DZ47" s="407">
        <v>10258.506679999999</v>
      </c>
      <c r="EA47" s="407">
        <v>0</v>
      </c>
      <c r="EB47" s="407">
        <v>0</v>
      </c>
      <c r="EC47" s="407">
        <v>-7199.1234734391937</v>
      </c>
      <c r="ED47" s="407">
        <v>0</v>
      </c>
      <c r="EE47" s="407">
        <v>0</v>
      </c>
      <c r="EF47" s="407">
        <v>0</v>
      </c>
      <c r="EG47" s="407">
        <v>0</v>
      </c>
      <c r="EH47" s="407">
        <v>0</v>
      </c>
      <c r="EI47" s="407">
        <v>0</v>
      </c>
      <c r="EJ47" s="407">
        <v>0</v>
      </c>
      <c r="EK47" s="407">
        <v>0</v>
      </c>
      <c r="EL47" s="407">
        <v>0</v>
      </c>
      <c r="EM47" s="407">
        <v>0</v>
      </c>
      <c r="EN47" s="407">
        <v>0</v>
      </c>
      <c r="EO47" s="407">
        <v>0</v>
      </c>
      <c r="EP47" s="407">
        <v>9537.0702916106966</v>
      </c>
      <c r="EQ47" s="407">
        <v>0</v>
      </c>
      <c r="ER47" s="407">
        <v>0</v>
      </c>
      <c r="ES47" s="407">
        <v>0</v>
      </c>
      <c r="ET47" s="407">
        <v>0</v>
      </c>
      <c r="EU47" s="407">
        <v>0</v>
      </c>
      <c r="EV47" s="407">
        <v>246</v>
      </c>
      <c r="EW47" s="407">
        <v>0</v>
      </c>
      <c r="EX47" s="407">
        <v>0</v>
      </c>
      <c r="EY47" s="407">
        <v>0</v>
      </c>
      <c r="EZ47" s="407"/>
      <c r="FA47" s="407">
        <v>0</v>
      </c>
      <c r="FB47" s="407"/>
      <c r="FC47" s="407"/>
      <c r="FD47" s="407"/>
      <c r="FE47" s="407"/>
      <c r="FF47" s="407">
        <v>0</v>
      </c>
      <c r="FG47" s="407">
        <v>0</v>
      </c>
      <c r="FH47" s="407">
        <v>0</v>
      </c>
      <c r="FI47" s="407">
        <v>0</v>
      </c>
    </row>
    <row r="48" spans="1:165" customFormat="1">
      <c r="A48" s="407">
        <v>46</v>
      </c>
      <c r="B48" s="407" t="s">
        <v>1090</v>
      </c>
      <c r="C48" s="407" t="s">
        <v>2317</v>
      </c>
      <c r="D48" s="407" t="s">
        <v>650</v>
      </c>
      <c r="E48" s="407" t="s">
        <v>1052</v>
      </c>
      <c r="F48" s="407" t="s">
        <v>2321</v>
      </c>
      <c r="G48" s="407" t="s">
        <v>97</v>
      </c>
      <c r="H48" s="407" t="s">
        <v>97</v>
      </c>
      <c r="I48" s="407" t="s">
        <v>97</v>
      </c>
      <c r="J48" s="407" t="s">
        <v>2307</v>
      </c>
      <c r="K48" s="818">
        <v>44378</v>
      </c>
      <c r="L48" s="407">
        <v>0</v>
      </c>
      <c r="M48" s="407">
        <v>0</v>
      </c>
      <c r="N48" s="407">
        <v>0</v>
      </c>
      <c r="O48" s="407">
        <v>0</v>
      </c>
      <c r="P48" s="407">
        <v>0</v>
      </c>
      <c r="Q48" s="407">
        <v>0</v>
      </c>
      <c r="R48" s="407"/>
      <c r="S48" s="407"/>
      <c r="T48" s="407"/>
      <c r="U48" s="407"/>
      <c r="V48" s="407"/>
      <c r="W48" s="407"/>
      <c r="X48" s="407"/>
      <c r="Y48" s="407"/>
      <c r="Z48" s="407"/>
      <c r="AA48" s="407">
        <v>0</v>
      </c>
      <c r="AB48" s="407"/>
      <c r="AC48" s="407"/>
      <c r="AD48" s="407"/>
      <c r="AE48" s="407"/>
      <c r="AF48" s="407"/>
      <c r="AG48" s="407"/>
      <c r="AH48" s="407"/>
      <c r="AI48" s="407"/>
      <c r="AJ48" s="407"/>
      <c r="AK48" s="407"/>
      <c r="AL48" s="407"/>
      <c r="AM48" s="407"/>
      <c r="AN48" s="407"/>
      <c r="AO48" s="407"/>
      <c r="AP48" s="407"/>
      <c r="AQ48" s="407"/>
      <c r="AR48" s="407"/>
      <c r="AS48" s="407"/>
      <c r="AT48" s="407"/>
      <c r="AU48" s="407"/>
      <c r="AV48" s="407"/>
      <c r="AW48" s="407"/>
      <c r="AX48" s="407"/>
      <c r="AY48" s="407"/>
      <c r="AZ48" s="407">
        <v>0</v>
      </c>
      <c r="BA48" s="407"/>
      <c r="BB48" s="407"/>
      <c r="BC48" s="407"/>
      <c r="BD48" s="407"/>
      <c r="BE48" s="407"/>
      <c r="BF48" s="407"/>
      <c r="BG48" s="407"/>
      <c r="BH48" s="407"/>
      <c r="BI48" s="407">
        <v>913.97</v>
      </c>
      <c r="BJ48" s="407">
        <v>4216.1499999999996</v>
      </c>
      <c r="BK48" s="407">
        <v>90713.34</v>
      </c>
      <c r="BL48" s="407">
        <v>3</v>
      </c>
      <c r="BM48" s="407"/>
      <c r="BN48" s="407"/>
      <c r="BO48" s="407"/>
      <c r="BP48" s="407"/>
      <c r="BQ48" s="407"/>
      <c r="BR48" s="407"/>
      <c r="BS48" s="407"/>
      <c r="BT48" s="407"/>
      <c r="BU48" s="407"/>
      <c r="BV48" s="407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>
        <v>-0.03</v>
      </c>
      <c r="CK48" s="407"/>
      <c r="CL48" s="407"/>
      <c r="CM48" s="407"/>
      <c r="CN48" s="407"/>
      <c r="CO48" s="407">
        <v>0</v>
      </c>
      <c r="CP48" s="407">
        <v>0</v>
      </c>
      <c r="CQ48" s="407">
        <v>31</v>
      </c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>
        <v>0</v>
      </c>
      <c r="DL48" s="407"/>
      <c r="DM48" s="407"/>
      <c r="DN48" s="407"/>
      <c r="DO48" s="407"/>
      <c r="DP48" s="407"/>
      <c r="DQ48" s="407"/>
      <c r="DR48" s="407"/>
      <c r="DS48" s="407"/>
      <c r="DT48" s="407"/>
      <c r="DU48" s="407"/>
      <c r="DV48" s="407"/>
      <c r="DW48" s="407"/>
      <c r="DX48" s="407"/>
      <c r="DY48" s="407"/>
      <c r="DZ48" s="407"/>
      <c r="EA48" s="407"/>
      <c r="EB48" s="407"/>
      <c r="EC48" s="407"/>
      <c r="ED48" s="407"/>
      <c r="EE48" s="407"/>
      <c r="EF48" s="407"/>
      <c r="EG48" s="407"/>
      <c r="EH48" s="407"/>
      <c r="EI48" s="407"/>
      <c r="EJ48" s="407"/>
      <c r="EK48" s="407"/>
      <c r="EL48" s="407"/>
      <c r="EM48" s="407"/>
      <c r="EN48" s="407"/>
      <c r="EO48" s="407"/>
      <c r="EP48" s="407"/>
      <c r="EQ48" s="407"/>
      <c r="ER48" s="407"/>
      <c r="ES48" s="407"/>
      <c r="ET48" s="407"/>
      <c r="EU48" s="407"/>
      <c r="EV48" s="407">
        <v>246</v>
      </c>
      <c r="EW48" s="407"/>
      <c r="EX48" s="407"/>
      <c r="EY48" s="407"/>
      <c r="EZ48" s="407"/>
      <c r="FA48" s="407">
        <v>0</v>
      </c>
      <c r="FB48" s="407"/>
      <c r="FC48" s="407"/>
      <c r="FD48" s="407"/>
      <c r="FE48" s="407"/>
      <c r="FF48" s="407">
        <v>0</v>
      </c>
      <c r="FG48" s="407">
        <v>0</v>
      </c>
      <c r="FH48" s="407">
        <v>0</v>
      </c>
      <c r="FI48" s="407">
        <v>0</v>
      </c>
    </row>
    <row r="49" spans="1:165" customFormat="1">
      <c r="A49" s="407">
        <v>47</v>
      </c>
      <c r="B49" s="407" t="s">
        <v>1090</v>
      </c>
      <c r="C49" s="407" t="s">
        <v>2306</v>
      </c>
      <c r="D49" s="407" t="s">
        <v>1219</v>
      </c>
      <c r="E49" s="407" t="s">
        <v>2322</v>
      </c>
      <c r="F49" s="407" t="s">
        <v>97</v>
      </c>
      <c r="G49" s="407" t="s">
        <v>97</v>
      </c>
      <c r="H49" s="407" t="s">
        <v>97</v>
      </c>
      <c r="I49" s="407" t="s">
        <v>97</v>
      </c>
      <c r="J49" s="407" t="s">
        <v>2307</v>
      </c>
      <c r="K49" s="818">
        <v>44378</v>
      </c>
      <c r="L49" s="407">
        <v>0</v>
      </c>
      <c r="M49" s="407">
        <v>0</v>
      </c>
      <c r="N49" s="407">
        <v>5.13</v>
      </c>
      <c r="O49" s="407">
        <v>5.13</v>
      </c>
      <c r="P49" s="407">
        <v>5.13</v>
      </c>
      <c r="Q49" s="407">
        <v>5.13</v>
      </c>
      <c r="R49" s="407"/>
      <c r="S49" s="407">
        <v>648.44000000000005</v>
      </c>
      <c r="T49" s="407">
        <v>159.41</v>
      </c>
      <c r="U49" s="407"/>
      <c r="V49" s="407">
        <v>4144.2705000000005</v>
      </c>
      <c r="W49" s="407">
        <v>4144.2705000000005</v>
      </c>
      <c r="X49" s="407">
        <v>3138.6365999999998</v>
      </c>
      <c r="Y49" s="407">
        <v>0</v>
      </c>
      <c r="Z49" s="407">
        <v>317.90738573193437</v>
      </c>
      <c r="AA49" s="407">
        <v>0</v>
      </c>
      <c r="AB49" s="407">
        <v>0</v>
      </c>
      <c r="AC49" s="407">
        <v>0</v>
      </c>
      <c r="AD49" s="407">
        <v>598.38590646712908</v>
      </c>
      <c r="AE49" s="407">
        <v>2142.0109327377049</v>
      </c>
      <c r="AF49" s="407">
        <v>791.20357673824913</v>
      </c>
      <c r="AG49" s="407">
        <v>26.582363331507942</v>
      </c>
      <c r="AH49" s="407">
        <v>0</v>
      </c>
      <c r="AI49" s="407">
        <v>0</v>
      </c>
      <c r="AJ49" s="407">
        <v>0</v>
      </c>
      <c r="AK49" s="407">
        <v>0</v>
      </c>
      <c r="AL49" s="407">
        <v>49.125163949307129</v>
      </c>
      <c r="AM49" s="407"/>
      <c r="AN49" s="407">
        <v>10.645240635653986</v>
      </c>
      <c r="AO49" s="407">
        <v>0</v>
      </c>
      <c r="AP49" s="407">
        <v>0</v>
      </c>
      <c r="AQ49" s="407">
        <v>0</v>
      </c>
      <c r="AR49" s="407">
        <v>0</v>
      </c>
      <c r="AS49" s="407">
        <v>0</v>
      </c>
      <c r="AT49" s="407">
        <v>0</v>
      </c>
      <c r="AU49" s="407">
        <v>0</v>
      </c>
      <c r="AV49" s="407">
        <v>0</v>
      </c>
      <c r="AW49" s="407">
        <v>0</v>
      </c>
      <c r="AX49" s="407">
        <v>0</v>
      </c>
      <c r="AY49" s="407">
        <v>0</v>
      </c>
      <c r="AZ49" s="407">
        <v>0</v>
      </c>
      <c r="BA49" s="407"/>
      <c r="BB49" s="407">
        <v>0</v>
      </c>
      <c r="BC49" s="407">
        <v>0</v>
      </c>
      <c r="BD49" s="407">
        <v>0</v>
      </c>
      <c r="BE49" s="407">
        <v>0</v>
      </c>
      <c r="BF49" s="407">
        <v>0</v>
      </c>
      <c r="BG49" s="407">
        <v>57.834454959020889</v>
      </c>
      <c r="BH49" s="407">
        <v>0</v>
      </c>
      <c r="BI49" s="407">
        <v>15.17</v>
      </c>
      <c r="BJ49" s="407">
        <v>70.05</v>
      </c>
      <c r="BK49" s="407">
        <v>1469.58</v>
      </c>
      <c r="BL49" s="407">
        <v>5</v>
      </c>
      <c r="BM49" s="407"/>
      <c r="BN49" s="407"/>
      <c r="BO49" s="407"/>
      <c r="BP49" s="407"/>
      <c r="BQ49" s="407"/>
      <c r="BR49" s="407"/>
      <c r="BS49" s="407"/>
      <c r="BT49" s="407"/>
      <c r="BU49" s="407"/>
      <c r="BV49" s="407">
        <v>849.03803169727007</v>
      </c>
      <c r="BW49" s="407"/>
      <c r="BX49" s="407"/>
      <c r="BY49" s="407"/>
      <c r="BZ49" s="407"/>
      <c r="CA49" s="407"/>
      <c r="CB49" s="407"/>
      <c r="CC49" s="407"/>
      <c r="CD49" s="407"/>
      <c r="CE49" s="407"/>
      <c r="CF49" s="407"/>
      <c r="CG49" s="407"/>
      <c r="CH49" s="407"/>
      <c r="CI49" s="407">
        <v>3138.6365999999998</v>
      </c>
      <c r="CJ49" s="407">
        <v>-1005.6639000000014</v>
      </c>
      <c r="CK49" s="407"/>
      <c r="CL49" s="407"/>
      <c r="CM49" s="407"/>
      <c r="CN49" s="407"/>
      <c r="CO49" s="407">
        <v>-1146.5550000000003</v>
      </c>
      <c r="CP49" s="407">
        <v>140.9211</v>
      </c>
      <c r="CQ49" s="407">
        <v>31</v>
      </c>
      <c r="CR49" s="407">
        <v>88.513112420327843</v>
      </c>
      <c r="CS49" s="407">
        <v>0</v>
      </c>
      <c r="CT49" s="407">
        <v>0</v>
      </c>
      <c r="CU49" s="407">
        <v>0</v>
      </c>
      <c r="CV49" s="407">
        <v>0</v>
      </c>
      <c r="CW49" s="407">
        <v>0</v>
      </c>
      <c r="CX49" s="407">
        <v>0</v>
      </c>
      <c r="CY49" s="407">
        <v>0</v>
      </c>
      <c r="CZ49" s="407">
        <v>27.030277880700055</v>
      </c>
      <c r="DA49" s="407">
        <v>0</v>
      </c>
      <c r="DB49" s="407">
        <v>0</v>
      </c>
      <c r="DC49" s="407">
        <v>156.87430293788054</v>
      </c>
      <c r="DD49" s="407">
        <v>0</v>
      </c>
      <c r="DE49" s="407">
        <v>0</v>
      </c>
      <c r="DF49" s="407">
        <v>0</v>
      </c>
      <c r="DG49" s="407">
        <v>11.467010607928785</v>
      </c>
      <c r="DH49" s="407">
        <v>0</v>
      </c>
      <c r="DI49" s="407">
        <v>-22.266860447384147</v>
      </c>
      <c r="DJ49" s="407"/>
      <c r="DK49" s="407">
        <v>0</v>
      </c>
      <c r="DL49" s="407">
        <v>0</v>
      </c>
      <c r="DM49" s="407">
        <v>0</v>
      </c>
      <c r="DN49" s="407">
        <v>0</v>
      </c>
      <c r="DO49" s="407">
        <v>-2.9971938937334741</v>
      </c>
      <c r="DP49" s="407">
        <v>-0.67828903353240122</v>
      </c>
      <c r="DQ49" s="407">
        <v>0</v>
      </c>
      <c r="DR49" s="407">
        <v>-80.916135631531873</v>
      </c>
      <c r="DS49" s="407"/>
      <c r="DT49" s="407"/>
      <c r="DU49" s="407"/>
      <c r="DV49" s="407">
        <v>2142.0109327377049</v>
      </c>
      <c r="DW49" s="407">
        <v>0</v>
      </c>
      <c r="DX49" s="407">
        <v>0</v>
      </c>
      <c r="DY49" s="407">
        <v>-1146.5550000000003</v>
      </c>
      <c r="DZ49" s="407">
        <v>140.92110000000002</v>
      </c>
      <c r="EA49" s="407">
        <v>0</v>
      </c>
      <c r="EB49" s="407">
        <v>0</v>
      </c>
      <c r="EC49" s="407">
        <v>-1094.1441595270389</v>
      </c>
      <c r="ED49" s="407">
        <v>0</v>
      </c>
      <c r="EE49" s="407">
        <v>0</v>
      </c>
      <c r="EF49" s="407">
        <v>0</v>
      </c>
      <c r="EG49" s="407">
        <v>0</v>
      </c>
      <c r="EH49" s="407">
        <v>0</v>
      </c>
      <c r="EI49" s="407">
        <v>0</v>
      </c>
      <c r="EJ49" s="407">
        <v>0</v>
      </c>
      <c r="EK49" s="407">
        <v>0</v>
      </c>
      <c r="EL49" s="407">
        <v>0</v>
      </c>
      <c r="EM49" s="407">
        <v>0</v>
      </c>
      <c r="EN49" s="407">
        <v>0</v>
      </c>
      <c r="EO49" s="407">
        <v>0</v>
      </c>
      <c r="EP49" s="407">
        <v>150.58704456684728</v>
      </c>
      <c r="EQ49" s="407">
        <v>0</v>
      </c>
      <c r="ER49" s="407">
        <v>0</v>
      </c>
      <c r="ES49" s="407">
        <v>0</v>
      </c>
      <c r="ET49" s="407">
        <v>0</v>
      </c>
      <c r="EU49" s="407">
        <v>0</v>
      </c>
      <c r="EV49" s="407">
        <v>246</v>
      </c>
      <c r="EW49" s="407">
        <v>0</v>
      </c>
      <c r="EX49" s="407">
        <v>0</v>
      </c>
      <c r="EY49" s="407">
        <v>0</v>
      </c>
      <c r="EZ49" s="407"/>
      <c r="FA49" s="407">
        <v>0</v>
      </c>
      <c r="FB49" s="407"/>
      <c r="FC49" s="407"/>
      <c r="FD49" s="407"/>
      <c r="FE49" s="407"/>
      <c r="FF49" s="407">
        <v>0</v>
      </c>
      <c r="FG49" s="407">
        <v>0</v>
      </c>
      <c r="FH49" s="407">
        <v>0</v>
      </c>
      <c r="FI49" s="407">
        <v>0</v>
      </c>
    </row>
    <row r="50" spans="1:165" customFormat="1">
      <c r="A50" s="407">
        <v>48</v>
      </c>
      <c r="B50" s="407" t="s">
        <v>1090</v>
      </c>
      <c r="C50" s="407" t="s">
        <v>2306</v>
      </c>
      <c r="D50" s="407" t="s">
        <v>2315</v>
      </c>
      <c r="E50" s="407" t="s">
        <v>1026</v>
      </c>
      <c r="F50" s="407" t="s">
        <v>2323</v>
      </c>
      <c r="G50" s="407" t="s">
        <v>2324</v>
      </c>
      <c r="H50" s="407" t="s">
        <v>97</v>
      </c>
      <c r="I50" s="407" t="s">
        <v>97</v>
      </c>
      <c r="J50" s="407" t="s">
        <v>2307</v>
      </c>
      <c r="K50" s="818">
        <v>44378</v>
      </c>
      <c r="L50" s="407">
        <v>0</v>
      </c>
      <c r="M50" s="407">
        <v>0</v>
      </c>
      <c r="N50" s="407">
        <v>0</v>
      </c>
      <c r="O50" s="407">
        <v>0</v>
      </c>
      <c r="P50" s="407">
        <v>0</v>
      </c>
      <c r="Q50" s="407">
        <v>0</v>
      </c>
      <c r="R50" s="407"/>
      <c r="S50" s="407"/>
      <c r="T50" s="407"/>
      <c r="U50" s="407"/>
      <c r="V50" s="407"/>
      <c r="W50" s="407"/>
      <c r="X50" s="407"/>
      <c r="Y50" s="407"/>
      <c r="Z50" s="407"/>
      <c r="AA50" s="407">
        <v>0</v>
      </c>
      <c r="AB50" s="407"/>
      <c r="AC50" s="407"/>
      <c r="AD50" s="407"/>
      <c r="AE50" s="407"/>
      <c r="AF50" s="407"/>
      <c r="AG50" s="407"/>
      <c r="AH50" s="407"/>
      <c r="AI50" s="407"/>
      <c r="AJ50" s="407"/>
      <c r="AK50" s="407"/>
      <c r="AL50" s="407"/>
      <c r="AM50" s="407"/>
      <c r="AN50" s="407"/>
      <c r="AO50" s="407"/>
      <c r="AP50" s="407"/>
      <c r="AQ50" s="407"/>
      <c r="AR50" s="407"/>
      <c r="AS50" s="407"/>
      <c r="AT50" s="407"/>
      <c r="AU50" s="407"/>
      <c r="AV50" s="407"/>
      <c r="AW50" s="407"/>
      <c r="AX50" s="407"/>
      <c r="AY50" s="407"/>
      <c r="AZ50" s="407">
        <v>0</v>
      </c>
      <c r="BA50" s="407"/>
      <c r="BB50" s="407"/>
      <c r="BC50" s="407"/>
      <c r="BD50" s="407"/>
      <c r="BE50" s="407"/>
      <c r="BF50" s="407"/>
      <c r="BG50" s="407"/>
      <c r="BH50" s="407"/>
      <c r="BI50" s="407">
        <v>12.41</v>
      </c>
      <c r="BJ50" s="407">
        <v>58.08</v>
      </c>
      <c r="BK50" s="407">
        <v>295.01</v>
      </c>
      <c r="BL50" s="407">
        <v>35</v>
      </c>
      <c r="BM50" s="407"/>
      <c r="BN50" s="407"/>
      <c r="BO50" s="407"/>
      <c r="BP50" s="407"/>
      <c r="BQ50" s="407"/>
      <c r="BR50" s="407"/>
      <c r="BS50" s="407"/>
      <c r="BT50" s="407"/>
      <c r="BU50" s="407"/>
      <c r="BV50" s="407"/>
      <c r="BW50" s="407"/>
      <c r="BX50" s="407"/>
      <c r="BY50" s="407"/>
      <c r="BZ50" s="407"/>
      <c r="CA50" s="407"/>
      <c r="CB50" s="407"/>
      <c r="CC50" s="407"/>
      <c r="CD50" s="407"/>
      <c r="CE50" s="407"/>
      <c r="CF50" s="407"/>
      <c r="CG50" s="407"/>
      <c r="CH50" s="407"/>
      <c r="CI50" s="407"/>
      <c r="CJ50" s="407">
        <v>-0.03</v>
      </c>
      <c r="CK50" s="407"/>
      <c r="CL50" s="407"/>
      <c r="CM50" s="407"/>
      <c r="CN50" s="407"/>
      <c r="CO50" s="407">
        <v>0</v>
      </c>
      <c r="CP50" s="407">
        <v>0</v>
      </c>
      <c r="CQ50" s="407">
        <v>31</v>
      </c>
      <c r="CR50" s="407"/>
      <c r="CS50" s="407"/>
      <c r="CT50" s="407"/>
      <c r="CU50" s="407"/>
      <c r="CV50" s="407"/>
      <c r="CW50" s="407"/>
      <c r="CX50" s="407"/>
      <c r="CY50" s="407"/>
      <c r="CZ50" s="407"/>
      <c r="DA50" s="407"/>
      <c r="DB50" s="407"/>
      <c r="DC50" s="407"/>
      <c r="DD50" s="407"/>
      <c r="DE50" s="407"/>
      <c r="DF50" s="407"/>
      <c r="DG50" s="407"/>
      <c r="DH50" s="407"/>
      <c r="DI50" s="407"/>
      <c r="DJ50" s="407"/>
      <c r="DK50" s="407">
        <v>0</v>
      </c>
      <c r="DL50" s="407"/>
      <c r="DM50" s="407"/>
      <c r="DN50" s="407"/>
      <c r="DO50" s="407"/>
      <c r="DP50" s="407"/>
      <c r="DQ50" s="407"/>
      <c r="DR50" s="407"/>
      <c r="DS50" s="407"/>
      <c r="DT50" s="407"/>
      <c r="DU50" s="407"/>
      <c r="DV50" s="407"/>
      <c r="DW50" s="407"/>
      <c r="DX50" s="407"/>
      <c r="DY50" s="407"/>
      <c r="DZ50" s="407"/>
      <c r="EA50" s="407"/>
      <c r="EB50" s="407"/>
      <c r="EC50" s="407"/>
      <c r="ED50" s="407"/>
      <c r="EE50" s="407"/>
      <c r="EF50" s="407"/>
      <c r="EG50" s="407"/>
      <c r="EH50" s="407"/>
      <c r="EI50" s="407"/>
      <c r="EJ50" s="407"/>
      <c r="EK50" s="407"/>
      <c r="EL50" s="407"/>
      <c r="EM50" s="407"/>
      <c r="EN50" s="407"/>
      <c r="EO50" s="407"/>
      <c r="EP50" s="407"/>
      <c r="EQ50" s="407"/>
      <c r="ER50" s="407"/>
      <c r="ES50" s="407"/>
      <c r="ET50" s="407"/>
      <c r="EU50" s="407"/>
      <c r="EV50" s="407">
        <v>246</v>
      </c>
      <c r="EW50" s="407"/>
      <c r="EX50" s="407"/>
      <c r="EY50" s="407"/>
      <c r="EZ50" s="407"/>
      <c r="FA50" s="407">
        <v>0</v>
      </c>
      <c r="FB50" s="407"/>
      <c r="FC50" s="407"/>
      <c r="FD50" s="407"/>
      <c r="FE50" s="407"/>
      <c r="FF50" s="407">
        <v>0</v>
      </c>
      <c r="FG50" s="407">
        <v>0</v>
      </c>
      <c r="FH50" s="407">
        <v>0</v>
      </c>
      <c r="FI50" s="407">
        <v>0</v>
      </c>
    </row>
    <row r="51" spans="1:165" customFormat="1">
      <c r="A51" s="407">
        <v>49</v>
      </c>
      <c r="B51" s="407" t="s">
        <v>2309</v>
      </c>
      <c r="C51" s="407" t="s">
        <v>2306</v>
      </c>
      <c r="D51" s="407" t="s">
        <v>2315</v>
      </c>
      <c r="E51" s="407" t="s">
        <v>1026</v>
      </c>
      <c r="F51" s="407" t="s">
        <v>2323</v>
      </c>
      <c r="G51" s="407" t="s">
        <v>2324</v>
      </c>
      <c r="H51" s="407" t="s">
        <v>97</v>
      </c>
      <c r="I51" s="407" t="s">
        <v>97</v>
      </c>
      <c r="J51" s="407" t="s">
        <v>2307</v>
      </c>
      <c r="K51" s="818">
        <v>44378</v>
      </c>
      <c r="L51" s="407">
        <v>0</v>
      </c>
      <c r="M51" s="407">
        <v>0</v>
      </c>
      <c r="N51" s="407">
        <v>0</v>
      </c>
      <c r="O51" s="407">
        <v>0</v>
      </c>
      <c r="P51" s="407">
        <v>0</v>
      </c>
      <c r="Q51" s="407">
        <v>0</v>
      </c>
      <c r="R51" s="407"/>
      <c r="S51" s="407"/>
      <c r="T51" s="407"/>
      <c r="U51" s="407"/>
      <c r="V51" s="407"/>
      <c r="W51" s="407"/>
      <c r="X51" s="407"/>
      <c r="Y51" s="407"/>
      <c r="Z51" s="407"/>
      <c r="AA51" s="407">
        <v>0</v>
      </c>
      <c r="AB51" s="407"/>
      <c r="AC51" s="407"/>
      <c r="AD51" s="407"/>
      <c r="AE51" s="407"/>
      <c r="AF51" s="407"/>
      <c r="AG51" s="407"/>
      <c r="AH51" s="407"/>
      <c r="AI51" s="407"/>
      <c r="AJ51" s="407"/>
      <c r="AK51" s="407"/>
      <c r="AL51" s="407"/>
      <c r="AM51" s="407"/>
      <c r="AN51" s="407"/>
      <c r="AO51" s="407"/>
      <c r="AP51" s="407"/>
      <c r="AQ51" s="407"/>
      <c r="AR51" s="407"/>
      <c r="AS51" s="407"/>
      <c r="AT51" s="407"/>
      <c r="AU51" s="407"/>
      <c r="AV51" s="407"/>
      <c r="AW51" s="407"/>
      <c r="AX51" s="407"/>
      <c r="AY51" s="407"/>
      <c r="AZ51" s="407">
        <v>0</v>
      </c>
      <c r="BA51" s="407"/>
      <c r="BB51" s="407"/>
      <c r="BC51" s="407"/>
      <c r="BD51" s="407"/>
      <c r="BE51" s="407"/>
      <c r="BF51" s="407"/>
      <c r="BG51" s="407"/>
      <c r="BH51" s="407"/>
      <c r="BI51" s="407">
        <v>0.2</v>
      </c>
      <c r="BJ51" s="407">
        <v>0.92</v>
      </c>
      <c r="BK51" s="407">
        <v>9.0500000000000007</v>
      </c>
      <c r="BL51" s="407">
        <v>1</v>
      </c>
      <c r="BM51" s="407"/>
      <c r="BN51" s="407"/>
      <c r="BO51" s="407"/>
      <c r="BP51" s="407"/>
      <c r="BQ51" s="407"/>
      <c r="BR51" s="407"/>
      <c r="BS51" s="407"/>
      <c r="BT51" s="407"/>
      <c r="BU51" s="407"/>
      <c r="BV51" s="407"/>
      <c r="BW51" s="407"/>
      <c r="BX51" s="407"/>
      <c r="BY51" s="407"/>
      <c r="BZ51" s="407"/>
      <c r="CA51" s="407"/>
      <c r="CB51" s="407"/>
      <c r="CC51" s="407"/>
      <c r="CD51" s="407"/>
      <c r="CE51" s="407"/>
      <c r="CF51" s="407"/>
      <c r="CG51" s="407"/>
      <c r="CH51" s="407"/>
      <c r="CI51" s="407"/>
      <c r="CJ51" s="407">
        <v>-0.03</v>
      </c>
      <c r="CK51" s="407"/>
      <c r="CL51" s="407"/>
      <c r="CM51" s="407"/>
      <c r="CN51" s="407"/>
      <c r="CO51" s="407">
        <v>0</v>
      </c>
      <c r="CP51" s="407">
        <v>0</v>
      </c>
      <c r="CQ51" s="407">
        <v>31</v>
      </c>
      <c r="CR51" s="407"/>
      <c r="CS51" s="407"/>
      <c r="CT51" s="407"/>
      <c r="CU51" s="407"/>
      <c r="CV51" s="407"/>
      <c r="CW51" s="407"/>
      <c r="CX51" s="407"/>
      <c r="CY51" s="407"/>
      <c r="CZ51" s="407"/>
      <c r="DA51" s="407"/>
      <c r="DB51" s="407"/>
      <c r="DC51" s="407"/>
      <c r="DD51" s="407"/>
      <c r="DE51" s="407"/>
      <c r="DF51" s="407"/>
      <c r="DG51" s="407"/>
      <c r="DH51" s="407"/>
      <c r="DI51" s="407"/>
      <c r="DJ51" s="407"/>
      <c r="DK51" s="407">
        <v>0</v>
      </c>
      <c r="DL51" s="407"/>
      <c r="DM51" s="407"/>
      <c r="DN51" s="407"/>
      <c r="DO51" s="407"/>
      <c r="DP51" s="407"/>
      <c r="DQ51" s="407"/>
      <c r="DR51" s="407"/>
      <c r="DS51" s="407"/>
      <c r="DT51" s="407"/>
      <c r="DU51" s="407"/>
      <c r="DV51" s="407"/>
      <c r="DW51" s="407"/>
      <c r="DX51" s="407"/>
      <c r="DY51" s="407"/>
      <c r="DZ51" s="407"/>
      <c r="EA51" s="407"/>
      <c r="EB51" s="407"/>
      <c r="EC51" s="407"/>
      <c r="ED51" s="407"/>
      <c r="EE51" s="407"/>
      <c r="EF51" s="407"/>
      <c r="EG51" s="407"/>
      <c r="EH51" s="407"/>
      <c r="EI51" s="407"/>
      <c r="EJ51" s="407"/>
      <c r="EK51" s="407"/>
      <c r="EL51" s="407"/>
      <c r="EM51" s="407"/>
      <c r="EN51" s="407"/>
      <c r="EO51" s="407"/>
      <c r="EP51" s="407"/>
      <c r="EQ51" s="407"/>
      <c r="ER51" s="407"/>
      <c r="ES51" s="407"/>
      <c r="ET51" s="407"/>
      <c r="EU51" s="407"/>
      <c r="EV51" s="407">
        <v>246</v>
      </c>
      <c r="EW51" s="407"/>
      <c r="EX51" s="407"/>
      <c r="EY51" s="407"/>
      <c r="EZ51" s="407"/>
      <c r="FA51" s="407">
        <v>0</v>
      </c>
      <c r="FB51" s="407"/>
      <c r="FC51" s="407"/>
      <c r="FD51" s="407"/>
      <c r="FE51" s="407"/>
      <c r="FF51" s="407">
        <v>0</v>
      </c>
      <c r="FG51" s="407">
        <v>0</v>
      </c>
      <c r="FH51" s="407">
        <v>0</v>
      </c>
      <c r="FI51" s="407">
        <v>0</v>
      </c>
    </row>
    <row r="52" spans="1:165" customFormat="1">
      <c r="A52" s="407">
        <v>50</v>
      </c>
      <c r="B52" s="407" t="s">
        <v>1090</v>
      </c>
      <c r="C52" s="407" t="s">
        <v>2306</v>
      </c>
      <c r="D52" s="407" t="s">
        <v>2315</v>
      </c>
      <c r="E52" s="407" t="s">
        <v>1026</v>
      </c>
      <c r="F52" s="407" t="s">
        <v>2323</v>
      </c>
      <c r="G52" s="407" t="s">
        <v>2324</v>
      </c>
      <c r="H52" s="407" t="s">
        <v>97</v>
      </c>
      <c r="I52" s="407" t="s">
        <v>97</v>
      </c>
      <c r="J52" s="407" t="s">
        <v>2307</v>
      </c>
      <c r="K52" s="818">
        <v>44378</v>
      </c>
      <c r="L52" s="407">
        <v>0</v>
      </c>
      <c r="M52" s="407">
        <v>0</v>
      </c>
      <c r="N52" s="407">
        <v>5.4729999999999999</v>
      </c>
      <c r="O52" s="407">
        <v>5.4729999999999999</v>
      </c>
      <c r="P52" s="407">
        <v>5.4729999999999999</v>
      </c>
      <c r="Q52" s="407">
        <v>5.4729999999999999</v>
      </c>
      <c r="R52" s="407"/>
      <c r="S52" s="407">
        <v>648.44000000000005</v>
      </c>
      <c r="T52" s="407">
        <v>159.41</v>
      </c>
      <c r="U52" s="407"/>
      <c r="V52" s="407">
        <v>4421.3630499999999</v>
      </c>
      <c r="W52" s="407">
        <v>4421.3630499999999</v>
      </c>
      <c r="X52" s="407">
        <v>3348.4908599999999</v>
      </c>
      <c r="Y52" s="407">
        <v>0</v>
      </c>
      <c r="Z52" s="407">
        <v>339.16318169802668</v>
      </c>
      <c r="AA52" s="407">
        <v>0</v>
      </c>
      <c r="AB52" s="407">
        <v>0</v>
      </c>
      <c r="AC52" s="407">
        <v>0</v>
      </c>
      <c r="AD52" s="407">
        <v>638.39494465781627</v>
      </c>
      <c r="AE52" s="407">
        <v>2285.2292075776722</v>
      </c>
      <c r="AF52" s="407">
        <v>844.10471257084544</v>
      </c>
      <c r="AG52" s="407">
        <v>28.359702634179918</v>
      </c>
      <c r="AH52" s="407">
        <v>0</v>
      </c>
      <c r="AI52" s="407">
        <v>0</v>
      </c>
      <c r="AJ52" s="407">
        <v>0</v>
      </c>
      <c r="AK52" s="407">
        <v>0</v>
      </c>
      <c r="AL52" s="407">
        <v>52.409750934611679</v>
      </c>
      <c r="AM52" s="407"/>
      <c r="AN52" s="407">
        <v>11.356998440338064</v>
      </c>
      <c r="AO52" s="407">
        <v>0</v>
      </c>
      <c r="AP52" s="407">
        <v>0</v>
      </c>
      <c r="AQ52" s="407">
        <v>0</v>
      </c>
      <c r="AR52" s="407">
        <v>0</v>
      </c>
      <c r="AS52" s="407">
        <v>0</v>
      </c>
      <c r="AT52" s="407">
        <v>0</v>
      </c>
      <c r="AU52" s="407">
        <v>0</v>
      </c>
      <c r="AV52" s="407">
        <v>0</v>
      </c>
      <c r="AW52" s="407">
        <v>0</v>
      </c>
      <c r="AX52" s="407">
        <v>0</v>
      </c>
      <c r="AY52" s="407">
        <v>0</v>
      </c>
      <c r="AZ52" s="407">
        <v>0</v>
      </c>
      <c r="BA52" s="407"/>
      <c r="BB52" s="407">
        <v>0</v>
      </c>
      <c r="BC52" s="407">
        <v>0</v>
      </c>
      <c r="BD52" s="407">
        <v>0</v>
      </c>
      <c r="BE52" s="407">
        <v>0</v>
      </c>
      <c r="BF52" s="407">
        <v>0</v>
      </c>
      <c r="BG52" s="407">
        <v>61.701359062518776</v>
      </c>
      <c r="BH52" s="407">
        <v>0</v>
      </c>
      <c r="BI52" s="407">
        <v>0</v>
      </c>
      <c r="BJ52" s="407">
        <v>0</v>
      </c>
      <c r="BK52" s="407">
        <v>0</v>
      </c>
      <c r="BL52" s="407">
        <v>0</v>
      </c>
      <c r="BM52" s="407"/>
      <c r="BN52" s="407"/>
      <c r="BO52" s="407"/>
      <c r="BP52" s="407"/>
      <c r="BQ52" s="407"/>
      <c r="BR52" s="407">
        <v>401.82766000000009</v>
      </c>
      <c r="BS52" s="407"/>
      <c r="BT52" s="407"/>
      <c r="BU52" s="407"/>
      <c r="BV52" s="407">
        <v>905.80607163336424</v>
      </c>
      <c r="BW52" s="407"/>
      <c r="BX52" s="407"/>
      <c r="BY52" s="407"/>
      <c r="BZ52" s="407"/>
      <c r="CA52" s="407"/>
      <c r="CB52" s="407"/>
      <c r="CC52" s="407"/>
      <c r="CD52" s="407"/>
      <c r="CE52" s="407"/>
      <c r="CF52" s="407"/>
      <c r="CG52" s="407"/>
      <c r="CH52" s="407"/>
      <c r="CI52" s="407">
        <v>2945.0479999999998</v>
      </c>
      <c r="CJ52" s="407">
        <v>-945.79243000000042</v>
      </c>
      <c r="CK52" s="407"/>
      <c r="CL52" s="407"/>
      <c r="CM52" s="407"/>
      <c r="CN52" s="407"/>
      <c r="CO52" s="407">
        <v>-1223.2155000000002</v>
      </c>
      <c r="CP52" s="407">
        <v>150.34331</v>
      </c>
      <c r="CQ52" s="407">
        <v>31</v>
      </c>
      <c r="CR52" s="407">
        <v>94.431240599698413</v>
      </c>
      <c r="CS52" s="407">
        <v>0</v>
      </c>
      <c r="CT52" s="407">
        <v>0</v>
      </c>
      <c r="CU52" s="407">
        <v>0</v>
      </c>
      <c r="CV52" s="407">
        <v>0</v>
      </c>
      <c r="CW52" s="407">
        <v>0</v>
      </c>
      <c r="CX52" s="407">
        <v>0</v>
      </c>
      <c r="CY52" s="407">
        <v>0</v>
      </c>
      <c r="CZ52" s="407">
        <v>28.837565466095725</v>
      </c>
      <c r="DA52" s="407">
        <v>0</v>
      </c>
      <c r="DB52" s="407">
        <v>0</v>
      </c>
      <c r="DC52" s="407">
        <v>167.36316958655368</v>
      </c>
      <c r="DD52" s="407">
        <v>0</v>
      </c>
      <c r="DE52" s="407">
        <v>0</v>
      </c>
      <c r="DF52" s="407">
        <v>0</v>
      </c>
      <c r="DG52" s="407">
        <v>12.233713266509596</v>
      </c>
      <c r="DH52" s="407">
        <v>0</v>
      </c>
      <c r="DI52" s="407">
        <v>-23.755658329148787</v>
      </c>
      <c r="DJ52" s="407"/>
      <c r="DK52" s="407">
        <v>0</v>
      </c>
      <c r="DL52" s="407">
        <v>0</v>
      </c>
      <c r="DM52" s="407">
        <v>0</v>
      </c>
      <c r="DN52" s="407">
        <v>0</v>
      </c>
      <c r="DO52" s="407">
        <v>-3.1975910683047388</v>
      </c>
      <c r="DP52" s="407">
        <v>-0.72364052251907118</v>
      </c>
      <c r="DQ52" s="407">
        <v>0</v>
      </c>
      <c r="DR52" s="407">
        <v>-86.326317799488095</v>
      </c>
      <c r="DS52" s="407"/>
      <c r="DT52" s="407"/>
      <c r="DU52" s="407"/>
      <c r="DV52" s="407">
        <v>2285.2292075776722</v>
      </c>
      <c r="DW52" s="407">
        <v>0</v>
      </c>
      <c r="DX52" s="407">
        <v>0</v>
      </c>
      <c r="DY52" s="407">
        <v>-1223.2155000000007</v>
      </c>
      <c r="DZ52" s="407">
        <v>150.34330999999997</v>
      </c>
      <c r="EA52" s="407">
        <v>0</v>
      </c>
      <c r="EB52" s="407">
        <v>0</v>
      </c>
      <c r="EC52" s="407">
        <v>-1167.3003869574043</v>
      </c>
      <c r="ED52" s="407">
        <v>0</v>
      </c>
      <c r="EE52" s="407">
        <v>0</v>
      </c>
      <c r="EF52" s="407">
        <v>0</v>
      </c>
      <c r="EG52" s="407">
        <v>0</v>
      </c>
      <c r="EH52" s="407">
        <v>0</v>
      </c>
      <c r="EI52" s="407">
        <v>0</v>
      </c>
      <c r="EJ52" s="407">
        <v>0</v>
      </c>
      <c r="EK52" s="407">
        <v>0</v>
      </c>
      <c r="EL52" s="407">
        <v>0</v>
      </c>
      <c r="EM52" s="407">
        <v>0</v>
      </c>
      <c r="EN52" s="407">
        <v>0</v>
      </c>
      <c r="EO52" s="407">
        <v>0</v>
      </c>
      <c r="EP52" s="407">
        <v>160.65553507102442</v>
      </c>
      <c r="EQ52" s="407">
        <v>0</v>
      </c>
      <c r="ER52" s="407">
        <v>0</v>
      </c>
      <c r="ES52" s="407">
        <v>0</v>
      </c>
      <c r="ET52" s="407">
        <v>0</v>
      </c>
      <c r="EU52" s="407">
        <v>0</v>
      </c>
      <c r="EV52" s="407">
        <v>246</v>
      </c>
      <c r="EW52" s="407">
        <v>0</v>
      </c>
      <c r="EX52" s="407">
        <v>0</v>
      </c>
      <c r="EY52" s="407">
        <v>0</v>
      </c>
      <c r="EZ52" s="407"/>
      <c r="FA52" s="407">
        <v>0</v>
      </c>
      <c r="FB52" s="407"/>
      <c r="FC52" s="407"/>
      <c r="FD52" s="407"/>
      <c r="FE52" s="407"/>
      <c r="FF52" s="407">
        <v>0</v>
      </c>
      <c r="FG52" s="407">
        <v>0</v>
      </c>
      <c r="FH52" s="407">
        <v>0</v>
      </c>
      <c r="FI52" s="407">
        <v>0</v>
      </c>
    </row>
    <row r="53" spans="1:165" customFormat="1">
      <c r="A53" s="407">
        <v>51</v>
      </c>
      <c r="B53" s="407" t="s">
        <v>2309</v>
      </c>
      <c r="C53" s="407" t="s">
        <v>2306</v>
      </c>
      <c r="D53" s="407" t="s">
        <v>2315</v>
      </c>
      <c r="E53" s="407" t="s">
        <v>1026</v>
      </c>
      <c r="F53" s="407" t="s">
        <v>2323</v>
      </c>
      <c r="G53" s="407" t="s">
        <v>2324</v>
      </c>
      <c r="H53" s="407" t="s">
        <v>97</v>
      </c>
      <c r="I53" s="407" t="s">
        <v>97</v>
      </c>
      <c r="J53" s="407" t="s">
        <v>2307</v>
      </c>
      <c r="K53" s="818">
        <v>44378</v>
      </c>
      <c r="L53" s="407">
        <v>0</v>
      </c>
      <c r="M53" s="407">
        <v>0</v>
      </c>
      <c r="N53" s="407">
        <v>0.1</v>
      </c>
      <c r="O53" s="407">
        <v>0.1</v>
      </c>
      <c r="P53" s="407">
        <v>0.1</v>
      </c>
      <c r="Q53" s="407">
        <v>0.1</v>
      </c>
      <c r="R53" s="407"/>
      <c r="S53" s="407">
        <v>648.44000000000005</v>
      </c>
      <c r="T53" s="407">
        <v>159.41</v>
      </c>
      <c r="U53" s="407"/>
      <c r="V53" s="407">
        <v>80.785000000000011</v>
      </c>
      <c r="W53" s="407">
        <v>80.785000000000011</v>
      </c>
      <c r="X53" s="407">
        <v>61.182000000000002</v>
      </c>
      <c r="Y53" s="407">
        <v>0</v>
      </c>
      <c r="Z53" s="407">
        <v>6.1970250630006705</v>
      </c>
      <c r="AA53" s="407">
        <v>0</v>
      </c>
      <c r="AB53" s="407">
        <v>0</v>
      </c>
      <c r="AC53" s="407">
        <v>0</v>
      </c>
      <c r="AD53" s="407">
        <v>11.664442621191601</v>
      </c>
      <c r="AE53" s="407">
        <v>41.754599078707706</v>
      </c>
      <c r="AF53" s="407">
        <v>15.4230716713109</v>
      </c>
      <c r="AG53" s="407">
        <v>0.5181747238110711</v>
      </c>
      <c r="AH53" s="407">
        <v>0</v>
      </c>
      <c r="AI53" s="407">
        <v>0</v>
      </c>
      <c r="AJ53" s="407">
        <v>0</v>
      </c>
      <c r="AK53" s="407">
        <v>0</v>
      </c>
      <c r="AL53" s="407">
        <v>0.95760553507421309</v>
      </c>
      <c r="AM53" s="407"/>
      <c r="AN53" s="407">
        <v>0.20750956404783599</v>
      </c>
      <c r="AO53" s="407">
        <v>0</v>
      </c>
      <c r="AP53" s="407">
        <v>0</v>
      </c>
      <c r="AQ53" s="407">
        <v>0</v>
      </c>
      <c r="AR53" s="407">
        <v>0</v>
      </c>
      <c r="AS53" s="407">
        <v>0</v>
      </c>
      <c r="AT53" s="407">
        <v>0</v>
      </c>
      <c r="AU53" s="407">
        <v>0</v>
      </c>
      <c r="AV53" s="407">
        <v>0</v>
      </c>
      <c r="AW53" s="407">
        <v>0</v>
      </c>
      <c r="AX53" s="407">
        <v>0</v>
      </c>
      <c r="AY53" s="407">
        <v>0</v>
      </c>
      <c r="AZ53" s="407">
        <v>0</v>
      </c>
      <c r="BA53" s="407"/>
      <c r="BB53" s="407">
        <v>0</v>
      </c>
      <c r="BC53" s="407">
        <v>0</v>
      </c>
      <c r="BD53" s="407">
        <v>0</v>
      </c>
      <c r="BE53" s="407">
        <v>0</v>
      </c>
      <c r="BF53" s="407">
        <v>0</v>
      </c>
      <c r="BG53" s="407">
        <v>1.12737728964953</v>
      </c>
      <c r="BH53" s="407">
        <v>0</v>
      </c>
      <c r="BI53" s="407">
        <v>0</v>
      </c>
      <c r="BJ53" s="407">
        <v>0</v>
      </c>
      <c r="BK53" s="407">
        <v>0</v>
      </c>
      <c r="BL53" s="407">
        <v>0</v>
      </c>
      <c r="BM53" s="407"/>
      <c r="BN53" s="407"/>
      <c r="BO53" s="407"/>
      <c r="BP53" s="407"/>
      <c r="BQ53" s="407"/>
      <c r="BR53" s="407">
        <v>7.3420000000000023</v>
      </c>
      <c r="BS53" s="407"/>
      <c r="BT53" s="407"/>
      <c r="BU53" s="407"/>
      <c r="BV53" s="407">
        <v>16.550448960960431</v>
      </c>
      <c r="BW53" s="407"/>
      <c r="BX53" s="407"/>
      <c r="BY53" s="407"/>
      <c r="BZ53" s="407"/>
      <c r="CA53" s="407"/>
      <c r="CB53" s="407"/>
      <c r="CC53" s="407"/>
      <c r="CD53" s="407"/>
      <c r="CE53" s="407"/>
      <c r="CF53" s="407"/>
      <c r="CG53" s="407"/>
      <c r="CH53" s="407"/>
      <c r="CI53" s="407">
        <v>53.84</v>
      </c>
      <c r="CJ53" s="407">
        <v>-17.281000000000006</v>
      </c>
      <c r="CK53" s="407"/>
      <c r="CL53" s="407"/>
      <c r="CM53" s="407"/>
      <c r="CN53" s="407"/>
      <c r="CO53" s="407">
        <v>-22.350000000000009</v>
      </c>
      <c r="CP53" s="407">
        <v>2.7469999999999999</v>
      </c>
      <c r="CQ53" s="407">
        <v>31</v>
      </c>
      <c r="CR53" s="407">
        <v>1.7254018015658303</v>
      </c>
      <c r="CS53" s="407">
        <v>0</v>
      </c>
      <c r="CT53" s="407">
        <v>0</v>
      </c>
      <c r="CU53" s="407">
        <v>0</v>
      </c>
      <c r="CV53" s="407">
        <v>0</v>
      </c>
      <c r="CW53" s="407">
        <v>0</v>
      </c>
      <c r="CX53" s="407">
        <v>0</v>
      </c>
      <c r="CY53" s="407">
        <v>0</v>
      </c>
      <c r="CZ53" s="407">
        <v>0.5269060015730993</v>
      </c>
      <c r="DA53" s="407">
        <v>0</v>
      </c>
      <c r="DB53" s="407">
        <v>0</v>
      </c>
      <c r="DC53" s="407">
        <v>3.0579786147735</v>
      </c>
      <c r="DD53" s="407">
        <v>0</v>
      </c>
      <c r="DE53" s="407">
        <v>0</v>
      </c>
      <c r="DF53" s="407">
        <v>0</v>
      </c>
      <c r="DG53" s="407">
        <v>0.22352847188945013</v>
      </c>
      <c r="DH53" s="407">
        <v>0</v>
      </c>
      <c r="DI53" s="407">
        <v>-0.4340518605727901</v>
      </c>
      <c r="DJ53" s="407"/>
      <c r="DK53" s="407">
        <v>0</v>
      </c>
      <c r="DL53" s="407">
        <v>0</v>
      </c>
      <c r="DM53" s="407">
        <v>0</v>
      </c>
      <c r="DN53" s="407">
        <v>0</v>
      </c>
      <c r="DO53" s="407">
        <v>-5.8424832236519952E-2</v>
      </c>
      <c r="DP53" s="407">
        <v>-1.3222008450923972E-2</v>
      </c>
      <c r="DQ53" s="407">
        <v>0</v>
      </c>
      <c r="DR53" s="407">
        <v>-1.5773125854099781</v>
      </c>
      <c r="DS53" s="407"/>
      <c r="DT53" s="407"/>
      <c r="DU53" s="407"/>
      <c r="DV53" s="407">
        <v>41.754599078707706</v>
      </c>
      <c r="DW53" s="407">
        <v>0</v>
      </c>
      <c r="DX53" s="407">
        <v>0</v>
      </c>
      <c r="DY53" s="407">
        <v>-22.350000000000009</v>
      </c>
      <c r="DZ53" s="407">
        <v>2.7469999999999981</v>
      </c>
      <c r="EA53" s="407">
        <v>0</v>
      </c>
      <c r="EB53" s="407">
        <v>0</v>
      </c>
      <c r="EC53" s="407">
        <v>-21.328346189610905</v>
      </c>
      <c r="ED53" s="407">
        <v>0</v>
      </c>
      <c r="EE53" s="407">
        <v>0</v>
      </c>
      <c r="EF53" s="407">
        <v>0</v>
      </c>
      <c r="EG53" s="407">
        <v>0</v>
      </c>
      <c r="EH53" s="407">
        <v>0</v>
      </c>
      <c r="EI53" s="407">
        <v>0</v>
      </c>
      <c r="EJ53" s="407">
        <v>0</v>
      </c>
      <c r="EK53" s="407">
        <v>0</v>
      </c>
      <c r="EL53" s="407">
        <v>0</v>
      </c>
      <c r="EM53" s="407">
        <v>0</v>
      </c>
      <c r="EN53" s="407">
        <v>0</v>
      </c>
      <c r="EO53" s="407">
        <v>0</v>
      </c>
      <c r="EP53" s="407">
        <v>2.9354199720633005</v>
      </c>
      <c r="EQ53" s="407">
        <v>0</v>
      </c>
      <c r="ER53" s="407">
        <v>0</v>
      </c>
      <c r="ES53" s="407">
        <v>0</v>
      </c>
      <c r="ET53" s="407">
        <v>0</v>
      </c>
      <c r="EU53" s="407">
        <v>0</v>
      </c>
      <c r="EV53" s="407">
        <v>246</v>
      </c>
      <c r="EW53" s="407">
        <v>0</v>
      </c>
      <c r="EX53" s="407">
        <v>0</v>
      </c>
      <c r="EY53" s="407">
        <v>0</v>
      </c>
      <c r="EZ53" s="407"/>
      <c r="FA53" s="407">
        <v>0</v>
      </c>
      <c r="FB53" s="407"/>
      <c r="FC53" s="407"/>
      <c r="FD53" s="407"/>
      <c r="FE53" s="407"/>
      <c r="FF53" s="407">
        <v>0</v>
      </c>
      <c r="FG53" s="407">
        <v>0</v>
      </c>
      <c r="FH53" s="407">
        <v>0</v>
      </c>
      <c r="FI53" s="407">
        <v>0</v>
      </c>
    </row>
    <row r="54" spans="1:165" customFormat="1">
      <c r="A54" s="407">
        <v>52</v>
      </c>
      <c r="B54" s="407" t="s">
        <v>1090</v>
      </c>
      <c r="C54" s="407" t="s">
        <v>2306</v>
      </c>
      <c r="D54" s="407" t="s">
        <v>2315</v>
      </c>
      <c r="E54" s="407" t="s">
        <v>1026</v>
      </c>
      <c r="F54" s="407" t="s">
        <v>2323</v>
      </c>
      <c r="G54" s="407" t="s">
        <v>2325</v>
      </c>
      <c r="H54" s="407" t="s">
        <v>97</v>
      </c>
      <c r="I54" s="407" t="s">
        <v>97</v>
      </c>
      <c r="J54" s="407" t="s">
        <v>2307</v>
      </c>
      <c r="K54" s="818">
        <v>44378</v>
      </c>
      <c r="L54" s="407">
        <v>0</v>
      </c>
      <c r="M54" s="407">
        <v>0</v>
      </c>
      <c r="N54" s="407">
        <v>3.141</v>
      </c>
      <c r="O54" s="407">
        <v>1.2564</v>
      </c>
      <c r="P54" s="407">
        <v>3.141</v>
      </c>
      <c r="Q54" s="407">
        <v>1.2564</v>
      </c>
      <c r="R54" s="407"/>
      <c r="S54" s="407">
        <v>648.44000000000005</v>
      </c>
      <c r="T54" s="407">
        <v>159.41</v>
      </c>
      <c r="U54" s="407"/>
      <c r="V54" s="407">
        <v>2537.45685</v>
      </c>
      <c r="W54" s="407">
        <v>2537.45685</v>
      </c>
      <c r="X54" s="407">
        <v>1921.7266200000001</v>
      </c>
      <c r="Y54" s="407">
        <v>0</v>
      </c>
      <c r="Z54" s="407">
        <v>194.64855722885105</v>
      </c>
      <c r="AA54" s="407">
        <v>0</v>
      </c>
      <c r="AB54" s="407">
        <v>0</v>
      </c>
      <c r="AC54" s="407">
        <v>0</v>
      </c>
      <c r="AD54" s="407">
        <v>366.38014273162815</v>
      </c>
      <c r="AE54" s="407">
        <v>1311.5119570622089</v>
      </c>
      <c r="AF54" s="407">
        <v>484.43868119587535</v>
      </c>
      <c r="AG54" s="407">
        <v>16.275868074905741</v>
      </c>
      <c r="AH54" s="407">
        <v>0</v>
      </c>
      <c r="AI54" s="407">
        <v>0</v>
      </c>
      <c r="AJ54" s="407">
        <v>0</v>
      </c>
      <c r="AK54" s="407">
        <v>0</v>
      </c>
      <c r="AL54" s="407">
        <v>30.078389856681031</v>
      </c>
      <c r="AM54" s="407"/>
      <c r="AN54" s="407">
        <v>6.5178754067425286</v>
      </c>
      <c r="AO54" s="407">
        <v>0</v>
      </c>
      <c r="AP54" s="407">
        <v>0</v>
      </c>
      <c r="AQ54" s="407">
        <v>0</v>
      </c>
      <c r="AR54" s="407">
        <v>0</v>
      </c>
      <c r="AS54" s="407">
        <v>0</v>
      </c>
      <c r="AT54" s="407">
        <v>0</v>
      </c>
      <c r="AU54" s="407">
        <v>0</v>
      </c>
      <c r="AV54" s="407">
        <v>0</v>
      </c>
      <c r="AW54" s="407">
        <v>0</v>
      </c>
      <c r="AX54" s="407">
        <v>0</v>
      </c>
      <c r="AY54" s="407">
        <v>0</v>
      </c>
      <c r="AZ54" s="407">
        <v>0</v>
      </c>
      <c r="BA54" s="407"/>
      <c r="BB54" s="407">
        <v>0</v>
      </c>
      <c r="BC54" s="407">
        <v>0</v>
      </c>
      <c r="BD54" s="407">
        <v>0</v>
      </c>
      <c r="BE54" s="407">
        <v>0</v>
      </c>
      <c r="BF54" s="407">
        <v>0</v>
      </c>
      <c r="BG54" s="407">
        <v>35.410920667891737</v>
      </c>
      <c r="BH54" s="407">
        <v>0</v>
      </c>
      <c r="BI54" s="407">
        <v>0</v>
      </c>
      <c r="BJ54" s="407">
        <v>0</v>
      </c>
      <c r="BK54" s="407">
        <v>0</v>
      </c>
      <c r="BL54" s="407">
        <v>0</v>
      </c>
      <c r="BM54" s="407"/>
      <c r="BN54" s="407"/>
      <c r="BO54" s="407"/>
      <c r="BP54" s="407"/>
      <c r="BQ54" s="407"/>
      <c r="BR54" s="407"/>
      <c r="BS54" s="407">
        <v>1245.2808600000001</v>
      </c>
      <c r="BT54" s="407"/>
      <c r="BU54" s="407"/>
      <c r="BV54" s="407">
        <v>519.84960186376713</v>
      </c>
      <c r="BW54" s="407"/>
      <c r="BX54" s="407"/>
      <c r="BY54" s="407"/>
      <c r="BZ54" s="407"/>
      <c r="CA54" s="407"/>
      <c r="CB54" s="407"/>
      <c r="CC54" s="407"/>
      <c r="CD54" s="407"/>
      <c r="CE54" s="407"/>
      <c r="CF54" s="407"/>
      <c r="CG54" s="407"/>
      <c r="CH54" s="407"/>
      <c r="CI54" s="407">
        <v>678.38400000000001</v>
      </c>
      <c r="CJ54" s="407">
        <v>-214.83332399999995</v>
      </c>
      <c r="CK54" s="407"/>
      <c r="CL54" s="407"/>
      <c r="CM54" s="407"/>
      <c r="CN54" s="407"/>
      <c r="CO54" s="407">
        <v>-702.01350000000014</v>
      </c>
      <c r="CP54" s="407">
        <v>86.283270000000002</v>
      </c>
      <c r="CQ54" s="407">
        <v>31</v>
      </c>
      <c r="CR54" s="407">
        <v>54.194870587183004</v>
      </c>
      <c r="CS54" s="407">
        <v>0</v>
      </c>
      <c r="CT54" s="407">
        <v>0</v>
      </c>
      <c r="CU54" s="407">
        <v>0</v>
      </c>
      <c r="CV54" s="407">
        <v>0</v>
      </c>
      <c r="CW54" s="407">
        <v>0</v>
      </c>
      <c r="CX54" s="407">
        <v>0</v>
      </c>
      <c r="CY54" s="407">
        <v>0</v>
      </c>
      <c r="CZ54" s="407">
        <v>16.550117509411052</v>
      </c>
      <c r="DA54" s="407">
        <v>0</v>
      </c>
      <c r="DB54" s="407">
        <v>0</v>
      </c>
      <c r="DC54" s="407">
        <v>96.0511082900357</v>
      </c>
      <c r="DD54" s="407">
        <v>0</v>
      </c>
      <c r="DE54" s="407">
        <v>0</v>
      </c>
      <c r="DF54" s="407">
        <v>0</v>
      </c>
      <c r="DG54" s="407">
        <v>7.0210293020476229</v>
      </c>
      <c r="DH54" s="407">
        <v>0</v>
      </c>
      <c r="DI54" s="407">
        <v>-13.633568940591317</v>
      </c>
      <c r="DJ54" s="407"/>
      <c r="DK54" s="407">
        <v>0</v>
      </c>
      <c r="DL54" s="407">
        <v>0</v>
      </c>
      <c r="DM54" s="407">
        <v>0</v>
      </c>
      <c r="DN54" s="407">
        <v>0</v>
      </c>
      <c r="DO54" s="407">
        <v>-1.835123980549092</v>
      </c>
      <c r="DP54" s="407">
        <v>-0.4153032854435228</v>
      </c>
      <c r="DQ54" s="407">
        <v>0</v>
      </c>
      <c r="DR54" s="407">
        <v>-49.543388307727412</v>
      </c>
      <c r="DS54" s="407"/>
      <c r="DT54" s="407"/>
      <c r="DU54" s="407"/>
      <c r="DV54" s="407">
        <v>1311.5119570622089</v>
      </c>
      <c r="DW54" s="407">
        <v>0</v>
      </c>
      <c r="DX54" s="407">
        <v>0</v>
      </c>
      <c r="DY54" s="407">
        <v>-702.01350000000002</v>
      </c>
      <c r="DZ54" s="407">
        <v>86.283270000000016</v>
      </c>
      <c r="EA54" s="407">
        <v>0</v>
      </c>
      <c r="EB54" s="407">
        <v>0</v>
      </c>
      <c r="EC54" s="407">
        <v>-669.92335381567841</v>
      </c>
      <c r="ED54" s="407">
        <v>0</v>
      </c>
      <c r="EE54" s="407">
        <v>0</v>
      </c>
      <c r="EF54" s="407">
        <v>0</v>
      </c>
      <c r="EG54" s="407">
        <v>0</v>
      </c>
      <c r="EH54" s="407">
        <v>0</v>
      </c>
      <c r="EI54" s="407">
        <v>0</v>
      </c>
      <c r="EJ54" s="407">
        <v>0</v>
      </c>
      <c r="EK54" s="407">
        <v>0</v>
      </c>
      <c r="EL54" s="407">
        <v>0</v>
      </c>
      <c r="EM54" s="407">
        <v>0</v>
      </c>
      <c r="EN54" s="407">
        <v>0</v>
      </c>
      <c r="EO54" s="407">
        <v>0</v>
      </c>
      <c r="EP54" s="407">
        <v>92.201541322508263</v>
      </c>
      <c r="EQ54" s="407">
        <v>0</v>
      </c>
      <c r="ER54" s="407">
        <v>0</v>
      </c>
      <c r="ES54" s="407">
        <v>0</v>
      </c>
      <c r="ET54" s="407">
        <v>0</v>
      </c>
      <c r="EU54" s="407">
        <v>0</v>
      </c>
      <c r="EV54" s="407">
        <v>246</v>
      </c>
      <c r="EW54" s="407">
        <v>0</v>
      </c>
      <c r="EX54" s="407">
        <v>0</v>
      </c>
      <c r="EY54" s="407">
        <v>0</v>
      </c>
      <c r="EZ54" s="407"/>
      <c r="FA54" s="407">
        <v>0</v>
      </c>
      <c r="FB54" s="407"/>
      <c r="FC54" s="407"/>
      <c r="FD54" s="407"/>
      <c r="FE54" s="407"/>
      <c r="FF54" s="407">
        <v>0</v>
      </c>
      <c r="FG54" s="407">
        <v>0</v>
      </c>
      <c r="FH54" s="407">
        <v>0</v>
      </c>
      <c r="FI54" s="407">
        <v>0</v>
      </c>
    </row>
    <row r="55" spans="1:165" customFormat="1">
      <c r="A55" s="407">
        <v>54</v>
      </c>
      <c r="B55" s="407" t="s">
        <v>1090</v>
      </c>
      <c r="C55" s="407" t="s">
        <v>2314</v>
      </c>
      <c r="D55" s="407" t="s">
        <v>650</v>
      </c>
      <c r="E55" s="407" t="s">
        <v>1026</v>
      </c>
      <c r="F55" s="407" t="s">
        <v>2323</v>
      </c>
      <c r="G55" s="407" t="s">
        <v>97</v>
      </c>
      <c r="H55" s="407" t="s">
        <v>97</v>
      </c>
      <c r="I55" s="407" t="s">
        <v>1025</v>
      </c>
      <c r="J55" s="407" t="s">
        <v>2307</v>
      </c>
      <c r="K55" s="818">
        <v>44378</v>
      </c>
      <c r="L55" s="407">
        <v>0</v>
      </c>
      <c r="M55" s="407">
        <v>0</v>
      </c>
      <c r="N55" s="407">
        <v>2.1280000000000001</v>
      </c>
      <c r="O55" s="407">
        <v>2.0428800000000003</v>
      </c>
      <c r="P55" s="407">
        <v>2.1280000000000001</v>
      </c>
      <c r="Q55" s="407">
        <v>2.0428800000000003</v>
      </c>
      <c r="R55" s="407"/>
      <c r="S55" s="407">
        <v>2810.7</v>
      </c>
      <c r="T55" s="407">
        <v>159.41</v>
      </c>
      <c r="U55" s="407"/>
      <c r="V55" s="407">
        <v>6320.39408</v>
      </c>
      <c r="W55" s="407">
        <v>6320.39408</v>
      </c>
      <c r="X55" s="407">
        <v>4025.5163200000002</v>
      </c>
      <c r="Y55" s="407">
        <v>0</v>
      </c>
      <c r="Z55" s="407">
        <v>114.72924320636915</v>
      </c>
      <c r="AA55" s="407">
        <v>0</v>
      </c>
      <c r="AB55" s="407">
        <v>0</v>
      </c>
      <c r="AC55" s="407">
        <v>0</v>
      </c>
      <c r="AD55" s="407">
        <v>1299.1771827268615</v>
      </c>
      <c r="AE55" s="407">
        <v>4479.2035879054993</v>
      </c>
      <c r="AF55" s="407">
        <v>328.20296516549593</v>
      </c>
      <c r="AG55" s="407">
        <v>11.026758122699592</v>
      </c>
      <c r="AH55" s="407">
        <v>0</v>
      </c>
      <c r="AI55" s="407">
        <v>0</v>
      </c>
      <c r="AJ55" s="407">
        <v>0</v>
      </c>
      <c r="AK55" s="407">
        <v>0</v>
      </c>
      <c r="AL55" s="407">
        <v>20.377845786379254</v>
      </c>
      <c r="AM55" s="407"/>
      <c r="AN55" s="407">
        <v>2.2849046407495739</v>
      </c>
      <c r="AO55" s="407">
        <v>0</v>
      </c>
      <c r="AP55" s="407">
        <v>0</v>
      </c>
      <c r="AQ55" s="407">
        <v>0</v>
      </c>
      <c r="AR55" s="407">
        <v>0</v>
      </c>
      <c r="AS55" s="407">
        <v>0</v>
      </c>
      <c r="AT55" s="407">
        <v>0</v>
      </c>
      <c r="AU55" s="407">
        <v>0</v>
      </c>
      <c r="AV55" s="407">
        <v>0</v>
      </c>
      <c r="AW55" s="407">
        <v>0</v>
      </c>
      <c r="AX55" s="407">
        <v>0</v>
      </c>
      <c r="AY55" s="407">
        <v>0</v>
      </c>
      <c r="AZ55" s="407">
        <v>0</v>
      </c>
      <c r="BA55" s="407"/>
      <c r="BB55" s="407">
        <v>0</v>
      </c>
      <c r="BC55" s="407">
        <v>0</v>
      </c>
      <c r="BD55" s="407">
        <v>0</v>
      </c>
      <c r="BE55" s="407">
        <v>0</v>
      </c>
      <c r="BF55" s="407">
        <v>0</v>
      </c>
      <c r="BG55" s="407">
        <v>11.044052635823959</v>
      </c>
      <c r="BH55" s="407">
        <v>0</v>
      </c>
      <c r="BI55" s="407">
        <v>0</v>
      </c>
      <c r="BJ55" s="407">
        <v>0</v>
      </c>
      <c r="BK55" s="407">
        <v>0</v>
      </c>
      <c r="BL55" s="407">
        <v>0</v>
      </c>
      <c r="BM55" s="407"/>
      <c r="BN55" s="407"/>
      <c r="BO55" s="407"/>
      <c r="BP55" s="407"/>
      <c r="BQ55" s="407"/>
      <c r="BR55" s="407">
        <v>161.02065279999974</v>
      </c>
      <c r="BS55" s="407"/>
      <c r="BT55" s="407"/>
      <c r="BU55" s="407"/>
      <c r="BV55" s="407">
        <v>339.24701780131988</v>
      </c>
      <c r="BW55" s="407"/>
      <c r="BX55" s="407"/>
      <c r="BY55" s="407"/>
      <c r="BZ55" s="407"/>
      <c r="CA55" s="407"/>
      <c r="CB55" s="407"/>
      <c r="CC55" s="407"/>
      <c r="CD55" s="407"/>
      <c r="CE55" s="407"/>
      <c r="CF55" s="407"/>
      <c r="CG55" s="407"/>
      <c r="CH55" s="407"/>
      <c r="CI55" s="407">
        <v>3859.0475999999999</v>
      </c>
      <c r="CJ55" s="407">
        <v>-2208.5607168000006</v>
      </c>
      <c r="CK55" s="407"/>
      <c r="CL55" s="407"/>
      <c r="CM55" s="407"/>
      <c r="CN55" s="407"/>
      <c r="CO55" s="407">
        <v>-2353.33392</v>
      </c>
      <c r="CP55" s="407">
        <v>58.456160000000004</v>
      </c>
      <c r="CQ55" s="407">
        <v>31</v>
      </c>
      <c r="CR55" s="407">
        <v>-6.8789664052346779</v>
      </c>
      <c r="CS55" s="407">
        <v>0</v>
      </c>
      <c r="CT55" s="407">
        <v>0</v>
      </c>
      <c r="CU55" s="407">
        <v>0</v>
      </c>
      <c r="CV55" s="407">
        <v>0</v>
      </c>
      <c r="CW55" s="407">
        <v>0</v>
      </c>
      <c r="CX55" s="407">
        <v>0</v>
      </c>
      <c r="CY55" s="407">
        <v>0</v>
      </c>
      <c r="CZ55" s="407">
        <v>58.686409365326199</v>
      </c>
      <c r="DA55" s="407">
        <v>0</v>
      </c>
      <c r="DB55" s="407">
        <v>0</v>
      </c>
      <c r="DC55" s="407">
        <v>65.073784922380128</v>
      </c>
      <c r="DD55" s="407">
        <v>0</v>
      </c>
      <c r="DE55" s="407">
        <v>0</v>
      </c>
      <c r="DF55" s="407">
        <v>0</v>
      </c>
      <c r="DG55" s="407">
        <v>2.1897373947632151</v>
      </c>
      <c r="DH55" s="407">
        <v>0</v>
      </c>
      <c r="DI55" s="407">
        <v>-8.0358625259004697</v>
      </c>
      <c r="DJ55" s="407"/>
      <c r="DK55" s="407">
        <v>0</v>
      </c>
      <c r="DL55" s="407">
        <v>0</v>
      </c>
      <c r="DM55" s="407">
        <v>0</v>
      </c>
      <c r="DN55" s="407">
        <v>0</v>
      </c>
      <c r="DO55" s="407">
        <v>-1.2432804299931455</v>
      </c>
      <c r="DP55" s="407">
        <v>-0.14558860748500191</v>
      </c>
      <c r="DQ55" s="407">
        <v>0</v>
      </c>
      <c r="DR55" s="407">
        <v>-123.40416652432556</v>
      </c>
      <c r="DS55" s="407"/>
      <c r="DT55" s="407"/>
      <c r="DU55" s="407"/>
      <c r="DV55" s="407">
        <v>4479.2035879054993</v>
      </c>
      <c r="DW55" s="407">
        <v>0</v>
      </c>
      <c r="DX55" s="407">
        <v>0</v>
      </c>
      <c r="DY55" s="407">
        <v>-2353.33392</v>
      </c>
      <c r="DZ55" s="407">
        <v>58.456160000000011</v>
      </c>
      <c r="EA55" s="407">
        <v>0</v>
      </c>
      <c r="EB55" s="407">
        <v>0</v>
      </c>
      <c r="EC55" s="407">
        <v>-2287.9875962049828</v>
      </c>
      <c r="ED55" s="407">
        <v>0</v>
      </c>
      <c r="EE55" s="407">
        <v>0</v>
      </c>
      <c r="EF55" s="407">
        <v>0</v>
      </c>
      <c r="EG55" s="407">
        <v>0</v>
      </c>
      <c r="EH55" s="407">
        <v>0</v>
      </c>
      <c r="EI55" s="407">
        <v>0</v>
      </c>
      <c r="EJ55" s="407">
        <v>0</v>
      </c>
      <c r="EK55" s="407">
        <v>0</v>
      </c>
      <c r="EL55" s="407">
        <v>0</v>
      </c>
      <c r="EM55" s="407">
        <v>0</v>
      </c>
      <c r="EN55" s="407">
        <v>0</v>
      </c>
      <c r="EO55" s="407">
        <v>0</v>
      </c>
      <c r="EP55" s="407">
        <v>54.345191194791092</v>
      </c>
      <c r="EQ55" s="407">
        <v>0</v>
      </c>
      <c r="ER55" s="407">
        <v>0</v>
      </c>
      <c r="ES55" s="407">
        <v>0</v>
      </c>
      <c r="ET55" s="407">
        <v>0</v>
      </c>
      <c r="EU55" s="407">
        <v>0</v>
      </c>
      <c r="EV55" s="407">
        <v>246</v>
      </c>
      <c r="EW55" s="407">
        <v>0</v>
      </c>
      <c r="EX55" s="407">
        <v>0</v>
      </c>
      <c r="EY55" s="407">
        <v>0</v>
      </c>
      <c r="EZ55" s="407"/>
      <c r="FA55" s="407">
        <v>0</v>
      </c>
      <c r="FB55" s="407"/>
      <c r="FC55" s="407"/>
      <c r="FD55" s="407"/>
      <c r="FE55" s="407"/>
      <c r="FF55" s="407">
        <v>0</v>
      </c>
      <c r="FG55" s="407">
        <v>0</v>
      </c>
      <c r="FH55" s="407">
        <v>0</v>
      </c>
      <c r="FI55" s="407">
        <v>0</v>
      </c>
    </row>
    <row r="56" spans="1:165" customFormat="1">
      <c r="A56" s="407">
        <v>56</v>
      </c>
      <c r="B56" s="407" t="s">
        <v>1090</v>
      </c>
      <c r="C56" s="407" t="s">
        <v>2314</v>
      </c>
      <c r="D56" s="407" t="s">
        <v>650</v>
      </c>
      <c r="E56" s="407" t="s">
        <v>1026</v>
      </c>
      <c r="F56" s="407" t="s">
        <v>2323</v>
      </c>
      <c r="G56" s="407" t="s">
        <v>97</v>
      </c>
      <c r="H56" s="407" t="s">
        <v>97</v>
      </c>
      <c r="I56" s="407" t="s">
        <v>2290</v>
      </c>
      <c r="J56" s="407" t="s">
        <v>2307</v>
      </c>
      <c r="K56" s="818">
        <v>44378</v>
      </c>
      <c r="L56" s="407">
        <v>0</v>
      </c>
      <c r="M56" s="407">
        <v>0</v>
      </c>
      <c r="N56" s="407">
        <v>28.387</v>
      </c>
      <c r="O56" s="407">
        <v>27.251519999999999</v>
      </c>
      <c r="P56" s="407">
        <v>28.387</v>
      </c>
      <c r="Q56" s="407">
        <v>27.251519999999999</v>
      </c>
      <c r="R56" s="407"/>
      <c r="S56" s="407">
        <v>95.29</v>
      </c>
      <c r="T56" s="407">
        <v>159.41</v>
      </c>
      <c r="U56" s="407"/>
      <c r="V56" s="407">
        <v>7230.1689000000006</v>
      </c>
      <c r="W56" s="407">
        <v>7230.1689000000006</v>
      </c>
      <c r="X56" s="407">
        <v>7860.6441699999996</v>
      </c>
      <c r="Y56" s="407">
        <v>0</v>
      </c>
      <c r="Z56" s="407">
        <v>1530.4600690315792</v>
      </c>
      <c r="AA56" s="407">
        <v>0</v>
      </c>
      <c r="AB56" s="407">
        <v>0</v>
      </c>
      <c r="AC56" s="407">
        <v>0</v>
      </c>
      <c r="AD56" s="407">
        <v>0</v>
      </c>
      <c r="AE56" s="407">
        <v>0</v>
      </c>
      <c r="AF56" s="407">
        <v>4378.1473553350252</v>
      </c>
      <c r="AG56" s="407">
        <v>147.09425884824873</v>
      </c>
      <c r="AH56" s="407">
        <v>0</v>
      </c>
      <c r="AI56" s="407">
        <v>0</v>
      </c>
      <c r="AJ56" s="407">
        <v>0</v>
      </c>
      <c r="AK56" s="407">
        <v>0</v>
      </c>
      <c r="AL56" s="407">
        <v>271.83548324151684</v>
      </c>
      <c r="AM56" s="407"/>
      <c r="AN56" s="407">
        <v>30.480069566239735</v>
      </c>
      <c r="AO56" s="407">
        <v>0</v>
      </c>
      <c r="AP56" s="407">
        <v>0</v>
      </c>
      <c r="AQ56" s="407">
        <v>0</v>
      </c>
      <c r="AR56" s="407">
        <v>0</v>
      </c>
      <c r="AS56" s="407">
        <v>0</v>
      </c>
      <c r="AT56" s="407">
        <v>0</v>
      </c>
      <c r="AU56" s="407">
        <v>0</v>
      </c>
      <c r="AV56" s="407">
        <v>0</v>
      </c>
      <c r="AW56" s="407">
        <v>0</v>
      </c>
      <c r="AX56" s="407">
        <v>0</v>
      </c>
      <c r="AY56" s="407">
        <v>0</v>
      </c>
      <c r="AZ56" s="407">
        <v>0</v>
      </c>
      <c r="BA56" s="407"/>
      <c r="BB56" s="407">
        <v>0</v>
      </c>
      <c r="BC56" s="407">
        <v>0</v>
      </c>
      <c r="BD56" s="407">
        <v>0</v>
      </c>
      <c r="BE56" s="407">
        <v>0</v>
      </c>
      <c r="BF56" s="407">
        <v>0</v>
      </c>
      <c r="BG56" s="407">
        <v>147.32496342722496</v>
      </c>
      <c r="BH56" s="407">
        <v>0</v>
      </c>
      <c r="BI56" s="407">
        <v>0</v>
      </c>
      <c r="BJ56" s="407">
        <v>0</v>
      </c>
      <c r="BK56" s="407">
        <v>0</v>
      </c>
      <c r="BL56" s="407">
        <v>0</v>
      </c>
      <c r="BM56" s="407"/>
      <c r="BN56" s="407"/>
      <c r="BO56" s="407"/>
      <c r="BP56" s="407"/>
      <c r="BQ56" s="407"/>
      <c r="BR56" s="407">
        <v>314.42576680000036</v>
      </c>
      <c r="BS56" s="407"/>
      <c r="BT56" s="407"/>
      <c r="BU56" s="407"/>
      <c r="BV56" s="407">
        <v>4525.4723187622503</v>
      </c>
      <c r="BW56" s="407"/>
      <c r="BX56" s="407"/>
      <c r="BY56" s="407"/>
      <c r="BZ56" s="407"/>
      <c r="CA56" s="407"/>
      <c r="CB56" s="407"/>
      <c r="CC56" s="407"/>
      <c r="CD56" s="407"/>
      <c r="CE56" s="407"/>
      <c r="CF56" s="407"/>
      <c r="CG56" s="407"/>
      <c r="CH56" s="407"/>
      <c r="CI56" s="407">
        <v>7545.7974999999997</v>
      </c>
      <c r="CJ56" s="407">
        <v>604.80535599999985</v>
      </c>
      <c r="CK56" s="407"/>
      <c r="CL56" s="407"/>
      <c r="CM56" s="407"/>
      <c r="CN56" s="407"/>
      <c r="CO56" s="407">
        <v>-149.31562000000014</v>
      </c>
      <c r="CP56" s="407">
        <v>779.79088999999999</v>
      </c>
      <c r="CQ56" s="407">
        <v>31</v>
      </c>
      <c r="CR56" s="407">
        <v>630.38554464244135</v>
      </c>
      <c r="CS56" s="407">
        <v>0</v>
      </c>
      <c r="CT56" s="407">
        <v>0</v>
      </c>
      <c r="CU56" s="407">
        <v>0</v>
      </c>
      <c r="CV56" s="407">
        <v>0</v>
      </c>
      <c r="CW56" s="407">
        <v>0</v>
      </c>
      <c r="CX56" s="407">
        <v>0</v>
      </c>
      <c r="CY56" s="407">
        <v>0</v>
      </c>
      <c r="CZ56" s="407">
        <v>0</v>
      </c>
      <c r="DA56" s="407">
        <v>0</v>
      </c>
      <c r="DB56" s="407">
        <v>0</v>
      </c>
      <c r="DC56" s="407">
        <v>868.06838937575321</v>
      </c>
      <c r="DD56" s="407">
        <v>0</v>
      </c>
      <c r="DE56" s="407">
        <v>0</v>
      </c>
      <c r="DF56" s="407">
        <v>0</v>
      </c>
      <c r="DG56" s="407">
        <v>29.210561759935814</v>
      </c>
      <c r="DH56" s="407">
        <v>0</v>
      </c>
      <c r="DI56" s="407">
        <v>-107.19644244489496</v>
      </c>
      <c r="DJ56" s="407"/>
      <c r="DK56" s="407">
        <v>0</v>
      </c>
      <c r="DL56" s="407">
        <v>0</v>
      </c>
      <c r="DM56" s="407">
        <v>0</v>
      </c>
      <c r="DN56" s="407">
        <v>0</v>
      </c>
      <c r="DO56" s="407">
        <v>-16.5850571269809</v>
      </c>
      <c r="DP56" s="407">
        <v>-1.9421164476864448</v>
      </c>
      <c r="DQ56" s="407">
        <v>0</v>
      </c>
      <c r="DR56" s="407">
        <v>-141.16979047368523</v>
      </c>
      <c r="DS56" s="407"/>
      <c r="DT56" s="407"/>
      <c r="DU56" s="407"/>
      <c r="DV56" s="407">
        <v>0</v>
      </c>
      <c r="DW56" s="407">
        <v>0</v>
      </c>
      <c r="DX56" s="407">
        <v>0</v>
      </c>
      <c r="DY56" s="407">
        <v>-149.31562000000031</v>
      </c>
      <c r="DZ56" s="407">
        <v>779.79089000000022</v>
      </c>
      <c r="EA56" s="407">
        <v>0</v>
      </c>
      <c r="EB56" s="407">
        <v>0</v>
      </c>
      <c r="EC56" s="407">
        <v>0</v>
      </c>
      <c r="ED56" s="407">
        <v>0</v>
      </c>
      <c r="EE56" s="407">
        <v>0</v>
      </c>
      <c r="EF56" s="407">
        <v>0</v>
      </c>
      <c r="EG56" s="407">
        <v>0</v>
      </c>
      <c r="EH56" s="407">
        <v>0</v>
      </c>
      <c r="EI56" s="407">
        <v>0</v>
      </c>
      <c r="EJ56" s="407">
        <v>0</v>
      </c>
      <c r="EK56" s="407">
        <v>0</v>
      </c>
      <c r="EL56" s="407">
        <v>0</v>
      </c>
      <c r="EM56" s="407">
        <v>0</v>
      </c>
      <c r="EN56" s="407">
        <v>0</v>
      </c>
      <c r="EO56" s="407">
        <v>0</v>
      </c>
      <c r="EP56" s="407">
        <v>724.95157069855952</v>
      </c>
      <c r="EQ56" s="407">
        <v>0</v>
      </c>
      <c r="ER56" s="407">
        <v>0</v>
      </c>
      <c r="ES56" s="407">
        <v>0</v>
      </c>
      <c r="ET56" s="407">
        <v>0</v>
      </c>
      <c r="EU56" s="407">
        <v>0</v>
      </c>
      <c r="EV56" s="407">
        <v>246</v>
      </c>
      <c r="EW56" s="407">
        <v>0</v>
      </c>
      <c r="EX56" s="407">
        <v>0</v>
      </c>
      <c r="EY56" s="407">
        <v>0</v>
      </c>
      <c r="EZ56" s="407"/>
      <c r="FA56" s="407">
        <v>0</v>
      </c>
      <c r="FB56" s="407"/>
      <c r="FC56" s="407"/>
      <c r="FD56" s="407"/>
      <c r="FE56" s="407"/>
      <c r="FF56" s="407">
        <v>0</v>
      </c>
      <c r="FG56" s="407">
        <v>0</v>
      </c>
      <c r="FH56" s="407">
        <v>0</v>
      </c>
      <c r="FI56" s="407">
        <v>0</v>
      </c>
    </row>
    <row r="57" spans="1:165" customFormat="1">
      <c r="A57" s="407">
        <v>58</v>
      </c>
      <c r="B57" s="407" t="s">
        <v>1090</v>
      </c>
      <c r="C57" s="407" t="s">
        <v>2314</v>
      </c>
      <c r="D57" s="407" t="s">
        <v>650</v>
      </c>
      <c r="E57" s="407" t="s">
        <v>1026</v>
      </c>
      <c r="F57" s="407" t="s">
        <v>2323</v>
      </c>
      <c r="G57" s="407" t="s">
        <v>97</v>
      </c>
      <c r="H57" s="407" t="s">
        <v>97</v>
      </c>
      <c r="I57" s="407" t="s">
        <v>97</v>
      </c>
      <c r="J57" s="407" t="s">
        <v>2307</v>
      </c>
      <c r="K57" s="818">
        <v>44378</v>
      </c>
      <c r="L57" s="407">
        <v>1701</v>
      </c>
      <c r="M57" s="407">
        <v>1632.96</v>
      </c>
      <c r="N57" s="407">
        <v>0</v>
      </c>
      <c r="O57" s="407">
        <v>0</v>
      </c>
      <c r="P57" s="407">
        <v>0</v>
      </c>
      <c r="Q57" s="407">
        <v>0</v>
      </c>
      <c r="R57" s="407">
        <v>43.29</v>
      </c>
      <c r="S57" s="407"/>
      <c r="T57" s="407"/>
      <c r="U57" s="407">
        <v>73636.289999999994</v>
      </c>
      <c r="V57" s="407"/>
      <c r="W57" s="407">
        <v>73636.289999999994</v>
      </c>
      <c r="X57" s="407">
        <v>56966.490000000005</v>
      </c>
      <c r="Y57" s="407">
        <v>0</v>
      </c>
      <c r="Z57" s="407">
        <v>0</v>
      </c>
      <c r="AA57" s="407">
        <v>0</v>
      </c>
      <c r="AB57" s="407">
        <v>0</v>
      </c>
      <c r="AC57" s="407">
        <v>0</v>
      </c>
      <c r="AD57" s="407">
        <v>40252.442156503042</v>
      </c>
      <c r="AE57" s="407">
        <v>33389.24726453609</v>
      </c>
      <c r="AF57" s="407"/>
      <c r="AG57" s="407"/>
      <c r="AH57" s="407"/>
      <c r="AI57" s="407">
        <v>0</v>
      </c>
      <c r="AJ57" s="407">
        <v>0</v>
      </c>
      <c r="AK57" s="407">
        <v>0</v>
      </c>
      <c r="AL57" s="407">
        <v>0</v>
      </c>
      <c r="AM57" s="407"/>
      <c r="AN57" s="407">
        <v>0</v>
      </c>
      <c r="AO57" s="407">
        <v>0</v>
      </c>
      <c r="AP57" s="407">
        <v>0</v>
      </c>
      <c r="AQ57" s="407">
        <v>0</v>
      </c>
      <c r="AR57" s="407">
        <v>0</v>
      </c>
      <c r="AS57" s="407"/>
      <c r="AT57" s="407"/>
      <c r="AU57" s="407">
        <v>0</v>
      </c>
      <c r="AV57" s="407">
        <v>0</v>
      </c>
      <c r="AW57" s="407">
        <v>0</v>
      </c>
      <c r="AX57" s="407"/>
      <c r="AY57" s="407"/>
      <c r="AZ57" s="407">
        <v>0</v>
      </c>
      <c r="BA57" s="407"/>
      <c r="BB57" s="407">
        <v>0</v>
      </c>
      <c r="BC57" s="407">
        <v>0</v>
      </c>
      <c r="BD57" s="407">
        <v>0</v>
      </c>
      <c r="BE57" s="407">
        <v>0</v>
      </c>
      <c r="BF57" s="407"/>
      <c r="BG57" s="407">
        <v>0</v>
      </c>
      <c r="BH57" s="407">
        <v>0</v>
      </c>
      <c r="BI57" s="407">
        <v>202.37</v>
      </c>
      <c r="BJ57" s="407">
        <v>934.36</v>
      </c>
      <c r="BK57" s="407">
        <v>209.66</v>
      </c>
      <c r="BL57" s="407">
        <v>40</v>
      </c>
      <c r="BM57" s="407"/>
      <c r="BN57" s="407"/>
      <c r="BO57" s="407"/>
      <c r="BP57" s="407"/>
      <c r="BQ57" s="407"/>
      <c r="BR57" s="407">
        <v>2278.659599999999</v>
      </c>
      <c r="BS57" s="407"/>
      <c r="BT57" s="407"/>
      <c r="BU57" s="407"/>
      <c r="BV57" s="407">
        <v>0</v>
      </c>
      <c r="BW57" s="407"/>
      <c r="BX57" s="407"/>
      <c r="BY57" s="407"/>
      <c r="BZ57" s="407"/>
      <c r="CA57" s="407"/>
      <c r="CB57" s="407"/>
      <c r="CC57" s="407"/>
      <c r="CD57" s="407"/>
      <c r="CE57" s="407"/>
      <c r="CF57" s="407"/>
      <c r="CG57" s="407"/>
      <c r="CH57" s="407"/>
      <c r="CI57" s="407">
        <v>54687.830400000006</v>
      </c>
      <c r="CJ57" s="407">
        <v>-16003.037999999971</v>
      </c>
      <c r="CK57" s="407"/>
      <c r="CL57" s="407"/>
      <c r="CM57" s="407"/>
      <c r="CN57" s="407"/>
      <c r="CO57" s="407">
        <v>-16669.799999999996</v>
      </c>
      <c r="CP57" s="407">
        <v>0</v>
      </c>
      <c r="CQ57" s="407">
        <v>31</v>
      </c>
      <c r="CR57" s="407">
        <v>380.44590701013658</v>
      </c>
      <c r="CS57" s="407">
        <v>0</v>
      </c>
      <c r="CT57" s="407">
        <v>0</v>
      </c>
      <c r="CU57" s="407">
        <v>0</v>
      </c>
      <c r="CV57" s="407">
        <v>0</v>
      </c>
      <c r="CW57" s="407"/>
      <c r="CX57" s="407"/>
      <c r="CY57" s="407"/>
      <c r="CZ57" s="407">
        <v>1818.2826251553925</v>
      </c>
      <c r="DA57" s="407">
        <v>0</v>
      </c>
      <c r="DB57" s="407">
        <v>0</v>
      </c>
      <c r="DC57" s="407"/>
      <c r="DD57" s="407"/>
      <c r="DE57" s="407">
        <v>0</v>
      </c>
      <c r="DF57" s="407">
        <v>0</v>
      </c>
      <c r="DG57" s="407">
        <v>0</v>
      </c>
      <c r="DH57" s="407">
        <v>0</v>
      </c>
      <c r="DI57" s="407">
        <v>0</v>
      </c>
      <c r="DJ57" s="407"/>
      <c r="DK57" s="407">
        <v>0</v>
      </c>
      <c r="DL57" s="407">
        <v>0</v>
      </c>
      <c r="DM57" s="407"/>
      <c r="DN57" s="407">
        <v>0</v>
      </c>
      <c r="DO57" s="407">
        <v>0</v>
      </c>
      <c r="DP57" s="407">
        <v>0</v>
      </c>
      <c r="DQ57" s="407">
        <v>0</v>
      </c>
      <c r="DR57" s="407">
        <v>-1437.8367181452577</v>
      </c>
      <c r="DS57" s="407"/>
      <c r="DT57" s="407"/>
      <c r="DU57" s="407">
        <v>33389.24726453609</v>
      </c>
      <c r="DV57" s="407"/>
      <c r="DW57" s="407">
        <v>0</v>
      </c>
      <c r="DX57" s="407">
        <v>0</v>
      </c>
      <c r="DY57" s="407">
        <v>-16669.799999999988</v>
      </c>
      <c r="DZ57" s="407"/>
      <c r="EA57" s="407">
        <v>0</v>
      </c>
      <c r="EB57" s="407"/>
      <c r="EC57" s="407">
        <v>-17055.305053370568</v>
      </c>
      <c r="ED57" s="407"/>
      <c r="EE57" s="407">
        <v>0</v>
      </c>
      <c r="EF57" s="407">
        <v>0</v>
      </c>
      <c r="EG57" s="407"/>
      <c r="EH57" s="407">
        <v>0</v>
      </c>
      <c r="EI57" s="407">
        <v>0</v>
      </c>
      <c r="EJ57" s="407">
        <v>0</v>
      </c>
      <c r="EK57" s="407">
        <v>0</v>
      </c>
      <c r="EL57" s="407">
        <v>0</v>
      </c>
      <c r="EM57" s="407"/>
      <c r="EN57" s="407"/>
      <c r="EO57" s="407">
        <v>0</v>
      </c>
      <c r="EP57" s="407">
        <v>0</v>
      </c>
      <c r="EQ57" s="407"/>
      <c r="ER57" s="407">
        <v>0</v>
      </c>
      <c r="ES57" s="407"/>
      <c r="ET57" s="407">
        <v>0</v>
      </c>
      <c r="EU57" s="407"/>
      <c r="EV57" s="407">
        <v>246</v>
      </c>
      <c r="EW57" s="407"/>
      <c r="EX57" s="407"/>
      <c r="EY57" s="407"/>
      <c r="EZ57" s="407"/>
      <c r="FA57" s="407">
        <v>0</v>
      </c>
      <c r="FB57" s="407"/>
      <c r="FC57" s="407"/>
      <c r="FD57" s="407"/>
      <c r="FE57" s="407"/>
      <c r="FF57" s="407">
        <v>0</v>
      </c>
      <c r="FG57" s="407">
        <v>0</v>
      </c>
      <c r="FH57" s="407">
        <v>0</v>
      </c>
      <c r="FI57" s="407">
        <v>0</v>
      </c>
    </row>
    <row r="58" spans="1:165" customFormat="1">
      <c r="A58" s="407">
        <v>59</v>
      </c>
      <c r="B58" s="407" t="s">
        <v>2309</v>
      </c>
      <c r="C58" s="407" t="s">
        <v>2314</v>
      </c>
      <c r="D58" s="407" t="s">
        <v>650</v>
      </c>
      <c r="E58" s="407" t="s">
        <v>1026</v>
      </c>
      <c r="F58" s="407" t="s">
        <v>2323</v>
      </c>
      <c r="G58" s="407" t="s">
        <v>97</v>
      </c>
      <c r="H58" s="407" t="s">
        <v>97</v>
      </c>
      <c r="I58" s="407" t="s">
        <v>97</v>
      </c>
      <c r="J58" s="407" t="s">
        <v>2307</v>
      </c>
      <c r="K58" s="818">
        <v>44378</v>
      </c>
      <c r="L58" s="407">
        <v>79</v>
      </c>
      <c r="M58" s="407">
        <v>75.84</v>
      </c>
      <c r="N58" s="407">
        <v>0</v>
      </c>
      <c r="O58" s="407">
        <v>0</v>
      </c>
      <c r="P58" s="407">
        <v>0</v>
      </c>
      <c r="Q58" s="407">
        <v>0</v>
      </c>
      <c r="R58" s="407">
        <v>43.29</v>
      </c>
      <c r="S58" s="407"/>
      <c r="T58" s="407"/>
      <c r="U58" s="407">
        <v>3419.91</v>
      </c>
      <c r="V58" s="407"/>
      <c r="W58" s="407">
        <v>3419.91</v>
      </c>
      <c r="X58" s="407">
        <v>2645.71</v>
      </c>
      <c r="Y58" s="407">
        <v>0</v>
      </c>
      <c r="Z58" s="407">
        <v>0</v>
      </c>
      <c r="AA58" s="407">
        <v>0</v>
      </c>
      <c r="AB58" s="407">
        <v>0</v>
      </c>
      <c r="AC58" s="407">
        <v>0</v>
      </c>
      <c r="AD58" s="407">
        <v>1869.4549855166022</v>
      </c>
      <c r="AE58" s="407">
        <v>1550.7057812453563</v>
      </c>
      <c r="AF58" s="407"/>
      <c r="AG58" s="407"/>
      <c r="AH58" s="407"/>
      <c r="AI58" s="407">
        <v>0</v>
      </c>
      <c r="AJ58" s="407">
        <v>0</v>
      </c>
      <c r="AK58" s="407">
        <v>0</v>
      </c>
      <c r="AL58" s="407">
        <v>0</v>
      </c>
      <c r="AM58" s="407"/>
      <c r="AN58" s="407">
        <v>0</v>
      </c>
      <c r="AO58" s="407">
        <v>0</v>
      </c>
      <c r="AP58" s="407">
        <v>0</v>
      </c>
      <c r="AQ58" s="407">
        <v>0</v>
      </c>
      <c r="AR58" s="407">
        <v>0</v>
      </c>
      <c r="AS58" s="407"/>
      <c r="AT58" s="407"/>
      <c r="AU58" s="407">
        <v>0</v>
      </c>
      <c r="AV58" s="407">
        <v>0</v>
      </c>
      <c r="AW58" s="407">
        <v>0</v>
      </c>
      <c r="AX58" s="407"/>
      <c r="AY58" s="407"/>
      <c r="AZ58" s="407">
        <v>0</v>
      </c>
      <c r="BA58" s="407"/>
      <c r="BB58" s="407">
        <v>0</v>
      </c>
      <c r="BC58" s="407">
        <v>0</v>
      </c>
      <c r="BD58" s="407">
        <v>0</v>
      </c>
      <c r="BE58" s="407">
        <v>0</v>
      </c>
      <c r="BF58" s="407"/>
      <c r="BG58" s="407">
        <v>0</v>
      </c>
      <c r="BH58" s="407">
        <v>0</v>
      </c>
      <c r="BI58" s="407">
        <v>38.22</v>
      </c>
      <c r="BJ58" s="407">
        <v>176.41</v>
      </c>
      <c r="BK58" s="407">
        <v>9.1</v>
      </c>
      <c r="BL58" s="407">
        <v>4</v>
      </c>
      <c r="BM58" s="407"/>
      <c r="BN58" s="407"/>
      <c r="BO58" s="407"/>
      <c r="BP58" s="407"/>
      <c r="BQ58" s="407"/>
      <c r="BR58" s="407">
        <v>105.82839999999989</v>
      </c>
      <c r="BS58" s="407"/>
      <c r="BT58" s="407"/>
      <c r="BU58" s="407"/>
      <c r="BV58" s="407">
        <v>0</v>
      </c>
      <c r="BW58" s="407"/>
      <c r="BX58" s="407"/>
      <c r="BY58" s="407"/>
      <c r="BZ58" s="407"/>
      <c r="CA58" s="407"/>
      <c r="CB58" s="407"/>
      <c r="CC58" s="407"/>
      <c r="CD58" s="407"/>
      <c r="CE58" s="407"/>
      <c r="CF58" s="407"/>
      <c r="CG58" s="407"/>
      <c r="CH58" s="407"/>
      <c r="CI58" s="407">
        <v>2539.8816000000002</v>
      </c>
      <c r="CJ58" s="407">
        <v>-743.26200000000063</v>
      </c>
      <c r="CK58" s="407"/>
      <c r="CL58" s="407"/>
      <c r="CM58" s="407"/>
      <c r="CN58" s="407"/>
      <c r="CO58" s="407">
        <v>-774.19999999999982</v>
      </c>
      <c r="CP58" s="407">
        <v>0</v>
      </c>
      <c r="CQ58" s="407">
        <v>31</v>
      </c>
      <c r="CR58" s="407">
        <v>17.66915147195823</v>
      </c>
      <c r="CS58" s="407">
        <v>0</v>
      </c>
      <c r="CT58" s="407">
        <v>0</v>
      </c>
      <c r="CU58" s="407">
        <v>0</v>
      </c>
      <c r="CV58" s="407">
        <v>0</v>
      </c>
      <c r="CW58" s="407"/>
      <c r="CX58" s="407"/>
      <c r="CY58" s="407"/>
      <c r="CZ58" s="407">
        <v>84.446988469886037</v>
      </c>
      <c r="DA58" s="407">
        <v>0</v>
      </c>
      <c r="DB58" s="407">
        <v>0</v>
      </c>
      <c r="DC58" s="407"/>
      <c r="DD58" s="407"/>
      <c r="DE58" s="407">
        <v>0</v>
      </c>
      <c r="DF58" s="407">
        <v>0</v>
      </c>
      <c r="DG58" s="407">
        <v>0</v>
      </c>
      <c r="DH58" s="407">
        <v>0</v>
      </c>
      <c r="DI58" s="407">
        <v>0</v>
      </c>
      <c r="DJ58" s="407"/>
      <c r="DK58" s="407">
        <v>0</v>
      </c>
      <c r="DL58" s="407">
        <v>0</v>
      </c>
      <c r="DM58" s="407"/>
      <c r="DN58" s="407">
        <v>0</v>
      </c>
      <c r="DO58" s="407">
        <v>0</v>
      </c>
      <c r="DP58" s="407">
        <v>0</v>
      </c>
      <c r="DQ58" s="407">
        <v>0</v>
      </c>
      <c r="DR58" s="407">
        <v>-66.777836997927892</v>
      </c>
      <c r="DS58" s="407"/>
      <c r="DT58" s="407"/>
      <c r="DU58" s="407">
        <v>1550.7057812453563</v>
      </c>
      <c r="DV58" s="407"/>
      <c r="DW58" s="407">
        <v>0</v>
      </c>
      <c r="DX58" s="407">
        <v>0</v>
      </c>
      <c r="DY58" s="407">
        <v>-774.19999999999982</v>
      </c>
      <c r="DZ58" s="407"/>
      <c r="EA58" s="407">
        <v>0</v>
      </c>
      <c r="EB58" s="407"/>
      <c r="EC58" s="407">
        <v>-792.10411476559375</v>
      </c>
      <c r="ED58" s="407"/>
      <c r="EE58" s="407">
        <v>0</v>
      </c>
      <c r="EF58" s="407">
        <v>0</v>
      </c>
      <c r="EG58" s="407"/>
      <c r="EH58" s="407">
        <v>0</v>
      </c>
      <c r="EI58" s="407">
        <v>0</v>
      </c>
      <c r="EJ58" s="407">
        <v>0</v>
      </c>
      <c r="EK58" s="407">
        <v>0</v>
      </c>
      <c r="EL58" s="407">
        <v>0</v>
      </c>
      <c r="EM58" s="407"/>
      <c r="EN58" s="407"/>
      <c r="EO58" s="407">
        <v>0</v>
      </c>
      <c r="EP58" s="407">
        <v>0</v>
      </c>
      <c r="EQ58" s="407"/>
      <c r="ER58" s="407">
        <v>0</v>
      </c>
      <c r="ES58" s="407"/>
      <c r="ET58" s="407">
        <v>0</v>
      </c>
      <c r="EU58" s="407"/>
      <c r="EV58" s="407">
        <v>246</v>
      </c>
      <c r="EW58" s="407"/>
      <c r="EX58" s="407"/>
      <c r="EY58" s="407"/>
      <c r="EZ58" s="407"/>
      <c r="FA58" s="407">
        <v>0</v>
      </c>
      <c r="FB58" s="407"/>
      <c r="FC58" s="407"/>
      <c r="FD58" s="407"/>
      <c r="FE58" s="407"/>
      <c r="FF58" s="407">
        <v>0</v>
      </c>
      <c r="FG58" s="407">
        <v>0</v>
      </c>
      <c r="FH58" s="407">
        <v>0</v>
      </c>
      <c r="FI58" s="407">
        <v>0</v>
      </c>
    </row>
    <row r="59" spans="1:165" customFormat="1">
      <c r="A59" s="407">
        <v>60</v>
      </c>
      <c r="B59" s="407" t="s">
        <v>1090</v>
      </c>
      <c r="C59" s="407" t="s">
        <v>2314</v>
      </c>
      <c r="D59" s="407" t="s">
        <v>650</v>
      </c>
      <c r="E59" s="407" t="s">
        <v>1026</v>
      </c>
      <c r="F59" s="407" t="s">
        <v>2323</v>
      </c>
      <c r="G59" s="407" t="s">
        <v>2325</v>
      </c>
      <c r="H59" s="407" t="s">
        <v>97</v>
      </c>
      <c r="I59" s="407" t="s">
        <v>2290</v>
      </c>
      <c r="J59" s="407" t="s">
        <v>2307</v>
      </c>
      <c r="K59" s="818">
        <v>44378</v>
      </c>
      <c r="L59" s="407">
        <v>0</v>
      </c>
      <c r="M59" s="407">
        <v>0</v>
      </c>
      <c r="N59" s="407">
        <v>13.346</v>
      </c>
      <c r="O59" s="407">
        <v>4.0038</v>
      </c>
      <c r="P59" s="407">
        <v>13.346</v>
      </c>
      <c r="Q59" s="407">
        <v>4.0038</v>
      </c>
      <c r="R59" s="407"/>
      <c r="S59" s="407">
        <v>95.29</v>
      </c>
      <c r="T59" s="407">
        <v>159.41</v>
      </c>
      <c r="U59" s="407"/>
      <c r="V59" s="407">
        <v>3399.2262000000001</v>
      </c>
      <c r="W59" s="407">
        <v>3399.2262000000001</v>
      </c>
      <c r="X59" s="407">
        <v>3695.64086</v>
      </c>
      <c r="Y59" s="407">
        <v>0</v>
      </c>
      <c r="Z59" s="407">
        <v>719.53781947001994</v>
      </c>
      <c r="AA59" s="407">
        <v>0</v>
      </c>
      <c r="AB59" s="407">
        <v>0</v>
      </c>
      <c r="AC59" s="407">
        <v>0</v>
      </c>
      <c r="AD59" s="407">
        <v>0</v>
      </c>
      <c r="AE59" s="407">
        <v>0</v>
      </c>
      <c r="AF59" s="407">
        <v>2058.3631452531527</v>
      </c>
      <c r="AG59" s="407">
        <v>69.155598639825541</v>
      </c>
      <c r="AH59" s="407">
        <v>0</v>
      </c>
      <c r="AI59" s="407">
        <v>0</v>
      </c>
      <c r="AJ59" s="407">
        <v>0</v>
      </c>
      <c r="AK59" s="407">
        <v>0</v>
      </c>
      <c r="AL59" s="407">
        <v>127.80203471100448</v>
      </c>
      <c r="AM59" s="407"/>
      <c r="AN59" s="407">
        <v>14.330045740340138</v>
      </c>
      <c r="AO59" s="407">
        <v>0</v>
      </c>
      <c r="AP59" s="407">
        <v>0</v>
      </c>
      <c r="AQ59" s="407">
        <v>0</v>
      </c>
      <c r="AR59" s="407">
        <v>0</v>
      </c>
      <c r="AS59" s="407">
        <v>0</v>
      </c>
      <c r="AT59" s="407">
        <v>0</v>
      </c>
      <c r="AU59" s="407">
        <v>0</v>
      </c>
      <c r="AV59" s="407">
        <v>0</v>
      </c>
      <c r="AW59" s="407">
        <v>0</v>
      </c>
      <c r="AX59" s="407">
        <v>0</v>
      </c>
      <c r="AY59" s="407">
        <v>0</v>
      </c>
      <c r="AZ59" s="407">
        <v>0</v>
      </c>
      <c r="BA59" s="407"/>
      <c r="BB59" s="407">
        <v>0</v>
      </c>
      <c r="BC59" s="407">
        <v>0</v>
      </c>
      <c r="BD59" s="407">
        <v>0</v>
      </c>
      <c r="BE59" s="407">
        <v>0</v>
      </c>
      <c r="BF59" s="407">
        <v>0</v>
      </c>
      <c r="BG59" s="407">
        <v>69.26406319441098</v>
      </c>
      <c r="BH59" s="407">
        <v>0</v>
      </c>
      <c r="BI59" s="407">
        <v>0</v>
      </c>
      <c r="BJ59" s="407">
        <v>0</v>
      </c>
      <c r="BK59" s="407">
        <v>0</v>
      </c>
      <c r="BL59" s="407">
        <v>0</v>
      </c>
      <c r="BM59" s="407"/>
      <c r="BN59" s="407"/>
      <c r="BO59" s="407"/>
      <c r="BP59" s="407"/>
      <c r="BQ59" s="407"/>
      <c r="BR59" s="407"/>
      <c r="BS59" s="407">
        <v>2586.9486019999999</v>
      </c>
      <c r="BT59" s="407"/>
      <c r="BU59" s="407"/>
      <c r="BV59" s="407">
        <v>2127.6272084475636</v>
      </c>
      <c r="BW59" s="407"/>
      <c r="BX59" s="407"/>
      <c r="BY59" s="407"/>
      <c r="BZ59" s="407"/>
      <c r="CA59" s="407"/>
      <c r="CB59" s="407"/>
      <c r="CC59" s="407"/>
      <c r="CD59" s="407"/>
      <c r="CE59" s="407"/>
      <c r="CF59" s="407"/>
      <c r="CG59" s="407"/>
      <c r="CH59" s="407"/>
      <c r="CI59" s="407">
        <v>1107.6399999999999</v>
      </c>
      <c r="CJ59" s="407">
        <v>87.842139999999858</v>
      </c>
      <c r="CK59" s="407"/>
      <c r="CL59" s="407"/>
      <c r="CM59" s="407"/>
      <c r="CN59" s="407"/>
      <c r="CO59" s="407">
        <v>-70.199960000000075</v>
      </c>
      <c r="CP59" s="407">
        <v>366.61462</v>
      </c>
      <c r="CQ59" s="407">
        <v>31</v>
      </c>
      <c r="CR59" s="407">
        <v>296.37247609109863</v>
      </c>
      <c r="CS59" s="407">
        <v>0</v>
      </c>
      <c r="CT59" s="407">
        <v>0</v>
      </c>
      <c r="CU59" s="407">
        <v>0</v>
      </c>
      <c r="CV59" s="407">
        <v>0</v>
      </c>
      <c r="CW59" s="407">
        <v>0</v>
      </c>
      <c r="CX59" s="407">
        <v>0</v>
      </c>
      <c r="CY59" s="407">
        <v>0</v>
      </c>
      <c r="CZ59" s="407">
        <v>0</v>
      </c>
      <c r="DA59" s="407">
        <v>0</v>
      </c>
      <c r="DB59" s="407">
        <v>0</v>
      </c>
      <c r="DC59" s="407">
        <v>408.11782592767122</v>
      </c>
      <c r="DD59" s="407">
        <v>0</v>
      </c>
      <c r="DE59" s="407">
        <v>0</v>
      </c>
      <c r="DF59" s="407">
        <v>0</v>
      </c>
      <c r="DG59" s="407">
        <v>13.733193266217029</v>
      </c>
      <c r="DH59" s="407">
        <v>0</v>
      </c>
      <c r="DI59" s="407">
        <v>-50.397848341479062</v>
      </c>
      <c r="DJ59" s="407"/>
      <c r="DK59" s="407">
        <v>0</v>
      </c>
      <c r="DL59" s="407">
        <v>0</v>
      </c>
      <c r="DM59" s="407">
        <v>0</v>
      </c>
      <c r="DN59" s="407">
        <v>0</v>
      </c>
      <c r="DO59" s="407">
        <v>-7.7973781102859618</v>
      </c>
      <c r="DP59" s="407">
        <v>-0.91307591893554374</v>
      </c>
      <c r="DQ59" s="407">
        <v>0</v>
      </c>
      <c r="DR59" s="407">
        <v>-66.370240732088732</v>
      </c>
      <c r="DS59" s="407"/>
      <c r="DT59" s="407"/>
      <c r="DU59" s="407"/>
      <c r="DV59" s="407">
        <v>0</v>
      </c>
      <c r="DW59" s="407">
        <v>0</v>
      </c>
      <c r="DX59" s="407">
        <v>0</v>
      </c>
      <c r="DY59" s="407">
        <v>-70.199960000000146</v>
      </c>
      <c r="DZ59" s="407">
        <v>366.61462000000029</v>
      </c>
      <c r="EA59" s="407">
        <v>0</v>
      </c>
      <c r="EB59" s="407">
        <v>0</v>
      </c>
      <c r="EC59" s="407">
        <v>0</v>
      </c>
      <c r="ED59" s="407">
        <v>0</v>
      </c>
      <c r="EE59" s="407">
        <v>0</v>
      </c>
      <c r="EF59" s="407">
        <v>0</v>
      </c>
      <c r="EG59" s="407">
        <v>0</v>
      </c>
      <c r="EH59" s="407">
        <v>0</v>
      </c>
      <c r="EI59" s="407">
        <v>0</v>
      </c>
      <c r="EJ59" s="407">
        <v>0</v>
      </c>
      <c r="EK59" s="407">
        <v>0</v>
      </c>
      <c r="EL59" s="407">
        <v>0</v>
      </c>
      <c r="EM59" s="407">
        <v>0</v>
      </c>
      <c r="EN59" s="407">
        <v>0</v>
      </c>
      <c r="EO59" s="407">
        <v>0</v>
      </c>
      <c r="EP59" s="407">
        <v>340.83220004026401</v>
      </c>
      <c r="EQ59" s="407">
        <v>0</v>
      </c>
      <c r="ER59" s="407">
        <v>0</v>
      </c>
      <c r="ES59" s="407">
        <v>0</v>
      </c>
      <c r="ET59" s="407">
        <v>0</v>
      </c>
      <c r="EU59" s="407">
        <v>0</v>
      </c>
      <c r="EV59" s="407">
        <v>246</v>
      </c>
      <c r="EW59" s="407">
        <v>0</v>
      </c>
      <c r="EX59" s="407">
        <v>0</v>
      </c>
      <c r="EY59" s="407">
        <v>0</v>
      </c>
      <c r="EZ59" s="407"/>
      <c r="FA59" s="407">
        <v>0</v>
      </c>
      <c r="FB59" s="407"/>
      <c r="FC59" s="407"/>
      <c r="FD59" s="407"/>
      <c r="FE59" s="407"/>
      <c r="FF59" s="407">
        <v>0</v>
      </c>
      <c r="FG59" s="407">
        <v>0</v>
      </c>
      <c r="FH59" s="407">
        <v>0</v>
      </c>
      <c r="FI59" s="407">
        <v>0</v>
      </c>
    </row>
    <row r="60" spans="1:165" customFormat="1">
      <c r="A60" s="407">
        <v>62</v>
      </c>
      <c r="B60" s="407" t="s">
        <v>1090</v>
      </c>
      <c r="C60" s="407" t="s">
        <v>2306</v>
      </c>
      <c r="D60" s="407" t="s">
        <v>2315</v>
      </c>
      <c r="E60" s="407" t="s">
        <v>1026</v>
      </c>
      <c r="F60" s="407" t="s">
        <v>2326</v>
      </c>
      <c r="G60" s="407" t="s">
        <v>2324</v>
      </c>
      <c r="H60" s="407" t="s">
        <v>97</v>
      </c>
      <c r="I60" s="407" t="s">
        <v>97</v>
      </c>
      <c r="J60" s="407" t="s">
        <v>2307</v>
      </c>
      <c r="K60" s="818">
        <v>44378</v>
      </c>
      <c r="L60" s="407">
        <v>0</v>
      </c>
      <c r="M60" s="407">
        <v>0</v>
      </c>
      <c r="N60" s="407">
        <v>0</v>
      </c>
      <c r="O60" s="407">
        <v>0</v>
      </c>
      <c r="P60" s="407">
        <v>0</v>
      </c>
      <c r="Q60" s="407">
        <v>0</v>
      </c>
      <c r="R60" s="407"/>
      <c r="S60" s="407"/>
      <c r="T60" s="407"/>
      <c r="U60" s="407"/>
      <c r="V60" s="407"/>
      <c r="W60" s="407"/>
      <c r="X60" s="407"/>
      <c r="Y60" s="407"/>
      <c r="Z60" s="407"/>
      <c r="AA60" s="407">
        <v>0</v>
      </c>
      <c r="AB60" s="407"/>
      <c r="AC60" s="407"/>
      <c r="AD60" s="407"/>
      <c r="AE60" s="407"/>
      <c r="AF60" s="407"/>
      <c r="AG60" s="407"/>
      <c r="AH60" s="407"/>
      <c r="AI60" s="407"/>
      <c r="AJ60" s="407"/>
      <c r="AK60" s="407"/>
      <c r="AL60" s="407"/>
      <c r="AM60" s="407"/>
      <c r="AN60" s="407"/>
      <c r="AO60" s="407"/>
      <c r="AP60" s="407"/>
      <c r="AQ60" s="407"/>
      <c r="AR60" s="407"/>
      <c r="AS60" s="407"/>
      <c r="AT60" s="407"/>
      <c r="AU60" s="407"/>
      <c r="AV60" s="407"/>
      <c r="AW60" s="407"/>
      <c r="AX60" s="407"/>
      <c r="AY60" s="407"/>
      <c r="AZ60" s="407">
        <v>0</v>
      </c>
      <c r="BA60" s="407"/>
      <c r="BB60" s="407"/>
      <c r="BC60" s="407"/>
      <c r="BD60" s="407"/>
      <c r="BE60" s="407"/>
      <c r="BF60" s="407"/>
      <c r="BG60" s="407"/>
      <c r="BH60" s="407"/>
      <c r="BI60" s="407">
        <v>1.95</v>
      </c>
      <c r="BJ60" s="407">
        <v>9.09</v>
      </c>
      <c r="BK60" s="407">
        <v>40.78</v>
      </c>
      <c r="BL60" s="407">
        <v>5</v>
      </c>
      <c r="BM60" s="407"/>
      <c r="BN60" s="407"/>
      <c r="BO60" s="407"/>
      <c r="BP60" s="407"/>
      <c r="BQ60" s="407"/>
      <c r="BR60" s="407"/>
      <c r="BS60" s="407"/>
      <c r="BT60" s="407"/>
      <c r="BU60" s="407"/>
      <c r="BV60" s="407"/>
      <c r="BW60" s="407"/>
      <c r="BX60" s="407"/>
      <c r="BY60" s="407"/>
      <c r="BZ60" s="407"/>
      <c r="CA60" s="407"/>
      <c r="CB60" s="407"/>
      <c r="CC60" s="407"/>
      <c r="CD60" s="407"/>
      <c r="CE60" s="407"/>
      <c r="CF60" s="407"/>
      <c r="CG60" s="407"/>
      <c r="CH60" s="407"/>
      <c r="CI60" s="407"/>
      <c r="CJ60" s="407">
        <v>-0.03</v>
      </c>
      <c r="CK60" s="407"/>
      <c r="CL60" s="407"/>
      <c r="CM60" s="407"/>
      <c r="CN60" s="407"/>
      <c r="CO60" s="407">
        <v>0</v>
      </c>
      <c r="CP60" s="407">
        <v>0</v>
      </c>
      <c r="CQ60" s="407">
        <v>31</v>
      </c>
      <c r="CR60" s="407"/>
      <c r="CS60" s="407"/>
      <c r="CT60" s="407"/>
      <c r="CU60" s="407"/>
      <c r="CV60" s="407"/>
      <c r="CW60" s="407"/>
      <c r="CX60" s="407"/>
      <c r="CY60" s="407"/>
      <c r="CZ60" s="407"/>
      <c r="DA60" s="407"/>
      <c r="DB60" s="407"/>
      <c r="DC60" s="407"/>
      <c r="DD60" s="407"/>
      <c r="DE60" s="407"/>
      <c r="DF60" s="407"/>
      <c r="DG60" s="407"/>
      <c r="DH60" s="407"/>
      <c r="DI60" s="407"/>
      <c r="DJ60" s="407"/>
      <c r="DK60" s="407">
        <v>0</v>
      </c>
      <c r="DL60" s="407"/>
      <c r="DM60" s="407"/>
      <c r="DN60" s="407"/>
      <c r="DO60" s="407"/>
      <c r="DP60" s="407"/>
      <c r="DQ60" s="407"/>
      <c r="DR60" s="407"/>
      <c r="DS60" s="407"/>
      <c r="DT60" s="407"/>
      <c r="DU60" s="407"/>
      <c r="DV60" s="407"/>
      <c r="DW60" s="407"/>
      <c r="DX60" s="407"/>
      <c r="DY60" s="407"/>
      <c r="DZ60" s="407"/>
      <c r="EA60" s="407"/>
      <c r="EB60" s="407"/>
      <c r="EC60" s="407"/>
      <c r="ED60" s="407"/>
      <c r="EE60" s="407"/>
      <c r="EF60" s="407"/>
      <c r="EG60" s="407"/>
      <c r="EH60" s="407"/>
      <c r="EI60" s="407"/>
      <c r="EJ60" s="407"/>
      <c r="EK60" s="407"/>
      <c r="EL60" s="407"/>
      <c r="EM60" s="407"/>
      <c r="EN60" s="407"/>
      <c r="EO60" s="407"/>
      <c r="EP60" s="407"/>
      <c r="EQ60" s="407"/>
      <c r="ER60" s="407"/>
      <c r="ES60" s="407"/>
      <c r="ET60" s="407"/>
      <c r="EU60" s="407"/>
      <c r="EV60" s="407">
        <v>246</v>
      </c>
      <c r="EW60" s="407"/>
      <c r="EX60" s="407"/>
      <c r="EY60" s="407"/>
      <c r="EZ60" s="407"/>
      <c r="FA60" s="407">
        <v>0</v>
      </c>
      <c r="FB60" s="407"/>
      <c r="FC60" s="407"/>
      <c r="FD60" s="407"/>
      <c r="FE60" s="407"/>
      <c r="FF60" s="407">
        <v>0</v>
      </c>
      <c r="FG60" s="407">
        <v>0</v>
      </c>
      <c r="FH60" s="407">
        <v>0</v>
      </c>
      <c r="FI60" s="407">
        <v>0</v>
      </c>
    </row>
    <row r="61" spans="1:165" customFormat="1">
      <c r="A61" s="407">
        <v>63</v>
      </c>
      <c r="B61" s="407" t="s">
        <v>1090</v>
      </c>
      <c r="C61" s="407" t="s">
        <v>2306</v>
      </c>
      <c r="D61" s="407" t="s">
        <v>2315</v>
      </c>
      <c r="E61" s="407" t="s">
        <v>1026</v>
      </c>
      <c r="F61" s="407" t="s">
        <v>2326</v>
      </c>
      <c r="G61" s="407" t="s">
        <v>2324</v>
      </c>
      <c r="H61" s="407" t="s">
        <v>97</v>
      </c>
      <c r="I61" s="407" t="s">
        <v>97</v>
      </c>
      <c r="J61" s="407" t="s">
        <v>2307</v>
      </c>
      <c r="K61" s="818">
        <v>44378</v>
      </c>
      <c r="L61" s="407">
        <v>0</v>
      </c>
      <c r="M61" s="407">
        <v>0</v>
      </c>
      <c r="N61" s="407">
        <v>0.79400000000000004</v>
      </c>
      <c r="O61" s="407">
        <v>0.79400000000000004</v>
      </c>
      <c r="P61" s="407">
        <v>0.79400000000000004</v>
      </c>
      <c r="Q61" s="407">
        <v>0.79400000000000004</v>
      </c>
      <c r="R61" s="407"/>
      <c r="S61" s="407">
        <v>648.44000000000005</v>
      </c>
      <c r="T61" s="407">
        <v>159.41</v>
      </c>
      <c r="U61" s="407"/>
      <c r="V61" s="407">
        <v>641.43290000000013</v>
      </c>
      <c r="W61" s="407">
        <v>641.43290000000013</v>
      </c>
      <c r="X61" s="407">
        <v>485.78507999999999</v>
      </c>
      <c r="Y61" s="407">
        <v>0</v>
      </c>
      <c r="Z61" s="407">
        <v>49.204379000225323</v>
      </c>
      <c r="AA61" s="407">
        <v>0</v>
      </c>
      <c r="AB61" s="407">
        <v>0</v>
      </c>
      <c r="AC61" s="407">
        <v>0</v>
      </c>
      <c r="AD61" s="407">
        <v>92.615674412261313</v>
      </c>
      <c r="AE61" s="407">
        <v>331.53151668493916</v>
      </c>
      <c r="AF61" s="407">
        <v>122.45918907020854</v>
      </c>
      <c r="AG61" s="407">
        <v>4.1143073070599039</v>
      </c>
      <c r="AH61" s="407">
        <v>0</v>
      </c>
      <c r="AI61" s="407">
        <v>0</v>
      </c>
      <c r="AJ61" s="407">
        <v>0</v>
      </c>
      <c r="AK61" s="407">
        <v>0</v>
      </c>
      <c r="AL61" s="407">
        <v>7.6033879484892521</v>
      </c>
      <c r="AM61" s="407"/>
      <c r="AN61" s="407">
        <v>1.6476259385398178</v>
      </c>
      <c r="AO61" s="407">
        <v>0</v>
      </c>
      <c r="AP61" s="407">
        <v>0</v>
      </c>
      <c r="AQ61" s="407">
        <v>0</v>
      </c>
      <c r="AR61" s="407">
        <v>0</v>
      </c>
      <c r="AS61" s="407">
        <v>0</v>
      </c>
      <c r="AT61" s="407">
        <v>0</v>
      </c>
      <c r="AU61" s="407">
        <v>0</v>
      </c>
      <c r="AV61" s="407">
        <v>0</v>
      </c>
      <c r="AW61" s="407">
        <v>0</v>
      </c>
      <c r="AX61" s="407">
        <v>0</v>
      </c>
      <c r="AY61" s="407">
        <v>0</v>
      </c>
      <c r="AZ61" s="407">
        <v>0</v>
      </c>
      <c r="BA61" s="407"/>
      <c r="BB61" s="407">
        <v>0</v>
      </c>
      <c r="BC61" s="407">
        <v>0</v>
      </c>
      <c r="BD61" s="407">
        <v>0</v>
      </c>
      <c r="BE61" s="407">
        <v>0</v>
      </c>
      <c r="BF61" s="407">
        <v>0</v>
      </c>
      <c r="BG61" s="407">
        <v>8.9513756798172697</v>
      </c>
      <c r="BH61" s="407">
        <v>0</v>
      </c>
      <c r="BI61" s="407">
        <v>0</v>
      </c>
      <c r="BJ61" s="407">
        <v>0</v>
      </c>
      <c r="BK61" s="407">
        <v>0</v>
      </c>
      <c r="BL61" s="407">
        <v>0</v>
      </c>
      <c r="BM61" s="407"/>
      <c r="BN61" s="407"/>
      <c r="BO61" s="407"/>
      <c r="BP61" s="407"/>
      <c r="BQ61" s="407"/>
      <c r="BR61" s="407">
        <v>58.295480000000012</v>
      </c>
      <c r="BS61" s="407"/>
      <c r="BT61" s="407"/>
      <c r="BU61" s="407"/>
      <c r="BV61" s="407">
        <v>131.4105647500258</v>
      </c>
      <c r="BW61" s="407"/>
      <c r="BX61" s="407"/>
      <c r="BY61" s="407"/>
      <c r="BZ61" s="407"/>
      <c r="CA61" s="407"/>
      <c r="CB61" s="407"/>
      <c r="CC61" s="407"/>
      <c r="CD61" s="407"/>
      <c r="CE61" s="407"/>
      <c r="CF61" s="407"/>
      <c r="CG61" s="407"/>
      <c r="CH61" s="407"/>
      <c r="CI61" s="407">
        <v>425.33600000000001</v>
      </c>
      <c r="CJ61" s="407">
        <v>-139.15653999999995</v>
      </c>
      <c r="CK61" s="407"/>
      <c r="CL61" s="407"/>
      <c r="CM61" s="407"/>
      <c r="CN61" s="407"/>
      <c r="CO61" s="407">
        <v>-177.45900000000006</v>
      </c>
      <c r="CP61" s="407">
        <v>21.81118</v>
      </c>
      <c r="CQ61" s="407">
        <v>31</v>
      </c>
      <c r="CR61" s="407">
        <v>13.699690304432806</v>
      </c>
      <c r="CS61" s="407">
        <v>0</v>
      </c>
      <c r="CT61" s="407">
        <v>0</v>
      </c>
      <c r="CU61" s="407">
        <v>0</v>
      </c>
      <c r="CV61" s="407">
        <v>0</v>
      </c>
      <c r="CW61" s="407">
        <v>0</v>
      </c>
      <c r="CX61" s="407">
        <v>0</v>
      </c>
      <c r="CY61" s="407">
        <v>0</v>
      </c>
      <c r="CZ61" s="407">
        <v>4.1836336524904141</v>
      </c>
      <c r="DA61" s="407">
        <v>0</v>
      </c>
      <c r="DB61" s="407">
        <v>0</v>
      </c>
      <c r="DC61" s="407">
        <v>24.280350201301616</v>
      </c>
      <c r="DD61" s="407">
        <v>0</v>
      </c>
      <c r="DE61" s="407">
        <v>0</v>
      </c>
      <c r="DF61" s="407">
        <v>0</v>
      </c>
      <c r="DG61" s="407">
        <v>1.7748160668022326</v>
      </c>
      <c r="DH61" s="407">
        <v>0</v>
      </c>
      <c r="DI61" s="407">
        <v>-3.4463717729479555</v>
      </c>
      <c r="DJ61" s="407"/>
      <c r="DK61" s="407">
        <v>0</v>
      </c>
      <c r="DL61" s="407">
        <v>0</v>
      </c>
      <c r="DM61" s="407">
        <v>0</v>
      </c>
      <c r="DN61" s="407">
        <v>0</v>
      </c>
      <c r="DO61" s="407">
        <v>-0.46389316795796898</v>
      </c>
      <c r="DP61" s="407">
        <v>-0.10498274710033639</v>
      </c>
      <c r="DQ61" s="407">
        <v>0</v>
      </c>
      <c r="DR61" s="407">
        <v>-12.523861928155226</v>
      </c>
      <c r="DS61" s="407"/>
      <c r="DT61" s="407"/>
      <c r="DU61" s="407"/>
      <c r="DV61" s="407">
        <v>331.53151668493916</v>
      </c>
      <c r="DW61" s="407">
        <v>0</v>
      </c>
      <c r="DX61" s="407">
        <v>0</v>
      </c>
      <c r="DY61" s="407">
        <v>-177.45900000000012</v>
      </c>
      <c r="DZ61" s="407">
        <v>21.811180000000007</v>
      </c>
      <c r="EA61" s="407">
        <v>0</v>
      </c>
      <c r="EB61" s="407">
        <v>0</v>
      </c>
      <c r="EC61" s="407">
        <v>-169.34706874551054</v>
      </c>
      <c r="ED61" s="407">
        <v>0</v>
      </c>
      <c r="EE61" s="407">
        <v>0</v>
      </c>
      <c r="EF61" s="407">
        <v>0</v>
      </c>
      <c r="EG61" s="407">
        <v>0</v>
      </c>
      <c r="EH61" s="407">
        <v>0</v>
      </c>
      <c r="EI61" s="407">
        <v>0</v>
      </c>
      <c r="EJ61" s="407">
        <v>0</v>
      </c>
      <c r="EK61" s="407">
        <v>0</v>
      </c>
      <c r="EL61" s="407">
        <v>0</v>
      </c>
      <c r="EM61" s="407">
        <v>0</v>
      </c>
      <c r="EN61" s="407">
        <v>0</v>
      </c>
      <c r="EO61" s="407">
        <v>0</v>
      </c>
      <c r="EP61" s="407">
        <v>23.307234578182605</v>
      </c>
      <c r="EQ61" s="407">
        <v>0</v>
      </c>
      <c r="ER61" s="407">
        <v>0</v>
      </c>
      <c r="ES61" s="407">
        <v>0</v>
      </c>
      <c r="ET61" s="407">
        <v>0</v>
      </c>
      <c r="EU61" s="407">
        <v>0</v>
      </c>
      <c r="EV61" s="407">
        <v>246</v>
      </c>
      <c r="EW61" s="407">
        <v>0</v>
      </c>
      <c r="EX61" s="407">
        <v>0</v>
      </c>
      <c r="EY61" s="407">
        <v>0</v>
      </c>
      <c r="EZ61" s="407"/>
      <c r="FA61" s="407">
        <v>0</v>
      </c>
      <c r="FB61" s="407"/>
      <c r="FC61" s="407"/>
      <c r="FD61" s="407"/>
      <c r="FE61" s="407"/>
      <c r="FF61" s="407">
        <v>0</v>
      </c>
      <c r="FG61" s="407">
        <v>0</v>
      </c>
      <c r="FH61" s="407">
        <v>0</v>
      </c>
      <c r="FI61" s="407">
        <v>0</v>
      </c>
    </row>
    <row r="62" spans="1:165" customFormat="1">
      <c r="A62" s="407">
        <v>64</v>
      </c>
      <c r="B62" s="407" t="s">
        <v>1090</v>
      </c>
      <c r="C62" s="407" t="s">
        <v>2306</v>
      </c>
      <c r="D62" s="407" t="s">
        <v>2315</v>
      </c>
      <c r="E62" s="407" t="s">
        <v>1026</v>
      </c>
      <c r="F62" s="407" t="s">
        <v>2326</v>
      </c>
      <c r="G62" s="407" t="s">
        <v>2325</v>
      </c>
      <c r="H62" s="407" t="s">
        <v>97</v>
      </c>
      <c r="I62" s="407" t="s">
        <v>97</v>
      </c>
      <c r="J62" s="407" t="s">
        <v>2307</v>
      </c>
      <c r="K62" s="818">
        <v>44378</v>
      </c>
      <c r="L62" s="407">
        <v>0</v>
      </c>
      <c r="M62" s="407">
        <v>0</v>
      </c>
      <c r="N62" s="407">
        <v>0.68500000000000005</v>
      </c>
      <c r="O62" s="407">
        <v>0.27400000000000002</v>
      </c>
      <c r="P62" s="407">
        <v>0.68500000000000005</v>
      </c>
      <c r="Q62" s="407">
        <v>0.27400000000000002</v>
      </c>
      <c r="R62" s="407"/>
      <c r="S62" s="407">
        <v>648.44000000000005</v>
      </c>
      <c r="T62" s="407">
        <v>159.41</v>
      </c>
      <c r="U62" s="407"/>
      <c r="V62" s="407">
        <v>553.37725</v>
      </c>
      <c r="W62" s="407">
        <v>553.37725</v>
      </c>
      <c r="X62" s="407">
        <v>419.09670000000006</v>
      </c>
      <c r="Y62" s="407">
        <v>0</v>
      </c>
      <c r="Z62" s="407">
        <v>42.449621681554596</v>
      </c>
      <c r="AA62" s="407">
        <v>0</v>
      </c>
      <c r="AB62" s="407">
        <v>0</v>
      </c>
      <c r="AC62" s="407">
        <v>0</v>
      </c>
      <c r="AD62" s="407">
        <v>79.901431955162465</v>
      </c>
      <c r="AE62" s="407">
        <v>286.01900368914778</v>
      </c>
      <c r="AF62" s="407">
        <v>105.64804094847966</v>
      </c>
      <c r="AG62" s="407">
        <v>3.549496858105837</v>
      </c>
      <c r="AH62" s="407">
        <v>0</v>
      </c>
      <c r="AI62" s="407">
        <v>0</v>
      </c>
      <c r="AJ62" s="407">
        <v>0</v>
      </c>
      <c r="AK62" s="407">
        <v>0</v>
      </c>
      <c r="AL62" s="407">
        <v>6.5595979152583599</v>
      </c>
      <c r="AM62" s="407"/>
      <c r="AN62" s="407">
        <v>1.4214405137276767</v>
      </c>
      <c r="AO62" s="407">
        <v>0</v>
      </c>
      <c r="AP62" s="407">
        <v>0</v>
      </c>
      <c r="AQ62" s="407">
        <v>0</v>
      </c>
      <c r="AR62" s="407">
        <v>0</v>
      </c>
      <c r="AS62" s="407">
        <v>0</v>
      </c>
      <c r="AT62" s="407">
        <v>0</v>
      </c>
      <c r="AU62" s="407">
        <v>0</v>
      </c>
      <c r="AV62" s="407">
        <v>0</v>
      </c>
      <c r="AW62" s="407">
        <v>0</v>
      </c>
      <c r="AX62" s="407">
        <v>0</v>
      </c>
      <c r="AY62" s="407">
        <v>0</v>
      </c>
      <c r="AZ62" s="407">
        <v>0</v>
      </c>
      <c r="BA62" s="407"/>
      <c r="BB62" s="407">
        <v>0</v>
      </c>
      <c r="BC62" s="407">
        <v>0</v>
      </c>
      <c r="BD62" s="407">
        <v>0</v>
      </c>
      <c r="BE62" s="407">
        <v>0</v>
      </c>
      <c r="BF62" s="407">
        <v>0</v>
      </c>
      <c r="BG62" s="407">
        <v>7.7225344340992814</v>
      </c>
      <c r="BH62" s="407">
        <v>0</v>
      </c>
      <c r="BI62" s="407">
        <v>0</v>
      </c>
      <c r="BJ62" s="407">
        <v>0</v>
      </c>
      <c r="BK62" s="407">
        <v>0</v>
      </c>
      <c r="BL62" s="407">
        <v>0</v>
      </c>
      <c r="BM62" s="407"/>
      <c r="BN62" s="407"/>
      <c r="BO62" s="407"/>
      <c r="BP62" s="407"/>
      <c r="BQ62" s="407"/>
      <c r="BR62" s="407"/>
      <c r="BS62" s="407">
        <v>271.57510000000002</v>
      </c>
      <c r="BT62" s="407"/>
      <c r="BU62" s="407"/>
      <c r="BV62" s="407">
        <v>113.37057538257895</v>
      </c>
      <c r="BW62" s="407"/>
      <c r="BX62" s="407"/>
      <c r="BY62" s="407"/>
      <c r="BZ62" s="407"/>
      <c r="CA62" s="407"/>
      <c r="CB62" s="407"/>
      <c r="CC62" s="407"/>
      <c r="CD62" s="407"/>
      <c r="CE62" s="407"/>
      <c r="CF62" s="407"/>
      <c r="CG62" s="407"/>
      <c r="CH62" s="407"/>
      <c r="CI62" s="407">
        <v>145.36799999999999</v>
      </c>
      <c r="CJ62" s="407">
        <v>-49.451339999999988</v>
      </c>
      <c r="CK62" s="407"/>
      <c r="CL62" s="407"/>
      <c r="CM62" s="407"/>
      <c r="CN62" s="407"/>
      <c r="CO62" s="407">
        <v>-153.09750000000005</v>
      </c>
      <c r="CP62" s="407">
        <v>18.816950000000002</v>
      </c>
      <c r="CQ62" s="407">
        <v>31</v>
      </c>
      <c r="CR62" s="407">
        <v>11.819002340726058</v>
      </c>
      <c r="CS62" s="407">
        <v>0</v>
      </c>
      <c r="CT62" s="407">
        <v>0</v>
      </c>
      <c r="CU62" s="407">
        <v>0</v>
      </c>
      <c r="CV62" s="407">
        <v>0</v>
      </c>
      <c r="CW62" s="407">
        <v>0</v>
      </c>
      <c r="CX62" s="407">
        <v>0</v>
      </c>
      <c r="CY62" s="407">
        <v>0</v>
      </c>
      <c r="CZ62" s="407">
        <v>3.6093061107757336</v>
      </c>
      <c r="DA62" s="407">
        <v>0</v>
      </c>
      <c r="DB62" s="407">
        <v>0</v>
      </c>
      <c r="DC62" s="407">
        <v>20.947153511198493</v>
      </c>
      <c r="DD62" s="407">
        <v>0</v>
      </c>
      <c r="DE62" s="407">
        <v>0</v>
      </c>
      <c r="DF62" s="407">
        <v>0</v>
      </c>
      <c r="DG62" s="407">
        <v>1.5311700324427315</v>
      </c>
      <c r="DH62" s="407">
        <v>0</v>
      </c>
      <c r="DI62" s="407">
        <v>-2.9732552449236138</v>
      </c>
      <c r="DJ62" s="407"/>
      <c r="DK62" s="407">
        <v>0</v>
      </c>
      <c r="DL62" s="407">
        <v>0</v>
      </c>
      <c r="DM62" s="407">
        <v>0</v>
      </c>
      <c r="DN62" s="407">
        <v>0</v>
      </c>
      <c r="DO62" s="407">
        <v>-0.40021010082016151</v>
      </c>
      <c r="DP62" s="407">
        <v>-9.057075788882929E-2</v>
      </c>
      <c r="DQ62" s="407">
        <v>0</v>
      </c>
      <c r="DR62" s="407">
        <v>-10.80459121005835</v>
      </c>
      <c r="DS62" s="407"/>
      <c r="DT62" s="407"/>
      <c r="DU62" s="407"/>
      <c r="DV62" s="407">
        <v>286.01900368914778</v>
      </c>
      <c r="DW62" s="407">
        <v>0</v>
      </c>
      <c r="DX62" s="407">
        <v>0</v>
      </c>
      <c r="DY62" s="407">
        <v>-153.09750000000003</v>
      </c>
      <c r="DZ62" s="407">
        <v>18.816949999999991</v>
      </c>
      <c r="EA62" s="407">
        <v>0</v>
      </c>
      <c r="EB62" s="407">
        <v>0</v>
      </c>
      <c r="EC62" s="407">
        <v>-146.09917139883467</v>
      </c>
      <c r="ED62" s="407">
        <v>0</v>
      </c>
      <c r="EE62" s="407">
        <v>0</v>
      </c>
      <c r="EF62" s="407">
        <v>0</v>
      </c>
      <c r="EG62" s="407">
        <v>0</v>
      </c>
      <c r="EH62" s="407">
        <v>0</v>
      </c>
      <c r="EI62" s="407">
        <v>0</v>
      </c>
      <c r="EJ62" s="407">
        <v>0</v>
      </c>
      <c r="EK62" s="407">
        <v>0</v>
      </c>
      <c r="EL62" s="407">
        <v>0</v>
      </c>
      <c r="EM62" s="407">
        <v>0</v>
      </c>
      <c r="EN62" s="407">
        <v>0</v>
      </c>
      <c r="EO62" s="407">
        <v>0</v>
      </c>
      <c r="EP62" s="407">
        <v>20.107626808633608</v>
      </c>
      <c r="EQ62" s="407">
        <v>0</v>
      </c>
      <c r="ER62" s="407">
        <v>0</v>
      </c>
      <c r="ES62" s="407">
        <v>0</v>
      </c>
      <c r="ET62" s="407">
        <v>0</v>
      </c>
      <c r="EU62" s="407">
        <v>0</v>
      </c>
      <c r="EV62" s="407">
        <v>246</v>
      </c>
      <c r="EW62" s="407">
        <v>0</v>
      </c>
      <c r="EX62" s="407">
        <v>0</v>
      </c>
      <c r="EY62" s="407">
        <v>0</v>
      </c>
      <c r="EZ62" s="407"/>
      <c r="FA62" s="407">
        <v>0</v>
      </c>
      <c r="FB62" s="407"/>
      <c r="FC62" s="407"/>
      <c r="FD62" s="407"/>
      <c r="FE62" s="407"/>
      <c r="FF62" s="407">
        <v>0</v>
      </c>
      <c r="FG62" s="407">
        <v>0</v>
      </c>
      <c r="FH62" s="407">
        <v>0</v>
      </c>
      <c r="FI62" s="407">
        <v>0</v>
      </c>
    </row>
    <row r="63" spans="1:165" customFormat="1">
      <c r="A63" s="407">
        <v>65</v>
      </c>
      <c r="B63" s="407" t="s">
        <v>1090</v>
      </c>
      <c r="C63" s="407" t="s">
        <v>2306</v>
      </c>
      <c r="D63" s="407" t="s">
        <v>1218</v>
      </c>
      <c r="E63" s="407" t="s">
        <v>1021</v>
      </c>
      <c r="F63" s="407" t="s">
        <v>1021</v>
      </c>
      <c r="G63" s="407" t="s">
        <v>97</v>
      </c>
      <c r="H63" s="407" t="s">
        <v>97</v>
      </c>
      <c r="I63" s="407" t="s">
        <v>97</v>
      </c>
      <c r="J63" s="407" t="s">
        <v>2307</v>
      </c>
      <c r="K63" s="818">
        <v>44409</v>
      </c>
      <c r="L63" s="407">
        <v>0</v>
      </c>
      <c r="M63" s="407">
        <v>0</v>
      </c>
      <c r="N63" s="407">
        <v>1154.126</v>
      </c>
      <c r="O63" s="407">
        <v>1154.126</v>
      </c>
      <c r="P63" s="407">
        <v>1154.126</v>
      </c>
      <c r="Q63" s="407">
        <v>1154.126</v>
      </c>
      <c r="R63" s="407"/>
      <c r="S63" s="407">
        <v>648.44000000000005</v>
      </c>
      <c r="T63" s="407">
        <v>159.41</v>
      </c>
      <c r="U63" s="407"/>
      <c r="V63" s="407">
        <v>932360.68910000008</v>
      </c>
      <c r="W63" s="407">
        <v>932360.68910000008</v>
      </c>
      <c r="X63" s="407">
        <v>706117.36932000006</v>
      </c>
      <c r="Y63" s="407">
        <v>0</v>
      </c>
      <c r="Z63" s="407">
        <v>71521.477478607121</v>
      </c>
      <c r="AA63" s="407">
        <v>0</v>
      </c>
      <c r="AB63" s="407">
        <v>0</v>
      </c>
      <c r="AC63" s="407">
        <v>0</v>
      </c>
      <c r="AD63" s="407">
        <v>134622.36504625375</v>
      </c>
      <c r="AE63" s="407">
        <v>481900.68416312605</v>
      </c>
      <c r="AF63" s="407">
        <v>178001.68015723361</v>
      </c>
      <c r="AG63" s="407">
        <v>5980.3892129317619</v>
      </c>
      <c r="AH63" s="407">
        <v>0</v>
      </c>
      <c r="AI63" s="407">
        <v>0</v>
      </c>
      <c r="AJ63" s="407">
        <v>0</v>
      </c>
      <c r="AK63" s="407">
        <v>0</v>
      </c>
      <c r="AL63" s="407">
        <v>11051.974457730612</v>
      </c>
      <c r="AM63" s="407"/>
      <c r="AN63" s="407">
        <v>2394.9218311627274</v>
      </c>
      <c r="AO63" s="407">
        <v>0</v>
      </c>
      <c r="AP63" s="407">
        <v>0</v>
      </c>
      <c r="AQ63" s="407">
        <v>0</v>
      </c>
      <c r="AR63" s="407">
        <v>0</v>
      </c>
      <c r="AS63" s="407">
        <v>0</v>
      </c>
      <c r="AT63" s="407">
        <v>0</v>
      </c>
      <c r="AU63" s="407">
        <v>0</v>
      </c>
      <c r="AV63" s="407">
        <v>0</v>
      </c>
      <c r="AW63" s="407">
        <v>0</v>
      </c>
      <c r="AX63" s="407">
        <v>0</v>
      </c>
      <c r="AY63" s="407">
        <v>0</v>
      </c>
      <c r="AZ63" s="407">
        <v>0</v>
      </c>
      <c r="BA63" s="407"/>
      <c r="BB63" s="407">
        <v>0</v>
      </c>
      <c r="BC63" s="407">
        <v>0</v>
      </c>
      <c r="BD63" s="407">
        <v>0</v>
      </c>
      <c r="BE63" s="407">
        <v>0</v>
      </c>
      <c r="BF63" s="407">
        <v>0</v>
      </c>
      <c r="BG63" s="407">
        <v>13011.354417940534</v>
      </c>
      <c r="BH63" s="407">
        <v>0</v>
      </c>
      <c r="BI63" s="407">
        <v>3082.04</v>
      </c>
      <c r="BJ63" s="407">
        <v>20786.59</v>
      </c>
      <c r="BK63" s="407">
        <v>341442.33</v>
      </c>
      <c r="BL63" s="407">
        <v>7234</v>
      </c>
      <c r="BM63" s="407"/>
      <c r="BN63" s="407"/>
      <c r="BO63" s="407"/>
      <c r="BP63" s="407"/>
      <c r="BQ63" s="407"/>
      <c r="BR63" s="407"/>
      <c r="BS63" s="407"/>
      <c r="BT63" s="407"/>
      <c r="BU63" s="407"/>
      <c r="BV63" s="407">
        <v>191013.03457517416</v>
      </c>
      <c r="BW63" s="407"/>
      <c r="BX63" s="407"/>
      <c r="BY63" s="407"/>
      <c r="BZ63" s="407"/>
      <c r="CA63" s="407"/>
      <c r="CB63" s="407"/>
      <c r="CC63" s="407"/>
      <c r="CD63" s="407"/>
      <c r="CE63" s="407"/>
      <c r="CF63" s="407"/>
      <c r="CG63" s="407"/>
      <c r="CH63" s="407"/>
      <c r="CI63" s="407">
        <v>706119.81660000002</v>
      </c>
      <c r="CJ63" s="407">
        <v>-226240.90250000008</v>
      </c>
      <c r="CK63" s="407"/>
      <c r="CL63" s="407"/>
      <c r="CM63" s="407"/>
      <c r="CN63" s="407"/>
      <c r="CO63" s="407">
        <v>-257947.16100000005</v>
      </c>
      <c r="CP63" s="407">
        <v>31703.841219999998</v>
      </c>
      <c r="CQ63" s="407">
        <v>31</v>
      </c>
      <c r="CR63" s="407">
        <v>19913.31079633988</v>
      </c>
      <c r="CS63" s="407">
        <v>0</v>
      </c>
      <c r="CT63" s="407">
        <v>0</v>
      </c>
      <c r="CU63" s="407">
        <v>0</v>
      </c>
      <c r="CV63" s="407">
        <v>0</v>
      </c>
      <c r="CW63" s="407">
        <v>0</v>
      </c>
      <c r="CX63" s="407">
        <v>0</v>
      </c>
      <c r="CY63" s="407">
        <v>0</v>
      </c>
      <c r="CZ63" s="407">
        <v>6081.1591597155784</v>
      </c>
      <c r="DA63" s="407">
        <v>0</v>
      </c>
      <c r="DB63" s="407">
        <v>0</v>
      </c>
      <c r="DC63" s="407">
        <v>35292.92626754081</v>
      </c>
      <c r="DD63" s="407">
        <v>0</v>
      </c>
      <c r="DE63" s="407">
        <v>0</v>
      </c>
      <c r="DF63" s="407">
        <v>0</v>
      </c>
      <c r="DG63" s="407">
        <v>2579.8002114788342</v>
      </c>
      <c r="DH63" s="407">
        <v>0</v>
      </c>
      <c r="DI63" s="407">
        <v>-5009.5053763543256</v>
      </c>
      <c r="DJ63" s="407"/>
      <c r="DK63" s="407">
        <v>0</v>
      </c>
      <c r="DL63" s="407">
        <v>0</v>
      </c>
      <c r="DM63" s="407">
        <v>0</v>
      </c>
      <c r="DN63" s="407">
        <v>0</v>
      </c>
      <c r="DO63" s="407">
        <v>-674.29617929805863</v>
      </c>
      <c r="DP63" s="407">
        <v>-152.59863725431069</v>
      </c>
      <c r="DQ63" s="407">
        <v>0</v>
      </c>
      <c r="DR63" s="407">
        <v>-18204.174649488763</v>
      </c>
      <c r="DS63" s="407"/>
      <c r="DT63" s="407"/>
      <c r="DU63" s="407"/>
      <c r="DV63" s="407">
        <v>481900.68416312605</v>
      </c>
      <c r="DW63" s="407">
        <v>0</v>
      </c>
      <c r="DX63" s="407">
        <v>0</v>
      </c>
      <c r="DY63" s="407">
        <v>-257947.16100000008</v>
      </c>
      <c r="DZ63" s="407">
        <v>31703.841220000002</v>
      </c>
      <c r="EA63" s="407">
        <v>0</v>
      </c>
      <c r="EB63" s="407">
        <v>0</v>
      </c>
      <c r="EC63" s="407">
        <v>-246155.98874430871</v>
      </c>
      <c r="ED63" s="407">
        <v>0</v>
      </c>
      <c r="EE63" s="407">
        <v>0</v>
      </c>
      <c r="EF63" s="407">
        <v>0</v>
      </c>
      <c r="EG63" s="407">
        <v>0</v>
      </c>
      <c r="EH63" s="407">
        <v>0</v>
      </c>
      <c r="EI63" s="407">
        <v>0</v>
      </c>
      <c r="EJ63" s="407">
        <v>0</v>
      </c>
      <c r="EK63" s="407">
        <v>0</v>
      </c>
      <c r="EL63" s="407">
        <v>0</v>
      </c>
      <c r="EM63" s="407">
        <v>0</v>
      </c>
      <c r="EN63" s="407">
        <v>0</v>
      </c>
      <c r="EO63" s="407">
        <v>0</v>
      </c>
      <c r="EP63" s="407">
        <v>33878.445106775282</v>
      </c>
      <c r="EQ63" s="407">
        <v>0</v>
      </c>
      <c r="ER63" s="407">
        <v>0</v>
      </c>
      <c r="ES63" s="407">
        <v>0</v>
      </c>
      <c r="ET63" s="407">
        <v>0</v>
      </c>
      <c r="EU63" s="407">
        <v>0</v>
      </c>
      <c r="EV63" s="407">
        <v>246</v>
      </c>
      <c r="EW63" s="407">
        <v>0</v>
      </c>
      <c r="EX63" s="407">
        <v>0</v>
      </c>
      <c r="EY63" s="407">
        <v>0</v>
      </c>
      <c r="EZ63" s="407"/>
      <c r="FA63" s="407">
        <v>0</v>
      </c>
      <c r="FB63" s="407"/>
      <c r="FC63" s="407"/>
      <c r="FD63" s="407"/>
      <c r="FE63" s="407"/>
      <c r="FF63" s="407">
        <v>0</v>
      </c>
      <c r="FG63" s="407">
        <v>0</v>
      </c>
      <c r="FH63" s="407">
        <v>0</v>
      </c>
      <c r="FI63" s="407">
        <v>0</v>
      </c>
    </row>
    <row r="64" spans="1:165" customFormat="1">
      <c r="A64" s="407">
        <v>66</v>
      </c>
      <c r="B64" s="407" t="s">
        <v>2308</v>
      </c>
      <c r="C64" s="407" t="s">
        <v>2306</v>
      </c>
      <c r="D64" s="407" t="s">
        <v>1218</v>
      </c>
      <c r="E64" s="407" t="s">
        <v>1021</v>
      </c>
      <c r="F64" s="407" t="s">
        <v>1021</v>
      </c>
      <c r="G64" s="407" t="s">
        <v>97</v>
      </c>
      <c r="H64" s="407" t="s">
        <v>97</v>
      </c>
      <c r="I64" s="407" t="s">
        <v>97</v>
      </c>
      <c r="J64" s="407" t="s">
        <v>2307</v>
      </c>
      <c r="K64" s="818">
        <v>44409</v>
      </c>
      <c r="L64" s="407">
        <v>0</v>
      </c>
      <c r="M64" s="407">
        <v>0</v>
      </c>
      <c r="N64" s="407">
        <v>-0.36299999999999999</v>
      </c>
      <c r="O64" s="407">
        <v>-0.36299999999999999</v>
      </c>
      <c r="P64" s="407">
        <v>-0.36299999999999999</v>
      </c>
      <c r="Q64" s="407">
        <v>-0.36299999999999999</v>
      </c>
      <c r="R64" s="407"/>
      <c r="S64" s="407">
        <v>648.44000000000005</v>
      </c>
      <c r="T64" s="407">
        <v>159.41</v>
      </c>
      <c r="U64" s="407"/>
      <c r="V64" s="407">
        <v>-293.24955</v>
      </c>
      <c r="W64" s="407">
        <v>-293.24955</v>
      </c>
      <c r="X64" s="407">
        <v>-222.09066000000001</v>
      </c>
      <c r="Y64" s="407">
        <v>0</v>
      </c>
      <c r="Z64" s="407">
        <v>-22.495200978692431</v>
      </c>
      <c r="AA64" s="407">
        <v>0</v>
      </c>
      <c r="AB64" s="407">
        <v>0</v>
      </c>
      <c r="AC64" s="407">
        <v>0</v>
      </c>
      <c r="AD64" s="407">
        <v>-42.341926714925506</v>
      </c>
      <c r="AE64" s="407">
        <v>-151.56919465570894</v>
      </c>
      <c r="AF64" s="407">
        <v>-55.985750166858558</v>
      </c>
      <c r="AG64" s="407">
        <v>-1.8809742474341877</v>
      </c>
      <c r="AH64" s="407">
        <v>0</v>
      </c>
      <c r="AI64" s="407">
        <v>0</v>
      </c>
      <c r="AJ64" s="407">
        <v>0</v>
      </c>
      <c r="AK64" s="407">
        <v>0</v>
      </c>
      <c r="AL64" s="407">
        <v>-3.4761080923193934</v>
      </c>
      <c r="AM64" s="407"/>
      <c r="AN64" s="407">
        <v>-0.75325971749364462</v>
      </c>
      <c r="AO64" s="407">
        <v>0</v>
      </c>
      <c r="AP64" s="407">
        <v>0</v>
      </c>
      <c r="AQ64" s="407">
        <v>0</v>
      </c>
      <c r="AR64" s="407">
        <v>0</v>
      </c>
      <c r="AS64" s="407">
        <v>0</v>
      </c>
      <c r="AT64" s="407">
        <v>0</v>
      </c>
      <c r="AU64" s="407">
        <v>0</v>
      </c>
      <c r="AV64" s="407">
        <v>0</v>
      </c>
      <c r="AW64" s="407">
        <v>0</v>
      </c>
      <c r="AX64" s="407">
        <v>0</v>
      </c>
      <c r="AY64" s="407">
        <v>0</v>
      </c>
      <c r="AZ64" s="407">
        <v>0</v>
      </c>
      <c r="BA64" s="407"/>
      <c r="BB64" s="407">
        <v>0</v>
      </c>
      <c r="BC64" s="407">
        <v>0</v>
      </c>
      <c r="BD64" s="407">
        <v>0</v>
      </c>
      <c r="BE64" s="407">
        <v>0</v>
      </c>
      <c r="BF64" s="407">
        <v>0</v>
      </c>
      <c r="BG64" s="407">
        <v>-4.0923795614277942</v>
      </c>
      <c r="BH64" s="407">
        <v>0</v>
      </c>
      <c r="BI64" s="407">
        <v>-1.32</v>
      </c>
      <c r="BJ64" s="407">
        <v>-6.16</v>
      </c>
      <c r="BK64" s="407">
        <v>-114.12</v>
      </c>
      <c r="BL64" s="407">
        <v>0</v>
      </c>
      <c r="BM64" s="407"/>
      <c r="BN64" s="407"/>
      <c r="BO64" s="407"/>
      <c r="BP64" s="407"/>
      <c r="BQ64" s="407"/>
      <c r="BR64" s="407"/>
      <c r="BS64" s="407"/>
      <c r="BT64" s="407"/>
      <c r="BU64" s="407"/>
      <c r="BV64" s="407">
        <v>-60.078129728286356</v>
      </c>
      <c r="BW64" s="407"/>
      <c r="BX64" s="407"/>
      <c r="BY64" s="407"/>
      <c r="BZ64" s="407"/>
      <c r="CA64" s="407"/>
      <c r="CB64" s="407"/>
      <c r="CC64" s="407"/>
      <c r="CD64" s="407"/>
      <c r="CE64" s="407"/>
      <c r="CF64" s="407"/>
      <c r="CG64" s="407"/>
      <c r="CH64" s="407"/>
      <c r="CI64" s="407">
        <v>-220.2552</v>
      </c>
      <c r="CJ64" s="407">
        <v>72.964350000000024</v>
      </c>
      <c r="CK64" s="407"/>
      <c r="CL64" s="407"/>
      <c r="CM64" s="407"/>
      <c r="CN64" s="407"/>
      <c r="CO64" s="407">
        <v>81.130500000000012</v>
      </c>
      <c r="CP64" s="407">
        <v>-9.9716100000000001</v>
      </c>
      <c r="CQ64" s="407">
        <v>31</v>
      </c>
      <c r="CR64" s="407">
        <v>-6.2632085396840012</v>
      </c>
      <c r="CS64" s="407">
        <v>0</v>
      </c>
      <c r="CT64" s="407">
        <v>0</v>
      </c>
      <c r="CU64" s="407">
        <v>0</v>
      </c>
      <c r="CV64" s="407">
        <v>0</v>
      </c>
      <c r="CW64" s="407">
        <v>0</v>
      </c>
      <c r="CX64" s="407">
        <v>0</v>
      </c>
      <c r="CY64" s="407">
        <v>0</v>
      </c>
      <c r="CZ64" s="407">
        <v>-1.9126687857103519</v>
      </c>
      <c r="DA64" s="407">
        <v>0</v>
      </c>
      <c r="DB64" s="407">
        <v>0</v>
      </c>
      <c r="DC64" s="407">
        <v>-11.100462371627806</v>
      </c>
      <c r="DD64" s="407">
        <v>0</v>
      </c>
      <c r="DE64" s="407">
        <v>0</v>
      </c>
      <c r="DF64" s="407">
        <v>0</v>
      </c>
      <c r="DG64" s="407">
        <v>-0.81140835295870328</v>
      </c>
      <c r="DH64" s="407">
        <v>0</v>
      </c>
      <c r="DI64" s="407">
        <v>1.5756082538792278</v>
      </c>
      <c r="DJ64" s="407"/>
      <c r="DK64" s="407">
        <v>0</v>
      </c>
      <c r="DL64" s="407">
        <v>0</v>
      </c>
      <c r="DM64" s="407">
        <v>0</v>
      </c>
      <c r="DN64" s="407">
        <v>0</v>
      </c>
      <c r="DO64" s="407">
        <v>0.21208214101856759</v>
      </c>
      <c r="DP64" s="407">
        <v>4.7995890676854058E-2</v>
      </c>
      <c r="DQ64" s="407">
        <v>0</v>
      </c>
      <c r="DR64" s="407">
        <v>5.7256446850382199</v>
      </c>
      <c r="DS64" s="407"/>
      <c r="DT64" s="407"/>
      <c r="DU64" s="407"/>
      <c r="DV64" s="407">
        <v>-151.56919465570894</v>
      </c>
      <c r="DW64" s="407">
        <v>0</v>
      </c>
      <c r="DX64" s="407">
        <v>0</v>
      </c>
      <c r="DY64" s="407">
        <v>81.130500000000012</v>
      </c>
      <c r="DZ64" s="407">
        <v>-9.9716100000000054</v>
      </c>
      <c r="EA64" s="407">
        <v>0</v>
      </c>
      <c r="EB64" s="407">
        <v>0</v>
      </c>
      <c r="EC64" s="407">
        <v>77.421896668287559</v>
      </c>
      <c r="ED64" s="407">
        <v>0</v>
      </c>
      <c r="EE64" s="407">
        <v>0</v>
      </c>
      <c r="EF64" s="407">
        <v>0</v>
      </c>
      <c r="EG64" s="407">
        <v>0</v>
      </c>
      <c r="EH64" s="407">
        <v>0</v>
      </c>
      <c r="EI64" s="407">
        <v>0</v>
      </c>
      <c r="EJ64" s="407">
        <v>0</v>
      </c>
      <c r="EK64" s="407">
        <v>0</v>
      </c>
      <c r="EL64" s="407">
        <v>0</v>
      </c>
      <c r="EM64" s="407">
        <v>0</v>
      </c>
      <c r="EN64" s="407">
        <v>0</v>
      </c>
      <c r="EO64" s="407">
        <v>0</v>
      </c>
      <c r="EP64" s="407">
        <v>-10.655574498589779</v>
      </c>
      <c r="EQ64" s="407">
        <v>0</v>
      </c>
      <c r="ER64" s="407">
        <v>0</v>
      </c>
      <c r="ES64" s="407">
        <v>0</v>
      </c>
      <c r="ET64" s="407">
        <v>0</v>
      </c>
      <c r="EU64" s="407">
        <v>0</v>
      </c>
      <c r="EV64" s="407">
        <v>246</v>
      </c>
      <c r="EW64" s="407">
        <v>0</v>
      </c>
      <c r="EX64" s="407">
        <v>0</v>
      </c>
      <c r="EY64" s="407">
        <v>0</v>
      </c>
      <c r="EZ64" s="407"/>
      <c r="FA64" s="407">
        <v>0</v>
      </c>
      <c r="FB64" s="407"/>
      <c r="FC64" s="407"/>
      <c r="FD64" s="407"/>
      <c r="FE64" s="407"/>
      <c r="FF64" s="407">
        <v>0</v>
      </c>
      <c r="FG64" s="407">
        <v>0</v>
      </c>
      <c r="FH64" s="407">
        <v>0</v>
      </c>
      <c r="FI64" s="407">
        <v>0</v>
      </c>
    </row>
    <row r="65" spans="1:165" customFormat="1">
      <c r="A65" s="407">
        <v>67</v>
      </c>
      <c r="B65" s="407" t="s">
        <v>2309</v>
      </c>
      <c r="C65" s="407" t="s">
        <v>2306</v>
      </c>
      <c r="D65" s="407" t="s">
        <v>1218</v>
      </c>
      <c r="E65" s="407" t="s">
        <v>1021</v>
      </c>
      <c r="F65" s="407" t="s">
        <v>1021</v>
      </c>
      <c r="G65" s="407" t="s">
        <v>97</v>
      </c>
      <c r="H65" s="407" t="s">
        <v>97</v>
      </c>
      <c r="I65" s="407" t="s">
        <v>97</v>
      </c>
      <c r="J65" s="407" t="s">
        <v>2307</v>
      </c>
      <c r="K65" s="818">
        <v>44409</v>
      </c>
      <c r="L65" s="407">
        <v>0</v>
      </c>
      <c r="M65" s="407">
        <v>0</v>
      </c>
      <c r="N65" s="407">
        <v>17.292000000000002</v>
      </c>
      <c r="O65" s="407">
        <v>17.292000000000002</v>
      </c>
      <c r="P65" s="407">
        <v>17.292000000000002</v>
      </c>
      <c r="Q65" s="407">
        <v>17.292000000000002</v>
      </c>
      <c r="R65" s="407"/>
      <c r="S65" s="407">
        <v>648.44000000000005</v>
      </c>
      <c r="T65" s="407">
        <v>159.41</v>
      </c>
      <c r="U65" s="407"/>
      <c r="V65" s="407">
        <v>13969.342200000001</v>
      </c>
      <c r="W65" s="407">
        <v>13969.342200000001</v>
      </c>
      <c r="X65" s="407">
        <v>10579.59144</v>
      </c>
      <c r="Y65" s="407">
        <v>0</v>
      </c>
      <c r="Z65" s="407">
        <v>1071.589573894076</v>
      </c>
      <c r="AA65" s="407">
        <v>0</v>
      </c>
      <c r="AB65" s="407">
        <v>0</v>
      </c>
      <c r="AC65" s="407">
        <v>0</v>
      </c>
      <c r="AD65" s="407">
        <v>2017.0154180564516</v>
      </c>
      <c r="AE65" s="407">
        <v>7220.2052726901366</v>
      </c>
      <c r="AF65" s="407">
        <v>2666.957553403081</v>
      </c>
      <c r="AG65" s="407">
        <v>89.602773241410418</v>
      </c>
      <c r="AH65" s="407">
        <v>0</v>
      </c>
      <c r="AI65" s="407">
        <v>0</v>
      </c>
      <c r="AJ65" s="407">
        <v>0</v>
      </c>
      <c r="AK65" s="407">
        <v>0</v>
      </c>
      <c r="AL65" s="407">
        <v>165.58914912503295</v>
      </c>
      <c r="AM65" s="407"/>
      <c r="AN65" s="407">
        <v>35.882553815151802</v>
      </c>
      <c r="AO65" s="407">
        <v>0</v>
      </c>
      <c r="AP65" s="407">
        <v>0</v>
      </c>
      <c r="AQ65" s="407">
        <v>0</v>
      </c>
      <c r="AR65" s="407">
        <v>0</v>
      </c>
      <c r="AS65" s="407">
        <v>0</v>
      </c>
      <c r="AT65" s="407">
        <v>0</v>
      </c>
      <c r="AU65" s="407">
        <v>0</v>
      </c>
      <c r="AV65" s="407">
        <v>0</v>
      </c>
      <c r="AW65" s="407">
        <v>0</v>
      </c>
      <c r="AX65" s="407">
        <v>0</v>
      </c>
      <c r="AY65" s="407">
        <v>0</v>
      </c>
      <c r="AZ65" s="407">
        <v>0</v>
      </c>
      <c r="BA65" s="407"/>
      <c r="BB65" s="407">
        <v>0</v>
      </c>
      <c r="BC65" s="407">
        <v>0</v>
      </c>
      <c r="BD65" s="407">
        <v>0</v>
      </c>
      <c r="BE65" s="407">
        <v>0</v>
      </c>
      <c r="BF65" s="407">
        <v>0</v>
      </c>
      <c r="BG65" s="407">
        <v>194.94608092619674</v>
      </c>
      <c r="BH65" s="407">
        <v>0</v>
      </c>
      <c r="BI65" s="407">
        <v>46.53</v>
      </c>
      <c r="BJ65" s="407">
        <v>314.33</v>
      </c>
      <c r="BK65" s="407">
        <v>13475.51</v>
      </c>
      <c r="BL65" s="407">
        <v>157</v>
      </c>
      <c r="BM65" s="407"/>
      <c r="BN65" s="407"/>
      <c r="BO65" s="407"/>
      <c r="BP65" s="407"/>
      <c r="BQ65" s="407"/>
      <c r="BR65" s="407"/>
      <c r="BS65" s="407"/>
      <c r="BT65" s="407"/>
      <c r="BU65" s="407"/>
      <c r="BV65" s="407">
        <v>2861.9036343292778</v>
      </c>
      <c r="BW65" s="407"/>
      <c r="BX65" s="407"/>
      <c r="BY65" s="407"/>
      <c r="BZ65" s="407"/>
      <c r="CA65" s="407"/>
      <c r="CB65" s="407"/>
      <c r="CC65" s="407"/>
      <c r="CD65" s="407"/>
      <c r="CE65" s="407"/>
      <c r="CF65" s="407"/>
      <c r="CG65" s="407"/>
      <c r="CH65" s="407"/>
      <c r="CI65" s="407">
        <v>10578.3678</v>
      </c>
      <c r="CJ65" s="407">
        <v>-3391.0044000000016</v>
      </c>
      <c r="CK65" s="407"/>
      <c r="CL65" s="407"/>
      <c r="CM65" s="407"/>
      <c r="CN65" s="407"/>
      <c r="CO65" s="407">
        <v>-3864.7620000000015</v>
      </c>
      <c r="CP65" s="407">
        <v>475.01124000000004</v>
      </c>
      <c r="CQ65" s="407">
        <v>31</v>
      </c>
      <c r="CR65" s="407">
        <v>298.35647952676482</v>
      </c>
      <c r="CS65" s="407">
        <v>0</v>
      </c>
      <c r="CT65" s="407">
        <v>0</v>
      </c>
      <c r="CU65" s="407">
        <v>0</v>
      </c>
      <c r="CV65" s="407">
        <v>0</v>
      </c>
      <c r="CW65" s="407">
        <v>0</v>
      </c>
      <c r="CX65" s="407">
        <v>0</v>
      </c>
      <c r="CY65" s="407">
        <v>0</v>
      </c>
      <c r="CZ65" s="407">
        <v>91.112585792020354</v>
      </c>
      <c r="DA65" s="407">
        <v>0</v>
      </c>
      <c r="DB65" s="407">
        <v>0</v>
      </c>
      <c r="DC65" s="407">
        <v>528.7856620666339</v>
      </c>
      <c r="DD65" s="407">
        <v>0</v>
      </c>
      <c r="DE65" s="407">
        <v>0</v>
      </c>
      <c r="DF65" s="407">
        <v>0</v>
      </c>
      <c r="DG65" s="407">
        <v>38.652543359123712</v>
      </c>
      <c r="DH65" s="407">
        <v>0</v>
      </c>
      <c r="DI65" s="407">
        <v>-75.056247730246923</v>
      </c>
      <c r="DJ65" s="407"/>
      <c r="DK65" s="407">
        <v>0</v>
      </c>
      <c r="DL65" s="407">
        <v>0</v>
      </c>
      <c r="DM65" s="407">
        <v>0</v>
      </c>
      <c r="DN65" s="407">
        <v>0</v>
      </c>
      <c r="DO65" s="407">
        <v>-10.102821990339038</v>
      </c>
      <c r="DP65" s="407">
        <v>-2.2863497013337764</v>
      </c>
      <c r="DQ65" s="407">
        <v>0</v>
      </c>
      <c r="DR65" s="407">
        <v>-272.7488922690934</v>
      </c>
      <c r="DS65" s="407"/>
      <c r="DT65" s="407"/>
      <c r="DU65" s="407"/>
      <c r="DV65" s="407">
        <v>7220.2052726901366</v>
      </c>
      <c r="DW65" s="407">
        <v>0</v>
      </c>
      <c r="DX65" s="407">
        <v>0</v>
      </c>
      <c r="DY65" s="407">
        <v>-3864.7620000000006</v>
      </c>
      <c r="DZ65" s="407">
        <v>475.01123999999982</v>
      </c>
      <c r="EA65" s="407">
        <v>0</v>
      </c>
      <c r="EB65" s="407">
        <v>0</v>
      </c>
      <c r="EC65" s="407">
        <v>-3688.0976231075174</v>
      </c>
      <c r="ED65" s="407">
        <v>0</v>
      </c>
      <c r="EE65" s="407">
        <v>0</v>
      </c>
      <c r="EF65" s="407">
        <v>0</v>
      </c>
      <c r="EG65" s="407">
        <v>0</v>
      </c>
      <c r="EH65" s="407">
        <v>0</v>
      </c>
      <c r="EI65" s="407">
        <v>0</v>
      </c>
      <c r="EJ65" s="407">
        <v>0</v>
      </c>
      <c r="EK65" s="407">
        <v>0</v>
      </c>
      <c r="EL65" s="407">
        <v>0</v>
      </c>
      <c r="EM65" s="407">
        <v>0</v>
      </c>
      <c r="EN65" s="407">
        <v>0</v>
      </c>
      <c r="EO65" s="407">
        <v>0</v>
      </c>
      <c r="EP65" s="407">
        <v>507.5928215691859</v>
      </c>
      <c r="EQ65" s="407">
        <v>0</v>
      </c>
      <c r="ER65" s="407">
        <v>0</v>
      </c>
      <c r="ES65" s="407">
        <v>0</v>
      </c>
      <c r="ET65" s="407">
        <v>0</v>
      </c>
      <c r="EU65" s="407">
        <v>0</v>
      </c>
      <c r="EV65" s="407">
        <v>246</v>
      </c>
      <c r="EW65" s="407">
        <v>0</v>
      </c>
      <c r="EX65" s="407">
        <v>0</v>
      </c>
      <c r="EY65" s="407">
        <v>0</v>
      </c>
      <c r="EZ65" s="407"/>
      <c r="FA65" s="407">
        <v>0</v>
      </c>
      <c r="FB65" s="407"/>
      <c r="FC65" s="407"/>
      <c r="FD65" s="407"/>
      <c r="FE65" s="407"/>
      <c r="FF65" s="407">
        <v>0</v>
      </c>
      <c r="FG65" s="407">
        <v>0</v>
      </c>
      <c r="FH65" s="407">
        <v>0</v>
      </c>
      <c r="FI65" s="407">
        <v>0</v>
      </c>
    </row>
    <row r="66" spans="1:165" customFormat="1">
      <c r="A66" s="407">
        <v>68</v>
      </c>
      <c r="B66" s="407" t="s">
        <v>1090</v>
      </c>
      <c r="C66" s="407" t="s">
        <v>2306</v>
      </c>
      <c r="D66" s="407" t="s">
        <v>1218</v>
      </c>
      <c r="E66" s="407" t="s">
        <v>1021</v>
      </c>
      <c r="F66" s="407" t="s">
        <v>2310</v>
      </c>
      <c r="G66" s="407" t="s">
        <v>97</v>
      </c>
      <c r="H66" s="407" t="s">
        <v>97</v>
      </c>
      <c r="I66" s="407" t="s">
        <v>97</v>
      </c>
      <c r="J66" s="407" t="s">
        <v>2307</v>
      </c>
      <c r="K66" s="818">
        <v>44409</v>
      </c>
      <c r="L66" s="407">
        <v>0</v>
      </c>
      <c r="M66" s="407">
        <v>0</v>
      </c>
      <c r="N66" s="407">
        <v>19.5</v>
      </c>
      <c r="O66" s="407">
        <v>19.5</v>
      </c>
      <c r="P66" s="407">
        <v>19.5</v>
      </c>
      <c r="Q66" s="407">
        <v>19.5</v>
      </c>
      <c r="R66" s="407"/>
      <c r="S66" s="407">
        <v>547.54</v>
      </c>
      <c r="T66" s="407">
        <v>159.41</v>
      </c>
      <c r="U66" s="407"/>
      <c r="V66" s="407">
        <v>13785.524999999998</v>
      </c>
      <c r="W66" s="407">
        <v>13785.524999999998</v>
      </c>
      <c r="X66" s="407">
        <v>10097.49</v>
      </c>
      <c r="Y66" s="407">
        <v>0</v>
      </c>
      <c r="Z66" s="407">
        <v>0</v>
      </c>
      <c r="AA66" s="407">
        <v>0</v>
      </c>
      <c r="AB66" s="407">
        <v>0</v>
      </c>
      <c r="AC66" s="407">
        <v>0</v>
      </c>
      <c r="AD66" s="407">
        <v>2274.566311132362</v>
      </c>
      <c r="AE66" s="407">
        <v>8142.1468203480017</v>
      </c>
      <c r="AF66" s="407">
        <v>3007.4989759056252</v>
      </c>
      <c r="AG66" s="407">
        <v>101.04407114315885</v>
      </c>
      <c r="AH66" s="407">
        <v>0</v>
      </c>
      <c r="AI66" s="407">
        <v>0</v>
      </c>
      <c r="AJ66" s="407">
        <v>0</v>
      </c>
      <c r="AK66" s="407">
        <v>0</v>
      </c>
      <c r="AL66" s="407">
        <v>0</v>
      </c>
      <c r="AM66" s="407"/>
      <c r="AN66" s="407">
        <v>40.464364989328018</v>
      </c>
      <c r="AO66" s="407">
        <v>0</v>
      </c>
      <c r="AP66" s="407">
        <v>0</v>
      </c>
      <c r="AQ66" s="407">
        <v>0</v>
      </c>
      <c r="AR66" s="407">
        <v>0</v>
      </c>
      <c r="AS66" s="407">
        <v>0</v>
      </c>
      <c r="AT66" s="407">
        <v>0</v>
      </c>
      <c r="AU66" s="407">
        <v>0</v>
      </c>
      <c r="AV66" s="407">
        <v>0</v>
      </c>
      <c r="AW66" s="407">
        <v>0</v>
      </c>
      <c r="AX66" s="407">
        <v>0</v>
      </c>
      <c r="AY66" s="407">
        <v>0</v>
      </c>
      <c r="AZ66" s="407">
        <v>0</v>
      </c>
      <c r="BA66" s="407"/>
      <c r="BB66" s="407">
        <v>0</v>
      </c>
      <c r="BC66" s="407">
        <v>0</v>
      </c>
      <c r="BD66" s="407">
        <v>0</v>
      </c>
      <c r="BE66" s="407">
        <v>0</v>
      </c>
      <c r="BF66" s="407">
        <v>0</v>
      </c>
      <c r="BG66" s="407">
        <v>219.83857148165836</v>
      </c>
      <c r="BH66" s="407">
        <v>0</v>
      </c>
      <c r="BI66" s="407">
        <v>12.21</v>
      </c>
      <c r="BJ66" s="407">
        <v>85.73</v>
      </c>
      <c r="BK66" s="407">
        <v>1367.56</v>
      </c>
      <c r="BL66" s="407">
        <v>39</v>
      </c>
      <c r="BM66" s="407"/>
      <c r="BN66" s="407"/>
      <c r="BO66" s="407"/>
      <c r="BP66" s="407"/>
      <c r="BQ66" s="407"/>
      <c r="BR66" s="407"/>
      <c r="BS66" s="407"/>
      <c r="BT66" s="407">
        <v>6563.31</v>
      </c>
      <c r="BU66" s="407"/>
      <c r="BV66" s="407">
        <v>3227.3375473872834</v>
      </c>
      <c r="BW66" s="407"/>
      <c r="BX66" s="407"/>
      <c r="BY66" s="407"/>
      <c r="BZ66" s="407"/>
      <c r="CA66" s="407"/>
      <c r="CB66" s="407"/>
      <c r="CC66" s="407"/>
      <c r="CD66" s="407"/>
      <c r="CE66" s="407"/>
      <c r="CF66" s="407"/>
      <c r="CG66" s="407"/>
      <c r="CH66" s="407"/>
      <c r="CI66" s="407">
        <v>3534.18</v>
      </c>
      <c r="CJ66" s="407">
        <v>-1290.7350000000001</v>
      </c>
      <c r="CK66" s="407"/>
      <c r="CL66" s="407"/>
      <c r="CM66" s="407"/>
      <c r="CN66" s="407"/>
      <c r="CO66" s="407">
        <v>-4223.6999999999989</v>
      </c>
      <c r="CP66" s="407">
        <v>535.66499999999996</v>
      </c>
      <c r="CQ66" s="407">
        <v>31</v>
      </c>
      <c r="CR66" s="407">
        <v>470.90245133125791</v>
      </c>
      <c r="CS66" s="407">
        <v>0</v>
      </c>
      <c r="CT66" s="407">
        <v>0</v>
      </c>
      <c r="CU66" s="407">
        <v>0</v>
      </c>
      <c r="CV66" s="407">
        <v>0</v>
      </c>
      <c r="CW66" s="407">
        <v>0</v>
      </c>
      <c r="CX66" s="407">
        <v>0</v>
      </c>
      <c r="CY66" s="407">
        <v>0</v>
      </c>
      <c r="CZ66" s="407">
        <v>102.74667030675437</v>
      </c>
      <c r="DA66" s="407">
        <v>0</v>
      </c>
      <c r="DB66" s="407">
        <v>0</v>
      </c>
      <c r="DC66" s="407">
        <v>596.30582988083279</v>
      </c>
      <c r="DD66" s="407">
        <v>0</v>
      </c>
      <c r="DE66" s="407">
        <v>0</v>
      </c>
      <c r="DF66" s="407">
        <v>0</v>
      </c>
      <c r="DG66" s="407">
        <v>43.58805201844271</v>
      </c>
      <c r="DH66" s="407">
        <v>0</v>
      </c>
      <c r="DI66" s="407">
        <v>0</v>
      </c>
      <c r="DJ66" s="407"/>
      <c r="DK66" s="407">
        <v>0</v>
      </c>
      <c r="DL66" s="407">
        <v>0</v>
      </c>
      <c r="DM66" s="407">
        <v>0</v>
      </c>
      <c r="DN66" s="407">
        <v>0</v>
      </c>
      <c r="DO66" s="407">
        <v>0</v>
      </c>
      <c r="DP66" s="407">
        <v>-2.578291647930179</v>
      </c>
      <c r="DQ66" s="407">
        <v>0</v>
      </c>
      <c r="DR66" s="407">
        <v>-269.15980922684253</v>
      </c>
      <c r="DS66" s="407"/>
      <c r="DT66" s="407"/>
      <c r="DU66" s="407"/>
      <c r="DV66" s="407">
        <v>8142.1468203480017</v>
      </c>
      <c r="DW66" s="407">
        <v>0</v>
      </c>
      <c r="DX66" s="407">
        <v>0</v>
      </c>
      <c r="DY66" s="407">
        <v>-4223.6999999999989</v>
      </c>
      <c r="DZ66" s="407">
        <v>535.66499999999996</v>
      </c>
      <c r="EA66" s="407">
        <v>0</v>
      </c>
      <c r="EB66" s="407">
        <v>0</v>
      </c>
      <c r="EC66" s="407">
        <v>-4159.0275069741256</v>
      </c>
      <c r="ED66" s="407">
        <v>0</v>
      </c>
      <c r="EE66" s="407">
        <v>0</v>
      </c>
      <c r="EF66" s="407">
        <v>0</v>
      </c>
      <c r="EG66" s="407">
        <v>0</v>
      </c>
      <c r="EH66" s="407">
        <v>0</v>
      </c>
      <c r="EI66" s="407">
        <v>0</v>
      </c>
      <c r="EJ66" s="407">
        <v>0</v>
      </c>
      <c r="EK66" s="407">
        <v>0</v>
      </c>
      <c r="EL66" s="407">
        <v>0</v>
      </c>
      <c r="EM66" s="407">
        <v>0</v>
      </c>
      <c r="EN66" s="407">
        <v>0</v>
      </c>
      <c r="EO66" s="407">
        <v>0</v>
      </c>
      <c r="EP66" s="407">
        <v>0</v>
      </c>
      <c r="EQ66" s="407">
        <v>0</v>
      </c>
      <c r="ER66" s="407">
        <v>0</v>
      </c>
      <c r="ES66" s="407">
        <v>0</v>
      </c>
      <c r="ET66" s="407">
        <v>0</v>
      </c>
      <c r="EU66" s="407">
        <v>0</v>
      </c>
      <c r="EV66" s="407">
        <v>246</v>
      </c>
      <c r="EW66" s="407">
        <v>0</v>
      </c>
      <c r="EX66" s="407">
        <v>0</v>
      </c>
      <c r="EY66" s="407">
        <v>0</v>
      </c>
      <c r="EZ66" s="407"/>
      <c r="FA66" s="407">
        <v>0</v>
      </c>
      <c r="FB66" s="407"/>
      <c r="FC66" s="407"/>
      <c r="FD66" s="407"/>
      <c r="FE66" s="407"/>
      <c r="FF66" s="407">
        <v>0</v>
      </c>
      <c r="FG66" s="407">
        <v>0</v>
      </c>
      <c r="FH66" s="407">
        <v>0</v>
      </c>
      <c r="FI66" s="407">
        <v>0</v>
      </c>
    </row>
    <row r="67" spans="1:165" customFormat="1">
      <c r="A67" s="407">
        <v>69</v>
      </c>
      <c r="B67" s="407" t="s">
        <v>2309</v>
      </c>
      <c r="C67" s="407" t="s">
        <v>2306</v>
      </c>
      <c r="D67" s="407" t="s">
        <v>1218</v>
      </c>
      <c r="E67" s="407" t="s">
        <v>1021</v>
      </c>
      <c r="F67" s="407" t="s">
        <v>2310</v>
      </c>
      <c r="G67" s="407" t="s">
        <v>97</v>
      </c>
      <c r="H67" s="407" t="s">
        <v>97</v>
      </c>
      <c r="I67" s="407" t="s">
        <v>97</v>
      </c>
      <c r="J67" s="407" t="s">
        <v>2307</v>
      </c>
      <c r="K67" s="818">
        <v>44409</v>
      </c>
      <c r="L67" s="407">
        <v>0</v>
      </c>
      <c r="M67" s="407">
        <v>0</v>
      </c>
      <c r="N67" s="407">
        <v>0.03</v>
      </c>
      <c r="O67" s="407">
        <v>0.03</v>
      </c>
      <c r="P67" s="407">
        <v>0.03</v>
      </c>
      <c r="Q67" s="407">
        <v>0.03</v>
      </c>
      <c r="R67" s="407"/>
      <c r="S67" s="407">
        <v>547.54</v>
      </c>
      <c r="T67" s="407">
        <v>159.41</v>
      </c>
      <c r="U67" s="407"/>
      <c r="V67" s="407">
        <v>21.208499999999997</v>
      </c>
      <c r="W67" s="407">
        <v>21.208499999999997</v>
      </c>
      <c r="X67" s="407">
        <v>15.534600000000001</v>
      </c>
      <c r="Y67" s="407">
        <v>0</v>
      </c>
      <c r="Z67" s="407">
        <v>0</v>
      </c>
      <c r="AA67" s="407">
        <v>0</v>
      </c>
      <c r="AB67" s="407">
        <v>0</v>
      </c>
      <c r="AC67" s="407">
        <v>0</v>
      </c>
      <c r="AD67" s="407">
        <v>3.4993327863574799</v>
      </c>
      <c r="AE67" s="407">
        <v>12.52637972361231</v>
      </c>
      <c r="AF67" s="407">
        <v>4.6269215013932694</v>
      </c>
      <c r="AG67" s="407">
        <v>0.15545241714332131</v>
      </c>
      <c r="AH67" s="407">
        <v>0</v>
      </c>
      <c r="AI67" s="407">
        <v>0</v>
      </c>
      <c r="AJ67" s="407">
        <v>0</v>
      </c>
      <c r="AK67" s="407">
        <v>0</v>
      </c>
      <c r="AL67" s="407">
        <v>0</v>
      </c>
      <c r="AM67" s="407"/>
      <c r="AN67" s="407">
        <v>6.2252869214350789E-2</v>
      </c>
      <c r="AO67" s="407">
        <v>0</v>
      </c>
      <c r="AP67" s="407">
        <v>0</v>
      </c>
      <c r="AQ67" s="407">
        <v>0</v>
      </c>
      <c r="AR67" s="407">
        <v>0</v>
      </c>
      <c r="AS67" s="407">
        <v>0</v>
      </c>
      <c r="AT67" s="407">
        <v>0</v>
      </c>
      <c r="AU67" s="407">
        <v>0</v>
      </c>
      <c r="AV67" s="407">
        <v>0</v>
      </c>
      <c r="AW67" s="407">
        <v>0</v>
      </c>
      <c r="AX67" s="407">
        <v>0</v>
      </c>
      <c r="AY67" s="407">
        <v>0</v>
      </c>
      <c r="AZ67" s="407">
        <v>0</v>
      </c>
      <c r="BA67" s="407"/>
      <c r="BB67" s="407">
        <v>0</v>
      </c>
      <c r="BC67" s="407">
        <v>0</v>
      </c>
      <c r="BD67" s="407">
        <v>0</v>
      </c>
      <c r="BE67" s="407">
        <v>0</v>
      </c>
      <c r="BF67" s="407">
        <v>0</v>
      </c>
      <c r="BG67" s="407">
        <v>0.33821318689485902</v>
      </c>
      <c r="BH67" s="407">
        <v>0</v>
      </c>
      <c r="BI67" s="407">
        <v>0.02</v>
      </c>
      <c r="BJ67" s="407">
        <v>0.14000000000000001</v>
      </c>
      <c r="BK67" s="407">
        <v>2.39</v>
      </c>
      <c r="BL67" s="407">
        <v>0</v>
      </c>
      <c r="BM67" s="407"/>
      <c r="BN67" s="407"/>
      <c r="BO67" s="407"/>
      <c r="BP67" s="407"/>
      <c r="BQ67" s="407"/>
      <c r="BR67" s="407"/>
      <c r="BS67" s="407"/>
      <c r="BT67" s="407">
        <v>10.0974</v>
      </c>
      <c r="BU67" s="407"/>
      <c r="BV67" s="407">
        <v>4.9651346882881287</v>
      </c>
      <c r="BW67" s="407"/>
      <c r="BX67" s="407"/>
      <c r="BY67" s="407"/>
      <c r="BZ67" s="407"/>
      <c r="CA67" s="407"/>
      <c r="CB67" s="407"/>
      <c r="CC67" s="407"/>
      <c r="CD67" s="407"/>
      <c r="CE67" s="407"/>
      <c r="CF67" s="407"/>
      <c r="CG67" s="407"/>
      <c r="CH67" s="407"/>
      <c r="CI67" s="407">
        <v>5.4371999999999998</v>
      </c>
      <c r="CJ67" s="407">
        <v>-2.0156999999999989</v>
      </c>
      <c r="CK67" s="407"/>
      <c r="CL67" s="407"/>
      <c r="CM67" s="407"/>
      <c r="CN67" s="407"/>
      <c r="CO67" s="407">
        <v>-6.4979999999999984</v>
      </c>
      <c r="CP67" s="407">
        <v>0.82409999999999994</v>
      </c>
      <c r="CQ67" s="407">
        <v>31</v>
      </c>
      <c r="CR67" s="407">
        <v>0.72446530974039369</v>
      </c>
      <c r="CS67" s="407">
        <v>0</v>
      </c>
      <c r="CT67" s="407">
        <v>0</v>
      </c>
      <c r="CU67" s="407">
        <v>0</v>
      </c>
      <c r="CV67" s="407">
        <v>0</v>
      </c>
      <c r="CW67" s="407">
        <v>0</v>
      </c>
      <c r="CX67" s="407">
        <v>0</v>
      </c>
      <c r="CY67" s="407">
        <v>0</v>
      </c>
      <c r="CZ67" s="407">
        <v>0.1580718004719297</v>
      </c>
      <c r="DA67" s="407">
        <v>0</v>
      </c>
      <c r="DB67" s="407">
        <v>0</v>
      </c>
      <c r="DC67" s="407">
        <v>0.91739358443204999</v>
      </c>
      <c r="DD67" s="407">
        <v>0</v>
      </c>
      <c r="DE67" s="407">
        <v>0</v>
      </c>
      <c r="DF67" s="407">
        <v>0</v>
      </c>
      <c r="DG67" s="407">
        <v>6.7058541566834939E-2</v>
      </c>
      <c r="DH67" s="407">
        <v>0</v>
      </c>
      <c r="DI67" s="407">
        <v>0</v>
      </c>
      <c r="DJ67" s="407"/>
      <c r="DK67" s="407">
        <v>0</v>
      </c>
      <c r="DL67" s="407">
        <v>0</v>
      </c>
      <c r="DM67" s="407">
        <v>0</v>
      </c>
      <c r="DN67" s="407">
        <v>0</v>
      </c>
      <c r="DO67" s="407">
        <v>0</v>
      </c>
      <c r="DP67" s="407">
        <v>-3.9666025352771903E-3</v>
      </c>
      <c r="DQ67" s="407">
        <v>0</v>
      </c>
      <c r="DR67" s="407">
        <v>-0.41409201419514241</v>
      </c>
      <c r="DS67" s="407"/>
      <c r="DT67" s="407"/>
      <c r="DU67" s="407"/>
      <c r="DV67" s="407">
        <v>12.52637972361231</v>
      </c>
      <c r="DW67" s="407">
        <v>0</v>
      </c>
      <c r="DX67" s="407">
        <v>0</v>
      </c>
      <c r="DY67" s="407">
        <v>-6.4979999999999976</v>
      </c>
      <c r="DZ67" s="407">
        <v>0.8241000000000005</v>
      </c>
      <c r="EA67" s="407">
        <v>0</v>
      </c>
      <c r="EB67" s="407">
        <v>0</v>
      </c>
      <c r="EC67" s="407">
        <v>-6.3985038568832699</v>
      </c>
      <c r="ED67" s="407">
        <v>0</v>
      </c>
      <c r="EE67" s="407">
        <v>0</v>
      </c>
      <c r="EF67" s="407">
        <v>0</v>
      </c>
      <c r="EG67" s="407">
        <v>0</v>
      </c>
      <c r="EH67" s="407">
        <v>0</v>
      </c>
      <c r="EI67" s="407">
        <v>0</v>
      </c>
      <c r="EJ67" s="407">
        <v>0</v>
      </c>
      <c r="EK67" s="407">
        <v>0</v>
      </c>
      <c r="EL67" s="407">
        <v>0</v>
      </c>
      <c r="EM67" s="407">
        <v>0</v>
      </c>
      <c r="EN67" s="407">
        <v>0</v>
      </c>
      <c r="EO67" s="407">
        <v>0</v>
      </c>
      <c r="EP67" s="407">
        <v>0</v>
      </c>
      <c r="EQ67" s="407">
        <v>0</v>
      </c>
      <c r="ER67" s="407">
        <v>0</v>
      </c>
      <c r="ES67" s="407">
        <v>0</v>
      </c>
      <c r="ET67" s="407">
        <v>0</v>
      </c>
      <c r="EU67" s="407">
        <v>0</v>
      </c>
      <c r="EV67" s="407">
        <v>246</v>
      </c>
      <c r="EW67" s="407">
        <v>0</v>
      </c>
      <c r="EX67" s="407">
        <v>0</v>
      </c>
      <c r="EY67" s="407">
        <v>0</v>
      </c>
      <c r="EZ67" s="407"/>
      <c r="FA67" s="407">
        <v>0</v>
      </c>
      <c r="FB67" s="407"/>
      <c r="FC67" s="407"/>
      <c r="FD67" s="407"/>
      <c r="FE67" s="407"/>
      <c r="FF67" s="407">
        <v>0</v>
      </c>
      <c r="FG67" s="407">
        <v>0</v>
      </c>
      <c r="FH67" s="407">
        <v>0</v>
      </c>
      <c r="FI67" s="407">
        <v>0</v>
      </c>
    </row>
    <row r="68" spans="1:165" customFormat="1">
      <c r="A68" s="407">
        <v>70</v>
      </c>
      <c r="B68" s="407" t="s">
        <v>1090</v>
      </c>
      <c r="C68" s="407" t="s">
        <v>2306</v>
      </c>
      <c r="D68" s="407" t="s">
        <v>1218</v>
      </c>
      <c r="E68" s="407" t="s">
        <v>1021</v>
      </c>
      <c r="F68" s="407" t="s">
        <v>2311</v>
      </c>
      <c r="G68" s="407" t="s">
        <v>97</v>
      </c>
      <c r="H68" s="407" t="s">
        <v>97</v>
      </c>
      <c r="I68" s="407" t="s">
        <v>97</v>
      </c>
      <c r="J68" s="407" t="s">
        <v>2307</v>
      </c>
      <c r="K68" s="818">
        <v>44409</v>
      </c>
      <c r="L68" s="407">
        <v>0</v>
      </c>
      <c r="M68" s="407">
        <v>0</v>
      </c>
      <c r="N68" s="407">
        <v>37.359000000000002</v>
      </c>
      <c r="O68" s="407">
        <v>37.359000000000002</v>
      </c>
      <c r="P68" s="407">
        <v>37.359000000000002</v>
      </c>
      <c r="Q68" s="407">
        <v>37.359000000000002</v>
      </c>
      <c r="R68" s="407"/>
      <c r="S68" s="407">
        <v>547.54</v>
      </c>
      <c r="T68" s="407">
        <v>159.41</v>
      </c>
      <c r="U68" s="407"/>
      <c r="V68" s="407">
        <v>26410.945049999998</v>
      </c>
      <c r="W68" s="407">
        <v>26410.945049999998</v>
      </c>
      <c r="X68" s="407">
        <v>19345.237379999999</v>
      </c>
      <c r="Y68" s="407">
        <v>0</v>
      </c>
      <c r="Z68" s="407">
        <v>0</v>
      </c>
      <c r="AA68" s="407">
        <v>0</v>
      </c>
      <c r="AB68" s="407">
        <v>0</v>
      </c>
      <c r="AC68" s="407">
        <v>0</v>
      </c>
      <c r="AD68" s="407">
        <v>4357.7191188509696</v>
      </c>
      <c r="AE68" s="407">
        <v>15599.10066981441</v>
      </c>
      <c r="AF68" s="407">
        <v>5761.9053456850388</v>
      </c>
      <c r="AG68" s="407">
        <v>193.58489506857805</v>
      </c>
      <c r="AH68" s="407">
        <v>0</v>
      </c>
      <c r="AI68" s="407">
        <v>0</v>
      </c>
      <c r="AJ68" s="407">
        <v>0</v>
      </c>
      <c r="AK68" s="407">
        <v>0</v>
      </c>
      <c r="AL68" s="407">
        <v>0</v>
      </c>
      <c r="AM68" s="407"/>
      <c r="AN68" s="407">
        <v>77.523498032631053</v>
      </c>
      <c r="AO68" s="407">
        <v>0</v>
      </c>
      <c r="AP68" s="407">
        <v>0</v>
      </c>
      <c r="AQ68" s="407">
        <v>0</v>
      </c>
      <c r="AR68" s="407">
        <v>0</v>
      </c>
      <c r="AS68" s="407">
        <v>0</v>
      </c>
      <c r="AT68" s="407">
        <v>0</v>
      </c>
      <c r="AU68" s="407">
        <v>0</v>
      </c>
      <c r="AV68" s="407">
        <v>0</v>
      </c>
      <c r="AW68" s="407">
        <v>0</v>
      </c>
      <c r="AX68" s="407">
        <v>0</v>
      </c>
      <c r="AY68" s="407">
        <v>0</v>
      </c>
      <c r="AZ68" s="407">
        <v>0</v>
      </c>
      <c r="BA68" s="407"/>
      <c r="BB68" s="407">
        <v>0</v>
      </c>
      <c r="BC68" s="407">
        <v>0</v>
      </c>
      <c r="BD68" s="407">
        <v>0</v>
      </c>
      <c r="BE68" s="407">
        <v>0</v>
      </c>
      <c r="BF68" s="407">
        <v>0</v>
      </c>
      <c r="BG68" s="407">
        <v>421.17688164016795</v>
      </c>
      <c r="BH68" s="407">
        <v>0</v>
      </c>
      <c r="BI68" s="407">
        <v>45.76</v>
      </c>
      <c r="BJ68" s="407">
        <v>317.13</v>
      </c>
      <c r="BK68" s="407">
        <v>5227.29</v>
      </c>
      <c r="BL68" s="407">
        <v>189</v>
      </c>
      <c r="BM68" s="407"/>
      <c r="BN68" s="407"/>
      <c r="BO68" s="407"/>
      <c r="BP68" s="407"/>
      <c r="BQ68" s="407"/>
      <c r="BR68" s="407"/>
      <c r="BS68" s="407"/>
      <c r="BT68" s="407">
        <v>7738.1696700000002</v>
      </c>
      <c r="BU68" s="407"/>
      <c r="BV68" s="407">
        <v>6183.082227325207</v>
      </c>
      <c r="BW68" s="407"/>
      <c r="BX68" s="407"/>
      <c r="BY68" s="407"/>
      <c r="BZ68" s="407"/>
      <c r="CA68" s="407"/>
      <c r="CB68" s="407"/>
      <c r="CC68" s="407"/>
      <c r="CD68" s="407"/>
      <c r="CE68" s="407"/>
      <c r="CF68" s="407"/>
      <c r="CG68" s="407"/>
      <c r="CH68" s="407"/>
      <c r="CI68" s="407">
        <v>11607.378400000001</v>
      </c>
      <c r="CJ68" s="407">
        <v>-4239.2186299999976</v>
      </c>
      <c r="CK68" s="407"/>
      <c r="CL68" s="407"/>
      <c r="CM68" s="407"/>
      <c r="CN68" s="407"/>
      <c r="CO68" s="407">
        <v>-8091.9593999999988</v>
      </c>
      <c r="CP68" s="407">
        <v>1026.25173</v>
      </c>
      <c r="CQ68" s="407">
        <v>31</v>
      </c>
      <c r="CR68" s="407">
        <v>902.17665021971698</v>
      </c>
      <c r="CS68" s="407">
        <v>0</v>
      </c>
      <c r="CT68" s="407">
        <v>0</v>
      </c>
      <c r="CU68" s="407">
        <v>0</v>
      </c>
      <c r="CV68" s="407">
        <v>0</v>
      </c>
      <c r="CW68" s="407">
        <v>0</v>
      </c>
      <c r="CX68" s="407">
        <v>0</v>
      </c>
      <c r="CY68" s="407">
        <v>0</v>
      </c>
      <c r="CZ68" s="407">
        <v>196.84681312769499</v>
      </c>
      <c r="DA68" s="407">
        <v>0</v>
      </c>
      <c r="DB68" s="407">
        <v>0</v>
      </c>
      <c r="DC68" s="407">
        <v>1142.4302306932323</v>
      </c>
      <c r="DD68" s="407">
        <v>0</v>
      </c>
      <c r="DE68" s="407">
        <v>0</v>
      </c>
      <c r="DF68" s="407">
        <v>0</v>
      </c>
      <c r="DG68" s="407">
        <v>83.50800181317959</v>
      </c>
      <c r="DH68" s="407">
        <v>0</v>
      </c>
      <c r="DI68" s="407">
        <v>0</v>
      </c>
      <c r="DJ68" s="407"/>
      <c r="DK68" s="407">
        <v>0</v>
      </c>
      <c r="DL68" s="407">
        <v>0</v>
      </c>
      <c r="DM68" s="407">
        <v>0</v>
      </c>
      <c r="DN68" s="407">
        <v>0</v>
      </c>
      <c r="DO68" s="407">
        <v>0</v>
      </c>
      <c r="DP68" s="407">
        <v>-4.9396101371806935</v>
      </c>
      <c r="DQ68" s="407">
        <v>0</v>
      </c>
      <c r="DR68" s="407">
        <v>-515.66878527721087</v>
      </c>
      <c r="DS68" s="407"/>
      <c r="DT68" s="407"/>
      <c r="DU68" s="407"/>
      <c r="DV68" s="407">
        <v>15599.10066981441</v>
      </c>
      <c r="DW68" s="407">
        <v>0</v>
      </c>
      <c r="DX68" s="407">
        <v>0</v>
      </c>
      <c r="DY68" s="407">
        <v>-8091.9593999999979</v>
      </c>
      <c r="DZ68" s="407">
        <v>1026.25173</v>
      </c>
      <c r="EA68" s="407">
        <v>0</v>
      </c>
      <c r="EB68" s="407">
        <v>0</v>
      </c>
      <c r="EC68" s="407">
        <v>-7968.0568529767361</v>
      </c>
      <c r="ED68" s="407">
        <v>0</v>
      </c>
      <c r="EE68" s="407">
        <v>0</v>
      </c>
      <c r="EF68" s="407">
        <v>0</v>
      </c>
      <c r="EG68" s="407">
        <v>0</v>
      </c>
      <c r="EH68" s="407">
        <v>0</v>
      </c>
      <c r="EI68" s="407">
        <v>0</v>
      </c>
      <c r="EJ68" s="407">
        <v>0</v>
      </c>
      <c r="EK68" s="407">
        <v>0</v>
      </c>
      <c r="EL68" s="407">
        <v>0</v>
      </c>
      <c r="EM68" s="407">
        <v>0</v>
      </c>
      <c r="EN68" s="407">
        <v>0</v>
      </c>
      <c r="EO68" s="407">
        <v>0</v>
      </c>
      <c r="EP68" s="407">
        <v>0</v>
      </c>
      <c r="EQ68" s="407">
        <v>0</v>
      </c>
      <c r="ER68" s="407">
        <v>0</v>
      </c>
      <c r="ES68" s="407">
        <v>0</v>
      </c>
      <c r="ET68" s="407">
        <v>0</v>
      </c>
      <c r="EU68" s="407">
        <v>0</v>
      </c>
      <c r="EV68" s="407">
        <v>246</v>
      </c>
      <c r="EW68" s="407">
        <v>0</v>
      </c>
      <c r="EX68" s="407">
        <v>0</v>
      </c>
      <c r="EY68" s="407">
        <v>0</v>
      </c>
      <c r="EZ68" s="407"/>
      <c r="FA68" s="407">
        <v>0</v>
      </c>
      <c r="FB68" s="407"/>
      <c r="FC68" s="407"/>
      <c r="FD68" s="407"/>
      <c r="FE68" s="407"/>
      <c r="FF68" s="407">
        <v>0</v>
      </c>
      <c r="FG68" s="407">
        <v>0</v>
      </c>
      <c r="FH68" s="407">
        <v>0</v>
      </c>
      <c r="FI68" s="407">
        <v>0</v>
      </c>
    </row>
    <row r="69" spans="1:165" customFormat="1">
      <c r="A69" s="407">
        <v>71</v>
      </c>
      <c r="B69" s="407" t="s">
        <v>2309</v>
      </c>
      <c r="C69" s="407" t="s">
        <v>2306</v>
      </c>
      <c r="D69" s="407" t="s">
        <v>1218</v>
      </c>
      <c r="E69" s="407" t="s">
        <v>1021</v>
      </c>
      <c r="F69" s="407" t="s">
        <v>2311</v>
      </c>
      <c r="G69" s="407" t="s">
        <v>97</v>
      </c>
      <c r="H69" s="407" t="s">
        <v>97</v>
      </c>
      <c r="I69" s="407" t="s">
        <v>97</v>
      </c>
      <c r="J69" s="407" t="s">
        <v>2307</v>
      </c>
      <c r="K69" s="818">
        <v>44409</v>
      </c>
      <c r="L69" s="407">
        <v>0</v>
      </c>
      <c r="M69" s="407">
        <v>0</v>
      </c>
      <c r="N69" s="407">
        <v>8.9999999999999993E-3</v>
      </c>
      <c r="O69" s="407">
        <v>8.9999999999999993E-3</v>
      </c>
      <c r="P69" s="407">
        <v>8.9999999999999993E-3</v>
      </c>
      <c r="Q69" s="407">
        <v>8.9999999999999993E-3</v>
      </c>
      <c r="R69" s="407"/>
      <c r="S69" s="407">
        <v>547.54</v>
      </c>
      <c r="T69" s="407">
        <v>159.41</v>
      </c>
      <c r="U69" s="407"/>
      <c r="V69" s="407">
        <v>6.3625499999999988</v>
      </c>
      <c r="W69" s="407">
        <v>6.3625499999999988</v>
      </c>
      <c r="X69" s="407">
        <v>4.66038</v>
      </c>
      <c r="Y69" s="407">
        <v>0</v>
      </c>
      <c r="Z69" s="407">
        <v>0</v>
      </c>
      <c r="AA69" s="407">
        <v>0</v>
      </c>
      <c r="AB69" s="407">
        <v>0</v>
      </c>
      <c r="AC69" s="407">
        <v>0</v>
      </c>
      <c r="AD69" s="407">
        <v>1.049799835907244</v>
      </c>
      <c r="AE69" s="407">
        <v>3.7579139170836928</v>
      </c>
      <c r="AF69" s="407">
        <v>1.3880764504179808</v>
      </c>
      <c r="AG69" s="407">
        <v>4.6635725142996388E-2</v>
      </c>
      <c r="AH69" s="407">
        <v>0</v>
      </c>
      <c r="AI69" s="407">
        <v>0</v>
      </c>
      <c r="AJ69" s="407">
        <v>0</v>
      </c>
      <c r="AK69" s="407">
        <v>0</v>
      </c>
      <c r="AL69" s="407">
        <v>0</v>
      </c>
      <c r="AM69" s="407"/>
      <c r="AN69" s="407">
        <v>1.8675860764305236E-2</v>
      </c>
      <c r="AO69" s="407">
        <v>0</v>
      </c>
      <c r="AP69" s="407">
        <v>0</v>
      </c>
      <c r="AQ69" s="407">
        <v>0</v>
      </c>
      <c r="AR69" s="407">
        <v>0</v>
      </c>
      <c r="AS69" s="407">
        <v>0</v>
      </c>
      <c r="AT69" s="407">
        <v>0</v>
      </c>
      <c r="AU69" s="407">
        <v>0</v>
      </c>
      <c r="AV69" s="407">
        <v>0</v>
      </c>
      <c r="AW69" s="407">
        <v>0</v>
      </c>
      <c r="AX69" s="407">
        <v>0</v>
      </c>
      <c r="AY69" s="407">
        <v>0</v>
      </c>
      <c r="AZ69" s="407">
        <v>0</v>
      </c>
      <c r="BA69" s="407"/>
      <c r="BB69" s="407">
        <v>0</v>
      </c>
      <c r="BC69" s="407">
        <v>0</v>
      </c>
      <c r="BD69" s="407">
        <v>0</v>
      </c>
      <c r="BE69" s="407">
        <v>0</v>
      </c>
      <c r="BF69" s="407">
        <v>0</v>
      </c>
      <c r="BG69" s="407">
        <v>0.10146395606845769</v>
      </c>
      <c r="BH69" s="407">
        <v>0</v>
      </c>
      <c r="BI69" s="407">
        <v>0.01</v>
      </c>
      <c r="BJ69" s="407">
        <v>7.0000000000000007E-2</v>
      </c>
      <c r="BK69" s="407">
        <v>6.34</v>
      </c>
      <c r="BL69" s="407">
        <v>0</v>
      </c>
      <c r="BM69" s="407"/>
      <c r="BN69" s="407"/>
      <c r="BO69" s="407"/>
      <c r="BP69" s="407"/>
      <c r="BQ69" s="407"/>
      <c r="BR69" s="407"/>
      <c r="BS69" s="407"/>
      <c r="BT69" s="407">
        <v>1.8641699999999999</v>
      </c>
      <c r="BU69" s="407"/>
      <c r="BV69" s="407">
        <v>1.4895404064864384</v>
      </c>
      <c r="BW69" s="407"/>
      <c r="BX69" s="407"/>
      <c r="BY69" s="407"/>
      <c r="BZ69" s="407"/>
      <c r="CA69" s="407"/>
      <c r="CB69" s="407"/>
      <c r="CC69" s="407"/>
      <c r="CD69" s="407"/>
      <c r="CE69" s="407"/>
      <c r="CF69" s="407"/>
      <c r="CG69" s="407"/>
      <c r="CH69" s="407"/>
      <c r="CI69" s="407">
        <v>3.1069</v>
      </c>
      <c r="CJ69" s="407">
        <v>-0.74062999999999901</v>
      </c>
      <c r="CK69" s="407"/>
      <c r="CL69" s="407"/>
      <c r="CM69" s="407"/>
      <c r="CN69" s="407"/>
      <c r="CO69" s="407">
        <v>-1.9493999999999996</v>
      </c>
      <c r="CP69" s="407">
        <v>0.24722999999999998</v>
      </c>
      <c r="CQ69" s="407">
        <v>31</v>
      </c>
      <c r="CR69" s="407">
        <v>0.21733959292211935</v>
      </c>
      <c r="CS69" s="407">
        <v>0</v>
      </c>
      <c r="CT69" s="407">
        <v>0</v>
      </c>
      <c r="CU69" s="407">
        <v>0</v>
      </c>
      <c r="CV69" s="407">
        <v>0</v>
      </c>
      <c r="CW69" s="407">
        <v>0</v>
      </c>
      <c r="CX69" s="407">
        <v>0</v>
      </c>
      <c r="CY69" s="407">
        <v>0</v>
      </c>
      <c r="CZ69" s="407">
        <v>4.7421540141578955E-2</v>
      </c>
      <c r="DA69" s="407">
        <v>0</v>
      </c>
      <c r="DB69" s="407">
        <v>0</v>
      </c>
      <c r="DC69" s="407">
        <v>0.27521807532961517</v>
      </c>
      <c r="DD69" s="407">
        <v>0</v>
      </c>
      <c r="DE69" s="407">
        <v>0</v>
      </c>
      <c r="DF69" s="407">
        <v>0</v>
      </c>
      <c r="DG69" s="407">
        <v>2.0117562470050504E-2</v>
      </c>
      <c r="DH69" s="407">
        <v>0</v>
      </c>
      <c r="DI69" s="407">
        <v>0</v>
      </c>
      <c r="DJ69" s="407"/>
      <c r="DK69" s="407">
        <v>0</v>
      </c>
      <c r="DL69" s="407">
        <v>0</v>
      </c>
      <c r="DM69" s="407">
        <v>0</v>
      </c>
      <c r="DN69" s="407">
        <v>0</v>
      </c>
      <c r="DO69" s="407">
        <v>0</v>
      </c>
      <c r="DP69" s="407">
        <v>-1.1899807605831592E-3</v>
      </c>
      <c r="DQ69" s="407">
        <v>0</v>
      </c>
      <c r="DR69" s="407">
        <v>-0.12422760425854271</v>
      </c>
      <c r="DS69" s="407"/>
      <c r="DT69" s="407"/>
      <c r="DU69" s="407"/>
      <c r="DV69" s="407">
        <v>3.7579139170836928</v>
      </c>
      <c r="DW69" s="407">
        <v>0</v>
      </c>
      <c r="DX69" s="407">
        <v>0</v>
      </c>
      <c r="DY69" s="407">
        <v>-1.9493999999999994</v>
      </c>
      <c r="DZ69" s="407">
        <v>0.24723000000000006</v>
      </c>
      <c r="EA69" s="407">
        <v>0</v>
      </c>
      <c r="EB69" s="407">
        <v>0</v>
      </c>
      <c r="EC69" s="407">
        <v>-1.9195511570649808</v>
      </c>
      <c r="ED69" s="407">
        <v>0</v>
      </c>
      <c r="EE69" s="407">
        <v>0</v>
      </c>
      <c r="EF69" s="407">
        <v>0</v>
      </c>
      <c r="EG69" s="407">
        <v>0</v>
      </c>
      <c r="EH69" s="407">
        <v>0</v>
      </c>
      <c r="EI69" s="407">
        <v>0</v>
      </c>
      <c r="EJ69" s="407">
        <v>0</v>
      </c>
      <c r="EK69" s="407">
        <v>0</v>
      </c>
      <c r="EL69" s="407">
        <v>0</v>
      </c>
      <c r="EM69" s="407">
        <v>0</v>
      </c>
      <c r="EN69" s="407">
        <v>0</v>
      </c>
      <c r="EO69" s="407">
        <v>0</v>
      </c>
      <c r="EP69" s="407">
        <v>0</v>
      </c>
      <c r="EQ69" s="407">
        <v>0</v>
      </c>
      <c r="ER69" s="407">
        <v>0</v>
      </c>
      <c r="ES69" s="407">
        <v>0</v>
      </c>
      <c r="ET69" s="407">
        <v>0</v>
      </c>
      <c r="EU69" s="407">
        <v>0</v>
      </c>
      <c r="EV69" s="407">
        <v>246</v>
      </c>
      <c r="EW69" s="407">
        <v>0</v>
      </c>
      <c r="EX69" s="407">
        <v>0</v>
      </c>
      <c r="EY69" s="407">
        <v>0</v>
      </c>
      <c r="EZ69" s="407"/>
      <c r="FA69" s="407">
        <v>0</v>
      </c>
      <c r="FB69" s="407"/>
      <c r="FC69" s="407"/>
      <c r="FD69" s="407"/>
      <c r="FE69" s="407"/>
      <c r="FF69" s="407">
        <v>0</v>
      </c>
      <c r="FG69" s="407">
        <v>0</v>
      </c>
      <c r="FH69" s="407">
        <v>0</v>
      </c>
      <c r="FI69" s="407">
        <v>0</v>
      </c>
    </row>
    <row r="70" spans="1:165" customFormat="1">
      <c r="A70" s="407">
        <v>72</v>
      </c>
      <c r="B70" s="407" t="s">
        <v>1090</v>
      </c>
      <c r="C70" s="407" t="s">
        <v>2306</v>
      </c>
      <c r="D70" s="407" t="s">
        <v>1218</v>
      </c>
      <c r="E70" s="407" t="s">
        <v>1021</v>
      </c>
      <c r="F70" s="407" t="s">
        <v>2312</v>
      </c>
      <c r="G70" s="407" t="s">
        <v>97</v>
      </c>
      <c r="H70" s="407" t="s">
        <v>97</v>
      </c>
      <c r="I70" s="407" t="s">
        <v>97</v>
      </c>
      <c r="J70" s="407" t="s">
        <v>2307</v>
      </c>
      <c r="K70" s="818">
        <v>44409</v>
      </c>
      <c r="L70" s="407">
        <v>0</v>
      </c>
      <c r="M70" s="407">
        <v>0</v>
      </c>
      <c r="N70" s="407">
        <v>27.093</v>
      </c>
      <c r="O70" s="407">
        <v>27.093</v>
      </c>
      <c r="P70" s="407">
        <v>27.093</v>
      </c>
      <c r="Q70" s="407">
        <v>27.093</v>
      </c>
      <c r="R70" s="407"/>
      <c r="S70" s="407">
        <v>547.54</v>
      </c>
      <c r="T70" s="407">
        <v>159.41</v>
      </c>
      <c r="U70" s="407"/>
      <c r="V70" s="407">
        <v>19153.396349999999</v>
      </c>
      <c r="W70" s="407">
        <v>19153.396349999999</v>
      </c>
      <c r="X70" s="407">
        <v>14029.297259999999</v>
      </c>
      <c r="Y70" s="407">
        <v>0</v>
      </c>
      <c r="Z70" s="407">
        <v>0</v>
      </c>
      <c r="AA70" s="407">
        <v>0</v>
      </c>
      <c r="AB70" s="407">
        <v>0</v>
      </c>
      <c r="AC70" s="407">
        <v>0</v>
      </c>
      <c r="AD70" s="407">
        <v>3160.2474393594402</v>
      </c>
      <c r="AE70" s="407">
        <v>11312.573528394278</v>
      </c>
      <c r="AF70" s="407">
        <v>4178.5728079082619</v>
      </c>
      <c r="AG70" s="407">
        <v>140.38907792213348</v>
      </c>
      <c r="AH70" s="407">
        <v>0</v>
      </c>
      <c r="AI70" s="407">
        <v>0</v>
      </c>
      <c r="AJ70" s="407">
        <v>0</v>
      </c>
      <c r="AK70" s="407">
        <v>0</v>
      </c>
      <c r="AL70" s="407">
        <v>0</v>
      </c>
      <c r="AM70" s="407"/>
      <c r="AN70" s="407">
        <v>56.220566187480202</v>
      </c>
      <c r="AO70" s="407">
        <v>0</v>
      </c>
      <c r="AP70" s="407">
        <v>0</v>
      </c>
      <c r="AQ70" s="407">
        <v>0</v>
      </c>
      <c r="AR70" s="407">
        <v>0</v>
      </c>
      <c r="AS70" s="407">
        <v>0</v>
      </c>
      <c r="AT70" s="407">
        <v>0</v>
      </c>
      <c r="AU70" s="407">
        <v>0</v>
      </c>
      <c r="AV70" s="407">
        <v>0</v>
      </c>
      <c r="AW70" s="407">
        <v>0</v>
      </c>
      <c r="AX70" s="407">
        <v>0</v>
      </c>
      <c r="AY70" s="407">
        <v>0</v>
      </c>
      <c r="AZ70" s="407">
        <v>0</v>
      </c>
      <c r="BA70" s="407"/>
      <c r="BB70" s="407">
        <v>0</v>
      </c>
      <c r="BC70" s="407">
        <v>0</v>
      </c>
      <c r="BD70" s="407">
        <v>0</v>
      </c>
      <c r="BE70" s="407">
        <v>0</v>
      </c>
      <c r="BF70" s="407">
        <v>0</v>
      </c>
      <c r="BG70" s="407">
        <v>305.44032908474719</v>
      </c>
      <c r="BH70" s="407">
        <v>0</v>
      </c>
      <c r="BI70" s="407">
        <v>61.91</v>
      </c>
      <c r="BJ70" s="407">
        <v>414.78</v>
      </c>
      <c r="BK70" s="407">
        <v>6910.88</v>
      </c>
      <c r="BL70" s="407">
        <v>338</v>
      </c>
      <c r="BM70" s="407"/>
      <c r="BN70" s="407"/>
      <c r="BO70" s="407"/>
      <c r="BP70" s="407"/>
      <c r="BQ70" s="407"/>
      <c r="BR70" s="407"/>
      <c r="BS70" s="407"/>
      <c r="BT70" s="407">
        <v>1403.1464700000006</v>
      </c>
      <c r="BU70" s="407"/>
      <c r="BV70" s="407">
        <v>4484.0131369930095</v>
      </c>
      <c r="BW70" s="407"/>
      <c r="BX70" s="407"/>
      <c r="BY70" s="407"/>
      <c r="BZ70" s="407"/>
      <c r="CA70" s="407"/>
      <c r="CB70" s="407"/>
      <c r="CC70" s="407"/>
      <c r="CD70" s="407"/>
      <c r="CE70" s="407"/>
      <c r="CF70" s="407"/>
      <c r="CG70" s="407"/>
      <c r="CH70" s="407"/>
      <c r="CI70" s="407">
        <v>12624.752699999999</v>
      </c>
      <c r="CJ70" s="407">
        <v>-4613.4694800000016</v>
      </c>
      <c r="CK70" s="407"/>
      <c r="CL70" s="407"/>
      <c r="CM70" s="407"/>
      <c r="CN70" s="407"/>
      <c r="CO70" s="407">
        <v>-5868.3437999999987</v>
      </c>
      <c r="CP70" s="407">
        <v>744.24470999999994</v>
      </c>
      <c r="CQ70" s="407">
        <v>31</v>
      </c>
      <c r="CR70" s="407">
        <v>654.26462122654812</v>
      </c>
      <c r="CS70" s="407">
        <v>0</v>
      </c>
      <c r="CT70" s="407">
        <v>0</v>
      </c>
      <c r="CU70" s="407">
        <v>0</v>
      </c>
      <c r="CV70" s="407">
        <v>0</v>
      </c>
      <c r="CW70" s="407">
        <v>0</v>
      </c>
      <c r="CX70" s="407">
        <v>0</v>
      </c>
      <c r="CY70" s="407">
        <v>0</v>
      </c>
      <c r="CZ70" s="407">
        <v>142.75464300619979</v>
      </c>
      <c r="DA70" s="407">
        <v>0</v>
      </c>
      <c r="DB70" s="407">
        <v>0</v>
      </c>
      <c r="DC70" s="407">
        <v>828.49814610058456</v>
      </c>
      <c r="DD70" s="407">
        <v>0</v>
      </c>
      <c r="DE70" s="407">
        <v>0</v>
      </c>
      <c r="DF70" s="407">
        <v>0</v>
      </c>
      <c r="DG70" s="407">
        <v>60.560568889008664</v>
      </c>
      <c r="DH70" s="407">
        <v>0</v>
      </c>
      <c r="DI70" s="407">
        <v>0</v>
      </c>
      <c r="DJ70" s="407"/>
      <c r="DK70" s="407">
        <v>0</v>
      </c>
      <c r="DL70" s="407">
        <v>0</v>
      </c>
      <c r="DM70" s="407">
        <v>0</v>
      </c>
      <c r="DN70" s="407">
        <v>0</v>
      </c>
      <c r="DO70" s="407">
        <v>0</v>
      </c>
      <c r="DP70" s="407">
        <v>-3.5822387496088339</v>
      </c>
      <c r="DQ70" s="407">
        <v>0</v>
      </c>
      <c r="DR70" s="407">
        <v>-373.96649801963309</v>
      </c>
      <c r="DS70" s="407"/>
      <c r="DT70" s="407"/>
      <c r="DU70" s="407"/>
      <c r="DV70" s="407">
        <v>11312.573528394278</v>
      </c>
      <c r="DW70" s="407">
        <v>0</v>
      </c>
      <c r="DX70" s="407">
        <v>0</v>
      </c>
      <c r="DY70" s="407">
        <v>-5868.3437999999987</v>
      </c>
      <c r="DZ70" s="407">
        <v>744.24470999999994</v>
      </c>
      <c r="EA70" s="407">
        <v>0</v>
      </c>
      <c r="EB70" s="407">
        <v>0</v>
      </c>
      <c r="EC70" s="407">
        <v>-5778.4888331512811</v>
      </c>
      <c r="ED70" s="407">
        <v>0</v>
      </c>
      <c r="EE70" s="407">
        <v>0</v>
      </c>
      <c r="EF70" s="407">
        <v>0</v>
      </c>
      <c r="EG70" s="407">
        <v>0</v>
      </c>
      <c r="EH70" s="407">
        <v>0</v>
      </c>
      <c r="EI70" s="407">
        <v>0</v>
      </c>
      <c r="EJ70" s="407">
        <v>0</v>
      </c>
      <c r="EK70" s="407">
        <v>0</v>
      </c>
      <c r="EL70" s="407">
        <v>0</v>
      </c>
      <c r="EM70" s="407">
        <v>0</v>
      </c>
      <c r="EN70" s="407">
        <v>0</v>
      </c>
      <c r="EO70" s="407">
        <v>0</v>
      </c>
      <c r="EP70" s="407">
        <v>0</v>
      </c>
      <c r="EQ70" s="407">
        <v>0</v>
      </c>
      <c r="ER70" s="407">
        <v>0</v>
      </c>
      <c r="ES70" s="407">
        <v>0</v>
      </c>
      <c r="ET70" s="407">
        <v>0</v>
      </c>
      <c r="EU70" s="407">
        <v>0</v>
      </c>
      <c r="EV70" s="407">
        <v>246</v>
      </c>
      <c r="EW70" s="407">
        <v>0</v>
      </c>
      <c r="EX70" s="407">
        <v>0</v>
      </c>
      <c r="EY70" s="407">
        <v>0</v>
      </c>
      <c r="EZ70" s="407"/>
      <c r="FA70" s="407">
        <v>0</v>
      </c>
      <c r="FB70" s="407"/>
      <c r="FC70" s="407"/>
      <c r="FD70" s="407"/>
      <c r="FE70" s="407"/>
      <c r="FF70" s="407">
        <v>0</v>
      </c>
      <c r="FG70" s="407">
        <v>0</v>
      </c>
      <c r="FH70" s="407">
        <v>0</v>
      </c>
      <c r="FI70" s="407">
        <v>0</v>
      </c>
    </row>
    <row r="71" spans="1:165" customFormat="1">
      <c r="A71" s="407">
        <v>73</v>
      </c>
      <c r="B71" s="407" t="s">
        <v>2309</v>
      </c>
      <c r="C71" s="407" t="s">
        <v>2306</v>
      </c>
      <c r="D71" s="407" t="s">
        <v>1218</v>
      </c>
      <c r="E71" s="407" t="s">
        <v>1021</v>
      </c>
      <c r="F71" s="407" t="s">
        <v>2312</v>
      </c>
      <c r="G71" s="407" t="s">
        <v>97</v>
      </c>
      <c r="H71" s="407" t="s">
        <v>97</v>
      </c>
      <c r="I71" s="407" t="s">
        <v>97</v>
      </c>
      <c r="J71" s="407" t="s">
        <v>2307</v>
      </c>
      <c r="K71" s="818">
        <v>44409</v>
      </c>
      <c r="L71" s="407">
        <v>0</v>
      </c>
      <c r="M71" s="407">
        <v>0</v>
      </c>
      <c r="N71" s="407">
        <v>0</v>
      </c>
      <c r="O71" s="407">
        <v>0</v>
      </c>
      <c r="P71" s="407">
        <v>0</v>
      </c>
      <c r="Q71" s="407">
        <v>0</v>
      </c>
      <c r="R71" s="407"/>
      <c r="S71" s="407"/>
      <c r="T71" s="407"/>
      <c r="U71" s="407"/>
      <c r="V71" s="407"/>
      <c r="W71" s="407"/>
      <c r="X71" s="407"/>
      <c r="Y71" s="407"/>
      <c r="Z71" s="407"/>
      <c r="AA71" s="407">
        <v>0</v>
      </c>
      <c r="AB71" s="407"/>
      <c r="AC71" s="407"/>
      <c r="AD71" s="407"/>
      <c r="AE71" s="407"/>
      <c r="AF71" s="407"/>
      <c r="AG71" s="407"/>
      <c r="AH71" s="407"/>
      <c r="AI71" s="407"/>
      <c r="AJ71" s="407"/>
      <c r="AK71" s="407"/>
      <c r="AL71" s="407"/>
      <c r="AM71" s="407"/>
      <c r="AN71" s="407"/>
      <c r="AO71" s="407"/>
      <c r="AP71" s="407"/>
      <c r="AQ71" s="407"/>
      <c r="AR71" s="407"/>
      <c r="AS71" s="407"/>
      <c r="AT71" s="407"/>
      <c r="AU71" s="407"/>
      <c r="AV71" s="407"/>
      <c r="AW71" s="407"/>
      <c r="AX71" s="407"/>
      <c r="AY71" s="407"/>
      <c r="AZ71" s="407">
        <v>0</v>
      </c>
      <c r="BA71" s="407"/>
      <c r="BB71" s="407"/>
      <c r="BC71" s="407"/>
      <c r="BD71" s="407"/>
      <c r="BE71" s="407"/>
      <c r="BF71" s="407"/>
      <c r="BG71" s="407"/>
      <c r="BH71" s="407"/>
      <c r="BI71" s="407">
        <v>0</v>
      </c>
      <c r="BJ71" s="407">
        <v>0</v>
      </c>
      <c r="BK71" s="407">
        <v>15.09</v>
      </c>
      <c r="BL71" s="407">
        <v>0</v>
      </c>
      <c r="BM71" s="407"/>
      <c r="BN71" s="407"/>
      <c r="BO71" s="407"/>
      <c r="BP71" s="407"/>
      <c r="BQ71" s="407"/>
      <c r="BR71" s="407"/>
      <c r="BS71" s="407"/>
      <c r="BT71" s="407"/>
      <c r="BU71" s="407"/>
      <c r="BV71" s="407"/>
      <c r="BW71" s="407"/>
      <c r="BX71" s="407"/>
      <c r="BY71" s="407"/>
      <c r="BZ71" s="407"/>
      <c r="CA71" s="407"/>
      <c r="CB71" s="407"/>
      <c r="CC71" s="407"/>
      <c r="CD71" s="407"/>
      <c r="CE71" s="407"/>
      <c r="CF71" s="407"/>
      <c r="CG71" s="407"/>
      <c r="CH71" s="407"/>
      <c r="CI71" s="407"/>
      <c r="CJ71" s="407">
        <v>-0.03</v>
      </c>
      <c r="CK71" s="407"/>
      <c r="CL71" s="407"/>
      <c r="CM71" s="407"/>
      <c r="CN71" s="407"/>
      <c r="CO71" s="407">
        <v>0</v>
      </c>
      <c r="CP71" s="407">
        <v>0</v>
      </c>
      <c r="CQ71" s="407">
        <v>31</v>
      </c>
      <c r="CR71" s="407"/>
      <c r="CS71" s="407"/>
      <c r="CT71" s="407"/>
      <c r="CU71" s="407"/>
      <c r="CV71" s="407"/>
      <c r="CW71" s="407"/>
      <c r="CX71" s="407"/>
      <c r="CY71" s="407"/>
      <c r="CZ71" s="407"/>
      <c r="DA71" s="407"/>
      <c r="DB71" s="407"/>
      <c r="DC71" s="407"/>
      <c r="DD71" s="407"/>
      <c r="DE71" s="407"/>
      <c r="DF71" s="407"/>
      <c r="DG71" s="407"/>
      <c r="DH71" s="407"/>
      <c r="DI71" s="407"/>
      <c r="DJ71" s="407"/>
      <c r="DK71" s="407">
        <v>0</v>
      </c>
      <c r="DL71" s="407"/>
      <c r="DM71" s="407"/>
      <c r="DN71" s="407"/>
      <c r="DO71" s="407"/>
      <c r="DP71" s="407"/>
      <c r="DQ71" s="407"/>
      <c r="DR71" s="407"/>
      <c r="DS71" s="407"/>
      <c r="DT71" s="407"/>
      <c r="DU71" s="407"/>
      <c r="DV71" s="407"/>
      <c r="DW71" s="407"/>
      <c r="DX71" s="407"/>
      <c r="DY71" s="407"/>
      <c r="DZ71" s="407"/>
      <c r="EA71" s="407"/>
      <c r="EB71" s="407"/>
      <c r="EC71" s="407"/>
      <c r="ED71" s="407"/>
      <c r="EE71" s="407"/>
      <c r="EF71" s="407"/>
      <c r="EG71" s="407"/>
      <c r="EH71" s="407"/>
      <c r="EI71" s="407"/>
      <c r="EJ71" s="407"/>
      <c r="EK71" s="407"/>
      <c r="EL71" s="407"/>
      <c r="EM71" s="407"/>
      <c r="EN71" s="407"/>
      <c r="EO71" s="407"/>
      <c r="EP71" s="407"/>
      <c r="EQ71" s="407"/>
      <c r="ER71" s="407"/>
      <c r="ES71" s="407"/>
      <c r="ET71" s="407"/>
      <c r="EU71" s="407"/>
      <c r="EV71" s="407">
        <v>246</v>
      </c>
      <c r="EW71" s="407"/>
      <c r="EX71" s="407"/>
      <c r="EY71" s="407"/>
      <c r="EZ71" s="407"/>
      <c r="FA71" s="407">
        <v>0</v>
      </c>
      <c r="FB71" s="407"/>
      <c r="FC71" s="407"/>
      <c r="FD71" s="407"/>
      <c r="FE71" s="407"/>
      <c r="FF71" s="407">
        <v>0</v>
      </c>
      <c r="FG71" s="407">
        <v>0</v>
      </c>
      <c r="FH71" s="407">
        <v>0</v>
      </c>
      <c r="FI71" s="407">
        <v>0</v>
      </c>
    </row>
    <row r="72" spans="1:165" customFormat="1">
      <c r="A72" s="407">
        <v>74</v>
      </c>
      <c r="B72" s="407" t="s">
        <v>1090</v>
      </c>
      <c r="C72" s="407" t="s">
        <v>2306</v>
      </c>
      <c r="D72" s="407" t="s">
        <v>1218</v>
      </c>
      <c r="E72" s="407" t="s">
        <v>1021</v>
      </c>
      <c r="F72" s="407" t="s">
        <v>2313</v>
      </c>
      <c r="G72" s="407" t="s">
        <v>97</v>
      </c>
      <c r="H72" s="407" t="s">
        <v>97</v>
      </c>
      <c r="I72" s="407" t="s">
        <v>97</v>
      </c>
      <c r="J72" s="407" t="s">
        <v>2307</v>
      </c>
      <c r="K72" s="818">
        <v>44409</v>
      </c>
      <c r="L72" s="407">
        <v>0</v>
      </c>
      <c r="M72" s="407">
        <v>0</v>
      </c>
      <c r="N72" s="407">
        <v>4.1230000000000002</v>
      </c>
      <c r="O72" s="407">
        <v>4.1230000000000002</v>
      </c>
      <c r="P72" s="407">
        <v>4.1230000000000002</v>
      </c>
      <c r="Q72" s="407">
        <v>4.1230000000000002</v>
      </c>
      <c r="R72" s="407"/>
      <c r="S72" s="407">
        <v>547.54</v>
      </c>
      <c r="T72" s="407">
        <v>159.41</v>
      </c>
      <c r="U72" s="407"/>
      <c r="V72" s="407">
        <v>2914.7548499999998</v>
      </c>
      <c r="W72" s="407">
        <v>2914.7548499999998</v>
      </c>
      <c r="X72" s="407">
        <v>2134.9718600000001</v>
      </c>
      <c r="Y72" s="407">
        <v>0</v>
      </c>
      <c r="Z72" s="407">
        <v>0</v>
      </c>
      <c r="AA72" s="407">
        <v>0</v>
      </c>
      <c r="AB72" s="407">
        <v>0</v>
      </c>
      <c r="AC72" s="407">
        <v>0</v>
      </c>
      <c r="AD72" s="407">
        <v>480.92496927172971</v>
      </c>
      <c r="AE72" s="407">
        <v>1721.5421200151186</v>
      </c>
      <c r="AF72" s="407">
        <v>635.89324500814837</v>
      </c>
      <c r="AG72" s="407">
        <v>21.364343862730461</v>
      </c>
      <c r="AH72" s="407">
        <v>0</v>
      </c>
      <c r="AI72" s="407">
        <v>0</v>
      </c>
      <c r="AJ72" s="407">
        <v>0</v>
      </c>
      <c r="AK72" s="407">
        <v>0</v>
      </c>
      <c r="AL72" s="407">
        <v>0</v>
      </c>
      <c r="AM72" s="407"/>
      <c r="AN72" s="407">
        <v>8.5556193256922786</v>
      </c>
      <c r="AO72" s="407">
        <v>0</v>
      </c>
      <c r="AP72" s="407">
        <v>0</v>
      </c>
      <c r="AQ72" s="407">
        <v>0</v>
      </c>
      <c r="AR72" s="407">
        <v>0</v>
      </c>
      <c r="AS72" s="407">
        <v>0</v>
      </c>
      <c r="AT72" s="407">
        <v>0</v>
      </c>
      <c r="AU72" s="407">
        <v>0</v>
      </c>
      <c r="AV72" s="407">
        <v>0</v>
      </c>
      <c r="AW72" s="407">
        <v>0</v>
      </c>
      <c r="AX72" s="407">
        <v>0</v>
      </c>
      <c r="AY72" s="407">
        <v>0</v>
      </c>
      <c r="AZ72" s="407">
        <v>0</v>
      </c>
      <c r="BA72" s="407"/>
      <c r="BB72" s="407">
        <v>0</v>
      </c>
      <c r="BC72" s="407">
        <v>0</v>
      </c>
      <c r="BD72" s="407">
        <v>0</v>
      </c>
      <c r="BE72" s="407">
        <v>0</v>
      </c>
      <c r="BF72" s="407">
        <v>0</v>
      </c>
      <c r="BG72" s="407">
        <v>46.481765652250125</v>
      </c>
      <c r="BH72" s="407">
        <v>0</v>
      </c>
      <c r="BI72" s="407">
        <v>14.81</v>
      </c>
      <c r="BJ72" s="407">
        <v>100.51</v>
      </c>
      <c r="BK72" s="407">
        <v>1671.55</v>
      </c>
      <c r="BL72" s="407">
        <v>84</v>
      </c>
      <c r="BM72" s="407"/>
      <c r="BN72" s="407"/>
      <c r="BO72" s="407"/>
      <c r="BP72" s="407"/>
      <c r="BQ72" s="407"/>
      <c r="BR72" s="407"/>
      <c r="BS72" s="407"/>
      <c r="BT72" s="407"/>
      <c r="BU72" s="407"/>
      <c r="BV72" s="407">
        <v>682.37501066039852</v>
      </c>
      <c r="BW72" s="407"/>
      <c r="BX72" s="407"/>
      <c r="BY72" s="407"/>
      <c r="BZ72" s="407"/>
      <c r="CA72" s="407"/>
      <c r="CB72" s="407"/>
      <c r="CC72" s="407"/>
      <c r="CD72" s="407"/>
      <c r="CE72" s="407"/>
      <c r="CF72" s="407"/>
      <c r="CG72" s="407"/>
      <c r="CH72" s="407"/>
      <c r="CI72" s="407">
        <v>2133.4184</v>
      </c>
      <c r="CJ72" s="407">
        <v>-781.36645000000044</v>
      </c>
      <c r="CK72" s="407"/>
      <c r="CL72" s="407"/>
      <c r="CM72" s="407"/>
      <c r="CN72" s="407"/>
      <c r="CO72" s="407">
        <v>-893.04179999999985</v>
      </c>
      <c r="CP72" s="407">
        <v>113.25881</v>
      </c>
      <c r="CQ72" s="407">
        <v>31</v>
      </c>
      <c r="CR72" s="407">
        <v>99.565682401988397</v>
      </c>
      <c r="CS72" s="407">
        <v>0</v>
      </c>
      <c r="CT72" s="407">
        <v>0</v>
      </c>
      <c r="CU72" s="407">
        <v>0</v>
      </c>
      <c r="CV72" s="407">
        <v>0</v>
      </c>
      <c r="CW72" s="407">
        <v>0</v>
      </c>
      <c r="CX72" s="407">
        <v>0</v>
      </c>
      <c r="CY72" s="407">
        <v>0</v>
      </c>
      <c r="CZ72" s="407">
        <v>21.724334444858869</v>
      </c>
      <c r="DA72" s="407">
        <v>0</v>
      </c>
      <c r="DB72" s="407">
        <v>0</v>
      </c>
      <c r="DC72" s="407">
        <v>126.08045828711147</v>
      </c>
      <c r="DD72" s="407">
        <v>0</v>
      </c>
      <c r="DE72" s="407">
        <v>0</v>
      </c>
      <c r="DF72" s="407">
        <v>0</v>
      </c>
      <c r="DG72" s="407">
        <v>9.2160788960020241</v>
      </c>
      <c r="DH72" s="407">
        <v>0</v>
      </c>
      <c r="DI72" s="407">
        <v>0</v>
      </c>
      <c r="DJ72" s="407"/>
      <c r="DK72" s="407">
        <v>0</v>
      </c>
      <c r="DL72" s="407">
        <v>0</v>
      </c>
      <c r="DM72" s="407">
        <v>0</v>
      </c>
      <c r="DN72" s="407">
        <v>0</v>
      </c>
      <c r="DO72" s="407">
        <v>0</v>
      </c>
      <c r="DP72" s="407">
        <v>-0.54514340843159559</v>
      </c>
      <c r="DQ72" s="407">
        <v>0</v>
      </c>
      <c r="DR72" s="407">
        <v>-56.910045817552408</v>
      </c>
      <c r="DS72" s="407"/>
      <c r="DT72" s="407"/>
      <c r="DU72" s="407"/>
      <c r="DV72" s="407">
        <v>1721.5421200151186</v>
      </c>
      <c r="DW72" s="407">
        <v>0</v>
      </c>
      <c r="DX72" s="407">
        <v>0</v>
      </c>
      <c r="DY72" s="407">
        <v>-893.04179999999974</v>
      </c>
      <c r="DZ72" s="407">
        <v>113.25881000000004</v>
      </c>
      <c r="EA72" s="407">
        <v>0</v>
      </c>
      <c r="EB72" s="407">
        <v>0</v>
      </c>
      <c r="EC72" s="407">
        <v>-879.36771339765744</v>
      </c>
      <c r="ED72" s="407">
        <v>0</v>
      </c>
      <c r="EE72" s="407">
        <v>0</v>
      </c>
      <c r="EF72" s="407">
        <v>0</v>
      </c>
      <c r="EG72" s="407">
        <v>0</v>
      </c>
      <c r="EH72" s="407">
        <v>0</v>
      </c>
      <c r="EI72" s="407">
        <v>0</v>
      </c>
      <c r="EJ72" s="407">
        <v>0</v>
      </c>
      <c r="EK72" s="407">
        <v>0</v>
      </c>
      <c r="EL72" s="407">
        <v>0</v>
      </c>
      <c r="EM72" s="407">
        <v>0</v>
      </c>
      <c r="EN72" s="407">
        <v>0</v>
      </c>
      <c r="EO72" s="407">
        <v>0</v>
      </c>
      <c r="EP72" s="407">
        <v>0</v>
      </c>
      <c r="EQ72" s="407">
        <v>0</v>
      </c>
      <c r="ER72" s="407">
        <v>0</v>
      </c>
      <c r="ES72" s="407">
        <v>0</v>
      </c>
      <c r="ET72" s="407">
        <v>0</v>
      </c>
      <c r="EU72" s="407">
        <v>0</v>
      </c>
      <c r="EV72" s="407">
        <v>246</v>
      </c>
      <c r="EW72" s="407">
        <v>0</v>
      </c>
      <c r="EX72" s="407">
        <v>0</v>
      </c>
      <c r="EY72" s="407">
        <v>0</v>
      </c>
      <c r="EZ72" s="407"/>
      <c r="FA72" s="407">
        <v>0</v>
      </c>
      <c r="FB72" s="407"/>
      <c r="FC72" s="407"/>
      <c r="FD72" s="407"/>
      <c r="FE72" s="407"/>
      <c r="FF72" s="407">
        <v>0</v>
      </c>
      <c r="FG72" s="407">
        <v>0</v>
      </c>
      <c r="FH72" s="407">
        <v>0</v>
      </c>
      <c r="FI72" s="407">
        <v>0</v>
      </c>
    </row>
    <row r="73" spans="1:165" customFormat="1">
      <c r="A73" s="407">
        <v>75</v>
      </c>
      <c r="B73" s="407" t="s">
        <v>2309</v>
      </c>
      <c r="C73" s="407" t="s">
        <v>2306</v>
      </c>
      <c r="D73" s="407" t="s">
        <v>1218</v>
      </c>
      <c r="E73" s="407" t="s">
        <v>1021</v>
      </c>
      <c r="F73" s="407" t="s">
        <v>2313</v>
      </c>
      <c r="G73" s="407" t="s">
        <v>97</v>
      </c>
      <c r="H73" s="407" t="s">
        <v>97</v>
      </c>
      <c r="I73" s="407" t="s">
        <v>97</v>
      </c>
      <c r="J73" s="407" t="s">
        <v>2307</v>
      </c>
      <c r="K73" s="818">
        <v>44409</v>
      </c>
      <c r="L73" s="407">
        <v>0</v>
      </c>
      <c r="M73" s="407">
        <v>0</v>
      </c>
      <c r="N73" s="407">
        <v>0</v>
      </c>
      <c r="O73" s="407">
        <v>0</v>
      </c>
      <c r="P73" s="407">
        <v>0</v>
      </c>
      <c r="Q73" s="407">
        <v>0</v>
      </c>
      <c r="R73" s="407"/>
      <c r="S73" s="407"/>
      <c r="T73" s="407"/>
      <c r="U73" s="407"/>
      <c r="V73" s="407"/>
      <c r="W73" s="407"/>
      <c r="X73" s="407"/>
      <c r="Y73" s="407"/>
      <c r="Z73" s="407"/>
      <c r="AA73" s="407">
        <v>0</v>
      </c>
      <c r="AB73" s="407"/>
      <c r="AC73" s="407"/>
      <c r="AD73" s="407"/>
      <c r="AE73" s="407"/>
      <c r="AF73" s="407"/>
      <c r="AG73" s="407"/>
      <c r="AH73" s="407"/>
      <c r="AI73" s="407"/>
      <c r="AJ73" s="407"/>
      <c r="AK73" s="407"/>
      <c r="AL73" s="407"/>
      <c r="AM73" s="407"/>
      <c r="AN73" s="407"/>
      <c r="AO73" s="407"/>
      <c r="AP73" s="407"/>
      <c r="AQ73" s="407"/>
      <c r="AR73" s="407"/>
      <c r="AS73" s="407"/>
      <c r="AT73" s="407"/>
      <c r="AU73" s="407"/>
      <c r="AV73" s="407"/>
      <c r="AW73" s="407"/>
      <c r="AX73" s="407"/>
      <c r="AY73" s="407"/>
      <c r="AZ73" s="407">
        <v>0</v>
      </c>
      <c r="BA73" s="407"/>
      <c r="BB73" s="407"/>
      <c r="BC73" s="407"/>
      <c r="BD73" s="407"/>
      <c r="BE73" s="407"/>
      <c r="BF73" s="407"/>
      <c r="BG73" s="407"/>
      <c r="BH73" s="407"/>
      <c r="BI73" s="407">
        <v>0</v>
      </c>
      <c r="BJ73" s="407">
        <v>0</v>
      </c>
      <c r="BK73" s="407">
        <v>14.49</v>
      </c>
      <c r="BL73" s="407">
        <v>1</v>
      </c>
      <c r="BM73" s="407"/>
      <c r="BN73" s="407"/>
      <c r="BO73" s="407"/>
      <c r="BP73" s="407"/>
      <c r="BQ73" s="407"/>
      <c r="BR73" s="407"/>
      <c r="BS73" s="407"/>
      <c r="BT73" s="407"/>
      <c r="BU73" s="407"/>
      <c r="BV73" s="407"/>
      <c r="BW73" s="407"/>
      <c r="BX73" s="407"/>
      <c r="BY73" s="407"/>
      <c r="BZ73" s="407"/>
      <c r="CA73" s="407"/>
      <c r="CB73" s="407"/>
      <c r="CC73" s="407"/>
      <c r="CD73" s="407"/>
      <c r="CE73" s="407"/>
      <c r="CF73" s="407"/>
      <c r="CG73" s="407"/>
      <c r="CH73" s="407"/>
      <c r="CI73" s="407"/>
      <c r="CJ73" s="407">
        <v>-0.03</v>
      </c>
      <c r="CK73" s="407"/>
      <c r="CL73" s="407"/>
      <c r="CM73" s="407"/>
      <c r="CN73" s="407"/>
      <c r="CO73" s="407">
        <v>0</v>
      </c>
      <c r="CP73" s="407">
        <v>0</v>
      </c>
      <c r="CQ73" s="407">
        <v>31</v>
      </c>
      <c r="CR73" s="407"/>
      <c r="CS73" s="407"/>
      <c r="CT73" s="407"/>
      <c r="CU73" s="407"/>
      <c r="CV73" s="407"/>
      <c r="CW73" s="407"/>
      <c r="CX73" s="407"/>
      <c r="CY73" s="407"/>
      <c r="CZ73" s="407"/>
      <c r="DA73" s="407"/>
      <c r="DB73" s="407"/>
      <c r="DC73" s="407"/>
      <c r="DD73" s="407"/>
      <c r="DE73" s="407"/>
      <c r="DF73" s="407"/>
      <c r="DG73" s="407"/>
      <c r="DH73" s="407"/>
      <c r="DI73" s="407"/>
      <c r="DJ73" s="407"/>
      <c r="DK73" s="407">
        <v>0</v>
      </c>
      <c r="DL73" s="407"/>
      <c r="DM73" s="407"/>
      <c r="DN73" s="407"/>
      <c r="DO73" s="407"/>
      <c r="DP73" s="407"/>
      <c r="DQ73" s="407"/>
      <c r="DR73" s="407"/>
      <c r="DS73" s="407"/>
      <c r="DT73" s="407"/>
      <c r="DU73" s="407"/>
      <c r="DV73" s="407"/>
      <c r="DW73" s="407"/>
      <c r="DX73" s="407"/>
      <c r="DY73" s="407"/>
      <c r="DZ73" s="407"/>
      <c r="EA73" s="407"/>
      <c r="EB73" s="407"/>
      <c r="EC73" s="407"/>
      <c r="ED73" s="407"/>
      <c r="EE73" s="407"/>
      <c r="EF73" s="407"/>
      <c r="EG73" s="407"/>
      <c r="EH73" s="407"/>
      <c r="EI73" s="407"/>
      <c r="EJ73" s="407"/>
      <c r="EK73" s="407"/>
      <c r="EL73" s="407"/>
      <c r="EM73" s="407"/>
      <c r="EN73" s="407"/>
      <c r="EO73" s="407"/>
      <c r="EP73" s="407"/>
      <c r="EQ73" s="407"/>
      <c r="ER73" s="407"/>
      <c r="ES73" s="407"/>
      <c r="ET73" s="407"/>
      <c r="EU73" s="407"/>
      <c r="EV73" s="407">
        <v>246</v>
      </c>
      <c r="EW73" s="407"/>
      <c r="EX73" s="407"/>
      <c r="EY73" s="407"/>
      <c r="EZ73" s="407"/>
      <c r="FA73" s="407">
        <v>0</v>
      </c>
      <c r="FB73" s="407"/>
      <c r="FC73" s="407"/>
      <c r="FD73" s="407"/>
      <c r="FE73" s="407"/>
      <c r="FF73" s="407">
        <v>0</v>
      </c>
      <c r="FG73" s="407">
        <v>0</v>
      </c>
      <c r="FH73" s="407">
        <v>0</v>
      </c>
      <c r="FI73" s="407">
        <v>0</v>
      </c>
    </row>
    <row r="74" spans="1:165" customFormat="1">
      <c r="A74" s="407">
        <v>76</v>
      </c>
      <c r="B74" s="407" t="s">
        <v>1090</v>
      </c>
      <c r="C74" s="407" t="s">
        <v>2306</v>
      </c>
      <c r="D74" s="407" t="s">
        <v>1219</v>
      </c>
      <c r="E74" s="407" t="s">
        <v>1022</v>
      </c>
      <c r="F74" s="407" t="s">
        <v>97</v>
      </c>
      <c r="G74" s="407" t="s">
        <v>97</v>
      </c>
      <c r="H74" s="407" t="s">
        <v>97</v>
      </c>
      <c r="I74" s="407" t="s">
        <v>97</v>
      </c>
      <c r="J74" s="407" t="s">
        <v>2307</v>
      </c>
      <c r="K74" s="818">
        <v>44409</v>
      </c>
      <c r="L74" s="407">
        <v>0</v>
      </c>
      <c r="M74" s="407">
        <v>0</v>
      </c>
      <c r="N74" s="407">
        <v>90.641999999999996</v>
      </c>
      <c r="O74" s="407">
        <v>90.641999999999996</v>
      </c>
      <c r="P74" s="407">
        <v>90.641999999999996</v>
      </c>
      <c r="Q74" s="407">
        <v>90.641999999999996</v>
      </c>
      <c r="R74" s="407"/>
      <c r="S74" s="407">
        <v>648.44000000000005</v>
      </c>
      <c r="T74" s="407">
        <v>159.41</v>
      </c>
      <c r="U74" s="407"/>
      <c r="V74" s="407">
        <v>73225.1397</v>
      </c>
      <c r="W74" s="407">
        <v>73225.1397</v>
      </c>
      <c r="X74" s="407">
        <v>55456.588439999992</v>
      </c>
      <c r="Y74" s="407">
        <v>0</v>
      </c>
      <c r="Z74" s="407">
        <v>5617.1074576050669</v>
      </c>
      <c r="AA74" s="407">
        <v>0</v>
      </c>
      <c r="AB74" s="407">
        <v>0</v>
      </c>
      <c r="AC74" s="407">
        <v>0</v>
      </c>
      <c r="AD74" s="407">
        <v>10572.884080700489</v>
      </c>
      <c r="AE74" s="407">
        <v>37847.203696922232</v>
      </c>
      <c r="AF74" s="407">
        <v>13979.780624309624</v>
      </c>
      <c r="AG74" s="407">
        <v>469.68393315683096</v>
      </c>
      <c r="AH74" s="407">
        <v>0</v>
      </c>
      <c r="AI74" s="407">
        <v>0</v>
      </c>
      <c r="AJ74" s="407">
        <v>0</v>
      </c>
      <c r="AK74" s="407">
        <v>0</v>
      </c>
      <c r="AL74" s="407">
        <v>867.99280910196819</v>
      </c>
      <c r="AM74" s="407"/>
      <c r="AN74" s="407">
        <v>188.09081904423948</v>
      </c>
      <c r="AO74" s="407">
        <v>0</v>
      </c>
      <c r="AP74" s="407">
        <v>0</v>
      </c>
      <c r="AQ74" s="407">
        <v>0</v>
      </c>
      <c r="AR74" s="407">
        <v>0</v>
      </c>
      <c r="AS74" s="407">
        <v>0</v>
      </c>
      <c r="AT74" s="407">
        <v>0</v>
      </c>
      <c r="AU74" s="407">
        <v>0</v>
      </c>
      <c r="AV74" s="407">
        <v>0</v>
      </c>
      <c r="AW74" s="407">
        <v>0</v>
      </c>
      <c r="AX74" s="407">
        <v>0</v>
      </c>
      <c r="AY74" s="407">
        <v>0</v>
      </c>
      <c r="AZ74" s="407">
        <v>0</v>
      </c>
      <c r="BA74" s="407"/>
      <c r="BB74" s="407">
        <v>0</v>
      </c>
      <c r="BC74" s="407">
        <v>0</v>
      </c>
      <c r="BD74" s="407">
        <v>0</v>
      </c>
      <c r="BE74" s="407">
        <v>0</v>
      </c>
      <c r="BF74" s="407">
        <v>0</v>
      </c>
      <c r="BG74" s="407">
        <v>1021.877322884127</v>
      </c>
      <c r="BH74" s="407">
        <v>0</v>
      </c>
      <c r="BI74" s="407">
        <v>208.97</v>
      </c>
      <c r="BJ74" s="407">
        <v>1396.14</v>
      </c>
      <c r="BK74" s="407">
        <v>13572.98</v>
      </c>
      <c r="BL74" s="407">
        <v>86</v>
      </c>
      <c r="BM74" s="407"/>
      <c r="BN74" s="407"/>
      <c r="BO74" s="407"/>
      <c r="BP74" s="407"/>
      <c r="BQ74" s="407"/>
      <c r="BR74" s="407"/>
      <c r="BS74" s="407"/>
      <c r="BT74" s="407"/>
      <c r="BU74" s="407"/>
      <c r="BV74" s="407">
        <v>15001.657947193751</v>
      </c>
      <c r="BW74" s="407"/>
      <c r="BX74" s="407"/>
      <c r="BY74" s="407"/>
      <c r="BZ74" s="407"/>
      <c r="CA74" s="407"/>
      <c r="CB74" s="407"/>
      <c r="CC74" s="407"/>
      <c r="CD74" s="407"/>
      <c r="CE74" s="407"/>
      <c r="CF74" s="407"/>
      <c r="CG74" s="407"/>
      <c r="CH74" s="407"/>
      <c r="CI74" s="407">
        <v>55455.364799999996</v>
      </c>
      <c r="CJ74" s="407">
        <v>-17769.804900000003</v>
      </c>
      <c r="CK74" s="407"/>
      <c r="CL74" s="407"/>
      <c r="CM74" s="407"/>
      <c r="CN74" s="407"/>
      <c r="CO74" s="407">
        <v>-20258.487000000005</v>
      </c>
      <c r="CP74" s="407">
        <v>2489.9357399999999</v>
      </c>
      <c r="CQ74" s="407">
        <v>31</v>
      </c>
      <c r="CR74" s="407">
        <v>1563.9387009753191</v>
      </c>
      <c r="CS74" s="407">
        <v>0</v>
      </c>
      <c r="CT74" s="407">
        <v>0</v>
      </c>
      <c r="CU74" s="407">
        <v>0</v>
      </c>
      <c r="CV74" s="407">
        <v>0</v>
      </c>
      <c r="CW74" s="407">
        <v>0</v>
      </c>
      <c r="CX74" s="407">
        <v>0</v>
      </c>
      <c r="CY74" s="407">
        <v>0</v>
      </c>
      <c r="CZ74" s="407">
        <v>477.5981379458899</v>
      </c>
      <c r="DA74" s="407">
        <v>0</v>
      </c>
      <c r="DB74" s="407">
        <v>0</v>
      </c>
      <c r="DC74" s="407">
        <v>2771.8129760029988</v>
      </c>
      <c r="DD74" s="407">
        <v>0</v>
      </c>
      <c r="DE74" s="407">
        <v>0</v>
      </c>
      <c r="DF74" s="407">
        <v>0</v>
      </c>
      <c r="DG74" s="407">
        <v>202.61067749003507</v>
      </c>
      <c r="DH74" s="407">
        <v>0</v>
      </c>
      <c r="DI74" s="407">
        <v>-393.43328746038787</v>
      </c>
      <c r="DJ74" s="407"/>
      <c r="DK74" s="407">
        <v>0</v>
      </c>
      <c r="DL74" s="407">
        <v>0</v>
      </c>
      <c r="DM74" s="407">
        <v>0</v>
      </c>
      <c r="DN74" s="407">
        <v>0</v>
      </c>
      <c r="DO74" s="407">
        <v>-52.95743643582648</v>
      </c>
      <c r="DP74" s="407">
        <v>-11.984692900086515</v>
      </c>
      <c r="DQ74" s="407">
        <v>0</v>
      </c>
      <c r="DR74" s="407">
        <v>-1429.7076736673123</v>
      </c>
      <c r="DS74" s="407"/>
      <c r="DT74" s="407"/>
      <c r="DU74" s="407"/>
      <c r="DV74" s="407">
        <v>37847.203696922232</v>
      </c>
      <c r="DW74" s="407">
        <v>0</v>
      </c>
      <c r="DX74" s="407">
        <v>0</v>
      </c>
      <c r="DY74" s="407">
        <v>-20258.487000000008</v>
      </c>
      <c r="DZ74" s="407">
        <v>2489.9357399999972</v>
      </c>
      <c r="EA74" s="407">
        <v>0</v>
      </c>
      <c r="EB74" s="407">
        <v>0</v>
      </c>
      <c r="EC74" s="407">
        <v>-19332.439553187109</v>
      </c>
      <c r="ED74" s="407">
        <v>0</v>
      </c>
      <c r="EE74" s="407">
        <v>0</v>
      </c>
      <c r="EF74" s="407">
        <v>0</v>
      </c>
      <c r="EG74" s="407">
        <v>0</v>
      </c>
      <c r="EH74" s="407">
        <v>0</v>
      </c>
      <c r="EI74" s="407">
        <v>0</v>
      </c>
      <c r="EJ74" s="407">
        <v>0</v>
      </c>
      <c r="EK74" s="407">
        <v>0</v>
      </c>
      <c r="EL74" s="407">
        <v>0</v>
      </c>
      <c r="EM74" s="407">
        <v>0</v>
      </c>
      <c r="EN74" s="407">
        <v>0</v>
      </c>
      <c r="EO74" s="407">
        <v>0</v>
      </c>
      <c r="EP74" s="407">
        <v>2660.7233710776163</v>
      </c>
      <c r="EQ74" s="407">
        <v>0</v>
      </c>
      <c r="ER74" s="407">
        <v>0</v>
      </c>
      <c r="ES74" s="407">
        <v>0</v>
      </c>
      <c r="ET74" s="407">
        <v>0</v>
      </c>
      <c r="EU74" s="407">
        <v>0</v>
      </c>
      <c r="EV74" s="407">
        <v>246</v>
      </c>
      <c r="EW74" s="407">
        <v>0</v>
      </c>
      <c r="EX74" s="407">
        <v>0</v>
      </c>
      <c r="EY74" s="407">
        <v>0</v>
      </c>
      <c r="EZ74" s="407"/>
      <c r="FA74" s="407">
        <v>0</v>
      </c>
      <c r="FB74" s="407"/>
      <c r="FC74" s="407"/>
      <c r="FD74" s="407"/>
      <c r="FE74" s="407"/>
      <c r="FF74" s="407">
        <v>0</v>
      </c>
      <c r="FG74" s="407">
        <v>0</v>
      </c>
      <c r="FH74" s="407">
        <v>0</v>
      </c>
      <c r="FI74" s="407">
        <v>0</v>
      </c>
    </row>
    <row r="75" spans="1:165" customFormat="1">
      <c r="A75" s="407">
        <v>77</v>
      </c>
      <c r="B75" s="407" t="s">
        <v>2309</v>
      </c>
      <c r="C75" s="407" t="s">
        <v>2306</v>
      </c>
      <c r="D75" s="407" t="s">
        <v>1219</v>
      </c>
      <c r="E75" s="407" t="s">
        <v>1022</v>
      </c>
      <c r="F75" s="407" t="s">
        <v>97</v>
      </c>
      <c r="G75" s="407" t="s">
        <v>97</v>
      </c>
      <c r="H75" s="407" t="s">
        <v>97</v>
      </c>
      <c r="I75" s="407" t="s">
        <v>97</v>
      </c>
      <c r="J75" s="407" t="s">
        <v>2307</v>
      </c>
      <c r="K75" s="818">
        <v>44409</v>
      </c>
      <c r="L75" s="407">
        <v>0</v>
      </c>
      <c r="M75" s="407">
        <v>0</v>
      </c>
      <c r="N75" s="407">
        <v>23.135000000000002</v>
      </c>
      <c r="O75" s="407">
        <v>23.135000000000002</v>
      </c>
      <c r="P75" s="407">
        <v>23.135000000000002</v>
      </c>
      <c r="Q75" s="407">
        <v>23.135000000000002</v>
      </c>
      <c r="R75" s="407"/>
      <c r="S75" s="407">
        <v>648.44000000000005</v>
      </c>
      <c r="T75" s="407">
        <v>159.41</v>
      </c>
      <c r="U75" s="407"/>
      <c r="V75" s="407">
        <v>18689.609750000003</v>
      </c>
      <c r="W75" s="407">
        <v>18689.609750000003</v>
      </c>
      <c r="X75" s="407">
        <v>14154.4557</v>
      </c>
      <c r="Y75" s="407">
        <v>0</v>
      </c>
      <c r="Z75" s="407">
        <v>1433.6817483252053</v>
      </c>
      <c r="AA75" s="407">
        <v>0</v>
      </c>
      <c r="AB75" s="407">
        <v>0</v>
      </c>
      <c r="AC75" s="407">
        <v>0</v>
      </c>
      <c r="AD75" s="407">
        <v>2698.5688004126769</v>
      </c>
      <c r="AE75" s="407">
        <v>9659.9264968590269</v>
      </c>
      <c r="AF75" s="407">
        <v>3568.1276311577767</v>
      </c>
      <c r="AG75" s="407">
        <v>119.87972235369129</v>
      </c>
      <c r="AH75" s="407">
        <v>0</v>
      </c>
      <c r="AI75" s="407">
        <v>0</v>
      </c>
      <c r="AJ75" s="407">
        <v>0</v>
      </c>
      <c r="AK75" s="407">
        <v>0</v>
      </c>
      <c r="AL75" s="407">
        <v>221.54204053941922</v>
      </c>
      <c r="AM75" s="407"/>
      <c r="AN75" s="407">
        <v>48.007337642466858</v>
      </c>
      <c r="AO75" s="407">
        <v>0</v>
      </c>
      <c r="AP75" s="407">
        <v>0</v>
      </c>
      <c r="AQ75" s="407">
        <v>0</v>
      </c>
      <c r="AR75" s="407">
        <v>0</v>
      </c>
      <c r="AS75" s="407">
        <v>0</v>
      </c>
      <c r="AT75" s="407">
        <v>0</v>
      </c>
      <c r="AU75" s="407">
        <v>0</v>
      </c>
      <c r="AV75" s="407">
        <v>0</v>
      </c>
      <c r="AW75" s="407">
        <v>0</v>
      </c>
      <c r="AX75" s="407">
        <v>0</v>
      </c>
      <c r="AY75" s="407">
        <v>0</v>
      </c>
      <c r="AZ75" s="407">
        <v>0</v>
      </c>
      <c r="BA75" s="407"/>
      <c r="BB75" s="407">
        <v>0</v>
      </c>
      <c r="BC75" s="407">
        <v>0</v>
      </c>
      <c r="BD75" s="407">
        <v>0</v>
      </c>
      <c r="BE75" s="407">
        <v>0</v>
      </c>
      <c r="BF75" s="407">
        <v>0</v>
      </c>
      <c r="BG75" s="407">
        <v>260.81873596041879</v>
      </c>
      <c r="BH75" s="407">
        <v>0</v>
      </c>
      <c r="BI75" s="407">
        <v>53.2</v>
      </c>
      <c r="BJ75" s="407">
        <v>355.26</v>
      </c>
      <c r="BK75" s="407">
        <v>4945.41</v>
      </c>
      <c r="BL75" s="407">
        <v>16</v>
      </c>
      <c r="BM75" s="407"/>
      <c r="BN75" s="407"/>
      <c r="BO75" s="407"/>
      <c r="BP75" s="407"/>
      <c r="BQ75" s="407"/>
      <c r="BR75" s="407"/>
      <c r="BS75" s="407"/>
      <c r="BT75" s="407"/>
      <c r="BU75" s="407"/>
      <c r="BV75" s="407">
        <v>3828.9463671181957</v>
      </c>
      <c r="BW75" s="407"/>
      <c r="BX75" s="407"/>
      <c r="BY75" s="407"/>
      <c r="BZ75" s="407"/>
      <c r="CA75" s="407"/>
      <c r="CB75" s="407"/>
      <c r="CC75" s="407"/>
      <c r="CD75" s="407"/>
      <c r="CE75" s="407"/>
      <c r="CF75" s="407"/>
      <c r="CG75" s="407"/>
      <c r="CH75" s="407"/>
      <c r="CI75" s="407">
        <v>14157.514800000001</v>
      </c>
      <c r="CJ75" s="407">
        <v>-4532.1249500000013</v>
      </c>
      <c r="CK75" s="407"/>
      <c r="CL75" s="407"/>
      <c r="CM75" s="407"/>
      <c r="CN75" s="407"/>
      <c r="CO75" s="407">
        <v>-5170.6725000000015</v>
      </c>
      <c r="CP75" s="407">
        <v>635.51845000000003</v>
      </c>
      <c r="CQ75" s="407">
        <v>31</v>
      </c>
      <c r="CR75" s="407">
        <v>399.17170679225819</v>
      </c>
      <c r="CS75" s="407">
        <v>0</v>
      </c>
      <c r="CT75" s="407">
        <v>0</v>
      </c>
      <c r="CU75" s="407">
        <v>0</v>
      </c>
      <c r="CV75" s="407">
        <v>0</v>
      </c>
      <c r="CW75" s="407">
        <v>0</v>
      </c>
      <c r="CX75" s="407">
        <v>0</v>
      </c>
      <c r="CY75" s="407">
        <v>0</v>
      </c>
      <c r="CZ75" s="407">
        <v>121.89970346393648</v>
      </c>
      <c r="DA75" s="407">
        <v>0</v>
      </c>
      <c r="DB75" s="407">
        <v>0</v>
      </c>
      <c r="DC75" s="407">
        <v>707.46335252784957</v>
      </c>
      <c r="DD75" s="407">
        <v>0</v>
      </c>
      <c r="DE75" s="407">
        <v>0</v>
      </c>
      <c r="DF75" s="407">
        <v>0</v>
      </c>
      <c r="DG75" s="407">
        <v>51.71331197162425</v>
      </c>
      <c r="DH75" s="407">
        <v>0</v>
      </c>
      <c r="DI75" s="407">
        <v>-100.41789794351507</v>
      </c>
      <c r="DJ75" s="407"/>
      <c r="DK75" s="407">
        <v>0</v>
      </c>
      <c r="DL75" s="407">
        <v>0</v>
      </c>
      <c r="DM75" s="407">
        <v>0</v>
      </c>
      <c r="DN75" s="407">
        <v>0</v>
      </c>
      <c r="DO75" s="407">
        <v>-13.516584937918907</v>
      </c>
      <c r="DP75" s="407">
        <v>-3.0589116551212641</v>
      </c>
      <c r="DQ75" s="407">
        <v>0</v>
      </c>
      <c r="DR75" s="407">
        <v>-364.91126663459841</v>
      </c>
      <c r="DS75" s="407"/>
      <c r="DT75" s="407"/>
      <c r="DU75" s="407"/>
      <c r="DV75" s="407">
        <v>9659.9264968590269</v>
      </c>
      <c r="DW75" s="407">
        <v>0</v>
      </c>
      <c r="DX75" s="407">
        <v>0</v>
      </c>
      <c r="DY75" s="407">
        <v>-5170.6725000000024</v>
      </c>
      <c r="DZ75" s="407">
        <v>635.51845000000048</v>
      </c>
      <c r="EA75" s="407">
        <v>0</v>
      </c>
      <c r="EB75" s="407">
        <v>0</v>
      </c>
      <c r="EC75" s="407">
        <v>-4934.312890966482</v>
      </c>
      <c r="ED75" s="407">
        <v>0</v>
      </c>
      <c r="EE75" s="407">
        <v>0</v>
      </c>
      <c r="EF75" s="407">
        <v>0</v>
      </c>
      <c r="EG75" s="407">
        <v>0</v>
      </c>
      <c r="EH75" s="407">
        <v>0</v>
      </c>
      <c r="EI75" s="407">
        <v>0</v>
      </c>
      <c r="EJ75" s="407">
        <v>0</v>
      </c>
      <c r="EK75" s="407">
        <v>0</v>
      </c>
      <c r="EL75" s="407">
        <v>0</v>
      </c>
      <c r="EM75" s="407">
        <v>0</v>
      </c>
      <c r="EN75" s="407">
        <v>0</v>
      </c>
      <c r="EO75" s="407">
        <v>0</v>
      </c>
      <c r="EP75" s="407">
        <v>679.10941053684451</v>
      </c>
      <c r="EQ75" s="407">
        <v>0</v>
      </c>
      <c r="ER75" s="407">
        <v>0</v>
      </c>
      <c r="ES75" s="407">
        <v>0</v>
      </c>
      <c r="ET75" s="407">
        <v>0</v>
      </c>
      <c r="EU75" s="407">
        <v>0</v>
      </c>
      <c r="EV75" s="407">
        <v>246</v>
      </c>
      <c r="EW75" s="407">
        <v>0</v>
      </c>
      <c r="EX75" s="407">
        <v>0</v>
      </c>
      <c r="EY75" s="407">
        <v>0</v>
      </c>
      <c r="EZ75" s="407"/>
      <c r="FA75" s="407">
        <v>0</v>
      </c>
      <c r="FB75" s="407"/>
      <c r="FC75" s="407"/>
      <c r="FD75" s="407"/>
      <c r="FE75" s="407"/>
      <c r="FF75" s="407">
        <v>0</v>
      </c>
      <c r="FG75" s="407">
        <v>0</v>
      </c>
      <c r="FH75" s="407">
        <v>0</v>
      </c>
      <c r="FI75" s="407">
        <v>0</v>
      </c>
    </row>
    <row r="76" spans="1:165" customFormat="1">
      <c r="A76" s="407">
        <v>78</v>
      </c>
      <c r="B76" s="407" t="s">
        <v>1090</v>
      </c>
      <c r="C76" s="407" t="s">
        <v>2314</v>
      </c>
      <c r="D76" s="407" t="s">
        <v>650</v>
      </c>
      <c r="E76" s="407" t="s">
        <v>1022</v>
      </c>
      <c r="F76" s="407" t="s">
        <v>97</v>
      </c>
      <c r="G76" s="407" t="s">
        <v>97</v>
      </c>
      <c r="H76" s="407" t="s">
        <v>97</v>
      </c>
      <c r="I76" s="407" t="s">
        <v>1025</v>
      </c>
      <c r="J76" s="407" t="s">
        <v>2307</v>
      </c>
      <c r="K76" s="818">
        <v>44409</v>
      </c>
      <c r="L76" s="407">
        <v>0</v>
      </c>
      <c r="M76" s="407">
        <v>0</v>
      </c>
      <c r="N76" s="407">
        <v>15.702</v>
      </c>
      <c r="O76" s="407">
        <v>15.702</v>
      </c>
      <c r="P76" s="407">
        <v>15.702</v>
      </c>
      <c r="Q76" s="407">
        <v>15.702</v>
      </c>
      <c r="R76" s="407"/>
      <c r="S76" s="407">
        <v>2810.7</v>
      </c>
      <c r="T76" s="407">
        <v>159.41</v>
      </c>
      <c r="U76" s="407"/>
      <c r="V76" s="407">
        <v>46636.667219999996</v>
      </c>
      <c r="W76" s="407">
        <v>46636.667219999996</v>
      </c>
      <c r="X76" s="407">
        <v>29703.316379999997</v>
      </c>
      <c r="Y76" s="407">
        <v>0</v>
      </c>
      <c r="Z76" s="407">
        <v>846.55948159135721</v>
      </c>
      <c r="AA76" s="407">
        <v>0</v>
      </c>
      <c r="AB76" s="407">
        <v>0</v>
      </c>
      <c r="AC76" s="407">
        <v>0</v>
      </c>
      <c r="AD76" s="407">
        <v>9586.3158473576968</v>
      </c>
      <c r="AE76" s="407">
        <v>33050.965572035777</v>
      </c>
      <c r="AF76" s="407">
        <v>2421.7307138292372</v>
      </c>
      <c r="AG76" s="407">
        <v>81.363795132814374</v>
      </c>
      <c r="AH76" s="407">
        <v>0</v>
      </c>
      <c r="AI76" s="407">
        <v>0</v>
      </c>
      <c r="AJ76" s="407">
        <v>0</v>
      </c>
      <c r="AK76" s="407">
        <v>0</v>
      </c>
      <c r="AL76" s="407">
        <v>150.36322111735294</v>
      </c>
      <c r="AM76" s="407"/>
      <c r="AN76" s="407">
        <v>16.859761592598595</v>
      </c>
      <c r="AO76" s="407">
        <v>0</v>
      </c>
      <c r="AP76" s="407">
        <v>0</v>
      </c>
      <c r="AQ76" s="407">
        <v>0</v>
      </c>
      <c r="AR76" s="407">
        <v>0</v>
      </c>
      <c r="AS76" s="407">
        <v>0</v>
      </c>
      <c r="AT76" s="407">
        <v>0</v>
      </c>
      <c r="AU76" s="407">
        <v>0</v>
      </c>
      <c r="AV76" s="407">
        <v>0</v>
      </c>
      <c r="AW76" s="407">
        <v>0</v>
      </c>
      <c r="AX76" s="407">
        <v>0</v>
      </c>
      <c r="AY76" s="407">
        <v>0</v>
      </c>
      <c r="AZ76" s="407">
        <v>0</v>
      </c>
      <c r="BA76" s="407"/>
      <c r="BB76" s="407">
        <v>0</v>
      </c>
      <c r="BC76" s="407">
        <v>0</v>
      </c>
      <c r="BD76" s="407">
        <v>0</v>
      </c>
      <c r="BE76" s="407">
        <v>0</v>
      </c>
      <c r="BF76" s="407">
        <v>0</v>
      </c>
      <c r="BG76" s="407">
        <v>81.491407184073211</v>
      </c>
      <c r="BH76" s="407">
        <v>0</v>
      </c>
      <c r="BI76" s="407">
        <v>0</v>
      </c>
      <c r="BJ76" s="407">
        <v>0</v>
      </c>
      <c r="BK76" s="407">
        <v>0</v>
      </c>
      <c r="BL76" s="407">
        <v>0</v>
      </c>
      <c r="BM76" s="407"/>
      <c r="BN76" s="407"/>
      <c r="BO76" s="407"/>
      <c r="BP76" s="407"/>
      <c r="BQ76" s="407"/>
      <c r="BR76" s="407"/>
      <c r="BS76" s="407"/>
      <c r="BT76" s="407"/>
      <c r="BU76" s="407"/>
      <c r="BV76" s="407">
        <v>2503.2221210133102</v>
      </c>
      <c r="BW76" s="407"/>
      <c r="BX76" s="407"/>
      <c r="BY76" s="407"/>
      <c r="BZ76" s="407"/>
      <c r="CA76" s="407"/>
      <c r="CB76" s="407"/>
      <c r="CC76" s="407"/>
      <c r="CD76" s="407"/>
      <c r="CE76" s="407"/>
      <c r="CF76" s="407"/>
      <c r="CG76" s="407"/>
      <c r="CH76" s="407"/>
      <c r="CI76" s="407">
        <v>29699.532999999996</v>
      </c>
      <c r="CJ76" s="407">
        <v>-16937.164220000006</v>
      </c>
      <c r="CK76" s="407"/>
      <c r="CL76" s="407"/>
      <c r="CM76" s="407"/>
      <c r="CN76" s="407"/>
      <c r="CO76" s="407">
        <v>-17364.68478</v>
      </c>
      <c r="CP76" s="407">
        <v>431.33393999999998</v>
      </c>
      <c r="CQ76" s="407">
        <v>31</v>
      </c>
      <c r="CR76" s="407">
        <v>-50.758238014566814</v>
      </c>
      <c r="CS76" s="407">
        <v>0</v>
      </c>
      <c r="CT76" s="407">
        <v>0</v>
      </c>
      <c r="CU76" s="407">
        <v>0</v>
      </c>
      <c r="CV76" s="407">
        <v>0</v>
      </c>
      <c r="CW76" s="407">
        <v>0</v>
      </c>
      <c r="CX76" s="407">
        <v>0</v>
      </c>
      <c r="CY76" s="407">
        <v>0</v>
      </c>
      <c r="CZ76" s="407">
        <v>433.03289466839851</v>
      </c>
      <c r="DA76" s="407">
        <v>0</v>
      </c>
      <c r="DB76" s="407">
        <v>0</v>
      </c>
      <c r="DC76" s="407">
        <v>480.16380209173531</v>
      </c>
      <c r="DD76" s="407">
        <v>0</v>
      </c>
      <c r="DE76" s="407">
        <v>0</v>
      </c>
      <c r="DF76" s="407">
        <v>0</v>
      </c>
      <c r="DG76" s="407">
        <v>16.15754538184774</v>
      </c>
      <c r="DH76" s="407">
        <v>0</v>
      </c>
      <c r="DI76" s="407">
        <v>-59.294696138011773</v>
      </c>
      <c r="DJ76" s="407"/>
      <c r="DK76" s="407">
        <v>0</v>
      </c>
      <c r="DL76" s="407">
        <v>0</v>
      </c>
      <c r="DM76" s="407">
        <v>0</v>
      </c>
      <c r="DN76" s="407">
        <v>0</v>
      </c>
      <c r="DO76" s="407">
        <v>-9.1738671577783748</v>
      </c>
      <c r="DP76" s="407">
        <v>-1.0742633057939397</v>
      </c>
      <c r="DQ76" s="407">
        <v>0</v>
      </c>
      <c r="DR76" s="407">
        <v>-910.56965355496231</v>
      </c>
      <c r="DS76" s="407"/>
      <c r="DT76" s="407"/>
      <c r="DU76" s="407"/>
      <c r="DV76" s="407">
        <v>33050.965572035777</v>
      </c>
      <c r="DW76" s="407">
        <v>0</v>
      </c>
      <c r="DX76" s="407">
        <v>0</v>
      </c>
      <c r="DY76" s="407">
        <v>-17364.684779999996</v>
      </c>
      <c r="DZ76" s="407">
        <v>431.33393999999998</v>
      </c>
      <c r="EA76" s="407">
        <v>0</v>
      </c>
      <c r="EB76" s="407">
        <v>0</v>
      </c>
      <c r="EC76" s="407">
        <v>-16882.50997914033</v>
      </c>
      <c r="ED76" s="407">
        <v>0</v>
      </c>
      <c r="EE76" s="407">
        <v>0</v>
      </c>
      <c r="EF76" s="407">
        <v>0</v>
      </c>
      <c r="EG76" s="407">
        <v>0</v>
      </c>
      <c r="EH76" s="407">
        <v>0</v>
      </c>
      <c r="EI76" s="407">
        <v>0</v>
      </c>
      <c r="EJ76" s="407">
        <v>0</v>
      </c>
      <c r="EK76" s="407">
        <v>0</v>
      </c>
      <c r="EL76" s="407">
        <v>0</v>
      </c>
      <c r="EM76" s="407">
        <v>0</v>
      </c>
      <c r="EN76" s="407">
        <v>0</v>
      </c>
      <c r="EO76" s="407">
        <v>0</v>
      </c>
      <c r="EP76" s="407">
        <v>401.00009029163988</v>
      </c>
      <c r="EQ76" s="407">
        <v>0</v>
      </c>
      <c r="ER76" s="407">
        <v>0</v>
      </c>
      <c r="ES76" s="407">
        <v>0</v>
      </c>
      <c r="ET76" s="407">
        <v>0</v>
      </c>
      <c r="EU76" s="407">
        <v>0</v>
      </c>
      <c r="EV76" s="407">
        <v>246</v>
      </c>
      <c r="EW76" s="407">
        <v>0</v>
      </c>
      <c r="EX76" s="407">
        <v>0</v>
      </c>
      <c r="EY76" s="407">
        <v>0</v>
      </c>
      <c r="EZ76" s="407"/>
      <c r="FA76" s="407">
        <v>0</v>
      </c>
      <c r="FB76" s="407"/>
      <c r="FC76" s="407"/>
      <c r="FD76" s="407"/>
      <c r="FE76" s="407"/>
      <c r="FF76" s="407">
        <v>0</v>
      </c>
      <c r="FG76" s="407">
        <v>0</v>
      </c>
      <c r="FH76" s="407">
        <v>0</v>
      </c>
      <c r="FI76" s="407">
        <v>0</v>
      </c>
    </row>
    <row r="77" spans="1:165" customFormat="1">
      <c r="A77" s="407">
        <v>79</v>
      </c>
      <c r="B77" s="407" t="s">
        <v>1090</v>
      </c>
      <c r="C77" s="407" t="s">
        <v>2314</v>
      </c>
      <c r="D77" s="407" t="s">
        <v>650</v>
      </c>
      <c r="E77" s="407" t="s">
        <v>1022</v>
      </c>
      <c r="F77" s="407" t="s">
        <v>97</v>
      </c>
      <c r="G77" s="407" t="s">
        <v>97</v>
      </c>
      <c r="H77" s="407" t="s">
        <v>97</v>
      </c>
      <c r="I77" s="407" t="s">
        <v>2290</v>
      </c>
      <c r="J77" s="407" t="s">
        <v>2307</v>
      </c>
      <c r="K77" s="818">
        <v>44409</v>
      </c>
      <c r="L77" s="407">
        <v>0</v>
      </c>
      <c r="M77" s="407">
        <v>0</v>
      </c>
      <c r="N77" s="407">
        <v>502.18900000000002</v>
      </c>
      <c r="O77" s="407">
        <v>502.18900000000002</v>
      </c>
      <c r="P77" s="407">
        <v>502.18900000000002</v>
      </c>
      <c r="Q77" s="407">
        <v>502.18900000000002</v>
      </c>
      <c r="R77" s="407"/>
      <c r="S77" s="407">
        <v>95.29</v>
      </c>
      <c r="T77" s="407">
        <v>159.41</v>
      </c>
      <c r="U77" s="407"/>
      <c r="V77" s="407">
        <v>127907.5383</v>
      </c>
      <c r="W77" s="407">
        <v>127907.5383</v>
      </c>
      <c r="X77" s="407">
        <v>139061.15599</v>
      </c>
      <c r="Y77" s="407">
        <v>0</v>
      </c>
      <c r="Z77" s="407">
        <v>27075.077028460204</v>
      </c>
      <c r="AA77" s="407">
        <v>0</v>
      </c>
      <c r="AB77" s="407">
        <v>0</v>
      </c>
      <c r="AC77" s="407">
        <v>0</v>
      </c>
      <c r="AD77" s="407">
        <v>0</v>
      </c>
      <c r="AE77" s="407">
        <v>0</v>
      </c>
      <c r="AF77" s="407">
        <v>77452.96939543949</v>
      </c>
      <c r="AG77" s="407">
        <v>2602.2164637595797</v>
      </c>
      <c r="AH77" s="407">
        <v>0</v>
      </c>
      <c r="AI77" s="407">
        <v>0</v>
      </c>
      <c r="AJ77" s="407">
        <v>0</v>
      </c>
      <c r="AK77" s="407">
        <v>0</v>
      </c>
      <c r="AL77" s="407">
        <v>4808.9896605338399</v>
      </c>
      <c r="AM77" s="407"/>
      <c r="AN77" s="407">
        <v>539.21709428260704</v>
      </c>
      <c r="AO77" s="407">
        <v>0</v>
      </c>
      <c r="AP77" s="407">
        <v>0</v>
      </c>
      <c r="AQ77" s="407">
        <v>0</v>
      </c>
      <c r="AR77" s="407">
        <v>0</v>
      </c>
      <c r="AS77" s="407">
        <v>0</v>
      </c>
      <c r="AT77" s="407">
        <v>0</v>
      </c>
      <c r="AU77" s="407">
        <v>0</v>
      </c>
      <c r="AV77" s="407">
        <v>0</v>
      </c>
      <c r="AW77" s="407">
        <v>0</v>
      </c>
      <c r="AX77" s="407">
        <v>0</v>
      </c>
      <c r="AY77" s="407">
        <v>0</v>
      </c>
      <c r="AZ77" s="407">
        <v>0</v>
      </c>
      <c r="BA77" s="407"/>
      <c r="BB77" s="407">
        <v>0</v>
      </c>
      <c r="BC77" s="407">
        <v>0</v>
      </c>
      <c r="BD77" s="407">
        <v>0</v>
      </c>
      <c r="BE77" s="407">
        <v>0</v>
      </c>
      <c r="BF77" s="407">
        <v>0</v>
      </c>
      <c r="BG77" s="407">
        <v>2606.2978144416347</v>
      </c>
      <c r="BH77" s="407">
        <v>0</v>
      </c>
      <c r="BI77" s="407">
        <v>0</v>
      </c>
      <c r="BJ77" s="407">
        <v>0</v>
      </c>
      <c r="BK77" s="407">
        <v>0</v>
      </c>
      <c r="BL77" s="407">
        <v>0</v>
      </c>
      <c r="BM77" s="407"/>
      <c r="BN77" s="407"/>
      <c r="BO77" s="407"/>
      <c r="BP77" s="407"/>
      <c r="BQ77" s="407"/>
      <c r="BR77" s="407"/>
      <c r="BS77" s="407"/>
      <c r="BT77" s="407"/>
      <c r="BU77" s="407"/>
      <c r="BV77" s="407">
        <v>80059.267209881131</v>
      </c>
      <c r="BW77" s="407"/>
      <c r="BX77" s="407"/>
      <c r="BY77" s="407"/>
      <c r="BZ77" s="407"/>
      <c r="CA77" s="407"/>
      <c r="CB77" s="407"/>
      <c r="CC77" s="407"/>
      <c r="CD77" s="407"/>
      <c r="CE77" s="407"/>
      <c r="CF77" s="407"/>
      <c r="CG77" s="407"/>
      <c r="CH77" s="407"/>
      <c r="CI77" s="407">
        <v>139061.43290000001</v>
      </c>
      <c r="CJ77" s="407">
        <v>11153.864600000015</v>
      </c>
      <c r="CK77" s="407"/>
      <c r="CL77" s="407"/>
      <c r="CM77" s="407"/>
      <c r="CN77" s="407"/>
      <c r="CO77" s="407">
        <v>-2641.5141400000025</v>
      </c>
      <c r="CP77" s="407">
        <v>13795.13183</v>
      </c>
      <c r="CQ77" s="407">
        <v>31</v>
      </c>
      <c r="CR77" s="407">
        <v>11152.030375821472</v>
      </c>
      <c r="CS77" s="407">
        <v>0</v>
      </c>
      <c r="CT77" s="407">
        <v>0</v>
      </c>
      <c r="CU77" s="407">
        <v>0</v>
      </c>
      <c r="CV77" s="407">
        <v>0</v>
      </c>
      <c r="CW77" s="407">
        <v>0</v>
      </c>
      <c r="CX77" s="407">
        <v>0</v>
      </c>
      <c r="CY77" s="407">
        <v>0</v>
      </c>
      <c r="CZ77" s="407">
        <v>0</v>
      </c>
      <c r="DA77" s="407">
        <v>0</v>
      </c>
      <c r="DB77" s="407">
        <v>0</v>
      </c>
      <c r="DC77" s="407">
        <v>15356.832225744904</v>
      </c>
      <c r="DD77" s="407">
        <v>0</v>
      </c>
      <c r="DE77" s="407">
        <v>0</v>
      </c>
      <c r="DF77" s="407">
        <v>0</v>
      </c>
      <c r="DG77" s="407">
        <v>516.75847393737968</v>
      </c>
      <c r="DH77" s="407">
        <v>0</v>
      </c>
      <c r="DI77" s="407">
        <v>-1896.3918073399582</v>
      </c>
      <c r="DJ77" s="407"/>
      <c r="DK77" s="407">
        <v>0</v>
      </c>
      <c r="DL77" s="407">
        <v>0</v>
      </c>
      <c r="DM77" s="407">
        <v>0</v>
      </c>
      <c r="DN77" s="407">
        <v>0</v>
      </c>
      <c r="DO77" s="407">
        <v>-293.40308076025758</v>
      </c>
      <c r="DP77" s="407">
        <v>-34.357611468179357</v>
      </c>
      <c r="DQ77" s="407">
        <v>0</v>
      </c>
      <c r="DR77" s="407">
        <v>-2497.4078242924406</v>
      </c>
      <c r="DS77" s="407"/>
      <c r="DT77" s="407"/>
      <c r="DU77" s="407"/>
      <c r="DV77" s="407">
        <v>0</v>
      </c>
      <c r="DW77" s="407">
        <v>0</v>
      </c>
      <c r="DX77" s="407">
        <v>0</v>
      </c>
      <c r="DY77" s="407">
        <v>-2641.5141399999993</v>
      </c>
      <c r="DZ77" s="407">
        <v>13795.131830000013</v>
      </c>
      <c r="EA77" s="407">
        <v>0</v>
      </c>
      <c r="EB77" s="407">
        <v>0</v>
      </c>
      <c r="EC77" s="407">
        <v>0</v>
      </c>
      <c r="ED77" s="407">
        <v>0</v>
      </c>
      <c r="EE77" s="407">
        <v>0</v>
      </c>
      <c r="EF77" s="407">
        <v>0</v>
      </c>
      <c r="EG77" s="407">
        <v>0</v>
      </c>
      <c r="EH77" s="407">
        <v>0</v>
      </c>
      <c r="EI77" s="407">
        <v>0</v>
      </c>
      <c r="EJ77" s="407">
        <v>0</v>
      </c>
      <c r="EK77" s="407">
        <v>0</v>
      </c>
      <c r="EL77" s="407">
        <v>0</v>
      </c>
      <c r="EM77" s="407">
        <v>0</v>
      </c>
      <c r="EN77" s="407">
        <v>0</v>
      </c>
      <c r="EO77" s="407">
        <v>0</v>
      </c>
      <c r="EP77" s="407">
        <v>12824.979897049316</v>
      </c>
      <c r="EQ77" s="407">
        <v>0</v>
      </c>
      <c r="ER77" s="407">
        <v>0</v>
      </c>
      <c r="ES77" s="407">
        <v>0</v>
      </c>
      <c r="ET77" s="407">
        <v>0</v>
      </c>
      <c r="EU77" s="407">
        <v>0</v>
      </c>
      <c r="EV77" s="407">
        <v>246</v>
      </c>
      <c r="EW77" s="407">
        <v>0</v>
      </c>
      <c r="EX77" s="407">
        <v>0</v>
      </c>
      <c r="EY77" s="407">
        <v>0</v>
      </c>
      <c r="EZ77" s="407"/>
      <c r="FA77" s="407">
        <v>0</v>
      </c>
      <c r="FB77" s="407"/>
      <c r="FC77" s="407"/>
      <c r="FD77" s="407"/>
      <c r="FE77" s="407"/>
      <c r="FF77" s="407">
        <v>0</v>
      </c>
      <c r="FG77" s="407">
        <v>0</v>
      </c>
      <c r="FH77" s="407">
        <v>0</v>
      </c>
      <c r="FI77" s="407">
        <v>0</v>
      </c>
    </row>
    <row r="78" spans="1:165" customFormat="1">
      <c r="A78" s="407">
        <v>80</v>
      </c>
      <c r="B78" s="407" t="s">
        <v>1090</v>
      </c>
      <c r="C78" s="407" t="s">
        <v>2314</v>
      </c>
      <c r="D78" s="407" t="s">
        <v>650</v>
      </c>
      <c r="E78" s="407" t="s">
        <v>1022</v>
      </c>
      <c r="F78" s="407" t="s">
        <v>97</v>
      </c>
      <c r="G78" s="407" t="s">
        <v>97</v>
      </c>
      <c r="H78" s="407" t="s">
        <v>97</v>
      </c>
      <c r="I78" s="407" t="s">
        <v>97</v>
      </c>
      <c r="J78" s="407" t="s">
        <v>2307</v>
      </c>
      <c r="K78" s="818">
        <v>44409</v>
      </c>
      <c r="L78" s="407">
        <v>2246</v>
      </c>
      <c r="M78" s="407">
        <v>2246</v>
      </c>
      <c r="N78" s="407">
        <v>0</v>
      </c>
      <c r="O78" s="407">
        <v>0</v>
      </c>
      <c r="P78" s="407">
        <v>0</v>
      </c>
      <c r="Q78" s="407">
        <v>0</v>
      </c>
      <c r="R78" s="407">
        <v>43.29</v>
      </c>
      <c r="S78" s="407"/>
      <c r="T78" s="407"/>
      <c r="U78" s="407">
        <v>97229.34</v>
      </c>
      <c r="V78" s="407"/>
      <c r="W78" s="407">
        <v>97229.34</v>
      </c>
      <c r="X78" s="407">
        <v>75218.540000000008</v>
      </c>
      <c r="Y78" s="407">
        <v>0</v>
      </c>
      <c r="Z78" s="407">
        <v>0</v>
      </c>
      <c r="AA78" s="407">
        <v>0</v>
      </c>
      <c r="AB78" s="407">
        <v>0</v>
      </c>
      <c r="AC78" s="407">
        <v>0</v>
      </c>
      <c r="AD78" s="407">
        <v>53149.31515785175</v>
      </c>
      <c r="AE78" s="407">
        <v>44087.15423641861</v>
      </c>
      <c r="AF78" s="407"/>
      <c r="AG78" s="407"/>
      <c r="AH78" s="407"/>
      <c r="AI78" s="407">
        <v>0</v>
      </c>
      <c r="AJ78" s="407">
        <v>0</v>
      </c>
      <c r="AK78" s="407">
        <v>0</v>
      </c>
      <c r="AL78" s="407">
        <v>0</v>
      </c>
      <c r="AM78" s="407"/>
      <c r="AN78" s="407">
        <v>0</v>
      </c>
      <c r="AO78" s="407">
        <v>0</v>
      </c>
      <c r="AP78" s="407">
        <v>0</v>
      </c>
      <c r="AQ78" s="407">
        <v>0</v>
      </c>
      <c r="AR78" s="407">
        <v>0</v>
      </c>
      <c r="AS78" s="407"/>
      <c r="AT78" s="407"/>
      <c r="AU78" s="407">
        <v>0</v>
      </c>
      <c r="AV78" s="407">
        <v>0</v>
      </c>
      <c r="AW78" s="407">
        <v>0</v>
      </c>
      <c r="AX78" s="407"/>
      <c r="AY78" s="407"/>
      <c r="AZ78" s="407">
        <v>0</v>
      </c>
      <c r="BA78" s="407"/>
      <c r="BB78" s="407">
        <v>0</v>
      </c>
      <c r="BC78" s="407">
        <v>0</v>
      </c>
      <c r="BD78" s="407">
        <v>0</v>
      </c>
      <c r="BE78" s="407">
        <v>0</v>
      </c>
      <c r="BF78" s="407"/>
      <c r="BG78" s="407">
        <v>0</v>
      </c>
      <c r="BH78" s="407">
        <v>0</v>
      </c>
      <c r="BI78" s="407">
        <v>983.73</v>
      </c>
      <c r="BJ78" s="407">
        <v>6558.51</v>
      </c>
      <c r="BK78" s="407">
        <v>61938.12</v>
      </c>
      <c r="BL78" s="407">
        <v>13</v>
      </c>
      <c r="BM78" s="407"/>
      <c r="BN78" s="407"/>
      <c r="BO78" s="407"/>
      <c r="BP78" s="407"/>
      <c r="BQ78" s="407"/>
      <c r="BR78" s="407"/>
      <c r="BS78" s="407"/>
      <c r="BT78" s="407"/>
      <c r="BU78" s="407"/>
      <c r="BV78" s="407">
        <v>0</v>
      </c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>
        <v>75218.540000000008</v>
      </c>
      <c r="CJ78" s="407">
        <v>-22010.829999999973</v>
      </c>
      <c r="CK78" s="407"/>
      <c r="CL78" s="407"/>
      <c r="CM78" s="407"/>
      <c r="CN78" s="407"/>
      <c r="CO78" s="407">
        <v>-22010.799999999992</v>
      </c>
      <c r="CP78" s="407">
        <v>0</v>
      </c>
      <c r="CQ78" s="407">
        <v>31</v>
      </c>
      <c r="CR78" s="407">
        <v>502.34068615212891</v>
      </c>
      <c r="CS78" s="407">
        <v>0</v>
      </c>
      <c r="CT78" s="407">
        <v>0</v>
      </c>
      <c r="CU78" s="407">
        <v>0</v>
      </c>
      <c r="CV78" s="407">
        <v>0</v>
      </c>
      <c r="CW78" s="407"/>
      <c r="CX78" s="407"/>
      <c r="CY78" s="407"/>
      <c r="CZ78" s="407">
        <v>2400.8599506754981</v>
      </c>
      <c r="DA78" s="407">
        <v>0</v>
      </c>
      <c r="DB78" s="407">
        <v>0</v>
      </c>
      <c r="DC78" s="407"/>
      <c r="DD78" s="407"/>
      <c r="DE78" s="407">
        <v>0</v>
      </c>
      <c r="DF78" s="407">
        <v>0</v>
      </c>
      <c r="DG78" s="407">
        <v>0</v>
      </c>
      <c r="DH78" s="407">
        <v>0</v>
      </c>
      <c r="DI78" s="407">
        <v>0</v>
      </c>
      <c r="DJ78" s="407"/>
      <c r="DK78" s="407">
        <v>0</v>
      </c>
      <c r="DL78" s="407">
        <v>0</v>
      </c>
      <c r="DM78" s="407"/>
      <c r="DN78" s="407">
        <v>0</v>
      </c>
      <c r="DO78" s="407">
        <v>0</v>
      </c>
      <c r="DP78" s="407">
        <v>0</v>
      </c>
      <c r="DQ78" s="407">
        <v>0</v>
      </c>
      <c r="DR78" s="407">
        <v>-1898.5192645233678</v>
      </c>
      <c r="DS78" s="407"/>
      <c r="DT78" s="407"/>
      <c r="DU78" s="407">
        <v>44087.15423641861</v>
      </c>
      <c r="DV78" s="407"/>
      <c r="DW78" s="407">
        <v>0</v>
      </c>
      <c r="DX78" s="407">
        <v>0</v>
      </c>
      <c r="DY78" s="407">
        <v>-22010.799999999988</v>
      </c>
      <c r="DZ78" s="407"/>
      <c r="EA78" s="407">
        <v>0</v>
      </c>
      <c r="EB78" s="407"/>
      <c r="EC78" s="407">
        <v>-22519.820781816754</v>
      </c>
      <c r="ED78" s="407"/>
      <c r="EE78" s="407">
        <v>0</v>
      </c>
      <c r="EF78" s="407">
        <v>0</v>
      </c>
      <c r="EG78" s="407"/>
      <c r="EH78" s="407">
        <v>0</v>
      </c>
      <c r="EI78" s="407">
        <v>0</v>
      </c>
      <c r="EJ78" s="407">
        <v>0</v>
      </c>
      <c r="EK78" s="407">
        <v>0</v>
      </c>
      <c r="EL78" s="407">
        <v>0</v>
      </c>
      <c r="EM78" s="407"/>
      <c r="EN78" s="407"/>
      <c r="EO78" s="407">
        <v>0</v>
      </c>
      <c r="EP78" s="407">
        <v>0</v>
      </c>
      <c r="EQ78" s="407"/>
      <c r="ER78" s="407">
        <v>0</v>
      </c>
      <c r="ES78" s="407"/>
      <c r="ET78" s="407">
        <v>0</v>
      </c>
      <c r="EU78" s="407"/>
      <c r="EV78" s="407">
        <v>246</v>
      </c>
      <c r="EW78" s="407"/>
      <c r="EX78" s="407"/>
      <c r="EY78" s="407"/>
      <c r="EZ78" s="407"/>
      <c r="FA78" s="407">
        <v>0</v>
      </c>
      <c r="FB78" s="407"/>
      <c r="FC78" s="407"/>
      <c r="FD78" s="407"/>
      <c r="FE78" s="407"/>
      <c r="FF78" s="407">
        <v>0</v>
      </c>
      <c r="FG78" s="407">
        <v>0</v>
      </c>
      <c r="FH78" s="407">
        <v>0</v>
      </c>
      <c r="FI78" s="407">
        <v>0</v>
      </c>
    </row>
    <row r="79" spans="1:165" customFormat="1">
      <c r="A79" s="407">
        <v>81</v>
      </c>
      <c r="B79" s="407" t="s">
        <v>1090</v>
      </c>
      <c r="C79" s="407" t="s">
        <v>2306</v>
      </c>
      <c r="D79" s="407" t="s">
        <v>1219</v>
      </c>
      <c r="E79" s="407" t="s">
        <v>1049</v>
      </c>
      <c r="F79" s="407" t="s">
        <v>97</v>
      </c>
      <c r="G79" s="407" t="s">
        <v>97</v>
      </c>
      <c r="H79" s="407" t="s">
        <v>97</v>
      </c>
      <c r="I79" s="407" t="s">
        <v>97</v>
      </c>
      <c r="J79" s="407" t="s">
        <v>2307</v>
      </c>
      <c r="K79" s="818">
        <v>44409</v>
      </c>
      <c r="L79" s="407">
        <v>0</v>
      </c>
      <c r="M79" s="407">
        <v>0</v>
      </c>
      <c r="N79" s="407">
        <v>535.03700000000003</v>
      </c>
      <c r="O79" s="407">
        <v>535.03700000000003</v>
      </c>
      <c r="P79" s="407">
        <v>535.03700000000003</v>
      </c>
      <c r="Q79" s="407">
        <v>535.03700000000003</v>
      </c>
      <c r="R79" s="407"/>
      <c r="S79" s="407">
        <v>648.44000000000005</v>
      </c>
      <c r="T79" s="407">
        <v>159.41</v>
      </c>
      <c r="U79" s="407"/>
      <c r="V79" s="407">
        <v>432229.64045000006</v>
      </c>
      <c r="W79" s="407">
        <v>432229.64045000006</v>
      </c>
      <c r="X79" s="407">
        <v>327346.33734000003</v>
      </c>
      <c r="Y79" s="407">
        <v>0</v>
      </c>
      <c r="Z79" s="407">
        <v>33156.376986326897</v>
      </c>
      <c r="AA79" s="407">
        <v>0</v>
      </c>
      <c r="AB79" s="407">
        <v>0</v>
      </c>
      <c r="AC79" s="407">
        <v>0</v>
      </c>
      <c r="AD79" s="407">
        <v>62409.083867144902</v>
      </c>
      <c r="AE79" s="407">
        <v>223402.55427274533</v>
      </c>
      <c r="AF79" s="407">
        <v>82519.139978031701</v>
      </c>
      <c r="AG79" s="407">
        <v>2772.4264970370405</v>
      </c>
      <c r="AH79" s="407">
        <v>0</v>
      </c>
      <c r="AI79" s="407">
        <v>0</v>
      </c>
      <c r="AJ79" s="407">
        <v>0</v>
      </c>
      <c r="AK79" s="407">
        <v>0</v>
      </c>
      <c r="AL79" s="407">
        <v>5123.5439266950179</v>
      </c>
      <c r="AM79" s="407"/>
      <c r="AN79" s="407">
        <v>1110.2529461946203</v>
      </c>
      <c r="AO79" s="407">
        <v>0</v>
      </c>
      <c r="AP79" s="407">
        <v>0</v>
      </c>
      <c r="AQ79" s="407">
        <v>0</v>
      </c>
      <c r="AR79" s="407">
        <v>0</v>
      </c>
      <c r="AS79" s="407">
        <v>0</v>
      </c>
      <c r="AT79" s="407">
        <v>0</v>
      </c>
      <c r="AU79" s="407">
        <v>0</v>
      </c>
      <c r="AV79" s="407">
        <v>0</v>
      </c>
      <c r="AW79" s="407">
        <v>0</v>
      </c>
      <c r="AX79" s="407">
        <v>0</v>
      </c>
      <c r="AY79" s="407">
        <v>0</v>
      </c>
      <c r="AZ79" s="407">
        <v>0</v>
      </c>
      <c r="BA79" s="407"/>
      <c r="BB79" s="407">
        <v>0</v>
      </c>
      <c r="BC79" s="407">
        <v>0</v>
      </c>
      <c r="BD79" s="407">
        <v>0</v>
      </c>
      <c r="BE79" s="407">
        <v>0</v>
      </c>
      <c r="BF79" s="407">
        <v>0</v>
      </c>
      <c r="BG79" s="407">
        <v>6031.8856292221562</v>
      </c>
      <c r="BH79" s="407">
        <v>0</v>
      </c>
      <c r="BI79" s="407">
        <v>1449.87</v>
      </c>
      <c r="BJ79" s="407">
        <v>9705.59</v>
      </c>
      <c r="BK79" s="407">
        <v>161771.16</v>
      </c>
      <c r="BL79" s="407">
        <v>1427</v>
      </c>
      <c r="BM79" s="407"/>
      <c r="BN79" s="407"/>
      <c r="BO79" s="407"/>
      <c r="BP79" s="407"/>
      <c r="BQ79" s="407"/>
      <c r="BR79" s="407"/>
      <c r="BS79" s="407"/>
      <c r="BT79" s="407"/>
      <c r="BU79" s="407"/>
      <c r="BV79" s="407">
        <v>88551.025607253861</v>
      </c>
      <c r="BW79" s="407"/>
      <c r="BX79" s="407"/>
      <c r="BY79" s="407"/>
      <c r="BZ79" s="407"/>
      <c r="CA79" s="407"/>
      <c r="CB79" s="407"/>
      <c r="CC79" s="407"/>
      <c r="CD79" s="407"/>
      <c r="CE79" s="407"/>
      <c r="CF79" s="407"/>
      <c r="CG79" s="407"/>
      <c r="CH79" s="407"/>
      <c r="CI79" s="407">
        <v>327348.1728</v>
      </c>
      <c r="CJ79" s="407">
        <v>-104881.49765000009</v>
      </c>
      <c r="CK79" s="407"/>
      <c r="CL79" s="407"/>
      <c r="CM79" s="407"/>
      <c r="CN79" s="407"/>
      <c r="CO79" s="407">
        <v>-119580.76950000004</v>
      </c>
      <c r="CP79" s="407">
        <v>14697.46639</v>
      </c>
      <c r="CQ79" s="407">
        <v>31</v>
      </c>
      <c r="CR79" s="407">
        <v>9231.5380370438506</v>
      </c>
      <c r="CS79" s="407">
        <v>0</v>
      </c>
      <c r="CT79" s="407">
        <v>0</v>
      </c>
      <c r="CU79" s="407">
        <v>0</v>
      </c>
      <c r="CV79" s="407">
        <v>0</v>
      </c>
      <c r="CW79" s="407">
        <v>0</v>
      </c>
      <c r="CX79" s="407">
        <v>0</v>
      </c>
      <c r="CY79" s="407">
        <v>0</v>
      </c>
      <c r="CZ79" s="407">
        <v>2819.1420636366674</v>
      </c>
      <c r="DA79" s="407">
        <v>0</v>
      </c>
      <c r="DB79" s="407">
        <v>0</v>
      </c>
      <c r="DC79" s="407">
        <v>16361.317041125702</v>
      </c>
      <c r="DD79" s="407">
        <v>0</v>
      </c>
      <c r="DE79" s="407">
        <v>0</v>
      </c>
      <c r="DF79" s="407">
        <v>0</v>
      </c>
      <c r="DG79" s="407">
        <v>1195.9600301431565</v>
      </c>
      <c r="DH79" s="407">
        <v>0</v>
      </c>
      <c r="DI79" s="407">
        <v>-2322.338053252839</v>
      </c>
      <c r="DJ79" s="407"/>
      <c r="DK79" s="407">
        <v>0</v>
      </c>
      <c r="DL79" s="407">
        <v>0</v>
      </c>
      <c r="DM79" s="407">
        <v>0</v>
      </c>
      <c r="DN79" s="407">
        <v>0</v>
      </c>
      <c r="DO79" s="407">
        <v>-312.59446965330972</v>
      </c>
      <c r="DP79" s="407">
        <v>-70.742637355570196</v>
      </c>
      <c r="DQ79" s="407">
        <v>0</v>
      </c>
      <c r="DR79" s="407">
        <v>-8439.2059375999852</v>
      </c>
      <c r="DS79" s="407"/>
      <c r="DT79" s="407"/>
      <c r="DU79" s="407"/>
      <c r="DV79" s="407">
        <v>223402.55427274533</v>
      </c>
      <c r="DW79" s="407">
        <v>0</v>
      </c>
      <c r="DX79" s="407">
        <v>0</v>
      </c>
      <c r="DY79" s="407">
        <v>-119580.76950000002</v>
      </c>
      <c r="DZ79" s="407">
        <v>14697.466390000001</v>
      </c>
      <c r="EA79" s="407">
        <v>0</v>
      </c>
      <c r="EB79" s="407">
        <v>0</v>
      </c>
      <c r="EC79" s="407">
        <v>-114114.54360250846</v>
      </c>
      <c r="ED79" s="407">
        <v>0</v>
      </c>
      <c r="EE79" s="407">
        <v>0</v>
      </c>
      <c r="EF79" s="407">
        <v>0</v>
      </c>
      <c r="EG79" s="407">
        <v>0</v>
      </c>
      <c r="EH79" s="407">
        <v>0</v>
      </c>
      <c r="EI79" s="407">
        <v>0</v>
      </c>
      <c r="EJ79" s="407">
        <v>0</v>
      </c>
      <c r="EK79" s="407">
        <v>0</v>
      </c>
      <c r="EL79" s="407">
        <v>0</v>
      </c>
      <c r="EM79" s="407">
        <v>0</v>
      </c>
      <c r="EN79" s="407">
        <v>0</v>
      </c>
      <c r="EO79" s="407">
        <v>0</v>
      </c>
      <c r="EP79" s="407">
        <v>15705.582955928321</v>
      </c>
      <c r="EQ79" s="407">
        <v>0</v>
      </c>
      <c r="ER79" s="407">
        <v>0</v>
      </c>
      <c r="ES79" s="407">
        <v>0</v>
      </c>
      <c r="ET79" s="407">
        <v>0</v>
      </c>
      <c r="EU79" s="407">
        <v>0</v>
      </c>
      <c r="EV79" s="407">
        <v>246</v>
      </c>
      <c r="EW79" s="407">
        <v>0</v>
      </c>
      <c r="EX79" s="407">
        <v>0</v>
      </c>
      <c r="EY79" s="407">
        <v>0</v>
      </c>
      <c r="EZ79" s="407"/>
      <c r="FA79" s="407">
        <v>0</v>
      </c>
      <c r="FB79" s="407"/>
      <c r="FC79" s="407"/>
      <c r="FD79" s="407"/>
      <c r="FE79" s="407"/>
      <c r="FF79" s="407">
        <v>0</v>
      </c>
      <c r="FG79" s="407">
        <v>0</v>
      </c>
      <c r="FH79" s="407">
        <v>0</v>
      </c>
      <c r="FI79" s="407">
        <v>0</v>
      </c>
    </row>
    <row r="80" spans="1:165" customFormat="1">
      <c r="A80" s="407">
        <v>82</v>
      </c>
      <c r="B80" s="407" t="s">
        <v>2308</v>
      </c>
      <c r="C80" s="407" t="s">
        <v>2306</v>
      </c>
      <c r="D80" s="407" t="s">
        <v>1219</v>
      </c>
      <c r="E80" s="407" t="s">
        <v>1049</v>
      </c>
      <c r="F80" s="407" t="s">
        <v>97</v>
      </c>
      <c r="G80" s="407" t="s">
        <v>97</v>
      </c>
      <c r="H80" s="407" t="s">
        <v>97</v>
      </c>
      <c r="I80" s="407" t="s">
        <v>97</v>
      </c>
      <c r="J80" s="407" t="s">
        <v>2307</v>
      </c>
      <c r="K80" s="818">
        <v>44409</v>
      </c>
      <c r="L80" s="407">
        <v>0</v>
      </c>
      <c r="M80" s="407">
        <v>0</v>
      </c>
      <c r="N80" s="407">
        <v>-0.53</v>
      </c>
      <c r="O80" s="407">
        <v>-0.53</v>
      </c>
      <c r="P80" s="407">
        <v>-0.53</v>
      </c>
      <c r="Q80" s="407">
        <v>-0.53</v>
      </c>
      <c r="R80" s="407"/>
      <c r="S80" s="407">
        <v>648.44000000000005</v>
      </c>
      <c r="T80" s="407">
        <v>159.41</v>
      </c>
      <c r="U80" s="407"/>
      <c r="V80" s="407">
        <v>-428.16050000000007</v>
      </c>
      <c r="W80" s="407">
        <v>-428.16050000000007</v>
      </c>
      <c r="X80" s="407">
        <v>-324.26459999999997</v>
      </c>
      <c r="Y80" s="407">
        <v>0</v>
      </c>
      <c r="Z80" s="407">
        <v>-32.844232833903554</v>
      </c>
      <c r="AA80" s="407">
        <v>0</v>
      </c>
      <c r="AB80" s="407">
        <v>0</v>
      </c>
      <c r="AC80" s="407">
        <v>0</v>
      </c>
      <c r="AD80" s="407">
        <v>-61.821545892315484</v>
      </c>
      <c r="AE80" s="407">
        <v>-221.29937511715082</v>
      </c>
      <c r="AF80" s="407">
        <v>-81.742279857947764</v>
      </c>
      <c r="AG80" s="407">
        <v>-2.7463260361986768</v>
      </c>
      <c r="AH80" s="407">
        <v>0</v>
      </c>
      <c r="AI80" s="407">
        <v>0</v>
      </c>
      <c r="AJ80" s="407">
        <v>0</v>
      </c>
      <c r="AK80" s="407">
        <v>0</v>
      </c>
      <c r="AL80" s="407">
        <v>-5.0753093358933299</v>
      </c>
      <c r="AM80" s="407"/>
      <c r="AN80" s="407">
        <v>-1.0998006894535308</v>
      </c>
      <c r="AO80" s="407">
        <v>0</v>
      </c>
      <c r="AP80" s="407">
        <v>0</v>
      </c>
      <c r="AQ80" s="407">
        <v>0</v>
      </c>
      <c r="AR80" s="407">
        <v>0</v>
      </c>
      <c r="AS80" s="407">
        <v>0</v>
      </c>
      <c r="AT80" s="407">
        <v>0</v>
      </c>
      <c r="AU80" s="407">
        <v>0</v>
      </c>
      <c r="AV80" s="407">
        <v>0</v>
      </c>
      <c r="AW80" s="407">
        <v>0</v>
      </c>
      <c r="AX80" s="407">
        <v>0</v>
      </c>
      <c r="AY80" s="407">
        <v>0</v>
      </c>
      <c r="AZ80" s="407">
        <v>0</v>
      </c>
      <c r="BA80" s="407"/>
      <c r="BB80" s="407">
        <v>0</v>
      </c>
      <c r="BC80" s="407">
        <v>0</v>
      </c>
      <c r="BD80" s="407">
        <v>0</v>
      </c>
      <c r="BE80" s="407">
        <v>0</v>
      </c>
      <c r="BF80" s="407">
        <v>0</v>
      </c>
      <c r="BG80" s="407">
        <v>-5.9750996351425094</v>
      </c>
      <c r="BH80" s="407">
        <v>0</v>
      </c>
      <c r="BI80" s="407">
        <v>-1.97</v>
      </c>
      <c r="BJ80" s="407">
        <v>-9.0299999999999994</v>
      </c>
      <c r="BK80" s="407">
        <v>-148.63999999999999</v>
      </c>
      <c r="BL80" s="407">
        <v>0</v>
      </c>
      <c r="BM80" s="407"/>
      <c r="BN80" s="407"/>
      <c r="BO80" s="407"/>
      <c r="BP80" s="407"/>
      <c r="BQ80" s="407"/>
      <c r="BR80" s="407"/>
      <c r="BS80" s="407"/>
      <c r="BT80" s="407"/>
      <c r="BU80" s="407"/>
      <c r="BV80" s="407">
        <v>-87.717379493090277</v>
      </c>
      <c r="BW80" s="407"/>
      <c r="BX80" s="407"/>
      <c r="BY80" s="407"/>
      <c r="BZ80" s="407"/>
      <c r="CA80" s="407"/>
      <c r="CB80" s="407"/>
      <c r="CC80" s="407"/>
      <c r="CD80" s="407"/>
      <c r="CE80" s="407"/>
      <c r="CF80" s="407"/>
      <c r="CG80" s="407"/>
      <c r="CH80" s="407"/>
      <c r="CI80" s="407">
        <v>-324.26459999999997</v>
      </c>
      <c r="CJ80" s="407">
        <v>103.86590000000012</v>
      </c>
      <c r="CK80" s="407"/>
      <c r="CL80" s="407"/>
      <c r="CM80" s="407"/>
      <c r="CN80" s="407"/>
      <c r="CO80" s="407">
        <v>118.45500000000004</v>
      </c>
      <c r="CP80" s="407">
        <v>-14.559100000000001</v>
      </c>
      <c r="CQ80" s="407">
        <v>31</v>
      </c>
      <c r="CR80" s="407">
        <v>-9.1446295482988944</v>
      </c>
      <c r="CS80" s="407">
        <v>0</v>
      </c>
      <c r="CT80" s="407">
        <v>0</v>
      </c>
      <c r="CU80" s="407">
        <v>0</v>
      </c>
      <c r="CV80" s="407">
        <v>0</v>
      </c>
      <c r="CW80" s="407">
        <v>0</v>
      </c>
      <c r="CX80" s="407">
        <v>0</v>
      </c>
      <c r="CY80" s="407">
        <v>0</v>
      </c>
      <c r="CZ80" s="407">
        <v>-2.7926018083374231</v>
      </c>
      <c r="DA80" s="407">
        <v>0</v>
      </c>
      <c r="DB80" s="407">
        <v>0</v>
      </c>
      <c r="DC80" s="407">
        <v>-16.207286658299566</v>
      </c>
      <c r="DD80" s="407">
        <v>0</v>
      </c>
      <c r="DE80" s="407">
        <v>0</v>
      </c>
      <c r="DF80" s="407">
        <v>0</v>
      </c>
      <c r="DG80" s="407">
        <v>-1.184700901014085</v>
      </c>
      <c r="DH80" s="407">
        <v>0</v>
      </c>
      <c r="DI80" s="407">
        <v>2.3004748610357879</v>
      </c>
      <c r="DJ80" s="407"/>
      <c r="DK80" s="407">
        <v>0</v>
      </c>
      <c r="DL80" s="407">
        <v>0</v>
      </c>
      <c r="DM80" s="407">
        <v>0</v>
      </c>
      <c r="DN80" s="407">
        <v>0</v>
      </c>
      <c r="DO80" s="407">
        <v>0.30965161085355675</v>
      </c>
      <c r="DP80" s="407">
        <v>7.007664478989728E-2</v>
      </c>
      <c r="DQ80" s="407">
        <v>0</v>
      </c>
      <c r="DR80" s="407">
        <v>8.3597567026728843</v>
      </c>
      <c r="DS80" s="407"/>
      <c r="DT80" s="407"/>
      <c r="DU80" s="407"/>
      <c r="DV80" s="407">
        <v>-221.29937511715082</v>
      </c>
      <c r="DW80" s="407">
        <v>0</v>
      </c>
      <c r="DX80" s="407">
        <v>0</v>
      </c>
      <c r="DY80" s="407">
        <v>118.45500000000007</v>
      </c>
      <c r="DZ80" s="407">
        <v>-14.559100000000001</v>
      </c>
      <c r="EA80" s="407">
        <v>0</v>
      </c>
      <c r="EB80" s="407">
        <v>0</v>
      </c>
      <c r="EC80" s="407">
        <v>113.04023480493777</v>
      </c>
      <c r="ED80" s="407">
        <v>0</v>
      </c>
      <c r="EE80" s="407">
        <v>0</v>
      </c>
      <c r="EF80" s="407">
        <v>0</v>
      </c>
      <c r="EG80" s="407">
        <v>0</v>
      </c>
      <c r="EH80" s="407">
        <v>0</v>
      </c>
      <c r="EI80" s="407">
        <v>0</v>
      </c>
      <c r="EJ80" s="407">
        <v>0</v>
      </c>
      <c r="EK80" s="407">
        <v>0</v>
      </c>
      <c r="EL80" s="407">
        <v>0</v>
      </c>
      <c r="EM80" s="407">
        <v>0</v>
      </c>
      <c r="EN80" s="407">
        <v>0</v>
      </c>
      <c r="EO80" s="407">
        <v>0</v>
      </c>
      <c r="EP80" s="407">
        <v>-15.557725851935492</v>
      </c>
      <c r="EQ80" s="407">
        <v>0</v>
      </c>
      <c r="ER80" s="407">
        <v>0</v>
      </c>
      <c r="ES80" s="407">
        <v>0</v>
      </c>
      <c r="ET80" s="407">
        <v>0</v>
      </c>
      <c r="EU80" s="407">
        <v>0</v>
      </c>
      <c r="EV80" s="407">
        <v>246</v>
      </c>
      <c r="EW80" s="407">
        <v>0</v>
      </c>
      <c r="EX80" s="407">
        <v>0</v>
      </c>
      <c r="EY80" s="407">
        <v>0</v>
      </c>
      <c r="EZ80" s="407"/>
      <c r="FA80" s="407">
        <v>0</v>
      </c>
      <c r="FB80" s="407"/>
      <c r="FC80" s="407"/>
      <c r="FD80" s="407"/>
      <c r="FE80" s="407"/>
      <c r="FF80" s="407">
        <v>0</v>
      </c>
      <c r="FG80" s="407">
        <v>0</v>
      </c>
      <c r="FH80" s="407">
        <v>0</v>
      </c>
      <c r="FI80" s="407">
        <v>0</v>
      </c>
    </row>
    <row r="81" spans="1:165" customFormat="1">
      <c r="A81" s="407">
        <v>83</v>
      </c>
      <c r="B81" s="407" t="s">
        <v>2309</v>
      </c>
      <c r="C81" s="407" t="s">
        <v>2306</v>
      </c>
      <c r="D81" s="407" t="s">
        <v>1219</v>
      </c>
      <c r="E81" s="407" t="s">
        <v>1049</v>
      </c>
      <c r="F81" s="407" t="s">
        <v>97</v>
      </c>
      <c r="G81" s="407" t="s">
        <v>97</v>
      </c>
      <c r="H81" s="407" t="s">
        <v>97</v>
      </c>
      <c r="I81" s="407" t="s">
        <v>97</v>
      </c>
      <c r="J81" s="407" t="s">
        <v>2307</v>
      </c>
      <c r="K81" s="818">
        <v>44409</v>
      </c>
      <c r="L81" s="407">
        <v>0</v>
      </c>
      <c r="M81" s="407">
        <v>0</v>
      </c>
      <c r="N81" s="407">
        <v>44.478999999999999</v>
      </c>
      <c r="O81" s="407">
        <v>44.478999999999999</v>
      </c>
      <c r="P81" s="407">
        <v>44.478999999999999</v>
      </c>
      <c r="Q81" s="407">
        <v>44.478999999999999</v>
      </c>
      <c r="R81" s="407"/>
      <c r="S81" s="407">
        <v>648.44000000000005</v>
      </c>
      <c r="T81" s="407">
        <v>159.41</v>
      </c>
      <c r="U81" s="407"/>
      <c r="V81" s="407">
        <v>35932.36015</v>
      </c>
      <c r="W81" s="407">
        <v>35932.36015</v>
      </c>
      <c r="X81" s="407">
        <v>27213.141779999998</v>
      </c>
      <c r="Y81" s="407">
        <v>0</v>
      </c>
      <c r="Z81" s="407">
        <v>2756.3747777720682</v>
      </c>
      <c r="AA81" s="407">
        <v>0</v>
      </c>
      <c r="AB81" s="407">
        <v>0</v>
      </c>
      <c r="AC81" s="407">
        <v>0</v>
      </c>
      <c r="AD81" s="407">
        <v>5188.2274334798112</v>
      </c>
      <c r="AE81" s="407">
        <v>18572.028124218399</v>
      </c>
      <c r="AF81" s="407">
        <v>6860.0280486823749</v>
      </c>
      <c r="AG81" s="407">
        <v>230.47893540392627</v>
      </c>
      <c r="AH81" s="407">
        <v>0</v>
      </c>
      <c r="AI81" s="407">
        <v>0</v>
      </c>
      <c r="AJ81" s="407">
        <v>0</v>
      </c>
      <c r="AK81" s="407">
        <v>0</v>
      </c>
      <c r="AL81" s="407">
        <v>425.9333659456592</v>
      </c>
      <c r="AM81" s="407"/>
      <c r="AN81" s="407">
        <v>92.298178992836966</v>
      </c>
      <c r="AO81" s="407">
        <v>0</v>
      </c>
      <c r="AP81" s="407">
        <v>0</v>
      </c>
      <c r="AQ81" s="407">
        <v>0</v>
      </c>
      <c r="AR81" s="407">
        <v>0</v>
      </c>
      <c r="AS81" s="407">
        <v>0</v>
      </c>
      <c r="AT81" s="407">
        <v>0</v>
      </c>
      <c r="AU81" s="407">
        <v>0</v>
      </c>
      <c r="AV81" s="407">
        <v>0</v>
      </c>
      <c r="AW81" s="407">
        <v>0</v>
      </c>
      <c r="AX81" s="407">
        <v>0</v>
      </c>
      <c r="AY81" s="407">
        <v>0</v>
      </c>
      <c r="AZ81" s="407">
        <v>0</v>
      </c>
      <c r="BA81" s="407"/>
      <c r="BB81" s="407">
        <v>0</v>
      </c>
      <c r="BC81" s="407">
        <v>0</v>
      </c>
      <c r="BD81" s="407">
        <v>0</v>
      </c>
      <c r="BE81" s="407">
        <v>0</v>
      </c>
      <c r="BF81" s="407">
        <v>0</v>
      </c>
      <c r="BG81" s="407">
        <v>501.44614466321445</v>
      </c>
      <c r="BH81" s="407">
        <v>0</v>
      </c>
      <c r="BI81" s="407">
        <v>120.7</v>
      </c>
      <c r="BJ81" s="407">
        <v>808.71</v>
      </c>
      <c r="BK81" s="407">
        <v>27818.31</v>
      </c>
      <c r="BL81" s="407">
        <v>109</v>
      </c>
      <c r="BM81" s="407"/>
      <c r="BN81" s="407"/>
      <c r="BO81" s="407"/>
      <c r="BP81" s="407"/>
      <c r="BQ81" s="407"/>
      <c r="BR81" s="407"/>
      <c r="BS81" s="407"/>
      <c r="BT81" s="407"/>
      <c r="BU81" s="407"/>
      <c r="BV81" s="407">
        <v>7361.4741933455898</v>
      </c>
      <c r="BW81" s="407"/>
      <c r="BX81" s="407"/>
      <c r="BY81" s="407"/>
      <c r="BZ81" s="407"/>
      <c r="CA81" s="407"/>
      <c r="CB81" s="407"/>
      <c r="CC81" s="407"/>
      <c r="CD81" s="407"/>
      <c r="CE81" s="407"/>
      <c r="CF81" s="407"/>
      <c r="CG81" s="407"/>
      <c r="CH81" s="407"/>
      <c r="CI81" s="407">
        <v>27213.753599999996</v>
      </c>
      <c r="CJ81" s="407">
        <v>-8718.6365500000029</v>
      </c>
      <c r="CK81" s="407"/>
      <c r="CL81" s="407"/>
      <c r="CM81" s="407"/>
      <c r="CN81" s="407"/>
      <c r="CO81" s="407">
        <v>-9941.0565000000024</v>
      </c>
      <c r="CP81" s="407">
        <v>1221.8381299999999</v>
      </c>
      <c r="CQ81" s="407">
        <v>31</v>
      </c>
      <c r="CR81" s="407">
        <v>767.44146731846922</v>
      </c>
      <c r="CS81" s="407">
        <v>0</v>
      </c>
      <c r="CT81" s="407">
        <v>0</v>
      </c>
      <c r="CU81" s="407">
        <v>0</v>
      </c>
      <c r="CV81" s="407">
        <v>0</v>
      </c>
      <c r="CW81" s="407">
        <v>0</v>
      </c>
      <c r="CX81" s="407">
        <v>0</v>
      </c>
      <c r="CY81" s="407">
        <v>0</v>
      </c>
      <c r="CZ81" s="407">
        <v>234.36252043969944</v>
      </c>
      <c r="DA81" s="407">
        <v>0</v>
      </c>
      <c r="DB81" s="407">
        <v>0</v>
      </c>
      <c r="DC81" s="407">
        <v>1360.1583080651044</v>
      </c>
      <c r="DD81" s="407">
        <v>0</v>
      </c>
      <c r="DE81" s="407">
        <v>0</v>
      </c>
      <c r="DF81" s="407">
        <v>0</v>
      </c>
      <c r="DG81" s="407">
        <v>99.423229011708486</v>
      </c>
      <c r="DH81" s="407">
        <v>0</v>
      </c>
      <c r="DI81" s="407">
        <v>-193.06192706417141</v>
      </c>
      <c r="DJ81" s="407"/>
      <c r="DK81" s="407">
        <v>0</v>
      </c>
      <c r="DL81" s="407">
        <v>0</v>
      </c>
      <c r="DM81" s="407">
        <v>0</v>
      </c>
      <c r="DN81" s="407">
        <v>0</v>
      </c>
      <c r="DO81" s="407">
        <v>-25.986781130481688</v>
      </c>
      <c r="DP81" s="407">
        <v>-5.8810171388864774</v>
      </c>
      <c r="DQ81" s="407">
        <v>0</v>
      </c>
      <c r="DR81" s="407">
        <v>-701.57286486450414</v>
      </c>
      <c r="DS81" s="407"/>
      <c r="DT81" s="407"/>
      <c r="DU81" s="407"/>
      <c r="DV81" s="407">
        <v>18572.028124218399</v>
      </c>
      <c r="DW81" s="407">
        <v>0</v>
      </c>
      <c r="DX81" s="407">
        <v>0</v>
      </c>
      <c r="DY81" s="407">
        <v>-9941.0565000000024</v>
      </c>
      <c r="DZ81" s="407">
        <v>1221.8381300000001</v>
      </c>
      <c r="EA81" s="407">
        <v>0</v>
      </c>
      <c r="EB81" s="407">
        <v>0</v>
      </c>
      <c r="EC81" s="407">
        <v>-9486.6351016770332</v>
      </c>
      <c r="ED81" s="407">
        <v>0</v>
      </c>
      <c r="EE81" s="407">
        <v>0</v>
      </c>
      <c r="EF81" s="407">
        <v>0</v>
      </c>
      <c r="EG81" s="407">
        <v>0</v>
      </c>
      <c r="EH81" s="407">
        <v>0</v>
      </c>
      <c r="EI81" s="407">
        <v>0</v>
      </c>
      <c r="EJ81" s="407">
        <v>0</v>
      </c>
      <c r="EK81" s="407">
        <v>0</v>
      </c>
      <c r="EL81" s="407">
        <v>0</v>
      </c>
      <c r="EM81" s="407">
        <v>0</v>
      </c>
      <c r="EN81" s="407">
        <v>0</v>
      </c>
      <c r="EO81" s="407">
        <v>0</v>
      </c>
      <c r="EP81" s="407">
        <v>1305.6454493740353</v>
      </c>
      <c r="EQ81" s="407">
        <v>0</v>
      </c>
      <c r="ER81" s="407">
        <v>0</v>
      </c>
      <c r="ES81" s="407">
        <v>0</v>
      </c>
      <c r="ET81" s="407">
        <v>0</v>
      </c>
      <c r="EU81" s="407">
        <v>0</v>
      </c>
      <c r="EV81" s="407">
        <v>246</v>
      </c>
      <c r="EW81" s="407">
        <v>0</v>
      </c>
      <c r="EX81" s="407">
        <v>0</v>
      </c>
      <c r="EY81" s="407">
        <v>0</v>
      </c>
      <c r="EZ81" s="407"/>
      <c r="FA81" s="407">
        <v>0</v>
      </c>
      <c r="FB81" s="407"/>
      <c r="FC81" s="407"/>
      <c r="FD81" s="407"/>
      <c r="FE81" s="407"/>
      <c r="FF81" s="407">
        <v>0</v>
      </c>
      <c r="FG81" s="407">
        <v>0</v>
      </c>
      <c r="FH81" s="407">
        <v>0</v>
      </c>
      <c r="FI81" s="407">
        <v>0</v>
      </c>
    </row>
    <row r="82" spans="1:165" customFormat="1">
      <c r="A82" s="407">
        <v>84</v>
      </c>
      <c r="B82" s="407" t="s">
        <v>2309</v>
      </c>
      <c r="C82" s="407" t="s">
        <v>2306</v>
      </c>
      <c r="D82" s="407" t="s">
        <v>1219</v>
      </c>
      <c r="E82" s="407" t="s">
        <v>1049</v>
      </c>
      <c r="F82" s="407" t="s">
        <v>97</v>
      </c>
      <c r="G82" s="407" t="s">
        <v>97</v>
      </c>
      <c r="H82" s="407" t="s">
        <v>97</v>
      </c>
      <c r="I82" s="407" t="s">
        <v>97</v>
      </c>
      <c r="J82" s="407" t="s">
        <v>2307</v>
      </c>
      <c r="K82" s="818">
        <v>44409</v>
      </c>
      <c r="L82" s="407">
        <v>0</v>
      </c>
      <c r="M82" s="407">
        <v>0</v>
      </c>
      <c r="N82" s="407">
        <v>0.1</v>
      </c>
      <c r="O82" s="407">
        <v>0.1</v>
      </c>
      <c r="P82" s="407">
        <v>0.1</v>
      </c>
      <c r="Q82" s="407">
        <v>0.1</v>
      </c>
      <c r="R82" s="407"/>
      <c r="S82" s="407">
        <v>648.44000000000005</v>
      </c>
      <c r="T82" s="407">
        <v>159.41</v>
      </c>
      <c r="U82" s="407"/>
      <c r="V82" s="407">
        <v>80.785000000000011</v>
      </c>
      <c r="W82" s="407">
        <v>80.785000000000011</v>
      </c>
      <c r="X82" s="407">
        <v>61.182000000000002</v>
      </c>
      <c r="Y82" s="407">
        <v>0</v>
      </c>
      <c r="Z82" s="407">
        <v>6.1970250630006705</v>
      </c>
      <c r="AA82" s="407">
        <v>0</v>
      </c>
      <c r="AB82" s="407">
        <v>0</v>
      </c>
      <c r="AC82" s="407">
        <v>0</v>
      </c>
      <c r="AD82" s="407">
        <v>11.664442621191601</v>
      </c>
      <c r="AE82" s="407">
        <v>41.754599078707706</v>
      </c>
      <c r="AF82" s="407">
        <v>15.4230716713109</v>
      </c>
      <c r="AG82" s="407">
        <v>0.5181747238110711</v>
      </c>
      <c r="AH82" s="407">
        <v>0</v>
      </c>
      <c r="AI82" s="407">
        <v>0</v>
      </c>
      <c r="AJ82" s="407">
        <v>0</v>
      </c>
      <c r="AK82" s="407">
        <v>0</v>
      </c>
      <c r="AL82" s="407">
        <v>0.95760553507421309</v>
      </c>
      <c r="AM82" s="407"/>
      <c r="AN82" s="407">
        <v>0.20750956404783599</v>
      </c>
      <c r="AO82" s="407">
        <v>0</v>
      </c>
      <c r="AP82" s="407">
        <v>0</v>
      </c>
      <c r="AQ82" s="407">
        <v>0</v>
      </c>
      <c r="AR82" s="407">
        <v>0</v>
      </c>
      <c r="AS82" s="407">
        <v>0</v>
      </c>
      <c r="AT82" s="407">
        <v>0</v>
      </c>
      <c r="AU82" s="407">
        <v>0</v>
      </c>
      <c r="AV82" s="407">
        <v>0</v>
      </c>
      <c r="AW82" s="407">
        <v>0</v>
      </c>
      <c r="AX82" s="407">
        <v>0</v>
      </c>
      <c r="AY82" s="407">
        <v>0</v>
      </c>
      <c r="AZ82" s="407">
        <v>0</v>
      </c>
      <c r="BA82" s="407"/>
      <c r="BB82" s="407">
        <v>0</v>
      </c>
      <c r="BC82" s="407">
        <v>0</v>
      </c>
      <c r="BD82" s="407">
        <v>0</v>
      </c>
      <c r="BE82" s="407">
        <v>0</v>
      </c>
      <c r="BF82" s="407">
        <v>0</v>
      </c>
      <c r="BG82" s="407">
        <v>1.12737728964953</v>
      </c>
      <c r="BH82" s="407">
        <v>0</v>
      </c>
      <c r="BI82" s="407">
        <v>0.28999999999999998</v>
      </c>
      <c r="BJ82" s="407">
        <v>1.35</v>
      </c>
      <c r="BK82" s="407">
        <v>28.35</v>
      </c>
      <c r="BL82" s="407">
        <v>1</v>
      </c>
      <c r="BM82" s="407"/>
      <c r="BN82" s="407"/>
      <c r="BO82" s="407"/>
      <c r="BP82" s="407"/>
      <c r="BQ82" s="407"/>
      <c r="BR82" s="407"/>
      <c r="BS82" s="407"/>
      <c r="BT82" s="407"/>
      <c r="BU82" s="407"/>
      <c r="BV82" s="407">
        <v>16.550448960960431</v>
      </c>
      <c r="BW82" s="407"/>
      <c r="BX82" s="407"/>
      <c r="BY82" s="407"/>
      <c r="BZ82" s="407"/>
      <c r="CA82" s="407"/>
      <c r="CB82" s="407"/>
      <c r="CC82" s="407"/>
      <c r="CD82" s="407"/>
      <c r="CE82" s="407"/>
      <c r="CF82" s="407"/>
      <c r="CG82" s="407"/>
      <c r="CH82" s="407"/>
      <c r="CI82" s="407">
        <v>61.182000000000002</v>
      </c>
      <c r="CJ82" s="407">
        <v>-19.633000000000024</v>
      </c>
      <c r="CK82" s="407"/>
      <c r="CL82" s="407"/>
      <c r="CM82" s="407"/>
      <c r="CN82" s="407"/>
      <c r="CO82" s="407">
        <v>-22.350000000000009</v>
      </c>
      <c r="CP82" s="407">
        <v>2.7469999999999999</v>
      </c>
      <c r="CQ82" s="407">
        <v>31</v>
      </c>
      <c r="CR82" s="407">
        <v>1.7254018015658303</v>
      </c>
      <c r="CS82" s="407">
        <v>0</v>
      </c>
      <c r="CT82" s="407">
        <v>0</v>
      </c>
      <c r="CU82" s="407">
        <v>0</v>
      </c>
      <c r="CV82" s="407">
        <v>0</v>
      </c>
      <c r="CW82" s="407">
        <v>0</v>
      </c>
      <c r="CX82" s="407">
        <v>0</v>
      </c>
      <c r="CY82" s="407">
        <v>0</v>
      </c>
      <c r="CZ82" s="407">
        <v>0.5269060015730993</v>
      </c>
      <c r="DA82" s="407">
        <v>0</v>
      </c>
      <c r="DB82" s="407">
        <v>0</v>
      </c>
      <c r="DC82" s="407">
        <v>3.0579786147735</v>
      </c>
      <c r="DD82" s="407">
        <v>0</v>
      </c>
      <c r="DE82" s="407">
        <v>0</v>
      </c>
      <c r="DF82" s="407">
        <v>0</v>
      </c>
      <c r="DG82" s="407">
        <v>0.22352847188945013</v>
      </c>
      <c r="DH82" s="407">
        <v>0</v>
      </c>
      <c r="DI82" s="407">
        <v>-0.4340518605727901</v>
      </c>
      <c r="DJ82" s="407"/>
      <c r="DK82" s="407">
        <v>0</v>
      </c>
      <c r="DL82" s="407">
        <v>0</v>
      </c>
      <c r="DM82" s="407">
        <v>0</v>
      </c>
      <c r="DN82" s="407">
        <v>0</v>
      </c>
      <c r="DO82" s="407">
        <v>-5.8424832236519952E-2</v>
      </c>
      <c r="DP82" s="407">
        <v>-1.3222008450923972E-2</v>
      </c>
      <c r="DQ82" s="407">
        <v>0</v>
      </c>
      <c r="DR82" s="407">
        <v>-1.5773125854099781</v>
      </c>
      <c r="DS82" s="407"/>
      <c r="DT82" s="407"/>
      <c r="DU82" s="407"/>
      <c r="DV82" s="407">
        <v>41.754599078707706</v>
      </c>
      <c r="DW82" s="407">
        <v>0</v>
      </c>
      <c r="DX82" s="407">
        <v>0</v>
      </c>
      <c r="DY82" s="407">
        <v>-22.350000000000009</v>
      </c>
      <c r="DZ82" s="407">
        <v>2.7469999999999981</v>
      </c>
      <c r="EA82" s="407">
        <v>0</v>
      </c>
      <c r="EB82" s="407">
        <v>0</v>
      </c>
      <c r="EC82" s="407">
        <v>-21.328346189610905</v>
      </c>
      <c r="ED82" s="407">
        <v>0</v>
      </c>
      <c r="EE82" s="407">
        <v>0</v>
      </c>
      <c r="EF82" s="407">
        <v>0</v>
      </c>
      <c r="EG82" s="407">
        <v>0</v>
      </c>
      <c r="EH82" s="407">
        <v>0</v>
      </c>
      <c r="EI82" s="407">
        <v>0</v>
      </c>
      <c r="EJ82" s="407">
        <v>0</v>
      </c>
      <c r="EK82" s="407">
        <v>0</v>
      </c>
      <c r="EL82" s="407">
        <v>0</v>
      </c>
      <c r="EM82" s="407">
        <v>0</v>
      </c>
      <c r="EN82" s="407">
        <v>0</v>
      </c>
      <c r="EO82" s="407">
        <v>0</v>
      </c>
      <c r="EP82" s="407">
        <v>2.9354199720633005</v>
      </c>
      <c r="EQ82" s="407">
        <v>0</v>
      </c>
      <c r="ER82" s="407">
        <v>0</v>
      </c>
      <c r="ES82" s="407">
        <v>0</v>
      </c>
      <c r="ET82" s="407">
        <v>0</v>
      </c>
      <c r="EU82" s="407">
        <v>0</v>
      </c>
      <c r="EV82" s="407">
        <v>246</v>
      </c>
      <c r="EW82" s="407">
        <v>0</v>
      </c>
      <c r="EX82" s="407">
        <v>0</v>
      </c>
      <c r="EY82" s="407">
        <v>0</v>
      </c>
      <c r="EZ82" s="407"/>
      <c r="FA82" s="407">
        <v>0</v>
      </c>
      <c r="FB82" s="407"/>
      <c r="FC82" s="407"/>
      <c r="FD82" s="407"/>
      <c r="FE82" s="407"/>
      <c r="FF82" s="407">
        <v>0</v>
      </c>
      <c r="FG82" s="407">
        <v>0</v>
      </c>
      <c r="FH82" s="407">
        <v>0</v>
      </c>
      <c r="FI82" s="407">
        <v>0</v>
      </c>
    </row>
    <row r="83" spans="1:165" s="845" customFormat="1">
      <c r="A83" s="407">
        <v>85</v>
      </c>
      <c r="B83" s="407" t="s">
        <v>1090</v>
      </c>
      <c r="C83" s="407" t="s">
        <v>2314</v>
      </c>
      <c r="D83" s="407" t="s">
        <v>650</v>
      </c>
      <c r="E83" s="407" t="s">
        <v>1049</v>
      </c>
      <c r="F83" s="407" t="s">
        <v>97</v>
      </c>
      <c r="G83" s="407" t="s">
        <v>97</v>
      </c>
      <c r="H83" s="407" t="s">
        <v>97</v>
      </c>
      <c r="I83" s="407" t="s">
        <v>1025</v>
      </c>
      <c r="J83" s="407" t="s">
        <v>2307</v>
      </c>
      <c r="K83" s="818">
        <v>44409</v>
      </c>
      <c r="L83" s="407">
        <v>0</v>
      </c>
      <c r="M83" s="407">
        <v>0</v>
      </c>
      <c r="N83" s="407">
        <v>10.337999999999999</v>
      </c>
      <c r="O83" s="407">
        <v>10.337999999999999</v>
      </c>
      <c r="P83" s="407">
        <v>10.337999999999999</v>
      </c>
      <c r="Q83" s="407">
        <v>10.337999999999999</v>
      </c>
      <c r="R83" s="407"/>
      <c r="S83" s="407">
        <v>2810.7</v>
      </c>
      <c r="T83" s="407">
        <v>159.41</v>
      </c>
      <c r="U83" s="407"/>
      <c r="V83" s="407">
        <v>30704.997179999995</v>
      </c>
      <c r="W83" s="407">
        <v>30704.997179999995</v>
      </c>
      <c r="X83" s="407">
        <v>19556.291219999999</v>
      </c>
      <c r="Y83" s="407">
        <v>0</v>
      </c>
      <c r="Z83" s="407">
        <v>557.36415238131769</v>
      </c>
      <c r="AA83" s="407">
        <v>0</v>
      </c>
      <c r="AB83" s="407">
        <v>0</v>
      </c>
      <c r="AC83" s="407">
        <v>0</v>
      </c>
      <c r="AD83" s="407">
        <v>6311.5102044315281</v>
      </c>
      <c r="AE83" s="407">
        <v>21760.341490492032</v>
      </c>
      <c r="AF83" s="407">
        <v>1594.4371493801207</v>
      </c>
      <c r="AG83" s="407">
        <v>53.568902947588519</v>
      </c>
      <c r="AH83" s="407">
        <v>0</v>
      </c>
      <c r="AI83" s="407">
        <v>0</v>
      </c>
      <c r="AJ83" s="407">
        <v>0</v>
      </c>
      <c r="AK83" s="407">
        <v>0</v>
      </c>
      <c r="AL83" s="407">
        <v>98.997260215972133</v>
      </c>
      <c r="AM83" s="407"/>
      <c r="AN83" s="407">
        <v>11.10025572183698</v>
      </c>
      <c r="AO83" s="407">
        <v>0</v>
      </c>
      <c r="AP83" s="407">
        <v>0</v>
      </c>
      <c r="AQ83" s="407">
        <v>0</v>
      </c>
      <c r="AR83" s="407">
        <v>0</v>
      </c>
      <c r="AS83" s="407">
        <v>0</v>
      </c>
      <c r="AT83" s="407">
        <v>0</v>
      </c>
      <c r="AU83" s="407">
        <v>0</v>
      </c>
      <c r="AV83" s="407">
        <v>0</v>
      </c>
      <c r="AW83" s="407">
        <v>0</v>
      </c>
      <c r="AX83" s="407">
        <v>0</v>
      </c>
      <c r="AY83" s="407">
        <v>0</v>
      </c>
      <c r="AZ83" s="407">
        <v>0</v>
      </c>
      <c r="BA83" s="407"/>
      <c r="BB83" s="407">
        <v>0</v>
      </c>
      <c r="BC83" s="407">
        <v>0</v>
      </c>
      <c r="BD83" s="407">
        <v>0</v>
      </c>
      <c r="BE83" s="407">
        <v>0</v>
      </c>
      <c r="BF83" s="407">
        <v>0</v>
      </c>
      <c r="BG83" s="407">
        <v>53.65292112271996</v>
      </c>
      <c r="BH83" s="407">
        <v>0</v>
      </c>
      <c r="BI83" s="407">
        <v>0</v>
      </c>
      <c r="BJ83" s="407">
        <v>0</v>
      </c>
      <c r="BK83" s="407">
        <v>0</v>
      </c>
      <c r="BL83" s="407">
        <v>0</v>
      </c>
      <c r="BM83" s="407"/>
      <c r="BN83" s="407"/>
      <c r="BO83" s="407"/>
      <c r="BP83" s="407"/>
      <c r="BQ83" s="407"/>
      <c r="BR83" s="407"/>
      <c r="BS83" s="407"/>
      <c r="BT83" s="407"/>
      <c r="BU83" s="407"/>
      <c r="BV83" s="407">
        <v>1648.0900705028407</v>
      </c>
      <c r="BW83" s="407"/>
      <c r="BX83" s="407"/>
      <c r="BY83" s="407"/>
      <c r="BZ83" s="407"/>
      <c r="CA83" s="407"/>
      <c r="CB83" s="407"/>
      <c r="CC83" s="407"/>
      <c r="CD83" s="407"/>
      <c r="CE83" s="407"/>
      <c r="CF83" s="407"/>
      <c r="CG83" s="407"/>
      <c r="CH83" s="407"/>
      <c r="CI83" s="407">
        <v>19560.074599999996</v>
      </c>
      <c r="CJ83" s="407">
        <v>-11144.952579999994</v>
      </c>
      <c r="CK83" s="407"/>
      <c r="CL83" s="407"/>
      <c r="CM83" s="407"/>
      <c r="CN83" s="407"/>
      <c r="CO83" s="407">
        <v>-11432.690819999998</v>
      </c>
      <c r="CP83" s="407">
        <v>283.98485999999997</v>
      </c>
      <c r="CQ83" s="407">
        <v>31</v>
      </c>
      <c r="CR83" s="407">
        <v>-33.418587733700406</v>
      </c>
      <c r="CS83" s="407">
        <v>0</v>
      </c>
      <c r="CT83" s="407">
        <v>0</v>
      </c>
      <c r="CU83" s="407">
        <v>0</v>
      </c>
      <c r="CV83" s="407">
        <v>0</v>
      </c>
      <c r="CW83" s="407">
        <v>0</v>
      </c>
      <c r="CX83" s="407">
        <v>0</v>
      </c>
      <c r="CY83" s="407">
        <v>0</v>
      </c>
      <c r="CZ83" s="407">
        <v>285.10343045993523</v>
      </c>
      <c r="DA83" s="407">
        <v>0</v>
      </c>
      <c r="DB83" s="407">
        <v>0</v>
      </c>
      <c r="DC83" s="407">
        <v>316.13382919528431</v>
      </c>
      <c r="DD83" s="407">
        <v>0</v>
      </c>
      <c r="DE83" s="407">
        <v>0</v>
      </c>
      <c r="DF83" s="407">
        <v>0</v>
      </c>
      <c r="DG83" s="407">
        <v>10.637925369860014</v>
      </c>
      <c r="DH83" s="407">
        <v>0</v>
      </c>
      <c r="DI83" s="407">
        <v>-39.038884771033395</v>
      </c>
      <c r="DJ83" s="407"/>
      <c r="DK83" s="407">
        <v>0</v>
      </c>
      <c r="DL83" s="407">
        <v>0</v>
      </c>
      <c r="DM83" s="407">
        <v>0</v>
      </c>
      <c r="DN83" s="407">
        <v>0</v>
      </c>
      <c r="DO83" s="407">
        <v>-6.039959156611431</v>
      </c>
      <c r="DP83" s="407">
        <v>-0.7072814963251659</v>
      </c>
      <c r="DQ83" s="407">
        <v>0</v>
      </c>
      <c r="DR83" s="407">
        <v>-599.50764733481083</v>
      </c>
      <c r="DS83" s="407"/>
      <c r="DT83" s="407"/>
      <c r="DU83" s="407"/>
      <c r="DV83" s="407">
        <v>21760.341490492032</v>
      </c>
      <c r="DW83" s="407">
        <v>0</v>
      </c>
      <c r="DX83" s="407">
        <v>0</v>
      </c>
      <c r="DY83" s="407">
        <v>-11432.690819999996</v>
      </c>
      <c r="DZ83" s="407">
        <v>283.9848599999998</v>
      </c>
      <c r="EA83" s="407">
        <v>0</v>
      </c>
      <c r="EB83" s="407">
        <v>0</v>
      </c>
      <c r="EC83" s="407">
        <v>-11115.232974420633</v>
      </c>
      <c r="ED83" s="407">
        <v>0</v>
      </c>
      <c r="EE83" s="407">
        <v>0</v>
      </c>
      <c r="EF83" s="407">
        <v>0</v>
      </c>
      <c r="EG83" s="407">
        <v>0</v>
      </c>
      <c r="EH83" s="407">
        <v>0</v>
      </c>
      <c r="EI83" s="407">
        <v>0</v>
      </c>
      <c r="EJ83" s="407">
        <v>0</v>
      </c>
      <c r="EK83" s="407">
        <v>0</v>
      </c>
      <c r="EL83" s="407">
        <v>0</v>
      </c>
      <c r="EM83" s="407">
        <v>0</v>
      </c>
      <c r="EN83" s="407">
        <v>0</v>
      </c>
      <c r="EO83" s="407">
        <v>0</v>
      </c>
      <c r="EP83" s="407">
        <v>264.0134335393563</v>
      </c>
      <c r="EQ83" s="407">
        <v>0</v>
      </c>
      <c r="ER83" s="407">
        <v>0</v>
      </c>
      <c r="ES83" s="407">
        <v>0</v>
      </c>
      <c r="ET83" s="407">
        <v>0</v>
      </c>
      <c r="EU83" s="407">
        <v>0</v>
      </c>
      <c r="EV83" s="407">
        <v>246</v>
      </c>
      <c r="EW83" s="407">
        <v>0</v>
      </c>
      <c r="EX83" s="407">
        <v>0</v>
      </c>
      <c r="EY83" s="407">
        <v>0</v>
      </c>
      <c r="EZ83" s="407"/>
      <c r="FA83" s="407">
        <v>0</v>
      </c>
      <c r="FB83" s="407"/>
      <c r="FC83" s="407"/>
      <c r="FD83" s="407"/>
      <c r="FE83" s="407"/>
      <c r="FF83" s="407">
        <v>0</v>
      </c>
      <c r="FG83" s="407">
        <v>0</v>
      </c>
      <c r="FH83" s="407">
        <v>0</v>
      </c>
      <c r="FI83" s="407">
        <v>0</v>
      </c>
    </row>
    <row r="84" spans="1:165" s="845" customFormat="1">
      <c r="A84" s="407">
        <v>86</v>
      </c>
      <c r="B84" s="407" t="s">
        <v>2309</v>
      </c>
      <c r="C84" s="407" t="s">
        <v>2314</v>
      </c>
      <c r="D84" s="407" t="s">
        <v>650</v>
      </c>
      <c r="E84" s="407" t="s">
        <v>1049</v>
      </c>
      <c r="F84" s="407" t="s">
        <v>97</v>
      </c>
      <c r="G84" s="407" t="s">
        <v>97</v>
      </c>
      <c r="H84" s="407" t="s">
        <v>97</v>
      </c>
      <c r="I84" s="407" t="s">
        <v>1025</v>
      </c>
      <c r="J84" s="407" t="s">
        <v>2307</v>
      </c>
      <c r="K84" s="818">
        <v>44409</v>
      </c>
      <c r="L84" s="407">
        <v>0</v>
      </c>
      <c r="M84" s="407">
        <v>0</v>
      </c>
      <c r="N84" s="407">
        <v>0.53300000000000003</v>
      </c>
      <c r="O84" s="407">
        <v>0.53300000000000003</v>
      </c>
      <c r="P84" s="407">
        <v>0.53300000000000003</v>
      </c>
      <c r="Q84" s="407">
        <v>0.53300000000000003</v>
      </c>
      <c r="R84" s="407"/>
      <c r="S84" s="407">
        <v>2810.7</v>
      </c>
      <c r="T84" s="407">
        <v>159.41</v>
      </c>
      <c r="U84" s="407"/>
      <c r="V84" s="407">
        <v>1583.06863</v>
      </c>
      <c r="W84" s="407">
        <v>1583.06863</v>
      </c>
      <c r="X84" s="407">
        <v>1008.27077</v>
      </c>
      <c r="Y84" s="407">
        <v>0</v>
      </c>
      <c r="Z84" s="407">
        <v>28.736224919640392</v>
      </c>
      <c r="AA84" s="407">
        <v>0</v>
      </c>
      <c r="AB84" s="407">
        <v>0</v>
      </c>
      <c r="AC84" s="407">
        <v>0</v>
      </c>
      <c r="AD84" s="407">
        <v>325.40481127510208</v>
      </c>
      <c r="AE84" s="407">
        <v>1121.9057858804656</v>
      </c>
      <c r="AF84" s="407">
        <v>82.204972008087097</v>
      </c>
      <c r="AG84" s="407">
        <v>2.7618712779130088</v>
      </c>
      <c r="AH84" s="407">
        <v>0</v>
      </c>
      <c r="AI84" s="407">
        <v>0</v>
      </c>
      <c r="AJ84" s="407">
        <v>0</v>
      </c>
      <c r="AK84" s="407">
        <v>0</v>
      </c>
      <c r="AL84" s="407">
        <v>5.1040375019455562</v>
      </c>
      <c r="AM84" s="407"/>
      <c r="AN84" s="407">
        <v>0.57229989357120437</v>
      </c>
      <c r="AO84" s="407">
        <v>0</v>
      </c>
      <c r="AP84" s="407">
        <v>0</v>
      </c>
      <c r="AQ84" s="407">
        <v>0</v>
      </c>
      <c r="AR84" s="407">
        <v>0</v>
      </c>
      <c r="AS84" s="407">
        <v>0</v>
      </c>
      <c r="AT84" s="407">
        <v>0</v>
      </c>
      <c r="AU84" s="407">
        <v>0</v>
      </c>
      <c r="AV84" s="407">
        <v>0</v>
      </c>
      <c r="AW84" s="407">
        <v>0</v>
      </c>
      <c r="AX84" s="407">
        <v>0</v>
      </c>
      <c r="AY84" s="407">
        <v>0</v>
      </c>
      <c r="AZ84" s="407">
        <v>0</v>
      </c>
      <c r="BA84" s="407"/>
      <c r="BB84" s="407">
        <v>0</v>
      </c>
      <c r="BC84" s="407">
        <v>0</v>
      </c>
      <c r="BD84" s="407">
        <v>0</v>
      </c>
      <c r="BE84" s="407">
        <v>0</v>
      </c>
      <c r="BF84" s="407">
        <v>0</v>
      </c>
      <c r="BG84" s="407">
        <v>2.7662030333149299</v>
      </c>
      <c r="BH84" s="407">
        <v>0</v>
      </c>
      <c r="BI84" s="407">
        <v>0</v>
      </c>
      <c r="BJ84" s="407">
        <v>0</v>
      </c>
      <c r="BK84" s="407">
        <v>0</v>
      </c>
      <c r="BL84" s="407">
        <v>0</v>
      </c>
      <c r="BM84" s="407"/>
      <c r="BN84" s="407"/>
      <c r="BO84" s="407"/>
      <c r="BP84" s="407"/>
      <c r="BQ84" s="407"/>
      <c r="BR84" s="407"/>
      <c r="BS84" s="407"/>
      <c r="BT84" s="407"/>
      <c r="BU84" s="407"/>
      <c r="BV84" s="407">
        <v>84.97117504140202</v>
      </c>
      <c r="BW84" s="407"/>
      <c r="BX84" s="407"/>
      <c r="BY84" s="407"/>
      <c r="BZ84" s="407"/>
      <c r="CA84" s="407"/>
      <c r="CB84" s="407"/>
      <c r="CC84" s="407"/>
      <c r="CD84" s="407"/>
      <c r="CE84" s="407"/>
      <c r="CF84" s="407"/>
      <c r="CG84" s="407"/>
      <c r="CH84" s="407"/>
      <c r="CI84" s="407">
        <v>1002.5957000000001</v>
      </c>
      <c r="CJ84" s="407">
        <v>-580.50292999999988</v>
      </c>
      <c r="CK84" s="407"/>
      <c r="CL84" s="407"/>
      <c r="CM84" s="407"/>
      <c r="CN84" s="407"/>
      <c r="CO84" s="407">
        <v>-589.43936999999994</v>
      </c>
      <c r="CP84" s="407">
        <v>14.64151</v>
      </c>
      <c r="CQ84" s="407">
        <v>31</v>
      </c>
      <c r="CR84" s="407">
        <v>-1.722974198303632</v>
      </c>
      <c r="CS84" s="407">
        <v>0</v>
      </c>
      <c r="CT84" s="407">
        <v>0</v>
      </c>
      <c r="CU84" s="407">
        <v>0</v>
      </c>
      <c r="CV84" s="407">
        <v>0</v>
      </c>
      <c r="CW84" s="407">
        <v>0</v>
      </c>
      <c r="CX84" s="407">
        <v>0</v>
      </c>
      <c r="CY84" s="407">
        <v>0</v>
      </c>
      <c r="CZ84" s="407">
        <v>14.699180541221267</v>
      </c>
      <c r="DA84" s="407">
        <v>0</v>
      </c>
      <c r="DB84" s="407">
        <v>0</v>
      </c>
      <c r="DC84" s="407">
        <v>16.299026016742758</v>
      </c>
      <c r="DD84" s="407">
        <v>0</v>
      </c>
      <c r="DE84" s="407">
        <v>0</v>
      </c>
      <c r="DF84" s="407">
        <v>0</v>
      </c>
      <c r="DG84" s="407">
        <v>0.54846336062443291</v>
      </c>
      <c r="DH84" s="407">
        <v>0</v>
      </c>
      <c r="DI84" s="407">
        <v>-2.0127418826621017</v>
      </c>
      <c r="DJ84" s="407"/>
      <c r="DK84" s="407">
        <v>0</v>
      </c>
      <c r="DL84" s="407">
        <v>0</v>
      </c>
      <c r="DM84" s="407">
        <v>0</v>
      </c>
      <c r="DN84" s="407">
        <v>0</v>
      </c>
      <c r="DO84" s="407">
        <v>-0.31140435582065162</v>
      </c>
      <c r="DP84" s="407">
        <v>-3.6465567570256541E-2</v>
      </c>
      <c r="DQ84" s="407">
        <v>0</v>
      </c>
      <c r="DR84" s="407">
        <v>-30.909032310839063</v>
      </c>
      <c r="DS84" s="407"/>
      <c r="DT84" s="407"/>
      <c r="DU84" s="407"/>
      <c r="DV84" s="407">
        <v>1121.9057858804656</v>
      </c>
      <c r="DW84" s="407">
        <v>0</v>
      </c>
      <c r="DX84" s="407">
        <v>0</v>
      </c>
      <c r="DY84" s="407">
        <v>-589.43937000000005</v>
      </c>
      <c r="DZ84" s="407">
        <v>14.641509999999997</v>
      </c>
      <c r="EA84" s="407">
        <v>0</v>
      </c>
      <c r="EB84" s="407">
        <v>0</v>
      </c>
      <c r="EC84" s="407">
        <v>-573.07208119231927</v>
      </c>
      <c r="ED84" s="407">
        <v>0</v>
      </c>
      <c r="EE84" s="407">
        <v>0</v>
      </c>
      <c r="EF84" s="407">
        <v>0</v>
      </c>
      <c r="EG84" s="407">
        <v>0</v>
      </c>
      <c r="EH84" s="407">
        <v>0</v>
      </c>
      <c r="EI84" s="407">
        <v>0</v>
      </c>
      <c r="EJ84" s="407">
        <v>0</v>
      </c>
      <c r="EK84" s="407">
        <v>0</v>
      </c>
      <c r="EL84" s="407">
        <v>0</v>
      </c>
      <c r="EM84" s="407">
        <v>0</v>
      </c>
      <c r="EN84" s="407">
        <v>0</v>
      </c>
      <c r="EO84" s="407">
        <v>0</v>
      </c>
      <c r="EP84" s="407">
        <v>13.611835952454724</v>
      </c>
      <c r="EQ84" s="407">
        <v>0</v>
      </c>
      <c r="ER84" s="407">
        <v>0</v>
      </c>
      <c r="ES84" s="407">
        <v>0</v>
      </c>
      <c r="ET84" s="407">
        <v>0</v>
      </c>
      <c r="EU84" s="407">
        <v>0</v>
      </c>
      <c r="EV84" s="407">
        <v>246</v>
      </c>
      <c r="EW84" s="407">
        <v>0</v>
      </c>
      <c r="EX84" s="407">
        <v>0</v>
      </c>
      <c r="EY84" s="407">
        <v>0</v>
      </c>
      <c r="EZ84" s="407"/>
      <c r="FA84" s="407">
        <v>0</v>
      </c>
      <c r="FB84" s="407"/>
      <c r="FC84" s="407"/>
      <c r="FD84" s="407"/>
      <c r="FE84" s="407"/>
      <c r="FF84" s="407">
        <v>0</v>
      </c>
      <c r="FG84" s="407">
        <v>0</v>
      </c>
      <c r="FH84" s="407">
        <v>0</v>
      </c>
      <c r="FI84" s="407">
        <v>0</v>
      </c>
    </row>
    <row r="85" spans="1:165" s="845" customFormat="1">
      <c r="A85" s="407">
        <v>87</v>
      </c>
      <c r="B85" s="407" t="s">
        <v>1090</v>
      </c>
      <c r="C85" s="407" t="s">
        <v>2314</v>
      </c>
      <c r="D85" s="407" t="s">
        <v>650</v>
      </c>
      <c r="E85" s="407" t="s">
        <v>1049</v>
      </c>
      <c r="F85" s="407" t="s">
        <v>97</v>
      </c>
      <c r="G85" s="407" t="s">
        <v>97</v>
      </c>
      <c r="H85" s="407" t="s">
        <v>97</v>
      </c>
      <c r="I85" s="407" t="s">
        <v>2290</v>
      </c>
      <c r="J85" s="407" t="s">
        <v>2307</v>
      </c>
      <c r="K85" s="818">
        <v>44409</v>
      </c>
      <c r="L85" s="407">
        <v>0</v>
      </c>
      <c r="M85" s="407">
        <v>0</v>
      </c>
      <c r="N85" s="407">
        <v>107.54300000000001</v>
      </c>
      <c r="O85" s="407">
        <v>107.54300000000001</v>
      </c>
      <c r="P85" s="407">
        <v>107.54300000000001</v>
      </c>
      <c r="Q85" s="407">
        <v>107.54300000000001</v>
      </c>
      <c r="R85" s="407"/>
      <c r="S85" s="407">
        <v>95.29</v>
      </c>
      <c r="T85" s="407">
        <v>159.41</v>
      </c>
      <c r="U85" s="407"/>
      <c r="V85" s="407">
        <v>27391.202100000002</v>
      </c>
      <c r="W85" s="407">
        <v>27391.202100000002</v>
      </c>
      <c r="X85" s="407">
        <v>29779.73213</v>
      </c>
      <c r="Y85" s="407">
        <v>0</v>
      </c>
      <c r="Z85" s="407">
        <v>5798.0859972474418</v>
      </c>
      <c r="AA85" s="407">
        <v>0</v>
      </c>
      <c r="AB85" s="407">
        <v>0</v>
      </c>
      <c r="AC85" s="407">
        <v>0</v>
      </c>
      <c r="AD85" s="407">
        <v>0</v>
      </c>
      <c r="AE85" s="407">
        <v>0</v>
      </c>
      <c r="AF85" s="407">
        <v>16586.433967477882</v>
      </c>
      <c r="AG85" s="407">
        <v>557.26064322814011</v>
      </c>
      <c r="AH85" s="407">
        <v>0</v>
      </c>
      <c r="AI85" s="407">
        <v>0</v>
      </c>
      <c r="AJ85" s="407">
        <v>0</v>
      </c>
      <c r="AK85" s="407">
        <v>0</v>
      </c>
      <c r="AL85" s="407">
        <v>1029.837720584861</v>
      </c>
      <c r="AM85" s="407"/>
      <c r="AN85" s="407">
        <v>115.47250929517455</v>
      </c>
      <c r="AO85" s="407">
        <v>0</v>
      </c>
      <c r="AP85" s="407">
        <v>0</v>
      </c>
      <c r="AQ85" s="407">
        <v>0</v>
      </c>
      <c r="AR85" s="407">
        <v>0</v>
      </c>
      <c r="AS85" s="407">
        <v>0</v>
      </c>
      <c r="AT85" s="407">
        <v>0</v>
      </c>
      <c r="AU85" s="407">
        <v>0</v>
      </c>
      <c r="AV85" s="407">
        <v>0</v>
      </c>
      <c r="AW85" s="407">
        <v>0</v>
      </c>
      <c r="AX85" s="407">
        <v>0</v>
      </c>
      <c r="AY85" s="407">
        <v>0</v>
      </c>
      <c r="AZ85" s="407">
        <v>0</v>
      </c>
      <c r="BA85" s="407"/>
      <c r="BB85" s="407">
        <v>0</v>
      </c>
      <c r="BC85" s="407">
        <v>0</v>
      </c>
      <c r="BD85" s="407">
        <v>0</v>
      </c>
      <c r="BE85" s="407">
        <v>0</v>
      </c>
      <c r="BF85" s="407">
        <v>0</v>
      </c>
      <c r="BG85" s="407">
        <v>558.13465818346617</v>
      </c>
      <c r="BH85" s="407">
        <v>0</v>
      </c>
      <c r="BI85" s="407">
        <v>0</v>
      </c>
      <c r="BJ85" s="407">
        <v>0</v>
      </c>
      <c r="BK85" s="407">
        <v>0</v>
      </c>
      <c r="BL85" s="407">
        <v>0</v>
      </c>
      <c r="BM85" s="407"/>
      <c r="BN85" s="407"/>
      <c r="BO85" s="407"/>
      <c r="BP85" s="407"/>
      <c r="BQ85" s="407"/>
      <c r="BR85" s="407"/>
      <c r="BS85" s="407"/>
      <c r="BT85" s="407"/>
      <c r="BU85" s="407"/>
      <c r="BV85" s="407">
        <v>17144.568625661348</v>
      </c>
      <c r="BW85" s="407"/>
      <c r="BX85" s="407"/>
      <c r="BY85" s="407"/>
      <c r="BZ85" s="407"/>
      <c r="CA85" s="407"/>
      <c r="CB85" s="407"/>
      <c r="CC85" s="407"/>
      <c r="CD85" s="407"/>
      <c r="CE85" s="407"/>
      <c r="CF85" s="407"/>
      <c r="CG85" s="407"/>
      <c r="CH85" s="407"/>
      <c r="CI85" s="407">
        <v>29778.901400000002</v>
      </c>
      <c r="CJ85" s="407">
        <v>2387.6692999999977</v>
      </c>
      <c r="CK85" s="407"/>
      <c r="CL85" s="407"/>
      <c r="CM85" s="407"/>
      <c r="CN85" s="407"/>
      <c r="CO85" s="407">
        <v>-565.67618000000061</v>
      </c>
      <c r="CP85" s="407">
        <v>2954.2062099999998</v>
      </c>
      <c r="CQ85" s="407">
        <v>31</v>
      </c>
      <c r="CR85" s="407">
        <v>2388.1901091162181</v>
      </c>
      <c r="CS85" s="407">
        <v>0</v>
      </c>
      <c r="CT85" s="407">
        <v>0</v>
      </c>
      <c r="CU85" s="407">
        <v>0</v>
      </c>
      <c r="CV85" s="407">
        <v>0</v>
      </c>
      <c r="CW85" s="407">
        <v>0</v>
      </c>
      <c r="CX85" s="407">
        <v>0</v>
      </c>
      <c r="CY85" s="407">
        <v>0</v>
      </c>
      <c r="CZ85" s="407">
        <v>0</v>
      </c>
      <c r="DA85" s="407">
        <v>0</v>
      </c>
      <c r="DB85" s="407">
        <v>0</v>
      </c>
      <c r="DC85" s="407">
        <v>3288.6419416858662</v>
      </c>
      <c r="DD85" s="407">
        <v>0</v>
      </c>
      <c r="DE85" s="407">
        <v>0</v>
      </c>
      <c r="DF85" s="407">
        <v>0</v>
      </c>
      <c r="DG85" s="407">
        <v>110.66303037829903</v>
      </c>
      <c r="DH85" s="407">
        <v>0</v>
      </c>
      <c r="DI85" s="407">
        <v>-406.10938140174494</v>
      </c>
      <c r="DJ85" s="407"/>
      <c r="DK85" s="407">
        <v>0</v>
      </c>
      <c r="DL85" s="407">
        <v>0</v>
      </c>
      <c r="DM85" s="407">
        <v>0</v>
      </c>
      <c r="DN85" s="407">
        <v>0</v>
      </c>
      <c r="DO85" s="407">
        <v>-62.83181733212075</v>
      </c>
      <c r="DP85" s="407">
        <v>-7.3576295182140825</v>
      </c>
      <c r="DQ85" s="407">
        <v>0</v>
      </c>
      <c r="DR85" s="407">
        <v>-534.81603469586537</v>
      </c>
      <c r="DS85" s="407"/>
      <c r="DT85" s="407"/>
      <c r="DU85" s="407"/>
      <c r="DV85" s="407">
        <v>0</v>
      </c>
      <c r="DW85" s="407">
        <v>0</v>
      </c>
      <c r="DX85" s="407">
        <v>0</v>
      </c>
      <c r="DY85" s="407">
        <v>-565.67618000000039</v>
      </c>
      <c r="DZ85" s="407">
        <v>2954.2062099999966</v>
      </c>
      <c r="EA85" s="407">
        <v>0</v>
      </c>
      <c r="EB85" s="407">
        <v>0</v>
      </c>
      <c r="EC85" s="407">
        <v>0</v>
      </c>
      <c r="ED85" s="407">
        <v>0</v>
      </c>
      <c r="EE85" s="407">
        <v>0</v>
      </c>
      <c r="EF85" s="407">
        <v>0</v>
      </c>
      <c r="EG85" s="407">
        <v>0</v>
      </c>
      <c r="EH85" s="407">
        <v>0</v>
      </c>
      <c r="EI85" s="407">
        <v>0</v>
      </c>
      <c r="EJ85" s="407">
        <v>0</v>
      </c>
      <c r="EK85" s="407">
        <v>0</v>
      </c>
      <c r="EL85" s="407">
        <v>0</v>
      </c>
      <c r="EM85" s="407">
        <v>0</v>
      </c>
      <c r="EN85" s="407">
        <v>0</v>
      </c>
      <c r="EO85" s="407">
        <v>0</v>
      </c>
      <c r="EP85" s="407">
        <v>2746.4496694837489</v>
      </c>
      <c r="EQ85" s="407">
        <v>0</v>
      </c>
      <c r="ER85" s="407">
        <v>0</v>
      </c>
      <c r="ES85" s="407">
        <v>0</v>
      </c>
      <c r="ET85" s="407">
        <v>0</v>
      </c>
      <c r="EU85" s="407">
        <v>0</v>
      </c>
      <c r="EV85" s="407">
        <v>246</v>
      </c>
      <c r="EW85" s="407">
        <v>0</v>
      </c>
      <c r="EX85" s="407">
        <v>0</v>
      </c>
      <c r="EY85" s="407">
        <v>0</v>
      </c>
      <c r="EZ85" s="407"/>
      <c r="FA85" s="407">
        <v>0</v>
      </c>
      <c r="FB85" s="407"/>
      <c r="FC85" s="407"/>
      <c r="FD85" s="407"/>
      <c r="FE85" s="407"/>
      <c r="FF85" s="407">
        <v>0</v>
      </c>
      <c r="FG85" s="407">
        <v>0</v>
      </c>
      <c r="FH85" s="407">
        <v>0</v>
      </c>
      <c r="FI85" s="407">
        <v>0</v>
      </c>
    </row>
    <row r="86" spans="1:165" s="845" customFormat="1">
      <c r="A86" s="407">
        <v>88</v>
      </c>
      <c r="B86" s="407" t="s">
        <v>2309</v>
      </c>
      <c r="C86" s="407" t="s">
        <v>2314</v>
      </c>
      <c r="D86" s="407" t="s">
        <v>650</v>
      </c>
      <c r="E86" s="407" t="s">
        <v>1049</v>
      </c>
      <c r="F86" s="407" t="s">
        <v>97</v>
      </c>
      <c r="G86" s="407" t="s">
        <v>97</v>
      </c>
      <c r="H86" s="407" t="s">
        <v>97</v>
      </c>
      <c r="I86" s="407" t="s">
        <v>2290</v>
      </c>
      <c r="J86" s="407" t="s">
        <v>2307</v>
      </c>
      <c r="K86" s="818">
        <v>44409</v>
      </c>
      <c r="L86" s="407">
        <v>0</v>
      </c>
      <c r="M86" s="407">
        <v>0</v>
      </c>
      <c r="N86" s="407">
        <v>10.587999999999999</v>
      </c>
      <c r="O86" s="407">
        <v>10.587999999999999</v>
      </c>
      <c r="P86" s="407">
        <v>10.587999999999999</v>
      </c>
      <c r="Q86" s="407">
        <v>10.587999999999999</v>
      </c>
      <c r="R86" s="407"/>
      <c r="S86" s="407">
        <v>95.29</v>
      </c>
      <c r="T86" s="407">
        <v>159.41</v>
      </c>
      <c r="U86" s="407"/>
      <c r="V86" s="407">
        <v>2696.7635999999998</v>
      </c>
      <c r="W86" s="407">
        <v>2696.7635999999998</v>
      </c>
      <c r="X86" s="407">
        <v>2931.9230799999996</v>
      </c>
      <c r="Y86" s="407">
        <v>0</v>
      </c>
      <c r="Z86" s="407">
        <v>570.84268189334421</v>
      </c>
      <c r="AA86" s="407">
        <v>0</v>
      </c>
      <c r="AB86" s="407">
        <v>0</v>
      </c>
      <c r="AC86" s="407">
        <v>0</v>
      </c>
      <c r="AD86" s="407">
        <v>0</v>
      </c>
      <c r="AE86" s="407">
        <v>0</v>
      </c>
      <c r="AF86" s="407">
        <v>1632.9948285583978</v>
      </c>
      <c r="AG86" s="407">
        <v>54.864339757116198</v>
      </c>
      <c r="AH86" s="407">
        <v>0</v>
      </c>
      <c r="AI86" s="407">
        <v>0</v>
      </c>
      <c r="AJ86" s="407">
        <v>0</v>
      </c>
      <c r="AK86" s="407">
        <v>0</v>
      </c>
      <c r="AL86" s="407">
        <v>101.39127405365767</v>
      </c>
      <c r="AM86" s="407"/>
      <c r="AN86" s="407">
        <v>11.368689067789703</v>
      </c>
      <c r="AO86" s="407">
        <v>0</v>
      </c>
      <c r="AP86" s="407">
        <v>0</v>
      </c>
      <c r="AQ86" s="407">
        <v>0</v>
      </c>
      <c r="AR86" s="407">
        <v>0</v>
      </c>
      <c r="AS86" s="407">
        <v>0</v>
      </c>
      <c r="AT86" s="407">
        <v>0</v>
      </c>
      <c r="AU86" s="407">
        <v>0</v>
      </c>
      <c r="AV86" s="407">
        <v>0</v>
      </c>
      <c r="AW86" s="407">
        <v>0</v>
      </c>
      <c r="AX86" s="407">
        <v>0</v>
      </c>
      <c r="AY86" s="407">
        <v>0</v>
      </c>
      <c r="AZ86" s="407">
        <v>0</v>
      </c>
      <c r="BA86" s="407"/>
      <c r="BB86" s="407">
        <v>0</v>
      </c>
      <c r="BC86" s="407">
        <v>0</v>
      </c>
      <c r="BD86" s="407">
        <v>0</v>
      </c>
      <c r="BE86" s="407">
        <v>0</v>
      </c>
      <c r="BF86" s="407">
        <v>0</v>
      </c>
      <c r="BG86" s="407">
        <v>54.950389712454921</v>
      </c>
      <c r="BH86" s="407">
        <v>0</v>
      </c>
      <c r="BI86" s="407">
        <v>0</v>
      </c>
      <c r="BJ86" s="407">
        <v>0</v>
      </c>
      <c r="BK86" s="407">
        <v>0</v>
      </c>
      <c r="BL86" s="407">
        <v>0</v>
      </c>
      <c r="BM86" s="407"/>
      <c r="BN86" s="407"/>
      <c r="BO86" s="407"/>
      <c r="BP86" s="407"/>
      <c r="BQ86" s="407"/>
      <c r="BR86" s="407"/>
      <c r="BS86" s="407"/>
      <c r="BT86" s="407"/>
      <c r="BU86" s="407"/>
      <c r="BV86" s="407">
        <v>1687.9452182708528</v>
      </c>
      <c r="BW86" s="407"/>
      <c r="BX86" s="407"/>
      <c r="BY86" s="407"/>
      <c r="BZ86" s="407"/>
      <c r="CA86" s="407"/>
      <c r="CB86" s="407"/>
      <c r="CC86" s="407"/>
      <c r="CD86" s="407"/>
      <c r="CE86" s="407"/>
      <c r="CF86" s="407"/>
      <c r="CG86" s="407"/>
      <c r="CH86" s="407"/>
      <c r="CI86" s="407">
        <v>2932.4768999999997</v>
      </c>
      <c r="CJ86" s="407">
        <v>235.68329999999969</v>
      </c>
      <c r="CK86" s="407"/>
      <c r="CL86" s="407"/>
      <c r="CM86" s="407"/>
      <c r="CN86" s="407"/>
      <c r="CO86" s="407">
        <v>-55.692880000000052</v>
      </c>
      <c r="CP86" s="407">
        <v>290.85235999999998</v>
      </c>
      <c r="CQ86" s="407">
        <v>31</v>
      </c>
      <c r="CR86" s="407">
        <v>235.12601355106835</v>
      </c>
      <c r="CS86" s="407">
        <v>0</v>
      </c>
      <c r="CT86" s="407">
        <v>0</v>
      </c>
      <c r="CU86" s="407">
        <v>0</v>
      </c>
      <c r="CV86" s="407">
        <v>0</v>
      </c>
      <c r="CW86" s="407">
        <v>0</v>
      </c>
      <c r="CX86" s="407">
        <v>0</v>
      </c>
      <c r="CY86" s="407">
        <v>0</v>
      </c>
      <c r="CZ86" s="407">
        <v>0</v>
      </c>
      <c r="DA86" s="407">
        <v>0</v>
      </c>
      <c r="DB86" s="407">
        <v>0</v>
      </c>
      <c r="DC86" s="407">
        <v>323.77877573221826</v>
      </c>
      <c r="DD86" s="407">
        <v>0</v>
      </c>
      <c r="DE86" s="407">
        <v>0</v>
      </c>
      <c r="DF86" s="407">
        <v>0</v>
      </c>
      <c r="DG86" s="407">
        <v>10.89517835326734</v>
      </c>
      <c r="DH86" s="407">
        <v>0</v>
      </c>
      <c r="DI86" s="407">
        <v>-39.982947567779206</v>
      </c>
      <c r="DJ86" s="407"/>
      <c r="DK86" s="407">
        <v>0</v>
      </c>
      <c r="DL86" s="407">
        <v>0</v>
      </c>
      <c r="DM86" s="407">
        <v>0</v>
      </c>
      <c r="DN86" s="407">
        <v>0</v>
      </c>
      <c r="DO86" s="407">
        <v>-6.1860212372027377</v>
      </c>
      <c r="DP86" s="407">
        <v>-0.72438542107669335</v>
      </c>
      <c r="DQ86" s="407">
        <v>0</v>
      </c>
      <c r="DR86" s="407">
        <v>-52.654586308358716</v>
      </c>
      <c r="DS86" s="407"/>
      <c r="DT86" s="407"/>
      <c r="DU86" s="407"/>
      <c r="DV86" s="407">
        <v>0</v>
      </c>
      <c r="DW86" s="407">
        <v>0</v>
      </c>
      <c r="DX86" s="407">
        <v>0</v>
      </c>
      <c r="DY86" s="407">
        <v>-55.692880000000059</v>
      </c>
      <c r="DZ86" s="407">
        <v>290.85235999999986</v>
      </c>
      <c r="EA86" s="407">
        <v>0</v>
      </c>
      <c r="EB86" s="407">
        <v>0</v>
      </c>
      <c r="EC86" s="407">
        <v>0</v>
      </c>
      <c r="ED86" s="407">
        <v>0</v>
      </c>
      <c r="EE86" s="407">
        <v>0</v>
      </c>
      <c r="EF86" s="407">
        <v>0</v>
      </c>
      <c r="EG86" s="407">
        <v>0</v>
      </c>
      <c r="EH86" s="407">
        <v>0</v>
      </c>
      <c r="EI86" s="407">
        <v>0</v>
      </c>
      <c r="EJ86" s="407">
        <v>0</v>
      </c>
      <c r="EK86" s="407">
        <v>0</v>
      </c>
      <c r="EL86" s="407">
        <v>0</v>
      </c>
      <c r="EM86" s="407">
        <v>0</v>
      </c>
      <c r="EN86" s="407">
        <v>0</v>
      </c>
      <c r="EO86" s="407">
        <v>0</v>
      </c>
      <c r="EP86" s="407">
        <v>270.397971978594</v>
      </c>
      <c r="EQ86" s="407">
        <v>0</v>
      </c>
      <c r="ER86" s="407">
        <v>0</v>
      </c>
      <c r="ES86" s="407">
        <v>0</v>
      </c>
      <c r="ET86" s="407">
        <v>0</v>
      </c>
      <c r="EU86" s="407">
        <v>0</v>
      </c>
      <c r="EV86" s="407">
        <v>246</v>
      </c>
      <c r="EW86" s="407">
        <v>0</v>
      </c>
      <c r="EX86" s="407">
        <v>0</v>
      </c>
      <c r="EY86" s="407">
        <v>0</v>
      </c>
      <c r="EZ86" s="407"/>
      <c r="FA86" s="407">
        <v>0</v>
      </c>
      <c r="FB86" s="407"/>
      <c r="FC86" s="407"/>
      <c r="FD86" s="407"/>
      <c r="FE86" s="407"/>
      <c r="FF86" s="407">
        <v>0</v>
      </c>
      <c r="FG86" s="407">
        <v>0</v>
      </c>
      <c r="FH86" s="407">
        <v>0</v>
      </c>
      <c r="FI86" s="407">
        <v>0</v>
      </c>
    </row>
    <row r="87" spans="1:165" s="845" customFormat="1">
      <c r="A87" s="407">
        <v>89</v>
      </c>
      <c r="B87" s="407" t="s">
        <v>1090</v>
      </c>
      <c r="C87" s="407" t="s">
        <v>2314</v>
      </c>
      <c r="D87" s="407" t="s">
        <v>650</v>
      </c>
      <c r="E87" s="407" t="s">
        <v>1049</v>
      </c>
      <c r="F87" s="407" t="s">
        <v>97</v>
      </c>
      <c r="G87" s="407" t="s">
        <v>97</v>
      </c>
      <c r="H87" s="407" t="s">
        <v>97</v>
      </c>
      <c r="I87" s="407" t="s">
        <v>97</v>
      </c>
      <c r="J87" s="407" t="s">
        <v>2307</v>
      </c>
      <c r="K87" s="818">
        <v>44409</v>
      </c>
      <c r="L87" s="407">
        <v>1197</v>
      </c>
      <c r="M87" s="407">
        <v>1197</v>
      </c>
      <c r="N87" s="407">
        <v>0</v>
      </c>
      <c r="O87" s="407">
        <v>0</v>
      </c>
      <c r="P87" s="407">
        <v>0</v>
      </c>
      <c r="Q87" s="407">
        <v>0</v>
      </c>
      <c r="R87" s="407">
        <v>43.29</v>
      </c>
      <c r="S87" s="407"/>
      <c r="T87" s="407"/>
      <c r="U87" s="407">
        <v>51818.13</v>
      </c>
      <c r="V87" s="407"/>
      <c r="W87" s="407">
        <v>51818.13</v>
      </c>
      <c r="X87" s="407">
        <v>40087.53</v>
      </c>
      <c r="Y87" s="407">
        <v>0</v>
      </c>
      <c r="Z87" s="407">
        <v>0</v>
      </c>
      <c r="AA87" s="407">
        <v>0</v>
      </c>
      <c r="AB87" s="407">
        <v>0</v>
      </c>
      <c r="AC87" s="407">
        <v>0</v>
      </c>
      <c r="AD87" s="407">
        <v>28325.792628650288</v>
      </c>
      <c r="AE87" s="407">
        <v>23496.136963932804</v>
      </c>
      <c r="AF87" s="407"/>
      <c r="AG87" s="407"/>
      <c r="AH87" s="407"/>
      <c r="AI87" s="407">
        <v>0</v>
      </c>
      <c r="AJ87" s="407">
        <v>0</v>
      </c>
      <c r="AK87" s="407">
        <v>0</v>
      </c>
      <c r="AL87" s="407">
        <v>0</v>
      </c>
      <c r="AM87" s="407"/>
      <c r="AN87" s="407">
        <v>0</v>
      </c>
      <c r="AO87" s="407">
        <v>0</v>
      </c>
      <c r="AP87" s="407">
        <v>0</v>
      </c>
      <c r="AQ87" s="407">
        <v>0</v>
      </c>
      <c r="AR87" s="407">
        <v>0</v>
      </c>
      <c r="AS87" s="407"/>
      <c r="AT87" s="407"/>
      <c r="AU87" s="407">
        <v>0</v>
      </c>
      <c r="AV87" s="407">
        <v>0</v>
      </c>
      <c r="AW87" s="407">
        <v>0</v>
      </c>
      <c r="AX87" s="407"/>
      <c r="AY87" s="407"/>
      <c r="AZ87" s="407">
        <v>0</v>
      </c>
      <c r="BA87" s="407"/>
      <c r="BB87" s="407">
        <v>0</v>
      </c>
      <c r="BC87" s="407">
        <v>0</v>
      </c>
      <c r="BD87" s="407">
        <v>0</v>
      </c>
      <c r="BE87" s="407">
        <v>0</v>
      </c>
      <c r="BF87" s="407"/>
      <c r="BG87" s="407">
        <v>0</v>
      </c>
      <c r="BH87" s="407">
        <v>0</v>
      </c>
      <c r="BI87" s="407">
        <v>385.52</v>
      </c>
      <c r="BJ87" s="407">
        <v>2570.61</v>
      </c>
      <c r="BK87" s="407">
        <v>39242.15</v>
      </c>
      <c r="BL87" s="407">
        <v>13</v>
      </c>
      <c r="BM87" s="407"/>
      <c r="BN87" s="407"/>
      <c r="BO87" s="407"/>
      <c r="BP87" s="407"/>
      <c r="BQ87" s="407"/>
      <c r="BR87" s="407"/>
      <c r="BS87" s="407"/>
      <c r="BT87" s="407"/>
      <c r="BU87" s="407"/>
      <c r="BV87" s="407">
        <v>0</v>
      </c>
      <c r="BW87" s="407"/>
      <c r="BX87" s="407"/>
      <c r="BY87" s="407"/>
      <c r="BZ87" s="407"/>
      <c r="CA87" s="407"/>
      <c r="CB87" s="407"/>
      <c r="CC87" s="407"/>
      <c r="CD87" s="407"/>
      <c r="CE87" s="407"/>
      <c r="CF87" s="407"/>
      <c r="CG87" s="407"/>
      <c r="CH87" s="407"/>
      <c r="CI87" s="407">
        <v>40087.53</v>
      </c>
      <c r="CJ87" s="407">
        <v>-11730.630000000005</v>
      </c>
      <c r="CK87" s="407"/>
      <c r="CL87" s="407"/>
      <c r="CM87" s="407"/>
      <c r="CN87" s="407"/>
      <c r="CO87" s="407">
        <v>-11730.599999999997</v>
      </c>
      <c r="CP87" s="407">
        <v>0</v>
      </c>
      <c r="CQ87" s="407">
        <v>31</v>
      </c>
      <c r="CR87" s="407">
        <v>267.72119382194796</v>
      </c>
      <c r="CS87" s="407">
        <v>0</v>
      </c>
      <c r="CT87" s="407">
        <v>0</v>
      </c>
      <c r="CU87" s="407">
        <v>0</v>
      </c>
      <c r="CV87" s="407">
        <v>0</v>
      </c>
      <c r="CW87" s="407"/>
      <c r="CX87" s="407"/>
      <c r="CY87" s="407"/>
      <c r="CZ87" s="407">
        <v>1279.5322177019443</v>
      </c>
      <c r="DA87" s="407">
        <v>0</v>
      </c>
      <c r="DB87" s="407">
        <v>0</v>
      </c>
      <c r="DC87" s="407"/>
      <c r="DD87" s="407"/>
      <c r="DE87" s="407">
        <v>0</v>
      </c>
      <c r="DF87" s="407">
        <v>0</v>
      </c>
      <c r="DG87" s="407">
        <v>0</v>
      </c>
      <c r="DH87" s="407">
        <v>0</v>
      </c>
      <c r="DI87" s="407">
        <v>0</v>
      </c>
      <c r="DJ87" s="407"/>
      <c r="DK87" s="407">
        <v>0</v>
      </c>
      <c r="DL87" s="407">
        <v>0</v>
      </c>
      <c r="DM87" s="407"/>
      <c r="DN87" s="407">
        <v>0</v>
      </c>
      <c r="DO87" s="407">
        <v>0</v>
      </c>
      <c r="DP87" s="407">
        <v>0</v>
      </c>
      <c r="DQ87" s="407">
        <v>0</v>
      </c>
      <c r="DR87" s="407">
        <v>-1011.8110238799961</v>
      </c>
      <c r="DS87" s="407"/>
      <c r="DT87" s="407"/>
      <c r="DU87" s="407">
        <v>23496.136963932804</v>
      </c>
      <c r="DV87" s="407"/>
      <c r="DW87" s="407">
        <v>0</v>
      </c>
      <c r="DX87" s="407">
        <v>0</v>
      </c>
      <c r="DY87" s="407">
        <v>-11730.599999999999</v>
      </c>
      <c r="DZ87" s="407"/>
      <c r="EA87" s="407">
        <v>0</v>
      </c>
      <c r="EB87" s="407"/>
      <c r="EC87" s="407">
        <v>-12001.881333853364</v>
      </c>
      <c r="ED87" s="407"/>
      <c r="EE87" s="407">
        <v>0</v>
      </c>
      <c r="EF87" s="407">
        <v>0</v>
      </c>
      <c r="EG87" s="407"/>
      <c r="EH87" s="407">
        <v>0</v>
      </c>
      <c r="EI87" s="407">
        <v>0</v>
      </c>
      <c r="EJ87" s="407">
        <v>0</v>
      </c>
      <c r="EK87" s="407">
        <v>0</v>
      </c>
      <c r="EL87" s="407">
        <v>0</v>
      </c>
      <c r="EM87" s="407"/>
      <c r="EN87" s="407"/>
      <c r="EO87" s="407">
        <v>0</v>
      </c>
      <c r="EP87" s="407">
        <v>0</v>
      </c>
      <c r="EQ87" s="407"/>
      <c r="ER87" s="407">
        <v>0</v>
      </c>
      <c r="ES87" s="407"/>
      <c r="ET87" s="407">
        <v>0</v>
      </c>
      <c r="EU87" s="407"/>
      <c r="EV87" s="407">
        <v>246</v>
      </c>
      <c r="EW87" s="407"/>
      <c r="EX87" s="407"/>
      <c r="EY87" s="407"/>
      <c r="EZ87" s="407"/>
      <c r="FA87" s="407">
        <v>0</v>
      </c>
      <c r="FB87" s="407"/>
      <c r="FC87" s="407"/>
      <c r="FD87" s="407"/>
      <c r="FE87" s="407"/>
      <c r="FF87" s="407">
        <v>0</v>
      </c>
      <c r="FG87" s="407">
        <v>0</v>
      </c>
      <c r="FH87" s="407">
        <v>0</v>
      </c>
      <c r="FI87" s="407">
        <v>0</v>
      </c>
    </row>
    <row r="88" spans="1:165" s="845" customFormat="1">
      <c r="A88" s="407">
        <v>90</v>
      </c>
      <c r="B88" s="407" t="s">
        <v>2309</v>
      </c>
      <c r="C88" s="407" t="s">
        <v>2314</v>
      </c>
      <c r="D88" s="407" t="s">
        <v>650</v>
      </c>
      <c r="E88" s="407" t="s">
        <v>1049</v>
      </c>
      <c r="F88" s="407" t="s">
        <v>97</v>
      </c>
      <c r="G88" s="407" t="s">
        <v>97</v>
      </c>
      <c r="H88" s="407" t="s">
        <v>97</v>
      </c>
      <c r="I88" s="407" t="s">
        <v>97</v>
      </c>
      <c r="J88" s="407" t="s">
        <v>2307</v>
      </c>
      <c r="K88" s="818">
        <v>44409</v>
      </c>
      <c r="L88" s="407">
        <v>882</v>
      </c>
      <c r="M88" s="407">
        <v>882</v>
      </c>
      <c r="N88" s="407">
        <v>0</v>
      </c>
      <c r="O88" s="407">
        <v>0</v>
      </c>
      <c r="P88" s="407">
        <v>0</v>
      </c>
      <c r="Q88" s="407">
        <v>0</v>
      </c>
      <c r="R88" s="407">
        <v>43.29</v>
      </c>
      <c r="S88" s="407"/>
      <c r="T88" s="407"/>
      <c r="U88" s="407">
        <v>38181.78</v>
      </c>
      <c r="V88" s="407"/>
      <c r="W88" s="407">
        <v>38181.78</v>
      </c>
      <c r="X88" s="407">
        <v>29538.18</v>
      </c>
      <c r="Y88" s="407">
        <v>0</v>
      </c>
      <c r="Z88" s="407">
        <v>0</v>
      </c>
      <c r="AA88" s="407">
        <v>0</v>
      </c>
      <c r="AB88" s="407">
        <v>0</v>
      </c>
      <c r="AC88" s="407">
        <v>0</v>
      </c>
      <c r="AD88" s="407">
        <v>20871.636673742316</v>
      </c>
      <c r="AE88" s="407">
        <v>17312.943026055749</v>
      </c>
      <c r="AF88" s="407"/>
      <c r="AG88" s="407"/>
      <c r="AH88" s="407"/>
      <c r="AI88" s="407">
        <v>0</v>
      </c>
      <c r="AJ88" s="407">
        <v>0</v>
      </c>
      <c r="AK88" s="407">
        <v>0</v>
      </c>
      <c r="AL88" s="407">
        <v>0</v>
      </c>
      <c r="AM88" s="407"/>
      <c r="AN88" s="407">
        <v>0</v>
      </c>
      <c r="AO88" s="407">
        <v>0</v>
      </c>
      <c r="AP88" s="407">
        <v>0</v>
      </c>
      <c r="AQ88" s="407">
        <v>0</v>
      </c>
      <c r="AR88" s="407">
        <v>0</v>
      </c>
      <c r="AS88" s="407"/>
      <c r="AT88" s="407"/>
      <c r="AU88" s="407">
        <v>0</v>
      </c>
      <c r="AV88" s="407">
        <v>0</v>
      </c>
      <c r="AW88" s="407">
        <v>0</v>
      </c>
      <c r="AX88" s="407"/>
      <c r="AY88" s="407"/>
      <c r="AZ88" s="407">
        <v>0</v>
      </c>
      <c r="BA88" s="407"/>
      <c r="BB88" s="407">
        <v>0</v>
      </c>
      <c r="BC88" s="407">
        <v>0</v>
      </c>
      <c r="BD88" s="407">
        <v>0</v>
      </c>
      <c r="BE88" s="407">
        <v>0</v>
      </c>
      <c r="BF88" s="407"/>
      <c r="BG88" s="407">
        <v>0</v>
      </c>
      <c r="BH88" s="407">
        <v>0</v>
      </c>
      <c r="BI88" s="407">
        <v>132.53</v>
      </c>
      <c r="BJ88" s="407">
        <v>883.76</v>
      </c>
      <c r="BK88" s="407">
        <v>13459.84</v>
      </c>
      <c r="BL88" s="407">
        <v>6</v>
      </c>
      <c r="BM88" s="407"/>
      <c r="BN88" s="407"/>
      <c r="BO88" s="407"/>
      <c r="BP88" s="407"/>
      <c r="BQ88" s="407"/>
      <c r="BR88" s="407"/>
      <c r="BS88" s="407"/>
      <c r="BT88" s="407"/>
      <c r="BU88" s="407"/>
      <c r="BV88" s="407">
        <v>0</v>
      </c>
      <c r="BW88" s="407"/>
      <c r="BX88" s="407"/>
      <c r="BY88" s="407"/>
      <c r="BZ88" s="407"/>
      <c r="CA88" s="407"/>
      <c r="CB88" s="407"/>
      <c r="CC88" s="407"/>
      <c r="CD88" s="407"/>
      <c r="CE88" s="407"/>
      <c r="CF88" s="407"/>
      <c r="CG88" s="407"/>
      <c r="CH88" s="407"/>
      <c r="CI88" s="407">
        <v>29538.18</v>
      </c>
      <c r="CJ88" s="407">
        <v>-8643.6300000000047</v>
      </c>
      <c r="CK88" s="407"/>
      <c r="CL88" s="407"/>
      <c r="CM88" s="407"/>
      <c r="CN88" s="407"/>
      <c r="CO88" s="407">
        <v>-8643.5999999999967</v>
      </c>
      <c r="CP88" s="407">
        <v>0</v>
      </c>
      <c r="CQ88" s="407">
        <v>31</v>
      </c>
      <c r="CR88" s="407">
        <v>197.26824807933372</v>
      </c>
      <c r="CS88" s="407">
        <v>0</v>
      </c>
      <c r="CT88" s="407">
        <v>0</v>
      </c>
      <c r="CU88" s="407">
        <v>0</v>
      </c>
      <c r="CV88" s="407">
        <v>0</v>
      </c>
      <c r="CW88" s="407"/>
      <c r="CX88" s="407"/>
      <c r="CY88" s="407"/>
      <c r="CZ88" s="407">
        <v>942.8132130435406</v>
      </c>
      <c r="DA88" s="407">
        <v>0</v>
      </c>
      <c r="DB88" s="407">
        <v>0</v>
      </c>
      <c r="DC88" s="407"/>
      <c r="DD88" s="407"/>
      <c r="DE88" s="407">
        <v>0</v>
      </c>
      <c r="DF88" s="407">
        <v>0</v>
      </c>
      <c r="DG88" s="407">
        <v>0</v>
      </c>
      <c r="DH88" s="407">
        <v>0</v>
      </c>
      <c r="DI88" s="407">
        <v>0</v>
      </c>
      <c r="DJ88" s="407"/>
      <c r="DK88" s="407">
        <v>0</v>
      </c>
      <c r="DL88" s="407">
        <v>0</v>
      </c>
      <c r="DM88" s="407"/>
      <c r="DN88" s="407">
        <v>0</v>
      </c>
      <c r="DO88" s="407">
        <v>0</v>
      </c>
      <c r="DP88" s="407">
        <v>0</v>
      </c>
      <c r="DQ88" s="407">
        <v>0</v>
      </c>
      <c r="DR88" s="407">
        <v>-745.54496496420768</v>
      </c>
      <c r="DS88" s="407"/>
      <c r="DT88" s="407"/>
      <c r="DU88" s="407">
        <v>17312.943026055749</v>
      </c>
      <c r="DV88" s="407"/>
      <c r="DW88" s="407">
        <v>0</v>
      </c>
      <c r="DX88" s="407">
        <v>0</v>
      </c>
      <c r="DY88" s="407">
        <v>-8643.5999999999985</v>
      </c>
      <c r="DZ88" s="407"/>
      <c r="EA88" s="407">
        <v>0</v>
      </c>
      <c r="EB88" s="407"/>
      <c r="EC88" s="407">
        <v>-8843.4915091551084</v>
      </c>
      <c r="ED88" s="407"/>
      <c r="EE88" s="407">
        <v>0</v>
      </c>
      <c r="EF88" s="407">
        <v>0</v>
      </c>
      <c r="EG88" s="407"/>
      <c r="EH88" s="407">
        <v>0</v>
      </c>
      <c r="EI88" s="407">
        <v>0</v>
      </c>
      <c r="EJ88" s="407">
        <v>0</v>
      </c>
      <c r="EK88" s="407">
        <v>0</v>
      </c>
      <c r="EL88" s="407">
        <v>0</v>
      </c>
      <c r="EM88" s="407"/>
      <c r="EN88" s="407"/>
      <c r="EO88" s="407">
        <v>0</v>
      </c>
      <c r="EP88" s="407">
        <v>0</v>
      </c>
      <c r="EQ88" s="407"/>
      <c r="ER88" s="407">
        <v>0</v>
      </c>
      <c r="ES88" s="407"/>
      <c r="ET88" s="407">
        <v>0</v>
      </c>
      <c r="EU88" s="407"/>
      <c r="EV88" s="407">
        <v>246</v>
      </c>
      <c r="EW88" s="407"/>
      <c r="EX88" s="407"/>
      <c r="EY88" s="407"/>
      <c r="EZ88" s="407"/>
      <c r="FA88" s="407">
        <v>0</v>
      </c>
      <c r="FB88" s="407"/>
      <c r="FC88" s="407"/>
      <c r="FD88" s="407"/>
      <c r="FE88" s="407"/>
      <c r="FF88" s="407">
        <v>0</v>
      </c>
      <c r="FG88" s="407">
        <v>0</v>
      </c>
      <c r="FH88" s="407">
        <v>0</v>
      </c>
      <c r="FI88" s="407">
        <v>0</v>
      </c>
    </row>
    <row r="89" spans="1:165" s="845" customFormat="1">
      <c r="A89" s="407">
        <v>91</v>
      </c>
      <c r="B89" s="407" t="s">
        <v>1090</v>
      </c>
      <c r="C89" s="407" t="s">
        <v>2306</v>
      </c>
      <c r="D89" s="407" t="s">
        <v>2315</v>
      </c>
      <c r="E89" s="407" t="s">
        <v>1026</v>
      </c>
      <c r="F89" s="407" t="s">
        <v>97</v>
      </c>
      <c r="G89" s="407" t="s">
        <v>97</v>
      </c>
      <c r="H89" s="407" t="s">
        <v>97</v>
      </c>
      <c r="I89" s="407" t="s">
        <v>97</v>
      </c>
      <c r="J89" s="407" t="s">
        <v>2307</v>
      </c>
      <c r="K89" s="818">
        <v>44409</v>
      </c>
      <c r="L89" s="407">
        <v>0</v>
      </c>
      <c r="M89" s="407">
        <v>0</v>
      </c>
      <c r="N89" s="407">
        <v>3890.674</v>
      </c>
      <c r="O89" s="407">
        <v>3890.674</v>
      </c>
      <c r="P89" s="407">
        <v>3890.674</v>
      </c>
      <c r="Q89" s="407">
        <v>3890.674</v>
      </c>
      <c r="R89" s="407"/>
      <c r="S89" s="407">
        <v>648.44000000000005</v>
      </c>
      <c r="T89" s="407">
        <v>159.41</v>
      </c>
      <c r="U89" s="407"/>
      <c r="V89" s="407">
        <v>3143080.9909000001</v>
      </c>
      <c r="W89" s="407">
        <v>3143080.9909000001</v>
      </c>
      <c r="X89" s="407">
        <v>2380392.1666799998</v>
      </c>
      <c r="Y89" s="407">
        <v>0</v>
      </c>
      <c r="Z89" s="407">
        <v>241106.0428996507</v>
      </c>
      <c r="AA89" s="407">
        <v>0</v>
      </c>
      <c r="AB89" s="407">
        <v>0</v>
      </c>
      <c r="AC89" s="407">
        <v>0</v>
      </c>
      <c r="AD89" s="407">
        <v>453825.43630762008</v>
      </c>
      <c r="AE89" s="407">
        <v>1624535.33015952</v>
      </c>
      <c r="AF89" s="407">
        <v>600061.43951705855</v>
      </c>
      <c r="AG89" s="407">
        <v>20160.489253889151</v>
      </c>
      <c r="AH89" s="407">
        <v>0</v>
      </c>
      <c r="AI89" s="407">
        <v>0</v>
      </c>
      <c r="AJ89" s="407">
        <v>0</v>
      </c>
      <c r="AK89" s="407">
        <v>0</v>
      </c>
      <c r="AL89" s="407">
        <v>37257.309575693289</v>
      </c>
      <c r="AM89" s="407"/>
      <c r="AN89" s="407">
        <v>8073.5206559225016</v>
      </c>
      <c r="AO89" s="407">
        <v>0</v>
      </c>
      <c r="AP89" s="407">
        <v>0</v>
      </c>
      <c r="AQ89" s="407">
        <v>0</v>
      </c>
      <c r="AR89" s="407">
        <v>0</v>
      </c>
      <c r="AS89" s="407">
        <v>0</v>
      </c>
      <c r="AT89" s="407">
        <v>0</v>
      </c>
      <c r="AU89" s="407">
        <v>0</v>
      </c>
      <c r="AV89" s="407">
        <v>0</v>
      </c>
      <c r="AW89" s="407">
        <v>0</v>
      </c>
      <c r="AX89" s="407">
        <v>0</v>
      </c>
      <c r="AY89" s="407">
        <v>0</v>
      </c>
      <c r="AZ89" s="407">
        <v>0</v>
      </c>
      <c r="BA89" s="407"/>
      <c r="BB89" s="407">
        <v>0</v>
      </c>
      <c r="BC89" s="407">
        <v>0</v>
      </c>
      <c r="BD89" s="407">
        <v>0</v>
      </c>
      <c r="BE89" s="407">
        <v>0</v>
      </c>
      <c r="BF89" s="407">
        <v>0</v>
      </c>
      <c r="BG89" s="407">
        <v>43862.575090298953</v>
      </c>
      <c r="BH89" s="407">
        <v>0</v>
      </c>
      <c r="BI89" s="407">
        <v>6959.08</v>
      </c>
      <c r="BJ89" s="407">
        <v>46868.97</v>
      </c>
      <c r="BK89" s="407">
        <v>224314.25</v>
      </c>
      <c r="BL89" s="407">
        <v>14022</v>
      </c>
      <c r="BM89" s="407"/>
      <c r="BN89" s="407"/>
      <c r="BO89" s="407"/>
      <c r="BP89" s="407"/>
      <c r="BQ89" s="407"/>
      <c r="BR89" s="407">
        <v>285653.28508000006</v>
      </c>
      <c r="BS89" s="407"/>
      <c r="BT89" s="407"/>
      <c r="BU89" s="407"/>
      <c r="BV89" s="407">
        <v>643924.01460735756</v>
      </c>
      <c r="BW89" s="407"/>
      <c r="BX89" s="407"/>
      <c r="BY89" s="407"/>
      <c r="BZ89" s="407"/>
      <c r="CA89" s="407"/>
      <c r="CB89" s="407"/>
      <c r="CC89" s="407"/>
      <c r="CD89" s="407"/>
      <c r="CE89" s="407"/>
      <c r="CF89" s="407"/>
      <c r="CG89" s="407"/>
      <c r="CH89" s="407"/>
      <c r="CI89" s="407">
        <v>2094736.7279999999</v>
      </c>
      <c r="CJ89" s="407">
        <v>-671182.35533999954</v>
      </c>
      <c r="CK89" s="407"/>
      <c r="CL89" s="407"/>
      <c r="CM89" s="407"/>
      <c r="CN89" s="407"/>
      <c r="CO89" s="407">
        <v>-869565.6390000002</v>
      </c>
      <c r="CP89" s="407">
        <v>106876.81478</v>
      </c>
      <c r="CQ89" s="407">
        <v>31</v>
      </c>
      <c r="CR89" s="407">
        <v>67129.759289053734</v>
      </c>
      <c r="CS89" s="407">
        <v>0</v>
      </c>
      <c r="CT89" s="407">
        <v>0</v>
      </c>
      <c r="CU89" s="407">
        <v>0</v>
      </c>
      <c r="CV89" s="407">
        <v>0</v>
      </c>
      <c r="CW89" s="407">
        <v>0</v>
      </c>
      <c r="CX89" s="407">
        <v>0</v>
      </c>
      <c r="CY89" s="407">
        <v>0</v>
      </c>
      <c r="CZ89" s="407">
        <v>20500.194807644177</v>
      </c>
      <c r="DA89" s="407">
        <v>0</v>
      </c>
      <c r="DB89" s="407">
        <v>0</v>
      </c>
      <c r="DC89" s="407">
        <v>118975.97889055277</v>
      </c>
      <c r="DD89" s="407">
        <v>0</v>
      </c>
      <c r="DE89" s="407">
        <v>0</v>
      </c>
      <c r="DF89" s="407">
        <v>0</v>
      </c>
      <c r="DG89" s="407">
        <v>8696.7641384001399</v>
      </c>
      <c r="DH89" s="407">
        <v>0</v>
      </c>
      <c r="DI89" s="407">
        <v>-16887.542885821807</v>
      </c>
      <c r="DJ89" s="407"/>
      <c r="DK89" s="407">
        <v>0</v>
      </c>
      <c r="DL89" s="407">
        <v>0</v>
      </c>
      <c r="DM89" s="407">
        <v>0</v>
      </c>
      <c r="DN89" s="407">
        <v>0</v>
      </c>
      <c r="DO89" s="407">
        <v>-2273.1197573699028</v>
      </c>
      <c r="DP89" s="407">
        <v>-514.42524507790222</v>
      </c>
      <c r="DQ89" s="407">
        <v>0</v>
      </c>
      <c r="DR89" s="407">
        <v>-61368.090659273803</v>
      </c>
      <c r="DS89" s="407"/>
      <c r="DT89" s="407"/>
      <c r="DU89" s="407"/>
      <c r="DV89" s="407">
        <v>1624535.33015952</v>
      </c>
      <c r="DW89" s="407">
        <v>0</v>
      </c>
      <c r="DX89" s="407">
        <v>0</v>
      </c>
      <c r="DY89" s="407">
        <v>-869565.6390000002</v>
      </c>
      <c r="DZ89" s="407">
        <v>106876.81478000002</v>
      </c>
      <c r="EA89" s="407">
        <v>0</v>
      </c>
      <c r="EB89" s="407">
        <v>0</v>
      </c>
      <c r="EC89" s="407">
        <v>-829816.41982918198</v>
      </c>
      <c r="ED89" s="407">
        <v>0</v>
      </c>
      <c r="EE89" s="407">
        <v>0</v>
      </c>
      <c r="EF89" s="407">
        <v>0</v>
      </c>
      <c r="EG89" s="407">
        <v>0</v>
      </c>
      <c r="EH89" s="407">
        <v>0</v>
      </c>
      <c r="EI89" s="407">
        <v>0</v>
      </c>
      <c r="EJ89" s="407">
        <v>0</v>
      </c>
      <c r="EK89" s="407">
        <v>0</v>
      </c>
      <c r="EL89" s="407">
        <v>0</v>
      </c>
      <c r="EM89" s="407">
        <v>0</v>
      </c>
      <c r="EN89" s="407">
        <v>0</v>
      </c>
      <c r="EO89" s="407">
        <v>0</v>
      </c>
      <c r="EP89" s="407">
        <v>114207.62164387408</v>
      </c>
      <c r="EQ89" s="407">
        <v>0</v>
      </c>
      <c r="ER89" s="407">
        <v>0</v>
      </c>
      <c r="ES89" s="407">
        <v>0</v>
      </c>
      <c r="ET89" s="407">
        <v>0</v>
      </c>
      <c r="EU89" s="407">
        <v>0</v>
      </c>
      <c r="EV89" s="407">
        <v>246</v>
      </c>
      <c r="EW89" s="407">
        <v>0</v>
      </c>
      <c r="EX89" s="407">
        <v>0</v>
      </c>
      <c r="EY89" s="407">
        <v>0</v>
      </c>
      <c r="EZ89" s="407"/>
      <c r="FA89" s="407">
        <v>0</v>
      </c>
      <c r="FB89" s="407"/>
      <c r="FC89" s="407"/>
      <c r="FD89" s="407"/>
      <c r="FE89" s="407"/>
      <c r="FF89" s="407">
        <v>0</v>
      </c>
      <c r="FG89" s="407">
        <v>0</v>
      </c>
      <c r="FH89" s="407">
        <v>0</v>
      </c>
      <c r="FI89" s="407">
        <v>0</v>
      </c>
    </row>
    <row r="90" spans="1:165" s="845" customFormat="1">
      <c r="A90" s="407">
        <v>92</v>
      </c>
      <c r="B90" s="407" t="s">
        <v>2308</v>
      </c>
      <c r="C90" s="407" t="s">
        <v>2306</v>
      </c>
      <c r="D90" s="407" t="s">
        <v>2315</v>
      </c>
      <c r="E90" s="407" t="s">
        <v>1026</v>
      </c>
      <c r="F90" s="407" t="s">
        <v>97</v>
      </c>
      <c r="G90" s="407" t="s">
        <v>97</v>
      </c>
      <c r="H90" s="407" t="s">
        <v>97</v>
      </c>
      <c r="I90" s="407" t="s">
        <v>97</v>
      </c>
      <c r="J90" s="407" t="s">
        <v>2307</v>
      </c>
      <c r="K90" s="818">
        <v>44409</v>
      </c>
      <c r="L90" s="407">
        <v>0</v>
      </c>
      <c r="M90" s="407">
        <v>0</v>
      </c>
      <c r="N90" s="407">
        <v>-0.93700000000000006</v>
      </c>
      <c r="O90" s="407">
        <v>-0.93700000000000006</v>
      </c>
      <c r="P90" s="407">
        <v>-0.93700000000000006</v>
      </c>
      <c r="Q90" s="407">
        <v>-0.93700000000000006</v>
      </c>
      <c r="R90" s="407"/>
      <c r="S90" s="407">
        <v>648.44000000000005</v>
      </c>
      <c r="T90" s="407">
        <v>159.41</v>
      </c>
      <c r="U90" s="407"/>
      <c r="V90" s="407">
        <v>-756.95545000000004</v>
      </c>
      <c r="W90" s="407">
        <v>-756.95545000000004</v>
      </c>
      <c r="X90" s="407">
        <v>-573.27534000000003</v>
      </c>
      <c r="Y90" s="407">
        <v>0</v>
      </c>
      <c r="Z90" s="407">
        <v>-58.066124840316284</v>
      </c>
      <c r="AA90" s="407">
        <v>0</v>
      </c>
      <c r="AB90" s="407">
        <v>0</v>
      </c>
      <c r="AC90" s="407">
        <v>0</v>
      </c>
      <c r="AD90" s="407">
        <v>-109.2958273605653</v>
      </c>
      <c r="AE90" s="407">
        <v>-391.24059336749121</v>
      </c>
      <c r="AF90" s="407">
        <v>-144.51418156018312</v>
      </c>
      <c r="AG90" s="407">
        <v>-4.8552971621097356</v>
      </c>
      <c r="AH90" s="407">
        <v>0</v>
      </c>
      <c r="AI90" s="407">
        <v>0</v>
      </c>
      <c r="AJ90" s="407">
        <v>0</v>
      </c>
      <c r="AK90" s="407">
        <v>0</v>
      </c>
      <c r="AL90" s="407">
        <v>-8.9727638636453761</v>
      </c>
      <c r="AM90" s="407"/>
      <c r="AN90" s="407">
        <v>-1.9443646151282232</v>
      </c>
      <c r="AO90" s="407">
        <v>0</v>
      </c>
      <c r="AP90" s="407">
        <v>0</v>
      </c>
      <c r="AQ90" s="407">
        <v>0</v>
      </c>
      <c r="AR90" s="407">
        <v>0</v>
      </c>
      <c r="AS90" s="407">
        <v>0</v>
      </c>
      <c r="AT90" s="407">
        <v>0</v>
      </c>
      <c r="AU90" s="407">
        <v>0</v>
      </c>
      <c r="AV90" s="407">
        <v>0</v>
      </c>
      <c r="AW90" s="407">
        <v>0</v>
      </c>
      <c r="AX90" s="407">
        <v>0</v>
      </c>
      <c r="AY90" s="407">
        <v>0</v>
      </c>
      <c r="AZ90" s="407">
        <v>0</v>
      </c>
      <c r="BA90" s="407"/>
      <c r="BB90" s="407">
        <v>0</v>
      </c>
      <c r="BC90" s="407">
        <v>0</v>
      </c>
      <c r="BD90" s="407">
        <v>0</v>
      </c>
      <c r="BE90" s="407">
        <v>0</v>
      </c>
      <c r="BF90" s="407">
        <v>0</v>
      </c>
      <c r="BG90" s="407">
        <v>-10.563525204016097</v>
      </c>
      <c r="BH90" s="407">
        <v>0</v>
      </c>
      <c r="BI90" s="407">
        <v>-1.95</v>
      </c>
      <c r="BJ90" s="407">
        <v>-9.01</v>
      </c>
      <c r="BK90" s="407">
        <v>-112.99</v>
      </c>
      <c r="BL90" s="407">
        <v>0</v>
      </c>
      <c r="BM90" s="407"/>
      <c r="BN90" s="407"/>
      <c r="BO90" s="407"/>
      <c r="BP90" s="407"/>
      <c r="BQ90" s="407"/>
      <c r="BR90" s="407">
        <v>-68.794540000000012</v>
      </c>
      <c r="BS90" s="407"/>
      <c r="BT90" s="407"/>
      <c r="BU90" s="407"/>
      <c r="BV90" s="407">
        <v>-155.07770676419921</v>
      </c>
      <c r="BW90" s="407"/>
      <c r="BX90" s="407"/>
      <c r="BY90" s="407"/>
      <c r="BZ90" s="407"/>
      <c r="CA90" s="407"/>
      <c r="CB90" s="407"/>
      <c r="CC90" s="407"/>
      <c r="CD90" s="407"/>
      <c r="CE90" s="407"/>
      <c r="CF90" s="407"/>
      <c r="CG90" s="407"/>
      <c r="CH90" s="407"/>
      <c r="CI90" s="407">
        <v>-506.09599999999995</v>
      </c>
      <c r="CJ90" s="407">
        <v>159.99667000000017</v>
      </c>
      <c r="CK90" s="407"/>
      <c r="CL90" s="407"/>
      <c r="CM90" s="407"/>
      <c r="CN90" s="407"/>
      <c r="CO90" s="407">
        <v>209.41950000000006</v>
      </c>
      <c r="CP90" s="407">
        <v>-25.73939</v>
      </c>
      <c r="CQ90" s="407">
        <v>31</v>
      </c>
      <c r="CR90" s="407">
        <v>-16.167014880671957</v>
      </c>
      <c r="CS90" s="407">
        <v>0</v>
      </c>
      <c r="CT90" s="407">
        <v>0</v>
      </c>
      <c r="CU90" s="407">
        <v>0</v>
      </c>
      <c r="CV90" s="407">
        <v>0</v>
      </c>
      <c r="CW90" s="407">
        <v>0</v>
      </c>
      <c r="CX90" s="407">
        <v>0</v>
      </c>
      <c r="CY90" s="407">
        <v>0</v>
      </c>
      <c r="CZ90" s="407">
        <v>-4.9371092347399497</v>
      </c>
      <c r="DA90" s="407">
        <v>0</v>
      </c>
      <c r="DB90" s="407">
        <v>0</v>
      </c>
      <c r="DC90" s="407">
        <v>-28.653259620427718</v>
      </c>
      <c r="DD90" s="407">
        <v>0</v>
      </c>
      <c r="DE90" s="407">
        <v>0</v>
      </c>
      <c r="DF90" s="407">
        <v>0</v>
      </c>
      <c r="DG90" s="407">
        <v>-2.0944617816041458</v>
      </c>
      <c r="DH90" s="407">
        <v>0</v>
      </c>
      <c r="DI90" s="407">
        <v>4.0670659335670436</v>
      </c>
      <c r="DJ90" s="407"/>
      <c r="DK90" s="407">
        <v>0</v>
      </c>
      <c r="DL90" s="407">
        <v>0</v>
      </c>
      <c r="DM90" s="407">
        <v>0</v>
      </c>
      <c r="DN90" s="407">
        <v>0</v>
      </c>
      <c r="DO90" s="407">
        <v>0.54744067805619245</v>
      </c>
      <c r="DP90" s="407">
        <v>0.12389021918515764</v>
      </c>
      <c r="DQ90" s="407">
        <v>0</v>
      </c>
      <c r="DR90" s="407">
        <v>14.779418925291495</v>
      </c>
      <c r="DS90" s="407"/>
      <c r="DT90" s="407"/>
      <c r="DU90" s="407"/>
      <c r="DV90" s="407">
        <v>-391.24059336749121</v>
      </c>
      <c r="DW90" s="407">
        <v>0</v>
      </c>
      <c r="DX90" s="407">
        <v>0</v>
      </c>
      <c r="DY90" s="407">
        <v>209.41950000000003</v>
      </c>
      <c r="DZ90" s="407">
        <v>-25.739389999999986</v>
      </c>
      <c r="EA90" s="407">
        <v>0</v>
      </c>
      <c r="EB90" s="407">
        <v>0</v>
      </c>
      <c r="EC90" s="407">
        <v>199.84660379665416</v>
      </c>
      <c r="ED90" s="407">
        <v>0</v>
      </c>
      <c r="EE90" s="407">
        <v>0</v>
      </c>
      <c r="EF90" s="407">
        <v>0</v>
      </c>
      <c r="EG90" s="407">
        <v>0</v>
      </c>
      <c r="EH90" s="407">
        <v>0</v>
      </c>
      <c r="EI90" s="407">
        <v>0</v>
      </c>
      <c r="EJ90" s="407">
        <v>0</v>
      </c>
      <c r="EK90" s="407">
        <v>0</v>
      </c>
      <c r="EL90" s="407">
        <v>0</v>
      </c>
      <c r="EM90" s="407">
        <v>0</v>
      </c>
      <c r="EN90" s="407">
        <v>0</v>
      </c>
      <c r="EO90" s="407">
        <v>0</v>
      </c>
      <c r="EP90" s="407">
        <v>-27.504885138233124</v>
      </c>
      <c r="EQ90" s="407">
        <v>0</v>
      </c>
      <c r="ER90" s="407">
        <v>0</v>
      </c>
      <c r="ES90" s="407">
        <v>0</v>
      </c>
      <c r="ET90" s="407">
        <v>0</v>
      </c>
      <c r="EU90" s="407">
        <v>0</v>
      </c>
      <c r="EV90" s="407">
        <v>246</v>
      </c>
      <c r="EW90" s="407">
        <v>0</v>
      </c>
      <c r="EX90" s="407">
        <v>0</v>
      </c>
      <c r="EY90" s="407">
        <v>0</v>
      </c>
      <c r="EZ90" s="407"/>
      <c r="FA90" s="407">
        <v>0</v>
      </c>
      <c r="FB90" s="407"/>
      <c r="FC90" s="407"/>
      <c r="FD90" s="407"/>
      <c r="FE90" s="407"/>
      <c r="FF90" s="407">
        <v>0</v>
      </c>
      <c r="FG90" s="407">
        <v>0</v>
      </c>
      <c r="FH90" s="407">
        <v>0</v>
      </c>
      <c r="FI90" s="407">
        <v>0</v>
      </c>
    </row>
    <row r="91" spans="1:165" s="845" customFormat="1">
      <c r="A91" s="407">
        <v>93</v>
      </c>
      <c r="B91" s="407" t="s">
        <v>2309</v>
      </c>
      <c r="C91" s="407" t="s">
        <v>2306</v>
      </c>
      <c r="D91" s="407" t="s">
        <v>2315</v>
      </c>
      <c r="E91" s="407" t="s">
        <v>1026</v>
      </c>
      <c r="F91" s="407" t="s">
        <v>97</v>
      </c>
      <c r="G91" s="407" t="s">
        <v>97</v>
      </c>
      <c r="H91" s="407" t="s">
        <v>97</v>
      </c>
      <c r="I91" s="407" t="s">
        <v>97</v>
      </c>
      <c r="J91" s="407" t="s">
        <v>2307</v>
      </c>
      <c r="K91" s="818">
        <v>44409</v>
      </c>
      <c r="L91" s="407">
        <v>0</v>
      </c>
      <c r="M91" s="407">
        <v>0</v>
      </c>
      <c r="N91" s="407">
        <v>88.128</v>
      </c>
      <c r="O91" s="407">
        <v>88.128</v>
      </c>
      <c r="P91" s="407">
        <v>88.128</v>
      </c>
      <c r="Q91" s="407">
        <v>88.128</v>
      </c>
      <c r="R91" s="407"/>
      <c r="S91" s="407">
        <v>648.44000000000005</v>
      </c>
      <c r="T91" s="407">
        <v>159.41</v>
      </c>
      <c r="U91" s="407"/>
      <c r="V91" s="407">
        <v>71194.204800000007</v>
      </c>
      <c r="W91" s="407">
        <v>71194.204800000007</v>
      </c>
      <c r="X91" s="407">
        <v>53918.472959999999</v>
      </c>
      <c r="Y91" s="407">
        <v>0</v>
      </c>
      <c r="Z91" s="407">
        <v>5461.3142475212308</v>
      </c>
      <c r="AA91" s="407">
        <v>0</v>
      </c>
      <c r="AB91" s="407">
        <v>0</v>
      </c>
      <c r="AC91" s="407">
        <v>0</v>
      </c>
      <c r="AD91" s="407">
        <v>10279.639993203733</v>
      </c>
      <c r="AE91" s="407">
        <v>36797.493076083527</v>
      </c>
      <c r="AF91" s="407">
        <v>13592.04460249287</v>
      </c>
      <c r="AG91" s="407">
        <v>456.65702060022068</v>
      </c>
      <c r="AH91" s="407">
        <v>0</v>
      </c>
      <c r="AI91" s="407">
        <v>0</v>
      </c>
      <c r="AJ91" s="407">
        <v>0</v>
      </c>
      <c r="AK91" s="407">
        <v>0</v>
      </c>
      <c r="AL91" s="407">
        <v>843.9186059502025</v>
      </c>
      <c r="AM91" s="407"/>
      <c r="AN91" s="407">
        <v>182.8740286040769</v>
      </c>
      <c r="AO91" s="407">
        <v>0</v>
      </c>
      <c r="AP91" s="407">
        <v>0</v>
      </c>
      <c r="AQ91" s="407">
        <v>0</v>
      </c>
      <c r="AR91" s="407">
        <v>0</v>
      </c>
      <c r="AS91" s="407">
        <v>0</v>
      </c>
      <c r="AT91" s="407">
        <v>0</v>
      </c>
      <c r="AU91" s="407">
        <v>0</v>
      </c>
      <c r="AV91" s="407">
        <v>0</v>
      </c>
      <c r="AW91" s="407">
        <v>0</v>
      </c>
      <c r="AX91" s="407">
        <v>0</v>
      </c>
      <c r="AY91" s="407">
        <v>0</v>
      </c>
      <c r="AZ91" s="407">
        <v>0</v>
      </c>
      <c r="BA91" s="407"/>
      <c r="BB91" s="407">
        <v>0</v>
      </c>
      <c r="BC91" s="407">
        <v>0</v>
      </c>
      <c r="BD91" s="407">
        <v>0</v>
      </c>
      <c r="BE91" s="407">
        <v>0</v>
      </c>
      <c r="BF91" s="407">
        <v>0</v>
      </c>
      <c r="BG91" s="407">
        <v>993.53505782233788</v>
      </c>
      <c r="BH91" s="407">
        <v>0</v>
      </c>
      <c r="BI91" s="407">
        <v>153.33000000000001</v>
      </c>
      <c r="BJ91" s="407">
        <v>1030.27</v>
      </c>
      <c r="BK91" s="407">
        <v>3784.77</v>
      </c>
      <c r="BL91" s="407">
        <v>238</v>
      </c>
      <c r="BM91" s="407"/>
      <c r="BN91" s="407"/>
      <c r="BO91" s="407"/>
      <c r="BP91" s="407"/>
      <c r="BQ91" s="407"/>
      <c r="BR91" s="407">
        <v>6470.3577600000008</v>
      </c>
      <c r="BS91" s="407"/>
      <c r="BT91" s="407"/>
      <c r="BU91" s="407"/>
      <c r="BV91" s="407">
        <v>14585.579660315208</v>
      </c>
      <c r="BW91" s="407"/>
      <c r="BX91" s="407"/>
      <c r="BY91" s="407"/>
      <c r="BZ91" s="407"/>
      <c r="CA91" s="407"/>
      <c r="CB91" s="407"/>
      <c r="CC91" s="407"/>
      <c r="CD91" s="407"/>
      <c r="CE91" s="407"/>
      <c r="CF91" s="407"/>
      <c r="CG91" s="407"/>
      <c r="CH91" s="407"/>
      <c r="CI91" s="407">
        <v>47449.191999999995</v>
      </c>
      <c r="CJ91" s="407">
        <v>-15201.914480000014</v>
      </c>
      <c r="CK91" s="407"/>
      <c r="CL91" s="407"/>
      <c r="CM91" s="407"/>
      <c r="CN91" s="407"/>
      <c r="CO91" s="407">
        <v>-19696.608000000004</v>
      </c>
      <c r="CP91" s="407">
        <v>2420.8761599999998</v>
      </c>
      <c r="CQ91" s="407">
        <v>31</v>
      </c>
      <c r="CR91" s="407">
        <v>1520.5620996839352</v>
      </c>
      <c r="CS91" s="407">
        <v>0</v>
      </c>
      <c r="CT91" s="407">
        <v>0</v>
      </c>
      <c r="CU91" s="407">
        <v>0</v>
      </c>
      <c r="CV91" s="407">
        <v>0</v>
      </c>
      <c r="CW91" s="407">
        <v>0</v>
      </c>
      <c r="CX91" s="407">
        <v>0</v>
      </c>
      <c r="CY91" s="407">
        <v>0</v>
      </c>
      <c r="CZ91" s="407">
        <v>464.35172106634127</v>
      </c>
      <c r="DA91" s="407">
        <v>0</v>
      </c>
      <c r="DB91" s="407">
        <v>0</v>
      </c>
      <c r="DC91" s="407">
        <v>2694.9353936275893</v>
      </c>
      <c r="DD91" s="407">
        <v>0</v>
      </c>
      <c r="DE91" s="407">
        <v>0</v>
      </c>
      <c r="DF91" s="407">
        <v>0</v>
      </c>
      <c r="DG91" s="407">
        <v>196.99117170673435</v>
      </c>
      <c r="DH91" s="407">
        <v>0</v>
      </c>
      <c r="DI91" s="407">
        <v>-382.52122368558867</v>
      </c>
      <c r="DJ91" s="407"/>
      <c r="DK91" s="407">
        <v>0</v>
      </c>
      <c r="DL91" s="407">
        <v>0</v>
      </c>
      <c r="DM91" s="407">
        <v>0</v>
      </c>
      <c r="DN91" s="407">
        <v>0</v>
      </c>
      <c r="DO91" s="407">
        <v>-51.488636153400307</v>
      </c>
      <c r="DP91" s="407">
        <v>-11.652291607630303</v>
      </c>
      <c r="DQ91" s="407">
        <v>0</v>
      </c>
      <c r="DR91" s="407">
        <v>-1390.0540352701055</v>
      </c>
      <c r="DS91" s="407"/>
      <c r="DT91" s="407"/>
      <c r="DU91" s="407"/>
      <c r="DV91" s="407">
        <v>36797.493076083527</v>
      </c>
      <c r="DW91" s="407">
        <v>0</v>
      </c>
      <c r="DX91" s="407">
        <v>0</v>
      </c>
      <c r="DY91" s="407">
        <v>-19696.608000000007</v>
      </c>
      <c r="DZ91" s="407">
        <v>2420.8761599999998</v>
      </c>
      <c r="EA91" s="407">
        <v>0</v>
      </c>
      <c r="EB91" s="407">
        <v>0</v>
      </c>
      <c r="EC91" s="407">
        <v>-18796.244929980297</v>
      </c>
      <c r="ED91" s="407">
        <v>0</v>
      </c>
      <c r="EE91" s="407">
        <v>0</v>
      </c>
      <c r="EF91" s="407">
        <v>0</v>
      </c>
      <c r="EG91" s="407">
        <v>0</v>
      </c>
      <c r="EH91" s="407">
        <v>0</v>
      </c>
      <c r="EI91" s="407">
        <v>0</v>
      </c>
      <c r="EJ91" s="407">
        <v>0</v>
      </c>
      <c r="EK91" s="407">
        <v>0</v>
      </c>
      <c r="EL91" s="407">
        <v>0</v>
      </c>
      <c r="EM91" s="407">
        <v>0</v>
      </c>
      <c r="EN91" s="407">
        <v>0</v>
      </c>
      <c r="EO91" s="407">
        <v>0</v>
      </c>
      <c r="EP91" s="407">
        <v>2586.926912979945</v>
      </c>
      <c r="EQ91" s="407">
        <v>0</v>
      </c>
      <c r="ER91" s="407">
        <v>0</v>
      </c>
      <c r="ES91" s="407">
        <v>0</v>
      </c>
      <c r="ET91" s="407">
        <v>0</v>
      </c>
      <c r="EU91" s="407">
        <v>0</v>
      </c>
      <c r="EV91" s="407">
        <v>246</v>
      </c>
      <c r="EW91" s="407">
        <v>0</v>
      </c>
      <c r="EX91" s="407">
        <v>0</v>
      </c>
      <c r="EY91" s="407">
        <v>0</v>
      </c>
      <c r="EZ91" s="407"/>
      <c r="FA91" s="407">
        <v>0</v>
      </c>
      <c r="FB91" s="407"/>
      <c r="FC91" s="407"/>
      <c r="FD91" s="407"/>
      <c r="FE91" s="407"/>
      <c r="FF91" s="407">
        <v>0</v>
      </c>
      <c r="FG91" s="407">
        <v>0</v>
      </c>
      <c r="FH91" s="407">
        <v>0</v>
      </c>
      <c r="FI91" s="407">
        <v>0</v>
      </c>
    </row>
    <row r="92" spans="1:165" s="845" customFormat="1">
      <c r="A92" s="407">
        <v>94</v>
      </c>
      <c r="B92" s="407" t="s">
        <v>1090</v>
      </c>
      <c r="C92" s="407" t="s">
        <v>2314</v>
      </c>
      <c r="D92" s="407" t="s">
        <v>650</v>
      </c>
      <c r="E92" s="407" t="s">
        <v>1026</v>
      </c>
      <c r="F92" s="407" t="s">
        <v>97</v>
      </c>
      <c r="G92" s="407" t="s">
        <v>97</v>
      </c>
      <c r="H92" s="407" t="s">
        <v>97</v>
      </c>
      <c r="I92" s="407" t="s">
        <v>1025</v>
      </c>
      <c r="J92" s="407" t="s">
        <v>2307</v>
      </c>
      <c r="K92" s="818">
        <v>44409</v>
      </c>
      <c r="L92" s="407">
        <v>0</v>
      </c>
      <c r="M92" s="407">
        <v>0</v>
      </c>
      <c r="N92" s="407">
        <v>28.484000000000002</v>
      </c>
      <c r="O92" s="407">
        <v>27.344639999999998</v>
      </c>
      <c r="P92" s="407">
        <v>28.484000000000002</v>
      </c>
      <c r="Q92" s="407">
        <v>27.344639999999998</v>
      </c>
      <c r="R92" s="407"/>
      <c r="S92" s="407">
        <v>2810.7</v>
      </c>
      <c r="T92" s="407">
        <v>159.41</v>
      </c>
      <c r="U92" s="407"/>
      <c r="V92" s="407">
        <v>84600.613239999991</v>
      </c>
      <c r="W92" s="407">
        <v>84600.613239999991</v>
      </c>
      <c r="X92" s="407">
        <v>53882.897960000002</v>
      </c>
      <c r="Y92" s="407">
        <v>0</v>
      </c>
      <c r="Z92" s="407">
        <v>1535.6897384822457</v>
      </c>
      <c r="AA92" s="407">
        <v>0</v>
      </c>
      <c r="AB92" s="407">
        <v>0</v>
      </c>
      <c r="AC92" s="407">
        <v>0</v>
      </c>
      <c r="AD92" s="407">
        <v>17389.926162026281</v>
      </c>
      <c r="AE92" s="407">
        <v>59955.65554412605</v>
      </c>
      <c r="AF92" s="407">
        <v>4393.1077348561967</v>
      </c>
      <c r="AG92" s="407">
        <v>147.59688833034548</v>
      </c>
      <c r="AH92" s="407">
        <v>0</v>
      </c>
      <c r="AI92" s="407">
        <v>0</v>
      </c>
      <c r="AJ92" s="407">
        <v>0</v>
      </c>
      <c r="AK92" s="407">
        <v>0</v>
      </c>
      <c r="AL92" s="407">
        <v>272.76436061053886</v>
      </c>
      <c r="AM92" s="407"/>
      <c r="AN92" s="407">
        <v>30.584221704469392</v>
      </c>
      <c r="AO92" s="407">
        <v>0</v>
      </c>
      <c r="AP92" s="407">
        <v>0</v>
      </c>
      <c r="AQ92" s="407">
        <v>0</v>
      </c>
      <c r="AR92" s="407">
        <v>0</v>
      </c>
      <c r="AS92" s="407">
        <v>0</v>
      </c>
      <c r="AT92" s="407">
        <v>0</v>
      </c>
      <c r="AU92" s="407">
        <v>0</v>
      </c>
      <c r="AV92" s="407">
        <v>0</v>
      </c>
      <c r="AW92" s="407">
        <v>0</v>
      </c>
      <c r="AX92" s="407">
        <v>0</v>
      </c>
      <c r="AY92" s="407">
        <v>0</v>
      </c>
      <c r="AZ92" s="407">
        <v>0</v>
      </c>
      <c r="BA92" s="407"/>
      <c r="BB92" s="407">
        <v>0</v>
      </c>
      <c r="BC92" s="407">
        <v>0</v>
      </c>
      <c r="BD92" s="407">
        <v>0</v>
      </c>
      <c r="BE92" s="407">
        <v>0</v>
      </c>
      <c r="BF92" s="407">
        <v>0</v>
      </c>
      <c r="BG92" s="407">
        <v>147.82838124004215</v>
      </c>
      <c r="BH92" s="407">
        <v>0</v>
      </c>
      <c r="BI92" s="407">
        <v>0</v>
      </c>
      <c r="BJ92" s="407">
        <v>0</v>
      </c>
      <c r="BK92" s="407">
        <v>0</v>
      </c>
      <c r="BL92" s="407">
        <v>0</v>
      </c>
      <c r="BM92" s="407"/>
      <c r="BN92" s="407"/>
      <c r="BO92" s="407"/>
      <c r="BP92" s="407"/>
      <c r="BQ92" s="407"/>
      <c r="BR92" s="407">
        <v>2155.3159184000065</v>
      </c>
      <c r="BS92" s="407"/>
      <c r="BT92" s="407"/>
      <c r="BU92" s="407"/>
      <c r="BV92" s="407">
        <v>4540.9361160962389</v>
      </c>
      <c r="BW92" s="407"/>
      <c r="BX92" s="407"/>
      <c r="BY92" s="407"/>
      <c r="BZ92" s="407"/>
      <c r="CA92" s="407"/>
      <c r="CB92" s="407"/>
      <c r="CC92" s="407"/>
      <c r="CD92" s="407"/>
      <c r="CE92" s="407"/>
      <c r="CF92" s="407"/>
      <c r="CG92" s="407"/>
      <c r="CH92" s="407"/>
      <c r="CI92" s="407">
        <v>51718.804600000003</v>
      </c>
      <c r="CJ92" s="407">
        <v>-29497.814110399966</v>
      </c>
      <c r="CK92" s="407"/>
      <c r="CL92" s="407"/>
      <c r="CM92" s="407"/>
      <c r="CN92" s="407"/>
      <c r="CO92" s="407">
        <v>-31500.170759999997</v>
      </c>
      <c r="CP92" s="407">
        <v>782.45547999999997</v>
      </c>
      <c r="CQ92" s="407">
        <v>31</v>
      </c>
      <c r="CR92" s="407">
        <v>-92.077292803907767</v>
      </c>
      <c r="CS92" s="407">
        <v>0</v>
      </c>
      <c r="CT92" s="407">
        <v>0</v>
      </c>
      <c r="CU92" s="407">
        <v>0</v>
      </c>
      <c r="CV92" s="407">
        <v>0</v>
      </c>
      <c r="CW92" s="407">
        <v>0</v>
      </c>
      <c r="CX92" s="407">
        <v>0</v>
      </c>
      <c r="CY92" s="407">
        <v>0</v>
      </c>
      <c r="CZ92" s="407">
        <v>785.53744565881061</v>
      </c>
      <c r="DA92" s="407">
        <v>0</v>
      </c>
      <c r="DB92" s="407">
        <v>0</v>
      </c>
      <c r="DC92" s="407">
        <v>871.0346286320837</v>
      </c>
      <c r="DD92" s="407">
        <v>0</v>
      </c>
      <c r="DE92" s="407">
        <v>0</v>
      </c>
      <c r="DF92" s="407">
        <v>0</v>
      </c>
      <c r="DG92" s="407">
        <v>29.310375917497822</v>
      </c>
      <c r="DH92" s="407">
        <v>0</v>
      </c>
      <c r="DI92" s="407">
        <v>-107.56273881003244</v>
      </c>
      <c r="DJ92" s="407"/>
      <c r="DK92" s="407">
        <v>0</v>
      </c>
      <c r="DL92" s="407">
        <v>0</v>
      </c>
      <c r="DM92" s="407">
        <v>0</v>
      </c>
      <c r="DN92" s="407">
        <v>0</v>
      </c>
      <c r="DO92" s="407">
        <v>-16.641729214250347</v>
      </c>
      <c r="DP92" s="407">
        <v>-1.9487527704900351</v>
      </c>
      <c r="DQ92" s="407">
        <v>0</v>
      </c>
      <c r="DR92" s="407">
        <v>-1651.806522217523</v>
      </c>
      <c r="DS92" s="407"/>
      <c r="DT92" s="407"/>
      <c r="DU92" s="407"/>
      <c r="DV92" s="407">
        <v>59955.65554412605</v>
      </c>
      <c r="DW92" s="407">
        <v>0</v>
      </c>
      <c r="DX92" s="407">
        <v>0</v>
      </c>
      <c r="DY92" s="407">
        <v>-31500.170759999994</v>
      </c>
      <c r="DZ92" s="407">
        <v>782.45548000000053</v>
      </c>
      <c r="EA92" s="407">
        <v>0</v>
      </c>
      <c r="EB92" s="407">
        <v>0</v>
      </c>
      <c r="EC92" s="407">
        <v>-30625.488106345263</v>
      </c>
      <c r="ED92" s="407">
        <v>0</v>
      </c>
      <c r="EE92" s="407">
        <v>0</v>
      </c>
      <c r="EF92" s="407">
        <v>0</v>
      </c>
      <c r="EG92" s="407">
        <v>0</v>
      </c>
      <c r="EH92" s="407">
        <v>0</v>
      </c>
      <c r="EI92" s="407">
        <v>0</v>
      </c>
      <c r="EJ92" s="407">
        <v>0</v>
      </c>
      <c r="EK92" s="407">
        <v>0</v>
      </c>
      <c r="EL92" s="407">
        <v>0</v>
      </c>
      <c r="EM92" s="407">
        <v>0</v>
      </c>
      <c r="EN92" s="407">
        <v>0</v>
      </c>
      <c r="EO92" s="407">
        <v>0</v>
      </c>
      <c r="EP92" s="407">
        <v>727.42877161298372</v>
      </c>
      <c r="EQ92" s="407">
        <v>0</v>
      </c>
      <c r="ER92" s="407">
        <v>0</v>
      </c>
      <c r="ES92" s="407">
        <v>0</v>
      </c>
      <c r="ET92" s="407">
        <v>0</v>
      </c>
      <c r="EU92" s="407">
        <v>0</v>
      </c>
      <c r="EV92" s="407">
        <v>246</v>
      </c>
      <c r="EW92" s="407">
        <v>0</v>
      </c>
      <c r="EX92" s="407">
        <v>0</v>
      </c>
      <c r="EY92" s="407">
        <v>0</v>
      </c>
      <c r="EZ92" s="407"/>
      <c r="FA92" s="407">
        <v>0</v>
      </c>
      <c r="FB92" s="407"/>
      <c r="FC92" s="407"/>
      <c r="FD92" s="407"/>
      <c r="FE92" s="407"/>
      <c r="FF92" s="407">
        <v>0</v>
      </c>
      <c r="FG92" s="407">
        <v>0</v>
      </c>
      <c r="FH92" s="407">
        <v>0</v>
      </c>
      <c r="FI92" s="407">
        <v>0</v>
      </c>
    </row>
    <row r="93" spans="1:165" s="845" customFormat="1">
      <c r="A93" s="407">
        <v>96</v>
      </c>
      <c r="B93" s="407" t="s">
        <v>1090</v>
      </c>
      <c r="C93" s="407" t="s">
        <v>2314</v>
      </c>
      <c r="D93" s="407" t="s">
        <v>650</v>
      </c>
      <c r="E93" s="407" t="s">
        <v>1026</v>
      </c>
      <c r="F93" s="407" t="s">
        <v>97</v>
      </c>
      <c r="G93" s="407" t="s">
        <v>97</v>
      </c>
      <c r="H93" s="407" t="s">
        <v>97</v>
      </c>
      <c r="I93" s="407" t="s">
        <v>2290</v>
      </c>
      <c r="J93" s="407" t="s">
        <v>2307</v>
      </c>
      <c r="K93" s="818">
        <v>44409</v>
      </c>
      <c r="L93" s="407">
        <v>0</v>
      </c>
      <c r="M93" s="407">
        <v>0</v>
      </c>
      <c r="N93" s="407">
        <v>598.20299999999997</v>
      </c>
      <c r="O93" s="407">
        <v>574.27488000000005</v>
      </c>
      <c r="P93" s="407">
        <v>598.20299999999997</v>
      </c>
      <c r="Q93" s="407">
        <v>574.27488000000005</v>
      </c>
      <c r="R93" s="407"/>
      <c r="S93" s="407">
        <v>95.29</v>
      </c>
      <c r="T93" s="407">
        <v>159.41</v>
      </c>
      <c r="U93" s="407"/>
      <c r="V93" s="407">
        <v>152362.30410000001</v>
      </c>
      <c r="W93" s="407">
        <v>152362.30410000001</v>
      </c>
      <c r="X93" s="407">
        <v>165648.39272999999</v>
      </c>
      <c r="Y93" s="407">
        <v>0</v>
      </c>
      <c r="Z93" s="407">
        <v>32251.587158731032</v>
      </c>
      <c r="AA93" s="407">
        <v>0</v>
      </c>
      <c r="AB93" s="407">
        <v>0</v>
      </c>
      <c r="AC93" s="407">
        <v>0</v>
      </c>
      <c r="AD93" s="407">
        <v>0</v>
      </c>
      <c r="AE93" s="407">
        <v>0</v>
      </c>
      <c r="AF93" s="407">
        <v>92261.277429931928</v>
      </c>
      <c r="AG93" s="407">
        <v>3099.7367430795412</v>
      </c>
      <c r="AH93" s="407">
        <v>0</v>
      </c>
      <c r="AI93" s="407">
        <v>0</v>
      </c>
      <c r="AJ93" s="407">
        <v>0</v>
      </c>
      <c r="AK93" s="407">
        <v>0</v>
      </c>
      <c r="AL93" s="407">
        <v>5728.4250389799945</v>
      </c>
      <c r="AM93" s="407"/>
      <c r="AN93" s="407">
        <v>642.31053139582582</v>
      </c>
      <c r="AO93" s="407">
        <v>0</v>
      </c>
      <c r="AP93" s="407">
        <v>0</v>
      </c>
      <c r="AQ93" s="407">
        <v>0</v>
      </c>
      <c r="AR93" s="407">
        <v>0</v>
      </c>
      <c r="AS93" s="407">
        <v>0</v>
      </c>
      <c r="AT93" s="407">
        <v>0</v>
      </c>
      <c r="AU93" s="407">
        <v>0</v>
      </c>
      <c r="AV93" s="407">
        <v>0</v>
      </c>
      <c r="AW93" s="407">
        <v>0</v>
      </c>
      <c r="AX93" s="407">
        <v>0</v>
      </c>
      <c r="AY93" s="407">
        <v>0</v>
      </c>
      <c r="AZ93" s="407">
        <v>0</v>
      </c>
      <c r="BA93" s="407"/>
      <c r="BB93" s="407">
        <v>0</v>
      </c>
      <c r="BC93" s="407">
        <v>0</v>
      </c>
      <c r="BD93" s="407">
        <v>0</v>
      </c>
      <c r="BE93" s="407">
        <v>0</v>
      </c>
      <c r="BF93" s="407">
        <v>0</v>
      </c>
      <c r="BG93" s="407">
        <v>3104.5984111408834</v>
      </c>
      <c r="BH93" s="407">
        <v>0</v>
      </c>
      <c r="BI93" s="407">
        <v>0</v>
      </c>
      <c r="BJ93" s="407">
        <v>0</v>
      </c>
      <c r="BK93" s="407">
        <v>0</v>
      </c>
      <c r="BL93" s="407">
        <v>0</v>
      </c>
      <c r="BM93" s="407"/>
      <c r="BN93" s="407"/>
      <c r="BO93" s="407"/>
      <c r="BP93" s="407"/>
      <c r="BQ93" s="407"/>
      <c r="BR93" s="407">
        <v>6625.9357091999791</v>
      </c>
      <c r="BS93" s="407"/>
      <c r="BT93" s="407"/>
      <c r="BU93" s="407"/>
      <c r="BV93" s="407">
        <v>95365.875841072819</v>
      </c>
      <c r="BW93" s="407"/>
      <c r="BX93" s="407"/>
      <c r="BY93" s="407"/>
      <c r="BZ93" s="407"/>
      <c r="CA93" s="407"/>
      <c r="CB93" s="407"/>
      <c r="CC93" s="407"/>
      <c r="CD93" s="407"/>
      <c r="CE93" s="407"/>
      <c r="CF93" s="407"/>
      <c r="CG93" s="407"/>
      <c r="CH93" s="407"/>
      <c r="CI93" s="407">
        <v>159021.10569999999</v>
      </c>
      <c r="CJ93" s="407">
        <v>12753.263763999945</v>
      </c>
      <c r="CK93" s="407"/>
      <c r="CL93" s="407"/>
      <c r="CM93" s="407"/>
      <c r="CN93" s="407"/>
      <c r="CO93" s="407">
        <v>-3146.5477800000031</v>
      </c>
      <c r="CP93" s="407">
        <v>16432.636409999999</v>
      </c>
      <c r="CQ93" s="407">
        <v>31</v>
      </c>
      <c r="CR93" s="407">
        <v>13284.197835690371</v>
      </c>
      <c r="CS93" s="407">
        <v>0</v>
      </c>
      <c r="CT93" s="407">
        <v>0</v>
      </c>
      <c r="CU93" s="407">
        <v>0</v>
      </c>
      <c r="CV93" s="407">
        <v>0</v>
      </c>
      <c r="CW93" s="407">
        <v>0</v>
      </c>
      <c r="CX93" s="407">
        <v>0</v>
      </c>
      <c r="CY93" s="407">
        <v>0</v>
      </c>
      <c r="CZ93" s="407">
        <v>0</v>
      </c>
      <c r="DA93" s="407">
        <v>0</v>
      </c>
      <c r="DB93" s="407">
        <v>0</v>
      </c>
      <c r="DC93" s="407">
        <v>18292.919812933527</v>
      </c>
      <c r="DD93" s="407">
        <v>0</v>
      </c>
      <c r="DE93" s="407">
        <v>0</v>
      </c>
      <c r="DF93" s="407">
        <v>0</v>
      </c>
      <c r="DG93" s="407">
        <v>615.5580257328661</v>
      </c>
      <c r="DH93" s="407">
        <v>0</v>
      </c>
      <c r="DI93" s="407">
        <v>-2258.964788806974</v>
      </c>
      <c r="DJ93" s="407"/>
      <c r="DK93" s="407">
        <v>0</v>
      </c>
      <c r="DL93" s="407">
        <v>0</v>
      </c>
      <c r="DM93" s="407">
        <v>0</v>
      </c>
      <c r="DN93" s="407">
        <v>0</v>
      </c>
      <c r="DO93" s="407">
        <v>-349.49909918382946</v>
      </c>
      <c r="DP93" s="407">
        <v>-40.92647639255199</v>
      </c>
      <c r="DQ93" s="407">
        <v>0</v>
      </c>
      <c r="DR93" s="407">
        <v>-2974.8896385926628</v>
      </c>
      <c r="DS93" s="407"/>
      <c r="DT93" s="407"/>
      <c r="DU93" s="407"/>
      <c r="DV93" s="407">
        <v>0</v>
      </c>
      <c r="DW93" s="407">
        <v>0</v>
      </c>
      <c r="DX93" s="407">
        <v>0</v>
      </c>
      <c r="DY93" s="407">
        <v>-3146.5477800000008</v>
      </c>
      <c r="DZ93" s="407">
        <v>16432.636409999992</v>
      </c>
      <c r="EA93" s="407">
        <v>0</v>
      </c>
      <c r="EB93" s="407">
        <v>0</v>
      </c>
      <c r="EC93" s="407">
        <v>0</v>
      </c>
      <c r="ED93" s="407">
        <v>0</v>
      </c>
      <c r="EE93" s="407">
        <v>0</v>
      </c>
      <c r="EF93" s="407">
        <v>0</v>
      </c>
      <c r="EG93" s="407">
        <v>0</v>
      </c>
      <c r="EH93" s="407">
        <v>0</v>
      </c>
      <c r="EI93" s="407">
        <v>0</v>
      </c>
      <c r="EJ93" s="407">
        <v>0</v>
      </c>
      <c r="EK93" s="407">
        <v>0</v>
      </c>
      <c r="EL93" s="407">
        <v>0</v>
      </c>
      <c r="EM93" s="407">
        <v>0</v>
      </c>
      <c r="EN93" s="407">
        <v>0</v>
      </c>
      <c r="EO93" s="407">
        <v>0</v>
      </c>
      <c r="EP93" s="407">
        <v>15277.000191869178</v>
      </c>
      <c r="EQ93" s="407">
        <v>0</v>
      </c>
      <c r="ER93" s="407">
        <v>0</v>
      </c>
      <c r="ES93" s="407">
        <v>0</v>
      </c>
      <c r="ET93" s="407">
        <v>0</v>
      </c>
      <c r="EU93" s="407">
        <v>0</v>
      </c>
      <c r="EV93" s="407">
        <v>246</v>
      </c>
      <c r="EW93" s="407">
        <v>0</v>
      </c>
      <c r="EX93" s="407">
        <v>0</v>
      </c>
      <c r="EY93" s="407">
        <v>0</v>
      </c>
      <c r="EZ93" s="407"/>
      <c r="FA93" s="407">
        <v>0</v>
      </c>
      <c r="FB93" s="407"/>
      <c r="FC93" s="407"/>
      <c r="FD93" s="407"/>
      <c r="FE93" s="407"/>
      <c r="FF93" s="407">
        <v>0</v>
      </c>
      <c r="FG93" s="407">
        <v>0</v>
      </c>
      <c r="FH93" s="407">
        <v>0</v>
      </c>
      <c r="FI93" s="407">
        <v>0</v>
      </c>
    </row>
    <row r="94" spans="1:165" s="845" customFormat="1">
      <c r="A94" s="407">
        <v>97</v>
      </c>
      <c r="B94" s="407" t="s">
        <v>2309</v>
      </c>
      <c r="C94" s="407" t="s">
        <v>2314</v>
      </c>
      <c r="D94" s="407" t="s">
        <v>650</v>
      </c>
      <c r="E94" s="407" t="s">
        <v>1026</v>
      </c>
      <c r="F94" s="407" t="s">
        <v>97</v>
      </c>
      <c r="G94" s="407" t="s">
        <v>97</v>
      </c>
      <c r="H94" s="407" t="s">
        <v>97</v>
      </c>
      <c r="I94" s="407" t="s">
        <v>2290</v>
      </c>
      <c r="J94" s="407" t="s">
        <v>2307</v>
      </c>
      <c r="K94" s="818">
        <v>44409</v>
      </c>
      <c r="L94" s="407">
        <v>0</v>
      </c>
      <c r="M94" s="407">
        <v>0</v>
      </c>
      <c r="N94" s="407">
        <v>14.769</v>
      </c>
      <c r="O94" s="407">
        <v>14.178240000000001</v>
      </c>
      <c r="P94" s="407">
        <v>14.769</v>
      </c>
      <c r="Q94" s="407">
        <v>14.178240000000001</v>
      </c>
      <c r="R94" s="407"/>
      <c r="S94" s="407">
        <v>95.29</v>
      </c>
      <c r="T94" s="407">
        <v>159.41</v>
      </c>
      <c r="U94" s="407"/>
      <c r="V94" s="407">
        <v>3761.6643000000004</v>
      </c>
      <c r="W94" s="407">
        <v>3761.6643000000004</v>
      </c>
      <c r="X94" s="407">
        <v>4089.68379</v>
      </c>
      <c r="Y94" s="407">
        <v>0</v>
      </c>
      <c r="Z94" s="407">
        <v>796.25760945247453</v>
      </c>
      <c r="AA94" s="407">
        <v>0</v>
      </c>
      <c r="AB94" s="407">
        <v>0</v>
      </c>
      <c r="AC94" s="407">
        <v>0</v>
      </c>
      <c r="AD94" s="407">
        <v>0</v>
      </c>
      <c r="AE94" s="407">
        <v>0</v>
      </c>
      <c r="AF94" s="407">
        <v>2277.8334551359067</v>
      </c>
      <c r="AG94" s="407">
        <v>76.529224959657085</v>
      </c>
      <c r="AH94" s="407">
        <v>0</v>
      </c>
      <c r="AI94" s="407">
        <v>0</v>
      </c>
      <c r="AJ94" s="407">
        <v>0</v>
      </c>
      <c r="AK94" s="407">
        <v>0</v>
      </c>
      <c r="AL94" s="407">
        <v>141.42876147511052</v>
      </c>
      <c r="AM94" s="407"/>
      <c r="AN94" s="407">
        <v>15.857968345503034</v>
      </c>
      <c r="AO94" s="407">
        <v>0</v>
      </c>
      <c r="AP94" s="407">
        <v>0</v>
      </c>
      <c r="AQ94" s="407">
        <v>0</v>
      </c>
      <c r="AR94" s="407">
        <v>0</v>
      </c>
      <c r="AS94" s="407">
        <v>0</v>
      </c>
      <c r="AT94" s="407">
        <v>0</v>
      </c>
      <c r="AU94" s="407">
        <v>0</v>
      </c>
      <c r="AV94" s="407">
        <v>0</v>
      </c>
      <c r="AW94" s="407">
        <v>0</v>
      </c>
      <c r="AX94" s="407">
        <v>0</v>
      </c>
      <c r="AY94" s="407">
        <v>0</v>
      </c>
      <c r="AZ94" s="407">
        <v>0</v>
      </c>
      <c r="BA94" s="407"/>
      <c r="BB94" s="407">
        <v>0</v>
      </c>
      <c r="BC94" s="407">
        <v>0</v>
      </c>
      <c r="BD94" s="407">
        <v>0</v>
      </c>
      <c r="BE94" s="407">
        <v>0</v>
      </c>
      <c r="BF94" s="407">
        <v>0</v>
      </c>
      <c r="BG94" s="407">
        <v>76.649254407182354</v>
      </c>
      <c r="BH94" s="407">
        <v>0</v>
      </c>
      <c r="BI94" s="407">
        <v>0</v>
      </c>
      <c r="BJ94" s="407">
        <v>0</v>
      </c>
      <c r="BK94" s="407">
        <v>0</v>
      </c>
      <c r="BL94" s="407">
        <v>0</v>
      </c>
      <c r="BM94" s="407"/>
      <c r="BN94" s="407"/>
      <c r="BO94" s="407"/>
      <c r="BP94" s="407"/>
      <c r="BQ94" s="407"/>
      <c r="BR94" s="407">
        <v>163.58735159999986</v>
      </c>
      <c r="BS94" s="407"/>
      <c r="BT94" s="407"/>
      <c r="BU94" s="407"/>
      <c r="BV94" s="407">
        <v>2354.4827095430892</v>
      </c>
      <c r="BW94" s="407"/>
      <c r="BX94" s="407"/>
      <c r="BY94" s="407"/>
      <c r="BZ94" s="407"/>
      <c r="CA94" s="407"/>
      <c r="CB94" s="407"/>
      <c r="CC94" s="407"/>
      <c r="CD94" s="407"/>
      <c r="CE94" s="407"/>
      <c r="CF94" s="407"/>
      <c r="CG94" s="407"/>
      <c r="CH94" s="407"/>
      <c r="CI94" s="407">
        <v>3926.5837999999999</v>
      </c>
      <c r="CJ94" s="407">
        <v>315.35607199999913</v>
      </c>
      <c r="CK94" s="407"/>
      <c r="CL94" s="407"/>
      <c r="CM94" s="407"/>
      <c r="CN94" s="407"/>
      <c r="CO94" s="407">
        <v>-77.684940000000083</v>
      </c>
      <c r="CP94" s="407">
        <v>405.70443</v>
      </c>
      <c r="CQ94" s="407">
        <v>31</v>
      </c>
      <c r="CR94" s="407">
        <v>327.9728082863362</v>
      </c>
      <c r="CS94" s="407">
        <v>0</v>
      </c>
      <c r="CT94" s="407">
        <v>0</v>
      </c>
      <c r="CU94" s="407">
        <v>0</v>
      </c>
      <c r="CV94" s="407">
        <v>0</v>
      </c>
      <c r="CW94" s="407">
        <v>0</v>
      </c>
      <c r="CX94" s="407">
        <v>0</v>
      </c>
      <c r="CY94" s="407">
        <v>0</v>
      </c>
      <c r="CZ94" s="407">
        <v>0</v>
      </c>
      <c r="DA94" s="407">
        <v>0</v>
      </c>
      <c r="DB94" s="407">
        <v>0</v>
      </c>
      <c r="DC94" s="407">
        <v>451.63286161589849</v>
      </c>
      <c r="DD94" s="407">
        <v>0</v>
      </c>
      <c r="DE94" s="407">
        <v>0</v>
      </c>
      <c r="DF94" s="407">
        <v>0</v>
      </c>
      <c r="DG94" s="407">
        <v>15.197477247771573</v>
      </c>
      <c r="DH94" s="407">
        <v>0</v>
      </c>
      <c r="DI94" s="407">
        <v>-55.771453780556385</v>
      </c>
      <c r="DJ94" s="407"/>
      <c r="DK94" s="407">
        <v>0</v>
      </c>
      <c r="DL94" s="407">
        <v>0</v>
      </c>
      <c r="DM94" s="407">
        <v>0</v>
      </c>
      <c r="DN94" s="407">
        <v>0</v>
      </c>
      <c r="DO94" s="407">
        <v>-8.6287634730116167</v>
      </c>
      <c r="DP94" s="407">
        <v>-1.0104314586212375</v>
      </c>
      <c r="DQ94" s="407">
        <v>0</v>
      </c>
      <c r="DR94" s="407">
        <v>-73.446881865144505</v>
      </c>
      <c r="DS94" s="407"/>
      <c r="DT94" s="407"/>
      <c r="DU94" s="407"/>
      <c r="DV94" s="407">
        <v>0</v>
      </c>
      <c r="DW94" s="407">
        <v>0</v>
      </c>
      <c r="DX94" s="407">
        <v>0</v>
      </c>
      <c r="DY94" s="407">
        <v>-77.684940000000097</v>
      </c>
      <c r="DZ94" s="407">
        <v>405.70442999999977</v>
      </c>
      <c r="EA94" s="407">
        <v>0</v>
      </c>
      <c r="EB94" s="407">
        <v>0</v>
      </c>
      <c r="EC94" s="407">
        <v>0</v>
      </c>
      <c r="ED94" s="407">
        <v>0</v>
      </c>
      <c r="EE94" s="407">
        <v>0</v>
      </c>
      <c r="EF94" s="407">
        <v>0</v>
      </c>
      <c r="EG94" s="407">
        <v>0</v>
      </c>
      <c r="EH94" s="407">
        <v>0</v>
      </c>
      <c r="EI94" s="407">
        <v>0</v>
      </c>
      <c r="EJ94" s="407">
        <v>0</v>
      </c>
      <c r="EK94" s="407">
        <v>0</v>
      </c>
      <c r="EL94" s="407">
        <v>0</v>
      </c>
      <c r="EM94" s="407">
        <v>0</v>
      </c>
      <c r="EN94" s="407">
        <v>0</v>
      </c>
      <c r="EO94" s="407">
        <v>0</v>
      </c>
      <c r="EP94" s="407">
        <v>377.17299283640489</v>
      </c>
      <c r="EQ94" s="407">
        <v>0</v>
      </c>
      <c r="ER94" s="407">
        <v>0</v>
      </c>
      <c r="ES94" s="407">
        <v>0</v>
      </c>
      <c r="ET94" s="407">
        <v>0</v>
      </c>
      <c r="EU94" s="407">
        <v>0</v>
      </c>
      <c r="EV94" s="407">
        <v>246</v>
      </c>
      <c r="EW94" s="407">
        <v>0</v>
      </c>
      <c r="EX94" s="407">
        <v>0</v>
      </c>
      <c r="EY94" s="407">
        <v>0</v>
      </c>
      <c r="EZ94" s="407"/>
      <c r="FA94" s="407">
        <v>0</v>
      </c>
      <c r="FB94" s="407"/>
      <c r="FC94" s="407"/>
      <c r="FD94" s="407"/>
      <c r="FE94" s="407"/>
      <c r="FF94" s="407">
        <v>0</v>
      </c>
      <c r="FG94" s="407">
        <v>0</v>
      </c>
      <c r="FH94" s="407">
        <v>0</v>
      </c>
      <c r="FI94" s="407">
        <v>0</v>
      </c>
    </row>
    <row r="95" spans="1:165" s="845" customFormat="1">
      <c r="A95" s="407">
        <v>98</v>
      </c>
      <c r="B95" s="407" t="s">
        <v>1090</v>
      </c>
      <c r="C95" s="407" t="s">
        <v>2314</v>
      </c>
      <c r="D95" s="407" t="s">
        <v>650</v>
      </c>
      <c r="E95" s="407" t="s">
        <v>1026</v>
      </c>
      <c r="F95" s="407" t="s">
        <v>97</v>
      </c>
      <c r="G95" s="407" t="s">
        <v>97</v>
      </c>
      <c r="H95" s="407" t="s">
        <v>97</v>
      </c>
      <c r="I95" s="407" t="s">
        <v>97</v>
      </c>
      <c r="J95" s="407" t="s">
        <v>2307</v>
      </c>
      <c r="K95" s="818">
        <v>44409</v>
      </c>
      <c r="L95" s="407">
        <v>3721</v>
      </c>
      <c r="M95" s="407">
        <v>3572.16</v>
      </c>
      <c r="N95" s="407">
        <v>0</v>
      </c>
      <c r="O95" s="407">
        <v>0</v>
      </c>
      <c r="P95" s="407">
        <v>0</v>
      </c>
      <c r="Q95" s="407">
        <v>0</v>
      </c>
      <c r="R95" s="407">
        <v>43.29</v>
      </c>
      <c r="S95" s="407"/>
      <c r="T95" s="407"/>
      <c r="U95" s="407">
        <v>161082.09</v>
      </c>
      <c r="V95" s="407"/>
      <c r="W95" s="407">
        <v>161082.09</v>
      </c>
      <c r="X95" s="407">
        <v>124616.29000000001</v>
      </c>
      <c r="Y95" s="407">
        <v>0</v>
      </c>
      <c r="Z95" s="407">
        <v>0</v>
      </c>
      <c r="AA95" s="407">
        <v>0</v>
      </c>
      <c r="AB95" s="407">
        <v>0</v>
      </c>
      <c r="AC95" s="407">
        <v>0</v>
      </c>
      <c r="AD95" s="407">
        <v>88053.696216547803</v>
      </c>
      <c r="AE95" s="407">
        <v>73040.205215366717</v>
      </c>
      <c r="AF95" s="407"/>
      <c r="AG95" s="407"/>
      <c r="AH95" s="407"/>
      <c r="AI95" s="407">
        <v>0</v>
      </c>
      <c r="AJ95" s="407">
        <v>0</v>
      </c>
      <c r="AK95" s="407">
        <v>0</v>
      </c>
      <c r="AL95" s="407">
        <v>0</v>
      </c>
      <c r="AM95" s="407"/>
      <c r="AN95" s="407">
        <v>0</v>
      </c>
      <c r="AO95" s="407">
        <v>0</v>
      </c>
      <c r="AP95" s="407">
        <v>0</v>
      </c>
      <c r="AQ95" s="407">
        <v>0</v>
      </c>
      <c r="AR95" s="407">
        <v>0</v>
      </c>
      <c r="AS95" s="407"/>
      <c r="AT95" s="407"/>
      <c r="AU95" s="407">
        <v>0</v>
      </c>
      <c r="AV95" s="407">
        <v>0</v>
      </c>
      <c r="AW95" s="407">
        <v>0</v>
      </c>
      <c r="AX95" s="407"/>
      <c r="AY95" s="407"/>
      <c r="AZ95" s="407">
        <v>0</v>
      </c>
      <c r="BA95" s="407"/>
      <c r="BB95" s="407">
        <v>0</v>
      </c>
      <c r="BC95" s="407">
        <v>0</v>
      </c>
      <c r="BD95" s="407">
        <v>0</v>
      </c>
      <c r="BE95" s="407">
        <v>0</v>
      </c>
      <c r="BF95" s="407"/>
      <c r="BG95" s="407">
        <v>0</v>
      </c>
      <c r="BH95" s="407">
        <v>0</v>
      </c>
      <c r="BI95" s="407">
        <v>1090.76</v>
      </c>
      <c r="BJ95" s="407">
        <v>7272.46</v>
      </c>
      <c r="BK95" s="407">
        <v>140.24</v>
      </c>
      <c r="BL95" s="407">
        <v>22</v>
      </c>
      <c r="BM95" s="407"/>
      <c r="BN95" s="407"/>
      <c r="BO95" s="407"/>
      <c r="BP95" s="407"/>
      <c r="BQ95" s="407"/>
      <c r="BR95" s="407">
        <v>4984.6516000000056</v>
      </c>
      <c r="BS95" s="407"/>
      <c r="BT95" s="407"/>
      <c r="BU95" s="407"/>
      <c r="BV95" s="407">
        <v>0</v>
      </c>
      <c r="BW95" s="407"/>
      <c r="BX95" s="407"/>
      <c r="BY95" s="407"/>
      <c r="BZ95" s="407"/>
      <c r="CA95" s="407"/>
      <c r="CB95" s="407"/>
      <c r="CC95" s="407"/>
      <c r="CD95" s="407"/>
      <c r="CE95" s="407"/>
      <c r="CF95" s="407"/>
      <c r="CG95" s="407"/>
      <c r="CH95" s="407"/>
      <c r="CI95" s="407">
        <v>119631.6384</v>
      </c>
      <c r="CJ95" s="407">
        <v>-35007.198000000033</v>
      </c>
      <c r="CK95" s="407"/>
      <c r="CL95" s="407"/>
      <c r="CM95" s="407"/>
      <c r="CN95" s="407"/>
      <c r="CO95" s="407">
        <v>-36465.799999999988</v>
      </c>
      <c r="CP95" s="407">
        <v>0</v>
      </c>
      <c r="CQ95" s="407">
        <v>31</v>
      </c>
      <c r="CR95" s="407">
        <v>832.23940034375119</v>
      </c>
      <c r="CS95" s="407">
        <v>0</v>
      </c>
      <c r="CT95" s="407">
        <v>0</v>
      </c>
      <c r="CU95" s="407">
        <v>0</v>
      </c>
      <c r="CV95" s="407">
        <v>0</v>
      </c>
      <c r="CW95" s="407"/>
      <c r="CX95" s="407"/>
      <c r="CY95" s="407"/>
      <c r="CZ95" s="407">
        <v>3977.560051853754</v>
      </c>
      <c r="DA95" s="407">
        <v>0</v>
      </c>
      <c r="DB95" s="407">
        <v>0</v>
      </c>
      <c r="DC95" s="407"/>
      <c r="DD95" s="407"/>
      <c r="DE95" s="407">
        <v>0</v>
      </c>
      <c r="DF95" s="407">
        <v>0</v>
      </c>
      <c r="DG95" s="407">
        <v>0</v>
      </c>
      <c r="DH95" s="407">
        <v>0</v>
      </c>
      <c r="DI95" s="407">
        <v>0</v>
      </c>
      <c r="DJ95" s="407"/>
      <c r="DK95" s="407">
        <v>0</v>
      </c>
      <c r="DL95" s="407">
        <v>0</v>
      </c>
      <c r="DM95" s="407"/>
      <c r="DN95" s="407">
        <v>0</v>
      </c>
      <c r="DO95" s="407">
        <v>0</v>
      </c>
      <c r="DP95" s="407">
        <v>0</v>
      </c>
      <c r="DQ95" s="407">
        <v>0</v>
      </c>
      <c r="DR95" s="407">
        <v>-3145.3206515099964</v>
      </c>
      <c r="DS95" s="407"/>
      <c r="DT95" s="407"/>
      <c r="DU95" s="407">
        <v>73040.205215366717</v>
      </c>
      <c r="DV95" s="407"/>
      <c r="DW95" s="407">
        <v>0</v>
      </c>
      <c r="DX95" s="407">
        <v>0</v>
      </c>
      <c r="DY95" s="407">
        <v>-36465.799999999988</v>
      </c>
      <c r="DZ95" s="407"/>
      <c r="EA95" s="407">
        <v>0</v>
      </c>
      <c r="EB95" s="407"/>
      <c r="EC95" s="407">
        <v>-37309.106468895872</v>
      </c>
      <c r="ED95" s="407"/>
      <c r="EE95" s="407">
        <v>0</v>
      </c>
      <c r="EF95" s="407">
        <v>0</v>
      </c>
      <c r="EG95" s="407"/>
      <c r="EH95" s="407">
        <v>0</v>
      </c>
      <c r="EI95" s="407">
        <v>0</v>
      </c>
      <c r="EJ95" s="407">
        <v>0</v>
      </c>
      <c r="EK95" s="407">
        <v>0</v>
      </c>
      <c r="EL95" s="407">
        <v>0</v>
      </c>
      <c r="EM95" s="407"/>
      <c r="EN95" s="407"/>
      <c r="EO95" s="407">
        <v>0</v>
      </c>
      <c r="EP95" s="407">
        <v>0</v>
      </c>
      <c r="EQ95" s="407"/>
      <c r="ER95" s="407">
        <v>0</v>
      </c>
      <c r="ES95" s="407"/>
      <c r="ET95" s="407">
        <v>0</v>
      </c>
      <c r="EU95" s="407"/>
      <c r="EV95" s="407">
        <v>246</v>
      </c>
      <c r="EW95" s="407"/>
      <c r="EX95" s="407"/>
      <c r="EY95" s="407"/>
      <c r="EZ95" s="407"/>
      <c r="FA95" s="407">
        <v>0</v>
      </c>
      <c r="FB95" s="407"/>
      <c r="FC95" s="407"/>
      <c r="FD95" s="407"/>
      <c r="FE95" s="407"/>
      <c r="FF95" s="407">
        <v>0</v>
      </c>
      <c r="FG95" s="407">
        <v>0</v>
      </c>
      <c r="FH95" s="407">
        <v>0</v>
      </c>
      <c r="FI95" s="407">
        <v>0</v>
      </c>
    </row>
    <row r="96" spans="1:165" s="845" customFormat="1">
      <c r="A96" s="407">
        <v>99</v>
      </c>
      <c r="B96" s="407" t="s">
        <v>2309</v>
      </c>
      <c r="C96" s="407" t="s">
        <v>2314</v>
      </c>
      <c r="D96" s="407" t="s">
        <v>650</v>
      </c>
      <c r="E96" s="407" t="s">
        <v>1026</v>
      </c>
      <c r="F96" s="407" t="s">
        <v>97</v>
      </c>
      <c r="G96" s="407" t="s">
        <v>97</v>
      </c>
      <c r="H96" s="407" t="s">
        <v>97</v>
      </c>
      <c r="I96" s="407" t="s">
        <v>97</v>
      </c>
      <c r="J96" s="407" t="s">
        <v>2307</v>
      </c>
      <c r="K96" s="818">
        <v>44409</v>
      </c>
      <c r="L96" s="407">
        <v>169</v>
      </c>
      <c r="M96" s="407">
        <v>162.24</v>
      </c>
      <c r="N96" s="407">
        <v>0</v>
      </c>
      <c r="O96" s="407">
        <v>0</v>
      </c>
      <c r="P96" s="407">
        <v>0</v>
      </c>
      <c r="Q96" s="407">
        <v>0</v>
      </c>
      <c r="R96" s="407">
        <v>43.29</v>
      </c>
      <c r="S96" s="407"/>
      <c r="T96" s="407"/>
      <c r="U96" s="407">
        <v>7316.01</v>
      </c>
      <c r="V96" s="407"/>
      <c r="W96" s="407">
        <v>7316.01</v>
      </c>
      <c r="X96" s="407">
        <v>5659.81</v>
      </c>
      <c r="Y96" s="407">
        <v>0</v>
      </c>
      <c r="Z96" s="407">
        <v>0</v>
      </c>
      <c r="AA96" s="407">
        <v>0</v>
      </c>
      <c r="AB96" s="407">
        <v>0</v>
      </c>
      <c r="AC96" s="407">
        <v>0</v>
      </c>
      <c r="AD96" s="407">
        <v>3999.2138297760221</v>
      </c>
      <c r="AE96" s="407">
        <v>3317.3326206388001</v>
      </c>
      <c r="AF96" s="407"/>
      <c r="AG96" s="407"/>
      <c r="AH96" s="407"/>
      <c r="AI96" s="407">
        <v>0</v>
      </c>
      <c r="AJ96" s="407">
        <v>0</v>
      </c>
      <c r="AK96" s="407">
        <v>0</v>
      </c>
      <c r="AL96" s="407">
        <v>0</v>
      </c>
      <c r="AM96" s="407"/>
      <c r="AN96" s="407">
        <v>0</v>
      </c>
      <c r="AO96" s="407">
        <v>0</v>
      </c>
      <c r="AP96" s="407">
        <v>0</v>
      </c>
      <c r="AQ96" s="407">
        <v>0</v>
      </c>
      <c r="AR96" s="407">
        <v>0</v>
      </c>
      <c r="AS96" s="407"/>
      <c r="AT96" s="407"/>
      <c r="AU96" s="407">
        <v>0</v>
      </c>
      <c r="AV96" s="407">
        <v>0</v>
      </c>
      <c r="AW96" s="407">
        <v>0</v>
      </c>
      <c r="AX96" s="407"/>
      <c r="AY96" s="407"/>
      <c r="AZ96" s="407">
        <v>0</v>
      </c>
      <c r="BA96" s="407"/>
      <c r="BB96" s="407">
        <v>0</v>
      </c>
      <c r="BC96" s="407">
        <v>0</v>
      </c>
      <c r="BD96" s="407">
        <v>0</v>
      </c>
      <c r="BE96" s="407">
        <v>0</v>
      </c>
      <c r="BF96" s="407"/>
      <c r="BG96" s="407">
        <v>0</v>
      </c>
      <c r="BH96" s="407">
        <v>0</v>
      </c>
      <c r="BI96" s="407">
        <v>30.94</v>
      </c>
      <c r="BJ96" s="407">
        <v>206.36</v>
      </c>
      <c r="BK96" s="407">
        <v>10.82</v>
      </c>
      <c r="BL96" s="407">
        <v>2</v>
      </c>
      <c r="BM96" s="407"/>
      <c r="BN96" s="407"/>
      <c r="BO96" s="407"/>
      <c r="BP96" s="407"/>
      <c r="BQ96" s="407"/>
      <c r="BR96" s="407">
        <v>226.3923999999997</v>
      </c>
      <c r="BS96" s="407"/>
      <c r="BT96" s="407"/>
      <c r="BU96" s="407"/>
      <c r="BV96" s="407">
        <v>0</v>
      </c>
      <c r="BW96" s="407"/>
      <c r="BX96" s="407"/>
      <c r="BY96" s="407"/>
      <c r="BZ96" s="407"/>
      <c r="CA96" s="407"/>
      <c r="CB96" s="407"/>
      <c r="CC96" s="407"/>
      <c r="CD96" s="407"/>
      <c r="CE96" s="407"/>
      <c r="CF96" s="407"/>
      <c r="CG96" s="407"/>
      <c r="CH96" s="407"/>
      <c r="CI96" s="407">
        <v>5433.4176000000007</v>
      </c>
      <c r="CJ96" s="407">
        <v>-1589.982</v>
      </c>
      <c r="CK96" s="407"/>
      <c r="CL96" s="407"/>
      <c r="CM96" s="407"/>
      <c r="CN96" s="407"/>
      <c r="CO96" s="407">
        <v>-1656.1999999999996</v>
      </c>
      <c r="CP96" s="407">
        <v>0</v>
      </c>
      <c r="CQ96" s="407">
        <v>31</v>
      </c>
      <c r="CR96" s="407">
        <v>37.798564541278211</v>
      </c>
      <c r="CS96" s="407">
        <v>0</v>
      </c>
      <c r="CT96" s="407">
        <v>0</v>
      </c>
      <c r="CU96" s="407">
        <v>0</v>
      </c>
      <c r="CV96" s="407">
        <v>0</v>
      </c>
      <c r="CW96" s="407"/>
      <c r="CX96" s="407"/>
      <c r="CY96" s="407"/>
      <c r="CZ96" s="407">
        <v>180.65241837228859</v>
      </c>
      <c r="DA96" s="407">
        <v>0</v>
      </c>
      <c r="DB96" s="407">
        <v>0</v>
      </c>
      <c r="DC96" s="407"/>
      <c r="DD96" s="407"/>
      <c r="DE96" s="407">
        <v>0</v>
      </c>
      <c r="DF96" s="407">
        <v>0</v>
      </c>
      <c r="DG96" s="407">
        <v>0</v>
      </c>
      <c r="DH96" s="407">
        <v>0</v>
      </c>
      <c r="DI96" s="407">
        <v>0</v>
      </c>
      <c r="DJ96" s="407"/>
      <c r="DK96" s="407">
        <v>0</v>
      </c>
      <c r="DL96" s="407">
        <v>0</v>
      </c>
      <c r="DM96" s="407"/>
      <c r="DN96" s="407">
        <v>0</v>
      </c>
      <c r="DO96" s="407">
        <v>0</v>
      </c>
      <c r="DP96" s="407">
        <v>0</v>
      </c>
      <c r="DQ96" s="407">
        <v>0</v>
      </c>
      <c r="DR96" s="407">
        <v>-142.85385383101033</v>
      </c>
      <c r="DS96" s="407"/>
      <c r="DT96" s="407"/>
      <c r="DU96" s="407">
        <v>3317.3326206388001</v>
      </c>
      <c r="DV96" s="407"/>
      <c r="DW96" s="407">
        <v>0</v>
      </c>
      <c r="DX96" s="407">
        <v>0</v>
      </c>
      <c r="DY96" s="407">
        <v>-1656.1999999999998</v>
      </c>
      <c r="DZ96" s="407"/>
      <c r="EA96" s="407">
        <v>0</v>
      </c>
      <c r="EB96" s="407"/>
      <c r="EC96" s="407">
        <v>-1694.5012075365232</v>
      </c>
      <c r="ED96" s="407"/>
      <c r="EE96" s="407">
        <v>0</v>
      </c>
      <c r="EF96" s="407">
        <v>0</v>
      </c>
      <c r="EG96" s="407"/>
      <c r="EH96" s="407">
        <v>0</v>
      </c>
      <c r="EI96" s="407">
        <v>0</v>
      </c>
      <c r="EJ96" s="407">
        <v>0</v>
      </c>
      <c r="EK96" s="407">
        <v>0</v>
      </c>
      <c r="EL96" s="407">
        <v>0</v>
      </c>
      <c r="EM96" s="407"/>
      <c r="EN96" s="407"/>
      <c r="EO96" s="407">
        <v>0</v>
      </c>
      <c r="EP96" s="407">
        <v>0</v>
      </c>
      <c r="EQ96" s="407"/>
      <c r="ER96" s="407">
        <v>0</v>
      </c>
      <c r="ES96" s="407"/>
      <c r="ET96" s="407">
        <v>0</v>
      </c>
      <c r="EU96" s="407"/>
      <c r="EV96" s="407">
        <v>246</v>
      </c>
      <c r="EW96" s="407"/>
      <c r="EX96" s="407"/>
      <c r="EY96" s="407"/>
      <c r="EZ96" s="407"/>
      <c r="FA96" s="407">
        <v>0</v>
      </c>
      <c r="FB96" s="407"/>
      <c r="FC96" s="407"/>
      <c r="FD96" s="407"/>
      <c r="FE96" s="407"/>
      <c r="FF96" s="407">
        <v>0</v>
      </c>
      <c r="FG96" s="407">
        <v>0</v>
      </c>
      <c r="FH96" s="407">
        <v>0</v>
      </c>
      <c r="FI96" s="407">
        <v>0</v>
      </c>
    </row>
    <row r="97" spans="1:165" s="845" customFormat="1">
      <c r="A97" s="407">
        <v>100</v>
      </c>
      <c r="B97" s="407" t="s">
        <v>1090</v>
      </c>
      <c r="C97" s="407" t="s">
        <v>2306</v>
      </c>
      <c r="D97" s="407" t="s">
        <v>1219</v>
      </c>
      <c r="E97" s="407" t="s">
        <v>2316</v>
      </c>
      <c r="F97" s="407" t="s">
        <v>97</v>
      </c>
      <c r="G97" s="407" t="s">
        <v>97</v>
      </c>
      <c r="H97" s="407" t="s">
        <v>97</v>
      </c>
      <c r="I97" s="407" t="s">
        <v>97</v>
      </c>
      <c r="J97" s="407" t="s">
        <v>2307</v>
      </c>
      <c r="K97" s="818">
        <v>44409</v>
      </c>
      <c r="L97" s="407">
        <v>0</v>
      </c>
      <c r="M97" s="407">
        <v>0</v>
      </c>
      <c r="N97" s="407">
        <v>248.83699999999999</v>
      </c>
      <c r="O97" s="407">
        <v>248.83699999999999</v>
      </c>
      <c r="P97" s="407">
        <v>248.83699999999999</v>
      </c>
      <c r="Q97" s="407">
        <v>248.83699999999999</v>
      </c>
      <c r="R97" s="407"/>
      <c r="S97" s="407">
        <v>648.44000000000005</v>
      </c>
      <c r="T97" s="407">
        <v>159.41</v>
      </c>
      <c r="U97" s="407"/>
      <c r="V97" s="407">
        <v>201022.97045000002</v>
      </c>
      <c r="W97" s="407">
        <v>201022.97045000002</v>
      </c>
      <c r="X97" s="407">
        <v>152243.45334000001</v>
      </c>
      <c r="Y97" s="407">
        <v>0</v>
      </c>
      <c r="Z97" s="407">
        <v>15420.491256018977</v>
      </c>
      <c r="AA97" s="407">
        <v>0</v>
      </c>
      <c r="AB97" s="407">
        <v>0</v>
      </c>
      <c r="AC97" s="407">
        <v>0</v>
      </c>
      <c r="AD97" s="407">
        <v>29025.449085294542</v>
      </c>
      <c r="AE97" s="407">
        <v>103900.89170948388</v>
      </c>
      <c r="AF97" s="407">
        <v>38378.308854739902</v>
      </c>
      <c r="AG97" s="407">
        <v>1289.4104374897547</v>
      </c>
      <c r="AH97" s="407">
        <v>0</v>
      </c>
      <c r="AI97" s="407">
        <v>0</v>
      </c>
      <c r="AJ97" s="407">
        <v>0</v>
      </c>
      <c r="AK97" s="407">
        <v>0</v>
      </c>
      <c r="AL97" s="407">
        <v>2382.8768853126194</v>
      </c>
      <c r="AM97" s="407"/>
      <c r="AN97" s="407">
        <v>516.36057388971358</v>
      </c>
      <c r="AO97" s="407">
        <v>0</v>
      </c>
      <c r="AP97" s="407">
        <v>0</v>
      </c>
      <c r="AQ97" s="407">
        <v>0</v>
      </c>
      <c r="AR97" s="407">
        <v>0</v>
      </c>
      <c r="AS97" s="407">
        <v>0</v>
      </c>
      <c r="AT97" s="407">
        <v>0</v>
      </c>
      <c r="AU97" s="407">
        <v>0</v>
      </c>
      <c r="AV97" s="407">
        <v>0</v>
      </c>
      <c r="AW97" s="407">
        <v>0</v>
      </c>
      <c r="AX97" s="407">
        <v>0</v>
      </c>
      <c r="AY97" s="407">
        <v>0</v>
      </c>
      <c r="AZ97" s="407">
        <v>0</v>
      </c>
      <c r="BA97" s="407"/>
      <c r="BB97" s="407">
        <v>0</v>
      </c>
      <c r="BC97" s="407">
        <v>0</v>
      </c>
      <c r="BD97" s="407">
        <v>0</v>
      </c>
      <c r="BE97" s="407">
        <v>0</v>
      </c>
      <c r="BF97" s="407">
        <v>0</v>
      </c>
      <c r="BG97" s="407">
        <v>2805.3318262452008</v>
      </c>
      <c r="BH97" s="407">
        <v>0</v>
      </c>
      <c r="BI97" s="407">
        <v>662.25</v>
      </c>
      <c r="BJ97" s="407">
        <v>4426.24</v>
      </c>
      <c r="BK97" s="407">
        <v>70995.19</v>
      </c>
      <c r="BL97" s="407">
        <v>358</v>
      </c>
      <c r="BM97" s="407"/>
      <c r="BN97" s="407"/>
      <c r="BO97" s="407"/>
      <c r="BP97" s="407"/>
      <c r="BQ97" s="407"/>
      <c r="BR97" s="407"/>
      <c r="BS97" s="407"/>
      <c r="BT97" s="407"/>
      <c r="BU97" s="407"/>
      <c r="BV97" s="407">
        <v>41183.640680985103</v>
      </c>
      <c r="BW97" s="407"/>
      <c r="BX97" s="407"/>
      <c r="BY97" s="407"/>
      <c r="BZ97" s="407"/>
      <c r="CA97" s="407"/>
      <c r="CB97" s="407"/>
      <c r="CC97" s="407"/>
      <c r="CD97" s="407"/>
      <c r="CE97" s="407"/>
      <c r="CF97" s="407"/>
      <c r="CG97" s="407"/>
      <c r="CH97" s="407"/>
      <c r="CI97" s="407">
        <v>152245.28880000001</v>
      </c>
      <c r="CJ97" s="407">
        <v>-48777.711650000041</v>
      </c>
      <c r="CK97" s="407"/>
      <c r="CL97" s="407"/>
      <c r="CM97" s="407"/>
      <c r="CN97" s="407"/>
      <c r="CO97" s="407">
        <v>-55615.069500000012</v>
      </c>
      <c r="CP97" s="407">
        <v>6835.5523899999998</v>
      </c>
      <c r="CQ97" s="407">
        <v>31</v>
      </c>
      <c r="CR97" s="407">
        <v>4293.438080962369</v>
      </c>
      <c r="CS97" s="407">
        <v>0</v>
      </c>
      <c r="CT97" s="407">
        <v>0</v>
      </c>
      <c r="CU97" s="407">
        <v>0</v>
      </c>
      <c r="CV97" s="407">
        <v>0</v>
      </c>
      <c r="CW97" s="407">
        <v>0</v>
      </c>
      <c r="CX97" s="407">
        <v>0</v>
      </c>
      <c r="CY97" s="407">
        <v>0</v>
      </c>
      <c r="CZ97" s="407">
        <v>1311.1370871344516</v>
      </c>
      <c r="DA97" s="407">
        <v>0</v>
      </c>
      <c r="DB97" s="407">
        <v>0</v>
      </c>
      <c r="DC97" s="407">
        <v>7609.3822456439302</v>
      </c>
      <c r="DD97" s="407">
        <v>0</v>
      </c>
      <c r="DE97" s="407">
        <v>0</v>
      </c>
      <c r="DF97" s="407">
        <v>0</v>
      </c>
      <c r="DG97" s="407">
        <v>556.22154359555088</v>
      </c>
      <c r="DH97" s="407">
        <v>0</v>
      </c>
      <c r="DI97" s="407">
        <v>-1080.0816282935139</v>
      </c>
      <c r="DJ97" s="407"/>
      <c r="DK97" s="407">
        <v>0</v>
      </c>
      <c r="DL97" s="407">
        <v>0</v>
      </c>
      <c r="DM97" s="407">
        <v>0</v>
      </c>
      <c r="DN97" s="407">
        <v>0</v>
      </c>
      <c r="DO97" s="407">
        <v>-145.3825997923891</v>
      </c>
      <c r="DP97" s="407">
        <v>-32.901249169025675</v>
      </c>
      <c r="DQ97" s="407">
        <v>0</v>
      </c>
      <c r="DR97" s="407">
        <v>-3924.937318156627</v>
      </c>
      <c r="DS97" s="407"/>
      <c r="DT97" s="407"/>
      <c r="DU97" s="407"/>
      <c r="DV97" s="407">
        <v>103900.89170948388</v>
      </c>
      <c r="DW97" s="407">
        <v>0</v>
      </c>
      <c r="DX97" s="407">
        <v>0</v>
      </c>
      <c r="DY97" s="407">
        <v>-55615.069500000012</v>
      </c>
      <c r="DZ97" s="407">
        <v>6835.5523899999971</v>
      </c>
      <c r="EA97" s="407">
        <v>0</v>
      </c>
      <c r="EB97" s="407">
        <v>0</v>
      </c>
      <c r="EC97" s="407">
        <v>-53072.816807842079</v>
      </c>
      <c r="ED97" s="407">
        <v>0</v>
      </c>
      <c r="EE97" s="407">
        <v>0</v>
      </c>
      <c r="EF97" s="407">
        <v>0</v>
      </c>
      <c r="EG97" s="407">
        <v>0</v>
      </c>
      <c r="EH97" s="407">
        <v>0</v>
      </c>
      <c r="EI97" s="407">
        <v>0</v>
      </c>
      <c r="EJ97" s="407">
        <v>0</v>
      </c>
      <c r="EK97" s="407">
        <v>0</v>
      </c>
      <c r="EL97" s="407">
        <v>0</v>
      </c>
      <c r="EM97" s="407">
        <v>0</v>
      </c>
      <c r="EN97" s="407">
        <v>0</v>
      </c>
      <c r="EO97" s="407">
        <v>0</v>
      </c>
      <c r="EP97" s="407">
        <v>7304.4109958831541</v>
      </c>
      <c r="EQ97" s="407">
        <v>0</v>
      </c>
      <c r="ER97" s="407">
        <v>0</v>
      </c>
      <c r="ES97" s="407">
        <v>0</v>
      </c>
      <c r="ET97" s="407">
        <v>0</v>
      </c>
      <c r="EU97" s="407">
        <v>0</v>
      </c>
      <c r="EV97" s="407">
        <v>246</v>
      </c>
      <c r="EW97" s="407">
        <v>0</v>
      </c>
      <c r="EX97" s="407">
        <v>0</v>
      </c>
      <c r="EY97" s="407">
        <v>0</v>
      </c>
      <c r="EZ97" s="407"/>
      <c r="FA97" s="407">
        <v>0</v>
      </c>
      <c r="FB97" s="407"/>
      <c r="FC97" s="407"/>
      <c r="FD97" s="407"/>
      <c r="FE97" s="407"/>
      <c r="FF97" s="407">
        <v>0</v>
      </c>
      <c r="FG97" s="407">
        <v>0</v>
      </c>
      <c r="FH97" s="407">
        <v>0</v>
      </c>
      <c r="FI97" s="407">
        <v>0</v>
      </c>
    </row>
    <row r="98" spans="1:165" s="845" customFormat="1">
      <c r="A98" s="407">
        <v>101</v>
      </c>
      <c r="B98" s="407" t="s">
        <v>1090</v>
      </c>
      <c r="C98" s="407" t="s">
        <v>2317</v>
      </c>
      <c r="D98" s="407" t="s">
        <v>650</v>
      </c>
      <c r="E98" s="407" t="s">
        <v>2316</v>
      </c>
      <c r="F98" s="407" t="s">
        <v>97</v>
      </c>
      <c r="G98" s="407" t="s">
        <v>97</v>
      </c>
      <c r="H98" s="407" t="s">
        <v>97</v>
      </c>
      <c r="I98" s="407" t="s">
        <v>1025</v>
      </c>
      <c r="J98" s="407" t="s">
        <v>2307</v>
      </c>
      <c r="K98" s="818">
        <v>44409</v>
      </c>
      <c r="L98" s="407">
        <v>200</v>
      </c>
      <c r="M98" s="407">
        <v>200</v>
      </c>
      <c r="N98" s="407">
        <v>2.9009999999999998</v>
      </c>
      <c r="O98" s="407">
        <v>2.9009999999999998</v>
      </c>
      <c r="P98" s="407">
        <v>2.9009999999999998</v>
      </c>
      <c r="Q98" s="407">
        <v>2.9009999999999998</v>
      </c>
      <c r="R98" s="407">
        <v>112.91</v>
      </c>
      <c r="S98" s="407">
        <v>95.29</v>
      </c>
      <c r="T98" s="407">
        <v>159.41</v>
      </c>
      <c r="U98" s="407">
        <v>22582</v>
      </c>
      <c r="V98" s="407">
        <v>738.88469999999995</v>
      </c>
      <c r="W98" s="407">
        <v>23320.884700000002</v>
      </c>
      <c r="X98" s="407">
        <v>14231.315910000001</v>
      </c>
      <c r="Y98" s="407">
        <v>0</v>
      </c>
      <c r="Z98" s="407">
        <v>156.4048564575549</v>
      </c>
      <c r="AA98" s="407">
        <v>0</v>
      </c>
      <c r="AB98" s="407">
        <v>0</v>
      </c>
      <c r="AC98" s="407">
        <v>0</v>
      </c>
      <c r="AD98" s="407">
        <v>5077.0827132346003</v>
      </c>
      <c r="AE98" s="407">
        <v>17504.269107723037</v>
      </c>
      <c r="AF98" s="407">
        <v>447.42330918472913</v>
      </c>
      <c r="AG98" s="407">
        <v>15.03224873775917</v>
      </c>
      <c r="AH98" s="407">
        <v>0</v>
      </c>
      <c r="AI98" s="407">
        <v>0</v>
      </c>
      <c r="AJ98" s="407">
        <v>0</v>
      </c>
      <c r="AK98" s="407">
        <v>0</v>
      </c>
      <c r="AL98" s="407">
        <v>27.780136572502919</v>
      </c>
      <c r="AM98" s="407"/>
      <c r="AN98" s="407">
        <v>3.1149005464353916</v>
      </c>
      <c r="AO98" s="407">
        <v>0</v>
      </c>
      <c r="AP98" s="407">
        <v>0</v>
      </c>
      <c r="AQ98" s="407">
        <v>0</v>
      </c>
      <c r="AR98" s="407">
        <v>0</v>
      </c>
      <c r="AS98" s="407">
        <v>0</v>
      </c>
      <c r="AT98" s="407">
        <v>0</v>
      </c>
      <c r="AU98" s="407">
        <v>0</v>
      </c>
      <c r="AV98" s="407">
        <v>0</v>
      </c>
      <c r="AW98" s="407">
        <v>0</v>
      </c>
      <c r="AX98" s="407">
        <v>0</v>
      </c>
      <c r="AY98" s="407">
        <v>0</v>
      </c>
      <c r="AZ98" s="407">
        <v>0</v>
      </c>
      <c r="BA98" s="407"/>
      <c r="BB98" s="407">
        <v>0</v>
      </c>
      <c r="BC98" s="407">
        <v>0</v>
      </c>
      <c r="BD98" s="407">
        <v>0</v>
      </c>
      <c r="BE98" s="407">
        <v>0</v>
      </c>
      <c r="BF98" s="407">
        <v>0</v>
      </c>
      <c r="BG98" s="407">
        <v>15.055825515284447</v>
      </c>
      <c r="BH98" s="407">
        <v>0</v>
      </c>
      <c r="BI98" s="407">
        <v>0</v>
      </c>
      <c r="BJ98" s="407">
        <v>0</v>
      </c>
      <c r="BK98" s="407">
        <v>0</v>
      </c>
      <c r="BL98" s="407">
        <v>0</v>
      </c>
      <c r="BM98" s="407"/>
      <c r="BN98" s="407"/>
      <c r="BO98" s="407"/>
      <c r="BP98" s="407"/>
      <c r="BQ98" s="407"/>
      <c r="BR98" s="407"/>
      <c r="BS98" s="407"/>
      <c r="BT98" s="407"/>
      <c r="BU98" s="407"/>
      <c r="BV98" s="407">
        <v>462.47913470001356</v>
      </c>
      <c r="BW98" s="407"/>
      <c r="BX98" s="407"/>
      <c r="BY98" s="407"/>
      <c r="BZ98" s="407"/>
      <c r="CA98" s="407"/>
      <c r="CB98" s="407"/>
      <c r="CC98" s="407"/>
      <c r="CD98" s="407"/>
      <c r="CE98" s="407"/>
      <c r="CF98" s="407"/>
      <c r="CG98" s="407"/>
      <c r="CH98" s="407"/>
      <c r="CI98" s="407">
        <v>14231.038999999999</v>
      </c>
      <c r="CJ98" s="407">
        <v>-9089.8756999999987</v>
      </c>
      <c r="CK98" s="407"/>
      <c r="CL98" s="407"/>
      <c r="CM98" s="407"/>
      <c r="CN98" s="407"/>
      <c r="CO98" s="407">
        <v>-9169.2592600000007</v>
      </c>
      <c r="CP98" s="407">
        <v>79.690469999999991</v>
      </c>
      <c r="CQ98" s="407">
        <v>31</v>
      </c>
      <c r="CR98" s="407">
        <v>-147.13166574333081</v>
      </c>
      <c r="CS98" s="407">
        <v>0</v>
      </c>
      <c r="CT98" s="407">
        <v>0</v>
      </c>
      <c r="CU98" s="407">
        <v>0</v>
      </c>
      <c r="CV98" s="407">
        <v>0</v>
      </c>
      <c r="CW98" s="407">
        <v>0</v>
      </c>
      <c r="CX98" s="407">
        <v>0</v>
      </c>
      <c r="CY98" s="407">
        <v>0</v>
      </c>
      <c r="CZ98" s="407">
        <v>229.34189304735992</v>
      </c>
      <c r="DA98" s="407">
        <v>0</v>
      </c>
      <c r="DB98" s="407">
        <v>0</v>
      </c>
      <c r="DC98" s="407">
        <v>88.711959614579257</v>
      </c>
      <c r="DD98" s="407">
        <v>0</v>
      </c>
      <c r="DE98" s="407">
        <v>0</v>
      </c>
      <c r="DF98" s="407">
        <v>0</v>
      </c>
      <c r="DG98" s="407">
        <v>2.9851636194586852</v>
      </c>
      <c r="DH98" s="407">
        <v>0</v>
      </c>
      <c r="DI98" s="407">
        <v>-10.95490469343855</v>
      </c>
      <c r="DJ98" s="407"/>
      <c r="DK98" s="407">
        <v>0</v>
      </c>
      <c r="DL98" s="407">
        <v>0</v>
      </c>
      <c r="DM98" s="407">
        <v>0</v>
      </c>
      <c r="DN98" s="407">
        <v>0</v>
      </c>
      <c r="DO98" s="407">
        <v>-1.694904383181445</v>
      </c>
      <c r="DP98" s="407">
        <v>-0.19847394281672504</v>
      </c>
      <c r="DQ98" s="407">
        <v>0</v>
      </c>
      <c r="DR98" s="407">
        <v>-455.32239900529197</v>
      </c>
      <c r="DS98" s="407"/>
      <c r="DT98" s="407"/>
      <c r="DU98" s="407">
        <v>17504.269107723037</v>
      </c>
      <c r="DV98" s="407">
        <v>0</v>
      </c>
      <c r="DW98" s="407">
        <v>0</v>
      </c>
      <c r="DX98" s="407">
        <v>0</v>
      </c>
      <c r="DY98" s="407">
        <v>-9169.2592600000007</v>
      </c>
      <c r="DZ98" s="407">
        <v>79.690470000000005</v>
      </c>
      <c r="EA98" s="407">
        <v>0</v>
      </c>
      <c r="EB98" s="407">
        <v>0</v>
      </c>
      <c r="EC98" s="407">
        <v>-8941.2213160491574</v>
      </c>
      <c r="ED98" s="407">
        <v>0</v>
      </c>
      <c r="EE98" s="407">
        <v>0</v>
      </c>
      <c r="EF98" s="407">
        <v>0</v>
      </c>
      <c r="EG98" s="407">
        <v>0</v>
      </c>
      <c r="EH98" s="407">
        <v>0</v>
      </c>
      <c r="EI98" s="407">
        <v>0</v>
      </c>
      <c r="EJ98" s="407">
        <v>0</v>
      </c>
      <c r="EK98" s="407">
        <v>0</v>
      </c>
      <c r="EL98" s="407">
        <v>0</v>
      </c>
      <c r="EM98" s="407">
        <v>0</v>
      </c>
      <c r="EN98" s="407">
        <v>0</v>
      </c>
      <c r="EO98" s="407">
        <v>0</v>
      </c>
      <c r="EP98" s="407">
        <v>74.086184048913978</v>
      </c>
      <c r="EQ98" s="407">
        <v>0</v>
      </c>
      <c r="ER98" s="407">
        <v>0</v>
      </c>
      <c r="ES98" s="407">
        <v>0</v>
      </c>
      <c r="ET98" s="407">
        <v>0</v>
      </c>
      <c r="EU98" s="407">
        <v>0</v>
      </c>
      <c r="EV98" s="407">
        <v>246</v>
      </c>
      <c r="EW98" s="407">
        <v>0</v>
      </c>
      <c r="EX98" s="407">
        <v>0</v>
      </c>
      <c r="EY98" s="407">
        <v>0</v>
      </c>
      <c r="EZ98" s="407"/>
      <c r="FA98" s="407">
        <v>0</v>
      </c>
      <c r="FB98" s="407"/>
      <c r="FC98" s="407"/>
      <c r="FD98" s="407"/>
      <c r="FE98" s="407"/>
      <c r="FF98" s="407">
        <v>0</v>
      </c>
      <c r="FG98" s="407">
        <v>0</v>
      </c>
      <c r="FH98" s="407">
        <v>0</v>
      </c>
      <c r="FI98" s="407">
        <v>0</v>
      </c>
    </row>
    <row r="99" spans="1:165" s="845" customFormat="1">
      <c r="A99" s="407">
        <v>102</v>
      </c>
      <c r="B99" s="407" t="s">
        <v>1090</v>
      </c>
      <c r="C99" s="407" t="s">
        <v>2317</v>
      </c>
      <c r="D99" s="407" t="s">
        <v>650</v>
      </c>
      <c r="E99" s="407" t="s">
        <v>2316</v>
      </c>
      <c r="F99" s="407" t="s">
        <v>97</v>
      </c>
      <c r="G99" s="407" t="s">
        <v>97</v>
      </c>
      <c r="H99" s="407" t="s">
        <v>97</v>
      </c>
      <c r="I99" s="407" t="s">
        <v>2290</v>
      </c>
      <c r="J99" s="407" t="s">
        <v>2307</v>
      </c>
      <c r="K99" s="818">
        <v>44409</v>
      </c>
      <c r="L99" s="407">
        <v>230</v>
      </c>
      <c r="M99" s="407">
        <v>230</v>
      </c>
      <c r="N99" s="407">
        <v>22.454999999999998</v>
      </c>
      <c r="O99" s="407">
        <v>22.454999999999998</v>
      </c>
      <c r="P99" s="407">
        <v>22.454999999999998</v>
      </c>
      <c r="Q99" s="407">
        <v>22.454999999999998</v>
      </c>
      <c r="R99" s="407">
        <v>43.29</v>
      </c>
      <c r="S99" s="407">
        <v>95.29</v>
      </c>
      <c r="T99" s="407">
        <v>159.41</v>
      </c>
      <c r="U99" s="407">
        <v>9956.6999999999989</v>
      </c>
      <c r="V99" s="407">
        <v>5719.2884999999997</v>
      </c>
      <c r="W99" s="407">
        <v>15675.988499999999</v>
      </c>
      <c r="X99" s="407">
        <v>13920.714049999999</v>
      </c>
      <c r="Y99" s="407">
        <v>0</v>
      </c>
      <c r="Z99" s="407">
        <v>1210.6415207702157</v>
      </c>
      <c r="AA99" s="407">
        <v>0</v>
      </c>
      <c r="AB99" s="407">
        <v>0</v>
      </c>
      <c r="AC99" s="407">
        <v>0</v>
      </c>
      <c r="AD99" s="407">
        <v>5442.71704644074</v>
      </c>
      <c r="AE99" s="407">
        <v>4514.7130340054682</v>
      </c>
      <c r="AF99" s="407">
        <v>3463.2507437928621</v>
      </c>
      <c r="AG99" s="407">
        <v>116.356134231776</v>
      </c>
      <c r="AH99" s="407">
        <v>0</v>
      </c>
      <c r="AI99" s="407">
        <v>0</v>
      </c>
      <c r="AJ99" s="407">
        <v>0</v>
      </c>
      <c r="AK99" s="407">
        <v>0</v>
      </c>
      <c r="AL99" s="407">
        <v>215.03032290091454</v>
      </c>
      <c r="AM99" s="407"/>
      <c r="AN99" s="407">
        <v>24.110683133473533</v>
      </c>
      <c r="AO99" s="407">
        <v>0</v>
      </c>
      <c r="AP99" s="407">
        <v>0</v>
      </c>
      <c r="AQ99" s="407">
        <v>0</v>
      </c>
      <c r="AR99" s="407">
        <v>0</v>
      </c>
      <c r="AS99" s="407">
        <v>0</v>
      </c>
      <c r="AT99" s="407">
        <v>0</v>
      </c>
      <c r="AU99" s="407">
        <v>0</v>
      </c>
      <c r="AV99" s="407">
        <v>0</v>
      </c>
      <c r="AW99" s="407">
        <v>0</v>
      </c>
      <c r="AX99" s="407">
        <v>0</v>
      </c>
      <c r="AY99" s="407">
        <v>0</v>
      </c>
      <c r="AZ99" s="407">
        <v>0</v>
      </c>
      <c r="BA99" s="407"/>
      <c r="BB99" s="407">
        <v>0</v>
      </c>
      <c r="BC99" s="407">
        <v>0</v>
      </c>
      <c r="BD99" s="407">
        <v>0</v>
      </c>
      <c r="BE99" s="407">
        <v>0</v>
      </c>
      <c r="BF99" s="407">
        <v>0</v>
      </c>
      <c r="BG99" s="407">
        <v>116.53862872999389</v>
      </c>
      <c r="BH99" s="407">
        <v>0</v>
      </c>
      <c r="BI99" s="407">
        <v>0</v>
      </c>
      <c r="BJ99" s="407">
        <v>0</v>
      </c>
      <c r="BK99" s="407">
        <v>0</v>
      </c>
      <c r="BL99" s="407">
        <v>0</v>
      </c>
      <c r="BM99" s="407"/>
      <c r="BN99" s="407"/>
      <c r="BO99" s="407"/>
      <c r="BP99" s="407"/>
      <c r="BQ99" s="407"/>
      <c r="BR99" s="407"/>
      <c r="BS99" s="407"/>
      <c r="BT99" s="407"/>
      <c r="BU99" s="407"/>
      <c r="BV99" s="407">
        <v>3579.789372522856</v>
      </c>
      <c r="BW99" s="407"/>
      <c r="BX99" s="407"/>
      <c r="BY99" s="407"/>
      <c r="BZ99" s="407"/>
      <c r="CA99" s="407"/>
      <c r="CB99" s="407"/>
      <c r="CC99" s="407"/>
      <c r="CD99" s="407"/>
      <c r="CE99" s="407"/>
      <c r="CF99" s="407"/>
      <c r="CG99" s="407"/>
      <c r="CH99" s="407"/>
      <c r="CI99" s="407">
        <v>13922.098600000001</v>
      </c>
      <c r="CJ99" s="407">
        <v>-1753.919899999999</v>
      </c>
      <c r="CK99" s="407"/>
      <c r="CL99" s="407"/>
      <c r="CM99" s="407"/>
      <c r="CN99" s="407"/>
      <c r="CO99" s="407">
        <v>-2372.1132999999995</v>
      </c>
      <c r="CP99" s="407">
        <v>616.83884999999998</v>
      </c>
      <c r="CQ99" s="407">
        <v>31</v>
      </c>
      <c r="CR99" s="407">
        <v>550.09640785056399</v>
      </c>
      <c r="CS99" s="407">
        <v>0</v>
      </c>
      <c r="CT99" s="407">
        <v>0</v>
      </c>
      <c r="CU99" s="407">
        <v>0</v>
      </c>
      <c r="CV99" s="407">
        <v>0</v>
      </c>
      <c r="CW99" s="407">
        <v>0</v>
      </c>
      <c r="CX99" s="407">
        <v>0</v>
      </c>
      <c r="CY99" s="407">
        <v>0</v>
      </c>
      <c r="CZ99" s="407">
        <v>245.85832086169376</v>
      </c>
      <c r="DA99" s="407">
        <v>0</v>
      </c>
      <c r="DB99" s="407">
        <v>0</v>
      </c>
      <c r="DC99" s="407">
        <v>686.66909794738922</v>
      </c>
      <c r="DD99" s="407">
        <v>0</v>
      </c>
      <c r="DE99" s="407">
        <v>0</v>
      </c>
      <c r="DF99" s="407">
        <v>0</v>
      </c>
      <c r="DG99" s="407">
        <v>23.1064629696466</v>
      </c>
      <c r="DH99" s="407">
        <v>0</v>
      </c>
      <c r="DI99" s="407">
        <v>-84.79572040371022</v>
      </c>
      <c r="DJ99" s="407"/>
      <c r="DK99" s="407">
        <v>0</v>
      </c>
      <c r="DL99" s="407">
        <v>0</v>
      </c>
      <c r="DM99" s="407">
        <v>0</v>
      </c>
      <c r="DN99" s="407">
        <v>0</v>
      </c>
      <c r="DO99" s="407">
        <v>-13.11929607871059</v>
      </c>
      <c r="DP99" s="407">
        <v>-1.5362745211822002</v>
      </c>
      <c r="DQ99" s="407">
        <v>0</v>
      </c>
      <c r="DR99" s="407">
        <v>-306.08618292456151</v>
      </c>
      <c r="DS99" s="407"/>
      <c r="DT99" s="407"/>
      <c r="DU99" s="407">
        <v>4514.7130340054682</v>
      </c>
      <c r="DV99" s="407">
        <v>0</v>
      </c>
      <c r="DW99" s="407">
        <v>0</v>
      </c>
      <c r="DX99" s="407">
        <v>0</v>
      </c>
      <c r="DY99" s="407">
        <v>-2372.1132999999991</v>
      </c>
      <c r="DZ99" s="407">
        <v>616.83884999999964</v>
      </c>
      <c r="EA99" s="407">
        <v>0</v>
      </c>
      <c r="EB99" s="407">
        <v>0</v>
      </c>
      <c r="EC99" s="407">
        <v>-2306.1259037479317</v>
      </c>
      <c r="ED99" s="407">
        <v>0</v>
      </c>
      <c r="EE99" s="407">
        <v>0</v>
      </c>
      <c r="EF99" s="407">
        <v>0</v>
      </c>
      <c r="EG99" s="407">
        <v>0</v>
      </c>
      <c r="EH99" s="407">
        <v>0</v>
      </c>
      <c r="EI99" s="407">
        <v>0</v>
      </c>
      <c r="EJ99" s="407">
        <v>0</v>
      </c>
      <c r="EK99" s="407">
        <v>0</v>
      </c>
      <c r="EL99" s="407">
        <v>0</v>
      </c>
      <c r="EM99" s="407">
        <v>0</v>
      </c>
      <c r="EN99" s="407">
        <v>0</v>
      </c>
      <c r="EO99" s="407">
        <v>0</v>
      </c>
      <c r="EP99" s="407">
        <v>573.4592426123279</v>
      </c>
      <c r="EQ99" s="407">
        <v>0</v>
      </c>
      <c r="ER99" s="407">
        <v>0</v>
      </c>
      <c r="ES99" s="407">
        <v>0</v>
      </c>
      <c r="ET99" s="407">
        <v>0</v>
      </c>
      <c r="EU99" s="407">
        <v>0</v>
      </c>
      <c r="EV99" s="407">
        <v>246</v>
      </c>
      <c r="EW99" s="407">
        <v>0</v>
      </c>
      <c r="EX99" s="407">
        <v>0</v>
      </c>
      <c r="EY99" s="407">
        <v>0</v>
      </c>
      <c r="EZ99" s="407"/>
      <c r="FA99" s="407">
        <v>0</v>
      </c>
      <c r="FB99" s="407"/>
      <c r="FC99" s="407"/>
      <c r="FD99" s="407"/>
      <c r="FE99" s="407"/>
      <c r="FF99" s="407">
        <v>0</v>
      </c>
      <c r="FG99" s="407">
        <v>0</v>
      </c>
      <c r="FH99" s="407">
        <v>0</v>
      </c>
      <c r="FI99" s="407">
        <v>0</v>
      </c>
    </row>
    <row r="100" spans="1:165" s="845" customFormat="1">
      <c r="A100" s="407">
        <v>103</v>
      </c>
      <c r="B100" s="407" t="s">
        <v>1090</v>
      </c>
      <c r="C100" s="407" t="s">
        <v>2317</v>
      </c>
      <c r="D100" s="407" t="s">
        <v>650</v>
      </c>
      <c r="E100" s="407" t="s">
        <v>2316</v>
      </c>
      <c r="F100" s="407" t="s">
        <v>97</v>
      </c>
      <c r="G100" s="407" t="s">
        <v>97</v>
      </c>
      <c r="H100" s="407" t="s">
        <v>97</v>
      </c>
      <c r="I100" s="407" t="s">
        <v>97</v>
      </c>
      <c r="J100" s="407" t="s">
        <v>2307</v>
      </c>
      <c r="K100" s="818">
        <v>44409</v>
      </c>
      <c r="L100" s="407">
        <v>0</v>
      </c>
      <c r="M100" s="407">
        <v>0</v>
      </c>
      <c r="N100" s="407">
        <v>0</v>
      </c>
      <c r="O100" s="407">
        <v>0</v>
      </c>
      <c r="P100" s="407">
        <v>0</v>
      </c>
      <c r="Q100" s="407">
        <v>0</v>
      </c>
      <c r="R100" s="407"/>
      <c r="S100" s="407"/>
      <c r="T100" s="407"/>
      <c r="U100" s="407"/>
      <c r="V100" s="407"/>
      <c r="W100" s="407"/>
      <c r="X100" s="407"/>
      <c r="Y100" s="407"/>
      <c r="Z100" s="407"/>
      <c r="AA100" s="407">
        <v>0</v>
      </c>
      <c r="AB100" s="407"/>
      <c r="AC100" s="407"/>
      <c r="AD100" s="407"/>
      <c r="AE100" s="407"/>
      <c r="AF100" s="407"/>
      <c r="AG100" s="407"/>
      <c r="AH100" s="407"/>
      <c r="AI100" s="407"/>
      <c r="AJ100" s="407"/>
      <c r="AK100" s="407"/>
      <c r="AL100" s="407"/>
      <c r="AM100" s="407"/>
      <c r="AN100" s="407"/>
      <c r="AO100" s="407"/>
      <c r="AP100" s="407"/>
      <c r="AQ100" s="407"/>
      <c r="AR100" s="407"/>
      <c r="AS100" s="407"/>
      <c r="AT100" s="407"/>
      <c r="AU100" s="407"/>
      <c r="AV100" s="407"/>
      <c r="AW100" s="407"/>
      <c r="AX100" s="407"/>
      <c r="AY100" s="407"/>
      <c r="AZ100" s="407">
        <v>0</v>
      </c>
      <c r="BA100" s="407"/>
      <c r="BB100" s="407"/>
      <c r="BC100" s="407"/>
      <c r="BD100" s="407"/>
      <c r="BE100" s="407"/>
      <c r="BF100" s="407"/>
      <c r="BG100" s="407"/>
      <c r="BH100" s="407"/>
      <c r="BI100" s="407">
        <v>103.2</v>
      </c>
      <c r="BJ100" s="407">
        <v>688.05</v>
      </c>
      <c r="BK100" s="407">
        <v>6874.72</v>
      </c>
      <c r="BL100" s="407">
        <v>1</v>
      </c>
      <c r="BM100" s="407"/>
      <c r="BN100" s="407"/>
      <c r="BO100" s="407"/>
      <c r="BP100" s="407"/>
      <c r="BQ100" s="407"/>
      <c r="BR100" s="407"/>
      <c r="BS100" s="407"/>
      <c r="BT100" s="407"/>
      <c r="BU100" s="407"/>
      <c r="BV100" s="407"/>
      <c r="BW100" s="407"/>
      <c r="BX100" s="407"/>
      <c r="BY100" s="407"/>
      <c r="BZ100" s="407"/>
      <c r="CA100" s="407"/>
      <c r="CB100" s="407"/>
      <c r="CC100" s="407"/>
      <c r="CD100" s="407"/>
      <c r="CE100" s="407"/>
      <c r="CF100" s="407"/>
      <c r="CG100" s="407"/>
      <c r="CH100" s="407"/>
      <c r="CI100" s="407"/>
      <c r="CJ100" s="407">
        <v>-0.03</v>
      </c>
      <c r="CK100" s="407"/>
      <c r="CL100" s="407"/>
      <c r="CM100" s="407"/>
      <c r="CN100" s="407"/>
      <c r="CO100" s="407">
        <v>0</v>
      </c>
      <c r="CP100" s="407">
        <v>0</v>
      </c>
      <c r="CQ100" s="407">
        <v>31</v>
      </c>
      <c r="CR100" s="407"/>
      <c r="CS100" s="407"/>
      <c r="CT100" s="407"/>
      <c r="CU100" s="407"/>
      <c r="CV100" s="407"/>
      <c r="CW100" s="407"/>
      <c r="CX100" s="407"/>
      <c r="CY100" s="407"/>
      <c r="CZ100" s="407"/>
      <c r="DA100" s="407"/>
      <c r="DB100" s="407"/>
      <c r="DC100" s="407"/>
      <c r="DD100" s="407"/>
      <c r="DE100" s="407"/>
      <c r="DF100" s="407"/>
      <c r="DG100" s="407"/>
      <c r="DH100" s="407"/>
      <c r="DI100" s="407"/>
      <c r="DJ100" s="407"/>
      <c r="DK100" s="407">
        <v>0</v>
      </c>
      <c r="DL100" s="407"/>
      <c r="DM100" s="407"/>
      <c r="DN100" s="407"/>
      <c r="DO100" s="407"/>
      <c r="DP100" s="407"/>
      <c r="DQ100" s="407"/>
      <c r="DR100" s="407"/>
      <c r="DS100" s="407"/>
      <c r="DT100" s="407"/>
      <c r="DU100" s="407"/>
      <c r="DV100" s="407"/>
      <c r="DW100" s="407"/>
      <c r="DX100" s="407"/>
      <c r="DY100" s="407"/>
      <c r="DZ100" s="407"/>
      <c r="EA100" s="407"/>
      <c r="EB100" s="407"/>
      <c r="EC100" s="407"/>
      <c r="ED100" s="407"/>
      <c r="EE100" s="407"/>
      <c r="EF100" s="407"/>
      <c r="EG100" s="407"/>
      <c r="EH100" s="407"/>
      <c r="EI100" s="407"/>
      <c r="EJ100" s="407"/>
      <c r="EK100" s="407"/>
      <c r="EL100" s="407"/>
      <c r="EM100" s="407"/>
      <c r="EN100" s="407"/>
      <c r="EO100" s="407"/>
      <c r="EP100" s="407"/>
      <c r="EQ100" s="407"/>
      <c r="ER100" s="407"/>
      <c r="ES100" s="407"/>
      <c r="ET100" s="407"/>
      <c r="EU100" s="407"/>
      <c r="EV100" s="407">
        <v>246</v>
      </c>
      <c r="EW100" s="407"/>
      <c r="EX100" s="407"/>
      <c r="EY100" s="407"/>
      <c r="EZ100" s="407"/>
      <c r="FA100" s="407">
        <v>0</v>
      </c>
      <c r="FB100" s="407"/>
      <c r="FC100" s="407"/>
      <c r="FD100" s="407"/>
      <c r="FE100" s="407"/>
      <c r="FF100" s="407">
        <v>0</v>
      </c>
      <c r="FG100" s="407">
        <v>0</v>
      </c>
      <c r="FH100" s="407">
        <v>0</v>
      </c>
      <c r="FI100" s="407">
        <v>0</v>
      </c>
    </row>
    <row r="101" spans="1:165" s="845" customFormat="1">
      <c r="A101" s="407">
        <v>104</v>
      </c>
      <c r="B101" s="407" t="s">
        <v>1090</v>
      </c>
      <c r="C101" s="407" t="s">
        <v>2314</v>
      </c>
      <c r="D101" s="407" t="s">
        <v>650</v>
      </c>
      <c r="E101" s="407" t="s">
        <v>2316</v>
      </c>
      <c r="F101" s="407" t="s">
        <v>97</v>
      </c>
      <c r="G101" s="407" t="s">
        <v>97</v>
      </c>
      <c r="H101" s="407" t="s">
        <v>97</v>
      </c>
      <c r="I101" s="407" t="s">
        <v>1025</v>
      </c>
      <c r="J101" s="407" t="s">
        <v>2307</v>
      </c>
      <c r="K101" s="818">
        <v>44409</v>
      </c>
      <c r="L101" s="407">
        <v>0</v>
      </c>
      <c r="M101" s="407">
        <v>0</v>
      </c>
      <c r="N101" s="407">
        <v>0.46100000000000002</v>
      </c>
      <c r="O101" s="407">
        <v>0.46100000000000002</v>
      </c>
      <c r="P101" s="407">
        <v>0.46100000000000002</v>
      </c>
      <c r="Q101" s="407">
        <v>0.46100000000000002</v>
      </c>
      <c r="R101" s="407"/>
      <c r="S101" s="407">
        <v>2810.7</v>
      </c>
      <c r="T101" s="407">
        <v>159.41</v>
      </c>
      <c r="U101" s="407"/>
      <c r="V101" s="407">
        <v>1369.2207100000001</v>
      </c>
      <c r="W101" s="407">
        <v>1369.2207100000001</v>
      </c>
      <c r="X101" s="407">
        <v>872.06908999999996</v>
      </c>
      <c r="Y101" s="407">
        <v>0</v>
      </c>
      <c r="Z101" s="407">
        <v>24.854408420176775</v>
      </c>
      <c r="AA101" s="407">
        <v>0</v>
      </c>
      <c r="AB101" s="407">
        <v>0</v>
      </c>
      <c r="AC101" s="407">
        <v>0</v>
      </c>
      <c r="AD101" s="407">
        <v>281.44768855126085</v>
      </c>
      <c r="AE101" s="407">
        <v>970.35378478591872</v>
      </c>
      <c r="AF101" s="407">
        <v>71.100360404743242</v>
      </c>
      <c r="AG101" s="407">
        <v>2.3887854767690375</v>
      </c>
      <c r="AH101" s="407">
        <v>0</v>
      </c>
      <c r="AI101" s="407">
        <v>0</v>
      </c>
      <c r="AJ101" s="407">
        <v>0</v>
      </c>
      <c r="AK101" s="407">
        <v>0</v>
      </c>
      <c r="AL101" s="407">
        <v>4.4145615166921228</v>
      </c>
      <c r="AM101" s="407"/>
      <c r="AN101" s="407">
        <v>0.49499108993682034</v>
      </c>
      <c r="AO101" s="407">
        <v>0</v>
      </c>
      <c r="AP101" s="407">
        <v>0</v>
      </c>
      <c r="AQ101" s="407">
        <v>0</v>
      </c>
      <c r="AR101" s="407">
        <v>0</v>
      </c>
      <c r="AS101" s="407">
        <v>0</v>
      </c>
      <c r="AT101" s="407">
        <v>0</v>
      </c>
      <c r="AU101" s="407">
        <v>0</v>
      </c>
      <c r="AV101" s="407">
        <v>0</v>
      </c>
      <c r="AW101" s="407">
        <v>0</v>
      </c>
      <c r="AX101" s="407">
        <v>0</v>
      </c>
      <c r="AY101" s="407">
        <v>0</v>
      </c>
      <c r="AZ101" s="407">
        <v>0</v>
      </c>
      <c r="BA101" s="407"/>
      <c r="BB101" s="407">
        <v>0</v>
      </c>
      <c r="BC101" s="407">
        <v>0</v>
      </c>
      <c r="BD101" s="407">
        <v>0</v>
      </c>
      <c r="BE101" s="407">
        <v>0</v>
      </c>
      <c r="BF101" s="407">
        <v>0</v>
      </c>
      <c r="BG101" s="407">
        <v>2.3925320794712621</v>
      </c>
      <c r="BH101" s="407">
        <v>0</v>
      </c>
      <c r="BI101" s="407">
        <v>0</v>
      </c>
      <c r="BJ101" s="407">
        <v>0</v>
      </c>
      <c r="BK101" s="407">
        <v>0</v>
      </c>
      <c r="BL101" s="407">
        <v>0</v>
      </c>
      <c r="BM101" s="407"/>
      <c r="BN101" s="407"/>
      <c r="BO101" s="407"/>
      <c r="BP101" s="407"/>
      <c r="BQ101" s="407"/>
      <c r="BR101" s="407"/>
      <c r="BS101" s="407"/>
      <c r="BT101" s="407"/>
      <c r="BU101" s="407"/>
      <c r="BV101" s="407">
        <v>73.492892484214508</v>
      </c>
      <c r="BW101" s="407"/>
      <c r="BX101" s="407"/>
      <c r="BY101" s="407"/>
      <c r="BZ101" s="407"/>
      <c r="CA101" s="407"/>
      <c r="CB101" s="407"/>
      <c r="CC101" s="407"/>
      <c r="CD101" s="407"/>
      <c r="CE101" s="407"/>
      <c r="CF101" s="407"/>
      <c r="CG101" s="407"/>
      <c r="CH101" s="407"/>
      <c r="CI101" s="407">
        <v>870.17739999999992</v>
      </c>
      <c r="CJ101" s="407">
        <v>-499.07331000000011</v>
      </c>
      <c r="CK101" s="407"/>
      <c r="CL101" s="407"/>
      <c r="CM101" s="407"/>
      <c r="CN101" s="407"/>
      <c r="CO101" s="407">
        <v>-509.81528999999995</v>
      </c>
      <c r="CP101" s="407">
        <v>12.66367</v>
      </c>
      <c r="CQ101" s="407">
        <v>31</v>
      </c>
      <c r="CR101" s="407">
        <v>-1.4902272146678683</v>
      </c>
      <c r="CS101" s="407">
        <v>0</v>
      </c>
      <c r="CT101" s="407">
        <v>0</v>
      </c>
      <c r="CU101" s="407">
        <v>0</v>
      </c>
      <c r="CV101" s="407">
        <v>0</v>
      </c>
      <c r="CW101" s="407">
        <v>0</v>
      </c>
      <c r="CX101" s="407">
        <v>0</v>
      </c>
      <c r="CY101" s="407">
        <v>0</v>
      </c>
      <c r="CZ101" s="407">
        <v>12.713550149161392</v>
      </c>
      <c r="DA101" s="407">
        <v>0</v>
      </c>
      <c r="DB101" s="407">
        <v>0</v>
      </c>
      <c r="DC101" s="407">
        <v>14.097281414105851</v>
      </c>
      <c r="DD101" s="407">
        <v>0</v>
      </c>
      <c r="DE101" s="407">
        <v>0</v>
      </c>
      <c r="DF101" s="407">
        <v>0</v>
      </c>
      <c r="DG101" s="407">
        <v>0.47437450140312087</v>
      </c>
      <c r="DH101" s="407">
        <v>0</v>
      </c>
      <c r="DI101" s="407">
        <v>-1.7408517971993014</v>
      </c>
      <c r="DJ101" s="407"/>
      <c r="DK101" s="407">
        <v>0</v>
      </c>
      <c r="DL101" s="407">
        <v>0</v>
      </c>
      <c r="DM101" s="407">
        <v>0</v>
      </c>
      <c r="DN101" s="407">
        <v>0</v>
      </c>
      <c r="DO101" s="407">
        <v>-0.2693384766103577</v>
      </c>
      <c r="DP101" s="407">
        <v>-3.1539637241816743E-2</v>
      </c>
      <c r="DQ101" s="407">
        <v>0</v>
      </c>
      <c r="DR101" s="407">
        <v>-26.733703368286694</v>
      </c>
      <c r="DS101" s="407"/>
      <c r="DT101" s="407"/>
      <c r="DU101" s="407"/>
      <c r="DV101" s="407">
        <v>970.35378478591872</v>
      </c>
      <c r="DW101" s="407">
        <v>0</v>
      </c>
      <c r="DX101" s="407">
        <v>0</v>
      </c>
      <c r="DY101" s="407">
        <v>-509.81529</v>
      </c>
      <c r="DZ101" s="407">
        <v>12.663669999999996</v>
      </c>
      <c r="EA101" s="407">
        <v>0</v>
      </c>
      <c r="EB101" s="407">
        <v>0</v>
      </c>
      <c r="EC101" s="407">
        <v>-495.65896703500795</v>
      </c>
      <c r="ED101" s="407">
        <v>0</v>
      </c>
      <c r="EE101" s="407">
        <v>0</v>
      </c>
      <c r="EF101" s="407">
        <v>0</v>
      </c>
      <c r="EG101" s="407">
        <v>0</v>
      </c>
      <c r="EH101" s="407">
        <v>0</v>
      </c>
      <c r="EI101" s="407">
        <v>0</v>
      </c>
      <c r="EJ101" s="407">
        <v>0</v>
      </c>
      <c r="EK101" s="407">
        <v>0</v>
      </c>
      <c r="EL101" s="407">
        <v>0</v>
      </c>
      <c r="EM101" s="407">
        <v>0</v>
      </c>
      <c r="EN101" s="407">
        <v>0</v>
      </c>
      <c r="EO101" s="407">
        <v>0</v>
      </c>
      <c r="EP101" s="407">
        <v>11.773088881954273</v>
      </c>
      <c r="EQ101" s="407">
        <v>0</v>
      </c>
      <c r="ER101" s="407">
        <v>0</v>
      </c>
      <c r="ES101" s="407">
        <v>0</v>
      </c>
      <c r="ET101" s="407">
        <v>0</v>
      </c>
      <c r="EU101" s="407">
        <v>0</v>
      </c>
      <c r="EV101" s="407">
        <v>246</v>
      </c>
      <c r="EW101" s="407">
        <v>0</v>
      </c>
      <c r="EX101" s="407">
        <v>0</v>
      </c>
      <c r="EY101" s="407">
        <v>0</v>
      </c>
      <c r="EZ101" s="407"/>
      <c r="FA101" s="407">
        <v>0</v>
      </c>
      <c r="FB101" s="407"/>
      <c r="FC101" s="407"/>
      <c r="FD101" s="407"/>
      <c r="FE101" s="407"/>
      <c r="FF101" s="407">
        <v>0</v>
      </c>
      <c r="FG101" s="407">
        <v>0</v>
      </c>
      <c r="FH101" s="407">
        <v>0</v>
      </c>
      <c r="FI101" s="407">
        <v>0</v>
      </c>
    </row>
    <row r="102" spans="1:165" s="845" customFormat="1">
      <c r="A102" s="407">
        <v>105</v>
      </c>
      <c r="B102" s="407" t="s">
        <v>1090</v>
      </c>
      <c r="C102" s="407" t="s">
        <v>2314</v>
      </c>
      <c r="D102" s="407" t="s">
        <v>650</v>
      </c>
      <c r="E102" s="407" t="s">
        <v>2316</v>
      </c>
      <c r="F102" s="407" t="s">
        <v>97</v>
      </c>
      <c r="G102" s="407" t="s">
        <v>97</v>
      </c>
      <c r="H102" s="407" t="s">
        <v>97</v>
      </c>
      <c r="I102" s="407" t="s">
        <v>2290</v>
      </c>
      <c r="J102" s="407" t="s">
        <v>2307</v>
      </c>
      <c r="K102" s="818">
        <v>44409</v>
      </c>
      <c r="L102" s="407">
        <v>0</v>
      </c>
      <c r="M102" s="407">
        <v>0</v>
      </c>
      <c r="N102" s="407">
        <v>4.5629999999999997</v>
      </c>
      <c r="O102" s="407">
        <v>4.5629999999999997</v>
      </c>
      <c r="P102" s="407">
        <v>4.5629999999999997</v>
      </c>
      <c r="Q102" s="407">
        <v>4.5629999999999997</v>
      </c>
      <c r="R102" s="407"/>
      <c r="S102" s="407">
        <v>95.29</v>
      </c>
      <c r="T102" s="407">
        <v>159.41</v>
      </c>
      <c r="U102" s="407"/>
      <c r="V102" s="407">
        <v>1162.1960999999999</v>
      </c>
      <c r="W102" s="407">
        <v>1162.1960999999999</v>
      </c>
      <c r="X102" s="407">
        <v>1263.5403299999998</v>
      </c>
      <c r="Y102" s="407">
        <v>0</v>
      </c>
      <c r="Z102" s="407">
        <v>246.01012065350673</v>
      </c>
      <c r="AA102" s="407">
        <v>0</v>
      </c>
      <c r="AB102" s="407">
        <v>0</v>
      </c>
      <c r="AC102" s="407">
        <v>0</v>
      </c>
      <c r="AD102" s="407">
        <v>0</v>
      </c>
      <c r="AE102" s="407">
        <v>0</v>
      </c>
      <c r="AF102" s="407">
        <v>703.75476036191628</v>
      </c>
      <c r="AG102" s="407">
        <v>23.64431264749917</v>
      </c>
      <c r="AH102" s="407">
        <v>0</v>
      </c>
      <c r="AI102" s="407">
        <v>0</v>
      </c>
      <c r="AJ102" s="407">
        <v>0</v>
      </c>
      <c r="AK102" s="407">
        <v>0</v>
      </c>
      <c r="AL102" s="407">
        <v>43.695540565436339</v>
      </c>
      <c r="AM102" s="407"/>
      <c r="AN102" s="407">
        <v>4.8994454303290906</v>
      </c>
      <c r="AO102" s="407">
        <v>0</v>
      </c>
      <c r="AP102" s="407">
        <v>0</v>
      </c>
      <c r="AQ102" s="407">
        <v>0</v>
      </c>
      <c r="AR102" s="407">
        <v>0</v>
      </c>
      <c r="AS102" s="407">
        <v>0</v>
      </c>
      <c r="AT102" s="407">
        <v>0</v>
      </c>
      <c r="AU102" s="407">
        <v>0</v>
      </c>
      <c r="AV102" s="407">
        <v>0</v>
      </c>
      <c r="AW102" s="407">
        <v>0</v>
      </c>
      <c r="AX102" s="407">
        <v>0</v>
      </c>
      <c r="AY102" s="407">
        <v>0</v>
      </c>
      <c r="AZ102" s="407">
        <v>0</v>
      </c>
      <c r="BA102" s="407"/>
      <c r="BB102" s="407">
        <v>0</v>
      </c>
      <c r="BC102" s="407">
        <v>0</v>
      </c>
      <c r="BD102" s="407">
        <v>0</v>
      </c>
      <c r="BE102" s="407">
        <v>0</v>
      </c>
      <c r="BF102" s="407">
        <v>0</v>
      </c>
      <c r="BG102" s="407">
        <v>23.681396699842445</v>
      </c>
      <c r="BH102" s="407">
        <v>0</v>
      </c>
      <c r="BI102" s="407">
        <v>0</v>
      </c>
      <c r="BJ102" s="407">
        <v>0</v>
      </c>
      <c r="BK102" s="407">
        <v>0</v>
      </c>
      <c r="BL102" s="407">
        <v>0</v>
      </c>
      <c r="BM102" s="407"/>
      <c r="BN102" s="407"/>
      <c r="BO102" s="407"/>
      <c r="BP102" s="407"/>
      <c r="BQ102" s="407"/>
      <c r="BR102" s="407"/>
      <c r="BS102" s="407"/>
      <c r="BT102" s="407"/>
      <c r="BU102" s="407"/>
      <c r="BV102" s="407">
        <v>727.43615706175876</v>
      </c>
      <c r="BW102" s="407"/>
      <c r="BX102" s="407"/>
      <c r="BY102" s="407"/>
      <c r="BZ102" s="407"/>
      <c r="CA102" s="407"/>
      <c r="CB102" s="407"/>
      <c r="CC102" s="407"/>
      <c r="CD102" s="407"/>
      <c r="CE102" s="407"/>
      <c r="CF102" s="407"/>
      <c r="CG102" s="407"/>
      <c r="CH102" s="407"/>
      <c r="CI102" s="407">
        <v>1262.7095999999999</v>
      </c>
      <c r="CJ102" s="407">
        <v>100.48350000000005</v>
      </c>
      <c r="CK102" s="407"/>
      <c r="CL102" s="407"/>
      <c r="CM102" s="407"/>
      <c r="CN102" s="407"/>
      <c r="CO102" s="407">
        <v>-24.001380000000022</v>
      </c>
      <c r="CP102" s="407">
        <v>125.34560999999999</v>
      </c>
      <c r="CQ102" s="407">
        <v>31</v>
      </c>
      <c r="CR102" s="407">
        <v>101.32980731332873</v>
      </c>
      <c r="CS102" s="407">
        <v>0</v>
      </c>
      <c r="CT102" s="407">
        <v>0</v>
      </c>
      <c r="CU102" s="407">
        <v>0</v>
      </c>
      <c r="CV102" s="407">
        <v>0</v>
      </c>
      <c r="CW102" s="407">
        <v>0</v>
      </c>
      <c r="CX102" s="407">
        <v>0</v>
      </c>
      <c r="CY102" s="407">
        <v>0</v>
      </c>
      <c r="CZ102" s="407">
        <v>0</v>
      </c>
      <c r="DA102" s="407">
        <v>0</v>
      </c>
      <c r="DB102" s="407">
        <v>0</v>
      </c>
      <c r="DC102" s="407">
        <v>139.53556419211486</v>
      </c>
      <c r="DD102" s="407">
        <v>0</v>
      </c>
      <c r="DE102" s="407">
        <v>0</v>
      </c>
      <c r="DF102" s="407">
        <v>0</v>
      </c>
      <c r="DG102" s="407">
        <v>4.695381453150631</v>
      </c>
      <c r="DH102" s="407">
        <v>0</v>
      </c>
      <c r="DI102" s="407">
        <v>-17.231034166204807</v>
      </c>
      <c r="DJ102" s="407"/>
      <c r="DK102" s="407">
        <v>0</v>
      </c>
      <c r="DL102" s="407">
        <v>0</v>
      </c>
      <c r="DM102" s="407">
        <v>0</v>
      </c>
      <c r="DN102" s="407">
        <v>0</v>
      </c>
      <c r="DO102" s="407">
        <v>-2.6659250949524065</v>
      </c>
      <c r="DP102" s="407">
        <v>-0.31218083456487999</v>
      </c>
      <c r="DQ102" s="407">
        <v>0</v>
      </c>
      <c r="DR102" s="407">
        <v>-22.691998236214662</v>
      </c>
      <c r="DS102" s="407"/>
      <c r="DT102" s="407"/>
      <c r="DU102" s="407"/>
      <c r="DV102" s="407">
        <v>0</v>
      </c>
      <c r="DW102" s="407">
        <v>0</v>
      </c>
      <c r="DX102" s="407">
        <v>0</v>
      </c>
      <c r="DY102" s="407">
        <v>-24.00138000000004</v>
      </c>
      <c r="DZ102" s="407">
        <v>125.34561000000008</v>
      </c>
      <c r="EA102" s="407">
        <v>0</v>
      </c>
      <c r="EB102" s="407">
        <v>0</v>
      </c>
      <c r="EC102" s="407">
        <v>0</v>
      </c>
      <c r="ED102" s="407">
        <v>0</v>
      </c>
      <c r="EE102" s="407">
        <v>0</v>
      </c>
      <c r="EF102" s="407">
        <v>0</v>
      </c>
      <c r="EG102" s="407">
        <v>0</v>
      </c>
      <c r="EH102" s="407">
        <v>0</v>
      </c>
      <c r="EI102" s="407">
        <v>0</v>
      </c>
      <c r="EJ102" s="407">
        <v>0</v>
      </c>
      <c r="EK102" s="407">
        <v>0</v>
      </c>
      <c r="EL102" s="407">
        <v>0</v>
      </c>
      <c r="EM102" s="407">
        <v>0</v>
      </c>
      <c r="EN102" s="407">
        <v>0</v>
      </c>
      <c r="EO102" s="407">
        <v>0</v>
      </c>
      <c r="EP102" s="407">
        <v>116.53059559296604</v>
      </c>
      <c r="EQ102" s="407">
        <v>0</v>
      </c>
      <c r="ER102" s="407">
        <v>0</v>
      </c>
      <c r="ES102" s="407">
        <v>0</v>
      </c>
      <c r="ET102" s="407">
        <v>0</v>
      </c>
      <c r="EU102" s="407">
        <v>0</v>
      </c>
      <c r="EV102" s="407">
        <v>246</v>
      </c>
      <c r="EW102" s="407">
        <v>0</v>
      </c>
      <c r="EX102" s="407">
        <v>0</v>
      </c>
      <c r="EY102" s="407">
        <v>0</v>
      </c>
      <c r="EZ102" s="407"/>
      <c r="FA102" s="407">
        <v>0</v>
      </c>
      <c r="FB102" s="407"/>
      <c r="FC102" s="407"/>
      <c r="FD102" s="407"/>
      <c r="FE102" s="407"/>
      <c r="FF102" s="407">
        <v>0</v>
      </c>
      <c r="FG102" s="407">
        <v>0</v>
      </c>
      <c r="FH102" s="407">
        <v>0</v>
      </c>
      <c r="FI102" s="407">
        <v>0</v>
      </c>
    </row>
    <row r="103" spans="1:165" s="845" customFormat="1">
      <c r="A103" s="407">
        <v>106</v>
      </c>
      <c r="B103" s="407" t="s">
        <v>1090</v>
      </c>
      <c r="C103" s="407" t="s">
        <v>2314</v>
      </c>
      <c r="D103" s="407" t="s">
        <v>650</v>
      </c>
      <c r="E103" s="407" t="s">
        <v>2316</v>
      </c>
      <c r="F103" s="407" t="s">
        <v>97</v>
      </c>
      <c r="G103" s="407" t="s">
        <v>97</v>
      </c>
      <c r="H103" s="407" t="s">
        <v>97</v>
      </c>
      <c r="I103" s="407" t="s">
        <v>97</v>
      </c>
      <c r="J103" s="407" t="s">
        <v>2307</v>
      </c>
      <c r="K103" s="818">
        <v>44409</v>
      </c>
      <c r="L103" s="407">
        <v>45</v>
      </c>
      <c r="M103" s="407">
        <v>45</v>
      </c>
      <c r="N103" s="407">
        <v>0</v>
      </c>
      <c r="O103" s="407">
        <v>0</v>
      </c>
      <c r="P103" s="407">
        <v>0</v>
      </c>
      <c r="Q103" s="407">
        <v>0</v>
      </c>
      <c r="R103" s="407">
        <v>43.29</v>
      </c>
      <c r="S103" s="407"/>
      <c r="T103" s="407"/>
      <c r="U103" s="407">
        <v>1948.05</v>
      </c>
      <c r="V103" s="407"/>
      <c r="W103" s="407">
        <v>1948.05</v>
      </c>
      <c r="X103" s="407">
        <v>1507.0500000000002</v>
      </c>
      <c r="Y103" s="407">
        <v>0</v>
      </c>
      <c r="Z103" s="407">
        <v>0</v>
      </c>
      <c r="AA103" s="407">
        <v>0</v>
      </c>
      <c r="AB103" s="407">
        <v>0</v>
      </c>
      <c r="AC103" s="407">
        <v>0</v>
      </c>
      <c r="AD103" s="407">
        <v>1064.8794221297101</v>
      </c>
      <c r="AE103" s="407">
        <v>883.31341969672201</v>
      </c>
      <c r="AF103" s="407"/>
      <c r="AG103" s="407"/>
      <c r="AH103" s="407"/>
      <c r="AI103" s="407">
        <v>0</v>
      </c>
      <c r="AJ103" s="407">
        <v>0</v>
      </c>
      <c r="AK103" s="407">
        <v>0</v>
      </c>
      <c r="AL103" s="407">
        <v>0</v>
      </c>
      <c r="AM103" s="407"/>
      <c r="AN103" s="407">
        <v>0</v>
      </c>
      <c r="AO103" s="407">
        <v>0</v>
      </c>
      <c r="AP103" s="407">
        <v>0</v>
      </c>
      <c r="AQ103" s="407">
        <v>0</v>
      </c>
      <c r="AR103" s="407">
        <v>0</v>
      </c>
      <c r="AS103" s="407"/>
      <c r="AT103" s="407"/>
      <c r="AU103" s="407">
        <v>0</v>
      </c>
      <c r="AV103" s="407">
        <v>0</v>
      </c>
      <c r="AW103" s="407">
        <v>0</v>
      </c>
      <c r="AX103" s="407"/>
      <c r="AY103" s="407"/>
      <c r="AZ103" s="407">
        <v>0</v>
      </c>
      <c r="BA103" s="407"/>
      <c r="BB103" s="407">
        <v>0</v>
      </c>
      <c r="BC103" s="407">
        <v>0</v>
      </c>
      <c r="BD103" s="407">
        <v>0</v>
      </c>
      <c r="BE103" s="407">
        <v>0</v>
      </c>
      <c r="BF103" s="407"/>
      <c r="BG103" s="407">
        <v>0</v>
      </c>
      <c r="BH103" s="407">
        <v>0</v>
      </c>
      <c r="BI103" s="407">
        <v>11.35</v>
      </c>
      <c r="BJ103" s="407">
        <v>75.72</v>
      </c>
      <c r="BK103" s="407">
        <v>0</v>
      </c>
      <c r="BL103" s="407">
        <v>1</v>
      </c>
      <c r="BM103" s="407"/>
      <c r="BN103" s="407"/>
      <c r="BO103" s="407"/>
      <c r="BP103" s="407"/>
      <c r="BQ103" s="407"/>
      <c r="BR103" s="407"/>
      <c r="BS103" s="407"/>
      <c r="BT103" s="407"/>
      <c r="BU103" s="407"/>
      <c r="BV103" s="407">
        <v>0</v>
      </c>
      <c r="BW103" s="407"/>
      <c r="BX103" s="407"/>
      <c r="BY103" s="407"/>
      <c r="BZ103" s="407"/>
      <c r="CA103" s="407"/>
      <c r="CB103" s="407"/>
      <c r="CC103" s="407"/>
      <c r="CD103" s="407"/>
      <c r="CE103" s="407"/>
      <c r="CF103" s="407"/>
      <c r="CG103" s="407"/>
      <c r="CH103" s="407"/>
      <c r="CI103" s="407">
        <v>1507.0500000000002</v>
      </c>
      <c r="CJ103" s="407">
        <v>-441.02999999999975</v>
      </c>
      <c r="CK103" s="407"/>
      <c r="CL103" s="407"/>
      <c r="CM103" s="407"/>
      <c r="CN103" s="407"/>
      <c r="CO103" s="407">
        <v>-440.99999999999989</v>
      </c>
      <c r="CP103" s="407">
        <v>0</v>
      </c>
      <c r="CQ103" s="407">
        <v>31</v>
      </c>
      <c r="CR103" s="407">
        <v>10.064706534659763</v>
      </c>
      <c r="CS103" s="407">
        <v>0</v>
      </c>
      <c r="CT103" s="407">
        <v>0</v>
      </c>
      <c r="CU103" s="407">
        <v>0</v>
      </c>
      <c r="CV103" s="407">
        <v>0</v>
      </c>
      <c r="CW103" s="407"/>
      <c r="CX103" s="407"/>
      <c r="CY103" s="407"/>
      <c r="CZ103" s="407">
        <v>48.102714951201051</v>
      </c>
      <c r="DA103" s="407">
        <v>0</v>
      </c>
      <c r="DB103" s="407">
        <v>0</v>
      </c>
      <c r="DC103" s="407"/>
      <c r="DD103" s="407"/>
      <c r="DE103" s="407">
        <v>0</v>
      </c>
      <c r="DF103" s="407">
        <v>0</v>
      </c>
      <c r="DG103" s="407">
        <v>0</v>
      </c>
      <c r="DH103" s="407">
        <v>0</v>
      </c>
      <c r="DI103" s="407">
        <v>0</v>
      </c>
      <c r="DJ103" s="407"/>
      <c r="DK103" s="407">
        <v>0</v>
      </c>
      <c r="DL103" s="407">
        <v>0</v>
      </c>
      <c r="DM103" s="407"/>
      <c r="DN103" s="407">
        <v>0</v>
      </c>
      <c r="DO103" s="407">
        <v>0</v>
      </c>
      <c r="DP103" s="407">
        <v>0</v>
      </c>
      <c r="DQ103" s="407">
        <v>0</v>
      </c>
      <c r="DR103" s="407">
        <v>-38.03800841654121</v>
      </c>
      <c r="DS103" s="407"/>
      <c r="DT103" s="407"/>
      <c r="DU103" s="407">
        <v>883.31341969672201</v>
      </c>
      <c r="DV103" s="407"/>
      <c r="DW103" s="407">
        <v>0</v>
      </c>
      <c r="DX103" s="407">
        <v>0</v>
      </c>
      <c r="DY103" s="407">
        <v>-440.99999999999977</v>
      </c>
      <c r="DZ103" s="407"/>
      <c r="EA103" s="407">
        <v>0</v>
      </c>
      <c r="EB103" s="407"/>
      <c r="EC103" s="407">
        <v>-451.19854638546485</v>
      </c>
      <c r="ED103" s="407"/>
      <c r="EE103" s="407">
        <v>0</v>
      </c>
      <c r="EF103" s="407">
        <v>0</v>
      </c>
      <c r="EG103" s="407"/>
      <c r="EH103" s="407">
        <v>0</v>
      </c>
      <c r="EI103" s="407">
        <v>0</v>
      </c>
      <c r="EJ103" s="407">
        <v>0</v>
      </c>
      <c r="EK103" s="407">
        <v>0</v>
      </c>
      <c r="EL103" s="407">
        <v>0</v>
      </c>
      <c r="EM103" s="407"/>
      <c r="EN103" s="407"/>
      <c r="EO103" s="407">
        <v>0</v>
      </c>
      <c r="EP103" s="407">
        <v>0</v>
      </c>
      <c r="EQ103" s="407"/>
      <c r="ER103" s="407">
        <v>0</v>
      </c>
      <c r="ES103" s="407"/>
      <c r="ET103" s="407">
        <v>0</v>
      </c>
      <c r="EU103" s="407"/>
      <c r="EV103" s="407">
        <v>246</v>
      </c>
      <c r="EW103" s="407"/>
      <c r="EX103" s="407"/>
      <c r="EY103" s="407"/>
      <c r="EZ103" s="407"/>
      <c r="FA103" s="407">
        <v>0</v>
      </c>
      <c r="FB103" s="407"/>
      <c r="FC103" s="407"/>
      <c r="FD103" s="407"/>
      <c r="FE103" s="407"/>
      <c r="FF103" s="407">
        <v>0</v>
      </c>
      <c r="FG103" s="407">
        <v>0</v>
      </c>
      <c r="FH103" s="407">
        <v>0</v>
      </c>
      <c r="FI103" s="407">
        <v>0</v>
      </c>
    </row>
    <row r="104" spans="1:165" s="845" customFormat="1">
      <c r="A104" s="407">
        <v>107</v>
      </c>
      <c r="B104" s="407" t="s">
        <v>1090</v>
      </c>
      <c r="C104" s="407" t="s">
        <v>2306</v>
      </c>
      <c r="D104" s="407" t="s">
        <v>2318</v>
      </c>
      <c r="E104" s="407" t="s">
        <v>2319</v>
      </c>
      <c r="F104" s="407" t="s">
        <v>2320</v>
      </c>
      <c r="G104" s="407" t="s">
        <v>97</v>
      </c>
      <c r="H104" s="407" t="s">
        <v>97</v>
      </c>
      <c r="I104" s="407" t="s">
        <v>97</v>
      </c>
      <c r="J104" s="407" t="s">
        <v>2307</v>
      </c>
      <c r="K104" s="818">
        <v>44409</v>
      </c>
      <c r="L104" s="407">
        <v>0</v>
      </c>
      <c r="M104" s="407">
        <v>0</v>
      </c>
      <c r="N104" s="407">
        <v>503.57299999999998</v>
      </c>
      <c r="O104" s="407">
        <v>503.57299999999998</v>
      </c>
      <c r="P104" s="407">
        <v>503.57299999999998</v>
      </c>
      <c r="Q104" s="407">
        <v>503.57299999999998</v>
      </c>
      <c r="R104" s="407"/>
      <c r="S104" s="407">
        <v>356.64</v>
      </c>
      <c r="T104" s="407">
        <v>87.68</v>
      </c>
      <c r="U104" s="407"/>
      <c r="V104" s="407">
        <v>223747.55536</v>
      </c>
      <c r="W104" s="407">
        <v>223747.55536</v>
      </c>
      <c r="X104" s="407">
        <v>169452.31449999998</v>
      </c>
      <c r="Y104" s="407">
        <v>0</v>
      </c>
      <c r="Z104" s="407">
        <v>17163.599761277408</v>
      </c>
      <c r="AA104" s="407">
        <v>0</v>
      </c>
      <c r="AB104" s="407">
        <v>0</v>
      </c>
      <c r="AC104" s="407">
        <v>0</v>
      </c>
      <c r="AD104" s="407">
        <v>32306.441002447194</v>
      </c>
      <c r="AE104" s="407">
        <v>115645.68797024121</v>
      </c>
      <c r="AF104" s="407">
        <v>42716.533589053666</v>
      </c>
      <c r="AG104" s="407">
        <v>1435.1634010654182</v>
      </c>
      <c r="AH104" s="407">
        <v>0</v>
      </c>
      <c r="AI104" s="407">
        <v>0</v>
      </c>
      <c r="AJ104" s="407">
        <v>0</v>
      </c>
      <c r="AK104" s="407">
        <v>0</v>
      </c>
      <c r="AL104" s="407">
        <v>2652.2336066265957</v>
      </c>
      <c r="AM104" s="407"/>
      <c r="AN104" s="407">
        <v>574.72917532943609</v>
      </c>
      <c r="AO104" s="407">
        <v>0</v>
      </c>
      <c r="AP104" s="407">
        <v>0</v>
      </c>
      <c r="AQ104" s="407">
        <v>0</v>
      </c>
      <c r="AR104" s="407">
        <v>0</v>
      </c>
      <c r="AS104" s="407">
        <v>0</v>
      </c>
      <c r="AT104" s="407">
        <v>0</v>
      </c>
      <c r="AU104" s="407">
        <v>0</v>
      </c>
      <c r="AV104" s="407">
        <v>0</v>
      </c>
      <c r="AW104" s="407">
        <v>0</v>
      </c>
      <c r="AX104" s="407">
        <v>0</v>
      </c>
      <c r="AY104" s="407">
        <v>0</v>
      </c>
      <c r="AZ104" s="407">
        <v>0</v>
      </c>
      <c r="BA104" s="407"/>
      <c r="BB104" s="407">
        <v>0</v>
      </c>
      <c r="BC104" s="407">
        <v>0</v>
      </c>
      <c r="BD104" s="407">
        <v>0</v>
      </c>
      <c r="BE104" s="407">
        <v>0</v>
      </c>
      <c r="BF104" s="407">
        <v>0</v>
      </c>
      <c r="BG104" s="407">
        <v>3122.4422013437629</v>
      </c>
      <c r="BH104" s="407">
        <v>0</v>
      </c>
      <c r="BI104" s="407">
        <v>751.09</v>
      </c>
      <c r="BJ104" s="407">
        <v>5009.29</v>
      </c>
      <c r="BK104" s="407">
        <v>55658.53</v>
      </c>
      <c r="BL104" s="407">
        <v>62</v>
      </c>
      <c r="BM104" s="407"/>
      <c r="BN104" s="407"/>
      <c r="BO104" s="407"/>
      <c r="BP104" s="407"/>
      <c r="BQ104" s="407"/>
      <c r="BR104" s="407"/>
      <c r="BS104" s="407"/>
      <c r="BT104" s="407"/>
      <c r="BU104" s="407"/>
      <c r="BV104" s="407">
        <v>45838.975790397431</v>
      </c>
      <c r="BW104" s="407"/>
      <c r="BX104" s="407"/>
      <c r="BY104" s="407"/>
      <c r="BZ104" s="407"/>
      <c r="CA104" s="407"/>
      <c r="CB104" s="407"/>
      <c r="CC104" s="407"/>
      <c r="CD104" s="407"/>
      <c r="CE104" s="407"/>
      <c r="CF104" s="407"/>
      <c r="CG104" s="407"/>
      <c r="CH104" s="407"/>
      <c r="CI104" s="407">
        <v>169451.30499999999</v>
      </c>
      <c r="CJ104" s="407">
        <v>-54296.280360000033</v>
      </c>
      <c r="CK104" s="407"/>
      <c r="CL104" s="407"/>
      <c r="CM104" s="407"/>
      <c r="CN104" s="407"/>
      <c r="CO104" s="407">
        <v>-61899.193159999988</v>
      </c>
      <c r="CP104" s="407">
        <v>7603.9522999999972</v>
      </c>
      <c r="CQ104" s="407">
        <v>31</v>
      </c>
      <c r="CR104" s="407">
        <v>4778.761687809485</v>
      </c>
      <c r="CS104" s="407">
        <v>0</v>
      </c>
      <c r="CT104" s="407">
        <v>0</v>
      </c>
      <c r="CU104" s="407">
        <v>0</v>
      </c>
      <c r="CV104" s="407">
        <v>0</v>
      </c>
      <c r="CW104" s="407">
        <v>0</v>
      </c>
      <c r="CX104" s="407">
        <v>0</v>
      </c>
      <c r="CY104" s="407">
        <v>0</v>
      </c>
      <c r="CZ104" s="407">
        <v>1459.3459976159647</v>
      </c>
      <c r="DA104" s="407">
        <v>0</v>
      </c>
      <c r="DB104" s="407">
        <v>0</v>
      </c>
      <c r="DC104" s="407">
        <v>8469.535057375324</v>
      </c>
      <c r="DD104" s="407">
        <v>0</v>
      </c>
      <c r="DE104" s="407">
        <v>0</v>
      </c>
      <c r="DF104" s="407">
        <v>0</v>
      </c>
      <c r="DG104" s="407">
        <v>619.09596746132001</v>
      </c>
      <c r="DH104" s="407">
        <v>0</v>
      </c>
      <c r="DI104" s="407">
        <v>-1202.1723867132459</v>
      </c>
      <c r="DJ104" s="407"/>
      <c r="DK104" s="407">
        <v>0</v>
      </c>
      <c r="DL104" s="407">
        <v>0</v>
      </c>
      <c r="DM104" s="407">
        <v>0</v>
      </c>
      <c r="DN104" s="407">
        <v>0</v>
      </c>
      <c r="DO104" s="407">
        <v>-161.81642424112579</v>
      </c>
      <c r="DP104" s="407">
        <v>-36.62035553911835</v>
      </c>
      <c r="DQ104" s="407">
        <v>0</v>
      </c>
      <c r="DR104" s="407">
        <v>-4368.6061681496185</v>
      </c>
      <c r="DS104" s="407"/>
      <c r="DT104" s="407"/>
      <c r="DU104" s="407"/>
      <c r="DV104" s="407">
        <v>115645.68797024121</v>
      </c>
      <c r="DW104" s="407">
        <v>0</v>
      </c>
      <c r="DX104" s="407">
        <v>0</v>
      </c>
      <c r="DY104" s="407">
        <v>-61899.193159999995</v>
      </c>
      <c r="DZ104" s="407">
        <v>7603.9522999999972</v>
      </c>
      <c r="EA104" s="407">
        <v>0</v>
      </c>
      <c r="EB104" s="407">
        <v>0</v>
      </c>
      <c r="EC104" s="407">
        <v>-59072.086016574627</v>
      </c>
      <c r="ED104" s="407">
        <v>0</v>
      </c>
      <c r="EE104" s="407">
        <v>0</v>
      </c>
      <c r="EF104" s="407">
        <v>0</v>
      </c>
      <c r="EG104" s="407">
        <v>0</v>
      </c>
      <c r="EH104" s="407">
        <v>0</v>
      </c>
      <c r="EI104" s="407">
        <v>0</v>
      </c>
      <c r="EJ104" s="407">
        <v>0</v>
      </c>
      <c r="EK104" s="407">
        <v>0</v>
      </c>
      <c r="EL104" s="407">
        <v>0</v>
      </c>
      <c r="EM104" s="407">
        <v>0</v>
      </c>
      <c r="EN104" s="407">
        <v>0</v>
      </c>
      <c r="EO104" s="407">
        <v>0</v>
      </c>
      <c r="EP104" s="407">
        <v>8130.0903287550509</v>
      </c>
      <c r="EQ104" s="407">
        <v>0</v>
      </c>
      <c r="ER104" s="407">
        <v>0</v>
      </c>
      <c r="ES104" s="407">
        <v>0</v>
      </c>
      <c r="ET104" s="407">
        <v>0</v>
      </c>
      <c r="EU104" s="407">
        <v>0</v>
      </c>
      <c r="EV104" s="407">
        <v>246</v>
      </c>
      <c r="EW104" s="407">
        <v>0</v>
      </c>
      <c r="EX104" s="407">
        <v>0</v>
      </c>
      <c r="EY104" s="407">
        <v>0</v>
      </c>
      <c r="EZ104" s="407"/>
      <c r="FA104" s="407">
        <v>0</v>
      </c>
      <c r="FB104" s="407"/>
      <c r="FC104" s="407"/>
      <c r="FD104" s="407"/>
      <c r="FE104" s="407"/>
      <c r="FF104" s="407">
        <v>0</v>
      </c>
      <c r="FG104" s="407">
        <v>0</v>
      </c>
      <c r="FH104" s="407">
        <v>0</v>
      </c>
      <c r="FI104" s="407">
        <v>0</v>
      </c>
    </row>
    <row r="105" spans="1:165" s="845" customFormat="1">
      <c r="A105" s="407">
        <v>108</v>
      </c>
      <c r="B105" s="407" t="s">
        <v>1090</v>
      </c>
      <c r="C105" s="407" t="s">
        <v>2306</v>
      </c>
      <c r="D105" s="407" t="s">
        <v>1219</v>
      </c>
      <c r="E105" s="407" t="s">
        <v>1052</v>
      </c>
      <c r="F105" s="407" t="s">
        <v>2321</v>
      </c>
      <c r="G105" s="407" t="s">
        <v>97</v>
      </c>
      <c r="H105" s="407" t="s">
        <v>97</v>
      </c>
      <c r="I105" s="407" t="s">
        <v>97</v>
      </c>
      <c r="J105" s="407" t="s">
        <v>2307</v>
      </c>
      <c r="K105" s="818">
        <v>44409</v>
      </c>
      <c r="L105" s="407">
        <v>0</v>
      </c>
      <c r="M105" s="407">
        <v>0</v>
      </c>
      <c r="N105" s="407">
        <v>47.508000000000003</v>
      </c>
      <c r="O105" s="407">
        <v>44.657519999999998</v>
      </c>
      <c r="P105" s="407">
        <v>47.508000000000003</v>
      </c>
      <c r="Q105" s="407">
        <v>44.657519999999998</v>
      </c>
      <c r="R105" s="407"/>
      <c r="S105" s="407">
        <v>648.44000000000005</v>
      </c>
      <c r="T105" s="407">
        <v>159.41</v>
      </c>
      <c r="U105" s="407"/>
      <c r="V105" s="407">
        <v>38379.337800000008</v>
      </c>
      <c r="W105" s="407">
        <v>38379.337800000008</v>
      </c>
      <c r="X105" s="407">
        <v>29066.344560000001</v>
      </c>
      <c r="Y105" s="407">
        <v>0</v>
      </c>
      <c r="Z105" s="407">
        <v>2944.0826669303588</v>
      </c>
      <c r="AA105" s="407">
        <v>0</v>
      </c>
      <c r="AB105" s="407">
        <v>0</v>
      </c>
      <c r="AC105" s="407">
        <v>0</v>
      </c>
      <c r="AD105" s="407">
        <v>5541.5434004757053</v>
      </c>
      <c r="AE105" s="407">
        <v>19836.774930312455</v>
      </c>
      <c r="AF105" s="407">
        <v>7327.1928896063819</v>
      </c>
      <c r="AG105" s="407">
        <v>246.17444778816363</v>
      </c>
      <c r="AH105" s="407">
        <v>0</v>
      </c>
      <c r="AI105" s="407">
        <v>0</v>
      </c>
      <c r="AJ105" s="407">
        <v>0</v>
      </c>
      <c r="AK105" s="407">
        <v>0</v>
      </c>
      <c r="AL105" s="407">
        <v>454.93923760305717</v>
      </c>
      <c r="AM105" s="407"/>
      <c r="AN105" s="407">
        <v>98.583643687845921</v>
      </c>
      <c r="AO105" s="407">
        <v>0</v>
      </c>
      <c r="AP105" s="407">
        <v>0</v>
      </c>
      <c r="AQ105" s="407">
        <v>0</v>
      </c>
      <c r="AR105" s="407">
        <v>0</v>
      </c>
      <c r="AS105" s="407">
        <v>0</v>
      </c>
      <c r="AT105" s="407">
        <v>0</v>
      </c>
      <c r="AU105" s="407">
        <v>0</v>
      </c>
      <c r="AV105" s="407">
        <v>0</v>
      </c>
      <c r="AW105" s="407">
        <v>0</v>
      </c>
      <c r="AX105" s="407">
        <v>0</v>
      </c>
      <c r="AY105" s="407">
        <v>0</v>
      </c>
      <c r="AZ105" s="407">
        <v>0</v>
      </c>
      <c r="BA105" s="407"/>
      <c r="BB105" s="407">
        <v>0</v>
      </c>
      <c r="BC105" s="407">
        <v>0</v>
      </c>
      <c r="BD105" s="407">
        <v>0</v>
      </c>
      <c r="BE105" s="407">
        <v>0</v>
      </c>
      <c r="BF105" s="407">
        <v>0</v>
      </c>
      <c r="BG105" s="407">
        <v>535.59440276669875</v>
      </c>
      <c r="BH105" s="407">
        <v>0</v>
      </c>
      <c r="BI105" s="407">
        <v>123.26</v>
      </c>
      <c r="BJ105" s="407">
        <v>822.14</v>
      </c>
      <c r="BK105" s="407">
        <v>14382.48</v>
      </c>
      <c r="BL105" s="407">
        <v>13</v>
      </c>
      <c r="BM105" s="407"/>
      <c r="BN105" s="407"/>
      <c r="BO105" s="407"/>
      <c r="BP105" s="407"/>
      <c r="BQ105" s="407">
        <v>1743.9806736000028</v>
      </c>
      <c r="BR105" s="407"/>
      <c r="BS105" s="407"/>
      <c r="BT105" s="407"/>
      <c r="BU105" s="407"/>
      <c r="BV105" s="407">
        <v>7862.7872923730811</v>
      </c>
      <c r="BW105" s="407"/>
      <c r="BX105" s="407"/>
      <c r="BY105" s="407"/>
      <c r="BZ105" s="407"/>
      <c r="CA105" s="407"/>
      <c r="CB105" s="407"/>
      <c r="CC105" s="407"/>
      <c r="CD105" s="407"/>
      <c r="CE105" s="407"/>
      <c r="CF105" s="407"/>
      <c r="CG105" s="407"/>
      <c r="CH105" s="407"/>
      <c r="CI105" s="407">
        <v>27323.881199999996</v>
      </c>
      <c r="CJ105" s="407">
        <v>-8752.7263320000056</v>
      </c>
      <c r="CK105" s="407"/>
      <c r="CL105" s="407"/>
      <c r="CM105" s="407"/>
      <c r="CN105" s="407"/>
      <c r="CO105" s="407">
        <v>-10618.038000000004</v>
      </c>
      <c r="CP105" s="407">
        <v>1305.04476</v>
      </c>
      <c r="CQ105" s="407">
        <v>31</v>
      </c>
      <c r="CR105" s="407">
        <v>819.70388788789933</v>
      </c>
      <c r="CS105" s="407">
        <v>0</v>
      </c>
      <c r="CT105" s="407">
        <v>0</v>
      </c>
      <c r="CU105" s="407">
        <v>0</v>
      </c>
      <c r="CV105" s="407">
        <v>0</v>
      </c>
      <c r="CW105" s="407">
        <v>0</v>
      </c>
      <c r="CX105" s="407">
        <v>0</v>
      </c>
      <c r="CY105" s="407">
        <v>0</v>
      </c>
      <c r="CZ105" s="407">
        <v>250.32250322734853</v>
      </c>
      <c r="DA105" s="407">
        <v>0</v>
      </c>
      <c r="DB105" s="407">
        <v>0</v>
      </c>
      <c r="DC105" s="407">
        <v>1452.7844803065946</v>
      </c>
      <c r="DD105" s="407">
        <v>0</v>
      </c>
      <c r="DE105" s="407">
        <v>0</v>
      </c>
      <c r="DF105" s="407">
        <v>0</v>
      </c>
      <c r="DG105" s="407">
        <v>106.1939064252399</v>
      </c>
      <c r="DH105" s="407">
        <v>0</v>
      </c>
      <c r="DI105" s="407">
        <v>-206.20935792092132</v>
      </c>
      <c r="DJ105" s="407"/>
      <c r="DK105" s="407">
        <v>0</v>
      </c>
      <c r="DL105" s="407">
        <v>0</v>
      </c>
      <c r="DM105" s="407">
        <v>0</v>
      </c>
      <c r="DN105" s="407">
        <v>0</v>
      </c>
      <c r="DO105" s="407">
        <v>-27.756469298925936</v>
      </c>
      <c r="DP105" s="407">
        <v>-6.2815117748649669</v>
      </c>
      <c r="DQ105" s="407">
        <v>0</v>
      </c>
      <c r="DR105" s="407">
        <v>-749.34966307657248</v>
      </c>
      <c r="DS105" s="407"/>
      <c r="DT105" s="407"/>
      <c r="DU105" s="407"/>
      <c r="DV105" s="407">
        <v>19836.774930312455</v>
      </c>
      <c r="DW105" s="407">
        <v>0</v>
      </c>
      <c r="DX105" s="407">
        <v>0</v>
      </c>
      <c r="DY105" s="407">
        <v>-10618.038000000004</v>
      </c>
      <c r="DZ105" s="407">
        <v>1305.0447600000007</v>
      </c>
      <c r="EA105" s="407">
        <v>0</v>
      </c>
      <c r="EB105" s="407">
        <v>0</v>
      </c>
      <c r="EC105" s="407">
        <v>-10132.670707760346</v>
      </c>
      <c r="ED105" s="407">
        <v>0</v>
      </c>
      <c r="EE105" s="407">
        <v>0</v>
      </c>
      <c r="EF105" s="407">
        <v>0</v>
      </c>
      <c r="EG105" s="407">
        <v>0</v>
      </c>
      <c r="EH105" s="407">
        <v>0</v>
      </c>
      <c r="EI105" s="407">
        <v>0</v>
      </c>
      <c r="EJ105" s="407">
        <v>0</v>
      </c>
      <c r="EK105" s="407">
        <v>0</v>
      </c>
      <c r="EL105" s="407">
        <v>0</v>
      </c>
      <c r="EM105" s="407">
        <v>0</v>
      </c>
      <c r="EN105" s="407">
        <v>0</v>
      </c>
      <c r="EO105" s="407">
        <v>0</v>
      </c>
      <c r="EP105" s="407">
        <v>1394.5593203278327</v>
      </c>
      <c r="EQ105" s="407">
        <v>0</v>
      </c>
      <c r="ER105" s="407">
        <v>0</v>
      </c>
      <c r="ES105" s="407">
        <v>0</v>
      </c>
      <c r="ET105" s="407">
        <v>0</v>
      </c>
      <c r="EU105" s="407">
        <v>0</v>
      </c>
      <c r="EV105" s="407">
        <v>246</v>
      </c>
      <c r="EW105" s="407">
        <v>0</v>
      </c>
      <c r="EX105" s="407">
        <v>0</v>
      </c>
      <c r="EY105" s="407">
        <v>0</v>
      </c>
      <c r="EZ105" s="407"/>
      <c r="FA105" s="407">
        <v>0</v>
      </c>
      <c r="FB105" s="407"/>
      <c r="FC105" s="407"/>
      <c r="FD105" s="407"/>
      <c r="FE105" s="407"/>
      <c r="FF105" s="407">
        <v>0</v>
      </c>
      <c r="FG105" s="407">
        <v>0</v>
      </c>
      <c r="FH105" s="407">
        <v>0</v>
      </c>
      <c r="FI105" s="407">
        <v>0</v>
      </c>
    </row>
    <row r="106" spans="1:165" s="845" customFormat="1">
      <c r="A106" s="407">
        <v>109</v>
      </c>
      <c r="B106" s="407" t="s">
        <v>1090</v>
      </c>
      <c r="C106" s="407" t="s">
        <v>2317</v>
      </c>
      <c r="D106" s="407" t="s">
        <v>650</v>
      </c>
      <c r="E106" s="407" t="s">
        <v>1052</v>
      </c>
      <c r="F106" s="407" t="s">
        <v>2321</v>
      </c>
      <c r="G106" s="407" t="s">
        <v>97</v>
      </c>
      <c r="H106" s="407" t="s">
        <v>97</v>
      </c>
      <c r="I106" s="407" t="s">
        <v>1025</v>
      </c>
      <c r="J106" s="407" t="s">
        <v>2307</v>
      </c>
      <c r="K106" s="818">
        <v>44409</v>
      </c>
      <c r="L106" s="407">
        <v>708</v>
      </c>
      <c r="M106" s="407">
        <v>665.52</v>
      </c>
      <c r="N106" s="407">
        <v>37.003</v>
      </c>
      <c r="O106" s="407">
        <v>34.782820000000001</v>
      </c>
      <c r="P106" s="407">
        <v>37.003</v>
      </c>
      <c r="Q106" s="407">
        <v>34.782820000000001</v>
      </c>
      <c r="R106" s="407">
        <v>112.91</v>
      </c>
      <c r="S106" s="407">
        <v>95.29</v>
      </c>
      <c r="T106" s="407">
        <v>159.41</v>
      </c>
      <c r="U106" s="407">
        <v>79940.28</v>
      </c>
      <c r="V106" s="407">
        <v>9424.6641</v>
      </c>
      <c r="W106" s="407">
        <v>89364.944100000008</v>
      </c>
      <c r="X106" s="407">
        <v>57781.620730000002</v>
      </c>
      <c r="Y106" s="407">
        <v>0</v>
      </c>
      <c r="Z106" s="407">
        <v>1994.9841101340589</v>
      </c>
      <c r="AA106" s="407">
        <v>0</v>
      </c>
      <c r="AB106" s="407">
        <v>0</v>
      </c>
      <c r="AC106" s="407">
        <v>0</v>
      </c>
      <c r="AD106" s="407">
        <v>17972.872804850485</v>
      </c>
      <c r="AE106" s="407">
        <v>61965.112641339554</v>
      </c>
      <c r="AF106" s="407">
        <v>5706.9992105351721</v>
      </c>
      <c r="AG106" s="407">
        <v>191.74019305181062</v>
      </c>
      <c r="AH106" s="407">
        <v>0</v>
      </c>
      <c r="AI106" s="407">
        <v>0</v>
      </c>
      <c r="AJ106" s="407">
        <v>0</v>
      </c>
      <c r="AK106" s="407">
        <v>0</v>
      </c>
      <c r="AL106" s="407">
        <v>354.34277614351106</v>
      </c>
      <c r="AM106" s="407"/>
      <c r="AN106" s="407">
        <v>39.731356401154365</v>
      </c>
      <c r="AO106" s="407">
        <v>0</v>
      </c>
      <c r="AP106" s="407">
        <v>0</v>
      </c>
      <c r="AQ106" s="407">
        <v>0</v>
      </c>
      <c r="AR106" s="407">
        <v>0</v>
      </c>
      <c r="AS106" s="407">
        <v>0</v>
      </c>
      <c r="AT106" s="407">
        <v>0</v>
      </c>
      <c r="AU106" s="407">
        <v>0</v>
      </c>
      <c r="AV106" s="407">
        <v>0</v>
      </c>
      <c r="AW106" s="407">
        <v>0</v>
      </c>
      <c r="AX106" s="407">
        <v>0</v>
      </c>
      <c r="AY106" s="407">
        <v>0</v>
      </c>
      <c r="AZ106" s="407">
        <v>0</v>
      </c>
      <c r="BA106" s="407"/>
      <c r="BB106" s="407">
        <v>0</v>
      </c>
      <c r="BC106" s="407">
        <v>0</v>
      </c>
      <c r="BD106" s="407">
        <v>0</v>
      </c>
      <c r="BE106" s="407">
        <v>0</v>
      </c>
      <c r="BF106" s="407">
        <v>0</v>
      </c>
      <c r="BG106" s="407">
        <v>192.04092090385055</v>
      </c>
      <c r="BH106" s="407">
        <v>0</v>
      </c>
      <c r="BI106" s="407">
        <v>0</v>
      </c>
      <c r="BJ106" s="407">
        <v>0</v>
      </c>
      <c r="BK106" s="407">
        <v>0</v>
      </c>
      <c r="BL106" s="407">
        <v>0</v>
      </c>
      <c r="BM106" s="407"/>
      <c r="BN106" s="407"/>
      <c r="BO106" s="407"/>
      <c r="BP106" s="407"/>
      <c r="BQ106" s="407">
        <v>3466.897243800001</v>
      </c>
      <c r="BR106" s="407"/>
      <c r="BS106" s="407"/>
      <c r="BT106" s="407"/>
      <c r="BU106" s="407"/>
      <c r="BV106" s="407">
        <v>5899.0401314390228</v>
      </c>
      <c r="BW106" s="407"/>
      <c r="BX106" s="407"/>
      <c r="BY106" s="407"/>
      <c r="BZ106" s="407"/>
      <c r="CA106" s="407"/>
      <c r="CB106" s="407"/>
      <c r="CC106" s="407"/>
      <c r="CD106" s="407"/>
      <c r="CE106" s="407"/>
      <c r="CF106" s="407"/>
      <c r="CG106" s="407"/>
      <c r="CH106" s="407"/>
      <c r="CI106" s="407">
        <v>54313.942599999995</v>
      </c>
      <c r="CJ106" s="407">
        <v>-29689.134853999989</v>
      </c>
      <c r="CK106" s="407"/>
      <c r="CL106" s="407"/>
      <c r="CM106" s="407"/>
      <c r="CN106" s="407"/>
      <c r="CO106" s="407">
        <v>-32599.795779999997</v>
      </c>
      <c r="CP106" s="407">
        <v>1016.47241</v>
      </c>
      <c r="CQ106" s="407">
        <v>31</v>
      </c>
      <c r="CR106" s="407">
        <v>72.81955100443156</v>
      </c>
      <c r="CS106" s="407">
        <v>0</v>
      </c>
      <c r="CT106" s="407">
        <v>0</v>
      </c>
      <c r="CU106" s="407">
        <v>0</v>
      </c>
      <c r="CV106" s="407">
        <v>0</v>
      </c>
      <c r="CW106" s="407">
        <v>0</v>
      </c>
      <c r="CX106" s="407">
        <v>0</v>
      </c>
      <c r="CY106" s="407">
        <v>0</v>
      </c>
      <c r="CZ106" s="407">
        <v>811.87030138765112</v>
      </c>
      <c r="DA106" s="407">
        <v>0</v>
      </c>
      <c r="DB106" s="407">
        <v>0</v>
      </c>
      <c r="DC106" s="407">
        <v>1131.543826824638</v>
      </c>
      <c r="DD106" s="407">
        <v>0</v>
      </c>
      <c r="DE106" s="407">
        <v>0</v>
      </c>
      <c r="DF106" s="407">
        <v>0</v>
      </c>
      <c r="DG106" s="407">
        <v>38.076528580086091</v>
      </c>
      <c r="DH106" s="407">
        <v>0</v>
      </c>
      <c r="DI106" s="407">
        <v>-139.73262267194309</v>
      </c>
      <c r="DJ106" s="407"/>
      <c r="DK106" s="407">
        <v>0</v>
      </c>
      <c r="DL106" s="407">
        <v>0</v>
      </c>
      <c r="DM106" s="407">
        <v>0</v>
      </c>
      <c r="DN106" s="407">
        <v>0</v>
      </c>
      <c r="DO106" s="407">
        <v>-21.618940672479482</v>
      </c>
      <c r="DP106" s="407">
        <v>-2.5315861103230901</v>
      </c>
      <c r="DQ106" s="407">
        <v>0</v>
      </c>
      <c r="DR106" s="407">
        <v>-1744.7879563331967</v>
      </c>
      <c r="DS106" s="407"/>
      <c r="DT106" s="407"/>
      <c r="DU106" s="407">
        <v>61965.112641339554</v>
      </c>
      <c r="DV106" s="407">
        <v>0</v>
      </c>
      <c r="DW106" s="407">
        <v>0</v>
      </c>
      <c r="DX106" s="407">
        <v>0</v>
      </c>
      <c r="DY106" s="407">
        <v>-32599.79578</v>
      </c>
      <c r="DZ106" s="407">
        <v>1016.4724100000003</v>
      </c>
      <c r="EA106" s="407">
        <v>0</v>
      </c>
      <c r="EB106" s="407">
        <v>0</v>
      </c>
      <c r="EC106" s="407">
        <v>-31651.923458814021</v>
      </c>
      <c r="ED106" s="407">
        <v>0</v>
      </c>
      <c r="EE106" s="407">
        <v>0</v>
      </c>
      <c r="EF106" s="407">
        <v>0</v>
      </c>
      <c r="EG106" s="407">
        <v>0</v>
      </c>
      <c r="EH106" s="407">
        <v>0</v>
      </c>
      <c r="EI106" s="407">
        <v>0</v>
      </c>
      <c r="EJ106" s="407">
        <v>0</v>
      </c>
      <c r="EK106" s="407">
        <v>0</v>
      </c>
      <c r="EL106" s="407">
        <v>0</v>
      </c>
      <c r="EM106" s="407">
        <v>0</v>
      </c>
      <c r="EN106" s="407">
        <v>0</v>
      </c>
      <c r="EO106" s="407">
        <v>0</v>
      </c>
      <c r="EP106" s="407">
        <v>944.9883034684467</v>
      </c>
      <c r="EQ106" s="407">
        <v>0</v>
      </c>
      <c r="ER106" s="407">
        <v>0</v>
      </c>
      <c r="ES106" s="407">
        <v>0</v>
      </c>
      <c r="ET106" s="407">
        <v>0</v>
      </c>
      <c r="EU106" s="407">
        <v>0</v>
      </c>
      <c r="EV106" s="407">
        <v>246</v>
      </c>
      <c r="EW106" s="407">
        <v>0</v>
      </c>
      <c r="EX106" s="407">
        <v>0</v>
      </c>
      <c r="EY106" s="407">
        <v>0</v>
      </c>
      <c r="EZ106" s="407"/>
      <c r="FA106" s="407">
        <v>0</v>
      </c>
      <c r="FB106" s="407"/>
      <c r="FC106" s="407"/>
      <c r="FD106" s="407"/>
      <c r="FE106" s="407"/>
      <c r="FF106" s="407">
        <v>0</v>
      </c>
      <c r="FG106" s="407">
        <v>0</v>
      </c>
      <c r="FH106" s="407">
        <v>0</v>
      </c>
      <c r="FI106" s="407">
        <v>0</v>
      </c>
    </row>
    <row r="107" spans="1:165" s="845" customFormat="1">
      <c r="A107" s="407">
        <v>110</v>
      </c>
      <c r="B107" s="407" t="s">
        <v>1090</v>
      </c>
      <c r="C107" s="407" t="s">
        <v>2317</v>
      </c>
      <c r="D107" s="407" t="s">
        <v>650</v>
      </c>
      <c r="E107" s="407" t="s">
        <v>1052</v>
      </c>
      <c r="F107" s="407" t="s">
        <v>2321</v>
      </c>
      <c r="G107" s="407" t="s">
        <v>97</v>
      </c>
      <c r="H107" s="407" t="s">
        <v>97</v>
      </c>
      <c r="I107" s="407" t="s">
        <v>2290</v>
      </c>
      <c r="J107" s="407" t="s">
        <v>2307</v>
      </c>
      <c r="K107" s="818">
        <v>44409</v>
      </c>
      <c r="L107" s="407">
        <v>718</v>
      </c>
      <c r="M107" s="407">
        <v>674.92</v>
      </c>
      <c r="N107" s="407">
        <v>369.45699999999999</v>
      </c>
      <c r="O107" s="407">
        <v>347.28958</v>
      </c>
      <c r="P107" s="407">
        <v>369.45699999999999</v>
      </c>
      <c r="Q107" s="407">
        <v>347.28958</v>
      </c>
      <c r="R107" s="407">
        <v>43.29</v>
      </c>
      <c r="S107" s="407">
        <v>95.29</v>
      </c>
      <c r="T107" s="407">
        <v>159.41</v>
      </c>
      <c r="U107" s="407">
        <v>31082.22</v>
      </c>
      <c r="V107" s="407">
        <v>94100.697899999999</v>
      </c>
      <c r="W107" s="407">
        <v>125182.9179</v>
      </c>
      <c r="X107" s="407">
        <v>126352.15787</v>
      </c>
      <c r="Y107" s="407">
        <v>0</v>
      </c>
      <c r="Z107" s="407">
        <v>19918.948311699023</v>
      </c>
      <c r="AA107" s="407">
        <v>0</v>
      </c>
      <c r="AB107" s="407">
        <v>0</v>
      </c>
      <c r="AC107" s="407">
        <v>0</v>
      </c>
      <c r="AD107" s="407">
        <v>16990.742779758486</v>
      </c>
      <c r="AE107" s="407">
        <v>14093.756340938808</v>
      </c>
      <c r="AF107" s="407">
        <v>56981.617904675106</v>
      </c>
      <c r="AG107" s="407">
        <v>1914.4327893506686</v>
      </c>
      <c r="AH107" s="407">
        <v>0</v>
      </c>
      <c r="AI107" s="407">
        <v>0</v>
      </c>
      <c r="AJ107" s="407">
        <v>0</v>
      </c>
      <c r="AK107" s="407">
        <v>0</v>
      </c>
      <c r="AL107" s="407">
        <v>3537.9406817191352</v>
      </c>
      <c r="AM107" s="407"/>
      <c r="AN107" s="407">
        <v>396.69831478262</v>
      </c>
      <c r="AO107" s="407">
        <v>0</v>
      </c>
      <c r="AP107" s="407">
        <v>0</v>
      </c>
      <c r="AQ107" s="407">
        <v>0</v>
      </c>
      <c r="AR107" s="407">
        <v>0</v>
      </c>
      <c r="AS107" s="407">
        <v>0</v>
      </c>
      <c r="AT107" s="407">
        <v>0</v>
      </c>
      <c r="AU107" s="407">
        <v>0</v>
      </c>
      <c r="AV107" s="407">
        <v>0</v>
      </c>
      <c r="AW107" s="407">
        <v>0</v>
      </c>
      <c r="AX107" s="407">
        <v>0</v>
      </c>
      <c r="AY107" s="407">
        <v>0</v>
      </c>
      <c r="AZ107" s="407">
        <v>0</v>
      </c>
      <c r="BA107" s="407"/>
      <c r="BB107" s="407">
        <v>0</v>
      </c>
      <c r="BC107" s="407">
        <v>0</v>
      </c>
      <c r="BD107" s="407">
        <v>0</v>
      </c>
      <c r="BE107" s="407">
        <v>0</v>
      </c>
      <c r="BF107" s="407">
        <v>0</v>
      </c>
      <c r="BG107" s="407">
        <v>1917.4354110308329</v>
      </c>
      <c r="BH107" s="407">
        <v>0</v>
      </c>
      <c r="BI107" s="407">
        <v>0</v>
      </c>
      <c r="BJ107" s="407">
        <v>0</v>
      </c>
      <c r="BK107" s="407">
        <v>0</v>
      </c>
      <c r="BL107" s="407">
        <v>0</v>
      </c>
      <c r="BM107" s="407"/>
      <c r="BN107" s="407"/>
      <c r="BO107" s="407"/>
      <c r="BP107" s="407"/>
      <c r="BQ107" s="407">
        <v>7581.1294721999984</v>
      </c>
      <c r="BR107" s="407"/>
      <c r="BS107" s="407"/>
      <c r="BT107" s="407"/>
      <c r="BU107" s="407"/>
      <c r="BV107" s="407">
        <v>58899.05331570594</v>
      </c>
      <c r="BW107" s="407"/>
      <c r="BX107" s="407"/>
      <c r="BY107" s="407"/>
      <c r="BZ107" s="407"/>
      <c r="CA107" s="407"/>
      <c r="CB107" s="407"/>
      <c r="CC107" s="407"/>
      <c r="CD107" s="407"/>
      <c r="CE107" s="407"/>
      <c r="CF107" s="407"/>
      <c r="CG107" s="407"/>
      <c r="CH107" s="407"/>
      <c r="CI107" s="407">
        <v>118771.1447</v>
      </c>
      <c r="CJ107" s="407">
        <v>1099.1718740000069</v>
      </c>
      <c r="CK107" s="407"/>
      <c r="CL107" s="407"/>
      <c r="CM107" s="407"/>
      <c r="CN107" s="407"/>
      <c r="CO107" s="407">
        <v>-8979.7438199999997</v>
      </c>
      <c r="CP107" s="407">
        <v>10148.98379</v>
      </c>
      <c r="CQ107" s="407">
        <v>31</v>
      </c>
      <c r="CR107" s="407">
        <v>8365.0601781191363</v>
      </c>
      <c r="CS107" s="407">
        <v>0</v>
      </c>
      <c r="CT107" s="407">
        <v>0</v>
      </c>
      <c r="CU107" s="407">
        <v>0</v>
      </c>
      <c r="CV107" s="407">
        <v>0</v>
      </c>
      <c r="CW107" s="407">
        <v>0</v>
      </c>
      <c r="CX107" s="407">
        <v>0</v>
      </c>
      <c r="CY107" s="407">
        <v>0</v>
      </c>
      <c r="CZ107" s="407">
        <v>767.5055407769396</v>
      </c>
      <c r="DA107" s="407">
        <v>0</v>
      </c>
      <c r="DB107" s="407">
        <v>0</v>
      </c>
      <c r="DC107" s="407">
        <v>11297.916050783737</v>
      </c>
      <c r="DD107" s="407">
        <v>0</v>
      </c>
      <c r="DE107" s="407">
        <v>0</v>
      </c>
      <c r="DF107" s="407">
        <v>0</v>
      </c>
      <c r="DG107" s="407">
        <v>380.17566196289113</v>
      </c>
      <c r="DH107" s="407">
        <v>0</v>
      </c>
      <c r="DI107" s="407">
        <v>-1395.1624347892903</v>
      </c>
      <c r="DJ107" s="407"/>
      <c r="DK107" s="407">
        <v>0</v>
      </c>
      <c r="DL107" s="407">
        <v>0</v>
      </c>
      <c r="DM107" s="407">
        <v>0</v>
      </c>
      <c r="DN107" s="407">
        <v>0</v>
      </c>
      <c r="DO107" s="407">
        <v>-215.85463243607956</v>
      </c>
      <c r="DP107" s="407">
        <v>-25.27665890770038</v>
      </c>
      <c r="DQ107" s="407">
        <v>0</v>
      </c>
      <c r="DR107" s="407">
        <v>-2444.2433492713408</v>
      </c>
      <c r="DS107" s="407"/>
      <c r="DT107" s="407"/>
      <c r="DU107" s="407">
        <v>14093.756340938808</v>
      </c>
      <c r="DV107" s="407">
        <v>0</v>
      </c>
      <c r="DW107" s="407">
        <v>0</v>
      </c>
      <c r="DX107" s="407">
        <v>0</v>
      </c>
      <c r="DY107" s="407">
        <v>-8979.743819999996</v>
      </c>
      <c r="DZ107" s="407">
        <v>10148.983789999991</v>
      </c>
      <c r="EA107" s="407">
        <v>0</v>
      </c>
      <c r="EB107" s="407">
        <v>0</v>
      </c>
      <c r="EC107" s="407">
        <v>-7199.1234734391937</v>
      </c>
      <c r="ED107" s="407">
        <v>0</v>
      </c>
      <c r="EE107" s="407">
        <v>0</v>
      </c>
      <c r="EF107" s="407">
        <v>0</v>
      </c>
      <c r="EG107" s="407">
        <v>0</v>
      </c>
      <c r="EH107" s="407">
        <v>0</v>
      </c>
      <c r="EI107" s="407">
        <v>0</v>
      </c>
      <c r="EJ107" s="407">
        <v>0</v>
      </c>
      <c r="EK107" s="407">
        <v>0</v>
      </c>
      <c r="EL107" s="407">
        <v>0</v>
      </c>
      <c r="EM107" s="407">
        <v>0</v>
      </c>
      <c r="EN107" s="407">
        <v>0</v>
      </c>
      <c r="EO107" s="407">
        <v>0</v>
      </c>
      <c r="EP107" s="407">
        <v>9435.2496725817346</v>
      </c>
      <c r="EQ107" s="407">
        <v>0</v>
      </c>
      <c r="ER107" s="407">
        <v>0</v>
      </c>
      <c r="ES107" s="407">
        <v>0</v>
      </c>
      <c r="ET107" s="407">
        <v>0</v>
      </c>
      <c r="EU107" s="407">
        <v>0</v>
      </c>
      <c r="EV107" s="407">
        <v>246</v>
      </c>
      <c r="EW107" s="407">
        <v>0</v>
      </c>
      <c r="EX107" s="407">
        <v>0</v>
      </c>
      <c r="EY107" s="407">
        <v>0</v>
      </c>
      <c r="EZ107" s="407"/>
      <c r="FA107" s="407">
        <v>0</v>
      </c>
      <c r="FB107" s="407"/>
      <c r="FC107" s="407"/>
      <c r="FD107" s="407"/>
      <c r="FE107" s="407"/>
      <c r="FF107" s="407">
        <v>0</v>
      </c>
      <c r="FG107" s="407">
        <v>0</v>
      </c>
      <c r="FH107" s="407">
        <v>0</v>
      </c>
      <c r="FI107" s="407">
        <v>0</v>
      </c>
    </row>
    <row r="108" spans="1:165" s="845" customFormat="1">
      <c r="A108" s="407">
        <v>111</v>
      </c>
      <c r="B108" s="407" t="s">
        <v>1090</v>
      </c>
      <c r="C108" s="407" t="s">
        <v>2317</v>
      </c>
      <c r="D108" s="407" t="s">
        <v>650</v>
      </c>
      <c r="E108" s="407" t="s">
        <v>1052</v>
      </c>
      <c r="F108" s="407" t="s">
        <v>2321</v>
      </c>
      <c r="G108" s="407" t="s">
        <v>97</v>
      </c>
      <c r="H108" s="407" t="s">
        <v>97</v>
      </c>
      <c r="I108" s="407" t="s">
        <v>97</v>
      </c>
      <c r="J108" s="407" t="s">
        <v>2307</v>
      </c>
      <c r="K108" s="818">
        <v>44409</v>
      </c>
      <c r="L108" s="407">
        <v>0</v>
      </c>
      <c r="M108" s="407">
        <v>0</v>
      </c>
      <c r="N108" s="407">
        <v>0</v>
      </c>
      <c r="O108" s="407">
        <v>0</v>
      </c>
      <c r="P108" s="407">
        <v>0</v>
      </c>
      <c r="Q108" s="407">
        <v>0</v>
      </c>
      <c r="R108" s="407"/>
      <c r="S108" s="407"/>
      <c r="T108" s="407"/>
      <c r="U108" s="407"/>
      <c r="V108" s="407"/>
      <c r="W108" s="407"/>
      <c r="X108" s="407"/>
      <c r="Y108" s="407"/>
      <c r="Z108" s="407"/>
      <c r="AA108" s="407">
        <v>0</v>
      </c>
      <c r="AB108" s="407"/>
      <c r="AC108" s="407"/>
      <c r="AD108" s="407"/>
      <c r="AE108" s="407"/>
      <c r="AF108" s="407"/>
      <c r="AG108" s="407"/>
      <c r="AH108" s="407"/>
      <c r="AI108" s="407"/>
      <c r="AJ108" s="407"/>
      <c r="AK108" s="407"/>
      <c r="AL108" s="407"/>
      <c r="AM108" s="407"/>
      <c r="AN108" s="407"/>
      <c r="AO108" s="407"/>
      <c r="AP108" s="407"/>
      <c r="AQ108" s="407"/>
      <c r="AR108" s="407"/>
      <c r="AS108" s="407"/>
      <c r="AT108" s="407"/>
      <c r="AU108" s="407"/>
      <c r="AV108" s="407"/>
      <c r="AW108" s="407"/>
      <c r="AX108" s="407"/>
      <c r="AY108" s="407"/>
      <c r="AZ108" s="407">
        <v>0</v>
      </c>
      <c r="BA108" s="407"/>
      <c r="BB108" s="407"/>
      <c r="BC108" s="407"/>
      <c r="BD108" s="407"/>
      <c r="BE108" s="407"/>
      <c r="BF108" s="407"/>
      <c r="BG108" s="407"/>
      <c r="BH108" s="407"/>
      <c r="BI108" s="407">
        <v>835.06</v>
      </c>
      <c r="BJ108" s="407">
        <v>5567.16</v>
      </c>
      <c r="BK108" s="407">
        <v>93469.11</v>
      </c>
      <c r="BL108" s="407">
        <v>3</v>
      </c>
      <c r="BM108" s="407"/>
      <c r="BN108" s="407"/>
      <c r="BO108" s="407"/>
      <c r="BP108" s="407"/>
      <c r="BQ108" s="407"/>
      <c r="BR108" s="407"/>
      <c r="BS108" s="407"/>
      <c r="BT108" s="407"/>
      <c r="BU108" s="407"/>
      <c r="BV108" s="407"/>
      <c r="BW108" s="407"/>
      <c r="BX108" s="407"/>
      <c r="BY108" s="407"/>
      <c r="BZ108" s="407"/>
      <c r="CA108" s="407"/>
      <c r="CB108" s="407"/>
      <c r="CC108" s="407"/>
      <c r="CD108" s="407"/>
      <c r="CE108" s="407"/>
      <c r="CF108" s="407"/>
      <c r="CG108" s="407"/>
      <c r="CH108" s="407"/>
      <c r="CI108" s="407"/>
      <c r="CJ108" s="407">
        <v>-0.03</v>
      </c>
      <c r="CK108" s="407"/>
      <c r="CL108" s="407"/>
      <c r="CM108" s="407"/>
      <c r="CN108" s="407"/>
      <c r="CO108" s="407">
        <v>0</v>
      </c>
      <c r="CP108" s="407">
        <v>0</v>
      </c>
      <c r="CQ108" s="407">
        <v>31</v>
      </c>
      <c r="CR108" s="407"/>
      <c r="CS108" s="407"/>
      <c r="CT108" s="407"/>
      <c r="CU108" s="407"/>
      <c r="CV108" s="407"/>
      <c r="CW108" s="407"/>
      <c r="CX108" s="407"/>
      <c r="CY108" s="407"/>
      <c r="CZ108" s="407"/>
      <c r="DA108" s="407"/>
      <c r="DB108" s="407"/>
      <c r="DC108" s="407"/>
      <c r="DD108" s="407"/>
      <c r="DE108" s="407"/>
      <c r="DF108" s="407"/>
      <c r="DG108" s="407"/>
      <c r="DH108" s="407"/>
      <c r="DI108" s="407"/>
      <c r="DJ108" s="407"/>
      <c r="DK108" s="407">
        <v>0</v>
      </c>
      <c r="DL108" s="407"/>
      <c r="DM108" s="407"/>
      <c r="DN108" s="407"/>
      <c r="DO108" s="407"/>
      <c r="DP108" s="407"/>
      <c r="DQ108" s="407"/>
      <c r="DR108" s="407"/>
      <c r="DS108" s="407"/>
      <c r="DT108" s="407"/>
      <c r="DU108" s="407"/>
      <c r="DV108" s="407"/>
      <c r="DW108" s="407"/>
      <c r="DX108" s="407"/>
      <c r="DY108" s="407"/>
      <c r="DZ108" s="407"/>
      <c r="EA108" s="407"/>
      <c r="EB108" s="407"/>
      <c r="EC108" s="407"/>
      <c r="ED108" s="407"/>
      <c r="EE108" s="407"/>
      <c r="EF108" s="407"/>
      <c r="EG108" s="407"/>
      <c r="EH108" s="407"/>
      <c r="EI108" s="407"/>
      <c r="EJ108" s="407"/>
      <c r="EK108" s="407"/>
      <c r="EL108" s="407"/>
      <c r="EM108" s="407"/>
      <c r="EN108" s="407"/>
      <c r="EO108" s="407"/>
      <c r="EP108" s="407"/>
      <c r="EQ108" s="407"/>
      <c r="ER108" s="407"/>
      <c r="ES108" s="407"/>
      <c r="ET108" s="407"/>
      <c r="EU108" s="407"/>
      <c r="EV108" s="407">
        <v>246</v>
      </c>
      <c r="EW108" s="407"/>
      <c r="EX108" s="407"/>
      <c r="EY108" s="407"/>
      <c r="EZ108" s="407"/>
      <c r="FA108" s="407">
        <v>0</v>
      </c>
      <c r="FB108" s="407"/>
      <c r="FC108" s="407"/>
      <c r="FD108" s="407"/>
      <c r="FE108" s="407"/>
      <c r="FF108" s="407">
        <v>0</v>
      </c>
      <c r="FG108" s="407">
        <v>0</v>
      </c>
      <c r="FH108" s="407">
        <v>0</v>
      </c>
      <c r="FI108" s="407">
        <v>0</v>
      </c>
    </row>
    <row r="109" spans="1:165" s="845" customFormat="1">
      <c r="A109" s="407">
        <v>112</v>
      </c>
      <c r="B109" s="407" t="s">
        <v>1090</v>
      </c>
      <c r="C109" s="407" t="s">
        <v>2306</v>
      </c>
      <c r="D109" s="407" t="s">
        <v>1219</v>
      </c>
      <c r="E109" s="407" t="s">
        <v>2322</v>
      </c>
      <c r="F109" s="407" t="s">
        <v>97</v>
      </c>
      <c r="G109" s="407" t="s">
        <v>97</v>
      </c>
      <c r="H109" s="407" t="s">
        <v>97</v>
      </c>
      <c r="I109" s="407" t="s">
        <v>97</v>
      </c>
      <c r="J109" s="407" t="s">
        <v>2307</v>
      </c>
      <c r="K109" s="818">
        <v>44409</v>
      </c>
      <c r="L109" s="407">
        <v>0</v>
      </c>
      <c r="M109" s="407">
        <v>0</v>
      </c>
      <c r="N109" s="407">
        <v>5.09</v>
      </c>
      <c r="O109" s="407">
        <v>5.09</v>
      </c>
      <c r="P109" s="407">
        <v>5.09</v>
      </c>
      <c r="Q109" s="407">
        <v>5.09</v>
      </c>
      <c r="R109" s="407"/>
      <c r="S109" s="407">
        <v>648.44000000000005</v>
      </c>
      <c r="T109" s="407">
        <v>159.41</v>
      </c>
      <c r="U109" s="407"/>
      <c r="V109" s="407">
        <v>4111.9565000000002</v>
      </c>
      <c r="W109" s="407">
        <v>4111.9565000000002</v>
      </c>
      <c r="X109" s="407">
        <v>3114.1637999999998</v>
      </c>
      <c r="Y109" s="407">
        <v>0</v>
      </c>
      <c r="Z109" s="407">
        <v>315.42857570673414</v>
      </c>
      <c r="AA109" s="407">
        <v>0</v>
      </c>
      <c r="AB109" s="407">
        <v>0</v>
      </c>
      <c r="AC109" s="407">
        <v>0</v>
      </c>
      <c r="AD109" s="407">
        <v>593.72012941865239</v>
      </c>
      <c r="AE109" s="407">
        <v>2125.309093106222</v>
      </c>
      <c r="AF109" s="407">
        <v>785.03434806972473</v>
      </c>
      <c r="AG109" s="407">
        <v>26.375093441983516</v>
      </c>
      <c r="AH109" s="407">
        <v>0</v>
      </c>
      <c r="AI109" s="407">
        <v>0</v>
      </c>
      <c r="AJ109" s="407">
        <v>0</v>
      </c>
      <c r="AK109" s="407">
        <v>0</v>
      </c>
      <c r="AL109" s="407">
        <v>48.742121735277443</v>
      </c>
      <c r="AM109" s="407"/>
      <c r="AN109" s="407">
        <v>10.562236810034852</v>
      </c>
      <c r="AO109" s="407">
        <v>0</v>
      </c>
      <c r="AP109" s="407">
        <v>0</v>
      </c>
      <c r="AQ109" s="407">
        <v>0</v>
      </c>
      <c r="AR109" s="407">
        <v>0</v>
      </c>
      <c r="AS109" s="407">
        <v>0</v>
      </c>
      <c r="AT109" s="407">
        <v>0</v>
      </c>
      <c r="AU109" s="407">
        <v>0</v>
      </c>
      <c r="AV109" s="407">
        <v>0</v>
      </c>
      <c r="AW109" s="407">
        <v>0</v>
      </c>
      <c r="AX109" s="407">
        <v>0</v>
      </c>
      <c r="AY109" s="407">
        <v>0</v>
      </c>
      <c r="AZ109" s="407">
        <v>0</v>
      </c>
      <c r="BA109" s="407"/>
      <c r="BB109" s="407">
        <v>0</v>
      </c>
      <c r="BC109" s="407">
        <v>0</v>
      </c>
      <c r="BD109" s="407">
        <v>0</v>
      </c>
      <c r="BE109" s="407">
        <v>0</v>
      </c>
      <c r="BF109" s="407">
        <v>0</v>
      </c>
      <c r="BG109" s="407">
        <v>57.383504043161075</v>
      </c>
      <c r="BH109" s="407">
        <v>0</v>
      </c>
      <c r="BI109" s="407">
        <v>13.93</v>
      </c>
      <c r="BJ109" s="407">
        <v>92.98</v>
      </c>
      <c r="BK109" s="407">
        <v>1549.55</v>
      </c>
      <c r="BL109" s="407">
        <v>5</v>
      </c>
      <c r="BM109" s="407"/>
      <c r="BN109" s="407"/>
      <c r="BO109" s="407"/>
      <c r="BP109" s="407"/>
      <c r="BQ109" s="407"/>
      <c r="BR109" s="407"/>
      <c r="BS109" s="407"/>
      <c r="BT109" s="407"/>
      <c r="BU109" s="407"/>
      <c r="BV109" s="407">
        <v>842.41785211288584</v>
      </c>
      <c r="BW109" s="407"/>
      <c r="BX109" s="407"/>
      <c r="BY109" s="407"/>
      <c r="BZ109" s="407"/>
      <c r="CA109" s="407"/>
      <c r="CB109" s="407"/>
      <c r="CC109" s="407"/>
      <c r="CD109" s="407"/>
      <c r="CE109" s="407"/>
      <c r="CF109" s="407"/>
      <c r="CG109" s="407"/>
      <c r="CH109" s="407"/>
      <c r="CI109" s="407">
        <v>3114.1637999999998</v>
      </c>
      <c r="CJ109" s="407">
        <v>-997.82270000000108</v>
      </c>
      <c r="CK109" s="407"/>
      <c r="CL109" s="407"/>
      <c r="CM109" s="407"/>
      <c r="CN109" s="407"/>
      <c r="CO109" s="407">
        <v>-1137.6150000000002</v>
      </c>
      <c r="CP109" s="407">
        <v>139.82229999999998</v>
      </c>
      <c r="CQ109" s="407">
        <v>31</v>
      </c>
      <c r="CR109" s="407">
        <v>87.822951699701434</v>
      </c>
      <c r="CS109" s="407">
        <v>0</v>
      </c>
      <c r="CT109" s="407">
        <v>0</v>
      </c>
      <c r="CU109" s="407">
        <v>0</v>
      </c>
      <c r="CV109" s="407">
        <v>0</v>
      </c>
      <c r="CW109" s="407">
        <v>0</v>
      </c>
      <c r="CX109" s="407">
        <v>0</v>
      </c>
      <c r="CY109" s="407">
        <v>0</v>
      </c>
      <c r="CZ109" s="407">
        <v>26.819515480070777</v>
      </c>
      <c r="DA109" s="407">
        <v>0</v>
      </c>
      <c r="DB109" s="407">
        <v>0</v>
      </c>
      <c r="DC109" s="407">
        <v>155.65111149197116</v>
      </c>
      <c r="DD109" s="407">
        <v>0</v>
      </c>
      <c r="DE109" s="407">
        <v>0</v>
      </c>
      <c r="DF109" s="407">
        <v>0</v>
      </c>
      <c r="DG109" s="407">
        <v>11.377599219173</v>
      </c>
      <c r="DH109" s="407">
        <v>0</v>
      </c>
      <c r="DI109" s="407">
        <v>-22.093239703155064</v>
      </c>
      <c r="DJ109" s="407"/>
      <c r="DK109" s="407">
        <v>0</v>
      </c>
      <c r="DL109" s="407">
        <v>0</v>
      </c>
      <c r="DM109" s="407">
        <v>0</v>
      </c>
      <c r="DN109" s="407">
        <v>0</v>
      </c>
      <c r="DO109" s="407">
        <v>-2.973823960838871</v>
      </c>
      <c r="DP109" s="407">
        <v>-0.67300023015203081</v>
      </c>
      <c r="DQ109" s="407">
        <v>0</v>
      </c>
      <c r="DR109" s="407">
        <v>-80.285210597367879</v>
      </c>
      <c r="DS109" s="407"/>
      <c r="DT109" s="407"/>
      <c r="DU109" s="407"/>
      <c r="DV109" s="407">
        <v>2125.309093106222</v>
      </c>
      <c r="DW109" s="407">
        <v>0</v>
      </c>
      <c r="DX109" s="407">
        <v>0</v>
      </c>
      <c r="DY109" s="407">
        <v>-1137.6150000000002</v>
      </c>
      <c r="DZ109" s="407">
        <v>139.82230000000004</v>
      </c>
      <c r="EA109" s="407">
        <v>0</v>
      </c>
      <c r="EB109" s="407">
        <v>0</v>
      </c>
      <c r="EC109" s="407">
        <v>-1085.6128210511949</v>
      </c>
      <c r="ED109" s="407">
        <v>0</v>
      </c>
      <c r="EE109" s="407">
        <v>0</v>
      </c>
      <c r="EF109" s="407">
        <v>0</v>
      </c>
      <c r="EG109" s="407">
        <v>0</v>
      </c>
      <c r="EH109" s="407">
        <v>0</v>
      </c>
      <c r="EI109" s="407">
        <v>0</v>
      </c>
      <c r="EJ109" s="407">
        <v>0</v>
      </c>
      <c r="EK109" s="407">
        <v>0</v>
      </c>
      <c r="EL109" s="407">
        <v>0</v>
      </c>
      <c r="EM109" s="407">
        <v>0</v>
      </c>
      <c r="EN109" s="407">
        <v>0</v>
      </c>
      <c r="EO109" s="407">
        <v>0</v>
      </c>
      <c r="EP109" s="407">
        <v>149.41287657802198</v>
      </c>
      <c r="EQ109" s="407">
        <v>0</v>
      </c>
      <c r="ER109" s="407">
        <v>0</v>
      </c>
      <c r="ES109" s="407">
        <v>0</v>
      </c>
      <c r="ET109" s="407">
        <v>0</v>
      </c>
      <c r="EU109" s="407">
        <v>0</v>
      </c>
      <c r="EV109" s="407">
        <v>246</v>
      </c>
      <c r="EW109" s="407">
        <v>0</v>
      </c>
      <c r="EX109" s="407">
        <v>0</v>
      </c>
      <c r="EY109" s="407">
        <v>0</v>
      </c>
      <c r="EZ109" s="407"/>
      <c r="FA109" s="407">
        <v>0</v>
      </c>
      <c r="FB109" s="407"/>
      <c r="FC109" s="407"/>
      <c r="FD109" s="407"/>
      <c r="FE109" s="407"/>
      <c r="FF109" s="407">
        <v>0</v>
      </c>
      <c r="FG109" s="407">
        <v>0</v>
      </c>
      <c r="FH109" s="407">
        <v>0</v>
      </c>
      <c r="FI109" s="407">
        <v>0</v>
      </c>
    </row>
    <row r="110" spans="1:165" s="845" customFormat="1">
      <c r="A110" s="407">
        <v>113</v>
      </c>
      <c r="B110" s="407" t="s">
        <v>1090</v>
      </c>
      <c r="C110" s="407" t="s">
        <v>2306</v>
      </c>
      <c r="D110" s="407" t="s">
        <v>2315</v>
      </c>
      <c r="E110" s="407" t="s">
        <v>1026</v>
      </c>
      <c r="F110" s="407" t="s">
        <v>2323</v>
      </c>
      <c r="G110" s="407" t="s">
        <v>2324</v>
      </c>
      <c r="H110" s="407" t="s">
        <v>97</v>
      </c>
      <c r="I110" s="407" t="s">
        <v>97</v>
      </c>
      <c r="J110" s="407" t="s">
        <v>2307</v>
      </c>
      <c r="K110" s="818">
        <v>44409</v>
      </c>
      <c r="L110" s="407">
        <v>0</v>
      </c>
      <c r="M110" s="407">
        <v>0</v>
      </c>
      <c r="N110" s="407">
        <v>0</v>
      </c>
      <c r="O110" s="407">
        <v>0</v>
      </c>
      <c r="P110" s="407">
        <v>0</v>
      </c>
      <c r="Q110" s="407">
        <v>0</v>
      </c>
      <c r="R110" s="407"/>
      <c r="S110" s="407"/>
      <c r="T110" s="407"/>
      <c r="U110" s="407"/>
      <c r="V110" s="407"/>
      <c r="W110" s="407"/>
      <c r="X110" s="407"/>
      <c r="Y110" s="407"/>
      <c r="Z110" s="407"/>
      <c r="AA110" s="407">
        <v>0</v>
      </c>
      <c r="AB110" s="407"/>
      <c r="AC110" s="407"/>
      <c r="AD110" s="407"/>
      <c r="AE110" s="407"/>
      <c r="AF110" s="407"/>
      <c r="AG110" s="407"/>
      <c r="AH110" s="407"/>
      <c r="AI110" s="407"/>
      <c r="AJ110" s="407"/>
      <c r="AK110" s="407"/>
      <c r="AL110" s="407"/>
      <c r="AM110" s="407"/>
      <c r="AN110" s="407"/>
      <c r="AO110" s="407"/>
      <c r="AP110" s="407"/>
      <c r="AQ110" s="407"/>
      <c r="AR110" s="407"/>
      <c r="AS110" s="407"/>
      <c r="AT110" s="407"/>
      <c r="AU110" s="407"/>
      <c r="AV110" s="407"/>
      <c r="AW110" s="407"/>
      <c r="AX110" s="407"/>
      <c r="AY110" s="407"/>
      <c r="AZ110" s="407">
        <v>0</v>
      </c>
      <c r="BA110" s="407"/>
      <c r="BB110" s="407"/>
      <c r="BC110" s="407"/>
      <c r="BD110" s="407"/>
      <c r="BE110" s="407"/>
      <c r="BF110" s="407"/>
      <c r="BG110" s="407"/>
      <c r="BH110" s="407"/>
      <c r="BI110" s="407">
        <v>27.51</v>
      </c>
      <c r="BJ110" s="407">
        <v>184.62</v>
      </c>
      <c r="BK110" s="407">
        <v>335.06</v>
      </c>
      <c r="BL110" s="407">
        <v>36</v>
      </c>
      <c r="BM110" s="407"/>
      <c r="BN110" s="407"/>
      <c r="BO110" s="407"/>
      <c r="BP110" s="407"/>
      <c r="BQ110" s="407"/>
      <c r="BR110" s="407"/>
      <c r="BS110" s="407"/>
      <c r="BT110" s="407"/>
      <c r="BU110" s="407"/>
      <c r="BV110" s="407"/>
      <c r="BW110" s="407"/>
      <c r="BX110" s="407"/>
      <c r="BY110" s="407"/>
      <c r="BZ110" s="407"/>
      <c r="CA110" s="407"/>
      <c r="CB110" s="407"/>
      <c r="CC110" s="407"/>
      <c r="CD110" s="407"/>
      <c r="CE110" s="407"/>
      <c r="CF110" s="407"/>
      <c r="CG110" s="407"/>
      <c r="CH110" s="407"/>
      <c r="CI110" s="407"/>
      <c r="CJ110" s="407">
        <v>-0.03</v>
      </c>
      <c r="CK110" s="407"/>
      <c r="CL110" s="407"/>
      <c r="CM110" s="407"/>
      <c r="CN110" s="407"/>
      <c r="CO110" s="407">
        <v>0</v>
      </c>
      <c r="CP110" s="407">
        <v>0</v>
      </c>
      <c r="CQ110" s="407">
        <v>31</v>
      </c>
      <c r="CR110" s="407"/>
      <c r="CS110" s="407"/>
      <c r="CT110" s="407"/>
      <c r="CU110" s="407"/>
      <c r="CV110" s="407"/>
      <c r="CW110" s="407"/>
      <c r="CX110" s="407"/>
      <c r="CY110" s="407"/>
      <c r="CZ110" s="407"/>
      <c r="DA110" s="407"/>
      <c r="DB110" s="407"/>
      <c r="DC110" s="407"/>
      <c r="DD110" s="407"/>
      <c r="DE110" s="407"/>
      <c r="DF110" s="407"/>
      <c r="DG110" s="407"/>
      <c r="DH110" s="407"/>
      <c r="DI110" s="407"/>
      <c r="DJ110" s="407"/>
      <c r="DK110" s="407">
        <v>0</v>
      </c>
      <c r="DL110" s="407"/>
      <c r="DM110" s="407"/>
      <c r="DN110" s="407"/>
      <c r="DO110" s="407"/>
      <c r="DP110" s="407"/>
      <c r="DQ110" s="407"/>
      <c r="DR110" s="407"/>
      <c r="DS110" s="407"/>
      <c r="DT110" s="407"/>
      <c r="DU110" s="407"/>
      <c r="DV110" s="407"/>
      <c r="DW110" s="407"/>
      <c r="DX110" s="407"/>
      <c r="DY110" s="407"/>
      <c r="DZ110" s="407"/>
      <c r="EA110" s="407"/>
      <c r="EB110" s="407"/>
      <c r="EC110" s="407"/>
      <c r="ED110" s="407"/>
      <c r="EE110" s="407"/>
      <c r="EF110" s="407"/>
      <c r="EG110" s="407"/>
      <c r="EH110" s="407"/>
      <c r="EI110" s="407"/>
      <c r="EJ110" s="407"/>
      <c r="EK110" s="407"/>
      <c r="EL110" s="407"/>
      <c r="EM110" s="407"/>
      <c r="EN110" s="407"/>
      <c r="EO110" s="407"/>
      <c r="EP110" s="407"/>
      <c r="EQ110" s="407"/>
      <c r="ER110" s="407"/>
      <c r="ES110" s="407"/>
      <c r="ET110" s="407"/>
      <c r="EU110" s="407"/>
      <c r="EV110" s="407">
        <v>246</v>
      </c>
      <c r="EW110" s="407"/>
      <c r="EX110" s="407"/>
      <c r="EY110" s="407"/>
      <c r="EZ110" s="407"/>
      <c r="FA110" s="407">
        <v>0</v>
      </c>
      <c r="FB110" s="407"/>
      <c r="FC110" s="407"/>
      <c r="FD110" s="407"/>
      <c r="FE110" s="407"/>
      <c r="FF110" s="407">
        <v>0</v>
      </c>
      <c r="FG110" s="407">
        <v>0</v>
      </c>
      <c r="FH110" s="407">
        <v>0</v>
      </c>
      <c r="FI110" s="407">
        <v>0</v>
      </c>
    </row>
    <row r="111" spans="1:165" s="845" customFormat="1">
      <c r="A111" s="407">
        <v>114</v>
      </c>
      <c r="B111" s="407" t="s">
        <v>2309</v>
      </c>
      <c r="C111" s="407" t="s">
        <v>2306</v>
      </c>
      <c r="D111" s="407" t="s">
        <v>2315</v>
      </c>
      <c r="E111" s="407" t="s">
        <v>1026</v>
      </c>
      <c r="F111" s="407" t="s">
        <v>2323</v>
      </c>
      <c r="G111" s="407" t="s">
        <v>2324</v>
      </c>
      <c r="H111" s="407" t="s">
        <v>97</v>
      </c>
      <c r="I111" s="407" t="s">
        <v>97</v>
      </c>
      <c r="J111" s="407" t="s">
        <v>2307</v>
      </c>
      <c r="K111" s="818">
        <v>44409</v>
      </c>
      <c r="L111" s="407">
        <v>0</v>
      </c>
      <c r="M111" s="407">
        <v>0</v>
      </c>
      <c r="N111" s="407">
        <v>0</v>
      </c>
      <c r="O111" s="407">
        <v>0</v>
      </c>
      <c r="P111" s="407">
        <v>0</v>
      </c>
      <c r="Q111" s="407">
        <v>0</v>
      </c>
      <c r="R111" s="407"/>
      <c r="S111" s="407"/>
      <c r="T111" s="407"/>
      <c r="U111" s="407"/>
      <c r="V111" s="407"/>
      <c r="W111" s="407"/>
      <c r="X111" s="407"/>
      <c r="Y111" s="407"/>
      <c r="Z111" s="407"/>
      <c r="AA111" s="407">
        <v>0</v>
      </c>
      <c r="AB111" s="407"/>
      <c r="AC111" s="407"/>
      <c r="AD111" s="407"/>
      <c r="AE111" s="407"/>
      <c r="AF111" s="407"/>
      <c r="AG111" s="407"/>
      <c r="AH111" s="407"/>
      <c r="AI111" s="407"/>
      <c r="AJ111" s="407"/>
      <c r="AK111" s="407"/>
      <c r="AL111" s="407"/>
      <c r="AM111" s="407"/>
      <c r="AN111" s="407"/>
      <c r="AO111" s="407"/>
      <c r="AP111" s="407"/>
      <c r="AQ111" s="407"/>
      <c r="AR111" s="407"/>
      <c r="AS111" s="407"/>
      <c r="AT111" s="407"/>
      <c r="AU111" s="407"/>
      <c r="AV111" s="407"/>
      <c r="AW111" s="407"/>
      <c r="AX111" s="407"/>
      <c r="AY111" s="407"/>
      <c r="AZ111" s="407">
        <v>0</v>
      </c>
      <c r="BA111" s="407"/>
      <c r="BB111" s="407"/>
      <c r="BC111" s="407"/>
      <c r="BD111" s="407"/>
      <c r="BE111" s="407"/>
      <c r="BF111" s="407"/>
      <c r="BG111" s="407"/>
      <c r="BH111" s="407"/>
      <c r="BI111" s="407">
        <v>0.41</v>
      </c>
      <c r="BJ111" s="407">
        <v>2.75</v>
      </c>
      <c r="BK111" s="407">
        <v>19.2</v>
      </c>
      <c r="BL111" s="407">
        <v>2</v>
      </c>
      <c r="BM111" s="407"/>
      <c r="BN111" s="407"/>
      <c r="BO111" s="407"/>
      <c r="BP111" s="407"/>
      <c r="BQ111" s="407"/>
      <c r="BR111" s="407"/>
      <c r="BS111" s="407"/>
      <c r="BT111" s="407"/>
      <c r="BU111" s="407"/>
      <c r="BV111" s="407"/>
      <c r="BW111" s="407"/>
      <c r="BX111" s="407"/>
      <c r="BY111" s="407"/>
      <c r="BZ111" s="407"/>
      <c r="CA111" s="407"/>
      <c r="CB111" s="407"/>
      <c r="CC111" s="407"/>
      <c r="CD111" s="407"/>
      <c r="CE111" s="407"/>
      <c r="CF111" s="407"/>
      <c r="CG111" s="407"/>
      <c r="CH111" s="407"/>
      <c r="CI111" s="407"/>
      <c r="CJ111" s="407">
        <v>-0.03</v>
      </c>
      <c r="CK111" s="407"/>
      <c r="CL111" s="407"/>
      <c r="CM111" s="407"/>
      <c r="CN111" s="407"/>
      <c r="CO111" s="407">
        <v>0</v>
      </c>
      <c r="CP111" s="407">
        <v>0</v>
      </c>
      <c r="CQ111" s="407">
        <v>31</v>
      </c>
      <c r="CR111" s="407"/>
      <c r="CS111" s="407"/>
      <c r="CT111" s="407"/>
      <c r="CU111" s="407"/>
      <c r="CV111" s="407"/>
      <c r="CW111" s="407"/>
      <c r="CX111" s="407"/>
      <c r="CY111" s="407"/>
      <c r="CZ111" s="407"/>
      <c r="DA111" s="407"/>
      <c r="DB111" s="407"/>
      <c r="DC111" s="407"/>
      <c r="DD111" s="407"/>
      <c r="DE111" s="407"/>
      <c r="DF111" s="407"/>
      <c r="DG111" s="407"/>
      <c r="DH111" s="407"/>
      <c r="DI111" s="407"/>
      <c r="DJ111" s="407"/>
      <c r="DK111" s="407">
        <v>0</v>
      </c>
      <c r="DL111" s="407"/>
      <c r="DM111" s="407"/>
      <c r="DN111" s="407"/>
      <c r="DO111" s="407"/>
      <c r="DP111" s="407"/>
      <c r="DQ111" s="407"/>
      <c r="DR111" s="407"/>
      <c r="DS111" s="407"/>
      <c r="DT111" s="407"/>
      <c r="DU111" s="407"/>
      <c r="DV111" s="407"/>
      <c r="DW111" s="407"/>
      <c r="DX111" s="407"/>
      <c r="DY111" s="407"/>
      <c r="DZ111" s="407"/>
      <c r="EA111" s="407"/>
      <c r="EB111" s="407"/>
      <c r="EC111" s="407"/>
      <c r="ED111" s="407"/>
      <c r="EE111" s="407"/>
      <c r="EF111" s="407"/>
      <c r="EG111" s="407"/>
      <c r="EH111" s="407"/>
      <c r="EI111" s="407"/>
      <c r="EJ111" s="407"/>
      <c r="EK111" s="407"/>
      <c r="EL111" s="407"/>
      <c r="EM111" s="407"/>
      <c r="EN111" s="407"/>
      <c r="EO111" s="407"/>
      <c r="EP111" s="407"/>
      <c r="EQ111" s="407"/>
      <c r="ER111" s="407"/>
      <c r="ES111" s="407"/>
      <c r="ET111" s="407"/>
      <c r="EU111" s="407"/>
      <c r="EV111" s="407">
        <v>246</v>
      </c>
      <c r="EW111" s="407"/>
      <c r="EX111" s="407"/>
      <c r="EY111" s="407"/>
      <c r="EZ111" s="407"/>
      <c r="FA111" s="407">
        <v>0</v>
      </c>
      <c r="FB111" s="407"/>
      <c r="FC111" s="407"/>
      <c r="FD111" s="407"/>
      <c r="FE111" s="407"/>
      <c r="FF111" s="407">
        <v>0</v>
      </c>
      <c r="FG111" s="407">
        <v>0</v>
      </c>
      <c r="FH111" s="407">
        <v>0</v>
      </c>
      <c r="FI111" s="407">
        <v>0</v>
      </c>
    </row>
    <row r="112" spans="1:165" s="845" customFormat="1">
      <c r="A112" s="407">
        <v>115</v>
      </c>
      <c r="B112" s="407" t="s">
        <v>1090</v>
      </c>
      <c r="C112" s="407" t="s">
        <v>2306</v>
      </c>
      <c r="D112" s="407" t="s">
        <v>2315</v>
      </c>
      <c r="E112" s="407" t="s">
        <v>1026</v>
      </c>
      <c r="F112" s="407" t="s">
        <v>2323</v>
      </c>
      <c r="G112" s="407" t="s">
        <v>2324</v>
      </c>
      <c r="H112" s="407" t="s">
        <v>97</v>
      </c>
      <c r="I112" s="407" t="s">
        <v>97</v>
      </c>
      <c r="J112" s="407" t="s">
        <v>2307</v>
      </c>
      <c r="K112" s="818">
        <v>44409</v>
      </c>
      <c r="L112" s="407">
        <v>0</v>
      </c>
      <c r="M112" s="407">
        <v>0</v>
      </c>
      <c r="N112" s="407">
        <v>13.727</v>
      </c>
      <c r="O112" s="407">
        <v>13.727</v>
      </c>
      <c r="P112" s="407">
        <v>13.727</v>
      </c>
      <c r="Q112" s="407">
        <v>13.727</v>
      </c>
      <c r="R112" s="407"/>
      <c r="S112" s="407">
        <v>648.44000000000005</v>
      </c>
      <c r="T112" s="407">
        <v>159.41</v>
      </c>
      <c r="U112" s="407"/>
      <c r="V112" s="407">
        <v>11089.356950000001</v>
      </c>
      <c r="W112" s="407">
        <v>11089.356950000001</v>
      </c>
      <c r="X112" s="407">
        <v>8398.4531399999996</v>
      </c>
      <c r="Y112" s="407">
        <v>0</v>
      </c>
      <c r="Z112" s="407">
        <v>850.66563039810205</v>
      </c>
      <c r="AA112" s="407">
        <v>0</v>
      </c>
      <c r="AB112" s="407">
        <v>0</v>
      </c>
      <c r="AC112" s="407">
        <v>0</v>
      </c>
      <c r="AD112" s="407">
        <v>1601.178038610971</v>
      </c>
      <c r="AE112" s="407">
        <v>5731.6538155342059</v>
      </c>
      <c r="AF112" s="407">
        <v>2117.1250483208473</v>
      </c>
      <c r="AG112" s="407">
        <v>71.12984433754572</v>
      </c>
      <c r="AH112" s="407">
        <v>0</v>
      </c>
      <c r="AI112" s="407">
        <v>0</v>
      </c>
      <c r="AJ112" s="407">
        <v>0</v>
      </c>
      <c r="AK112" s="407">
        <v>0</v>
      </c>
      <c r="AL112" s="407">
        <v>131.45051179963724</v>
      </c>
      <c r="AM112" s="407"/>
      <c r="AN112" s="407">
        <v>28.484837856846447</v>
      </c>
      <c r="AO112" s="407">
        <v>0</v>
      </c>
      <c r="AP112" s="407">
        <v>0</v>
      </c>
      <c r="AQ112" s="407">
        <v>0</v>
      </c>
      <c r="AR112" s="407">
        <v>0</v>
      </c>
      <c r="AS112" s="407">
        <v>0</v>
      </c>
      <c r="AT112" s="407">
        <v>0</v>
      </c>
      <c r="AU112" s="407">
        <v>0</v>
      </c>
      <c r="AV112" s="407">
        <v>0</v>
      </c>
      <c r="AW112" s="407">
        <v>0</v>
      </c>
      <c r="AX112" s="407">
        <v>0</v>
      </c>
      <c r="AY112" s="407">
        <v>0</v>
      </c>
      <c r="AZ112" s="407">
        <v>0</v>
      </c>
      <c r="BA112" s="407"/>
      <c r="BB112" s="407">
        <v>0</v>
      </c>
      <c r="BC112" s="407">
        <v>0</v>
      </c>
      <c r="BD112" s="407">
        <v>0</v>
      </c>
      <c r="BE112" s="407">
        <v>0</v>
      </c>
      <c r="BF112" s="407">
        <v>0</v>
      </c>
      <c r="BG112" s="407">
        <v>154.755080550191</v>
      </c>
      <c r="BH112" s="407">
        <v>0</v>
      </c>
      <c r="BI112" s="407">
        <v>0</v>
      </c>
      <c r="BJ112" s="407">
        <v>0</v>
      </c>
      <c r="BK112" s="407">
        <v>0</v>
      </c>
      <c r="BL112" s="407">
        <v>0</v>
      </c>
      <c r="BM112" s="407"/>
      <c r="BN112" s="407"/>
      <c r="BO112" s="407"/>
      <c r="BP112" s="407"/>
      <c r="BQ112" s="407"/>
      <c r="BR112" s="407">
        <v>1007.8363400000003</v>
      </c>
      <c r="BS112" s="407"/>
      <c r="BT112" s="407"/>
      <c r="BU112" s="407"/>
      <c r="BV112" s="407">
        <v>2271.8801288710383</v>
      </c>
      <c r="BW112" s="407"/>
      <c r="BX112" s="407"/>
      <c r="BY112" s="407"/>
      <c r="BZ112" s="407"/>
      <c r="CA112" s="407"/>
      <c r="CB112" s="407"/>
      <c r="CC112" s="407"/>
      <c r="CD112" s="407"/>
      <c r="CE112" s="407"/>
      <c r="CF112" s="407"/>
      <c r="CG112" s="407"/>
      <c r="CH112" s="407"/>
      <c r="CI112" s="407">
        <v>7392.232</v>
      </c>
      <c r="CJ112" s="407">
        <v>-2366.4595700000009</v>
      </c>
      <c r="CK112" s="407"/>
      <c r="CL112" s="407"/>
      <c r="CM112" s="407"/>
      <c r="CN112" s="407"/>
      <c r="CO112" s="407">
        <v>-3067.9845000000009</v>
      </c>
      <c r="CP112" s="407">
        <v>377.08069</v>
      </c>
      <c r="CQ112" s="407">
        <v>31</v>
      </c>
      <c r="CR112" s="407">
        <v>236.84590530094283</v>
      </c>
      <c r="CS112" s="407">
        <v>0</v>
      </c>
      <c r="CT112" s="407">
        <v>0</v>
      </c>
      <c r="CU112" s="407">
        <v>0</v>
      </c>
      <c r="CV112" s="407">
        <v>0</v>
      </c>
      <c r="CW112" s="407">
        <v>0</v>
      </c>
      <c r="CX112" s="407">
        <v>0</v>
      </c>
      <c r="CY112" s="407">
        <v>0</v>
      </c>
      <c r="CZ112" s="407">
        <v>72.328386835939455</v>
      </c>
      <c r="DA112" s="407">
        <v>0</v>
      </c>
      <c r="DB112" s="407">
        <v>0</v>
      </c>
      <c r="DC112" s="407">
        <v>419.76872444995843</v>
      </c>
      <c r="DD112" s="407">
        <v>0</v>
      </c>
      <c r="DE112" s="407">
        <v>0</v>
      </c>
      <c r="DF112" s="407">
        <v>0</v>
      </c>
      <c r="DG112" s="407">
        <v>30.6837533362648</v>
      </c>
      <c r="DH112" s="407">
        <v>0</v>
      </c>
      <c r="DI112" s="407">
        <v>-59.582298900826913</v>
      </c>
      <c r="DJ112" s="407"/>
      <c r="DK112" s="407">
        <v>0</v>
      </c>
      <c r="DL112" s="407">
        <v>0</v>
      </c>
      <c r="DM112" s="407">
        <v>0</v>
      </c>
      <c r="DN112" s="407">
        <v>0</v>
      </c>
      <c r="DO112" s="407">
        <v>-8.0199767211071133</v>
      </c>
      <c r="DP112" s="407">
        <v>-1.8149851000583368</v>
      </c>
      <c r="DQ112" s="407">
        <v>0</v>
      </c>
      <c r="DR112" s="407">
        <v>-216.51769859922769</v>
      </c>
      <c r="DS112" s="407"/>
      <c r="DT112" s="407"/>
      <c r="DU112" s="407"/>
      <c r="DV112" s="407">
        <v>5731.6538155342059</v>
      </c>
      <c r="DW112" s="407">
        <v>0</v>
      </c>
      <c r="DX112" s="407">
        <v>0</v>
      </c>
      <c r="DY112" s="407">
        <v>-3067.9845000000014</v>
      </c>
      <c r="DZ112" s="407">
        <v>377.08068999999978</v>
      </c>
      <c r="EA112" s="407">
        <v>0</v>
      </c>
      <c r="EB112" s="407">
        <v>0</v>
      </c>
      <c r="EC112" s="407">
        <v>-2927.7420814478878</v>
      </c>
      <c r="ED112" s="407">
        <v>0</v>
      </c>
      <c r="EE112" s="407">
        <v>0</v>
      </c>
      <c r="EF112" s="407">
        <v>0</v>
      </c>
      <c r="EG112" s="407">
        <v>0</v>
      </c>
      <c r="EH112" s="407">
        <v>0</v>
      </c>
      <c r="EI112" s="407">
        <v>0</v>
      </c>
      <c r="EJ112" s="407">
        <v>0</v>
      </c>
      <c r="EK112" s="407">
        <v>0</v>
      </c>
      <c r="EL112" s="407">
        <v>0</v>
      </c>
      <c r="EM112" s="407">
        <v>0</v>
      </c>
      <c r="EN112" s="407">
        <v>0</v>
      </c>
      <c r="EO112" s="407">
        <v>0</v>
      </c>
      <c r="EP112" s="407">
        <v>402.94509956512923</v>
      </c>
      <c r="EQ112" s="407">
        <v>0</v>
      </c>
      <c r="ER112" s="407">
        <v>0</v>
      </c>
      <c r="ES112" s="407">
        <v>0</v>
      </c>
      <c r="ET112" s="407">
        <v>0</v>
      </c>
      <c r="EU112" s="407">
        <v>0</v>
      </c>
      <c r="EV112" s="407">
        <v>246</v>
      </c>
      <c r="EW112" s="407">
        <v>0</v>
      </c>
      <c r="EX112" s="407">
        <v>0</v>
      </c>
      <c r="EY112" s="407">
        <v>0</v>
      </c>
      <c r="EZ112" s="407"/>
      <c r="FA112" s="407">
        <v>0</v>
      </c>
      <c r="FB112" s="407"/>
      <c r="FC112" s="407"/>
      <c r="FD112" s="407"/>
      <c r="FE112" s="407"/>
      <c r="FF112" s="407">
        <v>0</v>
      </c>
      <c r="FG112" s="407">
        <v>0</v>
      </c>
      <c r="FH112" s="407">
        <v>0</v>
      </c>
      <c r="FI112" s="407">
        <v>0</v>
      </c>
    </row>
    <row r="113" spans="1:165" s="845" customFormat="1">
      <c r="A113" s="407">
        <v>116</v>
      </c>
      <c r="B113" s="407" t="s">
        <v>2309</v>
      </c>
      <c r="C113" s="407" t="s">
        <v>2306</v>
      </c>
      <c r="D113" s="407" t="s">
        <v>2315</v>
      </c>
      <c r="E113" s="407" t="s">
        <v>1026</v>
      </c>
      <c r="F113" s="407" t="s">
        <v>2323</v>
      </c>
      <c r="G113" s="407" t="s">
        <v>2324</v>
      </c>
      <c r="H113" s="407" t="s">
        <v>97</v>
      </c>
      <c r="I113" s="407" t="s">
        <v>97</v>
      </c>
      <c r="J113" s="407" t="s">
        <v>2307</v>
      </c>
      <c r="K113" s="818">
        <v>44409</v>
      </c>
      <c r="L113" s="407">
        <v>0</v>
      </c>
      <c r="M113" s="407">
        <v>0</v>
      </c>
      <c r="N113" s="407">
        <v>0.2</v>
      </c>
      <c r="O113" s="407">
        <v>0.2</v>
      </c>
      <c r="P113" s="407">
        <v>0.2</v>
      </c>
      <c r="Q113" s="407">
        <v>0.2</v>
      </c>
      <c r="R113" s="407"/>
      <c r="S113" s="407">
        <v>648.44000000000005</v>
      </c>
      <c r="T113" s="407">
        <v>159.41</v>
      </c>
      <c r="U113" s="407"/>
      <c r="V113" s="407">
        <v>161.57000000000002</v>
      </c>
      <c r="W113" s="407">
        <v>161.57000000000002</v>
      </c>
      <c r="X113" s="407">
        <v>122.364</v>
      </c>
      <c r="Y113" s="407">
        <v>0</v>
      </c>
      <c r="Z113" s="407">
        <v>12.394050126001341</v>
      </c>
      <c r="AA113" s="407">
        <v>0</v>
      </c>
      <c r="AB113" s="407">
        <v>0</v>
      </c>
      <c r="AC113" s="407">
        <v>0</v>
      </c>
      <c r="AD113" s="407">
        <v>23.328885242383201</v>
      </c>
      <c r="AE113" s="407">
        <v>83.509198157415412</v>
      </c>
      <c r="AF113" s="407">
        <v>30.846143342621801</v>
      </c>
      <c r="AG113" s="407">
        <v>1.0363494476221422</v>
      </c>
      <c r="AH113" s="407">
        <v>0</v>
      </c>
      <c r="AI113" s="407">
        <v>0</v>
      </c>
      <c r="AJ113" s="407">
        <v>0</v>
      </c>
      <c r="AK113" s="407">
        <v>0</v>
      </c>
      <c r="AL113" s="407">
        <v>1.9152110701484262</v>
      </c>
      <c r="AM113" s="407"/>
      <c r="AN113" s="407">
        <v>0.41501912809567199</v>
      </c>
      <c r="AO113" s="407">
        <v>0</v>
      </c>
      <c r="AP113" s="407">
        <v>0</v>
      </c>
      <c r="AQ113" s="407">
        <v>0</v>
      </c>
      <c r="AR113" s="407">
        <v>0</v>
      </c>
      <c r="AS113" s="407">
        <v>0</v>
      </c>
      <c r="AT113" s="407">
        <v>0</v>
      </c>
      <c r="AU113" s="407">
        <v>0</v>
      </c>
      <c r="AV113" s="407">
        <v>0</v>
      </c>
      <c r="AW113" s="407">
        <v>0</v>
      </c>
      <c r="AX113" s="407">
        <v>0</v>
      </c>
      <c r="AY113" s="407">
        <v>0</v>
      </c>
      <c r="AZ113" s="407">
        <v>0</v>
      </c>
      <c r="BA113" s="407"/>
      <c r="BB113" s="407">
        <v>0</v>
      </c>
      <c r="BC113" s="407">
        <v>0</v>
      </c>
      <c r="BD113" s="407">
        <v>0</v>
      </c>
      <c r="BE113" s="407">
        <v>0</v>
      </c>
      <c r="BF113" s="407">
        <v>0</v>
      </c>
      <c r="BG113" s="407">
        <v>2.25475457929906</v>
      </c>
      <c r="BH113" s="407">
        <v>0</v>
      </c>
      <c r="BI113" s="407">
        <v>0</v>
      </c>
      <c r="BJ113" s="407">
        <v>0</v>
      </c>
      <c r="BK113" s="407">
        <v>0</v>
      </c>
      <c r="BL113" s="407">
        <v>0</v>
      </c>
      <c r="BM113" s="407"/>
      <c r="BN113" s="407"/>
      <c r="BO113" s="407"/>
      <c r="BP113" s="407"/>
      <c r="BQ113" s="407"/>
      <c r="BR113" s="407">
        <v>14.684000000000005</v>
      </c>
      <c r="BS113" s="407"/>
      <c r="BT113" s="407"/>
      <c r="BU113" s="407"/>
      <c r="BV113" s="407">
        <v>33.100897921920861</v>
      </c>
      <c r="BW113" s="407"/>
      <c r="BX113" s="407"/>
      <c r="BY113" s="407"/>
      <c r="BZ113" s="407"/>
      <c r="CA113" s="407"/>
      <c r="CB113" s="407"/>
      <c r="CC113" s="407"/>
      <c r="CD113" s="407"/>
      <c r="CE113" s="407"/>
      <c r="CF113" s="407"/>
      <c r="CG113" s="407"/>
      <c r="CH113" s="407"/>
      <c r="CI113" s="407">
        <v>107.68</v>
      </c>
      <c r="CJ113" s="407">
        <v>-34.532000000000011</v>
      </c>
      <c r="CK113" s="407"/>
      <c r="CL113" s="407"/>
      <c r="CM113" s="407"/>
      <c r="CN113" s="407"/>
      <c r="CO113" s="407">
        <v>-44.700000000000017</v>
      </c>
      <c r="CP113" s="407">
        <v>5.4939999999999998</v>
      </c>
      <c r="CQ113" s="407">
        <v>31</v>
      </c>
      <c r="CR113" s="407">
        <v>3.4508036031316607</v>
      </c>
      <c r="CS113" s="407">
        <v>0</v>
      </c>
      <c r="CT113" s="407">
        <v>0</v>
      </c>
      <c r="CU113" s="407">
        <v>0</v>
      </c>
      <c r="CV113" s="407">
        <v>0</v>
      </c>
      <c r="CW113" s="407">
        <v>0</v>
      </c>
      <c r="CX113" s="407">
        <v>0</v>
      </c>
      <c r="CY113" s="407">
        <v>0</v>
      </c>
      <c r="CZ113" s="407">
        <v>1.0538120031461986</v>
      </c>
      <c r="DA113" s="407">
        <v>0</v>
      </c>
      <c r="DB113" s="407">
        <v>0</v>
      </c>
      <c r="DC113" s="407">
        <v>6.1159572295469999</v>
      </c>
      <c r="DD113" s="407">
        <v>0</v>
      </c>
      <c r="DE113" s="407">
        <v>0</v>
      </c>
      <c r="DF113" s="407">
        <v>0</v>
      </c>
      <c r="DG113" s="407">
        <v>0.44705694377890026</v>
      </c>
      <c r="DH113" s="407">
        <v>0</v>
      </c>
      <c r="DI113" s="407">
        <v>-0.86810372114558021</v>
      </c>
      <c r="DJ113" s="407"/>
      <c r="DK113" s="407">
        <v>0</v>
      </c>
      <c r="DL113" s="407">
        <v>0</v>
      </c>
      <c r="DM113" s="407">
        <v>0</v>
      </c>
      <c r="DN113" s="407">
        <v>0</v>
      </c>
      <c r="DO113" s="407">
        <v>-0.1168496644730399</v>
      </c>
      <c r="DP113" s="407">
        <v>-2.6444016901847944E-2</v>
      </c>
      <c r="DQ113" s="407">
        <v>0</v>
      </c>
      <c r="DR113" s="407">
        <v>-3.1546251708199562</v>
      </c>
      <c r="DS113" s="407"/>
      <c r="DT113" s="407"/>
      <c r="DU113" s="407"/>
      <c r="DV113" s="407">
        <v>83.509198157415412</v>
      </c>
      <c r="DW113" s="407">
        <v>0</v>
      </c>
      <c r="DX113" s="407">
        <v>0</v>
      </c>
      <c r="DY113" s="407">
        <v>-44.700000000000017</v>
      </c>
      <c r="DZ113" s="407">
        <v>5.4939999999999962</v>
      </c>
      <c r="EA113" s="407">
        <v>0</v>
      </c>
      <c r="EB113" s="407">
        <v>0</v>
      </c>
      <c r="EC113" s="407">
        <v>-42.656692379221809</v>
      </c>
      <c r="ED113" s="407">
        <v>0</v>
      </c>
      <c r="EE113" s="407">
        <v>0</v>
      </c>
      <c r="EF113" s="407">
        <v>0</v>
      </c>
      <c r="EG113" s="407">
        <v>0</v>
      </c>
      <c r="EH113" s="407">
        <v>0</v>
      </c>
      <c r="EI113" s="407">
        <v>0</v>
      </c>
      <c r="EJ113" s="407">
        <v>0</v>
      </c>
      <c r="EK113" s="407">
        <v>0</v>
      </c>
      <c r="EL113" s="407">
        <v>0</v>
      </c>
      <c r="EM113" s="407">
        <v>0</v>
      </c>
      <c r="EN113" s="407">
        <v>0</v>
      </c>
      <c r="EO113" s="407">
        <v>0</v>
      </c>
      <c r="EP113" s="407">
        <v>5.870839944126601</v>
      </c>
      <c r="EQ113" s="407">
        <v>0</v>
      </c>
      <c r="ER113" s="407">
        <v>0</v>
      </c>
      <c r="ES113" s="407">
        <v>0</v>
      </c>
      <c r="ET113" s="407">
        <v>0</v>
      </c>
      <c r="EU113" s="407">
        <v>0</v>
      </c>
      <c r="EV113" s="407">
        <v>246</v>
      </c>
      <c r="EW113" s="407">
        <v>0</v>
      </c>
      <c r="EX113" s="407">
        <v>0</v>
      </c>
      <c r="EY113" s="407">
        <v>0</v>
      </c>
      <c r="EZ113" s="407"/>
      <c r="FA113" s="407">
        <v>0</v>
      </c>
      <c r="FB113" s="407"/>
      <c r="FC113" s="407"/>
      <c r="FD113" s="407"/>
      <c r="FE113" s="407"/>
      <c r="FF113" s="407">
        <v>0</v>
      </c>
      <c r="FG113" s="407">
        <v>0</v>
      </c>
      <c r="FH113" s="407">
        <v>0</v>
      </c>
      <c r="FI113" s="407">
        <v>0</v>
      </c>
    </row>
    <row r="114" spans="1:165" s="845" customFormat="1">
      <c r="A114" s="407">
        <v>117</v>
      </c>
      <c r="B114" s="407" t="s">
        <v>1090</v>
      </c>
      <c r="C114" s="407" t="s">
        <v>2306</v>
      </c>
      <c r="D114" s="407" t="s">
        <v>2315</v>
      </c>
      <c r="E114" s="407" t="s">
        <v>1026</v>
      </c>
      <c r="F114" s="407" t="s">
        <v>2323</v>
      </c>
      <c r="G114" s="407" t="s">
        <v>2325</v>
      </c>
      <c r="H114" s="407" t="s">
        <v>97</v>
      </c>
      <c r="I114" s="407" t="s">
        <v>97</v>
      </c>
      <c r="J114" s="407" t="s">
        <v>2307</v>
      </c>
      <c r="K114" s="818">
        <v>44409</v>
      </c>
      <c r="L114" s="407">
        <v>0</v>
      </c>
      <c r="M114" s="407">
        <v>0</v>
      </c>
      <c r="N114" s="407">
        <v>5.5839999999999996</v>
      </c>
      <c r="O114" s="407">
        <v>2.2336</v>
      </c>
      <c r="P114" s="407">
        <v>5.5839999999999996</v>
      </c>
      <c r="Q114" s="407">
        <v>2.2336</v>
      </c>
      <c r="R114" s="407"/>
      <c r="S114" s="407">
        <v>648.44000000000005</v>
      </c>
      <c r="T114" s="407">
        <v>159.41</v>
      </c>
      <c r="U114" s="407"/>
      <c r="V114" s="407">
        <v>4511.0344000000005</v>
      </c>
      <c r="W114" s="407">
        <v>4511.0344000000005</v>
      </c>
      <c r="X114" s="407">
        <v>3416.4028799999996</v>
      </c>
      <c r="Y114" s="407">
        <v>0</v>
      </c>
      <c r="Z114" s="407">
        <v>346.0418795179574</v>
      </c>
      <c r="AA114" s="407">
        <v>0</v>
      </c>
      <c r="AB114" s="407">
        <v>0</v>
      </c>
      <c r="AC114" s="407">
        <v>0</v>
      </c>
      <c r="AD114" s="407">
        <v>651.34247596733894</v>
      </c>
      <c r="AE114" s="407">
        <v>2331.576812555038</v>
      </c>
      <c r="AF114" s="407">
        <v>861.22432212600052</v>
      </c>
      <c r="AG114" s="407">
        <v>28.934876577610204</v>
      </c>
      <c r="AH114" s="407">
        <v>0</v>
      </c>
      <c r="AI114" s="407">
        <v>0</v>
      </c>
      <c r="AJ114" s="407">
        <v>0</v>
      </c>
      <c r="AK114" s="407">
        <v>0</v>
      </c>
      <c r="AL114" s="407">
        <v>53.472693078544054</v>
      </c>
      <c r="AM114" s="407"/>
      <c r="AN114" s="407">
        <v>11.58733405643116</v>
      </c>
      <c r="AO114" s="407">
        <v>0</v>
      </c>
      <c r="AP114" s="407">
        <v>0</v>
      </c>
      <c r="AQ114" s="407">
        <v>0</v>
      </c>
      <c r="AR114" s="407">
        <v>0</v>
      </c>
      <c r="AS114" s="407">
        <v>0</v>
      </c>
      <c r="AT114" s="407">
        <v>0</v>
      </c>
      <c r="AU114" s="407">
        <v>0</v>
      </c>
      <c r="AV114" s="407">
        <v>0</v>
      </c>
      <c r="AW114" s="407">
        <v>0</v>
      </c>
      <c r="AX114" s="407">
        <v>0</v>
      </c>
      <c r="AY114" s="407">
        <v>0</v>
      </c>
      <c r="AZ114" s="407">
        <v>0</v>
      </c>
      <c r="BA114" s="407"/>
      <c r="BB114" s="407">
        <v>0</v>
      </c>
      <c r="BC114" s="407">
        <v>0</v>
      </c>
      <c r="BD114" s="407">
        <v>0</v>
      </c>
      <c r="BE114" s="407">
        <v>0</v>
      </c>
      <c r="BF114" s="407">
        <v>0</v>
      </c>
      <c r="BG114" s="407">
        <v>62.952747854029752</v>
      </c>
      <c r="BH114" s="407">
        <v>0</v>
      </c>
      <c r="BI114" s="407">
        <v>0</v>
      </c>
      <c r="BJ114" s="407">
        <v>0</v>
      </c>
      <c r="BK114" s="407">
        <v>0</v>
      </c>
      <c r="BL114" s="407">
        <v>0</v>
      </c>
      <c r="BM114" s="407"/>
      <c r="BN114" s="407"/>
      <c r="BO114" s="407"/>
      <c r="BP114" s="407"/>
      <c r="BQ114" s="407"/>
      <c r="BR114" s="407"/>
      <c r="BS114" s="407">
        <v>2213.8326399999996</v>
      </c>
      <c r="BT114" s="407"/>
      <c r="BU114" s="407"/>
      <c r="BV114" s="407">
        <v>924.1770699800303</v>
      </c>
      <c r="BW114" s="407"/>
      <c r="BX114" s="407"/>
      <c r="BY114" s="407"/>
      <c r="BZ114" s="407"/>
      <c r="CA114" s="407"/>
      <c r="CB114" s="407"/>
      <c r="CC114" s="407"/>
      <c r="CD114" s="407"/>
      <c r="CE114" s="407"/>
      <c r="CF114" s="407"/>
      <c r="CG114" s="407"/>
      <c r="CH114" s="407"/>
      <c r="CI114" s="407">
        <v>1200.6320000000001</v>
      </c>
      <c r="CJ114" s="407">
        <v>-387.28657599999997</v>
      </c>
      <c r="CK114" s="407"/>
      <c r="CL114" s="407"/>
      <c r="CM114" s="407"/>
      <c r="CN114" s="407"/>
      <c r="CO114" s="407">
        <v>-1248.0240000000003</v>
      </c>
      <c r="CP114" s="407">
        <v>153.39247999999998</v>
      </c>
      <c r="CQ114" s="407">
        <v>31</v>
      </c>
      <c r="CR114" s="407">
        <v>96.346436599436402</v>
      </c>
      <c r="CS114" s="407">
        <v>0</v>
      </c>
      <c r="CT114" s="407">
        <v>0</v>
      </c>
      <c r="CU114" s="407">
        <v>0</v>
      </c>
      <c r="CV114" s="407">
        <v>0</v>
      </c>
      <c r="CW114" s="407">
        <v>0</v>
      </c>
      <c r="CX114" s="407">
        <v>0</v>
      </c>
      <c r="CY114" s="407">
        <v>0</v>
      </c>
      <c r="CZ114" s="407">
        <v>29.422431127841833</v>
      </c>
      <c r="DA114" s="407">
        <v>0</v>
      </c>
      <c r="DB114" s="407">
        <v>0</v>
      </c>
      <c r="DC114" s="407">
        <v>170.75752584895235</v>
      </c>
      <c r="DD114" s="407">
        <v>0</v>
      </c>
      <c r="DE114" s="407">
        <v>0</v>
      </c>
      <c r="DF114" s="407">
        <v>0</v>
      </c>
      <c r="DG114" s="407">
        <v>12.481829870306882</v>
      </c>
      <c r="DH114" s="407">
        <v>0</v>
      </c>
      <c r="DI114" s="407">
        <v>-24.237455894384595</v>
      </c>
      <c r="DJ114" s="407"/>
      <c r="DK114" s="407">
        <v>0</v>
      </c>
      <c r="DL114" s="407">
        <v>0</v>
      </c>
      <c r="DM114" s="407">
        <v>0</v>
      </c>
      <c r="DN114" s="407">
        <v>0</v>
      </c>
      <c r="DO114" s="407">
        <v>-3.2624426320872786</v>
      </c>
      <c r="DP114" s="407">
        <v>-0.7383169518995949</v>
      </c>
      <c r="DQ114" s="407">
        <v>0</v>
      </c>
      <c r="DR114" s="407">
        <v>-88.077134769293167</v>
      </c>
      <c r="DS114" s="407"/>
      <c r="DT114" s="407"/>
      <c r="DU114" s="407"/>
      <c r="DV114" s="407">
        <v>2331.576812555038</v>
      </c>
      <c r="DW114" s="407">
        <v>0</v>
      </c>
      <c r="DX114" s="407">
        <v>0</v>
      </c>
      <c r="DY114" s="407">
        <v>-1248.0240000000003</v>
      </c>
      <c r="DZ114" s="407">
        <v>153.39248000000009</v>
      </c>
      <c r="EA114" s="407">
        <v>0</v>
      </c>
      <c r="EB114" s="407">
        <v>0</v>
      </c>
      <c r="EC114" s="407">
        <v>-1190.9748512278727</v>
      </c>
      <c r="ED114" s="407">
        <v>0</v>
      </c>
      <c r="EE114" s="407">
        <v>0</v>
      </c>
      <c r="EF114" s="407">
        <v>0</v>
      </c>
      <c r="EG114" s="407">
        <v>0</v>
      </c>
      <c r="EH114" s="407">
        <v>0</v>
      </c>
      <c r="EI114" s="407">
        <v>0</v>
      </c>
      <c r="EJ114" s="407">
        <v>0</v>
      </c>
      <c r="EK114" s="407">
        <v>0</v>
      </c>
      <c r="EL114" s="407">
        <v>0</v>
      </c>
      <c r="EM114" s="407">
        <v>0</v>
      </c>
      <c r="EN114" s="407">
        <v>0</v>
      </c>
      <c r="EO114" s="407">
        <v>0</v>
      </c>
      <c r="EP114" s="407">
        <v>163.91385124001468</v>
      </c>
      <c r="EQ114" s="407">
        <v>0</v>
      </c>
      <c r="ER114" s="407">
        <v>0</v>
      </c>
      <c r="ES114" s="407">
        <v>0</v>
      </c>
      <c r="ET114" s="407">
        <v>0</v>
      </c>
      <c r="EU114" s="407">
        <v>0</v>
      </c>
      <c r="EV114" s="407">
        <v>246</v>
      </c>
      <c r="EW114" s="407">
        <v>0</v>
      </c>
      <c r="EX114" s="407">
        <v>0</v>
      </c>
      <c r="EY114" s="407">
        <v>0</v>
      </c>
      <c r="EZ114" s="407"/>
      <c r="FA114" s="407">
        <v>0</v>
      </c>
      <c r="FB114" s="407"/>
      <c r="FC114" s="407"/>
      <c r="FD114" s="407"/>
      <c r="FE114" s="407"/>
      <c r="FF114" s="407">
        <v>0</v>
      </c>
      <c r="FG114" s="407">
        <v>0</v>
      </c>
      <c r="FH114" s="407">
        <v>0</v>
      </c>
      <c r="FI114" s="407">
        <v>0</v>
      </c>
    </row>
    <row r="115" spans="1:165" s="845" customFormat="1">
      <c r="A115" s="407">
        <v>119</v>
      </c>
      <c r="B115" s="407" t="s">
        <v>1090</v>
      </c>
      <c r="C115" s="407" t="s">
        <v>2314</v>
      </c>
      <c r="D115" s="407" t="s">
        <v>650</v>
      </c>
      <c r="E115" s="407" t="s">
        <v>1026</v>
      </c>
      <c r="F115" s="407" t="s">
        <v>2323</v>
      </c>
      <c r="G115" s="407" t="s">
        <v>97</v>
      </c>
      <c r="H115" s="407" t="s">
        <v>97</v>
      </c>
      <c r="I115" s="407" t="s">
        <v>1025</v>
      </c>
      <c r="J115" s="407" t="s">
        <v>2307</v>
      </c>
      <c r="K115" s="818">
        <v>44409</v>
      </c>
      <c r="L115" s="407">
        <v>0</v>
      </c>
      <c r="M115" s="407">
        <v>0</v>
      </c>
      <c r="N115" s="407">
        <v>2.2919999999999998</v>
      </c>
      <c r="O115" s="407">
        <v>2.2003199999999996</v>
      </c>
      <c r="P115" s="407">
        <v>2.2919999999999998</v>
      </c>
      <c r="Q115" s="407">
        <v>2.2003199999999996</v>
      </c>
      <c r="R115" s="407"/>
      <c r="S115" s="407">
        <v>2810.7</v>
      </c>
      <c r="T115" s="407">
        <v>159.41</v>
      </c>
      <c r="U115" s="407"/>
      <c r="V115" s="407">
        <v>6807.492119999999</v>
      </c>
      <c r="W115" s="407">
        <v>6807.492119999999</v>
      </c>
      <c r="X115" s="407">
        <v>4335.7534799999994</v>
      </c>
      <c r="Y115" s="407">
        <v>0</v>
      </c>
      <c r="Z115" s="407">
        <v>123.57115856625848</v>
      </c>
      <c r="AA115" s="407">
        <v>0</v>
      </c>
      <c r="AB115" s="407">
        <v>0</v>
      </c>
      <c r="AC115" s="407">
        <v>0</v>
      </c>
      <c r="AD115" s="407">
        <v>1399.3017400422773</v>
      </c>
      <c r="AE115" s="407">
        <v>4824.4053681764108</v>
      </c>
      <c r="AF115" s="407">
        <v>353.49680270644575</v>
      </c>
      <c r="AG115" s="407">
        <v>11.876564669749747</v>
      </c>
      <c r="AH115" s="407">
        <v>0</v>
      </c>
      <c r="AI115" s="407">
        <v>0</v>
      </c>
      <c r="AJ115" s="407">
        <v>0</v>
      </c>
      <c r="AK115" s="407">
        <v>0</v>
      </c>
      <c r="AL115" s="407">
        <v>21.948318863900962</v>
      </c>
      <c r="AM115" s="407"/>
      <c r="AN115" s="407">
        <v>2.4609969156945599</v>
      </c>
      <c r="AO115" s="407">
        <v>0</v>
      </c>
      <c r="AP115" s="407">
        <v>0</v>
      </c>
      <c r="AQ115" s="407">
        <v>0</v>
      </c>
      <c r="AR115" s="407">
        <v>0</v>
      </c>
      <c r="AS115" s="407">
        <v>0</v>
      </c>
      <c r="AT115" s="407">
        <v>0</v>
      </c>
      <c r="AU115" s="407">
        <v>0</v>
      </c>
      <c r="AV115" s="407">
        <v>0</v>
      </c>
      <c r="AW115" s="407">
        <v>0</v>
      </c>
      <c r="AX115" s="407">
        <v>0</v>
      </c>
      <c r="AY115" s="407">
        <v>0</v>
      </c>
      <c r="AZ115" s="407">
        <v>0</v>
      </c>
      <c r="BA115" s="407"/>
      <c r="BB115" s="407">
        <v>0</v>
      </c>
      <c r="BC115" s="407">
        <v>0</v>
      </c>
      <c r="BD115" s="407">
        <v>0</v>
      </c>
      <c r="BE115" s="407">
        <v>0</v>
      </c>
      <c r="BF115" s="407">
        <v>0</v>
      </c>
      <c r="BG115" s="407">
        <v>11.89519203069009</v>
      </c>
      <c r="BH115" s="407">
        <v>0</v>
      </c>
      <c r="BI115" s="407">
        <v>0</v>
      </c>
      <c r="BJ115" s="407">
        <v>0</v>
      </c>
      <c r="BK115" s="407">
        <v>0</v>
      </c>
      <c r="BL115" s="407">
        <v>0</v>
      </c>
      <c r="BM115" s="407"/>
      <c r="BN115" s="407"/>
      <c r="BO115" s="407"/>
      <c r="BP115" s="407"/>
      <c r="BQ115" s="407"/>
      <c r="BR115" s="407">
        <v>173.43013920000038</v>
      </c>
      <c r="BS115" s="407"/>
      <c r="BT115" s="407"/>
      <c r="BU115" s="407"/>
      <c r="BV115" s="407">
        <v>365.39199473713586</v>
      </c>
      <c r="BW115" s="407"/>
      <c r="BX115" s="407"/>
      <c r="BY115" s="407"/>
      <c r="BZ115" s="407"/>
      <c r="CA115" s="407"/>
      <c r="CB115" s="407"/>
      <c r="CC115" s="407"/>
      <c r="CD115" s="407"/>
      <c r="CE115" s="407"/>
      <c r="CF115" s="407"/>
      <c r="CG115" s="407"/>
      <c r="CH115" s="407"/>
      <c r="CI115" s="407">
        <v>4161.7180000000008</v>
      </c>
      <c r="CJ115" s="407">
        <v>-2373.5044351999986</v>
      </c>
      <c r="CK115" s="407"/>
      <c r="CL115" s="407"/>
      <c r="CM115" s="407"/>
      <c r="CN115" s="407"/>
      <c r="CO115" s="407">
        <v>-2534.6998799999997</v>
      </c>
      <c r="CP115" s="407">
        <v>62.961239999999989</v>
      </c>
      <c r="CQ115" s="407">
        <v>31</v>
      </c>
      <c r="CR115" s="407">
        <v>-7.409112312404659</v>
      </c>
      <c r="CS115" s="407">
        <v>0</v>
      </c>
      <c r="CT115" s="407">
        <v>0</v>
      </c>
      <c r="CU115" s="407">
        <v>0</v>
      </c>
      <c r="CV115" s="407">
        <v>0</v>
      </c>
      <c r="CW115" s="407">
        <v>0</v>
      </c>
      <c r="CX115" s="407">
        <v>0</v>
      </c>
      <c r="CY115" s="407">
        <v>0</v>
      </c>
      <c r="CZ115" s="407">
        <v>63.209234147240522</v>
      </c>
      <c r="DA115" s="407">
        <v>0</v>
      </c>
      <c r="DB115" s="407">
        <v>0</v>
      </c>
      <c r="DC115" s="407">
        <v>70.08886985060866</v>
      </c>
      <c r="DD115" s="407">
        <v>0</v>
      </c>
      <c r="DE115" s="407">
        <v>0</v>
      </c>
      <c r="DF115" s="407">
        <v>0</v>
      </c>
      <c r="DG115" s="407">
        <v>2.3584953518784246</v>
      </c>
      <c r="DH115" s="407">
        <v>0</v>
      </c>
      <c r="DI115" s="407">
        <v>-8.6551677205657285</v>
      </c>
      <c r="DJ115" s="407"/>
      <c r="DK115" s="407">
        <v>0</v>
      </c>
      <c r="DL115" s="407">
        <v>0</v>
      </c>
      <c r="DM115" s="407">
        <v>0</v>
      </c>
      <c r="DN115" s="407">
        <v>0</v>
      </c>
      <c r="DO115" s="407">
        <v>-1.3390971548610366</v>
      </c>
      <c r="DP115" s="407">
        <v>-0.15680878212200433</v>
      </c>
      <c r="DQ115" s="407">
        <v>0</v>
      </c>
      <c r="DR115" s="407">
        <v>-132.91463800458371</v>
      </c>
      <c r="DS115" s="407"/>
      <c r="DT115" s="407"/>
      <c r="DU115" s="407"/>
      <c r="DV115" s="407">
        <v>4824.4053681764108</v>
      </c>
      <c r="DW115" s="407">
        <v>0</v>
      </c>
      <c r="DX115" s="407">
        <v>0</v>
      </c>
      <c r="DY115" s="407">
        <v>-2534.6998799999992</v>
      </c>
      <c r="DZ115" s="407">
        <v>62.961239999999975</v>
      </c>
      <c r="EA115" s="407">
        <v>0</v>
      </c>
      <c r="EB115" s="407">
        <v>0</v>
      </c>
      <c r="EC115" s="407">
        <v>-2464.3174673410804</v>
      </c>
      <c r="ED115" s="407">
        <v>0</v>
      </c>
      <c r="EE115" s="407">
        <v>0</v>
      </c>
      <c r="EF115" s="407">
        <v>0</v>
      </c>
      <c r="EG115" s="407">
        <v>0</v>
      </c>
      <c r="EH115" s="407">
        <v>0</v>
      </c>
      <c r="EI115" s="407">
        <v>0</v>
      </c>
      <c r="EJ115" s="407">
        <v>0</v>
      </c>
      <c r="EK115" s="407">
        <v>0</v>
      </c>
      <c r="EL115" s="407">
        <v>0</v>
      </c>
      <c r="EM115" s="407">
        <v>0</v>
      </c>
      <c r="EN115" s="407">
        <v>0</v>
      </c>
      <c r="EO115" s="407">
        <v>0</v>
      </c>
      <c r="EP115" s="407">
        <v>58.533448410930994</v>
      </c>
      <c r="EQ115" s="407">
        <v>0</v>
      </c>
      <c r="ER115" s="407">
        <v>0</v>
      </c>
      <c r="ES115" s="407">
        <v>0</v>
      </c>
      <c r="ET115" s="407">
        <v>0</v>
      </c>
      <c r="EU115" s="407">
        <v>0</v>
      </c>
      <c r="EV115" s="407">
        <v>246</v>
      </c>
      <c r="EW115" s="407">
        <v>0</v>
      </c>
      <c r="EX115" s="407">
        <v>0</v>
      </c>
      <c r="EY115" s="407">
        <v>0</v>
      </c>
      <c r="EZ115" s="407"/>
      <c r="FA115" s="407">
        <v>0</v>
      </c>
      <c r="FB115" s="407"/>
      <c r="FC115" s="407"/>
      <c r="FD115" s="407"/>
      <c r="FE115" s="407"/>
      <c r="FF115" s="407">
        <v>0</v>
      </c>
      <c r="FG115" s="407">
        <v>0</v>
      </c>
      <c r="FH115" s="407">
        <v>0</v>
      </c>
      <c r="FI115" s="407">
        <v>0</v>
      </c>
    </row>
    <row r="116" spans="1:165" s="845" customFormat="1">
      <c r="A116" s="407">
        <v>121</v>
      </c>
      <c r="B116" s="407" t="s">
        <v>1090</v>
      </c>
      <c r="C116" s="407" t="s">
        <v>2314</v>
      </c>
      <c r="D116" s="407" t="s">
        <v>650</v>
      </c>
      <c r="E116" s="407" t="s">
        <v>1026</v>
      </c>
      <c r="F116" s="407" t="s">
        <v>2323</v>
      </c>
      <c r="G116" s="407" t="s">
        <v>97</v>
      </c>
      <c r="H116" s="407" t="s">
        <v>97</v>
      </c>
      <c r="I116" s="407" t="s">
        <v>2290</v>
      </c>
      <c r="J116" s="407" t="s">
        <v>2307</v>
      </c>
      <c r="K116" s="818">
        <v>44409</v>
      </c>
      <c r="L116" s="407">
        <v>0</v>
      </c>
      <c r="M116" s="407">
        <v>0</v>
      </c>
      <c r="N116" s="407">
        <v>56.17</v>
      </c>
      <c r="O116" s="407">
        <v>53.923200000000001</v>
      </c>
      <c r="P116" s="407">
        <v>56.17</v>
      </c>
      <c r="Q116" s="407">
        <v>53.923200000000001</v>
      </c>
      <c r="R116" s="407"/>
      <c r="S116" s="407">
        <v>95.29</v>
      </c>
      <c r="T116" s="407">
        <v>159.41</v>
      </c>
      <c r="U116" s="407"/>
      <c r="V116" s="407">
        <v>14306.499</v>
      </c>
      <c r="W116" s="407">
        <v>14306.499</v>
      </c>
      <c r="X116" s="407">
        <v>15554.0347</v>
      </c>
      <c r="Y116" s="407">
        <v>0</v>
      </c>
      <c r="Z116" s="407">
        <v>3028.3560107621029</v>
      </c>
      <c r="AA116" s="407">
        <v>0</v>
      </c>
      <c r="AB116" s="407">
        <v>0</v>
      </c>
      <c r="AC116" s="407">
        <v>0</v>
      </c>
      <c r="AD116" s="407">
        <v>0</v>
      </c>
      <c r="AE116" s="407">
        <v>0</v>
      </c>
      <c r="AF116" s="407">
        <v>8663.1393577753315</v>
      </c>
      <c r="AG116" s="407">
        <v>291.05874236467861</v>
      </c>
      <c r="AH116" s="407">
        <v>0</v>
      </c>
      <c r="AI116" s="407">
        <v>0</v>
      </c>
      <c r="AJ116" s="407">
        <v>0</v>
      </c>
      <c r="AK116" s="407">
        <v>0</v>
      </c>
      <c r="AL116" s="407">
        <v>537.88702905118555</v>
      </c>
      <c r="AM116" s="407"/>
      <c r="AN116" s="407">
        <v>60.311604168657695</v>
      </c>
      <c r="AO116" s="407">
        <v>0</v>
      </c>
      <c r="AP116" s="407">
        <v>0</v>
      </c>
      <c r="AQ116" s="407">
        <v>0</v>
      </c>
      <c r="AR116" s="407">
        <v>0</v>
      </c>
      <c r="AS116" s="407">
        <v>0</v>
      </c>
      <c r="AT116" s="407">
        <v>0</v>
      </c>
      <c r="AU116" s="407">
        <v>0</v>
      </c>
      <c r="AV116" s="407">
        <v>0</v>
      </c>
      <c r="AW116" s="407">
        <v>0</v>
      </c>
      <c r="AX116" s="407">
        <v>0</v>
      </c>
      <c r="AY116" s="407">
        <v>0</v>
      </c>
      <c r="AZ116" s="407">
        <v>0</v>
      </c>
      <c r="BA116" s="407"/>
      <c r="BB116" s="407">
        <v>0</v>
      </c>
      <c r="BC116" s="407">
        <v>0</v>
      </c>
      <c r="BD116" s="407">
        <v>0</v>
      </c>
      <c r="BE116" s="407">
        <v>0</v>
      </c>
      <c r="BF116" s="407">
        <v>0</v>
      </c>
      <c r="BG116" s="407">
        <v>291.5152427416503</v>
      </c>
      <c r="BH116" s="407">
        <v>0</v>
      </c>
      <c r="BI116" s="407">
        <v>0</v>
      </c>
      <c r="BJ116" s="407">
        <v>0</v>
      </c>
      <c r="BK116" s="407">
        <v>0</v>
      </c>
      <c r="BL116" s="407">
        <v>0</v>
      </c>
      <c r="BM116" s="407"/>
      <c r="BN116" s="407"/>
      <c r="BO116" s="407"/>
      <c r="BP116" s="407"/>
      <c r="BQ116" s="407"/>
      <c r="BR116" s="407">
        <v>622.1613880000001</v>
      </c>
      <c r="BS116" s="407"/>
      <c r="BT116" s="407"/>
      <c r="BU116" s="407"/>
      <c r="BV116" s="407">
        <v>8954.6546005169821</v>
      </c>
      <c r="BW116" s="407"/>
      <c r="BX116" s="407"/>
      <c r="BY116" s="407"/>
      <c r="BZ116" s="407"/>
      <c r="CA116" s="407"/>
      <c r="CB116" s="407"/>
      <c r="CC116" s="407"/>
      <c r="CD116" s="407"/>
      <c r="CE116" s="407"/>
      <c r="CF116" s="407"/>
      <c r="CG116" s="407"/>
      <c r="CH116" s="407"/>
      <c r="CI116" s="407">
        <v>14930.9872</v>
      </c>
      <c r="CJ116" s="407">
        <v>1196.7181599999985</v>
      </c>
      <c r="CK116" s="407"/>
      <c r="CL116" s="407"/>
      <c r="CM116" s="407"/>
      <c r="CN116" s="407"/>
      <c r="CO116" s="407">
        <v>-295.4542000000003</v>
      </c>
      <c r="CP116" s="407">
        <v>1542.9899</v>
      </c>
      <c r="CQ116" s="407">
        <v>31</v>
      </c>
      <c r="CR116" s="407">
        <v>1247.3581584022959</v>
      </c>
      <c r="CS116" s="407">
        <v>0</v>
      </c>
      <c r="CT116" s="407">
        <v>0</v>
      </c>
      <c r="CU116" s="407">
        <v>0</v>
      </c>
      <c r="CV116" s="407">
        <v>0</v>
      </c>
      <c r="CW116" s="407">
        <v>0</v>
      </c>
      <c r="CX116" s="407">
        <v>0</v>
      </c>
      <c r="CY116" s="407">
        <v>0</v>
      </c>
      <c r="CZ116" s="407">
        <v>0</v>
      </c>
      <c r="DA116" s="407">
        <v>0</v>
      </c>
      <c r="DB116" s="407">
        <v>0</v>
      </c>
      <c r="DC116" s="407">
        <v>1717.6665879182765</v>
      </c>
      <c r="DD116" s="407">
        <v>0</v>
      </c>
      <c r="DE116" s="407">
        <v>0</v>
      </c>
      <c r="DF116" s="407">
        <v>0</v>
      </c>
      <c r="DG116" s="407">
        <v>57.799600311959466</v>
      </c>
      <c r="DH116" s="407">
        <v>0</v>
      </c>
      <c r="DI116" s="407">
        <v>-212.11202917285209</v>
      </c>
      <c r="DJ116" s="407"/>
      <c r="DK116" s="407">
        <v>0</v>
      </c>
      <c r="DL116" s="407">
        <v>0</v>
      </c>
      <c r="DM116" s="407">
        <v>0</v>
      </c>
      <c r="DN116" s="407">
        <v>0</v>
      </c>
      <c r="DO116" s="407">
        <v>-32.817228267253313</v>
      </c>
      <c r="DP116" s="407">
        <v>-3.8429098131732005</v>
      </c>
      <c r="DQ116" s="407">
        <v>0</v>
      </c>
      <c r="DR116" s="407">
        <v>-279.33586257466089</v>
      </c>
      <c r="DS116" s="407"/>
      <c r="DT116" s="407"/>
      <c r="DU116" s="407"/>
      <c r="DV116" s="407">
        <v>0</v>
      </c>
      <c r="DW116" s="407">
        <v>0</v>
      </c>
      <c r="DX116" s="407">
        <v>0</v>
      </c>
      <c r="DY116" s="407">
        <v>-295.45420000000104</v>
      </c>
      <c r="DZ116" s="407">
        <v>1542.9899000000005</v>
      </c>
      <c r="EA116" s="407">
        <v>0</v>
      </c>
      <c r="EB116" s="407">
        <v>0</v>
      </c>
      <c r="EC116" s="407">
        <v>0</v>
      </c>
      <c r="ED116" s="407">
        <v>0</v>
      </c>
      <c r="EE116" s="407">
        <v>0</v>
      </c>
      <c r="EF116" s="407">
        <v>0</v>
      </c>
      <c r="EG116" s="407">
        <v>0</v>
      </c>
      <c r="EH116" s="407">
        <v>0</v>
      </c>
      <c r="EI116" s="407">
        <v>0</v>
      </c>
      <c r="EJ116" s="407">
        <v>0</v>
      </c>
      <c r="EK116" s="407">
        <v>0</v>
      </c>
      <c r="EL116" s="407">
        <v>0</v>
      </c>
      <c r="EM116" s="407">
        <v>0</v>
      </c>
      <c r="EN116" s="407">
        <v>0</v>
      </c>
      <c r="EO116" s="407">
        <v>0</v>
      </c>
      <c r="EP116" s="407">
        <v>1434.4780965279208</v>
      </c>
      <c r="EQ116" s="407">
        <v>0</v>
      </c>
      <c r="ER116" s="407">
        <v>0</v>
      </c>
      <c r="ES116" s="407">
        <v>0</v>
      </c>
      <c r="ET116" s="407">
        <v>0</v>
      </c>
      <c r="EU116" s="407">
        <v>0</v>
      </c>
      <c r="EV116" s="407">
        <v>246</v>
      </c>
      <c r="EW116" s="407">
        <v>0</v>
      </c>
      <c r="EX116" s="407">
        <v>0</v>
      </c>
      <c r="EY116" s="407">
        <v>0</v>
      </c>
      <c r="EZ116" s="407"/>
      <c r="FA116" s="407">
        <v>0</v>
      </c>
      <c r="FB116" s="407"/>
      <c r="FC116" s="407"/>
      <c r="FD116" s="407"/>
      <c r="FE116" s="407"/>
      <c r="FF116" s="407">
        <v>0</v>
      </c>
      <c r="FG116" s="407">
        <v>0</v>
      </c>
      <c r="FH116" s="407">
        <v>0</v>
      </c>
      <c r="FI116" s="407">
        <v>0</v>
      </c>
    </row>
    <row r="117" spans="1:165" s="845" customFormat="1">
      <c r="A117" s="407">
        <v>123</v>
      </c>
      <c r="B117" s="407" t="s">
        <v>1090</v>
      </c>
      <c r="C117" s="407" t="s">
        <v>2314</v>
      </c>
      <c r="D117" s="407" t="s">
        <v>650</v>
      </c>
      <c r="E117" s="407" t="s">
        <v>1026</v>
      </c>
      <c r="F117" s="407" t="s">
        <v>2323</v>
      </c>
      <c r="G117" s="407" t="s">
        <v>97</v>
      </c>
      <c r="H117" s="407" t="s">
        <v>97</v>
      </c>
      <c r="I117" s="407" t="s">
        <v>97</v>
      </c>
      <c r="J117" s="407" t="s">
        <v>2307</v>
      </c>
      <c r="K117" s="818">
        <v>44409</v>
      </c>
      <c r="L117" s="407">
        <v>3108</v>
      </c>
      <c r="M117" s="407">
        <v>2983.68</v>
      </c>
      <c r="N117" s="407">
        <v>0</v>
      </c>
      <c r="O117" s="407">
        <v>0</v>
      </c>
      <c r="P117" s="407">
        <v>0</v>
      </c>
      <c r="Q117" s="407">
        <v>0</v>
      </c>
      <c r="R117" s="407">
        <v>43.29</v>
      </c>
      <c r="S117" s="407"/>
      <c r="T117" s="407"/>
      <c r="U117" s="407">
        <v>134545.32</v>
      </c>
      <c r="V117" s="407"/>
      <c r="W117" s="407">
        <v>134545.32</v>
      </c>
      <c r="X117" s="407">
        <v>104086.92000000001</v>
      </c>
      <c r="Y117" s="407">
        <v>0</v>
      </c>
      <c r="Z117" s="407">
        <v>0</v>
      </c>
      <c r="AA117" s="407">
        <v>0</v>
      </c>
      <c r="AB117" s="407">
        <v>0</v>
      </c>
      <c r="AC117" s="407">
        <v>0</v>
      </c>
      <c r="AD117" s="407">
        <v>73547.672088425301</v>
      </c>
      <c r="AE117" s="407">
        <v>61007.513520386929</v>
      </c>
      <c r="AF117" s="407"/>
      <c r="AG117" s="407"/>
      <c r="AH117" s="407"/>
      <c r="AI117" s="407">
        <v>0</v>
      </c>
      <c r="AJ117" s="407">
        <v>0</v>
      </c>
      <c r="AK117" s="407">
        <v>0</v>
      </c>
      <c r="AL117" s="407">
        <v>0</v>
      </c>
      <c r="AM117" s="407"/>
      <c r="AN117" s="407">
        <v>0</v>
      </c>
      <c r="AO117" s="407">
        <v>0</v>
      </c>
      <c r="AP117" s="407">
        <v>0</v>
      </c>
      <c r="AQ117" s="407">
        <v>0</v>
      </c>
      <c r="AR117" s="407">
        <v>0</v>
      </c>
      <c r="AS117" s="407"/>
      <c r="AT117" s="407"/>
      <c r="AU117" s="407">
        <v>0</v>
      </c>
      <c r="AV117" s="407">
        <v>0</v>
      </c>
      <c r="AW117" s="407">
        <v>0</v>
      </c>
      <c r="AX117" s="407"/>
      <c r="AY117" s="407"/>
      <c r="AZ117" s="407">
        <v>0</v>
      </c>
      <c r="BA117" s="407"/>
      <c r="BB117" s="407">
        <v>0</v>
      </c>
      <c r="BC117" s="407">
        <v>0</v>
      </c>
      <c r="BD117" s="407">
        <v>0</v>
      </c>
      <c r="BE117" s="407">
        <v>0</v>
      </c>
      <c r="BF117" s="407"/>
      <c r="BG117" s="407">
        <v>0</v>
      </c>
      <c r="BH117" s="407">
        <v>0</v>
      </c>
      <c r="BI117" s="407">
        <v>390.77</v>
      </c>
      <c r="BJ117" s="407">
        <v>2607.0500000000002</v>
      </c>
      <c r="BK117" s="407">
        <v>238.89</v>
      </c>
      <c r="BL117" s="407">
        <v>43</v>
      </c>
      <c r="BM117" s="407"/>
      <c r="BN117" s="407"/>
      <c r="BO117" s="407"/>
      <c r="BP117" s="407"/>
      <c r="BQ117" s="407"/>
      <c r="BR117" s="407">
        <v>4163.4768000000058</v>
      </c>
      <c r="BS117" s="407"/>
      <c r="BT117" s="407"/>
      <c r="BU117" s="407"/>
      <c r="BV117" s="407">
        <v>0</v>
      </c>
      <c r="BW117" s="407"/>
      <c r="BX117" s="407"/>
      <c r="BY117" s="407"/>
      <c r="BZ117" s="407"/>
      <c r="CA117" s="407"/>
      <c r="CB117" s="407"/>
      <c r="CC117" s="407"/>
      <c r="CD117" s="407"/>
      <c r="CE117" s="407"/>
      <c r="CF117" s="407"/>
      <c r="CG117" s="407"/>
      <c r="CH117" s="407"/>
      <c r="CI117" s="407">
        <v>99923.443199999994</v>
      </c>
      <c r="CJ117" s="407">
        <v>-29240.093999999983</v>
      </c>
      <c r="CK117" s="407"/>
      <c r="CL117" s="407"/>
      <c r="CM117" s="407"/>
      <c r="CN117" s="407"/>
      <c r="CO117" s="407">
        <v>-30458.399999999991</v>
      </c>
      <c r="CP117" s="407">
        <v>0</v>
      </c>
      <c r="CQ117" s="407">
        <v>31</v>
      </c>
      <c r="CR117" s="407">
        <v>695.13573132717283</v>
      </c>
      <c r="CS117" s="407">
        <v>0</v>
      </c>
      <c r="CT117" s="407">
        <v>0</v>
      </c>
      <c r="CU117" s="407">
        <v>0</v>
      </c>
      <c r="CV117" s="407">
        <v>0</v>
      </c>
      <c r="CW117" s="407"/>
      <c r="CX117" s="407"/>
      <c r="CY117" s="407"/>
      <c r="CZ117" s="407">
        <v>3322.2941792962811</v>
      </c>
      <c r="DA117" s="407">
        <v>0</v>
      </c>
      <c r="DB117" s="407">
        <v>0</v>
      </c>
      <c r="DC117" s="407"/>
      <c r="DD117" s="407"/>
      <c r="DE117" s="407">
        <v>0</v>
      </c>
      <c r="DF117" s="407">
        <v>0</v>
      </c>
      <c r="DG117" s="407">
        <v>0</v>
      </c>
      <c r="DH117" s="407">
        <v>0</v>
      </c>
      <c r="DI117" s="407">
        <v>0</v>
      </c>
      <c r="DJ117" s="407"/>
      <c r="DK117" s="407">
        <v>0</v>
      </c>
      <c r="DL117" s="407">
        <v>0</v>
      </c>
      <c r="DM117" s="407"/>
      <c r="DN117" s="407">
        <v>0</v>
      </c>
      <c r="DO117" s="407">
        <v>0</v>
      </c>
      <c r="DP117" s="407">
        <v>0</v>
      </c>
      <c r="DQ117" s="407">
        <v>0</v>
      </c>
      <c r="DR117" s="407">
        <v>-2627.1584479691128</v>
      </c>
      <c r="DS117" s="407"/>
      <c r="DT117" s="407"/>
      <c r="DU117" s="407">
        <v>61007.513520386929</v>
      </c>
      <c r="DV117" s="407"/>
      <c r="DW117" s="407">
        <v>0</v>
      </c>
      <c r="DX117" s="407">
        <v>0</v>
      </c>
      <c r="DY117" s="407">
        <v>-30458.399999999994</v>
      </c>
      <c r="DZ117" s="407"/>
      <c r="EA117" s="407">
        <v>0</v>
      </c>
      <c r="EB117" s="407"/>
      <c r="EC117" s="407">
        <v>-31162.779603689432</v>
      </c>
      <c r="ED117" s="407"/>
      <c r="EE117" s="407">
        <v>0</v>
      </c>
      <c r="EF117" s="407">
        <v>0</v>
      </c>
      <c r="EG117" s="407"/>
      <c r="EH117" s="407">
        <v>0</v>
      </c>
      <c r="EI117" s="407">
        <v>0</v>
      </c>
      <c r="EJ117" s="407">
        <v>0</v>
      </c>
      <c r="EK117" s="407">
        <v>0</v>
      </c>
      <c r="EL117" s="407">
        <v>0</v>
      </c>
      <c r="EM117" s="407"/>
      <c r="EN117" s="407"/>
      <c r="EO117" s="407">
        <v>0</v>
      </c>
      <c r="EP117" s="407">
        <v>0</v>
      </c>
      <c r="EQ117" s="407"/>
      <c r="ER117" s="407">
        <v>0</v>
      </c>
      <c r="ES117" s="407"/>
      <c r="ET117" s="407">
        <v>0</v>
      </c>
      <c r="EU117" s="407"/>
      <c r="EV117" s="407">
        <v>246</v>
      </c>
      <c r="EW117" s="407"/>
      <c r="EX117" s="407"/>
      <c r="EY117" s="407"/>
      <c r="EZ117" s="407"/>
      <c r="FA117" s="407">
        <v>0</v>
      </c>
      <c r="FB117" s="407"/>
      <c r="FC117" s="407"/>
      <c r="FD117" s="407"/>
      <c r="FE117" s="407"/>
      <c r="FF117" s="407">
        <v>0</v>
      </c>
      <c r="FG117" s="407">
        <v>0</v>
      </c>
      <c r="FH117" s="407">
        <v>0</v>
      </c>
      <c r="FI117" s="407">
        <v>0</v>
      </c>
    </row>
    <row r="118" spans="1:165" s="845" customFormat="1">
      <c r="A118" s="407">
        <v>124</v>
      </c>
      <c r="B118" s="407" t="s">
        <v>2309</v>
      </c>
      <c r="C118" s="407" t="s">
        <v>2314</v>
      </c>
      <c r="D118" s="407" t="s">
        <v>650</v>
      </c>
      <c r="E118" s="407" t="s">
        <v>1026</v>
      </c>
      <c r="F118" s="407" t="s">
        <v>2323</v>
      </c>
      <c r="G118" s="407" t="s">
        <v>97</v>
      </c>
      <c r="H118" s="407" t="s">
        <v>97</v>
      </c>
      <c r="I118" s="407" t="s">
        <v>97</v>
      </c>
      <c r="J118" s="407" t="s">
        <v>2307</v>
      </c>
      <c r="K118" s="818">
        <v>44409</v>
      </c>
      <c r="L118" s="407">
        <v>315</v>
      </c>
      <c r="M118" s="407">
        <v>302.39999999999998</v>
      </c>
      <c r="N118" s="407">
        <v>0</v>
      </c>
      <c r="O118" s="407">
        <v>0</v>
      </c>
      <c r="P118" s="407">
        <v>0</v>
      </c>
      <c r="Q118" s="407">
        <v>0</v>
      </c>
      <c r="R118" s="407">
        <v>43.29</v>
      </c>
      <c r="S118" s="407"/>
      <c r="T118" s="407"/>
      <c r="U118" s="407">
        <v>13636.35</v>
      </c>
      <c r="V118" s="407"/>
      <c r="W118" s="407">
        <v>13636.35</v>
      </c>
      <c r="X118" s="407">
        <v>10549.35</v>
      </c>
      <c r="Y118" s="407">
        <v>0</v>
      </c>
      <c r="Z118" s="407">
        <v>0</v>
      </c>
      <c r="AA118" s="407">
        <v>0</v>
      </c>
      <c r="AB118" s="407">
        <v>0</v>
      </c>
      <c r="AC118" s="407">
        <v>0</v>
      </c>
      <c r="AD118" s="407">
        <v>7454.1559549079702</v>
      </c>
      <c r="AE118" s="407">
        <v>6183.1939378770539</v>
      </c>
      <c r="AF118" s="407"/>
      <c r="AG118" s="407"/>
      <c r="AH118" s="407"/>
      <c r="AI118" s="407">
        <v>0</v>
      </c>
      <c r="AJ118" s="407">
        <v>0</v>
      </c>
      <c r="AK118" s="407">
        <v>0</v>
      </c>
      <c r="AL118" s="407">
        <v>0</v>
      </c>
      <c r="AM118" s="407"/>
      <c r="AN118" s="407">
        <v>0</v>
      </c>
      <c r="AO118" s="407">
        <v>0</v>
      </c>
      <c r="AP118" s="407">
        <v>0</v>
      </c>
      <c r="AQ118" s="407">
        <v>0</v>
      </c>
      <c r="AR118" s="407">
        <v>0</v>
      </c>
      <c r="AS118" s="407"/>
      <c r="AT118" s="407"/>
      <c r="AU118" s="407">
        <v>0</v>
      </c>
      <c r="AV118" s="407">
        <v>0</v>
      </c>
      <c r="AW118" s="407">
        <v>0</v>
      </c>
      <c r="AX118" s="407"/>
      <c r="AY118" s="407"/>
      <c r="AZ118" s="407">
        <v>0</v>
      </c>
      <c r="BA118" s="407"/>
      <c r="BB118" s="407">
        <v>0</v>
      </c>
      <c r="BC118" s="407">
        <v>0</v>
      </c>
      <c r="BD118" s="407">
        <v>0</v>
      </c>
      <c r="BE118" s="407">
        <v>0</v>
      </c>
      <c r="BF118" s="407"/>
      <c r="BG118" s="407">
        <v>0</v>
      </c>
      <c r="BH118" s="407">
        <v>0</v>
      </c>
      <c r="BI118" s="407">
        <v>53.82</v>
      </c>
      <c r="BJ118" s="407">
        <v>359</v>
      </c>
      <c r="BK118" s="407">
        <v>6.91</v>
      </c>
      <c r="BL118" s="407">
        <v>4</v>
      </c>
      <c r="BM118" s="407"/>
      <c r="BN118" s="407"/>
      <c r="BO118" s="407"/>
      <c r="BP118" s="407"/>
      <c r="BQ118" s="407"/>
      <c r="BR118" s="407">
        <v>421.97400000000079</v>
      </c>
      <c r="BS118" s="407"/>
      <c r="BT118" s="407"/>
      <c r="BU118" s="407"/>
      <c r="BV118" s="407">
        <v>0</v>
      </c>
      <c r="BW118" s="407"/>
      <c r="BX118" s="407"/>
      <c r="BY118" s="407"/>
      <c r="BZ118" s="407"/>
      <c r="CA118" s="407"/>
      <c r="CB118" s="407"/>
      <c r="CC118" s="407"/>
      <c r="CD118" s="407"/>
      <c r="CE118" s="407"/>
      <c r="CF118" s="407"/>
      <c r="CG118" s="407"/>
      <c r="CH118" s="407"/>
      <c r="CI118" s="407">
        <v>10127.376</v>
      </c>
      <c r="CJ118" s="407">
        <v>-2963.5499999999993</v>
      </c>
      <c r="CK118" s="407"/>
      <c r="CL118" s="407"/>
      <c r="CM118" s="407"/>
      <c r="CN118" s="407"/>
      <c r="CO118" s="407">
        <v>-3086.9999999999991</v>
      </c>
      <c r="CP118" s="407">
        <v>0</v>
      </c>
      <c r="CQ118" s="407">
        <v>31</v>
      </c>
      <c r="CR118" s="407">
        <v>70.452945742618795</v>
      </c>
      <c r="CS118" s="407">
        <v>0</v>
      </c>
      <c r="CT118" s="407">
        <v>0</v>
      </c>
      <c r="CU118" s="407">
        <v>0</v>
      </c>
      <c r="CV118" s="407">
        <v>0</v>
      </c>
      <c r="CW118" s="407"/>
      <c r="CX118" s="407"/>
      <c r="CY118" s="407"/>
      <c r="CZ118" s="407">
        <v>336.71900465840736</v>
      </c>
      <c r="DA118" s="407">
        <v>0</v>
      </c>
      <c r="DB118" s="407">
        <v>0</v>
      </c>
      <c r="DC118" s="407"/>
      <c r="DD118" s="407"/>
      <c r="DE118" s="407">
        <v>0</v>
      </c>
      <c r="DF118" s="407">
        <v>0</v>
      </c>
      <c r="DG118" s="407">
        <v>0</v>
      </c>
      <c r="DH118" s="407">
        <v>0</v>
      </c>
      <c r="DI118" s="407">
        <v>0</v>
      </c>
      <c r="DJ118" s="407"/>
      <c r="DK118" s="407">
        <v>0</v>
      </c>
      <c r="DL118" s="407">
        <v>0</v>
      </c>
      <c r="DM118" s="407"/>
      <c r="DN118" s="407">
        <v>0</v>
      </c>
      <c r="DO118" s="407">
        <v>0</v>
      </c>
      <c r="DP118" s="407">
        <v>0</v>
      </c>
      <c r="DQ118" s="407">
        <v>0</v>
      </c>
      <c r="DR118" s="407">
        <v>-266.26605891578845</v>
      </c>
      <c r="DS118" s="407"/>
      <c r="DT118" s="407"/>
      <c r="DU118" s="407">
        <v>6183.1939378770539</v>
      </c>
      <c r="DV118" s="407"/>
      <c r="DW118" s="407">
        <v>0</v>
      </c>
      <c r="DX118" s="407">
        <v>0</v>
      </c>
      <c r="DY118" s="407">
        <v>-3087</v>
      </c>
      <c r="DZ118" s="407"/>
      <c r="EA118" s="407">
        <v>0</v>
      </c>
      <c r="EB118" s="407"/>
      <c r="EC118" s="407">
        <v>-3158.389824698254</v>
      </c>
      <c r="ED118" s="407"/>
      <c r="EE118" s="407">
        <v>0</v>
      </c>
      <c r="EF118" s="407">
        <v>0</v>
      </c>
      <c r="EG118" s="407"/>
      <c r="EH118" s="407">
        <v>0</v>
      </c>
      <c r="EI118" s="407">
        <v>0</v>
      </c>
      <c r="EJ118" s="407">
        <v>0</v>
      </c>
      <c r="EK118" s="407">
        <v>0</v>
      </c>
      <c r="EL118" s="407">
        <v>0</v>
      </c>
      <c r="EM118" s="407"/>
      <c r="EN118" s="407"/>
      <c r="EO118" s="407">
        <v>0</v>
      </c>
      <c r="EP118" s="407">
        <v>0</v>
      </c>
      <c r="EQ118" s="407"/>
      <c r="ER118" s="407">
        <v>0</v>
      </c>
      <c r="ES118" s="407"/>
      <c r="ET118" s="407">
        <v>0</v>
      </c>
      <c r="EU118" s="407"/>
      <c r="EV118" s="407">
        <v>246</v>
      </c>
      <c r="EW118" s="407"/>
      <c r="EX118" s="407"/>
      <c r="EY118" s="407"/>
      <c r="EZ118" s="407"/>
      <c r="FA118" s="407">
        <v>0</v>
      </c>
      <c r="FB118" s="407"/>
      <c r="FC118" s="407"/>
      <c r="FD118" s="407"/>
      <c r="FE118" s="407"/>
      <c r="FF118" s="407">
        <v>0</v>
      </c>
      <c r="FG118" s="407">
        <v>0</v>
      </c>
      <c r="FH118" s="407">
        <v>0</v>
      </c>
      <c r="FI118" s="407">
        <v>0</v>
      </c>
    </row>
    <row r="119" spans="1:165" s="845" customFormat="1">
      <c r="A119" s="407">
        <v>125</v>
      </c>
      <c r="B119" s="407" t="s">
        <v>1090</v>
      </c>
      <c r="C119" s="407" t="s">
        <v>2314</v>
      </c>
      <c r="D119" s="407" t="s">
        <v>650</v>
      </c>
      <c r="E119" s="407" t="s">
        <v>1026</v>
      </c>
      <c r="F119" s="407" t="s">
        <v>2323</v>
      </c>
      <c r="G119" s="407" t="s">
        <v>2325</v>
      </c>
      <c r="H119" s="407" t="s">
        <v>97</v>
      </c>
      <c r="I119" s="407" t="s">
        <v>2290</v>
      </c>
      <c r="J119" s="407" t="s">
        <v>2307</v>
      </c>
      <c r="K119" s="818">
        <v>44409</v>
      </c>
      <c r="L119" s="407">
        <v>0</v>
      </c>
      <c r="M119" s="407">
        <v>0</v>
      </c>
      <c r="N119" s="407">
        <v>31.413</v>
      </c>
      <c r="O119" s="407">
        <v>9.4238999999999997</v>
      </c>
      <c r="P119" s="407">
        <v>31.413</v>
      </c>
      <c r="Q119" s="407">
        <v>9.4238999999999997</v>
      </c>
      <c r="R119" s="407"/>
      <c r="S119" s="407">
        <v>95.29</v>
      </c>
      <c r="T119" s="407">
        <v>159.41</v>
      </c>
      <c r="U119" s="407"/>
      <c r="V119" s="407">
        <v>8000.8911000000007</v>
      </c>
      <c r="W119" s="407">
        <v>8000.8911000000007</v>
      </c>
      <c r="X119" s="407">
        <v>8698.5738300000012</v>
      </c>
      <c r="Y119" s="407">
        <v>0</v>
      </c>
      <c r="Z119" s="407">
        <v>1693.6041902451475</v>
      </c>
      <c r="AA119" s="407">
        <v>0</v>
      </c>
      <c r="AB119" s="407">
        <v>0</v>
      </c>
      <c r="AC119" s="407">
        <v>0</v>
      </c>
      <c r="AD119" s="407">
        <v>0</v>
      </c>
      <c r="AE119" s="407">
        <v>0</v>
      </c>
      <c r="AF119" s="407">
        <v>4844.8495041088927</v>
      </c>
      <c r="AG119" s="407">
        <v>162.77422599077175</v>
      </c>
      <c r="AH119" s="407">
        <v>0</v>
      </c>
      <c r="AI119" s="407">
        <v>0</v>
      </c>
      <c r="AJ119" s="407">
        <v>0</v>
      </c>
      <c r="AK119" s="407">
        <v>0</v>
      </c>
      <c r="AL119" s="407">
        <v>300.81262673286255</v>
      </c>
      <c r="AM119" s="407"/>
      <c r="AN119" s="407">
        <v>33.729186785651486</v>
      </c>
      <c r="AO119" s="407">
        <v>0</v>
      </c>
      <c r="AP119" s="407">
        <v>0</v>
      </c>
      <c r="AQ119" s="407">
        <v>0</v>
      </c>
      <c r="AR119" s="407">
        <v>0</v>
      </c>
      <c r="AS119" s="407">
        <v>0</v>
      </c>
      <c r="AT119" s="407">
        <v>0</v>
      </c>
      <c r="AU119" s="407">
        <v>0</v>
      </c>
      <c r="AV119" s="407">
        <v>0</v>
      </c>
      <c r="AW119" s="407">
        <v>0</v>
      </c>
      <c r="AX119" s="407">
        <v>0</v>
      </c>
      <c r="AY119" s="407">
        <v>0</v>
      </c>
      <c r="AZ119" s="407">
        <v>0</v>
      </c>
      <c r="BA119" s="407"/>
      <c r="BB119" s="407">
        <v>0</v>
      </c>
      <c r="BC119" s="407">
        <v>0</v>
      </c>
      <c r="BD119" s="407">
        <v>0</v>
      </c>
      <c r="BE119" s="407">
        <v>0</v>
      </c>
      <c r="BF119" s="407">
        <v>0</v>
      </c>
      <c r="BG119" s="407">
        <v>163.02952323737691</v>
      </c>
      <c r="BH119" s="407">
        <v>0</v>
      </c>
      <c r="BI119" s="407">
        <v>0</v>
      </c>
      <c r="BJ119" s="407">
        <v>0</v>
      </c>
      <c r="BK119" s="407">
        <v>0</v>
      </c>
      <c r="BL119" s="407">
        <v>0</v>
      </c>
      <c r="BM119" s="407"/>
      <c r="BN119" s="407"/>
      <c r="BO119" s="407"/>
      <c r="BP119" s="407"/>
      <c r="BQ119" s="407"/>
      <c r="BR119" s="407"/>
      <c r="BS119" s="407">
        <v>6089.0016810000006</v>
      </c>
      <c r="BT119" s="407"/>
      <c r="BU119" s="407"/>
      <c r="BV119" s="407">
        <v>5007.8790273462691</v>
      </c>
      <c r="BW119" s="407"/>
      <c r="BX119" s="407"/>
      <c r="BY119" s="407"/>
      <c r="BZ119" s="407"/>
      <c r="CA119" s="407"/>
      <c r="CB119" s="407"/>
      <c r="CC119" s="407"/>
      <c r="CD119" s="407"/>
      <c r="CE119" s="407"/>
      <c r="CF119" s="407"/>
      <c r="CG119" s="407"/>
      <c r="CH119" s="407"/>
      <c r="CI119" s="407">
        <v>2608.4921999999997</v>
      </c>
      <c r="CJ119" s="407">
        <v>208.19486999999981</v>
      </c>
      <c r="CK119" s="407"/>
      <c r="CL119" s="407"/>
      <c r="CM119" s="407"/>
      <c r="CN119" s="407"/>
      <c r="CO119" s="407">
        <v>-165.23238000000015</v>
      </c>
      <c r="CP119" s="407">
        <v>862.91511000000003</v>
      </c>
      <c r="CQ119" s="407">
        <v>31</v>
      </c>
      <c r="CR119" s="407">
        <v>697.58344009064149</v>
      </c>
      <c r="CS119" s="407">
        <v>0</v>
      </c>
      <c r="CT119" s="407">
        <v>0</v>
      </c>
      <c r="CU119" s="407">
        <v>0</v>
      </c>
      <c r="CV119" s="407">
        <v>0</v>
      </c>
      <c r="CW119" s="407">
        <v>0</v>
      </c>
      <c r="CX119" s="407">
        <v>0</v>
      </c>
      <c r="CY119" s="407">
        <v>0</v>
      </c>
      <c r="CZ119" s="407">
        <v>0</v>
      </c>
      <c r="DA119" s="407">
        <v>0</v>
      </c>
      <c r="DB119" s="407">
        <v>0</v>
      </c>
      <c r="DC119" s="407">
        <v>960.60282225880019</v>
      </c>
      <c r="DD119" s="407">
        <v>0</v>
      </c>
      <c r="DE119" s="407">
        <v>0</v>
      </c>
      <c r="DF119" s="407">
        <v>0</v>
      </c>
      <c r="DG119" s="407">
        <v>32.324351871098116</v>
      </c>
      <c r="DH119" s="407">
        <v>0</v>
      </c>
      <c r="DI119" s="407">
        <v>-118.62337853670647</v>
      </c>
      <c r="DJ119" s="407"/>
      <c r="DK119" s="407">
        <v>0</v>
      </c>
      <c r="DL119" s="407">
        <v>0</v>
      </c>
      <c r="DM119" s="407">
        <v>0</v>
      </c>
      <c r="DN119" s="407">
        <v>0</v>
      </c>
      <c r="DO119" s="407">
        <v>-18.352992550458055</v>
      </c>
      <c r="DP119" s="407">
        <v>-2.1491423528789291</v>
      </c>
      <c r="DQ119" s="407">
        <v>0</v>
      </c>
      <c r="DR119" s="407">
        <v>-156.21822059921351</v>
      </c>
      <c r="DS119" s="407"/>
      <c r="DT119" s="407"/>
      <c r="DU119" s="407"/>
      <c r="DV119" s="407">
        <v>0</v>
      </c>
      <c r="DW119" s="407">
        <v>0</v>
      </c>
      <c r="DX119" s="407">
        <v>0</v>
      </c>
      <c r="DY119" s="407">
        <v>-165.23237999999992</v>
      </c>
      <c r="DZ119" s="407">
        <v>862.91510999999991</v>
      </c>
      <c r="EA119" s="407">
        <v>0</v>
      </c>
      <c r="EB119" s="407">
        <v>0</v>
      </c>
      <c r="EC119" s="407">
        <v>0</v>
      </c>
      <c r="ED119" s="407">
        <v>0</v>
      </c>
      <c r="EE119" s="407">
        <v>0</v>
      </c>
      <c r="EF119" s="407">
        <v>0</v>
      </c>
      <c r="EG119" s="407">
        <v>0</v>
      </c>
      <c r="EH119" s="407">
        <v>0</v>
      </c>
      <c r="EI119" s="407">
        <v>0</v>
      </c>
      <c r="EJ119" s="407">
        <v>0</v>
      </c>
      <c r="EK119" s="407">
        <v>0</v>
      </c>
      <c r="EL119" s="407">
        <v>0</v>
      </c>
      <c r="EM119" s="407">
        <v>0</v>
      </c>
      <c r="EN119" s="407">
        <v>0</v>
      </c>
      <c r="EO119" s="407">
        <v>0</v>
      </c>
      <c r="EP119" s="407">
        <v>802.23002396709228</v>
      </c>
      <c r="EQ119" s="407">
        <v>0</v>
      </c>
      <c r="ER119" s="407">
        <v>0</v>
      </c>
      <c r="ES119" s="407">
        <v>0</v>
      </c>
      <c r="ET119" s="407">
        <v>0</v>
      </c>
      <c r="EU119" s="407">
        <v>0</v>
      </c>
      <c r="EV119" s="407">
        <v>246</v>
      </c>
      <c r="EW119" s="407">
        <v>0</v>
      </c>
      <c r="EX119" s="407">
        <v>0</v>
      </c>
      <c r="EY119" s="407">
        <v>0</v>
      </c>
      <c r="EZ119" s="407"/>
      <c r="FA119" s="407">
        <v>0</v>
      </c>
      <c r="FB119" s="407"/>
      <c r="FC119" s="407"/>
      <c r="FD119" s="407"/>
      <c r="FE119" s="407"/>
      <c r="FF119" s="407">
        <v>0</v>
      </c>
      <c r="FG119" s="407">
        <v>0</v>
      </c>
      <c r="FH119" s="407">
        <v>0</v>
      </c>
      <c r="FI119" s="407">
        <v>0</v>
      </c>
    </row>
    <row r="120" spans="1:165" s="845" customFormat="1">
      <c r="A120" s="407">
        <v>127</v>
      </c>
      <c r="B120" s="407" t="s">
        <v>1090</v>
      </c>
      <c r="C120" s="407" t="s">
        <v>2306</v>
      </c>
      <c r="D120" s="407" t="s">
        <v>2315</v>
      </c>
      <c r="E120" s="407" t="s">
        <v>1026</v>
      </c>
      <c r="F120" s="407" t="s">
        <v>2326</v>
      </c>
      <c r="G120" s="407" t="s">
        <v>2324</v>
      </c>
      <c r="H120" s="407" t="s">
        <v>97</v>
      </c>
      <c r="I120" s="407" t="s">
        <v>97</v>
      </c>
      <c r="J120" s="407" t="s">
        <v>2307</v>
      </c>
      <c r="K120" s="818">
        <v>44409</v>
      </c>
      <c r="L120" s="407">
        <v>0</v>
      </c>
      <c r="M120" s="407">
        <v>0</v>
      </c>
      <c r="N120" s="407">
        <v>0</v>
      </c>
      <c r="O120" s="407">
        <v>0</v>
      </c>
      <c r="P120" s="407">
        <v>0</v>
      </c>
      <c r="Q120" s="407">
        <v>0</v>
      </c>
      <c r="R120" s="407"/>
      <c r="S120" s="407"/>
      <c r="T120" s="407"/>
      <c r="U120" s="407"/>
      <c r="V120" s="407"/>
      <c r="W120" s="407"/>
      <c r="X120" s="407"/>
      <c r="Y120" s="407"/>
      <c r="Z120" s="407"/>
      <c r="AA120" s="407">
        <v>0</v>
      </c>
      <c r="AB120" s="407"/>
      <c r="AC120" s="407"/>
      <c r="AD120" s="407"/>
      <c r="AE120" s="407"/>
      <c r="AF120" s="407"/>
      <c r="AG120" s="407"/>
      <c r="AH120" s="407"/>
      <c r="AI120" s="407"/>
      <c r="AJ120" s="407"/>
      <c r="AK120" s="407"/>
      <c r="AL120" s="407"/>
      <c r="AM120" s="407"/>
      <c r="AN120" s="407"/>
      <c r="AO120" s="407"/>
      <c r="AP120" s="407"/>
      <c r="AQ120" s="407"/>
      <c r="AR120" s="407"/>
      <c r="AS120" s="407"/>
      <c r="AT120" s="407"/>
      <c r="AU120" s="407"/>
      <c r="AV120" s="407"/>
      <c r="AW120" s="407"/>
      <c r="AX120" s="407"/>
      <c r="AY120" s="407"/>
      <c r="AZ120" s="407">
        <v>0</v>
      </c>
      <c r="BA120" s="407"/>
      <c r="BB120" s="407"/>
      <c r="BC120" s="407"/>
      <c r="BD120" s="407"/>
      <c r="BE120" s="407"/>
      <c r="BF120" s="407"/>
      <c r="BG120" s="407"/>
      <c r="BH120" s="407"/>
      <c r="BI120" s="407">
        <v>2.82</v>
      </c>
      <c r="BJ120" s="407">
        <v>19</v>
      </c>
      <c r="BK120" s="407">
        <v>43.22</v>
      </c>
      <c r="BL120" s="407">
        <v>5</v>
      </c>
      <c r="BM120" s="407"/>
      <c r="BN120" s="407"/>
      <c r="BO120" s="407"/>
      <c r="BP120" s="407"/>
      <c r="BQ120" s="407"/>
      <c r="BR120" s="407"/>
      <c r="BS120" s="407"/>
      <c r="BT120" s="407"/>
      <c r="BU120" s="407"/>
      <c r="BV120" s="407"/>
      <c r="BW120" s="407"/>
      <c r="BX120" s="407"/>
      <c r="BY120" s="407"/>
      <c r="BZ120" s="407"/>
      <c r="CA120" s="407"/>
      <c r="CB120" s="407"/>
      <c r="CC120" s="407"/>
      <c r="CD120" s="407"/>
      <c r="CE120" s="407"/>
      <c r="CF120" s="407"/>
      <c r="CG120" s="407"/>
      <c r="CH120" s="407"/>
      <c r="CI120" s="407"/>
      <c r="CJ120" s="407">
        <v>-0.03</v>
      </c>
      <c r="CK120" s="407"/>
      <c r="CL120" s="407"/>
      <c r="CM120" s="407"/>
      <c r="CN120" s="407"/>
      <c r="CO120" s="407">
        <v>0</v>
      </c>
      <c r="CP120" s="407">
        <v>0</v>
      </c>
      <c r="CQ120" s="407">
        <v>31</v>
      </c>
      <c r="CR120" s="407"/>
      <c r="CS120" s="407"/>
      <c r="CT120" s="407"/>
      <c r="CU120" s="407"/>
      <c r="CV120" s="407"/>
      <c r="CW120" s="407"/>
      <c r="CX120" s="407"/>
      <c r="CY120" s="407"/>
      <c r="CZ120" s="407"/>
      <c r="DA120" s="407"/>
      <c r="DB120" s="407"/>
      <c r="DC120" s="407"/>
      <c r="DD120" s="407"/>
      <c r="DE120" s="407"/>
      <c r="DF120" s="407"/>
      <c r="DG120" s="407"/>
      <c r="DH120" s="407"/>
      <c r="DI120" s="407"/>
      <c r="DJ120" s="407"/>
      <c r="DK120" s="407">
        <v>0</v>
      </c>
      <c r="DL120" s="407"/>
      <c r="DM120" s="407"/>
      <c r="DN120" s="407"/>
      <c r="DO120" s="407"/>
      <c r="DP120" s="407"/>
      <c r="DQ120" s="407"/>
      <c r="DR120" s="407"/>
      <c r="DS120" s="407"/>
      <c r="DT120" s="407"/>
      <c r="DU120" s="407"/>
      <c r="DV120" s="407"/>
      <c r="DW120" s="407"/>
      <c r="DX120" s="407"/>
      <c r="DY120" s="407"/>
      <c r="DZ120" s="407"/>
      <c r="EA120" s="407"/>
      <c r="EB120" s="407"/>
      <c r="EC120" s="407"/>
      <c r="ED120" s="407"/>
      <c r="EE120" s="407"/>
      <c r="EF120" s="407"/>
      <c r="EG120" s="407"/>
      <c r="EH120" s="407"/>
      <c r="EI120" s="407"/>
      <c r="EJ120" s="407"/>
      <c r="EK120" s="407"/>
      <c r="EL120" s="407"/>
      <c r="EM120" s="407"/>
      <c r="EN120" s="407"/>
      <c r="EO120" s="407"/>
      <c r="EP120" s="407"/>
      <c r="EQ120" s="407"/>
      <c r="ER120" s="407"/>
      <c r="ES120" s="407"/>
      <c r="ET120" s="407"/>
      <c r="EU120" s="407"/>
      <c r="EV120" s="407">
        <v>246</v>
      </c>
      <c r="EW120" s="407"/>
      <c r="EX120" s="407"/>
      <c r="EY120" s="407"/>
      <c r="EZ120" s="407"/>
      <c r="FA120" s="407">
        <v>0</v>
      </c>
      <c r="FB120" s="407"/>
      <c r="FC120" s="407"/>
      <c r="FD120" s="407"/>
      <c r="FE120" s="407"/>
      <c r="FF120" s="407">
        <v>0</v>
      </c>
      <c r="FG120" s="407">
        <v>0</v>
      </c>
      <c r="FH120" s="407">
        <v>0</v>
      </c>
      <c r="FI120" s="407">
        <v>0</v>
      </c>
    </row>
    <row r="121" spans="1:165" s="845" customFormat="1">
      <c r="A121" s="407">
        <v>128</v>
      </c>
      <c r="B121" s="407" t="s">
        <v>1090</v>
      </c>
      <c r="C121" s="407" t="s">
        <v>2306</v>
      </c>
      <c r="D121" s="407" t="s">
        <v>2315</v>
      </c>
      <c r="E121" s="407" t="s">
        <v>1026</v>
      </c>
      <c r="F121" s="407" t="s">
        <v>2326</v>
      </c>
      <c r="G121" s="407" t="s">
        <v>2324</v>
      </c>
      <c r="H121" s="407" t="s">
        <v>97</v>
      </c>
      <c r="I121" s="407" t="s">
        <v>97</v>
      </c>
      <c r="J121" s="407" t="s">
        <v>2307</v>
      </c>
      <c r="K121" s="818">
        <v>44409</v>
      </c>
      <c r="L121" s="407">
        <v>0</v>
      </c>
      <c r="M121" s="407">
        <v>0</v>
      </c>
      <c r="N121" s="407">
        <v>1.268</v>
      </c>
      <c r="O121" s="407">
        <v>1.268</v>
      </c>
      <c r="P121" s="407">
        <v>1.268</v>
      </c>
      <c r="Q121" s="407">
        <v>1.268</v>
      </c>
      <c r="R121" s="407"/>
      <c r="S121" s="407">
        <v>648.44000000000005</v>
      </c>
      <c r="T121" s="407">
        <v>159.41</v>
      </c>
      <c r="U121" s="407"/>
      <c r="V121" s="407">
        <v>1024.3538000000001</v>
      </c>
      <c r="W121" s="407">
        <v>1024.3538000000001</v>
      </c>
      <c r="X121" s="407">
        <v>775.78776000000005</v>
      </c>
      <c r="Y121" s="407">
        <v>0</v>
      </c>
      <c r="Z121" s="407">
        <v>78.578277798848504</v>
      </c>
      <c r="AA121" s="407">
        <v>0</v>
      </c>
      <c r="AB121" s="407">
        <v>0</v>
      </c>
      <c r="AC121" s="407">
        <v>0</v>
      </c>
      <c r="AD121" s="407">
        <v>147.90513243670949</v>
      </c>
      <c r="AE121" s="407">
        <v>529.44831631801367</v>
      </c>
      <c r="AF121" s="407">
        <v>195.56454879222221</v>
      </c>
      <c r="AG121" s="407">
        <v>6.5704554979243808</v>
      </c>
      <c r="AH121" s="407">
        <v>0</v>
      </c>
      <c r="AI121" s="407">
        <v>0</v>
      </c>
      <c r="AJ121" s="407">
        <v>0</v>
      </c>
      <c r="AK121" s="407">
        <v>0</v>
      </c>
      <c r="AL121" s="407">
        <v>12.142438184741021</v>
      </c>
      <c r="AM121" s="407"/>
      <c r="AN121" s="407">
        <v>2.6312212721265604</v>
      </c>
      <c r="AO121" s="407">
        <v>0</v>
      </c>
      <c r="AP121" s="407">
        <v>0</v>
      </c>
      <c r="AQ121" s="407">
        <v>0</v>
      </c>
      <c r="AR121" s="407">
        <v>0</v>
      </c>
      <c r="AS121" s="407">
        <v>0</v>
      </c>
      <c r="AT121" s="407">
        <v>0</v>
      </c>
      <c r="AU121" s="407">
        <v>0</v>
      </c>
      <c r="AV121" s="407">
        <v>0</v>
      </c>
      <c r="AW121" s="407">
        <v>0</v>
      </c>
      <c r="AX121" s="407">
        <v>0</v>
      </c>
      <c r="AY121" s="407">
        <v>0</v>
      </c>
      <c r="AZ121" s="407">
        <v>0</v>
      </c>
      <c r="BA121" s="407"/>
      <c r="BB121" s="407">
        <v>0</v>
      </c>
      <c r="BC121" s="407">
        <v>0</v>
      </c>
      <c r="BD121" s="407">
        <v>0</v>
      </c>
      <c r="BE121" s="407">
        <v>0</v>
      </c>
      <c r="BF121" s="407">
        <v>0</v>
      </c>
      <c r="BG121" s="407">
        <v>14.29514403275604</v>
      </c>
      <c r="BH121" s="407">
        <v>0</v>
      </c>
      <c r="BI121" s="407">
        <v>0</v>
      </c>
      <c r="BJ121" s="407">
        <v>0</v>
      </c>
      <c r="BK121" s="407">
        <v>0</v>
      </c>
      <c r="BL121" s="407">
        <v>0</v>
      </c>
      <c r="BM121" s="407"/>
      <c r="BN121" s="407"/>
      <c r="BO121" s="407"/>
      <c r="BP121" s="407"/>
      <c r="BQ121" s="407"/>
      <c r="BR121" s="407">
        <v>93.096560000000025</v>
      </c>
      <c r="BS121" s="407"/>
      <c r="BT121" s="407"/>
      <c r="BU121" s="407"/>
      <c r="BV121" s="407">
        <v>209.85969282497825</v>
      </c>
      <c r="BW121" s="407"/>
      <c r="BX121" s="407"/>
      <c r="BY121" s="407"/>
      <c r="BZ121" s="407"/>
      <c r="CA121" s="407"/>
      <c r="CB121" s="407"/>
      <c r="CC121" s="407"/>
      <c r="CD121" s="407"/>
      <c r="CE121" s="407"/>
      <c r="CF121" s="407"/>
      <c r="CG121" s="407"/>
      <c r="CH121" s="407"/>
      <c r="CI121" s="407">
        <v>683.76800000000003</v>
      </c>
      <c r="CJ121" s="407">
        <v>-217.69587999999999</v>
      </c>
      <c r="CK121" s="407"/>
      <c r="CL121" s="407"/>
      <c r="CM121" s="407"/>
      <c r="CN121" s="407"/>
      <c r="CO121" s="407">
        <v>-283.39800000000008</v>
      </c>
      <c r="CP121" s="407">
        <v>34.831960000000002</v>
      </c>
      <c r="CQ121" s="407">
        <v>31</v>
      </c>
      <c r="CR121" s="407">
        <v>21.87809484385491</v>
      </c>
      <c r="CS121" s="407">
        <v>0</v>
      </c>
      <c r="CT121" s="407">
        <v>0</v>
      </c>
      <c r="CU121" s="407">
        <v>0</v>
      </c>
      <c r="CV121" s="407">
        <v>0</v>
      </c>
      <c r="CW121" s="407">
        <v>0</v>
      </c>
      <c r="CX121" s="407">
        <v>0</v>
      </c>
      <c r="CY121" s="407">
        <v>0</v>
      </c>
      <c r="CZ121" s="407">
        <v>6.6811680999469161</v>
      </c>
      <c r="DA121" s="407">
        <v>0</v>
      </c>
      <c r="DB121" s="407">
        <v>0</v>
      </c>
      <c r="DC121" s="407">
        <v>38.775168835327975</v>
      </c>
      <c r="DD121" s="407">
        <v>0</v>
      </c>
      <c r="DE121" s="407">
        <v>0</v>
      </c>
      <c r="DF121" s="407">
        <v>0</v>
      </c>
      <c r="DG121" s="407">
        <v>2.8343410235582258</v>
      </c>
      <c r="DH121" s="407">
        <v>0</v>
      </c>
      <c r="DI121" s="407">
        <v>-5.5037775920629883</v>
      </c>
      <c r="DJ121" s="407"/>
      <c r="DK121" s="407">
        <v>0</v>
      </c>
      <c r="DL121" s="407">
        <v>0</v>
      </c>
      <c r="DM121" s="407">
        <v>0</v>
      </c>
      <c r="DN121" s="407">
        <v>0</v>
      </c>
      <c r="DO121" s="407">
        <v>-0.74082687275907233</v>
      </c>
      <c r="DP121" s="407">
        <v>-0.16765506715771616</v>
      </c>
      <c r="DQ121" s="407">
        <v>0</v>
      </c>
      <c r="DR121" s="407">
        <v>-20.000323582998522</v>
      </c>
      <c r="DS121" s="407"/>
      <c r="DT121" s="407"/>
      <c r="DU121" s="407"/>
      <c r="DV121" s="407">
        <v>529.44831631801367</v>
      </c>
      <c r="DW121" s="407">
        <v>0</v>
      </c>
      <c r="DX121" s="407">
        <v>0</v>
      </c>
      <c r="DY121" s="407">
        <v>-283.39800000000002</v>
      </c>
      <c r="DZ121" s="407">
        <v>34.831960000000009</v>
      </c>
      <c r="EA121" s="407">
        <v>0</v>
      </c>
      <c r="EB121" s="407">
        <v>0</v>
      </c>
      <c r="EC121" s="407">
        <v>-270.44342968426622</v>
      </c>
      <c r="ED121" s="407">
        <v>0</v>
      </c>
      <c r="EE121" s="407">
        <v>0</v>
      </c>
      <c r="EF121" s="407">
        <v>0</v>
      </c>
      <c r="EG121" s="407">
        <v>0</v>
      </c>
      <c r="EH121" s="407">
        <v>0</v>
      </c>
      <c r="EI121" s="407">
        <v>0</v>
      </c>
      <c r="EJ121" s="407">
        <v>0</v>
      </c>
      <c r="EK121" s="407">
        <v>0</v>
      </c>
      <c r="EL121" s="407">
        <v>0</v>
      </c>
      <c r="EM121" s="407">
        <v>0</v>
      </c>
      <c r="EN121" s="407">
        <v>0</v>
      </c>
      <c r="EO121" s="407">
        <v>0</v>
      </c>
      <c r="EP121" s="407">
        <v>37.22112524576265</v>
      </c>
      <c r="EQ121" s="407">
        <v>0</v>
      </c>
      <c r="ER121" s="407">
        <v>0</v>
      </c>
      <c r="ES121" s="407">
        <v>0</v>
      </c>
      <c r="ET121" s="407">
        <v>0</v>
      </c>
      <c r="EU121" s="407">
        <v>0</v>
      </c>
      <c r="EV121" s="407">
        <v>246</v>
      </c>
      <c r="EW121" s="407">
        <v>0</v>
      </c>
      <c r="EX121" s="407">
        <v>0</v>
      </c>
      <c r="EY121" s="407">
        <v>0</v>
      </c>
      <c r="EZ121" s="407"/>
      <c r="FA121" s="407">
        <v>0</v>
      </c>
      <c r="FB121" s="407"/>
      <c r="FC121" s="407"/>
      <c r="FD121" s="407"/>
      <c r="FE121" s="407"/>
      <c r="FF121" s="407">
        <v>0</v>
      </c>
      <c r="FG121" s="407">
        <v>0</v>
      </c>
      <c r="FH121" s="407">
        <v>0</v>
      </c>
      <c r="FI121" s="407">
        <v>0</v>
      </c>
    </row>
    <row r="122" spans="1:165" s="845" customFormat="1">
      <c r="A122" s="407">
        <v>129</v>
      </c>
      <c r="B122" s="407" t="s">
        <v>1090</v>
      </c>
      <c r="C122" s="407" t="s">
        <v>2306</v>
      </c>
      <c r="D122" s="407" t="s">
        <v>2315</v>
      </c>
      <c r="E122" s="407" t="s">
        <v>1026</v>
      </c>
      <c r="F122" s="407" t="s">
        <v>2326</v>
      </c>
      <c r="G122" s="407" t="s">
        <v>2325</v>
      </c>
      <c r="H122" s="407" t="s">
        <v>97</v>
      </c>
      <c r="I122" s="407" t="s">
        <v>97</v>
      </c>
      <c r="J122" s="407" t="s">
        <v>2307</v>
      </c>
      <c r="K122" s="818">
        <v>44409</v>
      </c>
      <c r="L122" s="407">
        <v>0</v>
      </c>
      <c r="M122" s="407">
        <v>0</v>
      </c>
      <c r="N122" s="407">
        <v>1.0069999999999999</v>
      </c>
      <c r="O122" s="407">
        <v>0.40279999999999999</v>
      </c>
      <c r="P122" s="407">
        <v>1.0069999999999999</v>
      </c>
      <c r="Q122" s="407">
        <v>0.40279999999999999</v>
      </c>
      <c r="R122" s="407"/>
      <c r="S122" s="407">
        <v>648.44000000000005</v>
      </c>
      <c r="T122" s="407">
        <v>159.41</v>
      </c>
      <c r="U122" s="407"/>
      <c r="V122" s="407">
        <v>813.50494999999989</v>
      </c>
      <c r="W122" s="407">
        <v>813.50494999999989</v>
      </c>
      <c r="X122" s="407">
        <v>616.10273999999993</v>
      </c>
      <c r="Y122" s="407">
        <v>0</v>
      </c>
      <c r="Z122" s="407">
        <v>62.404042384416741</v>
      </c>
      <c r="AA122" s="407">
        <v>0</v>
      </c>
      <c r="AB122" s="407">
        <v>0</v>
      </c>
      <c r="AC122" s="407">
        <v>0</v>
      </c>
      <c r="AD122" s="407">
        <v>117.4609371953994</v>
      </c>
      <c r="AE122" s="407">
        <v>420.46881272258651</v>
      </c>
      <c r="AF122" s="407">
        <v>155.31033173010073</v>
      </c>
      <c r="AG122" s="407">
        <v>5.2180194687774843</v>
      </c>
      <c r="AH122" s="407">
        <v>0</v>
      </c>
      <c r="AI122" s="407">
        <v>0</v>
      </c>
      <c r="AJ122" s="407">
        <v>0</v>
      </c>
      <c r="AK122" s="407">
        <v>0</v>
      </c>
      <c r="AL122" s="407">
        <v>9.643087738197325</v>
      </c>
      <c r="AM122" s="407"/>
      <c r="AN122" s="407">
        <v>2.089621309961708</v>
      </c>
      <c r="AO122" s="407">
        <v>0</v>
      </c>
      <c r="AP122" s="407">
        <v>0</v>
      </c>
      <c r="AQ122" s="407">
        <v>0</v>
      </c>
      <c r="AR122" s="407">
        <v>0</v>
      </c>
      <c r="AS122" s="407">
        <v>0</v>
      </c>
      <c r="AT122" s="407">
        <v>0</v>
      </c>
      <c r="AU122" s="407">
        <v>0</v>
      </c>
      <c r="AV122" s="407">
        <v>0</v>
      </c>
      <c r="AW122" s="407">
        <v>0</v>
      </c>
      <c r="AX122" s="407">
        <v>0</v>
      </c>
      <c r="AY122" s="407">
        <v>0</v>
      </c>
      <c r="AZ122" s="407">
        <v>0</v>
      </c>
      <c r="BA122" s="407"/>
      <c r="BB122" s="407">
        <v>0</v>
      </c>
      <c r="BC122" s="407">
        <v>0</v>
      </c>
      <c r="BD122" s="407">
        <v>0</v>
      </c>
      <c r="BE122" s="407">
        <v>0</v>
      </c>
      <c r="BF122" s="407">
        <v>0</v>
      </c>
      <c r="BG122" s="407">
        <v>11.352689306770767</v>
      </c>
      <c r="BH122" s="407">
        <v>0</v>
      </c>
      <c r="BI122" s="407">
        <v>0</v>
      </c>
      <c r="BJ122" s="407">
        <v>0</v>
      </c>
      <c r="BK122" s="407">
        <v>0</v>
      </c>
      <c r="BL122" s="407">
        <v>0</v>
      </c>
      <c r="BM122" s="407"/>
      <c r="BN122" s="407"/>
      <c r="BO122" s="407"/>
      <c r="BP122" s="407"/>
      <c r="BQ122" s="407"/>
      <c r="BR122" s="407"/>
      <c r="BS122" s="407">
        <v>399.23521999999991</v>
      </c>
      <c r="BT122" s="407"/>
      <c r="BU122" s="407"/>
      <c r="BV122" s="407">
        <v>166.6630210368715</v>
      </c>
      <c r="BW122" s="407"/>
      <c r="BX122" s="407"/>
      <c r="BY122" s="407"/>
      <c r="BZ122" s="407"/>
      <c r="CA122" s="407"/>
      <c r="CB122" s="407"/>
      <c r="CC122" s="407"/>
      <c r="CD122" s="407"/>
      <c r="CE122" s="407"/>
      <c r="CF122" s="407"/>
      <c r="CG122" s="407"/>
      <c r="CH122" s="407"/>
      <c r="CI122" s="407">
        <v>215.36</v>
      </c>
      <c r="CJ122" s="407">
        <v>-71.024547999999982</v>
      </c>
      <c r="CK122" s="407"/>
      <c r="CL122" s="407"/>
      <c r="CM122" s="407"/>
      <c r="CN122" s="407"/>
      <c r="CO122" s="407">
        <v>-225.06450000000004</v>
      </c>
      <c r="CP122" s="407">
        <v>27.662289999999995</v>
      </c>
      <c r="CQ122" s="407">
        <v>31</v>
      </c>
      <c r="CR122" s="407">
        <v>17.374796141768002</v>
      </c>
      <c r="CS122" s="407">
        <v>0</v>
      </c>
      <c r="CT122" s="407">
        <v>0</v>
      </c>
      <c r="CU122" s="407">
        <v>0</v>
      </c>
      <c r="CV122" s="407">
        <v>0</v>
      </c>
      <c r="CW122" s="407">
        <v>0</v>
      </c>
      <c r="CX122" s="407">
        <v>0</v>
      </c>
      <c r="CY122" s="407">
        <v>0</v>
      </c>
      <c r="CZ122" s="407">
        <v>5.3059434358411153</v>
      </c>
      <c r="DA122" s="407">
        <v>0</v>
      </c>
      <c r="DB122" s="407">
        <v>0</v>
      </c>
      <c r="DC122" s="407">
        <v>30.793844650769159</v>
      </c>
      <c r="DD122" s="407">
        <v>0</v>
      </c>
      <c r="DE122" s="407">
        <v>0</v>
      </c>
      <c r="DF122" s="407">
        <v>0</v>
      </c>
      <c r="DG122" s="407">
        <v>2.2509317119267607</v>
      </c>
      <c r="DH122" s="407">
        <v>0</v>
      </c>
      <c r="DI122" s="407">
        <v>-4.3709022359679963</v>
      </c>
      <c r="DJ122" s="407"/>
      <c r="DK122" s="407">
        <v>0</v>
      </c>
      <c r="DL122" s="407">
        <v>0</v>
      </c>
      <c r="DM122" s="407">
        <v>0</v>
      </c>
      <c r="DN122" s="407">
        <v>0</v>
      </c>
      <c r="DO122" s="407">
        <v>-0.58833806062175675</v>
      </c>
      <c r="DP122" s="407">
        <v>-0.1331456251008043</v>
      </c>
      <c r="DQ122" s="407">
        <v>0</v>
      </c>
      <c r="DR122" s="407">
        <v>-15.883537735078477</v>
      </c>
      <c r="DS122" s="407"/>
      <c r="DT122" s="407"/>
      <c r="DU122" s="407"/>
      <c r="DV122" s="407">
        <v>420.46881272258651</v>
      </c>
      <c r="DW122" s="407">
        <v>0</v>
      </c>
      <c r="DX122" s="407">
        <v>0</v>
      </c>
      <c r="DY122" s="407">
        <v>-225.06450000000001</v>
      </c>
      <c r="DZ122" s="407">
        <v>27.662290000000013</v>
      </c>
      <c r="EA122" s="407">
        <v>0</v>
      </c>
      <c r="EB122" s="407">
        <v>0</v>
      </c>
      <c r="EC122" s="407">
        <v>-214.77644612938172</v>
      </c>
      <c r="ED122" s="407">
        <v>0</v>
      </c>
      <c r="EE122" s="407">
        <v>0</v>
      </c>
      <c r="EF122" s="407">
        <v>0</v>
      </c>
      <c r="EG122" s="407">
        <v>0</v>
      </c>
      <c r="EH122" s="407">
        <v>0</v>
      </c>
      <c r="EI122" s="407">
        <v>0</v>
      </c>
      <c r="EJ122" s="407">
        <v>0</v>
      </c>
      <c r="EK122" s="407">
        <v>0</v>
      </c>
      <c r="EL122" s="407">
        <v>0</v>
      </c>
      <c r="EM122" s="407">
        <v>0</v>
      </c>
      <c r="EN122" s="407">
        <v>0</v>
      </c>
      <c r="EO122" s="407">
        <v>0</v>
      </c>
      <c r="EP122" s="407">
        <v>29.55967911867743</v>
      </c>
      <c r="EQ122" s="407">
        <v>0</v>
      </c>
      <c r="ER122" s="407">
        <v>0</v>
      </c>
      <c r="ES122" s="407">
        <v>0</v>
      </c>
      <c r="ET122" s="407">
        <v>0</v>
      </c>
      <c r="EU122" s="407">
        <v>0</v>
      </c>
      <c r="EV122" s="407">
        <v>246</v>
      </c>
      <c r="EW122" s="407">
        <v>0</v>
      </c>
      <c r="EX122" s="407">
        <v>0</v>
      </c>
      <c r="EY122" s="407">
        <v>0</v>
      </c>
      <c r="EZ122" s="407"/>
      <c r="FA122" s="407">
        <v>0</v>
      </c>
      <c r="FB122" s="407"/>
      <c r="FC122" s="407"/>
      <c r="FD122" s="407"/>
      <c r="FE122" s="407"/>
      <c r="FF122" s="407">
        <v>0</v>
      </c>
      <c r="FG122" s="407">
        <v>0</v>
      </c>
      <c r="FH122" s="407">
        <v>0</v>
      </c>
      <c r="FI122" s="407">
        <v>0</v>
      </c>
    </row>
    <row r="123" spans="1:165" s="845" customFormat="1">
      <c r="A123" s="407">
        <v>130</v>
      </c>
      <c r="B123" s="407" t="s">
        <v>1090</v>
      </c>
      <c r="C123" s="407" t="s">
        <v>2306</v>
      </c>
      <c r="D123" s="407" t="s">
        <v>1218</v>
      </c>
      <c r="E123" s="407" t="s">
        <v>1021</v>
      </c>
      <c r="F123" s="407" t="s">
        <v>1021</v>
      </c>
      <c r="G123" s="407" t="s">
        <v>97</v>
      </c>
      <c r="H123" s="407" t="s">
        <v>97</v>
      </c>
      <c r="I123" s="407" t="s">
        <v>97</v>
      </c>
      <c r="J123" s="407" t="s">
        <v>2307</v>
      </c>
      <c r="K123" s="818">
        <v>44440</v>
      </c>
      <c r="L123" s="407">
        <v>0</v>
      </c>
      <c r="M123" s="407">
        <v>0</v>
      </c>
      <c r="N123" s="407">
        <v>1188.577</v>
      </c>
      <c r="O123" s="407">
        <v>1188.577</v>
      </c>
      <c r="P123" s="407">
        <v>1188.577</v>
      </c>
      <c r="Q123" s="407">
        <v>1188.577</v>
      </c>
      <c r="R123" s="407"/>
      <c r="S123" s="407">
        <v>648.44000000000005</v>
      </c>
      <c r="T123" s="407">
        <v>159.41</v>
      </c>
      <c r="U123" s="407"/>
      <c r="V123" s="407">
        <v>960191.92944999994</v>
      </c>
      <c r="W123" s="407">
        <v>960191.92944999994</v>
      </c>
      <c r="X123" s="407">
        <v>727195.18014000007</v>
      </c>
      <c r="Y123" s="407">
        <v>0</v>
      </c>
      <c r="Z123" s="407">
        <v>73656.414583061473</v>
      </c>
      <c r="AA123" s="407">
        <v>0</v>
      </c>
      <c r="AB123" s="407">
        <v>0</v>
      </c>
      <c r="AC123" s="407">
        <v>0</v>
      </c>
      <c r="AD123" s="407">
        <v>138640.88217368047</v>
      </c>
      <c r="AE123" s="407">
        <v>496285.56109173165</v>
      </c>
      <c r="AF123" s="407">
        <v>183315.08257871695</v>
      </c>
      <c r="AG123" s="407">
        <v>6158.9055870319135</v>
      </c>
      <c r="AH123" s="407">
        <v>0</v>
      </c>
      <c r="AI123" s="407">
        <v>0</v>
      </c>
      <c r="AJ123" s="407">
        <v>0</v>
      </c>
      <c r="AK123" s="407">
        <v>0</v>
      </c>
      <c r="AL123" s="407">
        <v>11381.87914061903</v>
      </c>
      <c r="AM123" s="407"/>
      <c r="AN123" s="407">
        <v>2466.4109510728476</v>
      </c>
      <c r="AO123" s="407">
        <v>0</v>
      </c>
      <c r="AP123" s="407">
        <v>0</v>
      </c>
      <c r="AQ123" s="407">
        <v>0</v>
      </c>
      <c r="AR123" s="407">
        <v>0</v>
      </c>
      <c r="AS123" s="407">
        <v>0</v>
      </c>
      <c r="AT123" s="407">
        <v>0</v>
      </c>
      <c r="AU123" s="407">
        <v>0</v>
      </c>
      <c r="AV123" s="407">
        <v>0</v>
      </c>
      <c r="AW123" s="407">
        <v>0</v>
      </c>
      <c r="AX123" s="407">
        <v>0</v>
      </c>
      <c r="AY123" s="407">
        <v>0</v>
      </c>
      <c r="AZ123" s="407">
        <v>0</v>
      </c>
      <c r="BA123" s="407"/>
      <c r="BB123" s="407">
        <v>0</v>
      </c>
      <c r="BC123" s="407">
        <v>0</v>
      </c>
      <c r="BD123" s="407">
        <v>0</v>
      </c>
      <c r="BE123" s="407">
        <v>0</v>
      </c>
      <c r="BF123" s="407">
        <v>0</v>
      </c>
      <c r="BG123" s="407">
        <v>13399.747167997695</v>
      </c>
      <c r="BH123" s="407">
        <v>0</v>
      </c>
      <c r="BI123" s="407">
        <v>4240.3100000000004</v>
      </c>
      <c r="BJ123" s="407">
        <v>20632.849999999999</v>
      </c>
      <c r="BK123" s="407">
        <v>372867.1</v>
      </c>
      <c r="BL123" s="407">
        <v>7252</v>
      </c>
      <c r="BM123" s="407"/>
      <c r="BN123" s="407"/>
      <c r="BO123" s="407"/>
      <c r="BP123" s="407"/>
      <c r="BQ123" s="407"/>
      <c r="BR123" s="407"/>
      <c r="BS123" s="407"/>
      <c r="BT123" s="407"/>
      <c r="BU123" s="407"/>
      <c r="BV123" s="407">
        <v>196714.82974671465</v>
      </c>
      <c r="BW123" s="407"/>
      <c r="BX123" s="407"/>
      <c r="BY123" s="407"/>
      <c r="BZ123" s="407"/>
      <c r="CA123" s="407"/>
      <c r="CB123" s="407"/>
      <c r="CC123" s="407"/>
      <c r="CD123" s="407"/>
      <c r="CE123" s="407"/>
      <c r="CF123" s="407"/>
      <c r="CG123" s="407"/>
      <c r="CH123" s="407"/>
      <c r="CI123" s="407">
        <v>727197.01559999993</v>
      </c>
      <c r="CJ123" s="407">
        <v>-232994.94385000004</v>
      </c>
      <c r="CK123" s="407"/>
      <c r="CL123" s="407"/>
      <c r="CM123" s="407"/>
      <c r="CN123" s="407"/>
      <c r="CO123" s="407">
        <v>-265646.95950000006</v>
      </c>
      <c r="CP123" s="407">
        <v>32650.210189999998</v>
      </c>
      <c r="CQ123" s="407">
        <v>30</v>
      </c>
      <c r="CR123" s="407">
        <v>20507.72897099721</v>
      </c>
      <c r="CS123" s="407">
        <v>0</v>
      </c>
      <c r="CT123" s="407">
        <v>0</v>
      </c>
      <c r="CU123" s="407">
        <v>0</v>
      </c>
      <c r="CV123" s="407">
        <v>0</v>
      </c>
      <c r="CW123" s="407">
        <v>0</v>
      </c>
      <c r="CX123" s="407">
        <v>0</v>
      </c>
      <c r="CY123" s="407">
        <v>0</v>
      </c>
      <c r="CZ123" s="407">
        <v>6262.6835463175084</v>
      </c>
      <c r="DA123" s="407">
        <v>0</v>
      </c>
      <c r="DB123" s="407">
        <v>0</v>
      </c>
      <c r="DC123" s="407">
        <v>36346.430480116425</v>
      </c>
      <c r="DD123" s="407">
        <v>0</v>
      </c>
      <c r="DE123" s="407">
        <v>0</v>
      </c>
      <c r="DF123" s="407">
        <v>0</v>
      </c>
      <c r="DG123" s="407">
        <v>2656.8080053294671</v>
      </c>
      <c r="DH123" s="407">
        <v>0</v>
      </c>
      <c r="DI123" s="407">
        <v>-5159.0405828402436</v>
      </c>
      <c r="DJ123" s="407"/>
      <c r="DK123" s="407">
        <v>0</v>
      </c>
      <c r="DL123" s="407">
        <v>0</v>
      </c>
      <c r="DM123" s="407">
        <v>0</v>
      </c>
      <c r="DN123" s="407">
        <v>0</v>
      </c>
      <c r="DO123" s="407">
        <v>-694.42411825186355</v>
      </c>
      <c r="DP123" s="407">
        <v>-157.15375138573881</v>
      </c>
      <c r="DQ123" s="407">
        <v>0</v>
      </c>
      <c r="DR123" s="407">
        <v>-18747.574608288356</v>
      </c>
      <c r="DS123" s="407"/>
      <c r="DT123" s="407"/>
      <c r="DU123" s="407"/>
      <c r="DV123" s="407">
        <v>496285.56109173165</v>
      </c>
      <c r="DW123" s="407">
        <v>0</v>
      </c>
      <c r="DX123" s="407">
        <v>0</v>
      </c>
      <c r="DY123" s="407">
        <v>-265646.9595</v>
      </c>
      <c r="DZ123" s="407">
        <v>32650.210190000013</v>
      </c>
      <c r="EA123" s="407">
        <v>0</v>
      </c>
      <c r="EB123" s="407">
        <v>0</v>
      </c>
      <c r="EC123" s="407">
        <v>-253503.81729009157</v>
      </c>
      <c r="ED123" s="407">
        <v>0</v>
      </c>
      <c r="EE123" s="407">
        <v>0</v>
      </c>
      <c r="EF123" s="407">
        <v>0</v>
      </c>
      <c r="EG123" s="407">
        <v>0</v>
      </c>
      <c r="EH123" s="407">
        <v>0</v>
      </c>
      <c r="EI123" s="407">
        <v>0</v>
      </c>
      <c r="EJ123" s="407">
        <v>0</v>
      </c>
      <c r="EK123" s="407">
        <v>0</v>
      </c>
      <c r="EL123" s="407">
        <v>0</v>
      </c>
      <c r="EM123" s="407">
        <v>0</v>
      </c>
      <c r="EN123" s="407">
        <v>0</v>
      </c>
      <c r="EO123" s="407">
        <v>0</v>
      </c>
      <c r="EP123" s="407">
        <v>34889.726641350811</v>
      </c>
      <c r="EQ123" s="407">
        <v>0</v>
      </c>
      <c r="ER123" s="407">
        <v>0</v>
      </c>
      <c r="ES123" s="407">
        <v>0</v>
      </c>
      <c r="ET123" s="407">
        <v>0</v>
      </c>
      <c r="EU123" s="407">
        <v>0</v>
      </c>
      <c r="EV123" s="407">
        <v>246</v>
      </c>
      <c r="EW123" s="407">
        <v>0</v>
      </c>
      <c r="EX123" s="407">
        <v>0</v>
      </c>
      <c r="EY123" s="407">
        <v>0</v>
      </c>
      <c r="EZ123" s="407"/>
      <c r="FA123" s="407">
        <v>0</v>
      </c>
      <c r="FB123" s="407"/>
      <c r="FC123" s="407"/>
      <c r="FD123" s="407"/>
      <c r="FE123" s="407"/>
      <c r="FF123" s="407">
        <v>0</v>
      </c>
      <c r="FG123" s="407">
        <v>0</v>
      </c>
      <c r="FH123" s="407">
        <v>0</v>
      </c>
      <c r="FI123" s="407">
        <v>0</v>
      </c>
    </row>
    <row r="124" spans="1:165" s="845" customFormat="1">
      <c r="A124" s="407">
        <v>131</v>
      </c>
      <c r="B124" s="407" t="s">
        <v>2308</v>
      </c>
      <c r="C124" s="407" t="s">
        <v>2306</v>
      </c>
      <c r="D124" s="407" t="s">
        <v>1218</v>
      </c>
      <c r="E124" s="407" t="s">
        <v>1021</v>
      </c>
      <c r="F124" s="407" t="s">
        <v>1021</v>
      </c>
      <c r="G124" s="407" t="s">
        <v>97</v>
      </c>
      <c r="H124" s="407" t="s">
        <v>97</v>
      </c>
      <c r="I124" s="407" t="s">
        <v>97</v>
      </c>
      <c r="J124" s="407" t="s">
        <v>2307</v>
      </c>
      <c r="K124" s="818">
        <v>44440</v>
      </c>
      <c r="L124" s="407">
        <v>0</v>
      </c>
      <c r="M124" s="407">
        <v>0</v>
      </c>
      <c r="N124" s="407">
        <v>-1.3080000000000001</v>
      </c>
      <c r="O124" s="407">
        <v>-1.3080000000000001</v>
      </c>
      <c r="P124" s="407">
        <v>-1.3080000000000001</v>
      </c>
      <c r="Q124" s="407">
        <v>-1.3080000000000001</v>
      </c>
      <c r="R124" s="407"/>
      <c r="S124" s="407">
        <v>648.44000000000005</v>
      </c>
      <c r="T124" s="407">
        <v>159.41</v>
      </c>
      <c r="U124" s="407"/>
      <c r="V124" s="407">
        <v>-1056.6678000000002</v>
      </c>
      <c r="W124" s="407">
        <v>-1056.6678000000002</v>
      </c>
      <c r="X124" s="407">
        <v>-800.26055999999994</v>
      </c>
      <c r="Y124" s="407">
        <v>0</v>
      </c>
      <c r="Z124" s="407">
        <v>-81.057087824048764</v>
      </c>
      <c r="AA124" s="407">
        <v>0</v>
      </c>
      <c r="AB124" s="407">
        <v>0</v>
      </c>
      <c r="AC124" s="407">
        <v>0</v>
      </c>
      <c r="AD124" s="407">
        <v>-152.57090948518612</v>
      </c>
      <c r="AE124" s="407">
        <v>-546.15015594949671</v>
      </c>
      <c r="AF124" s="407">
        <v>-201.73377746074658</v>
      </c>
      <c r="AG124" s="407">
        <v>-6.7777253874488093</v>
      </c>
      <c r="AH124" s="407">
        <v>0</v>
      </c>
      <c r="AI124" s="407">
        <v>0</v>
      </c>
      <c r="AJ124" s="407">
        <v>0</v>
      </c>
      <c r="AK124" s="407">
        <v>0</v>
      </c>
      <c r="AL124" s="407">
        <v>-12.525480398770707</v>
      </c>
      <c r="AM124" s="407"/>
      <c r="AN124" s="407">
        <v>-2.7142250977456945</v>
      </c>
      <c r="AO124" s="407">
        <v>0</v>
      </c>
      <c r="AP124" s="407">
        <v>0</v>
      </c>
      <c r="AQ124" s="407">
        <v>0</v>
      </c>
      <c r="AR124" s="407">
        <v>0</v>
      </c>
      <c r="AS124" s="407">
        <v>0</v>
      </c>
      <c r="AT124" s="407">
        <v>0</v>
      </c>
      <c r="AU124" s="407">
        <v>0</v>
      </c>
      <c r="AV124" s="407">
        <v>0</v>
      </c>
      <c r="AW124" s="407">
        <v>0</v>
      </c>
      <c r="AX124" s="407">
        <v>0</v>
      </c>
      <c r="AY124" s="407">
        <v>0</v>
      </c>
      <c r="AZ124" s="407">
        <v>0</v>
      </c>
      <c r="BA124" s="407"/>
      <c r="BB124" s="407">
        <v>0</v>
      </c>
      <c r="BC124" s="407">
        <v>0</v>
      </c>
      <c r="BD124" s="407">
        <v>0</v>
      </c>
      <c r="BE124" s="407">
        <v>0</v>
      </c>
      <c r="BF124" s="407">
        <v>0</v>
      </c>
      <c r="BG124" s="407">
        <v>-14.746094948615854</v>
      </c>
      <c r="BH124" s="407">
        <v>0</v>
      </c>
      <c r="BI124" s="407">
        <v>-3.57</v>
      </c>
      <c r="BJ124" s="407">
        <v>-23.39</v>
      </c>
      <c r="BK124" s="407">
        <v>-393.87</v>
      </c>
      <c r="BL124" s="407">
        <v>0</v>
      </c>
      <c r="BM124" s="407"/>
      <c r="BN124" s="407"/>
      <c r="BO124" s="407"/>
      <c r="BP124" s="407"/>
      <c r="BQ124" s="407"/>
      <c r="BR124" s="407"/>
      <c r="BS124" s="407"/>
      <c r="BT124" s="407"/>
      <c r="BU124" s="407"/>
      <c r="BV124" s="407">
        <v>-216.47987240936243</v>
      </c>
      <c r="BW124" s="407"/>
      <c r="BX124" s="407"/>
      <c r="BY124" s="407"/>
      <c r="BZ124" s="407"/>
      <c r="CA124" s="407"/>
      <c r="CB124" s="407"/>
      <c r="CC124" s="407"/>
      <c r="CD124" s="407"/>
      <c r="CE124" s="407"/>
      <c r="CF124" s="407"/>
      <c r="CG124" s="407"/>
      <c r="CH124" s="407"/>
      <c r="CI124" s="407">
        <v>-801.4842000000001</v>
      </c>
      <c r="CJ124" s="407">
        <v>255.1536000000001</v>
      </c>
      <c r="CK124" s="407"/>
      <c r="CL124" s="407"/>
      <c r="CM124" s="407"/>
      <c r="CN124" s="407"/>
      <c r="CO124" s="407">
        <v>292.33800000000008</v>
      </c>
      <c r="CP124" s="407">
        <v>-35.930759999999999</v>
      </c>
      <c r="CQ124" s="407">
        <v>30</v>
      </c>
      <c r="CR124" s="407">
        <v>-22.568255564481092</v>
      </c>
      <c r="CS124" s="407">
        <v>0</v>
      </c>
      <c r="CT124" s="407">
        <v>0</v>
      </c>
      <c r="CU124" s="407">
        <v>0</v>
      </c>
      <c r="CV124" s="407">
        <v>0</v>
      </c>
      <c r="CW124" s="407">
        <v>0</v>
      </c>
      <c r="CX124" s="407">
        <v>0</v>
      </c>
      <c r="CY124" s="407">
        <v>0</v>
      </c>
      <c r="CZ124" s="407">
        <v>-6.8919305005761657</v>
      </c>
      <c r="DA124" s="407">
        <v>0</v>
      </c>
      <c r="DB124" s="407">
        <v>0</v>
      </c>
      <c r="DC124" s="407">
        <v>-39.998360281237382</v>
      </c>
      <c r="DD124" s="407">
        <v>0</v>
      </c>
      <c r="DE124" s="407">
        <v>0</v>
      </c>
      <c r="DF124" s="407">
        <v>0</v>
      </c>
      <c r="DG124" s="407">
        <v>-2.9237524123140037</v>
      </c>
      <c r="DH124" s="407">
        <v>0</v>
      </c>
      <c r="DI124" s="407">
        <v>5.6773983362920859</v>
      </c>
      <c r="DJ124" s="407"/>
      <c r="DK124" s="407">
        <v>0</v>
      </c>
      <c r="DL124" s="407">
        <v>0</v>
      </c>
      <c r="DM124" s="407">
        <v>0</v>
      </c>
      <c r="DN124" s="407">
        <v>0</v>
      </c>
      <c r="DO124" s="407">
        <v>0.76419680565368076</v>
      </c>
      <c r="DP124" s="407">
        <v>0.17294387053808569</v>
      </c>
      <c r="DQ124" s="407">
        <v>0</v>
      </c>
      <c r="DR124" s="407">
        <v>20.631248617162512</v>
      </c>
      <c r="DS124" s="407"/>
      <c r="DT124" s="407"/>
      <c r="DU124" s="407"/>
      <c r="DV124" s="407">
        <v>-546.15015594949671</v>
      </c>
      <c r="DW124" s="407">
        <v>0</v>
      </c>
      <c r="DX124" s="407">
        <v>0</v>
      </c>
      <c r="DY124" s="407">
        <v>292.33800000000019</v>
      </c>
      <c r="DZ124" s="407">
        <v>-35.930759999999992</v>
      </c>
      <c r="EA124" s="407">
        <v>0</v>
      </c>
      <c r="EB124" s="407">
        <v>0</v>
      </c>
      <c r="EC124" s="407">
        <v>278.97476816011056</v>
      </c>
      <c r="ED124" s="407">
        <v>0</v>
      </c>
      <c r="EE124" s="407">
        <v>0</v>
      </c>
      <c r="EF124" s="407">
        <v>0</v>
      </c>
      <c r="EG124" s="407">
        <v>0</v>
      </c>
      <c r="EH124" s="407">
        <v>0</v>
      </c>
      <c r="EI124" s="407">
        <v>0</v>
      </c>
      <c r="EJ124" s="407">
        <v>0</v>
      </c>
      <c r="EK124" s="407">
        <v>0</v>
      </c>
      <c r="EL124" s="407">
        <v>0</v>
      </c>
      <c r="EM124" s="407">
        <v>0</v>
      </c>
      <c r="EN124" s="407">
        <v>0</v>
      </c>
      <c r="EO124" s="407">
        <v>0</v>
      </c>
      <c r="EP124" s="407">
        <v>-38.395293234587967</v>
      </c>
      <c r="EQ124" s="407">
        <v>0</v>
      </c>
      <c r="ER124" s="407">
        <v>0</v>
      </c>
      <c r="ES124" s="407">
        <v>0</v>
      </c>
      <c r="ET124" s="407">
        <v>0</v>
      </c>
      <c r="EU124" s="407">
        <v>0</v>
      </c>
      <c r="EV124" s="407">
        <v>246</v>
      </c>
      <c r="EW124" s="407">
        <v>0</v>
      </c>
      <c r="EX124" s="407">
        <v>0</v>
      </c>
      <c r="EY124" s="407">
        <v>0</v>
      </c>
      <c r="EZ124" s="407"/>
      <c r="FA124" s="407">
        <v>0</v>
      </c>
      <c r="FB124" s="407"/>
      <c r="FC124" s="407"/>
      <c r="FD124" s="407"/>
      <c r="FE124" s="407"/>
      <c r="FF124" s="407">
        <v>0</v>
      </c>
      <c r="FG124" s="407">
        <v>0</v>
      </c>
      <c r="FH124" s="407">
        <v>0</v>
      </c>
      <c r="FI124" s="407">
        <v>0</v>
      </c>
    </row>
    <row r="125" spans="1:165" s="845" customFormat="1">
      <c r="A125" s="407">
        <v>132</v>
      </c>
      <c r="B125" s="407" t="s">
        <v>2309</v>
      </c>
      <c r="C125" s="407" t="s">
        <v>2306</v>
      </c>
      <c r="D125" s="407" t="s">
        <v>1218</v>
      </c>
      <c r="E125" s="407" t="s">
        <v>1021</v>
      </c>
      <c r="F125" s="407" t="s">
        <v>1021</v>
      </c>
      <c r="G125" s="407" t="s">
        <v>97</v>
      </c>
      <c r="H125" s="407" t="s">
        <v>97</v>
      </c>
      <c r="I125" s="407" t="s">
        <v>97</v>
      </c>
      <c r="J125" s="407" t="s">
        <v>2307</v>
      </c>
      <c r="K125" s="818">
        <v>44440</v>
      </c>
      <c r="L125" s="407">
        <v>0</v>
      </c>
      <c r="M125" s="407">
        <v>0</v>
      </c>
      <c r="N125" s="407">
        <v>18.806999999999999</v>
      </c>
      <c r="O125" s="407">
        <v>18.806999999999999</v>
      </c>
      <c r="P125" s="407">
        <v>18.806999999999999</v>
      </c>
      <c r="Q125" s="407">
        <v>18.806999999999999</v>
      </c>
      <c r="R125" s="407"/>
      <c r="S125" s="407">
        <v>648.44000000000005</v>
      </c>
      <c r="T125" s="407">
        <v>159.41</v>
      </c>
      <c r="U125" s="407"/>
      <c r="V125" s="407">
        <v>15193.23495</v>
      </c>
      <c r="W125" s="407">
        <v>15193.23495</v>
      </c>
      <c r="X125" s="407">
        <v>11506.498739999999</v>
      </c>
      <c r="Y125" s="407">
        <v>0</v>
      </c>
      <c r="Z125" s="407">
        <v>1165.4745035985359</v>
      </c>
      <c r="AA125" s="407">
        <v>0</v>
      </c>
      <c r="AB125" s="407">
        <v>0</v>
      </c>
      <c r="AC125" s="407">
        <v>0</v>
      </c>
      <c r="AD125" s="407">
        <v>2193.7317237675038</v>
      </c>
      <c r="AE125" s="407">
        <v>7852.7874487325571</v>
      </c>
      <c r="AF125" s="407">
        <v>2900.6170892234404</v>
      </c>
      <c r="AG125" s="407">
        <v>97.453120307148126</v>
      </c>
      <c r="AH125" s="407">
        <v>0</v>
      </c>
      <c r="AI125" s="407">
        <v>0</v>
      </c>
      <c r="AJ125" s="407">
        <v>0</v>
      </c>
      <c r="AK125" s="407">
        <v>0</v>
      </c>
      <c r="AL125" s="407">
        <v>180.09687298140724</v>
      </c>
      <c r="AM125" s="407"/>
      <c r="AN125" s="407">
        <v>39.026323710476511</v>
      </c>
      <c r="AO125" s="407">
        <v>0</v>
      </c>
      <c r="AP125" s="407">
        <v>0</v>
      </c>
      <c r="AQ125" s="407">
        <v>0</v>
      </c>
      <c r="AR125" s="407">
        <v>0</v>
      </c>
      <c r="AS125" s="407">
        <v>0</v>
      </c>
      <c r="AT125" s="407">
        <v>0</v>
      </c>
      <c r="AU125" s="407">
        <v>0</v>
      </c>
      <c r="AV125" s="407">
        <v>0</v>
      </c>
      <c r="AW125" s="407">
        <v>0</v>
      </c>
      <c r="AX125" s="407">
        <v>0</v>
      </c>
      <c r="AY125" s="407">
        <v>0</v>
      </c>
      <c r="AZ125" s="407">
        <v>0</v>
      </c>
      <c r="BA125" s="407"/>
      <c r="BB125" s="407">
        <v>0</v>
      </c>
      <c r="BC125" s="407">
        <v>0</v>
      </c>
      <c r="BD125" s="407">
        <v>0</v>
      </c>
      <c r="BE125" s="407">
        <v>0</v>
      </c>
      <c r="BF125" s="407">
        <v>0</v>
      </c>
      <c r="BG125" s="407">
        <v>212.02584686438709</v>
      </c>
      <c r="BH125" s="407">
        <v>0</v>
      </c>
      <c r="BI125" s="407">
        <v>67.010000000000005</v>
      </c>
      <c r="BJ125" s="407">
        <v>328.36</v>
      </c>
      <c r="BK125" s="407">
        <v>15319.56</v>
      </c>
      <c r="BL125" s="407">
        <v>167</v>
      </c>
      <c r="BM125" s="407"/>
      <c r="BN125" s="407"/>
      <c r="BO125" s="407"/>
      <c r="BP125" s="407"/>
      <c r="BQ125" s="407"/>
      <c r="BR125" s="407"/>
      <c r="BS125" s="407"/>
      <c r="BT125" s="407"/>
      <c r="BU125" s="407"/>
      <c r="BV125" s="407">
        <v>3112.6429360878274</v>
      </c>
      <c r="BW125" s="407"/>
      <c r="BX125" s="407"/>
      <c r="BY125" s="407"/>
      <c r="BZ125" s="407"/>
      <c r="CA125" s="407"/>
      <c r="CB125" s="407"/>
      <c r="CC125" s="407"/>
      <c r="CD125" s="407"/>
      <c r="CE125" s="407"/>
      <c r="CF125" s="407"/>
      <c r="CG125" s="407"/>
      <c r="CH125" s="407"/>
      <c r="CI125" s="407">
        <v>11508.334199999999</v>
      </c>
      <c r="CJ125" s="407">
        <v>-3684.9307500000014</v>
      </c>
      <c r="CK125" s="407"/>
      <c r="CL125" s="407"/>
      <c r="CM125" s="407"/>
      <c r="CN125" s="407"/>
      <c r="CO125" s="407">
        <v>-4203.3645000000006</v>
      </c>
      <c r="CP125" s="407">
        <v>516.62828999999999</v>
      </c>
      <c r="CQ125" s="407">
        <v>30</v>
      </c>
      <c r="CR125" s="407">
        <v>324.49631682048584</v>
      </c>
      <c r="CS125" s="407">
        <v>0</v>
      </c>
      <c r="CT125" s="407">
        <v>0</v>
      </c>
      <c r="CU125" s="407">
        <v>0</v>
      </c>
      <c r="CV125" s="407">
        <v>0</v>
      </c>
      <c r="CW125" s="407">
        <v>0</v>
      </c>
      <c r="CX125" s="407">
        <v>0</v>
      </c>
      <c r="CY125" s="407">
        <v>0</v>
      </c>
      <c r="CZ125" s="407">
        <v>99.095211715853111</v>
      </c>
      <c r="DA125" s="407">
        <v>0</v>
      </c>
      <c r="DB125" s="407">
        <v>0</v>
      </c>
      <c r="DC125" s="407">
        <v>575.11403808045225</v>
      </c>
      <c r="DD125" s="407">
        <v>0</v>
      </c>
      <c r="DE125" s="407">
        <v>0</v>
      </c>
      <c r="DF125" s="407">
        <v>0</v>
      </c>
      <c r="DG125" s="407">
        <v>42.038999708248866</v>
      </c>
      <c r="DH125" s="407">
        <v>0</v>
      </c>
      <c r="DI125" s="407">
        <v>-81.632133417924479</v>
      </c>
      <c r="DJ125" s="407"/>
      <c r="DK125" s="407">
        <v>0</v>
      </c>
      <c r="DL125" s="407">
        <v>0</v>
      </c>
      <c r="DM125" s="407">
        <v>0</v>
      </c>
      <c r="DN125" s="407">
        <v>0</v>
      </c>
      <c r="DO125" s="407">
        <v>-10.98795819872231</v>
      </c>
      <c r="DP125" s="407">
        <v>-2.4866631293652759</v>
      </c>
      <c r="DQ125" s="407">
        <v>0</v>
      </c>
      <c r="DR125" s="407">
        <v>-296.64517793805453</v>
      </c>
      <c r="DS125" s="407"/>
      <c r="DT125" s="407"/>
      <c r="DU125" s="407"/>
      <c r="DV125" s="407">
        <v>7852.7874487325571</v>
      </c>
      <c r="DW125" s="407">
        <v>0</v>
      </c>
      <c r="DX125" s="407">
        <v>0</v>
      </c>
      <c r="DY125" s="407">
        <v>-4203.3645000000015</v>
      </c>
      <c r="DZ125" s="407">
        <v>516.62829000000011</v>
      </c>
      <c r="EA125" s="407">
        <v>0</v>
      </c>
      <c r="EB125" s="407">
        <v>0</v>
      </c>
      <c r="EC125" s="407">
        <v>-4011.2220678801218</v>
      </c>
      <c r="ED125" s="407">
        <v>0</v>
      </c>
      <c r="EE125" s="407">
        <v>0</v>
      </c>
      <c r="EF125" s="407">
        <v>0</v>
      </c>
      <c r="EG125" s="407">
        <v>0</v>
      </c>
      <c r="EH125" s="407">
        <v>0</v>
      </c>
      <c r="EI125" s="407">
        <v>0</v>
      </c>
      <c r="EJ125" s="407">
        <v>0</v>
      </c>
      <c r="EK125" s="407">
        <v>0</v>
      </c>
      <c r="EL125" s="407">
        <v>0</v>
      </c>
      <c r="EM125" s="407">
        <v>0</v>
      </c>
      <c r="EN125" s="407">
        <v>0</v>
      </c>
      <c r="EO125" s="407">
        <v>0</v>
      </c>
      <c r="EP125" s="407">
        <v>552.0644341459448</v>
      </c>
      <c r="EQ125" s="407">
        <v>0</v>
      </c>
      <c r="ER125" s="407">
        <v>0</v>
      </c>
      <c r="ES125" s="407">
        <v>0</v>
      </c>
      <c r="ET125" s="407">
        <v>0</v>
      </c>
      <c r="EU125" s="407">
        <v>0</v>
      </c>
      <c r="EV125" s="407">
        <v>246</v>
      </c>
      <c r="EW125" s="407">
        <v>0</v>
      </c>
      <c r="EX125" s="407">
        <v>0</v>
      </c>
      <c r="EY125" s="407">
        <v>0</v>
      </c>
      <c r="EZ125" s="407"/>
      <c r="FA125" s="407">
        <v>0</v>
      </c>
      <c r="FB125" s="407"/>
      <c r="FC125" s="407"/>
      <c r="FD125" s="407"/>
      <c r="FE125" s="407"/>
      <c r="FF125" s="407">
        <v>0</v>
      </c>
      <c r="FG125" s="407">
        <v>0</v>
      </c>
      <c r="FH125" s="407">
        <v>0</v>
      </c>
      <c r="FI125" s="407">
        <v>0</v>
      </c>
    </row>
    <row r="126" spans="1:165" s="845" customFormat="1">
      <c r="A126" s="407">
        <v>133</v>
      </c>
      <c r="B126" s="407" t="s">
        <v>2309</v>
      </c>
      <c r="C126" s="407" t="s">
        <v>2306</v>
      </c>
      <c r="D126" s="407" t="s">
        <v>1218</v>
      </c>
      <c r="E126" s="407" t="s">
        <v>1021</v>
      </c>
      <c r="F126" s="407" t="s">
        <v>1021</v>
      </c>
      <c r="G126" s="407" t="s">
        <v>97</v>
      </c>
      <c r="H126" s="407" t="s">
        <v>97</v>
      </c>
      <c r="I126" s="407" t="s">
        <v>97</v>
      </c>
      <c r="J126" s="407" t="s">
        <v>2307</v>
      </c>
      <c r="K126" s="818">
        <v>44440</v>
      </c>
      <c r="L126" s="407">
        <v>0</v>
      </c>
      <c r="M126" s="407">
        <v>0</v>
      </c>
      <c r="N126" s="407">
        <v>-0.05</v>
      </c>
      <c r="O126" s="407">
        <v>-0.05</v>
      </c>
      <c r="P126" s="407">
        <v>-0.05</v>
      </c>
      <c r="Q126" s="407">
        <v>-0.05</v>
      </c>
      <c r="R126" s="407"/>
      <c r="S126" s="407">
        <v>648.44000000000005</v>
      </c>
      <c r="T126" s="407">
        <v>159.41</v>
      </c>
      <c r="U126" s="407"/>
      <c r="V126" s="407">
        <v>-40.392500000000005</v>
      </c>
      <c r="W126" s="407">
        <v>-40.392500000000005</v>
      </c>
      <c r="X126" s="407">
        <v>-30.591000000000001</v>
      </c>
      <c r="Y126" s="407">
        <v>0</v>
      </c>
      <c r="Z126" s="407">
        <v>-3.0985125315003352</v>
      </c>
      <c r="AA126" s="407">
        <v>0</v>
      </c>
      <c r="AB126" s="407">
        <v>0</v>
      </c>
      <c r="AC126" s="407">
        <v>0</v>
      </c>
      <c r="AD126" s="407">
        <v>-5.8322213105958003</v>
      </c>
      <c r="AE126" s="407">
        <v>-20.877299539353853</v>
      </c>
      <c r="AF126" s="407">
        <v>-7.7115358356554502</v>
      </c>
      <c r="AG126" s="407">
        <v>-0.25908736190553555</v>
      </c>
      <c r="AH126" s="407">
        <v>0</v>
      </c>
      <c r="AI126" s="407">
        <v>0</v>
      </c>
      <c r="AJ126" s="407">
        <v>0</v>
      </c>
      <c r="AK126" s="407">
        <v>0</v>
      </c>
      <c r="AL126" s="407">
        <v>-0.47880276753710654</v>
      </c>
      <c r="AM126" s="407"/>
      <c r="AN126" s="407">
        <v>-0.103754782023918</v>
      </c>
      <c r="AO126" s="407">
        <v>0</v>
      </c>
      <c r="AP126" s="407">
        <v>0</v>
      </c>
      <c r="AQ126" s="407">
        <v>0</v>
      </c>
      <c r="AR126" s="407">
        <v>0</v>
      </c>
      <c r="AS126" s="407">
        <v>0</v>
      </c>
      <c r="AT126" s="407">
        <v>0</v>
      </c>
      <c r="AU126" s="407">
        <v>0</v>
      </c>
      <c r="AV126" s="407">
        <v>0</v>
      </c>
      <c r="AW126" s="407">
        <v>0</v>
      </c>
      <c r="AX126" s="407">
        <v>0</v>
      </c>
      <c r="AY126" s="407">
        <v>0</v>
      </c>
      <c r="AZ126" s="407">
        <v>0</v>
      </c>
      <c r="BA126" s="407"/>
      <c r="BB126" s="407">
        <v>0</v>
      </c>
      <c r="BC126" s="407">
        <v>0</v>
      </c>
      <c r="BD126" s="407">
        <v>0</v>
      </c>
      <c r="BE126" s="407">
        <v>0</v>
      </c>
      <c r="BF126" s="407">
        <v>0</v>
      </c>
      <c r="BG126" s="407">
        <v>-0.563688644824765</v>
      </c>
      <c r="BH126" s="407">
        <v>0</v>
      </c>
      <c r="BI126" s="407">
        <v>-0.43</v>
      </c>
      <c r="BJ126" s="407">
        <v>-2.67</v>
      </c>
      <c r="BK126" s="407">
        <v>-61.56</v>
      </c>
      <c r="BL126" s="407">
        <v>4</v>
      </c>
      <c r="BM126" s="407"/>
      <c r="BN126" s="407"/>
      <c r="BO126" s="407"/>
      <c r="BP126" s="407"/>
      <c r="BQ126" s="407"/>
      <c r="BR126" s="407"/>
      <c r="BS126" s="407"/>
      <c r="BT126" s="407"/>
      <c r="BU126" s="407"/>
      <c r="BV126" s="407">
        <v>-8.2752244804802153</v>
      </c>
      <c r="BW126" s="407"/>
      <c r="BX126" s="407"/>
      <c r="BY126" s="407"/>
      <c r="BZ126" s="407"/>
      <c r="CA126" s="407"/>
      <c r="CB126" s="407"/>
      <c r="CC126" s="407"/>
      <c r="CD126" s="407"/>
      <c r="CE126" s="407"/>
      <c r="CF126" s="407"/>
      <c r="CG126" s="407"/>
      <c r="CH126" s="407"/>
      <c r="CI126" s="407">
        <v>-30.591000000000001</v>
      </c>
      <c r="CJ126" s="407">
        <v>9.7715000000000103</v>
      </c>
      <c r="CK126" s="407"/>
      <c r="CL126" s="407"/>
      <c r="CM126" s="407"/>
      <c r="CN126" s="407"/>
      <c r="CO126" s="407">
        <v>11.175000000000004</v>
      </c>
      <c r="CP126" s="407">
        <v>-1.3734999999999999</v>
      </c>
      <c r="CQ126" s="407">
        <v>30</v>
      </c>
      <c r="CR126" s="407">
        <v>-0.86270090078291517</v>
      </c>
      <c r="CS126" s="407">
        <v>0</v>
      </c>
      <c r="CT126" s="407">
        <v>0</v>
      </c>
      <c r="CU126" s="407">
        <v>0</v>
      </c>
      <c r="CV126" s="407">
        <v>0</v>
      </c>
      <c r="CW126" s="407">
        <v>0</v>
      </c>
      <c r="CX126" s="407">
        <v>0</v>
      </c>
      <c r="CY126" s="407">
        <v>0</v>
      </c>
      <c r="CZ126" s="407">
        <v>-0.26345300078654965</v>
      </c>
      <c r="DA126" s="407">
        <v>0</v>
      </c>
      <c r="DB126" s="407">
        <v>0</v>
      </c>
      <c r="DC126" s="407">
        <v>-1.52898930738675</v>
      </c>
      <c r="DD126" s="407">
        <v>0</v>
      </c>
      <c r="DE126" s="407">
        <v>0</v>
      </c>
      <c r="DF126" s="407">
        <v>0</v>
      </c>
      <c r="DG126" s="407">
        <v>-0.11176423594472507</v>
      </c>
      <c r="DH126" s="407">
        <v>0</v>
      </c>
      <c r="DI126" s="407">
        <v>0.21702593028639505</v>
      </c>
      <c r="DJ126" s="407"/>
      <c r="DK126" s="407">
        <v>0</v>
      </c>
      <c r="DL126" s="407">
        <v>0</v>
      </c>
      <c r="DM126" s="407">
        <v>0</v>
      </c>
      <c r="DN126" s="407">
        <v>0</v>
      </c>
      <c r="DO126" s="407">
        <v>2.9212416118259976E-2</v>
      </c>
      <c r="DP126" s="407">
        <v>6.6110042254619861E-3</v>
      </c>
      <c r="DQ126" s="407">
        <v>0</v>
      </c>
      <c r="DR126" s="407">
        <v>0.78865629270498905</v>
      </c>
      <c r="DS126" s="407"/>
      <c r="DT126" s="407"/>
      <c r="DU126" s="407"/>
      <c r="DV126" s="407">
        <v>-20.877299539353853</v>
      </c>
      <c r="DW126" s="407">
        <v>0</v>
      </c>
      <c r="DX126" s="407">
        <v>0</v>
      </c>
      <c r="DY126" s="407">
        <v>11.175000000000004</v>
      </c>
      <c r="DZ126" s="407">
        <v>-1.3734999999999991</v>
      </c>
      <c r="EA126" s="407">
        <v>0</v>
      </c>
      <c r="EB126" s="407">
        <v>0</v>
      </c>
      <c r="EC126" s="407">
        <v>10.664173094805452</v>
      </c>
      <c r="ED126" s="407">
        <v>0</v>
      </c>
      <c r="EE126" s="407">
        <v>0</v>
      </c>
      <c r="EF126" s="407">
        <v>0</v>
      </c>
      <c r="EG126" s="407">
        <v>0</v>
      </c>
      <c r="EH126" s="407">
        <v>0</v>
      </c>
      <c r="EI126" s="407">
        <v>0</v>
      </c>
      <c r="EJ126" s="407">
        <v>0</v>
      </c>
      <c r="EK126" s="407">
        <v>0</v>
      </c>
      <c r="EL126" s="407">
        <v>0</v>
      </c>
      <c r="EM126" s="407">
        <v>0</v>
      </c>
      <c r="EN126" s="407">
        <v>0</v>
      </c>
      <c r="EO126" s="407">
        <v>0</v>
      </c>
      <c r="EP126" s="407">
        <v>-1.4677099860316503</v>
      </c>
      <c r="EQ126" s="407">
        <v>0</v>
      </c>
      <c r="ER126" s="407">
        <v>0</v>
      </c>
      <c r="ES126" s="407">
        <v>0</v>
      </c>
      <c r="ET126" s="407">
        <v>0</v>
      </c>
      <c r="EU126" s="407">
        <v>0</v>
      </c>
      <c r="EV126" s="407">
        <v>246</v>
      </c>
      <c r="EW126" s="407">
        <v>0</v>
      </c>
      <c r="EX126" s="407">
        <v>0</v>
      </c>
      <c r="EY126" s="407">
        <v>0</v>
      </c>
      <c r="EZ126" s="407"/>
      <c r="FA126" s="407">
        <v>0</v>
      </c>
      <c r="FB126" s="407"/>
      <c r="FC126" s="407"/>
      <c r="FD126" s="407"/>
      <c r="FE126" s="407"/>
      <c r="FF126" s="407">
        <v>0</v>
      </c>
      <c r="FG126" s="407">
        <v>0</v>
      </c>
      <c r="FH126" s="407">
        <v>0</v>
      </c>
      <c r="FI126" s="407">
        <v>0</v>
      </c>
    </row>
    <row r="127" spans="1:165" s="845" customFormat="1">
      <c r="A127" s="407">
        <v>134</v>
      </c>
      <c r="B127" s="407" t="s">
        <v>1090</v>
      </c>
      <c r="C127" s="407" t="s">
        <v>2306</v>
      </c>
      <c r="D127" s="407" t="s">
        <v>1218</v>
      </c>
      <c r="E127" s="407" t="s">
        <v>1021</v>
      </c>
      <c r="F127" s="407" t="s">
        <v>2310</v>
      </c>
      <c r="G127" s="407" t="s">
        <v>97</v>
      </c>
      <c r="H127" s="407" t="s">
        <v>97</v>
      </c>
      <c r="I127" s="407" t="s">
        <v>97</v>
      </c>
      <c r="J127" s="407" t="s">
        <v>2307</v>
      </c>
      <c r="K127" s="818">
        <v>44440</v>
      </c>
      <c r="L127" s="407">
        <v>0</v>
      </c>
      <c r="M127" s="407">
        <v>0</v>
      </c>
      <c r="N127" s="407">
        <v>19.71</v>
      </c>
      <c r="O127" s="407">
        <v>19.71</v>
      </c>
      <c r="P127" s="407">
        <v>19.71</v>
      </c>
      <c r="Q127" s="407">
        <v>19.71</v>
      </c>
      <c r="R127" s="407"/>
      <c r="S127" s="407">
        <v>547.54</v>
      </c>
      <c r="T127" s="407">
        <v>159.41</v>
      </c>
      <c r="U127" s="407"/>
      <c r="V127" s="407">
        <v>13933.9845</v>
      </c>
      <c r="W127" s="407">
        <v>13933.9845</v>
      </c>
      <c r="X127" s="407">
        <v>10206.2322</v>
      </c>
      <c r="Y127" s="407">
        <v>0</v>
      </c>
      <c r="Z127" s="407">
        <v>0</v>
      </c>
      <c r="AA127" s="407">
        <v>0</v>
      </c>
      <c r="AB127" s="407">
        <v>0</v>
      </c>
      <c r="AC127" s="407">
        <v>0</v>
      </c>
      <c r="AD127" s="407">
        <v>2299.0616406368645</v>
      </c>
      <c r="AE127" s="407">
        <v>8229.831478413289</v>
      </c>
      <c r="AF127" s="407">
        <v>3039.8874264153783</v>
      </c>
      <c r="AG127" s="407">
        <v>102.13223806316211</v>
      </c>
      <c r="AH127" s="407">
        <v>0</v>
      </c>
      <c r="AI127" s="407">
        <v>0</v>
      </c>
      <c r="AJ127" s="407">
        <v>0</v>
      </c>
      <c r="AK127" s="407">
        <v>0</v>
      </c>
      <c r="AL127" s="407">
        <v>0</v>
      </c>
      <c r="AM127" s="407"/>
      <c r="AN127" s="407">
        <v>40.900135073828473</v>
      </c>
      <c r="AO127" s="407">
        <v>0</v>
      </c>
      <c r="AP127" s="407">
        <v>0</v>
      </c>
      <c r="AQ127" s="407">
        <v>0</v>
      </c>
      <c r="AR127" s="407">
        <v>0</v>
      </c>
      <c r="AS127" s="407">
        <v>0</v>
      </c>
      <c r="AT127" s="407">
        <v>0</v>
      </c>
      <c r="AU127" s="407">
        <v>0</v>
      </c>
      <c r="AV127" s="407">
        <v>0</v>
      </c>
      <c r="AW127" s="407">
        <v>0</v>
      </c>
      <c r="AX127" s="407">
        <v>0</v>
      </c>
      <c r="AY127" s="407">
        <v>0</v>
      </c>
      <c r="AZ127" s="407">
        <v>0</v>
      </c>
      <c r="BA127" s="407"/>
      <c r="BB127" s="407">
        <v>0</v>
      </c>
      <c r="BC127" s="407">
        <v>0</v>
      </c>
      <c r="BD127" s="407">
        <v>0</v>
      </c>
      <c r="BE127" s="407">
        <v>0</v>
      </c>
      <c r="BF127" s="407">
        <v>0</v>
      </c>
      <c r="BG127" s="407">
        <v>222.20606378992238</v>
      </c>
      <c r="BH127" s="407">
        <v>0</v>
      </c>
      <c r="BI127" s="407">
        <v>17.47</v>
      </c>
      <c r="BJ127" s="407">
        <v>75.91</v>
      </c>
      <c r="BK127" s="407">
        <v>1426.54</v>
      </c>
      <c r="BL127" s="407">
        <v>31</v>
      </c>
      <c r="BM127" s="407"/>
      <c r="BN127" s="407"/>
      <c r="BO127" s="407"/>
      <c r="BP127" s="407"/>
      <c r="BQ127" s="407"/>
      <c r="BR127" s="407"/>
      <c r="BS127" s="407"/>
      <c r="BT127" s="407">
        <v>6633.9918000000007</v>
      </c>
      <c r="BU127" s="407"/>
      <c r="BV127" s="407">
        <v>3262.0934902053004</v>
      </c>
      <c r="BW127" s="407"/>
      <c r="BX127" s="407"/>
      <c r="BY127" s="407"/>
      <c r="BZ127" s="407"/>
      <c r="CA127" s="407"/>
      <c r="CB127" s="407"/>
      <c r="CC127" s="407"/>
      <c r="CD127" s="407"/>
      <c r="CE127" s="407"/>
      <c r="CF127" s="407"/>
      <c r="CG127" s="407"/>
      <c r="CH127" s="407"/>
      <c r="CI127" s="407">
        <v>3572.2404000000001</v>
      </c>
      <c r="CJ127" s="407">
        <v>-1304.6349000000005</v>
      </c>
      <c r="CK127" s="407"/>
      <c r="CL127" s="407"/>
      <c r="CM127" s="407"/>
      <c r="CN127" s="407"/>
      <c r="CO127" s="407">
        <v>-4269.1859999999997</v>
      </c>
      <c r="CP127" s="407">
        <v>541.43370000000004</v>
      </c>
      <c r="CQ127" s="407">
        <v>30</v>
      </c>
      <c r="CR127" s="407">
        <v>475.97370849944036</v>
      </c>
      <c r="CS127" s="407">
        <v>0</v>
      </c>
      <c r="CT127" s="407">
        <v>0</v>
      </c>
      <c r="CU127" s="407">
        <v>0</v>
      </c>
      <c r="CV127" s="407">
        <v>0</v>
      </c>
      <c r="CW127" s="407">
        <v>0</v>
      </c>
      <c r="CX127" s="407">
        <v>0</v>
      </c>
      <c r="CY127" s="407">
        <v>0</v>
      </c>
      <c r="CZ127" s="407">
        <v>103.85317291005776</v>
      </c>
      <c r="DA127" s="407">
        <v>0</v>
      </c>
      <c r="DB127" s="407">
        <v>0</v>
      </c>
      <c r="DC127" s="407">
        <v>602.72758497185714</v>
      </c>
      <c r="DD127" s="407">
        <v>0</v>
      </c>
      <c r="DE127" s="407">
        <v>0</v>
      </c>
      <c r="DF127" s="407">
        <v>0</v>
      </c>
      <c r="DG127" s="407">
        <v>44.057461809410597</v>
      </c>
      <c r="DH127" s="407">
        <v>0</v>
      </c>
      <c r="DI127" s="407">
        <v>0</v>
      </c>
      <c r="DJ127" s="407"/>
      <c r="DK127" s="407">
        <v>0</v>
      </c>
      <c r="DL127" s="407">
        <v>0</v>
      </c>
      <c r="DM127" s="407">
        <v>0</v>
      </c>
      <c r="DN127" s="407">
        <v>0</v>
      </c>
      <c r="DO127" s="407">
        <v>0</v>
      </c>
      <c r="DP127" s="407">
        <v>-2.6060578656771156</v>
      </c>
      <c r="DQ127" s="407">
        <v>0</v>
      </c>
      <c r="DR127" s="407">
        <v>-272.05845332620856</v>
      </c>
      <c r="DS127" s="407"/>
      <c r="DT127" s="407"/>
      <c r="DU127" s="407"/>
      <c r="DV127" s="407">
        <v>8229.831478413289</v>
      </c>
      <c r="DW127" s="407">
        <v>0</v>
      </c>
      <c r="DX127" s="407">
        <v>0</v>
      </c>
      <c r="DY127" s="407">
        <v>-4269.1859999999997</v>
      </c>
      <c r="DZ127" s="407">
        <v>541.43370000000004</v>
      </c>
      <c r="EA127" s="407">
        <v>0</v>
      </c>
      <c r="EB127" s="407">
        <v>0</v>
      </c>
      <c r="EC127" s="407">
        <v>-4203.8170339723092</v>
      </c>
      <c r="ED127" s="407">
        <v>0</v>
      </c>
      <c r="EE127" s="407">
        <v>0</v>
      </c>
      <c r="EF127" s="407">
        <v>0</v>
      </c>
      <c r="EG127" s="407">
        <v>0</v>
      </c>
      <c r="EH127" s="407">
        <v>0</v>
      </c>
      <c r="EI127" s="407">
        <v>0</v>
      </c>
      <c r="EJ127" s="407">
        <v>0</v>
      </c>
      <c r="EK127" s="407">
        <v>0</v>
      </c>
      <c r="EL127" s="407">
        <v>0</v>
      </c>
      <c r="EM127" s="407">
        <v>0</v>
      </c>
      <c r="EN127" s="407">
        <v>0</v>
      </c>
      <c r="EO127" s="407">
        <v>0</v>
      </c>
      <c r="EP127" s="407">
        <v>0</v>
      </c>
      <c r="EQ127" s="407">
        <v>0</v>
      </c>
      <c r="ER127" s="407">
        <v>0</v>
      </c>
      <c r="ES127" s="407">
        <v>0</v>
      </c>
      <c r="ET127" s="407">
        <v>0</v>
      </c>
      <c r="EU127" s="407">
        <v>0</v>
      </c>
      <c r="EV127" s="407">
        <v>246</v>
      </c>
      <c r="EW127" s="407">
        <v>0</v>
      </c>
      <c r="EX127" s="407">
        <v>0</v>
      </c>
      <c r="EY127" s="407">
        <v>0</v>
      </c>
      <c r="EZ127" s="407"/>
      <c r="FA127" s="407">
        <v>0</v>
      </c>
      <c r="FB127" s="407"/>
      <c r="FC127" s="407"/>
      <c r="FD127" s="407"/>
      <c r="FE127" s="407"/>
      <c r="FF127" s="407">
        <v>0</v>
      </c>
      <c r="FG127" s="407">
        <v>0</v>
      </c>
      <c r="FH127" s="407">
        <v>0</v>
      </c>
      <c r="FI127" s="407">
        <v>0</v>
      </c>
    </row>
    <row r="128" spans="1:165" s="845" customFormat="1">
      <c r="A128" s="407">
        <v>135</v>
      </c>
      <c r="B128" s="407" t="s">
        <v>2309</v>
      </c>
      <c r="C128" s="407" t="s">
        <v>2306</v>
      </c>
      <c r="D128" s="407" t="s">
        <v>1218</v>
      </c>
      <c r="E128" s="407" t="s">
        <v>1021</v>
      </c>
      <c r="F128" s="407" t="s">
        <v>2310</v>
      </c>
      <c r="G128" s="407" t="s">
        <v>97</v>
      </c>
      <c r="H128" s="407" t="s">
        <v>97</v>
      </c>
      <c r="I128" s="407" t="s">
        <v>97</v>
      </c>
      <c r="J128" s="407" t="s">
        <v>2307</v>
      </c>
      <c r="K128" s="818">
        <v>44440</v>
      </c>
      <c r="L128" s="407">
        <v>0</v>
      </c>
      <c r="M128" s="407">
        <v>0</v>
      </c>
      <c r="N128" s="407">
        <v>0</v>
      </c>
      <c r="O128" s="407">
        <v>0</v>
      </c>
      <c r="P128" s="407">
        <v>0</v>
      </c>
      <c r="Q128" s="407">
        <v>0</v>
      </c>
      <c r="R128" s="407"/>
      <c r="S128" s="407"/>
      <c r="T128" s="407"/>
      <c r="U128" s="407"/>
      <c r="V128" s="407"/>
      <c r="W128" s="407"/>
      <c r="X128" s="407"/>
      <c r="Y128" s="407"/>
      <c r="Z128" s="407"/>
      <c r="AA128" s="407">
        <v>0</v>
      </c>
      <c r="AB128" s="407"/>
      <c r="AC128" s="407"/>
      <c r="AD128" s="407"/>
      <c r="AE128" s="407"/>
      <c r="AF128" s="407"/>
      <c r="AG128" s="407"/>
      <c r="AH128" s="407"/>
      <c r="AI128" s="407"/>
      <c r="AJ128" s="407"/>
      <c r="AK128" s="407"/>
      <c r="AL128" s="407"/>
      <c r="AM128" s="407"/>
      <c r="AN128" s="407"/>
      <c r="AO128" s="407"/>
      <c r="AP128" s="407"/>
      <c r="AQ128" s="407"/>
      <c r="AR128" s="407"/>
      <c r="AS128" s="407"/>
      <c r="AT128" s="407"/>
      <c r="AU128" s="407"/>
      <c r="AV128" s="407"/>
      <c r="AW128" s="407"/>
      <c r="AX128" s="407"/>
      <c r="AY128" s="407"/>
      <c r="AZ128" s="407">
        <v>0</v>
      </c>
      <c r="BA128" s="407"/>
      <c r="BB128" s="407"/>
      <c r="BC128" s="407"/>
      <c r="BD128" s="407"/>
      <c r="BE128" s="407"/>
      <c r="BF128" s="407"/>
      <c r="BG128" s="407"/>
      <c r="BH128" s="407"/>
      <c r="BI128" s="407">
        <v>0</v>
      </c>
      <c r="BJ128" s="407">
        <v>0</v>
      </c>
      <c r="BK128" s="407">
        <v>1.48</v>
      </c>
      <c r="BL128" s="407">
        <v>0</v>
      </c>
      <c r="BM128" s="407"/>
      <c r="BN128" s="407"/>
      <c r="BO128" s="407"/>
      <c r="BP128" s="407"/>
      <c r="BQ128" s="407"/>
      <c r="BR128" s="407"/>
      <c r="BS128" s="407"/>
      <c r="BT128" s="407"/>
      <c r="BU128" s="407"/>
      <c r="BV128" s="407"/>
      <c r="BW128" s="407"/>
      <c r="BX128" s="407"/>
      <c r="BY128" s="407"/>
      <c r="BZ128" s="407"/>
      <c r="CA128" s="407"/>
      <c r="CB128" s="407"/>
      <c r="CC128" s="407"/>
      <c r="CD128" s="407"/>
      <c r="CE128" s="407"/>
      <c r="CF128" s="407"/>
      <c r="CG128" s="407"/>
      <c r="CH128" s="407"/>
      <c r="CI128" s="407"/>
      <c r="CJ128" s="407">
        <v>-0.03</v>
      </c>
      <c r="CK128" s="407"/>
      <c r="CL128" s="407"/>
      <c r="CM128" s="407"/>
      <c r="CN128" s="407"/>
      <c r="CO128" s="407">
        <v>0</v>
      </c>
      <c r="CP128" s="407">
        <v>0</v>
      </c>
      <c r="CQ128" s="407">
        <v>30</v>
      </c>
      <c r="CR128" s="407"/>
      <c r="CS128" s="407"/>
      <c r="CT128" s="407"/>
      <c r="CU128" s="407"/>
      <c r="CV128" s="407"/>
      <c r="CW128" s="407"/>
      <c r="CX128" s="407"/>
      <c r="CY128" s="407"/>
      <c r="CZ128" s="407"/>
      <c r="DA128" s="407"/>
      <c r="DB128" s="407"/>
      <c r="DC128" s="407"/>
      <c r="DD128" s="407"/>
      <c r="DE128" s="407"/>
      <c r="DF128" s="407"/>
      <c r="DG128" s="407"/>
      <c r="DH128" s="407"/>
      <c r="DI128" s="407"/>
      <c r="DJ128" s="407"/>
      <c r="DK128" s="407">
        <v>0</v>
      </c>
      <c r="DL128" s="407"/>
      <c r="DM128" s="407"/>
      <c r="DN128" s="407"/>
      <c r="DO128" s="407"/>
      <c r="DP128" s="407"/>
      <c r="DQ128" s="407"/>
      <c r="DR128" s="407"/>
      <c r="DS128" s="407"/>
      <c r="DT128" s="407"/>
      <c r="DU128" s="407"/>
      <c r="DV128" s="407"/>
      <c r="DW128" s="407"/>
      <c r="DX128" s="407"/>
      <c r="DY128" s="407"/>
      <c r="DZ128" s="407"/>
      <c r="EA128" s="407"/>
      <c r="EB128" s="407"/>
      <c r="EC128" s="407"/>
      <c r="ED128" s="407"/>
      <c r="EE128" s="407"/>
      <c r="EF128" s="407"/>
      <c r="EG128" s="407"/>
      <c r="EH128" s="407"/>
      <c r="EI128" s="407"/>
      <c r="EJ128" s="407"/>
      <c r="EK128" s="407"/>
      <c r="EL128" s="407"/>
      <c r="EM128" s="407"/>
      <c r="EN128" s="407"/>
      <c r="EO128" s="407"/>
      <c r="EP128" s="407"/>
      <c r="EQ128" s="407"/>
      <c r="ER128" s="407"/>
      <c r="ES128" s="407"/>
      <c r="ET128" s="407"/>
      <c r="EU128" s="407"/>
      <c r="EV128" s="407">
        <v>246</v>
      </c>
      <c r="EW128" s="407"/>
      <c r="EX128" s="407"/>
      <c r="EY128" s="407"/>
      <c r="EZ128" s="407"/>
      <c r="FA128" s="407">
        <v>0</v>
      </c>
      <c r="FB128" s="407"/>
      <c r="FC128" s="407"/>
      <c r="FD128" s="407"/>
      <c r="FE128" s="407"/>
      <c r="FF128" s="407">
        <v>0</v>
      </c>
      <c r="FG128" s="407">
        <v>0</v>
      </c>
      <c r="FH128" s="407">
        <v>0</v>
      </c>
      <c r="FI128" s="407">
        <v>0</v>
      </c>
    </row>
    <row r="129" spans="1:165" s="845" customFormat="1">
      <c r="A129" s="407">
        <v>136</v>
      </c>
      <c r="B129" s="407" t="s">
        <v>1090</v>
      </c>
      <c r="C129" s="407" t="s">
        <v>2306</v>
      </c>
      <c r="D129" s="407" t="s">
        <v>1218</v>
      </c>
      <c r="E129" s="407" t="s">
        <v>1021</v>
      </c>
      <c r="F129" s="407" t="s">
        <v>2311</v>
      </c>
      <c r="G129" s="407" t="s">
        <v>97</v>
      </c>
      <c r="H129" s="407" t="s">
        <v>97</v>
      </c>
      <c r="I129" s="407" t="s">
        <v>97</v>
      </c>
      <c r="J129" s="407" t="s">
        <v>2307</v>
      </c>
      <c r="K129" s="818">
        <v>44440</v>
      </c>
      <c r="L129" s="407">
        <v>0</v>
      </c>
      <c r="M129" s="407">
        <v>0</v>
      </c>
      <c r="N129" s="407">
        <v>40.024999999999999</v>
      </c>
      <c r="O129" s="407">
        <v>40.024999999999999</v>
      </c>
      <c r="P129" s="407">
        <v>40.024999999999999</v>
      </c>
      <c r="Q129" s="407">
        <v>40.024999999999999</v>
      </c>
      <c r="R129" s="407"/>
      <c r="S129" s="407">
        <v>547.54</v>
      </c>
      <c r="T129" s="407">
        <v>159.41</v>
      </c>
      <c r="U129" s="407"/>
      <c r="V129" s="407">
        <v>28295.673749999998</v>
      </c>
      <c r="W129" s="407">
        <v>28295.673749999998</v>
      </c>
      <c r="X129" s="407">
        <v>20725.745499999997</v>
      </c>
      <c r="Y129" s="407">
        <v>0</v>
      </c>
      <c r="Z129" s="407">
        <v>0</v>
      </c>
      <c r="AA129" s="407">
        <v>0</v>
      </c>
      <c r="AB129" s="407">
        <v>0</v>
      </c>
      <c r="AC129" s="407">
        <v>0</v>
      </c>
      <c r="AD129" s="407">
        <v>4668.693159131938</v>
      </c>
      <c r="AE129" s="407">
        <v>16712.278281252758</v>
      </c>
      <c r="AF129" s="407">
        <v>6173.0844364421873</v>
      </c>
      <c r="AG129" s="407">
        <v>207.39943320538117</v>
      </c>
      <c r="AH129" s="407">
        <v>0</v>
      </c>
      <c r="AI129" s="407">
        <v>0</v>
      </c>
      <c r="AJ129" s="407">
        <v>0</v>
      </c>
      <c r="AK129" s="407">
        <v>0</v>
      </c>
      <c r="AL129" s="407">
        <v>0</v>
      </c>
      <c r="AM129" s="407"/>
      <c r="AN129" s="407">
        <v>83.055703010146345</v>
      </c>
      <c r="AO129" s="407">
        <v>0</v>
      </c>
      <c r="AP129" s="407">
        <v>0</v>
      </c>
      <c r="AQ129" s="407">
        <v>0</v>
      </c>
      <c r="AR129" s="407">
        <v>0</v>
      </c>
      <c r="AS129" s="407">
        <v>0</v>
      </c>
      <c r="AT129" s="407">
        <v>0</v>
      </c>
      <c r="AU129" s="407">
        <v>0</v>
      </c>
      <c r="AV129" s="407">
        <v>0</v>
      </c>
      <c r="AW129" s="407">
        <v>0</v>
      </c>
      <c r="AX129" s="407">
        <v>0</v>
      </c>
      <c r="AY129" s="407">
        <v>0</v>
      </c>
      <c r="AZ129" s="407">
        <v>0</v>
      </c>
      <c r="BA129" s="407"/>
      <c r="BB129" s="407">
        <v>0</v>
      </c>
      <c r="BC129" s="407">
        <v>0</v>
      </c>
      <c r="BD129" s="407">
        <v>0</v>
      </c>
      <c r="BE129" s="407">
        <v>0</v>
      </c>
      <c r="BF129" s="407">
        <v>0</v>
      </c>
      <c r="BG129" s="407">
        <v>451.23276018222435</v>
      </c>
      <c r="BH129" s="407">
        <v>0</v>
      </c>
      <c r="BI129" s="407">
        <v>63.62</v>
      </c>
      <c r="BJ129" s="407">
        <v>310.39</v>
      </c>
      <c r="BK129" s="407">
        <v>5596.51</v>
      </c>
      <c r="BL129" s="407">
        <v>147</v>
      </c>
      <c r="BM129" s="407"/>
      <c r="BN129" s="407"/>
      <c r="BO129" s="407"/>
      <c r="BP129" s="407"/>
      <c r="BQ129" s="407"/>
      <c r="BR129" s="407"/>
      <c r="BS129" s="407"/>
      <c r="BT129" s="407">
        <v>8290.3782499999998</v>
      </c>
      <c r="BU129" s="407"/>
      <c r="BV129" s="407">
        <v>6624.3171966244117</v>
      </c>
      <c r="BW129" s="407"/>
      <c r="BX129" s="407"/>
      <c r="BY129" s="407"/>
      <c r="BZ129" s="407"/>
      <c r="CA129" s="407"/>
      <c r="CB129" s="407"/>
      <c r="CC129" s="407"/>
      <c r="CD129" s="407"/>
      <c r="CE129" s="407"/>
      <c r="CF129" s="407"/>
      <c r="CG129" s="407"/>
      <c r="CH129" s="407"/>
      <c r="CI129" s="407">
        <v>12436.920700000001</v>
      </c>
      <c r="CJ129" s="407">
        <v>-4540.5135499999978</v>
      </c>
      <c r="CK129" s="407"/>
      <c r="CL129" s="407"/>
      <c r="CM129" s="407"/>
      <c r="CN129" s="407"/>
      <c r="CO129" s="407">
        <v>-8669.4149999999991</v>
      </c>
      <c r="CP129" s="407">
        <v>1099.48675</v>
      </c>
      <c r="CQ129" s="407">
        <v>30</v>
      </c>
      <c r="CR129" s="407">
        <v>966.557467411978</v>
      </c>
      <c r="CS129" s="407">
        <v>0</v>
      </c>
      <c r="CT129" s="407">
        <v>0</v>
      </c>
      <c r="CU129" s="407">
        <v>0</v>
      </c>
      <c r="CV129" s="407">
        <v>0</v>
      </c>
      <c r="CW129" s="407">
        <v>0</v>
      </c>
      <c r="CX129" s="407">
        <v>0</v>
      </c>
      <c r="CY129" s="407">
        <v>0</v>
      </c>
      <c r="CZ129" s="407">
        <v>210.89412712963258</v>
      </c>
      <c r="DA129" s="407">
        <v>0</v>
      </c>
      <c r="DB129" s="407">
        <v>0</v>
      </c>
      <c r="DC129" s="407">
        <v>1223.9559405630935</v>
      </c>
      <c r="DD129" s="407">
        <v>0</v>
      </c>
      <c r="DE129" s="407">
        <v>0</v>
      </c>
      <c r="DF129" s="407">
        <v>0</v>
      </c>
      <c r="DG129" s="407">
        <v>89.467270873752398</v>
      </c>
      <c r="DH129" s="407">
        <v>0</v>
      </c>
      <c r="DI129" s="407">
        <v>0</v>
      </c>
      <c r="DJ129" s="407"/>
      <c r="DK129" s="407">
        <v>0</v>
      </c>
      <c r="DL129" s="407">
        <v>0</v>
      </c>
      <c r="DM129" s="407">
        <v>0</v>
      </c>
      <c r="DN129" s="407">
        <v>0</v>
      </c>
      <c r="DO129" s="407">
        <v>0</v>
      </c>
      <c r="DP129" s="407">
        <v>-5.2921088824823244</v>
      </c>
      <c r="DQ129" s="407">
        <v>0</v>
      </c>
      <c r="DR129" s="407">
        <v>-552.46776227201917</v>
      </c>
      <c r="DS129" s="407"/>
      <c r="DT129" s="407"/>
      <c r="DU129" s="407"/>
      <c r="DV129" s="407">
        <v>16712.278281252758</v>
      </c>
      <c r="DW129" s="407">
        <v>0</v>
      </c>
      <c r="DX129" s="407">
        <v>0</v>
      </c>
      <c r="DY129" s="407">
        <v>-8669.4149999999991</v>
      </c>
      <c r="DZ129" s="407">
        <v>1099.48675</v>
      </c>
      <c r="EA129" s="407">
        <v>0</v>
      </c>
      <c r="EB129" s="407">
        <v>0</v>
      </c>
      <c r="EC129" s="407">
        <v>-8536.6705623917642</v>
      </c>
      <c r="ED129" s="407">
        <v>0</v>
      </c>
      <c r="EE129" s="407">
        <v>0</v>
      </c>
      <c r="EF129" s="407">
        <v>0</v>
      </c>
      <c r="EG129" s="407">
        <v>0</v>
      </c>
      <c r="EH129" s="407">
        <v>0</v>
      </c>
      <c r="EI129" s="407">
        <v>0</v>
      </c>
      <c r="EJ129" s="407">
        <v>0</v>
      </c>
      <c r="EK129" s="407">
        <v>0</v>
      </c>
      <c r="EL129" s="407">
        <v>0</v>
      </c>
      <c r="EM129" s="407">
        <v>0</v>
      </c>
      <c r="EN129" s="407">
        <v>0</v>
      </c>
      <c r="EO129" s="407">
        <v>0</v>
      </c>
      <c r="EP129" s="407">
        <v>0</v>
      </c>
      <c r="EQ129" s="407">
        <v>0</v>
      </c>
      <c r="ER129" s="407">
        <v>0</v>
      </c>
      <c r="ES129" s="407">
        <v>0</v>
      </c>
      <c r="ET129" s="407">
        <v>0</v>
      </c>
      <c r="EU129" s="407">
        <v>0</v>
      </c>
      <c r="EV129" s="407">
        <v>246</v>
      </c>
      <c r="EW129" s="407">
        <v>0</v>
      </c>
      <c r="EX129" s="407">
        <v>0</v>
      </c>
      <c r="EY129" s="407">
        <v>0</v>
      </c>
      <c r="EZ129" s="407"/>
      <c r="FA129" s="407">
        <v>0</v>
      </c>
      <c r="FB129" s="407"/>
      <c r="FC129" s="407"/>
      <c r="FD129" s="407"/>
      <c r="FE129" s="407"/>
      <c r="FF129" s="407">
        <v>0</v>
      </c>
      <c r="FG129" s="407">
        <v>0</v>
      </c>
      <c r="FH129" s="407">
        <v>0</v>
      </c>
      <c r="FI129" s="407">
        <v>0</v>
      </c>
    </row>
    <row r="130" spans="1:165" s="845" customFormat="1">
      <c r="A130" s="407">
        <v>137</v>
      </c>
      <c r="B130" s="407" t="s">
        <v>2309</v>
      </c>
      <c r="C130" s="407" t="s">
        <v>2306</v>
      </c>
      <c r="D130" s="407" t="s">
        <v>1218</v>
      </c>
      <c r="E130" s="407" t="s">
        <v>1021</v>
      </c>
      <c r="F130" s="407" t="s">
        <v>2311</v>
      </c>
      <c r="G130" s="407" t="s">
        <v>97</v>
      </c>
      <c r="H130" s="407" t="s">
        <v>97</v>
      </c>
      <c r="I130" s="407" t="s">
        <v>97</v>
      </c>
      <c r="J130" s="407" t="s">
        <v>2307</v>
      </c>
      <c r="K130" s="818">
        <v>44440</v>
      </c>
      <c r="L130" s="407">
        <v>0</v>
      </c>
      <c r="M130" s="407">
        <v>0</v>
      </c>
      <c r="N130" s="407">
        <v>0</v>
      </c>
      <c r="O130" s="407">
        <v>0</v>
      </c>
      <c r="P130" s="407">
        <v>0</v>
      </c>
      <c r="Q130" s="407">
        <v>0</v>
      </c>
      <c r="R130" s="407"/>
      <c r="S130" s="407"/>
      <c r="T130" s="407"/>
      <c r="U130" s="407"/>
      <c r="V130" s="407"/>
      <c r="W130" s="407"/>
      <c r="X130" s="407"/>
      <c r="Y130" s="407"/>
      <c r="Z130" s="407"/>
      <c r="AA130" s="407">
        <v>0</v>
      </c>
      <c r="AB130" s="407"/>
      <c r="AC130" s="407"/>
      <c r="AD130" s="407"/>
      <c r="AE130" s="407"/>
      <c r="AF130" s="407"/>
      <c r="AG130" s="407"/>
      <c r="AH130" s="407"/>
      <c r="AI130" s="407"/>
      <c r="AJ130" s="407"/>
      <c r="AK130" s="407"/>
      <c r="AL130" s="407"/>
      <c r="AM130" s="407"/>
      <c r="AN130" s="407"/>
      <c r="AO130" s="407"/>
      <c r="AP130" s="407"/>
      <c r="AQ130" s="407"/>
      <c r="AR130" s="407"/>
      <c r="AS130" s="407"/>
      <c r="AT130" s="407"/>
      <c r="AU130" s="407"/>
      <c r="AV130" s="407"/>
      <c r="AW130" s="407"/>
      <c r="AX130" s="407"/>
      <c r="AY130" s="407"/>
      <c r="AZ130" s="407">
        <v>0</v>
      </c>
      <c r="BA130" s="407"/>
      <c r="BB130" s="407"/>
      <c r="BC130" s="407"/>
      <c r="BD130" s="407"/>
      <c r="BE130" s="407"/>
      <c r="BF130" s="407"/>
      <c r="BG130" s="407"/>
      <c r="BH130" s="407"/>
      <c r="BI130" s="407">
        <v>0</v>
      </c>
      <c r="BJ130" s="407">
        <v>0</v>
      </c>
      <c r="BK130" s="407">
        <v>5.95</v>
      </c>
      <c r="BL130" s="407">
        <v>0</v>
      </c>
      <c r="BM130" s="407"/>
      <c r="BN130" s="407"/>
      <c r="BO130" s="407"/>
      <c r="BP130" s="407"/>
      <c r="BQ130" s="407"/>
      <c r="BR130" s="407"/>
      <c r="BS130" s="407"/>
      <c r="BT130" s="407"/>
      <c r="BU130" s="407"/>
      <c r="BV130" s="407"/>
      <c r="BW130" s="407"/>
      <c r="BX130" s="407"/>
      <c r="BY130" s="407"/>
      <c r="BZ130" s="407"/>
      <c r="CA130" s="407"/>
      <c r="CB130" s="407"/>
      <c r="CC130" s="407"/>
      <c r="CD130" s="407"/>
      <c r="CE130" s="407"/>
      <c r="CF130" s="407"/>
      <c r="CG130" s="407"/>
      <c r="CH130" s="407"/>
      <c r="CI130" s="407"/>
      <c r="CJ130" s="407">
        <v>-0.03</v>
      </c>
      <c r="CK130" s="407"/>
      <c r="CL130" s="407"/>
      <c r="CM130" s="407"/>
      <c r="CN130" s="407"/>
      <c r="CO130" s="407">
        <v>0</v>
      </c>
      <c r="CP130" s="407">
        <v>0</v>
      </c>
      <c r="CQ130" s="407">
        <v>30</v>
      </c>
      <c r="CR130" s="407"/>
      <c r="CS130" s="407"/>
      <c r="CT130" s="407"/>
      <c r="CU130" s="407"/>
      <c r="CV130" s="407"/>
      <c r="CW130" s="407"/>
      <c r="CX130" s="407"/>
      <c r="CY130" s="407"/>
      <c r="CZ130" s="407"/>
      <c r="DA130" s="407"/>
      <c r="DB130" s="407"/>
      <c r="DC130" s="407"/>
      <c r="DD130" s="407"/>
      <c r="DE130" s="407"/>
      <c r="DF130" s="407"/>
      <c r="DG130" s="407"/>
      <c r="DH130" s="407"/>
      <c r="DI130" s="407"/>
      <c r="DJ130" s="407"/>
      <c r="DK130" s="407">
        <v>0</v>
      </c>
      <c r="DL130" s="407"/>
      <c r="DM130" s="407"/>
      <c r="DN130" s="407"/>
      <c r="DO130" s="407"/>
      <c r="DP130" s="407"/>
      <c r="DQ130" s="407"/>
      <c r="DR130" s="407"/>
      <c r="DS130" s="407"/>
      <c r="DT130" s="407"/>
      <c r="DU130" s="407"/>
      <c r="DV130" s="407"/>
      <c r="DW130" s="407"/>
      <c r="DX130" s="407"/>
      <c r="DY130" s="407"/>
      <c r="DZ130" s="407"/>
      <c r="EA130" s="407"/>
      <c r="EB130" s="407"/>
      <c r="EC130" s="407"/>
      <c r="ED130" s="407"/>
      <c r="EE130" s="407"/>
      <c r="EF130" s="407"/>
      <c r="EG130" s="407"/>
      <c r="EH130" s="407"/>
      <c r="EI130" s="407"/>
      <c r="EJ130" s="407"/>
      <c r="EK130" s="407"/>
      <c r="EL130" s="407"/>
      <c r="EM130" s="407"/>
      <c r="EN130" s="407"/>
      <c r="EO130" s="407"/>
      <c r="EP130" s="407"/>
      <c r="EQ130" s="407"/>
      <c r="ER130" s="407"/>
      <c r="ES130" s="407"/>
      <c r="ET130" s="407"/>
      <c r="EU130" s="407"/>
      <c r="EV130" s="407">
        <v>246</v>
      </c>
      <c r="EW130" s="407"/>
      <c r="EX130" s="407"/>
      <c r="EY130" s="407"/>
      <c r="EZ130" s="407"/>
      <c r="FA130" s="407">
        <v>0</v>
      </c>
      <c r="FB130" s="407"/>
      <c r="FC130" s="407"/>
      <c r="FD130" s="407"/>
      <c r="FE130" s="407"/>
      <c r="FF130" s="407">
        <v>0</v>
      </c>
      <c r="FG130" s="407">
        <v>0</v>
      </c>
      <c r="FH130" s="407">
        <v>0</v>
      </c>
      <c r="FI130" s="407">
        <v>0</v>
      </c>
    </row>
    <row r="131" spans="1:165" s="845" customFormat="1">
      <c r="A131" s="407">
        <v>138</v>
      </c>
      <c r="B131" s="407" t="s">
        <v>1090</v>
      </c>
      <c r="C131" s="407" t="s">
        <v>2306</v>
      </c>
      <c r="D131" s="407" t="s">
        <v>1218</v>
      </c>
      <c r="E131" s="407" t="s">
        <v>1021</v>
      </c>
      <c r="F131" s="407" t="s">
        <v>2312</v>
      </c>
      <c r="G131" s="407" t="s">
        <v>97</v>
      </c>
      <c r="H131" s="407" t="s">
        <v>97</v>
      </c>
      <c r="I131" s="407" t="s">
        <v>97</v>
      </c>
      <c r="J131" s="407" t="s">
        <v>2307</v>
      </c>
      <c r="K131" s="818">
        <v>44440</v>
      </c>
      <c r="L131" s="407">
        <v>0</v>
      </c>
      <c r="M131" s="407">
        <v>0</v>
      </c>
      <c r="N131" s="407">
        <v>33.164000000000001</v>
      </c>
      <c r="O131" s="407">
        <v>33.164000000000001</v>
      </c>
      <c r="P131" s="407">
        <v>33.164000000000001</v>
      </c>
      <c r="Q131" s="407">
        <v>33.164000000000001</v>
      </c>
      <c r="R131" s="407"/>
      <c r="S131" s="407">
        <v>547.54</v>
      </c>
      <c r="T131" s="407">
        <v>159.41</v>
      </c>
      <c r="U131" s="407"/>
      <c r="V131" s="407">
        <v>23445.289799999999</v>
      </c>
      <c r="W131" s="407">
        <v>23445.289799999999</v>
      </c>
      <c r="X131" s="407">
        <v>17172.982480000002</v>
      </c>
      <c r="Y131" s="407">
        <v>0</v>
      </c>
      <c r="Z131" s="407">
        <v>0</v>
      </c>
      <c r="AA131" s="407">
        <v>0</v>
      </c>
      <c r="AB131" s="407">
        <v>0</v>
      </c>
      <c r="AC131" s="407">
        <v>0</v>
      </c>
      <c r="AD131" s="407">
        <v>3868.3957508919825</v>
      </c>
      <c r="AE131" s="407">
        <v>13847.495238462623</v>
      </c>
      <c r="AF131" s="407">
        <v>5114.9074890735465</v>
      </c>
      <c r="AG131" s="407">
        <v>171.8474654047036</v>
      </c>
      <c r="AH131" s="407">
        <v>0</v>
      </c>
      <c r="AI131" s="407">
        <v>0</v>
      </c>
      <c r="AJ131" s="407">
        <v>0</v>
      </c>
      <c r="AK131" s="407">
        <v>0</v>
      </c>
      <c r="AL131" s="407">
        <v>0</v>
      </c>
      <c r="AM131" s="407"/>
      <c r="AN131" s="407">
        <v>68.818471820824328</v>
      </c>
      <c r="AO131" s="407">
        <v>0</v>
      </c>
      <c r="AP131" s="407">
        <v>0</v>
      </c>
      <c r="AQ131" s="407">
        <v>0</v>
      </c>
      <c r="AR131" s="407">
        <v>0</v>
      </c>
      <c r="AS131" s="407">
        <v>0</v>
      </c>
      <c r="AT131" s="407">
        <v>0</v>
      </c>
      <c r="AU131" s="407">
        <v>0</v>
      </c>
      <c r="AV131" s="407">
        <v>0</v>
      </c>
      <c r="AW131" s="407">
        <v>0</v>
      </c>
      <c r="AX131" s="407">
        <v>0</v>
      </c>
      <c r="AY131" s="407">
        <v>0</v>
      </c>
      <c r="AZ131" s="407">
        <v>0</v>
      </c>
      <c r="BA131" s="407"/>
      <c r="BB131" s="407">
        <v>0</v>
      </c>
      <c r="BC131" s="407">
        <v>0</v>
      </c>
      <c r="BD131" s="407">
        <v>0</v>
      </c>
      <c r="BE131" s="407">
        <v>0</v>
      </c>
      <c r="BF131" s="407">
        <v>0</v>
      </c>
      <c r="BG131" s="407">
        <v>373.88340433937014</v>
      </c>
      <c r="BH131" s="407">
        <v>0</v>
      </c>
      <c r="BI131" s="407">
        <v>92.72</v>
      </c>
      <c r="BJ131" s="407">
        <v>463.52</v>
      </c>
      <c r="BK131" s="407">
        <v>8462.7099999999991</v>
      </c>
      <c r="BL131" s="407">
        <v>385</v>
      </c>
      <c r="BM131" s="407"/>
      <c r="BN131" s="407"/>
      <c r="BO131" s="407"/>
      <c r="BP131" s="407"/>
      <c r="BQ131" s="407"/>
      <c r="BR131" s="407"/>
      <c r="BS131" s="407"/>
      <c r="BT131" s="407">
        <v>1717.563560000001</v>
      </c>
      <c r="BU131" s="407"/>
      <c r="BV131" s="407">
        <v>5488.7908934129164</v>
      </c>
      <c r="BW131" s="407"/>
      <c r="BX131" s="407"/>
      <c r="BY131" s="407"/>
      <c r="BZ131" s="407"/>
      <c r="CA131" s="407"/>
      <c r="CB131" s="407"/>
      <c r="CC131" s="407"/>
      <c r="CD131" s="407"/>
      <c r="CE131" s="407"/>
      <c r="CF131" s="407"/>
      <c r="CG131" s="407"/>
      <c r="CH131" s="407"/>
      <c r="CI131" s="407">
        <v>15453.554799999998</v>
      </c>
      <c r="CJ131" s="407">
        <v>-5647.4018400000023</v>
      </c>
      <c r="CK131" s="407"/>
      <c r="CL131" s="407"/>
      <c r="CM131" s="407"/>
      <c r="CN131" s="407"/>
      <c r="CO131" s="407">
        <v>-7183.3223999999991</v>
      </c>
      <c r="CP131" s="407">
        <v>911.01508000000001</v>
      </c>
      <c r="CQ131" s="407">
        <v>30</v>
      </c>
      <c r="CR131" s="407">
        <v>800.87225107435188</v>
      </c>
      <c r="CS131" s="407">
        <v>0</v>
      </c>
      <c r="CT131" s="407">
        <v>0</v>
      </c>
      <c r="CU131" s="407">
        <v>0</v>
      </c>
      <c r="CV131" s="407">
        <v>0</v>
      </c>
      <c r="CW131" s="407">
        <v>0</v>
      </c>
      <c r="CX131" s="407">
        <v>0</v>
      </c>
      <c r="CY131" s="407">
        <v>0</v>
      </c>
      <c r="CZ131" s="407">
        <v>174.74310636170276</v>
      </c>
      <c r="DA131" s="407">
        <v>0</v>
      </c>
      <c r="DB131" s="407">
        <v>0</v>
      </c>
      <c r="DC131" s="407">
        <v>1014.1480278034842</v>
      </c>
      <c r="DD131" s="407">
        <v>0</v>
      </c>
      <c r="DE131" s="407">
        <v>0</v>
      </c>
      <c r="DF131" s="407">
        <v>0</v>
      </c>
      <c r="DG131" s="407">
        <v>74.130982417417215</v>
      </c>
      <c r="DH131" s="407">
        <v>0</v>
      </c>
      <c r="DI131" s="407">
        <v>0</v>
      </c>
      <c r="DJ131" s="407"/>
      <c r="DK131" s="407">
        <v>0</v>
      </c>
      <c r="DL131" s="407">
        <v>0</v>
      </c>
      <c r="DM131" s="407">
        <v>0</v>
      </c>
      <c r="DN131" s="407">
        <v>0</v>
      </c>
      <c r="DO131" s="407">
        <v>0</v>
      </c>
      <c r="DP131" s="407">
        <v>-4.3849468826644369</v>
      </c>
      <c r="DQ131" s="407">
        <v>0</v>
      </c>
      <c r="DR131" s="407">
        <v>-457.7649186255901</v>
      </c>
      <c r="DS131" s="407"/>
      <c r="DT131" s="407"/>
      <c r="DU131" s="407"/>
      <c r="DV131" s="407">
        <v>13847.495238462623</v>
      </c>
      <c r="DW131" s="407">
        <v>0</v>
      </c>
      <c r="DX131" s="407">
        <v>0</v>
      </c>
      <c r="DY131" s="407">
        <v>-7183.3223999999973</v>
      </c>
      <c r="DZ131" s="407">
        <v>911.01508000000013</v>
      </c>
      <c r="EA131" s="407">
        <v>0</v>
      </c>
      <c r="EB131" s="407">
        <v>0</v>
      </c>
      <c r="EC131" s="407">
        <v>-7073.3327303225597</v>
      </c>
      <c r="ED131" s="407">
        <v>0</v>
      </c>
      <c r="EE131" s="407">
        <v>0</v>
      </c>
      <c r="EF131" s="407">
        <v>0</v>
      </c>
      <c r="EG131" s="407">
        <v>0</v>
      </c>
      <c r="EH131" s="407">
        <v>0</v>
      </c>
      <c r="EI131" s="407">
        <v>0</v>
      </c>
      <c r="EJ131" s="407">
        <v>0</v>
      </c>
      <c r="EK131" s="407">
        <v>0</v>
      </c>
      <c r="EL131" s="407">
        <v>0</v>
      </c>
      <c r="EM131" s="407">
        <v>0</v>
      </c>
      <c r="EN131" s="407">
        <v>0</v>
      </c>
      <c r="EO131" s="407">
        <v>0</v>
      </c>
      <c r="EP131" s="407">
        <v>0</v>
      </c>
      <c r="EQ131" s="407">
        <v>0</v>
      </c>
      <c r="ER131" s="407">
        <v>0</v>
      </c>
      <c r="ES131" s="407">
        <v>0</v>
      </c>
      <c r="ET131" s="407">
        <v>0</v>
      </c>
      <c r="EU131" s="407">
        <v>0</v>
      </c>
      <c r="EV131" s="407">
        <v>246</v>
      </c>
      <c r="EW131" s="407">
        <v>0</v>
      </c>
      <c r="EX131" s="407">
        <v>0</v>
      </c>
      <c r="EY131" s="407">
        <v>0</v>
      </c>
      <c r="EZ131" s="407"/>
      <c r="FA131" s="407">
        <v>0</v>
      </c>
      <c r="FB131" s="407"/>
      <c r="FC131" s="407"/>
      <c r="FD131" s="407"/>
      <c r="FE131" s="407"/>
      <c r="FF131" s="407">
        <v>0</v>
      </c>
      <c r="FG131" s="407">
        <v>0</v>
      </c>
      <c r="FH131" s="407">
        <v>0</v>
      </c>
      <c r="FI131" s="407">
        <v>0</v>
      </c>
    </row>
    <row r="132" spans="1:165" s="845" customFormat="1">
      <c r="A132" s="407">
        <v>139</v>
      </c>
      <c r="B132" s="407" t="s">
        <v>2309</v>
      </c>
      <c r="C132" s="407" t="s">
        <v>2306</v>
      </c>
      <c r="D132" s="407" t="s">
        <v>1218</v>
      </c>
      <c r="E132" s="407" t="s">
        <v>1021</v>
      </c>
      <c r="F132" s="407" t="s">
        <v>2312</v>
      </c>
      <c r="G132" s="407" t="s">
        <v>97</v>
      </c>
      <c r="H132" s="407" t="s">
        <v>97</v>
      </c>
      <c r="I132" s="407" t="s">
        <v>97</v>
      </c>
      <c r="J132" s="407" t="s">
        <v>2307</v>
      </c>
      <c r="K132" s="818">
        <v>44440</v>
      </c>
      <c r="L132" s="407">
        <v>0</v>
      </c>
      <c r="M132" s="407">
        <v>0</v>
      </c>
      <c r="N132" s="407">
        <v>0</v>
      </c>
      <c r="O132" s="407">
        <v>0</v>
      </c>
      <c r="P132" s="407">
        <v>0</v>
      </c>
      <c r="Q132" s="407">
        <v>0</v>
      </c>
      <c r="R132" s="407"/>
      <c r="S132" s="407"/>
      <c r="T132" s="407"/>
      <c r="U132" s="407"/>
      <c r="V132" s="407"/>
      <c r="W132" s="407"/>
      <c r="X132" s="407"/>
      <c r="Y132" s="407"/>
      <c r="Z132" s="407"/>
      <c r="AA132" s="407">
        <v>0</v>
      </c>
      <c r="AB132" s="407"/>
      <c r="AC132" s="407"/>
      <c r="AD132" s="407"/>
      <c r="AE132" s="407"/>
      <c r="AF132" s="407"/>
      <c r="AG132" s="407"/>
      <c r="AH132" s="407"/>
      <c r="AI132" s="407"/>
      <c r="AJ132" s="407"/>
      <c r="AK132" s="407"/>
      <c r="AL132" s="407"/>
      <c r="AM132" s="407"/>
      <c r="AN132" s="407"/>
      <c r="AO132" s="407"/>
      <c r="AP132" s="407"/>
      <c r="AQ132" s="407"/>
      <c r="AR132" s="407"/>
      <c r="AS132" s="407"/>
      <c r="AT132" s="407"/>
      <c r="AU132" s="407"/>
      <c r="AV132" s="407"/>
      <c r="AW132" s="407"/>
      <c r="AX132" s="407"/>
      <c r="AY132" s="407"/>
      <c r="AZ132" s="407">
        <v>0</v>
      </c>
      <c r="BA132" s="407"/>
      <c r="BB132" s="407"/>
      <c r="BC132" s="407"/>
      <c r="BD132" s="407"/>
      <c r="BE132" s="407"/>
      <c r="BF132" s="407"/>
      <c r="BG132" s="407"/>
      <c r="BH132" s="407"/>
      <c r="BI132" s="407">
        <v>0</v>
      </c>
      <c r="BJ132" s="407">
        <v>0</v>
      </c>
      <c r="BK132" s="407">
        <v>15.32</v>
      </c>
      <c r="BL132" s="407">
        <v>0</v>
      </c>
      <c r="BM132" s="407"/>
      <c r="BN132" s="407"/>
      <c r="BO132" s="407"/>
      <c r="BP132" s="407"/>
      <c r="BQ132" s="407"/>
      <c r="BR132" s="407"/>
      <c r="BS132" s="407"/>
      <c r="BT132" s="407"/>
      <c r="BU132" s="407"/>
      <c r="BV132" s="407"/>
      <c r="BW132" s="407"/>
      <c r="BX132" s="407"/>
      <c r="BY132" s="407"/>
      <c r="BZ132" s="407"/>
      <c r="CA132" s="407"/>
      <c r="CB132" s="407"/>
      <c r="CC132" s="407"/>
      <c r="CD132" s="407"/>
      <c r="CE132" s="407"/>
      <c r="CF132" s="407"/>
      <c r="CG132" s="407"/>
      <c r="CH132" s="407"/>
      <c r="CI132" s="407"/>
      <c r="CJ132" s="407">
        <v>-0.03</v>
      </c>
      <c r="CK132" s="407"/>
      <c r="CL132" s="407"/>
      <c r="CM132" s="407"/>
      <c r="CN132" s="407"/>
      <c r="CO132" s="407">
        <v>0</v>
      </c>
      <c r="CP132" s="407">
        <v>0</v>
      </c>
      <c r="CQ132" s="407">
        <v>30</v>
      </c>
      <c r="CR132" s="407"/>
      <c r="CS132" s="407"/>
      <c r="CT132" s="407"/>
      <c r="CU132" s="407"/>
      <c r="CV132" s="407"/>
      <c r="CW132" s="407"/>
      <c r="CX132" s="407"/>
      <c r="CY132" s="407"/>
      <c r="CZ132" s="407"/>
      <c r="DA132" s="407"/>
      <c r="DB132" s="407"/>
      <c r="DC132" s="407"/>
      <c r="DD132" s="407"/>
      <c r="DE132" s="407"/>
      <c r="DF132" s="407"/>
      <c r="DG132" s="407"/>
      <c r="DH132" s="407"/>
      <c r="DI132" s="407"/>
      <c r="DJ132" s="407"/>
      <c r="DK132" s="407">
        <v>0</v>
      </c>
      <c r="DL132" s="407"/>
      <c r="DM132" s="407"/>
      <c r="DN132" s="407"/>
      <c r="DO132" s="407"/>
      <c r="DP132" s="407"/>
      <c r="DQ132" s="407"/>
      <c r="DR132" s="407"/>
      <c r="DS132" s="407"/>
      <c r="DT132" s="407"/>
      <c r="DU132" s="407"/>
      <c r="DV132" s="407"/>
      <c r="DW132" s="407"/>
      <c r="DX132" s="407"/>
      <c r="DY132" s="407"/>
      <c r="DZ132" s="407"/>
      <c r="EA132" s="407"/>
      <c r="EB132" s="407"/>
      <c r="EC132" s="407"/>
      <c r="ED132" s="407"/>
      <c r="EE132" s="407"/>
      <c r="EF132" s="407"/>
      <c r="EG132" s="407"/>
      <c r="EH132" s="407"/>
      <c r="EI132" s="407"/>
      <c r="EJ132" s="407"/>
      <c r="EK132" s="407"/>
      <c r="EL132" s="407"/>
      <c r="EM132" s="407"/>
      <c r="EN132" s="407"/>
      <c r="EO132" s="407"/>
      <c r="EP132" s="407"/>
      <c r="EQ132" s="407"/>
      <c r="ER132" s="407"/>
      <c r="ES132" s="407"/>
      <c r="ET132" s="407"/>
      <c r="EU132" s="407"/>
      <c r="EV132" s="407">
        <v>246</v>
      </c>
      <c r="EW132" s="407"/>
      <c r="EX132" s="407"/>
      <c r="EY132" s="407"/>
      <c r="EZ132" s="407"/>
      <c r="FA132" s="407">
        <v>0</v>
      </c>
      <c r="FB132" s="407"/>
      <c r="FC132" s="407"/>
      <c r="FD132" s="407"/>
      <c r="FE132" s="407"/>
      <c r="FF132" s="407">
        <v>0</v>
      </c>
      <c r="FG132" s="407">
        <v>0</v>
      </c>
      <c r="FH132" s="407">
        <v>0</v>
      </c>
      <c r="FI132" s="407">
        <v>0</v>
      </c>
    </row>
    <row r="133" spans="1:165">
      <c r="A133" s="407">
        <v>140</v>
      </c>
      <c r="B133" s="407" t="s">
        <v>1090</v>
      </c>
      <c r="C133" s="407" t="s">
        <v>2306</v>
      </c>
      <c r="D133" s="407" t="s">
        <v>1218</v>
      </c>
      <c r="E133" s="407" t="s">
        <v>1021</v>
      </c>
      <c r="F133" s="407" t="s">
        <v>2313</v>
      </c>
      <c r="G133" s="407" t="s">
        <v>97</v>
      </c>
      <c r="H133" s="407" t="s">
        <v>97</v>
      </c>
      <c r="I133" s="407" t="s">
        <v>97</v>
      </c>
      <c r="J133" s="407" t="s">
        <v>2307</v>
      </c>
      <c r="K133" s="818">
        <v>44440</v>
      </c>
      <c r="L133" s="407">
        <v>0</v>
      </c>
      <c r="M133" s="407">
        <v>0</v>
      </c>
      <c r="N133" s="407">
        <v>5.2869999999999999</v>
      </c>
      <c r="O133" s="407">
        <v>5.2869999999999999</v>
      </c>
      <c r="P133" s="407">
        <v>5.2869999999999999</v>
      </c>
      <c r="Q133" s="407">
        <v>5.2869999999999999</v>
      </c>
      <c r="R133" s="407"/>
      <c r="S133" s="407">
        <v>547.54</v>
      </c>
      <c r="T133" s="407">
        <v>159.41</v>
      </c>
      <c r="U133" s="407"/>
      <c r="V133" s="407">
        <v>3737.6446499999997</v>
      </c>
      <c r="W133" s="407">
        <v>3737.6446499999997</v>
      </c>
      <c r="X133" s="407">
        <v>2737.71434</v>
      </c>
      <c r="Y133" s="407">
        <v>0</v>
      </c>
      <c r="Z133" s="407">
        <v>0</v>
      </c>
      <c r="AA133" s="407">
        <v>0</v>
      </c>
      <c r="AB133" s="407">
        <v>0</v>
      </c>
      <c r="AC133" s="407">
        <v>0</v>
      </c>
      <c r="AD133" s="407">
        <v>616.69908138239987</v>
      </c>
      <c r="AE133" s="407">
        <v>2207.5656532912762</v>
      </c>
      <c r="AF133" s="407">
        <v>815.41779926220727</v>
      </c>
      <c r="AG133" s="407">
        <v>27.395897647891324</v>
      </c>
      <c r="AH133" s="407">
        <v>0</v>
      </c>
      <c r="AI133" s="407">
        <v>0</v>
      </c>
      <c r="AJ133" s="407">
        <v>0</v>
      </c>
      <c r="AK133" s="407">
        <v>0</v>
      </c>
      <c r="AL133" s="407">
        <v>0</v>
      </c>
      <c r="AM133" s="407"/>
      <c r="AN133" s="407">
        <v>10.971030651209087</v>
      </c>
      <c r="AO133" s="407">
        <v>0</v>
      </c>
      <c r="AP133" s="407">
        <v>0</v>
      </c>
      <c r="AQ133" s="407">
        <v>0</v>
      </c>
      <c r="AR133" s="407">
        <v>0</v>
      </c>
      <c r="AS133" s="407">
        <v>0</v>
      </c>
      <c r="AT133" s="407">
        <v>0</v>
      </c>
      <c r="AU133" s="407">
        <v>0</v>
      </c>
      <c r="AV133" s="407">
        <v>0</v>
      </c>
      <c r="AW133" s="407">
        <v>0</v>
      </c>
      <c r="AX133" s="407">
        <v>0</v>
      </c>
      <c r="AY133" s="407">
        <v>0</v>
      </c>
      <c r="AZ133" s="407">
        <v>0</v>
      </c>
      <c r="BA133" s="407"/>
      <c r="BB133" s="407">
        <v>0</v>
      </c>
      <c r="BC133" s="407">
        <v>0</v>
      </c>
      <c r="BD133" s="407">
        <v>0</v>
      </c>
      <c r="BE133" s="407">
        <v>0</v>
      </c>
      <c r="BF133" s="407">
        <v>0</v>
      </c>
      <c r="BG133" s="407">
        <v>59.604437303770652</v>
      </c>
      <c r="BH133" s="407">
        <v>0</v>
      </c>
      <c r="BI133" s="407">
        <v>22.58</v>
      </c>
      <c r="BJ133" s="407">
        <v>113.5</v>
      </c>
      <c r="BK133" s="407">
        <v>2057.17</v>
      </c>
      <c r="BL133" s="407">
        <v>94</v>
      </c>
      <c r="BM133" s="407"/>
      <c r="BN133" s="407"/>
      <c r="BO133" s="407"/>
      <c r="BP133" s="407"/>
      <c r="BQ133" s="407"/>
      <c r="BR133" s="407"/>
      <c r="BS133" s="407"/>
      <c r="BT133" s="407"/>
      <c r="BU133" s="407"/>
      <c r="BV133" s="407">
        <v>875.02223656597789</v>
      </c>
      <c r="BW133" s="407"/>
      <c r="BX133" s="407"/>
      <c r="BY133" s="407"/>
      <c r="BZ133" s="407"/>
      <c r="CA133" s="407"/>
      <c r="CB133" s="407"/>
      <c r="CC133" s="407"/>
      <c r="CD133" s="407"/>
      <c r="CE133" s="407"/>
      <c r="CF133" s="407"/>
      <c r="CG133" s="407"/>
      <c r="CH133" s="407"/>
      <c r="CI133" s="407">
        <v>2739.2678000000001</v>
      </c>
      <c r="CJ133" s="407">
        <v>-998.4068500000003</v>
      </c>
      <c r="CK133" s="407"/>
      <c r="CL133" s="407"/>
      <c r="CM133" s="407"/>
      <c r="CN133" s="407"/>
      <c r="CO133" s="407">
        <v>-1145.1641999999997</v>
      </c>
      <c r="CP133" s="407">
        <v>145.23389</v>
      </c>
      <c r="CQ133" s="407">
        <v>30</v>
      </c>
      <c r="CR133" s="407">
        <v>127.67493641991564</v>
      </c>
      <c r="CS133" s="407">
        <v>0</v>
      </c>
      <c r="CT133" s="407">
        <v>0</v>
      </c>
      <c r="CU133" s="407">
        <v>0</v>
      </c>
      <c r="CV133" s="407">
        <v>0</v>
      </c>
      <c r="CW133" s="407">
        <v>0</v>
      </c>
      <c r="CX133" s="407">
        <v>0</v>
      </c>
      <c r="CY133" s="407">
        <v>0</v>
      </c>
      <c r="CZ133" s="407">
        <v>27.857520303169849</v>
      </c>
      <c r="DA133" s="407">
        <v>0</v>
      </c>
      <c r="DB133" s="407">
        <v>0</v>
      </c>
      <c r="DC133" s="407">
        <v>161.67532936307498</v>
      </c>
      <c r="DD133" s="407">
        <v>0</v>
      </c>
      <c r="DE133" s="407">
        <v>0</v>
      </c>
      <c r="DF133" s="407">
        <v>0</v>
      </c>
      <c r="DG133" s="407">
        <v>11.817950308795218</v>
      </c>
      <c r="DH133" s="407">
        <v>0</v>
      </c>
      <c r="DI133" s="407">
        <v>0</v>
      </c>
      <c r="DJ133" s="407"/>
      <c r="DK133" s="407">
        <v>0</v>
      </c>
      <c r="DL133" s="407">
        <v>0</v>
      </c>
      <c r="DM133" s="407">
        <v>0</v>
      </c>
      <c r="DN133" s="407">
        <v>0</v>
      </c>
      <c r="DO133" s="407">
        <v>0</v>
      </c>
      <c r="DP133" s="407">
        <v>-0.69904758680035073</v>
      </c>
      <c r="DQ133" s="407">
        <v>0</v>
      </c>
      <c r="DR133" s="407">
        <v>-72.976815968323933</v>
      </c>
      <c r="DS133" s="407"/>
      <c r="DT133" s="407"/>
      <c r="DU133" s="407"/>
      <c r="DV133" s="407">
        <v>2207.5656532912762</v>
      </c>
      <c r="DW133" s="407">
        <v>0</v>
      </c>
      <c r="DX133" s="407">
        <v>0</v>
      </c>
      <c r="DY133" s="407">
        <v>-1145.1641999999997</v>
      </c>
      <c r="DZ133" s="407">
        <v>145.23388999999997</v>
      </c>
      <c r="EA133" s="407">
        <v>0</v>
      </c>
      <c r="EB133" s="407">
        <v>0</v>
      </c>
      <c r="EC133" s="407">
        <v>-1127.6296630447284</v>
      </c>
      <c r="ED133" s="407">
        <v>0</v>
      </c>
      <c r="EE133" s="407">
        <v>0</v>
      </c>
      <c r="EF133" s="407">
        <v>0</v>
      </c>
      <c r="EG133" s="407">
        <v>0</v>
      </c>
      <c r="EH133" s="407">
        <v>0</v>
      </c>
      <c r="EI133" s="407">
        <v>0</v>
      </c>
      <c r="EJ133" s="407">
        <v>0</v>
      </c>
      <c r="EK133" s="407">
        <v>0</v>
      </c>
      <c r="EL133" s="407">
        <v>0</v>
      </c>
      <c r="EM133" s="407">
        <v>0</v>
      </c>
      <c r="EN133" s="407">
        <v>0</v>
      </c>
      <c r="EO133" s="407">
        <v>0</v>
      </c>
      <c r="EP133" s="407">
        <v>0</v>
      </c>
      <c r="EQ133" s="407">
        <v>0</v>
      </c>
      <c r="ER133" s="407">
        <v>0</v>
      </c>
      <c r="ES133" s="407">
        <v>0</v>
      </c>
      <c r="ET133" s="407">
        <v>0</v>
      </c>
      <c r="EU133" s="407">
        <v>0</v>
      </c>
      <c r="EV133" s="407">
        <v>246</v>
      </c>
      <c r="EW133" s="407">
        <v>0</v>
      </c>
      <c r="EX133" s="407">
        <v>0</v>
      </c>
      <c r="EY133" s="407">
        <v>0</v>
      </c>
      <c r="EZ133" s="407"/>
      <c r="FA133" s="407">
        <v>0</v>
      </c>
      <c r="FB133" s="407"/>
      <c r="FC133" s="407"/>
      <c r="FD133" s="407"/>
      <c r="FE133" s="407"/>
      <c r="FF133" s="407">
        <v>0</v>
      </c>
      <c r="FG133" s="407">
        <v>0</v>
      </c>
      <c r="FH133" s="407">
        <v>0</v>
      </c>
      <c r="FI133" s="407">
        <v>0</v>
      </c>
    </row>
    <row r="134" spans="1:165">
      <c r="A134" s="407">
        <v>141</v>
      </c>
      <c r="B134" s="407" t="s">
        <v>2309</v>
      </c>
      <c r="C134" s="407" t="s">
        <v>2306</v>
      </c>
      <c r="D134" s="407" t="s">
        <v>1218</v>
      </c>
      <c r="E134" s="407" t="s">
        <v>1021</v>
      </c>
      <c r="F134" s="407" t="s">
        <v>2313</v>
      </c>
      <c r="G134" s="407" t="s">
        <v>97</v>
      </c>
      <c r="H134" s="407" t="s">
        <v>97</v>
      </c>
      <c r="I134" s="407" t="s">
        <v>97</v>
      </c>
      <c r="J134" s="407" t="s">
        <v>2307</v>
      </c>
      <c r="K134" s="818">
        <v>44440</v>
      </c>
      <c r="L134" s="407">
        <v>0</v>
      </c>
      <c r="M134" s="407">
        <v>0</v>
      </c>
      <c r="N134" s="407">
        <v>0</v>
      </c>
      <c r="O134" s="407">
        <v>0</v>
      </c>
      <c r="P134" s="407">
        <v>0</v>
      </c>
      <c r="Q134" s="407">
        <v>0</v>
      </c>
      <c r="R134" s="407"/>
      <c r="S134" s="407"/>
      <c r="T134" s="407"/>
      <c r="U134" s="407"/>
      <c r="V134" s="407"/>
      <c r="W134" s="407"/>
      <c r="X134" s="407"/>
      <c r="Y134" s="407"/>
      <c r="Z134" s="407"/>
      <c r="AA134" s="407">
        <v>0</v>
      </c>
      <c r="AB134" s="407"/>
      <c r="AC134" s="407"/>
      <c r="AD134" s="407"/>
      <c r="AE134" s="407"/>
      <c r="AF134" s="407"/>
      <c r="AG134" s="407"/>
      <c r="AH134" s="407"/>
      <c r="AI134" s="407"/>
      <c r="AJ134" s="407"/>
      <c r="AK134" s="407"/>
      <c r="AL134" s="407"/>
      <c r="AM134" s="407"/>
      <c r="AN134" s="407"/>
      <c r="AO134" s="407"/>
      <c r="AP134" s="407"/>
      <c r="AQ134" s="407"/>
      <c r="AR134" s="407"/>
      <c r="AS134" s="407"/>
      <c r="AT134" s="407"/>
      <c r="AU134" s="407"/>
      <c r="AV134" s="407"/>
      <c r="AW134" s="407"/>
      <c r="AX134" s="407"/>
      <c r="AY134" s="407"/>
      <c r="AZ134" s="407">
        <v>0</v>
      </c>
      <c r="BA134" s="407"/>
      <c r="BB134" s="407"/>
      <c r="BC134" s="407"/>
      <c r="BD134" s="407"/>
      <c r="BE134" s="407"/>
      <c r="BF134" s="407"/>
      <c r="BG134" s="407"/>
      <c r="BH134" s="407"/>
      <c r="BI134" s="407">
        <v>0</v>
      </c>
      <c r="BJ134" s="407">
        <v>0</v>
      </c>
      <c r="BK134" s="407">
        <v>12.62</v>
      </c>
      <c r="BL134" s="407">
        <v>1</v>
      </c>
      <c r="BM134" s="407"/>
      <c r="BN134" s="407"/>
      <c r="BO134" s="407"/>
      <c r="BP134" s="407"/>
      <c r="BQ134" s="407"/>
      <c r="BR134" s="407"/>
      <c r="BS134" s="407"/>
      <c r="BT134" s="407"/>
      <c r="BU134" s="407"/>
      <c r="BV134" s="407"/>
      <c r="BW134" s="407"/>
      <c r="BX134" s="407"/>
      <c r="BY134" s="407"/>
      <c r="BZ134" s="407"/>
      <c r="CA134" s="407"/>
      <c r="CB134" s="407"/>
      <c r="CC134" s="407"/>
      <c r="CD134" s="407"/>
      <c r="CE134" s="407"/>
      <c r="CF134" s="407"/>
      <c r="CG134" s="407"/>
      <c r="CH134" s="407"/>
      <c r="CI134" s="407"/>
      <c r="CJ134" s="407">
        <v>-0.03</v>
      </c>
      <c r="CK134" s="407"/>
      <c r="CL134" s="407"/>
      <c r="CM134" s="407"/>
      <c r="CN134" s="407"/>
      <c r="CO134" s="407">
        <v>0</v>
      </c>
      <c r="CP134" s="407">
        <v>0</v>
      </c>
      <c r="CQ134" s="407">
        <v>30</v>
      </c>
      <c r="CR134" s="407"/>
      <c r="CS134" s="407"/>
      <c r="CT134" s="407"/>
      <c r="CU134" s="407"/>
      <c r="CV134" s="407"/>
      <c r="CW134" s="407"/>
      <c r="CX134" s="407"/>
      <c r="CY134" s="407"/>
      <c r="CZ134" s="407"/>
      <c r="DA134" s="407"/>
      <c r="DB134" s="407"/>
      <c r="DC134" s="407"/>
      <c r="DD134" s="407"/>
      <c r="DE134" s="407"/>
      <c r="DF134" s="407"/>
      <c r="DG134" s="407"/>
      <c r="DH134" s="407"/>
      <c r="DI134" s="407"/>
      <c r="DJ134" s="407"/>
      <c r="DK134" s="407">
        <v>0</v>
      </c>
      <c r="DL134" s="407"/>
      <c r="DM134" s="407"/>
      <c r="DN134" s="407"/>
      <c r="DO134" s="407"/>
      <c r="DP134" s="407"/>
      <c r="DQ134" s="407"/>
      <c r="DR134" s="407"/>
      <c r="DS134" s="407"/>
      <c r="DT134" s="407"/>
      <c r="DU134" s="407"/>
      <c r="DV134" s="407"/>
      <c r="DW134" s="407"/>
      <c r="DX134" s="407"/>
      <c r="DY134" s="407"/>
      <c r="DZ134" s="407"/>
      <c r="EA134" s="407"/>
      <c r="EB134" s="407"/>
      <c r="EC134" s="407"/>
      <c r="ED134" s="407"/>
      <c r="EE134" s="407"/>
      <c r="EF134" s="407"/>
      <c r="EG134" s="407"/>
      <c r="EH134" s="407"/>
      <c r="EI134" s="407"/>
      <c r="EJ134" s="407"/>
      <c r="EK134" s="407"/>
      <c r="EL134" s="407"/>
      <c r="EM134" s="407"/>
      <c r="EN134" s="407"/>
      <c r="EO134" s="407"/>
      <c r="EP134" s="407"/>
      <c r="EQ134" s="407"/>
      <c r="ER134" s="407"/>
      <c r="ES134" s="407"/>
      <c r="ET134" s="407"/>
      <c r="EU134" s="407"/>
      <c r="EV134" s="407">
        <v>246</v>
      </c>
      <c r="EW134" s="407"/>
      <c r="EX134" s="407"/>
      <c r="EY134" s="407"/>
      <c r="EZ134" s="407"/>
      <c r="FA134" s="407">
        <v>0</v>
      </c>
      <c r="FB134" s="407"/>
      <c r="FC134" s="407"/>
      <c r="FD134" s="407"/>
      <c r="FE134" s="407"/>
      <c r="FF134" s="407">
        <v>0</v>
      </c>
      <c r="FG134" s="407">
        <v>0</v>
      </c>
      <c r="FH134" s="407">
        <v>0</v>
      </c>
      <c r="FI134" s="407">
        <v>0</v>
      </c>
    </row>
    <row r="135" spans="1:165">
      <c r="A135" s="407">
        <v>142</v>
      </c>
      <c r="B135" s="407" t="s">
        <v>1090</v>
      </c>
      <c r="C135" s="407" t="s">
        <v>2306</v>
      </c>
      <c r="D135" s="407" t="s">
        <v>1219</v>
      </c>
      <c r="E135" s="407" t="s">
        <v>1022</v>
      </c>
      <c r="F135" s="407" t="s">
        <v>97</v>
      </c>
      <c r="G135" s="407" t="s">
        <v>97</v>
      </c>
      <c r="H135" s="407" t="s">
        <v>97</v>
      </c>
      <c r="I135" s="407" t="s">
        <v>97</v>
      </c>
      <c r="J135" s="407" t="s">
        <v>2307</v>
      </c>
      <c r="K135" s="818">
        <v>44440</v>
      </c>
      <c r="L135" s="407">
        <v>0</v>
      </c>
      <c r="M135" s="407">
        <v>0</v>
      </c>
      <c r="N135" s="407">
        <v>97.361999999999995</v>
      </c>
      <c r="O135" s="407">
        <v>97.361999999999995</v>
      </c>
      <c r="P135" s="407">
        <v>97.361999999999995</v>
      </c>
      <c r="Q135" s="407">
        <v>97.361999999999995</v>
      </c>
      <c r="R135" s="407"/>
      <c r="S135" s="407">
        <v>648.44000000000005</v>
      </c>
      <c r="T135" s="407">
        <v>159.41</v>
      </c>
      <c r="U135" s="407"/>
      <c r="V135" s="407">
        <v>78653.891700000007</v>
      </c>
      <c r="W135" s="407">
        <v>78653.891700000007</v>
      </c>
      <c r="X135" s="407">
        <v>59568.01883999999</v>
      </c>
      <c r="Y135" s="407">
        <v>0</v>
      </c>
      <c r="Z135" s="407">
        <v>6033.5475418387123</v>
      </c>
      <c r="AA135" s="407">
        <v>0</v>
      </c>
      <c r="AB135" s="407">
        <v>0</v>
      </c>
      <c r="AC135" s="407">
        <v>0</v>
      </c>
      <c r="AD135" s="407">
        <v>11356.734624844565</v>
      </c>
      <c r="AE135" s="407">
        <v>40653.112755011389</v>
      </c>
      <c r="AF135" s="407">
        <v>15016.211040621716</v>
      </c>
      <c r="AG135" s="407">
        <v>504.50527459693495</v>
      </c>
      <c r="AH135" s="407">
        <v>0</v>
      </c>
      <c r="AI135" s="407">
        <v>0</v>
      </c>
      <c r="AJ135" s="407">
        <v>0</v>
      </c>
      <c r="AK135" s="407">
        <v>0</v>
      </c>
      <c r="AL135" s="407">
        <v>932.34390105895523</v>
      </c>
      <c r="AM135" s="407"/>
      <c r="AN135" s="407">
        <v>202.03546174825405</v>
      </c>
      <c r="AO135" s="407">
        <v>0</v>
      </c>
      <c r="AP135" s="407">
        <v>0</v>
      </c>
      <c r="AQ135" s="407">
        <v>0</v>
      </c>
      <c r="AR135" s="407">
        <v>0</v>
      </c>
      <c r="AS135" s="407">
        <v>0</v>
      </c>
      <c r="AT135" s="407">
        <v>0</v>
      </c>
      <c r="AU135" s="407">
        <v>0</v>
      </c>
      <c r="AV135" s="407">
        <v>0</v>
      </c>
      <c r="AW135" s="407">
        <v>0</v>
      </c>
      <c r="AX135" s="407">
        <v>0</v>
      </c>
      <c r="AY135" s="407">
        <v>0</v>
      </c>
      <c r="AZ135" s="407">
        <v>0</v>
      </c>
      <c r="BA135" s="407"/>
      <c r="BB135" s="407">
        <v>0</v>
      </c>
      <c r="BC135" s="407">
        <v>0</v>
      </c>
      <c r="BD135" s="407">
        <v>0</v>
      </c>
      <c r="BE135" s="407">
        <v>0</v>
      </c>
      <c r="BF135" s="407">
        <v>0</v>
      </c>
      <c r="BG135" s="407">
        <v>1097.6370767485753</v>
      </c>
      <c r="BH135" s="407">
        <v>0</v>
      </c>
      <c r="BI135" s="407">
        <v>299.02999999999997</v>
      </c>
      <c r="BJ135" s="407">
        <v>1444.19</v>
      </c>
      <c r="BK135" s="407">
        <v>15411.16</v>
      </c>
      <c r="BL135" s="407">
        <v>86</v>
      </c>
      <c r="BM135" s="407"/>
      <c r="BN135" s="407"/>
      <c r="BO135" s="407"/>
      <c r="BP135" s="407"/>
      <c r="BQ135" s="407"/>
      <c r="BR135" s="407"/>
      <c r="BS135" s="407"/>
      <c r="BT135" s="407"/>
      <c r="BU135" s="407"/>
      <c r="BV135" s="407">
        <v>16113.848117370291</v>
      </c>
      <c r="BW135" s="407"/>
      <c r="BX135" s="407"/>
      <c r="BY135" s="407"/>
      <c r="BZ135" s="407"/>
      <c r="CA135" s="407"/>
      <c r="CB135" s="407"/>
      <c r="CC135" s="407"/>
      <c r="CD135" s="407"/>
      <c r="CE135" s="407"/>
      <c r="CF135" s="407"/>
      <c r="CG135" s="407"/>
      <c r="CH135" s="407"/>
      <c r="CI135" s="407">
        <v>59566.7952</v>
      </c>
      <c r="CJ135" s="407">
        <v>-19087.126499999991</v>
      </c>
      <c r="CK135" s="407"/>
      <c r="CL135" s="407"/>
      <c r="CM135" s="407"/>
      <c r="CN135" s="407"/>
      <c r="CO135" s="407">
        <v>-21760.407000000003</v>
      </c>
      <c r="CP135" s="407">
        <v>2674.5341399999998</v>
      </c>
      <c r="CQ135" s="407">
        <v>30</v>
      </c>
      <c r="CR135" s="407">
        <v>1679.8857020405339</v>
      </c>
      <c r="CS135" s="407">
        <v>0</v>
      </c>
      <c r="CT135" s="407">
        <v>0</v>
      </c>
      <c r="CU135" s="407">
        <v>0</v>
      </c>
      <c r="CV135" s="407">
        <v>0</v>
      </c>
      <c r="CW135" s="407">
        <v>0</v>
      </c>
      <c r="CX135" s="407">
        <v>0</v>
      </c>
      <c r="CY135" s="407">
        <v>0</v>
      </c>
      <c r="CZ135" s="407">
        <v>513.00622125160226</v>
      </c>
      <c r="DA135" s="407">
        <v>0</v>
      </c>
      <c r="DB135" s="407">
        <v>0</v>
      </c>
      <c r="DC135" s="407">
        <v>2977.3091389157762</v>
      </c>
      <c r="DD135" s="407">
        <v>0</v>
      </c>
      <c r="DE135" s="407">
        <v>0</v>
      </c>
      <c r="DF135" s="407">
        <v>0</v>
      </c>
      <c r="DG135" s="407">
        <v>217.63179080100645</v>
      </c>
      <c r="DH135" s="407">
        <v>0</v>
      </c>
      <c r="DI135" s="407">
        <v>-422.60157249088024</v>
      </c>
      <c r="DJ135" s="407"/>
      <c r="DK135" s="407">
        <v>0</v>
      </c>
      <c r="DL135" s="407">
        <v>0</v>
      </c>
      <c r="DM135" s="407">
        <v>0</v>
      </c>
      <c r="DN135" s="407">
        <v>0</v>
      </c>
      <c r="DO135" s="407">
        <v>-56.883585162120539</v>
      </c>
      <c r="DP135" s="407">
        <v>-12.873211867988601</v>
      </c>
      <c r="DQ135" s="407">
        <v>0</v>
      </c>
      <c r="DR135" s="407">
        <v>-1535.7030794068628</v>
      </c>
      <c r="DS135" s="407"/>
      <c r="DT135" s="407"/>
      <c r="DU135" s="407"/>
      <c r="DV135" s="407">
        <v>40653.112755011389</v>
      </c>
      <c r="DW135" s="407">
        <v>0</v>
      </c>
      <c r="DX135" s="407">
        <v>0</v>
      </c>
      <c r="DY135" s="407">
        <v>-21760.407000000007</v>
      </c>
      <c r="DZ135" s="407">
        <v>2674.5341399999998</v>
      </c>
      <c r="EA135" s="407">
        <v>0</v>
      </c>
      <c r="EB135" s="407">
        <v>0</v>
      </c>
      <c r="EC135" s="407">
        <v>-20765.704417128964</v>
      </c>
      <c r="ED135" s="407">
        <v>0</v>
      </c>
      <c r="EE135" s="407">
        <v>0</v>
      </c>
      <c r="EF135" s="407">
        <v>0</v>
      </c>
      <c r="EG135" s="407">
        <v>0</v>
      </c>
      <c r="EH135" s="407">
        <v>0</v>
      </c>
      <c r="EI135" s="407">
        <v>0</v>
      </c>
      <c r="EJ135" s="407">
        <v>0</v>
      </c>
      <c r="EK135" s="407">
        <v>0</v>
      </c>
      <c r="EL135" s="407">
        <v>0</v>
      </c>
      <c r="EM135" s="407">
        <v>0</v>
      </c>
      <c r="EN135" s="407">
        <v>0</v>
      </c>
      <c r="EO135" s="407">
        <v>0</v>
      </c>
      <c r="EP135" s="407">
        <v>2857.9835932002702</v>
      </c>
      <c r="EQ135" s="407">
        <v>0</v>
      </c>
      <c r="ER135" s="407">
        <v>0</v>
      </c>
      <c r="ES135" s="407">
        <v>0</v>
      </c>
      <c r="ET135" s="407">
        <v>0</v>
      </c>
      <c r="EU135" s="407">
        <v>0</v>
      </c>
      <c r="EV135" s="407">
        <v>246</v>
      </c>
      <c r="EW135" s="407">
        <v>0</v>
      </c>
      <c r="EX135" s="407">
        <v>0</v>
      </c>
      <c r="EY135" s="407">
        <v>0</v>
      </c>
      <c r="EZ135" s="407"/>
      <c r="FA135" s="407">
        <v>0</v>
      </c>
      <c r="FB135" s="407"/>
      <c r="FC135" s="407"/>
      <c r="FD135" s="407"/>
      <c r="FE135" s="407"/>
      <c r="FF135" s="407">
        <v>0</v>
      </c>
      <c r="FG135" s="407">
        <v>0</v>
      </c>
      <c r="FH135" s="407">
        <v>0</v>
      </c>
      <c r="FI135" s="407">
        <v>0</v>
      </c>
    </row>
    <row r="136" spans="1:165">
      <c r="A136" s="407">
        <v>143</v>
      </c>
      <c r="B136" s="407" t="s">
        <v>2309</v>
      </c>
      <c r="C136" s="407" t="s">
        <v>2306</v>
      </c>
      <c r="D136" s="407" t="s">
        <v>1219</v>
      </c>
      <c r="E136" s="407" t="s">
        <v>1022</v>
      </c>
      <c r="F136" s="407" t="s">
        <v>97</v>
      </c>
      <c r="G136" s="407" t="s">
        <v>97</v>
      </c>
      <c r="H136" s="407" t="s">
        <v>97</v>
      </c>
      <c r="I136" s="407" t="s">
        <v>97</v>
      </c>
      <c r="J136" s="407" t="s">
        <v>2307</v>
      </c>
      <c r="K136" s="818">
        <v>44440</v>
      </c>
      <c r="L136" s="407">
        <v>0</v>
      </c>
      <c r="M136" s="407">
        <v>0</v>
      </c>
      <c r="N136" s="407">
        <v>14.502000000000001</v>
      </c>
      <c r="O136" s="407">
        <v>14.502000000000001</v>
      </c>
      <c r="P136" s="407">
        <v>14.502000000000001</v>
      </c>
      <c r="Q136" s="407">
        <v>14.502000000000001</v>
      </c>
      <c r="R136" s="407"/>
      <c r="S136" s="407">
        <v>648.44000000000005</v>
      </c>
      <c r="T136" s="407">
        <v>159.41</v>
      </c>
      <c r="U136" s="407"/>
      <c r="V136" s="407">
        <v>11715.440700000001</v>
      </c>
      <c r="W136" s="407">
        <v>11715.440700000001</v>
      </c>
      <c r="X136" s="407">
        <v>8872.6136399999996</v>
      </c>
      <c r="Y136" s="407">
        <v>0</v>
      </c>
      <c r="Z136" s="407">
        <v>898.69257463635722</v>
      </c>
      <c r="AA136" s="407">
        <v>0</v>
      </c>
      <c r="AB136" s="407">
        <v>0</v>
      </c>
      <c r="AC136" s="407">
        <v>0</v>
      </c>
      <c r="AD136" s="407">
        <v>1691.5774689252059</v>
      </c>
      <c r="AE136" s="407">
        <v>6055.2519583941912</v>
      </c>
      <c r="AF136" s="407">
        <v>2236.6538537735069</v>
      </c>
      <c r="AG136" s="407">
        <v>75.145698447081529</v>
      </c>
      <c r="AH136" s="407">
        <v>0</v>
      </c>
      <c r="AI136" s="407">
        <v>0</v>
      </c>
      <c r="AJ136" s="407">
        <v>0</v>
      </c>
      <c r="AK136" s="407">
        <v>0</v>
      </c>
      <c r="AL136" s="407">
        <v>138.87195469646238</v>
      </c>
      <c r="AM136" s="407"/>
      <c r="AN136" s="407">
        <v>30.093036978217174</v>
      </c>
      <c r="AO136" s="407">
        <v>0</v>
      </c>
      <c r="AP136" s="407">
        <v>0</v>
      </c>
      <c r="AQ136" s="407">
        <v>0</v>
      </c>
      <c r="AR136" s="407">
        <v>0</v>
      </c>
      <c r="AS136" s="407">
        <v>0</v>
      </c>
      <c r="AT136" s="407">
        <v>0</v>
      </c>
      <c r="AU136" s="407">
        <v>0</v>
      </c>
      <c r="AV136" s="407">
        <v>0</v>
      </c>
      <c r="AW136" s="407">
        <v>0</v>
      </c>
      <c r="AX136" s="407">
        <v>0</v>
      </c>
      <c r="AY136" s="407">
        <v>0</v>
      </c>
      <c r="AZ136" s="407">
        <v>0</v>
      </c>
      <c r="BA136" s="407"/>
      <c r="BB136" s="407">
        <v>0</v>
      </c>
      <c r="BC136" s="407">
        <v>0</v>
      </c>
      <c r="BD136" s="407">
        <v>0</v>
      </c>
      <c r="BE136" s="407">
        <v>0</v>
      </c>
      <c r="BF136" s="407">
        <v>0</v>
      </c>
      <c r="BG136" s="407">
        <v>163.49225454497486</v>
      </c>
      <c r="BH136" s="407">
        <v>0</v>
      </c>
      <c r="BI136" s="407">
        <v>44.4</v>
      </c>
      <c r="BJ136" s="407">
        <v>214.69</v>
      </c>
      <c r="BK136" s="407">
        <v>4449.05</v>
      </c>
      <c r="BL136" s="407">
        <v>17</v>
      </c>
      <c r="BM136" s="407"/>
      <c r="BN136" s="407"/>
      <c r="BO136" s="407"/>
      <c r="BP136" s="407"/>
      <c r="BQ136" s="407"/>
      <c r="BR136" s="407"/>
      <c r="BS136" s="407"/>
      <c r="BT136" s="407"/>
      <c r="BU136" s="407"/>
      <c r="BV136" s="407">
        <v>2400.1461083184818</v>
      </c>
      <c r="BW136" s="407"/>
      <c r="BX136" s="407"/>
      <c r="BY136" s="407"/>
      <c r="BZ136" s="407"/>
      <c r="CA136" s="407"/>
      <c r="CB136" s="407"/>
      <c r="CC136" s="407"/>
      <c r="CD136" s="407"/>
      <c r="CE136" s="407"/>
      <c r="CF136" s="407"/>
      <c r="CG136" s="407"/>
      <c r="CH136" s="407"/>
      <c r="CI136" s="407">
        <v>8871.39</v>
      </c>
      <c r="CJ136" s="407">
        <v>-2844.0807000000023</v>
      </c>
      <c r="CK136" s="407"/>
      <c r="CL136" s="407"/>
      <c r="CM136" s="407"/>
      <c r="CN136" s="407"/>
      <c r="CO136" s="407">
        <v>-3241.197000000001</v>
      </c>
      <c r="CP136" s="407">
        <v>398.36993999999999</v>
      </c>
      <c r="CQ136" s="407">
        <v>30</v>
      </c>
      <c r="CR136" s="407">
        <v>250.21776926307848</v>
      </c>
      <c r="CS136" s="407">
        <v>0</v>
      </c>
      <c r="CT136" s="407">
        <v>0</v>
      </c>
      <c r="CU136" s="407">
        <v>0</v>
      </c>
      <c r="CV136" s="407">
        <v>0</v>
      </c>
      <c r="CW136" s="407">
        <v>0</v>
      </c>
      <c r="CX136" s="407">
        <v>0</v>
      </c>
      <c r="CY136" s="407">
        <v>0</v>
      </c>
      <c r="CZ136" s="407">
        <v>76.411908348130964</v>
      </c>
      <c r="DA136" s="407">
        <v>0</v>
      </c>
      <c r="DB136" s="407">
        <v>0</v>
      </c>
      <c r="DC136" s="407">
        <v>443.46805871445304</v>
      </c>
      <c r="DD136" s="407">
        <v>0</v>
      </c>
      <c r="DE136" s="407">
        <v>0</v>
      </c>
      <c r="DF136" s="407">
        <v>0</v>
      </c>
      <c r="DG136" s="407">
        <v>32.416098993408042</v>
      </c>
      <c r="DH136" s="407">
        <v>0</v>
      </c>
      <c r="DI136" s="407">
        <v>-62.946200820265972</v>
      </c>
      <c r="DJ136" s="407"/>
      <c r="DK136" s="407">
        <v>0</v>
      </c>
      <c r="DL136" s="407">
        <v>0</v>
      </c>
      <c r="DM136" s="407">
        <v>0</v>
      </c>
      <c r="DN136" s="407">
        <v>0</v>
      </c>
      <c r="DO136" s="407">
        <v>-8.4727691709401256</v>
      </c>
      <c r="DP136" s="407">
        <v>-1.9174556655529962</v>
      </c>
      <c r="DQ136" s="407">
        <v>0</v>
      </c>
      <c r="DR136" s="407">
        <v>-228.741871136155</v>
      </c>
      <c r="DS136" s="407"/>
      <c r="DT136" s="407"/>
      <c r="DU136" s="407"/>
      <c r="DV136" s="407">
        <v>6055.2519583941912</v>
      </c>
      <c r="DW136" s="407">
        <v>0</v>
      </c>
      <c r="DX136" s="407">
        <v>0</v>
      </c>
      <c r="DY136" s="407">
        <v>-3241.197000000001</v>
      </c>
      <c r="DZ136" s="407">
        <v>398.36994000000004</v>
      </c>
      <c r="EA136" s="407">
        <v>0</v>
      </c>
      <c r="EB136" s="407">
        <v>0</v>
      </c>
      <c r="EC136" s="407">
        <v>-3093.036764417373</v>
      </c>
      <c r="ED136" s="407">
        <v>0</v>
      </c>
      <c r="EE136" s="407">
        <v>0</v>
      </c>
      <c r="EF136" s="407">
        <v>0</v>
      </c>
      <c r="EG136" s="407">
        <v>0</v>
      </c>
      <c r="EH136" s="407">
        <v>0</v>
      </c>
      <c r="EI136" s="407">
        <v>0</v>
      </c>
      <c r="EJ136" s="407">
        <v>0</v>
      </c>
      <c r="EK136" s="407">
        <v>0</v>
      </c>
      <c r="EL136" s="407">
        <v>0</v>
      </c>
      <c r="EM136" s="407">
        <v>0</v>
      </c>
      <c r="EN136" s="407">
        <v>0</v>
      </c>
      <c r="EO136" s="407">
        <v>0</v>
      </c>
      <c r="EP136" s="407">
        <v>425.69460434861981</v>
      </c>
      <c r="EQ136" s="407">
        <v>0</v>
      </c>
      <c r="ER136" s="407">
        <v>0</v>
      </c>
      <c r="ES136" s="407">
        <v>0</v>
      </c>
      <c r="ET136" s="407">
        <v>0</v>
      </c>
      <c r="EU136" s="407">
        <v>0</v>
      </c>
      <c r="EV136" s="407">
        <v>246</v>
      </c>
      <c r="EW136" s="407">
        <v>0</v>
      </c>
      <c r="EX136" s="407">
        <v>0</v>
      </c>
      <c r="EY136" s="407">
        <v>0</v>
      </c>
      <c r="EZ136" s="407"/>
      <c r="FA136" s="407">
        <v>0</v>
      </c>
      <c r="FB136" s="407"/>
      <c r="FC136" s="407"/>
      <c r="FD136" s="407"/>
      <c r="FE136" s="407"/>
      <c r="FF136" s="407">
        <v>0</v>
      </c>
      <c r="FG136" s="407">
        <v>0</v>
      </c>
      <c r="FH136" s="407">
        <v>0</v>
      </c>
      <c r="FI136" s="407">
        <v>0</v>
      </c>
    </row>
    <row r="137" spans="1:165">
      <c r="A137" s="407">
        <v>144</v>
      </c>
      <c r="B137" s="407" t="s">
        <v>1090</v>
      </c>
      <c r="C137" s="407" t="s">
        <v>2314</v>
      </c>
      <c r="D137" s="407" t="s">
        <v>650</v>
      </c>
      <c r="E137" s="407" t="s">
        <v>1022</v>
      </c>
      <c r="F137" s="407" t="s">
        <v>97</v>
      </c>
      <c r="G137" s="407" t="s">
        <v>97</v>
      </c>
      <c r="H137" s="407" t="s">
        <v>97</v>
      </c>
      <c r="I137" s="407" t="s">
        <v>1025</v>
      </c>
      <c r="J137" s="407" t="s">
        <v>2307</v>
      </c>
      <c r="K137" s="818">
        <v>44440</v>
      </c>
      <c r="L137" s="407">
        <v>0</v>
      </c>
      <c r="M137" s="407">
        <v>0</v>
      </c>
      <c r="N137" s="407">
        <v>13.275</v>
      </c>
      <c r="O137" s="407">
        <v>13.275</v>
      </c>
      <c r="P137" s="407">
        <v>13.275</v>
      </c>
      <c r="Q137" s="407">
        <v>13.275</v>
      </c>
      <c r="R137" s="407"/>
      <c r="S137" s="407">
        <v>2810.7</v>
      </c>
      <c r="T137" s="407">
        <v>159.41</v>
      </c>
      <c r="U137" s="407"/>
      <c r="V137" s="407">
        <v>39428.210249999996</v>
      </c>
      <c r="W137" s="407">
        <v>39428.210249999996</v>
      </c>
      <c r="X137" s="407">
        <v>25112.184749999997</v>
      </c>
      <c r="Y137" s="407">
        <v>0</v>
      </c>
      <c r="Z137" s="407">
        <v>715.70991708860447</v>
      </c>
      <c r="AA137" s="407">
        <v>0</v>
      </c>
      <c r="AB137" s="407">
        <v>0</v>
      </c>
      <c r="AC137" s="407">
        <v>0</v>
      </c>
      <c r="AD137" s="407">
        <v>8104.5945022082169</v>
      </c>
      <c r="AE137" s="407">
        <v>27942.400201807093</v>
      </c>
      <c r="AF137" s="407">
        <v>2047.412764366522</v>
      </c>
      <c r="AG137" s="407">
        <v>68.787694585919681</v>
      </c>
      <c r="AH137" s="407">
        <v>0</v>
      </c>
      <c r="AI137" s="407">
        <v>0</v>
      </c>
      <c r="AJ137" s="407">
        <v>0</v>
      </c>
      <c r="AK137" s="407">
        <v>0</v>
      </c>
      <c r="AL137" s="407">
        <v>127.12213478110179</v>
      </c>
      <c r="AM137" s="407"/>
      <c r="AN137" s="407">
        <v>14.253810670089566</v>
      </c>
      <c r="AO137" s="407">
        <v>0</v>
      </c>
      <c r="AP137" s="407">
        <v>0</v>
      </c>
      <c r="AQ137" s="407">
        <v>0</v>
      </c>
      <c r="AR137" s="407">
        <v>0</v>
      </c>
      <c r="AS137" s="407">
        <v>0</v>
      </c>
      <c r="AT137" s="407">
        <v>0</v>
      </c>
      <c r="AU137" s="407">
        <v>0</v>
      </c>
      <c r="AV137" s="407">
        <v>0</v>
      </c>
      <c r="AW137" s="407">
        <v>0</v>
      </c>
      <c r="AX137" s="407">
        <v>0</v>
      </c>
      <c r="AY137" s="407">
        <v>0</v>
      </c>
      <c r="AZ137" s="407">
        <v>0</v>
      </c>
      <c r="BA137" s="407"/>
      <c r="BB137" s="407">
        <v>0</v>
      </c>
      <c r="BC137" s="407">
        <v>0</v>
      </c>
      <c r="BD137" s="407">
        <v>0</v>
      </c>
      <c r="BE137" s="407">
        <v>0</v>
      </c>
      <c r="BF137" s="407">
        <v>0</v>
      </c>
      <c r="BG137" s="407">
        <v>68.895582114926256</v>
      </c>
      <c r="BH137" s="407">
        <v>0</v>
      </c>
      <c r="BI137" s="407">
        <v>0</v>
      </c>
      <c r="BJ137" s="407">
        <v>0</v>
      </c>
      <c r="BK137" s="407">
        <v>0</v>
      </c>
      <c r="BL137" s="407">
        <v>0</v>
      </c>
      <c r="BM137" s="407"/>
      <c r="BN137" s="407"/>
      <c r="BO137" s="407"/>
      <c r="BP137" s="407"/>
      <c r="BQ137" s="407"/>
      <c r="BR137" s="407"/>
      <c r="BS137" s="407"/>
      <c r="BT137" s="407"/>
      <c r="BU137" s="407"/>
      <c r="BV137" s="407">
        <v>2116.3083464814481</v>
      </c>
      <c r="BW137" s="407"/>
      <c r="BX137" s="407"/>
      <c r="BY137" s="407"/>
      <c r="BZ137" s="407"/>
      <c r="CA137" s="407"/>
      <c r="CB137" s="407"/>
      <c r="CC137" s="407"/>
      <c r="CD137" s="407"/>
      <c r="CE137" s="407"/>
      <c r="CF137" s="407"/>
      <c r="CG137" s="407"/>
      <c r="CH137" s="407"/>
      <c r="CI137" s="407">
        <v>25121.643199999999</v>
      </c>
      <c r="CJ137" s="407">
        <v>-14306.597050000004</v>
      </c>
      <c r="CK137" s="407"/>
      <c r="CL137" s="407"/>
      <c r="CM137" s="407"/>
      <c r="CN137" s="407"/>
      <c r="CO137" s="407">
        <v>-14680.68975</v>
      </c>
      <c r="CP137" s="407">
        <v>364.66424999999998</v>
      </c>
      <c r="CQ137" s="407">
        <v>30</v>
      </c>
      <c r="CR137" s="407">
        <v>-42.912725107844381</v>
      </c>
      <c r="CS137" s="407">
        <v>0</v>
      </c>
      <c r="CT137" s="407">
        <v>0</v>
      </c>
      <c r="CU137" s="407">
        <v>0</v>
      </c>
      <c r="CV137" s="407">
        <v>0</v>
      </c>
      <c r="CW137" s="407">
        <v>0</v>
      </c>
      <c r="CX137" s="407">
        <v>0</v>
      </c>
      <c r="CY137" s="407">
        <v>0</v>
      </c>
      <c r="CZ137" s="407">
        <v>366.10060353604695</v>
      </c>
      <c r="DA137" s="407">
        <v>0</v>
      </c>
      <c r="DB137" s="407">
        <v>0</v>
      </c>
      <c r="DC137" s="407">
        <v>405.94666111118204</v>
      </c>
      <c r="DD137" s="407">
        <v>0</v>
      </c>
      <c r="DE137" s="407">
        <v>0</v>
      </c>
      <c r="DF137" s="407">
        <v>0</v>
      </c>
      <c r="DG137" s="407">
        <v>13.660133418929348</v>
      </c>
      <c r="DH137" s="407">
        <v>0</v>
      </c>
      <c r="DI137" s="407">
        <v>-50.129734507203352</v>
      </c>
      <c r="DJ137" s="407"/>
      <c r="DK137" s="407">
        <v>0</v>
      </c>
      <c r="DL137" s="407">
        <v>0</v>
      </c>
      <c r="DM137" s="407">
        <v>0</v>
      </c>
      <c r="DN137" s="407">
        <v>0</v>
      </c>
      <c r="DO137" s="407">
        <v>-7.7558964793980323</v>
      </c>
      <c r="DP137" s="407">
        <v>-0.90821840430611012</v>
      </c>
      <c r="DQ137" s="407">
        <v>0</v>
      </c>
      <c r="DR137" s="407">
        <v>-769.82627378309292</v>
      </c>
      <c r="DS137" s="407"/>
      <c r="DT137" s="407"/>
      <c r="DU137" s="407"/>
      <c r="DV137" s="407">
        <v>27942.400201807093</v>
      </c>
      <c r="DW137" s="407">
        <v>0</v>
      </c>
      <c r="DX137" s="407">
        <v>0</v>
      </c>
      <c r="DY137" s="407">
        <v>-14680.689749999998</v>
      </c>
      <c r="DZ137" s="407">
        <v>364.66424999999981</v>
      </c>
      <c r="EA137" s="407">
        <v>0</v>
      </c>
      <c r="EB137" s="407">
        <v>0</v>
      </c>
      <c r="EC137" s="407">
        <v>-14273.042922754294</v>
      </c>
      <c r="ED137" s="407">
        <v>0</v>
      </c>
      <c r="EE137" s="407">
        <v>0</v>
      </c>
      <c r="EF137" s="407">
        <v>0</v>
      </c>
      <c r="EG137" s="407">
        <v>0</v>
      </c>
      <c r="EH137" s="407">
        <v>0</v>
      </c>
      <c r="EI137" s="407">
        <v>0</v>
      </c>
      <c r="EJ137" s="407">
        <v>0</v>
      </c>
      <c r="EK137" s="407">
        <v>0</v>
      </c>
      <c r="EL137" s="407">
        <v>0</v>
      </c>
      <c r="EM137" s="407">
        <v>0</v>
      </c>
      <c r="EN137" s="407">
        <v>0</v>
      </c>
      <c r="EO137" s="407">
        <v>0</v>
      </c>
      <c r="EP137" s="407">
        <v>339.01899112352055</v>
      </c>
      <c r="EQ137" s="407">
        <v>0</v>
      </c>
      <c r="ER137" s="407">
        <v>0</v>
      </c>
      <c r="ES137" s="407">
        <v>0</v>
      </c>
      <c r="ET137" s="407">
        <v>0</v>
      </c>
      <c r="EU137" s="407">
        <v>0</v>
      </c>
      <c r="EV137" s="407">
        <v>246</v>
      </c>
      <c r="EW137" s="407">
        <v>0</v>
      </c>
      <c r="EX137" s="407">
        <v>0</v>
      </c>
      <c r="EY137" s="407">
        <v>0</v>
      </c>
      <c r="EZ137" s="407"/>
      <c r="FA137" s="407">
        <v>0</v>
      </c>
      <c r="FB137" s="407"/>
      <c r="FC137" s="407"/>
      <c r="FD137" s="407"/>
      <c r="FE137" s="407"/>
      <c r="FF137" s="407">
        <v>0</v>
      </c>
      <c r="FG137" s="407">
        <v>0</v>
      </c>
      <c r="FH137" s="407">
        <v>0</v>
      </c>
      <c r="FI137" s="407">
        <v>0</v>
      </c>
    </row>
    <row r="138" spans="1:165">
      <c r="A138" s="407">
        <v>145</v>
      </c>
      <c r="B138" s="407" t="s">
        <v>1090</v>
      </c>
      <c r="C138" s="407" t="s">
        <v>2314</v>
      </c>
      <c r="D138" s="407" t="s">
        <v>650</v>
      </c>
      <c r="E138" s="407" t="s">
        <v>1022</v>
      </c>
      <c r="F138" s="407" t="s">
        <v>97</v>
      </c>
      <c r="G138" s="407" t="s">
        <v>97</v>
      </c>
      <c r="H138" s="407" t="s">
        <v>97</v>
      </c>
      <c r="I138" s="407" t="s">
        <v>2290</v>
      </c>
      <c r="J138" s="407" t="s">
        <v>2307</v>
      </c>
      <c r="K138" s="818">
        <v>44440</v>
      </c>
      <c r="L138" s="407">
        <v>0</v>
      </c>
      <c r="M138" s="407">
        <v>0</v>
      </c>
      <c r="N138" s="407">
        <v>468.666</v>
      </c>
      <c r="O138" s="407">
        <v>468.666</v>
      </c>
      <c r="P138" s="407">
        <v>468.666</v>
      </c>
      <c r="Q138" s="407">
        <v>468.666</v>
      </c>
      <c r="R138" s="407"/>
      <c r="S138" s="407">
        <v>95.29</v>
      </c>
      <c r="T138" s="407">
        <v>159.41</v>
      </c>
      <c r="U138" s="407"/>
      <c r="V138" s="407">
        <v>119369.23019999999</v>
      </c>
      <c r="W138" s="407">
        <v>119369.23019999999</v>
      </c>
      <c r="X138" s="407">
        <v>129778.30205999999</v>
      </c>
      <c r="Y138" s="407">
        <v>0</v>
      </c>
      <c r="Z138" s="407">
        <v>25267.714049133552</v>
      </c>
      <c r="AA138" s="407">
        <v>0</v>
      </c>
      <c r="AB138" s="407">
        <v>0</v>
      </c>
      <c r="AC138" s="407">
        <v>0</v>
      </c>
      <c r="AD138" s="407">
        <v>0</v>
      </c>
      <c r="AE138" s="407">
        <v>0</v>
      </c>
      <c r="AF138" s="407">
        <v>72282.693079065939</v>
      </c>
      <c r="AG138" s="407">
        <v>2428.508751096394</v>
      </c>
      <c r="AH138" s="407">
        <v>0</v>
      </c>
      <c r="AI138" s="407">
        <v>0</v>
      </c>
      <c r="AJ138" s="407">
        <v>0</v>
      </c>
      <c r="AK138" s="407">
        <v>0</v>
      </c>
      <c r="AL138" s="407">
        <v>4487.9715570109111</v>
      </c>
      <c r="AM138" s="407"/>
      <c r="AN138" s="407">
        <v>503.22233005711456</v>
      </c>
      <c r="AO138" s="407">
        <v>0</v>
      </c>
      <c r="AP138" s="407">
        <v>0</v>
      </c>
      <c r="AQ138" s="407">
        <v>0</v>
      </c>
      <c r="AR138" s="407">
        <v>0</v>
      </c>
      <c r="AS138" s="407">
        <v>0</v>
      </c>
      <c r="AT138" s="407">
        <v>0</v>
      </c>
      <c r="AU138" s="407">
        <v>0</v>
      </c>
      <c r="AV138" s="407">
        <v>0</v>
      </c>
      <c r="AW138" s="407">
        <v>0</v>
      </c>
      <c r="AX138" s="407">
        <v>0</v>
      </c>
      <c r="AY138" s="407">
        <v>0</v>
      </c>
      <c r="AZ138" s="407">
        <v>0</v>
      </c>
      <c r="BA138" s="407"/>
      <c r="BB138" s="407">
        <v>0</v>
      </c>
      <c r="BC138" s="407">
        <v>0</v>
      </c>
      <c r="BD138" s="407">
        <v>0</v>
      </c>
      <c r="BE138" s="407">
        <v>0</v>
      </c>
      <c r="BF138" s="407">
        <v>0</v>
      </c>
      <c r="BG138" s="407">
        <v>2432.3176563068946</v>
      </c>
      <c r="BH138" s="407">
        <v>0</v>
      </c>
      <c r="BI138" s="407">
        <v>0</v>
      </c>
      <c r="BJ138" s="407">
        <v>0</v>
      </c>
      <c r="BK138" s="407">
        <v>0</v>
      </c>
      <c r="BL138" s="407">
        <v>0</v>
      </c>
      <c r="BM138" s="407"/>
      <c r="BN138" s="407"/>
      <c r="BO138" s="407"/>
      <c r="BP138" s="407"/>
      <c r="BQ138" s="407"/>
      <c r="BR138" s="407"/>
      <c r="BS138" s="407"/>
      <c r="BT138" s="407"/>
      <c r="BU138" s="407"/>
      <c r="BV138" s="407">
        <v>74715.010735372838</v>
      </c>
      <c r="BW138" s="407"/>
      <c r="BX138" s="407"/>
      <c r="BY138" s="407"/>
      <c r="BZ138" s="407"/>
      <c r="CA138" s="407"/>
      <c r="CB138" s="407"/>
      <c r="CC138" s="407"/>
      <c r="CD138" s="407"/>
      <c r="CE138" s="407"/>
      <c r="CF138" s="407"/>
      <c r="CG138" s="407"/>
      <c r="CH138" s="407"/>
      <c r="CI138" s="407">
        <v>129779.4097</v>
      </c>
      <c r="CJ138" s="407">
        <v>10410.1495</v>
      </c>
      <c r="CK138" s="407"/>
      <c r="CL138" s="407"/>
      <c r="CM138" s="407"/>
      <c r="CN138" s="407"/>
      <c r="CO138" s="407">
        <v>-2465.1831600000023</v>
      </c>
      <c r="CP138" s="407">
        <v>12874.255019999999</v>
      </c>
      <c r="CQ138" s="407">
        <v>30</v>
      </c>
      <c r="CR138" s="407">
        <v>10407.590504998559</v>
      </c>
      <c r="CS138" s="407">
        <v>0</v>
      </c>
      <c r="CT138" s="407">
        <v>0</v>
      </c>
      <c r="CU138" s="407">
        <v>0</v>
      </c>
      <c r="CV138" s="407">
        <v>0</v>
      </c>
      <c r="CW138" s="407">
        <v>0</v>
      </c>
      <c r="CX138" s="407">
        <v>0</v>
      </c>
      <c r="CY138" s="407">
        <v>0</v>
      </c>
      <c r="CZ138" s="407">
        <v>0</v>
      </c>
      <c r="DA138" s="407">
        <v>0</v>
      </c>
      <c r="DB138" s="407">
        <v>0</v>
      </c>
      <c r="DC138" s="407">
        <v>14331.706054714377</v>
      </c>
      <c r="DD138" s="407">
        <v>0</v>
      </c>
      <c r="DE138" s="407">
        <v>0</v>
      </c>
      <c r="DF138" s="407">
        <v>0</v>
      </c>
      <c r="DG138" s="407">
        <v>482.26290688632344</v>
      </c>
      <c r="DH138" s="407">
        <v>0</v>
      </c>
      <c r="DI138" s="407">
        <v>-1769.8005387987178</v>
      </c>
      <c r="DJ138" s="407"/>
      <c r="DK138" s="407">
        <v>0</v>
      </c>
      <c r="DL138" s="407">
        <v>0</v>
      </c>
      <c r="DM138" s="407">
        <v>0</v>
      </c>
      <c r="DN138" s="407">
        <v>0</v>
      </c>
      <c r="DO138" s="407">
        <v>-273.81732424960865</v>
      </c>
      <c r="DP138" s="407">
        <v>-32.064111990397521</v>
      </c>
      <c r="DQ138" s="407">
        <v>0</v>
      </c>
      <c r="DR138" s="407">
        <v>-2330.6964815633974</v>
      </c>
      <c r="DS138" s="407"/>
      <c r="DT138" s="407"/>
      <c r="DU138" s="407"/>
      <c r="DV138" s="407">
        <v>0</v>
      </c>
      <c r="DW138" s="407">
        <v>0</v>
      </c>
      <c r="DX138" s="407">
        <v>0</v>
      </c>
      <c r="DY138" s="407">
        <v>-2465.1831600000005</v>
      </c>
      <c r="DZ138" s="407">
        <v>12874.255019999997</v>
      </c>
      <c r="EA138" s="407">
        <v>0</v>
      </c>
      <c r="EB138" s="407">
        <v>0</v>
      </c>
      <c r="EC138" s="407">
        <v>0</v>
      </c>
      <c r="ED138" s="407">
        <v>0</v>
      </c>
      <c r="EE138" s="407">
        <v>0</v>
      </c>
      <c r="EF138" s="407">
        <v>0</v>
      </c>
      <c r="EG138" s="407">
        <v>0</v>
      </c>
      <c r="EH138" s="407">
        <v>0</v>
      </c>
      <c r="EI138" s="407">
        <v>0</v>
      </c>
      <c r="EJ138" s="407">
        <v>0</v>
      </c>
      <c r="EK138" s="407">
        <v>0</v>
      </c>
      <c r="EL138" s="407">
        <v>0</v>
      </c>
      <c r="EM138" s="407">
        <v>0</v>
      </c>
      <c r="EN138" s="407">
        <v>0</v>
      </c>
      <c r="EO138" s="407">
        <v>0</v>
      </c>
      <c r="EP138" s="407">
        <v>11968.864368655057</v>
      </c>
      <c r="EQ138" s="407">
        <v>0</v>
      </c>
      <c r="ER138" s="407">
        <v>0</v>
      </c>
      <c r="ES138" s="407">
        <v>0</v>
      </c>
      <c r="ET138" s="407">
        <v>0</v>
      </c>
      <c r="EU138" s="407">
        <v>0</v>
      </c>
      <c r="EV138" s="407">
        <v>246</v>
      </c>
      <c r="EW138" s="407">
        <v>0</v>
      </c>
      <c r="EX138" s="407">
        <v>0</v>
      </c>
      <c r="EY138" s="407">
        <v>0</v>
      </c>
      <c r="EZ138" s="407"/>
      <c r="FA138" s="407">
        <v>0</v>
      </c>
      <c r="FB138" s="407"/>
      <c r="FC138" s="407"/>
      <c r="FD138" s="407"/>
      <c r="FE138" s="407"/>
      <c r="FF138" s="407">
        <v>0</v>
      </c>
      <c r="FG138" s="407">
        <v>0</v>
      </c>
      <c r="FH138" s="407">
        <v>0</v>
      </c>
      <c r="FI138" s="407">
        <v>0</v>
      </c>
    </row>
    <row r="139" spans="1:165">
      <c r="A139" s="407">
        <v>146</v>
      </c>
      <c r="B139" s="407" t="s">
        <v>1090</v>
      </c>
      <c r="C139" s="407" t="s">
        <v>2314</v>
      </c>
      <c r="D139" s="407" t="s">
        <v>650</v>
      </c>
      <c r="E139" s="407" t="s">
        <v>1022</v>
      </c>
      <c r="F139" s="407" t="s">
        <v>97</v>
      </c>
      <c r="G139" s="407" t="s">
        <v>97</v>
      </c>
      <c r="H139" s="407" t="s">
        <v>97</v>
      </c>
      <c r="I139" s="407" t="s">
        <v>97</v>
      </c>
      <c r="J139" s="407" t="s">
        <v>2307</v>
      </c>
      <c r="K139" s="818">
        <v>44440</v>
      </c>
      <c r="L139" s="407">
        <v>2112</v>
      </c>
      <c r="M139" s="407">
        <v>2112</v>
      </c>
      <c r="N139" s="407">
        <v>0</v>
      </c>
      <c r="O139" s="407">
        <v>0</v>
      </c>
      <c r="P139" s="407">
        <v>0</v>
      </c>
      <c r="Q139" s="407">
        <v>0</v>
      </c>
      <c r="R139" s="407">
        <v>43.29</v>
      </c>
      <c r="S139" s="407"/>
      <c r="T139" s="407"/>
      <c r="U139" s="407">
        <v>91428.479999999996</v>
      </c>
      <c r="V139" s="407"/>
      <c r="W139" s="407">
        <v>91428.479999999996</v>
      </c>
      <c r="X139" s="407">
        <v>70730.880000000005</v>
      </c>
      <c r="Y139" s="407">
        <v>0</v>
      </c>
      <c r="Z139" s="407">
        <v>0</v>
      </c>
      <c r="AA139" s="407">
        <v>0</v>
      </c>
      <c r="AB139" s="407">
        <v>0</v>
      </c>
      <c r="AC139" s="407">
        <v>0</v>
      </c>
      <c r="AD139" s="407">
        <v>49978.340878621057</v>
      </c>
      <c r="AE139" s="407">
        <v>41456.843164432816</v>
      </c>
      <c r="AF139" s="407"/>
      <c r="AG139" s="407"/>
      <c r="AH139" s="407"/>
      <c r="AI139" s="407">
        <v>0</v>
      </c>
      <c r="AJ139" s="407">
        <v>0</v>
      </c>
      <c r="AK139" s="407">
        <v>0</v>
      </c>
      <c r="AL139" s="407">
        <v>0</v>
      </c>
      <c r="AM139" s="407"/>
      <c r="AN139" s="407">
        <v>0</v>
      </c>
      <c r="AO139" s="407">
        <v>0</v>
      </c>
      <c r="AP139" s="407">
        <v>0</v>
      </c>
      <c r="AQ139" s="407">
        <v>0</v>
      </c>
      <c r="AR139" s="407">
        <v>0</v>
      </c>
      <c r="AS139" s="407"/>
      <c r="AT139" s="407"/>
      <c r="AU139" s="407">
        <v>0</v>
      </c>
      <c r="AV139" s="407">
        <v>0</v>
      </c>
      <c r="AW139" s="407">
        <v>0</v>
      </c>
      <c r="AX139" s="407"/>
      <c r="AY139" s="407"/>
      <c r="AZ139" s="407">
        <v>0</v>
      </c>
      <c r="BA139" s="407"/>
      <c r="BB139" s="407">
        <v>0</v>
      </c>
      <c r="BC139" s="407">
        <v>0</v>
      </c>
      <c r="BD139" s="407">
        <v>0</v>
      </c>
      <c r="BE139" s="407">
        <v>0</v>
      </c>
      <c r="BF139" s="407"/>
      <c r="BG139" s="407">
        <v>0</v>
      </c>
      <c r="BH139" s="407">
        <v>0</v>
      </c>
      <c r="BI139" s="407">
        <v>1242.04</v>
      </c>
      <c r="BJ139" s="407">
        <v>5991.27</v>
      </c>
      <c r="BK139" s="407">
        <v>62759.35</v>
      </c>
      <c r="BL139" s="407">
        <v>13</v>
      </c>
      <c r="BM139" s="407"/>
      <c r="BN139" s="407"/>
      <c r="BO139" s="407"/>
      <c r="BP139" s="407"/>
      <c r="BQ139" s="407"/>
      <c r="BR139" s="407"/>
      <c r="BS139" s="407"/>
      <c r="BT139" s="407"/>
      <c r="BU139" s="407"/>
      <c r="BV139" s="407">
        <v>0</v>
      </c>
      <c r="BW139" s="407"/>
      <c r="BX139" s="407"/>
      <c r="BY139" s="407"/>
      <c r="BZ139" s="407"/>
      <c r="CA139" s="407"/>
      <c r="CB139" s="407"/>
      <c r="CC139" s="407"/>
      <c r="CD139" s="407"/>
      <c r="CE139" s="407"/>
      <c r="CF139" s="407"/>
      <c r="CG139" s="407"/>
      <c r="CH139" s="407"/>
      <c r="CI139" s="407">
        <v>70730.880000000005</v>
      </c>
      <c r="CJ139" s="407">
        <v>-20697.629999999976</v>
      </c>
      <c r="CK139" s="407"/>
      <c r="CL139" s="407"/>
      <c r="CM139" s="407"/>
      <c r="CN139" s="407"/>
      <c r="CO139" s="407">
        <v>-20697.599999999995</v>
      </c>
      <c r="CP139" s="407">
        <v>0</v>
      </c>
      <c r="CQ139" s="407">
        <v>30</v>
      </c>
      <c r="CR139" s="407">
        <v>472.37022669336875</v>
      </c>
      <c r="CS139" s="407">
        <v>0</v>
      </c>
      <c r="CT139" s="407">
        <v>0</v>
      </c>
      <c r="CU139" s="407">
        <v>0</v>
      </c>
      <c r="CV139" s="407">
        <v>0</v>
      </c>
      <c r="CW139" s="407"/>
      <c r="CX139" s="407"/>
      <c r="CY139" s="407"/>
      <c r="CZ139" s="407">
        <v>2257.6207550430336</v>
      </c>
      <c r="DA139" s="407">
        <v>0</v>
      </c>
      <c r="DB139" s="407">
        <v>0</v>
      </c>
      <c r="DC139" s="407"/>
      <c r="DD139" s="407"/>
      <c r="DE139" s="407">
        <v>0</v>
      </c>
      <c r="DF139" s="407">
        <v>0</v>
      </c>
      <c r="DG139" s="407">
        <v>0</v>
      </c>
      <c r="DH139" s="407">
        <v>0</v>
      </c>
      <c r="DI139" s="407">
        <v>0</v>
      </c>
      <c r="DJ139" s="407"/>
      <c r="DK139" s="407">
        <v>0</v>
      </c>
      <c r="DL139" s="407">
        <v>0</v>
      </c>
      <c r="DM139" s="407"/>
      <c r="DN139" s="407">
        <v>0</v>
      </c>
      <c r="DO139" s="407">
        <v>0</v>
      </c>
      <c r="DP139" s="407">
        <v>0</v>
      </c>
      <c r="DQ139" s="407">
        <v>0</v>
      </c>
      <c r="DR139" s="407">
        <v>-1785.2505283496673</v>
      </c>
      <c r="DS139" s="407"/>
      <c r="DT139" s="407"/>
      <c r="DU139" s="407">
        <v>41456.843164432816</v>
      </c>
      <c r="DV139" s="407"/>
      <c r="DW139" s="407">
        <v>0</v>
      </c>
      <c r="DX139" s="407">
        <v>0</v>
      </c>
      <c r="DY139" s="407">
        <v>-20697.599999999991</v>
      </c>
      <c r="DZ139" s="407"/>
      <c r="EA139" s="407">
        <v>0</v>
      </c>
      <c r="EB139" s="407"/>
      <c r="EC139" s="407">
        <v>-21176.251777024481</v>
      </c>
      <c r="ED139" s="407"/>
      <c r="EE139" s="407">
        <v>0</v>
      </c>
      <c r="EF139" s="407">
        <v>0</v>
      </c>
      <c r="EG139" s="407"/>
      <c r="EH139" s="407">
        <v>0</v>
      </c>
      <c r="EI139" s="407">
        <v>0</v>
      </c>
      <c r="EJ139" s="407">
        <v>0</v>
      </c>
      <c r="EK139" s="407">
        <v>0</v>
      </c>
      <c r="EL139" s="407">
        <v>0</v>
      </c>
      <c r="EM139" s="407"/>
      <c r="EN139" s="407"/>
      <c r="EO139" s="407">
        <v>0</v>
      </c>
      <c r="EP139" s="407">
        <v>0</v>
      </c>
      <c r="EQ139" s="407"/>
      <c r="ER139" s="407">
        <v>0</v>
      </c>
      <c r="ES139" s="407"/>
      <c r="ET139" s="407">
        <v>0</v>
      </c>
      <c r="EU139" s="407"/>
      <c r="EV139" s="407">
        <v>246</v>
      </c>
      <c r="EW139" s="407"/>
      <c r="EX139" s="407"/>
      <c r="EY139" s="407"/>
      <c r="EZ139" s="407"/>
      <c r="FA139" s="407">
        <v>0</v>
      </c>
      <c r="FB139" s="407"/>
      <c r="FC139" s="407"/>
      <c r="FD139" s="407"/>
      <c r="FE139" s="407"/>
      <c r="FF139" s="407">
        <v>0</v>
      </c>
      <c r="FG139" s="407">
        <v>0</v>
      </c>
      <c r="FH139" s="407">
        <v>0</v>
      </c>
      <c r="FI139" s="407">
        <v>0</v>
      </c>
    </row>
    <row r="140" spans="1:165">
      <c r="A140" s="407">
        <v>147</v>
      </c>
      <c r="B140" s="407" t="s">
        <v>2308</v>
      </c>
      <c r="C140" s="407" t="s">
        <v>2314</v>
      </c>
      <c r="D140" s="407" t="s">
        <v>650</v>
      </c>
      <c r="E140" s="407" t="s">
        <v>1022</v>
      </c>
      <c r="F140" s="407" t="s">
        <v>97</v>
      </c>
      <c r="G140" s="407" t="s">
        <v>97</v>
      </c>
      <c r="H140" s="407" t="s">
        <v>97</v>
      </c>
      <c r="I140" s="407" t="s">
        <v>97</v>
      </c>
      <c r="J140" s="407" t="s">
        <v>2307</v>
      </c>
      <c r="K140" s="818">
        <v>44440</v>
      </c>
      <c r="L140" s="407">
        <v>-130</v>
      </c>
      <c r="M140" s="407">
        <v>-130</v>
      </c>
      <c r="N140" s="407">
        <v>0</v>
      </c>
      <c r="O140" s="407">
        <v>0</v>
      </c>
      <c r="P140" s="407">
        <v>0</v>
      </c>
      <c r="Q140" s="407">
        <v>0</v>
      </c>
      <c r="R140" s="407">
        <v>43.29</v>
      </c>
      <c r="S140" s="407"/>
      <c r="T140" s="407"/>
      <c r="U140" s="407">
        <v>-5627.7</v>
      </c>
      <c r="V140" s="407"/>
      <c r="W140" s="407">
        <v>-5627.7</v>
      </c>
      <c r="X140" s="407">
        <v>-4353.7</v>
      </c>
      <c r="Y140" s="407">
        <v>0</v>
      </c>
      <c r="Z140" s="407">
        <v>0</v>
      </c>
      <c r="AA140" s="407">
        <v>0</v>
      </c>
      <c r="AB140" s="407">
        <v>0</v>
      </c>
      <c r="AC140" s="407">
        <v>0</v>
      </c>
      <c r="AD140" s="407">
        <v>-3076.3183305969401</v>
      </c>
      <c r="AE140" s="407">
        <v>-2551.7943235683078</v>
      </c>
      <c r="AF140" s="407"/>
      <c r="AG140" s="407"/>
      <c r="AH140" s="407"/>
      <c r="AI140" s="407">
        <v>0</v>
      </c>
      <c r="AJ140" s="407">
        <v>0</v>
      </c>
      <c r="AK140" s="407">
        <v>0</v>
      </c>
      <c r="AL140" s="407">
        <v>0</v>
      </c>
      <c r="AM140" s="407"/>
      <c r="AN140" s="407">
        <v>0</v>
      </c>
      <c r="AO140" s="407">
        <v>0</v>
      </c>
      <c r="AP140" s="407">
        <v>0</v>
      </c>
      <c r="AQ140" s="407">
        <v>0</v>
      </c>
      <c r="AR140" s="407">
        <v>0</v>
      </c>
      <c r="AS140" s="407"/>
      <c r="AT140" s="407"/>
      <c r="AU140" s="407">
        <v>0</v>
      </c>
      <c r="AV140" s="407">
        <v>0</v>
      </c>
      <c r="AW140" s="407">
        <v>0</v>
      </c>
      <c r="AX140" s="407"/>
      <c r="AY140" s="407"/>
      <c r="AZ140" s="407">
        <v>0</v>
      </c>
      <c r="BA140" s="407"/>
      <c r="BB140" s="407">
        <v>0</v>
      </c>
      <c r="BC140" s="407">
        <v>0</v>
      </c>
      <c r="BD140" s="407">
        <v>0</v>
      </c>
      <c r="BE140" s="407">
        <v>0</v>
      </c>
      <c r="BF140" s="407"/>
      <c r="BG140" s="407">
        <v>0</v>
      </c>
      <c r="BH140" s="407">
        <v>0</v>
      </c>
      <c r="BI140" s="407">
        <v>-12.01</v>
      </c>
      <c r="BJ140" s="407">
        <v>-80.02</v>
      </c>
      <c r="BK140" s="407">
        <v>0</v>
      </c>
      <c r="BL140" s="407">
        <v>0</v>
      </c>
      <c r="BM140" s="407"/>
      <c r="BN140" s="407"/>
      <c r="BO140" s="407"/>
      <c r="BP140" s="407"/>
      <c r="BQ140" s="407"/>
      <c r="BR140" s="407"/>
      <c r="BS140" s="407"/>
      <c r="BT140" s="407"/>
      <c r="BU140" s="407"/>
      <c r="BV140" s="407">
        <v>0</v>
      </c>
      <c r="BW140" s="407"/>
      <c r="BX140" s="407"/>
      <c r="BY140" s="407"/>
      <c r="BZ140" s="407"/>
      <c r="CA140" s="407"/>
      <c r="CB140" s="407"/>
      <c r="CC140" s="407"/>
      <c r="CD140" s="407"/>
      <c r="CE140" s="407"/>
      <c r="CF140" s="407"/>
      <c r="CG140" s="407"/>
      <c r="CH140" s="407"/>
      <c r="CI140" s="407">
        <v>-4353.7</v>
      </c>
      <c r="CJ140" s="407">
        <v>1273.9699999999993</v>
      </c>
      <c r="CK140" s="407"/>
      <c r="CL140" s="407"/>
      <c r="CM140" s="407"/>
      <c r="CN140" s="407"/>
      <c r="CO140" s="407">
        <v>1273.9999999999995</v>
      </c>
      <c r="CP140" s="407">
        <v>0</v>
      </c>
      <c r="CQ140" s="407">
        <v>30</v>
      </c>
      <c r="CR140" s="407">
        <v>-29.075818877906386</v>
      </c>
      <c r="CS140" s="407">
        <v>0</v>
      </c>
      <c r="CT140" s="407">
        <v>0</v>
      </c>
      <c r="CU140" s="407">
        <v>0</v>
      </c>
      <c r="CV140" s="407">
        <v>0</v>
      </c>
      <c r="CW140" s="407"/>
      <c r="CX140" s="407"/>
      <c r="CY140" s="407"/>
      <c r="CZ140" s="407">
        <v>-138.9633987479142</v>
      </c>
      <c r="DA140" s="407">
        <v>0</v>
      </c>
      <c r="DB140" s="407">
        <v>0</v>
      </c>
      <c r="DC140" s="407"/>
      <c r="DD140" s="407"/>
      <c r="DE140" s="407">
        <v>0</v>
      </c>
      <c r="DF140" s="407">
        <v>0</v>
      </c>
      <c r="DG140" s="407">
        <v>0</v>
      </c>
      <c r="DH140" s="407">
        <v>0</v>
      </c>
      <c r="DI140" s="407">
        <v>0</v>
      </c>
      <c r="DJ140" s="407"/>
      <c r="DK140" s="407">
        <v>0</v>
      </c>
      <c r="DL140" s="407">
        <v>0</v>
      </c>
      <c r="DM140" s="407"/>
      <c r="DN140" s="407">
        <v>0</v>
      </c>
      <c r="DO140" s="407">
        <v>0</v>
      </c>
      <c r="DP140" s="407">
        <v>0</v>
      </c>
      <c r="DQ140" s="407">
        <v>0</v>
      </c>
      <c r="DR140" s="407">
        <v>109.88757987000794</v>
      </c>
      <c r="DS140" s="407"/>
      <c r="DT140" s="407"/>
      <c r="DU140" s="407">
        <v>-2551.7943235683078</v>
      </c>
      <c r="DV140" s="407"/>
      <c r="DW140" s="407">
        <v>0</v>
      </c>
      <c r="DX140" s="407">
        <v>0</v>
      </c>
      <c r="DY140" s="407">
        <v>1274</v>
      </c>
      <c r="DZ140" s="407"/>
      <c r="EA140" s="407">
        <v>0</v>
      </c>
      <c r="EB140" s="407"/>
      <c r="EC140" s="407">
        <v>1303.4624673357871</v>
      </c>
      <c r="ED140" s="407"/>
      <c r="EE140" s="407">
        <v>0</v>
      </c>
      <c r="EF140" s="407">
        <v>0</v>
      </c>
      <c r="EG140" s="407"/>
      <c r="EH140" s="407">
        <v>0</v>
      </c>
      <c r="EI140" s="407">
        <v>0</v>
      </c>
      <c r="EJ140" s="407">
        <v>0</v>
      </c>
      <c r="EK140" s="407">
        <v>0</v>
      </c>
      <c r="EL140" s="407">
        <v>0</v>
      </c>
      <c r="EM140" s="407"/>
      <c r="EN140" s="407"/>
      <c r="EO140" s="407">
        <v>0</v>
      </c>
      <c r="EP140" s="407">
        <v>0</v>
      </c>
      <c r="EQ140" s="407"/>
      <c r="ER140" s="407">
        <v>0</v>
      </c>
      <c r="ES140" s="407"/>
      <c r="ET140" s="407">
        <v>0</v>
      </c>
      <c r="EU140" s="407"/>
      <c r="EV140" s="407">
        <v>246</v>
      </c>
      <c r="EW140" s="407"/>
      <c r="EX140" s="407"/>
      <c r="EY140" s="407"/>
      <c r="EZ140" s="407"/>
      <c r="FA140" s="407">
        <v>0</v>
      </c>
      <c r="FB140" s="407"/>
      <c r="FC140" s="407"/>
      <c r="FD140" s="407"/>
      <c r="FE140" s="407"/>
      <c r="FF140" s="407">
        <v>0</v>
      </c>
      <c r="FG140" s="407">
        <v>0</v>
      </c>
      <c r="FH140" s="407">
        <v>0</v>
      </c>
      <c r="FI140" s="407">
        <v>0</v>
      </c>
    </row>
    <row r="141" spans="1:165">
      <c r="A141" s="407">
        <v>148</v>
      </c>
      <c r="B141" s="407" t="s">
        <v>1090</v>
      </c>
      <c r="C141" s="407" t="s">
        <v>2306</v>
      </c>
      <c r="D141" s="407" t="s">
        <v>1219</v>
      </c>
      <c r="E141" s="407" t="s">
        <v>1049</v>
      </c>
      <c r="F141" s="407" t="s">
        <v>97</v>
      </c>
      <c r="G141" s="407" t="s">
        <v>97</v>
      </c>
      <c r="H141" s="407" t="s">
        <v>97</v>
      </c>
      <c r="I141" s="407" t="s">
        <v>97</v>
      </c>
      <c r="J141" s="407" t="s">
        <v>2307</v>
      </c>
      <c r="K141" s="818">
        <v>44440</v>
      </c>
      <c r="L141" s="407">
        <v>0</v>
      </c>
      <c r="M141" s="407">
        <v>0</v>
      </c>
      <c r="N141" s="407">
        <v>614.51499999999999</v>
      </c>
      <c r="O141" s="407">
        <v>614.51499999999999</v>
      </c>
      <c r="P141" s="407">
        <v>614.51499999999999</v>
      </c>
      <c r="Q141" s="407">
        <v>614.51499999999999</v>
      </c>
      <c r="R141" s="407"/>
      <c r="S141" s="407">
        <v>648.44000000000005</v>
      </c>
      <c r="T141" s="407">
        <v>159.41</v>
      </c>
      <c r="U141" s="407"/>
      <c r="V141" s="407">
        <v>496435.94274999999</v>
      </c>
      <c r="W141" s="407">
        <v>496435.94274999999</v>
      </c>
      <c r="X141" s="407">
        <v>375972.5673</v>
      </c>
      <c r="Y141" s="407">
        <v>0</v>
      </c>
      <c r="Z141" s="407">
        <v>38081.648565898569</v>
      </c>
      <c r="AA141" s="407">
        <v>0</v>
      </c>
      <c r="AB141" s="407">
        <v>0</v>
      </c>
      <c r="AC141" s="407">
        <v>0</v>
      </c>
      <c r="AD141" s="407">
        <v>71679.749573615554</v>
      </c>
      <c r="AE141" s="407">
        <v>256588.27452852062</v>
      </c>
      <c r="AF141" s="407">
        <v>94777.088880956173</v>
      </c>
      <c r="AG141" s="407">
        <v>3184.261404027603</v>
      </c>
      <c r="AH141" s="407">
        <v>0</v>
      </c>
      <c r="AI141" s="407">
        <v>0</v>
      </c>
      <c r="AJ141" s="407">
        <v>0</v>
      </c>
      <c r="AK141" s="407">
        <v>0</v>
      </c>
      <c r="AL141" s="407">
        <v>5884.6296538613005</v>
      </c>
      <c r="AM141" s="407"/>
      <c r="AN141" s="407">
        <v>1275.1773975085594</v>
      </c>
      <c r="AO141" s="407">
        <v>0</v>
      </c>
      <c r="AP141" s="407">
        <v>0</v>
      </c>
      <c r="AQ141" s="407">
        <v>0</v>
      </c>
      <c r="AR141" s="407">
        <v>0</v>
      </c>
      <c r="AS141" s="407">
        <v>0</v>
      </c>
      <c r="AT141" s="407">
        <v>0</v>
      </c>
      <c r="AU141" s="407">
        <v>0</v>
      </c>
      <c r="AV141" s="407">
        <v>0</v>
      </c>
      <c r="AW141" s="407">
        <v>0</v>
      </c>
      <c r="AX141" s="407">
        <v>0</v>
      </c>
      <c r="AY141" s="407">
        <v>0</v>
      </c>
      <c r="AZ141" s="407">
        <v>0</v>
      </c>
      <c r="BA141" s="407"/>
      <c r="BB141" s="407">
        <v>0</v>
      </c>
      <c r="BC141" s="407">
        <v>0</v>
      </c>
      <c r="BD141" s="407">
        <v>0</v>
      </c>
      <c r="BE141" s="407">
        <v>0</v>
      </c>
      <c r="BF141" s="407">
        <v>0</v>
      </c>
      <c r="BG141" s="407">
        <v>6927.9025514898094</v>
      </c>
      <c r="BH141" s="407">
        <v>0</v>
      </c>
      <c r="BI141" s="407">
        <v>2219.87</v>
      </c>
      <c r="BJ141" s="407">
        <v>10745.57</v>
      </c>
      <c r="BK141" s="407">
        <v>196544.84</v>
      </c>
      <c r="BL141" s="407">
        <v>1435</v>
      </c>
      <c r="BM141" s="407"/>
      <c r="BN141" s="407"/>
      <c r="BO141" s="407"/>
      <c r="BP141" s="407"/>
      <c r="BQ141" s="407"/>
      <c r="BR141" s="407"/>
      <c r="BS141" s="407"/>
      <c r="BT141" s="407"/>
      <c r="BU141" s="407"/>
      <c r="BV141" s="407">
        <v>101704.99143244598</v>
      </c>
      <c r="BW141" s="407"/>
      <c r="BX141" s="407"/>
      <c r="BY141" s="407"/>
      <c r="BZ141" s="407"/>
      <c r="CA141" s="407"/>
      <c r="CB141" s="407"/>
      <c r="CC141" s="407"/>
      <c r="CD141" s="407"/>
      <c r="CE141" s="407"/>
      <c r="CF141" s="407"/>
      <c r="CG141" s="407"/>
      <c r="CH141" s="407"/>
      <c r="CI141" s="407">
        <v>375975.62639999995</v>
      </c>
      <c r="CJ141" s="407">
        <v>-120460.34635000007</v>
      </c>
      <c r="CK141" s="407"/>
      <c r="CL141" s="407"/>
      <c r="CM141" s="407"/>
      <c r="CN141" s="407"/>
      <c r="CO141" s="407">
        <v>-137344.10250000004</v>
      </c>
      <c r="CP141" s="407">
        <v>16880.727049999998</v>
      </c>
      <c r="CQ141" s="407">
        <v>30</v>
      </c>
      <c r="CR141" s="407">
        <v>10602.852880892344</v>
      </c>
      <c r="CS141" s="407">
        <v>0</v>
      </c>
      <c r="CT141" s="407">
        <v>0</v>
      </c>
      <c r="CU141" s="407">
        <v>0</v>
      </c>
      <c r="CV141" s="407">
        <v>0</v>
      </c>
      <c r="CW141" s="407">
        <v>0</v>
      </c>
      <c r="CX141" s="407">
        <v>0</v>
      </c>
      <c r="CY141" s="407">
        <v>0</v>
      </c>
      <c r="CZ141" s="407">
        <v>3237.9164155669423</v>
      </c>
      <c r="DA141" s="407">
        <v>0</v>
      </c>
      <c r="DB141" s="407">
        <v>0</v>
      </c>
      <c r="DC141" s="407">
        <v>18791.737284575371</v>
      </c>
      <c r="DD141" s="407">
        <v>0</v>
      </c>
      <c r="DE141" s="407">
        <v>0</v>
      </c>
      <c r="DF141" s="407">
        <v>0</v>
      </c>
      <c r="DG141" s="407">
        <v>1373.6159890314539</v>
      </c>
      <c r="DH141" s="407">
        <v>0</v>
      </c>
      <c r="DI141" s="407">
        <v>-2667.31379099888</v>
      </c>
      <c r="DJ141" s="407"/>
      <c r="DK141" s="407">
        <v>0</v>
      </c>
      <c r="DL141" s="407">
        <v>0</v>
      </c>
      <c r="DM141" s="407">
        <v>0</v>
      </c>
      <c r="DN141" s="407">
        <v>0</v>
      </c>
      <c r="DO141" s="407">
        <v>-359.0293578182509</v>
      </c>
      <c r="DP141" s="407">
        <v>-81.251225232195566</v>
      </c>
      <c r="DQ141" s="407">
        <v>0</v>
      </c>
      <c r="DR141" s="407">
        <v>-9692.8224342321264</v>
      </c>
      <c r="DS141" s="407"/>
      <c r="DT141" s="407"/>
      <c r="DU141" s="407"/>
      <c r="DV141" s="407">
        <v>256588.27452852062</v>
      </c>
      <c r="DW141" s="407">
        <v>0</v>
      </c>
      <c r="DX141" s="407">
        <v>0</v>
      </c>
      <c r="DY141" s="407">
        <v>-137344.10250000001</v>
      </c>
      <c r="DZ141" s="407">
        <v>16880.727049999987</v>
      </c>
      <c r="EA141" s="407">
        <v>0</v>
      </c>
      <c r="EB141" s="407">
        <v>0</v>
      </c>
      <c r="EC141" s="407">
        <v>-131065.88658708741</v>
      </c>
      <c r="ED141" s="407">
        <v>0</v>
      </c>
      <c r="EE141" s="407">
        <v>0</v>
      </c>
      <c r="EF141" s="407">
        <v>0</v>
      </c>
      <c r="EG141" s="407">
        <v>0</v>
      </c>
      <c r="EH141" s="407">
        <v>0</v>
      </c>
      <c r="EI141" s="407">
        <v>0</v>
      </c>
      <c r="EJ141" s="407">
        <v>0</v>
      </c>
      <c r="EK141" s="407">
        <v>0</v>
      </c>
      <c r="EL141" s="407">
        <v>0</v>
      </c>
      <c r="EM141" s="407">
        <v>0</v>
      </c>
      <c r="EN141" s="407">
        <v>0</v>
      </c>
      <c r="EO141" s="407">
        <v>0</v>
      </c>
      <c r="EP141" s="407">
        <v>18038.596041324789</v>
      </c>
      <c r="EQ141" s="407">
        <v>0</v>
      </c>
      <c r="ER141" s="407">
        <v>0</v>
      </c>
      <c r="ES141" s="407">
        <v>0</v>
      </c>
      <c r="ET141" s="407">
        <v>0</v>
      </c>
      <c r="EU141" s="407">
        <v>0</v>
      </c>
      <c r="EV141" s="407">
        <v>246</v>
      </c>
      <c r="EW141" s="407">
        <v>0</v>
      </c>
      <c r="EX141" s="407">
        <v>0</v>
      </c>
      <c r="EY141" s="407">
        <v>0</v>
      </c>
      <c r="EZ141" s="407"/>
      <c r="FA141" s="407">
        <v>0</v>
      </c>
      <c r="FB141" s="407"/>
      <c r="FC141" s="407"/>
      <c r="FD141" s="407"/>
      <c r="FE141" s="407"/>
      <c r="FF141" s="407">
        <v>0</v>
      </c>
      <c r="FG141" s="407">
        <v>0</v>
      </c>
      <c r="FH141" s="407">
        <v>0</v>
      </c>
      <c r="FI141" s="407">
        <v>0</v>
      </c>
    </row>
    <row r="142" spans="1:165">
      <c r="A142" s="407">
        <v>149</v>
      </c>
      <c r="B142" s="407" t="s">
        <v>2308</v>
      </c>
      <c r="C142" s="407" t="s">
        <v>2306</v>
      </c>
      <c r="D142" s="407" t="s">
        <v>1219</v>
      </c>
      <c r="E142" s="407" t="s">
        <v>1049</v>
      </c>
      <c r="F142" s="407" t="s">
        <v>97</v>
      </c>
      <c r="G142" s="407" t="s">
        <v>97</v>
      </c>
      <c r="H142" s="407" t="s">
        <v>97</v>
      </c>
      <c r="I142" s="407" t="s">
        <v>97</v>
      </c>
      <c r="J142" s="407" t="s">
        <v>2307</v>
      </c>
      <c r="K142" s="818">
        <v>44440</v>
      </c>
      <c r="L142" s="407">
        <v>0</v>
      </c>
      <c r="M142" s="407">
        <v>0</v>
      </c>
      <c r="N142" s="407">
        <v>-0.3</v>
      </c>
      <c r="O142" s="407">
        <v>-0.3</v>
      </c>
      <c r="P142" s="407">
        <v>-0.3</v>
      </c>
      <c r="Q142" s="407">
        <v>-0.3</v>
      </c>
      <c r="R142" s="407"/>
      <c r="S142" s="407">
        <v>648.44000000000005</v>
      </c>
      <c r="T142" s="407">
        <v>159.41</v>
      </c>
      <c r="U142" s="407"/>
      <c r="V142" s="407">
        <v>-242.35500000000002</v>
      </c>
      <c r="W142" s="407">
        <v>-242.35500000000002</v>
      </c>
      <c r="X142" s="407">
        <v>-183.54599999999999</v>
      </c>
      <c r="Y142" s="407">
        <v>0</v>
      </c>
      <c r="Z142" s="407">
        <v>-18.591075189002009</v>
      </c>
      <c r="AA142" s="407">
        <v>0</v>
      </c>
      <c r="AB142" s="407">
        <v>0</v>
      </c>
      <c r="AC142" s="407">
        <v>0</v>
      </c>
      <c r="AD142" s="407">
        <v>-34.993327863574798</v>
      </c>
      <c r="AE142" s="407">
        <v>-125.2637972361231</v>
      </c>
      <c r="AF142" s="407">
        <v>-46.269215013932694</v>
      </c>
      <c r="AG142" s="407">
        <v>-1.554524171433213</v>
      </c>
      <c r="AH142" s="407">
        <v>0</v>
      </c>
      <c r="AI142" s="407">
        <v>0</v>
      </c>
      <c r="AJ142" s="407">
        <v>0</v>
      </c>
      <c r="AK142" s="407">
        <v>0</v>
      </c>
      <c r="AL142" s="407">
        <v>-2.8728166052226389</v>
      </c>
      <c r="AM142" s="407"/>
      <c r="AN142" s="407">
        <v>-0.62252869214350792</v>
      </c>
      <c r="AO142" s="407">
        <v>0</v>
      </c>
      <c r="AP142" s="407">
        <v>0</v>
      </c>
      <c r="AQ142" s="407">
        <v>0</v>
      </c>
      <c r="AR142" s="407">
        <v>0</v>
      </c>
      <c r="AS142" s="407">
        <v>0</v>
      </c>
      <c r="AT142" s="407">
        <v>0</v>
      </c>
      <c r="AU142" s="407">
        <v>0</v>
      </c>
      <c r="AV142" s="407">
        <v>0</v>
      </c>
      <c r="AW142" s="407">
        <v>0</v>
      </c>
      <c r="AX142" s="407">
        <v>0</v>
      </c>
      <c r="AY142" s="407">
        <v>0</v>
      </c>
      <c r="AZ142" s="407">
        <v>0</v>
      </c>
      <c r="BA142" s="407"/>
      <c r="BB142" s="407">
        <v>0</v>
      </c>
      <c r="BC142" s="407">
        <v>0</v>
      </c>
      <c r="BD142" s="407">
        <v>0</v>
      </c>
      <c r="BE142" s="407">
        <v>0</v>
      </c>
      <c r="BF142" s="407">
        <v>0</v>
      </c>
      <c r="BG142" s="407">
        <v>-3.3821318689485902</v>
      </c>
      <c r="BH142" s="407">
        <v>0</v>
      </c>
      <c r="BI142" s="407">
        <v>-0.81</v>
      </c>
      <c r="BJ142" s="407">
        <v>-5.39</v>
      </c>
      <c r="BK142" s="407">
        <v>-89.87</v>
      </c>
      <c r="BL142" s="407">
        <v>0</v>
      </c>
      <c r="BM142" s="407"/>
      <c r="BN142" s="407"/>
      <c r="BO142" s="407"/>
      <c r="BP142" s="407"/>
      <c r="BQ142" s="407"/>
      <c r="BR142" s="407"/>
      <c r="BS142" s="407"/>
      <c r="BT142" s="407"/>
      <c r="BU142" s="407"/>
      <c r="BV142" s="407">
        <v>-49.651346882881285</v>
      </c>
      <c r="BW142" s="407"/>
      <c r="BX142" s="407"/>
      <c r="BY142" s="407"/>
      <c r="BZ142" s="407"/>
      <c r="CA142" s="407"/>
      <c r="CB142" s="407"/>
      <c r="CC142" s="407"/>
      <c r="CD142" s="407"/>
      <c r="CE142" s="407"/>
      <c r="CF142" s="407"/>
      <c r="CG142" s="407"/>
      <c r="CH142" s="407"/>
      <c r="CI142" s="407">
        <v>-183.54599999999999</v>
      </c>
      <c r="CJ142" s="407">
        <v>58.779000000000053</v>
      </c>
      <c r="CK142" s="407"/>
      <c r="CL142" s="407"/>
      <c r="CM142" s="407"/>
      <c r="CN142" s="407"/>
      <c r="CO142" s="407">
        <v>67.050000000000011</v>
      </c>
      <c r="CP142" s="407">
        <v>-8.2409999999999997</v>
      </c>
      <c r="CQ142" s="407">
        <v>30</v>
      </c>
      <c r="CR142" s="407">
        <v>-5.1762054046974981</v>
      </c>
      <c r="CS142" s="407">
        <v>0</v>
      </c>
      <c r="CT142" s="407">
        <v>0</v>
      </c>
      <c r="CU142" s="407">
        <v>0</v>
      </c>
      <c r="CV142" s="407">
        <v>0</v>
      </c>
      <c r="CW142" s="407">
        <v>0</v>
      </c>
      <c r="CX142" s="407">
        <v>0</v>
      </c>
      <c r="CY142" s="407">
        <v>0</v>
      </c>
      <c r="CZ142" s="407">
        <v>-1.5807180047193015</v>
      </c>
      <c r="DA142" s="407">
        <v>0</v>
      </c>
      <c r="DB142" s="407">
        <v>0</v>
      </c>
      <c r="DC142" s="407">
        <v>-9.1739358443205035</v>
      </c>
      <c r="DD142" s="407">
        <v>0</v>
      </c>
      <c r="DE142" s="407">
        <v>0</v>
      </c>
      <c r="DF142" s="407">
        <v>0</v>
      </c>
      <c r="DG142" s="407">
        <v>-0.67058541566834995</v>
      </c>
      <c r="DH142" s="407">
        <v>0</v>
      </c>
      <c r="DI142" s="407">
        <v>1.3021555817183703</v>
      </c>
      <c r="DJ142" s="407"/>
      <c r="DK142" s="407">
        <v>0</v>
      </c>
      <c r="DL142" s="407">
        <v>0</v>
      </c>
      <c r="DM142" s="407">
        <v>0</v>
      </c>
      <c r="DN142" s="407">
        <v>0</v>
      </c>
      <c r="DO142" s="407">
        <v>0.17527449670955964</v>
      </c>
      <c r="DP142" s="407">
        <v>3.9666025352771972E-2</v>
      </c>
      <c r="DQ142" s="407">
        <v>0</v>
      </c>
      <c r="DR142" s="407">
        <v>4.7319377562299341</v>
      </c>
      <c r="DS142" s="407"/>
      <c r="DT142" s="407"/>
      <c r="DU142" s="407"/>
      <c r="DV142" s="407">
        <v>-125.2637972361231</v>
      </c>
      <c r="DW142" s="407">
        <v>0</v>
      </c>
      <c r="DX142" s="407">
        <v>0</v>
      </c>
      <c r="DY142" s="407">
        <v>67.050000000000011</v>
      </c>
      <c r="DZ142" s="407">
        <v>-8.2409999999999997</v>
      </c>
      <c r="EA142" s="407">
        <v>0</v>
      </c>
      <c r="EB142" s="407">
        <v>0</v>
      </c>
      <c r="EC142" s="407">
        <v>63.985038568832692</v>
      </c>
      <c r="ED142" s="407">
        <v>0</v>
      </c>
      <c r="EE142" s="407">
        <v>0</v>
      </c>
      <c r="EF142" s="407">
        <v>0</v>
      </c>
      <c r="EG142" s="407">
        <v>0</v>
      </c>
      <c r="EH142" s="407">
        <v>0</v>
      </c>
      <c r="EI142" s="407">
        <v>0</v>
      </c>
      <c r="EJ142" s="407">
        <v>0</v>
      </c>
      <c r="EK142" s="407">
        <v>0</v>
      </c>
      <c r="EL142" s="407">
        <v>0</v>
      </c>
      <c r="EM142" s="407">
        <v>0</v>
      </c>
      <c r="EN142" s="407">
        <v>0</v>
      </c>
      <c r="EO142" s="407">
        <v>0</v>
      </c>
      <c r="EP142" s="407">
        <v>-8.8062599161898998</v>
      </c>
      <c r="EQ142" s="407">
        <v>0</v>
      </c>
      <c r="ER142" s="407">
        <v>0</v>
      </c>
      <c r="ES142" s="407">
        <v>0</v>
      </c>
      <c r="ET142" s="407">
        <v>0</v>
      </c>
      <c r="EU142" s="407">
        <v>0</v>
      </c>
      <c r="EV142" s="407">
        <v>246</v>
      </c>
      <c r="EW142" s="407">
        <v>0</v>
      </c>
      <c r="EX142" s="407">
        <v>0</v>
      </c>
      <c r="EY142" s="407">
        <v>0</v>
      </c>
      <c r="EZ142" s="407"/>
      <c r="FA142" s="407">
        <v>0</v>
      </c>
      <c r="FB142" s="407"/>
      <c r="FC142" s="407"/>
      <c r="FD142" s="407"/>
      <c r="FE142" s="407"/>
      <c r="FF142" s="407">
        <v>0</v>
      </c>
      <c r="FG142" s="407">
        <v>0</v>
      </c>
      <c r="FH142" s="407">
        <v>0</v>
      </c>
      <c r="FI142" s="407">
        <v>0</v>
      </c>
    </row>
    <row r="143" spans="1:165">
      <c r="A143" s="407">
        <v>150</v>
      </c>
      <c r="B143" s="407" t="s">
        <v>2309</v>
      </c>
      <c r="C143" s="407" t="s">
        <v>2306</v>
      </c>
      <c r="D143" s="407" t="s">
        <v>1219</v>
      </c>
      <c r="E143" s="407" t="s">
        <v>1049</v>
      </c>
      <c r="F143" s="407" t="s">
        <v>97</v>
      </c>
      <c r="G143" s="407" t="s">
        <v>97</v>
      </c>
      <c r="H143" s="407" t="s">
        <v>97</v>
      </c>
      <c r="I143" s="407" t="s">
        <v>97</v>
      </c>
      <c r="J143" s="407" t="s">
        <v>2307</v>
      </c>
      <c r="K143" s="818">
        <v>44440</v>
      </c>
      <c r="L143" s="407">
        <v>0</v>
      </c>
      <c r="M143" s="407">
        <v>0</v>
      </c>
      <c r="N143" s="407">
        <v>55.978000000000002</v>
      </c>
      <c r="O143" s="407">
        <v>55.978000000000002</v>
      </c>
      <c r="P143" s="407">
        <v>55.978000000000002</v>
      </c>
      <c r="Q143" s="407">
        <v>55.978000000000002</v>
      </c>
      <c r="R143" s="407"/>
      <c r="S143" s="407">
        <v>648.44000000000005</v>
      </c>
      <c r="T143" s="407">
        <v>159.41</v>
      </c>
      <c r="U143" s="407"/>
      <c r="V143" s="407">
        <v>45221.827300000004</v>
      </c>
      <c r="W143" s="407">
        <v>45221.827300000004</v>
      </c>
      <c r="X143" s="407">
        <v>34248.45996</v>
      </c>
      <c r="Y143" s="407">
        <v>0</v>
      </c>
      <c r="Z143" s="407">
        <v>3468.9706897665155</v>
      </c>
      <c r="AA143" s="407">
        <v>0</v>
      </c>
      <c r="AB143" s="407">
        <v>0</v>
      </c>
      <c r="AC143" s="407">
        <v>0</v>
      </c>
      <c r="AD143" s="407">
        <v>6529.5216904906338</v>
      </c>
      <c r="AE143" s="407">
        <v>23373.389472278999</v>
      </c>
      <c r="AF143" s="407">
        <v>8633.527060166416</v>
      </c>
      <c r="AG143" s="407">
        <v>290.06384689496133</v>
      </c>
      <c r="AH143" s="407">
        <v>0</v>
      </c>
      <c r="AI143" s="407">
        <v>0</v>
      </c>
      <c r="AJ143" s="407">
        <v>0</v>
      </c>
      <c r="AK143" s="407">
        <v>0</v>
      </c>
      <c r="AL143" s="407">
        <v>536.04842642384301</v>
      </c>
      <c r="AM143" s="407"/>
      <c r="AN143" s="407">
        <v>116.15970376269763</v>
      </c>
      <c r="AO143" s="407">
        <v>0</v>
      </c>
      <c r="AP143" s="407">
        <v>0</v>
      </c>
      <c r="AQ143" s="407">
        <v>0</v>
      </c>
      <c r="AR143" s="407">
        <v>0</v>
      </c>
      <c r="AS143" s="407">
        <v>0</v>
      </c>
      <c r="AT143" s="407">
        <v>0</v>
      </c>
      <c r="AU143" s="407">
        <v>0</v>
      </c>
      <c r="AV143" s="407">
        <v>0</v>
      </c>
      <c r="AW143" s="407">
        <v>0</v>
      </c>
      <c r="AX143" s="407">
        <v>0</v>
      </c>
      <c r="AY143" s="407">
        <v>0</v>
      </c>
      <c r="AZ143" s="407">
        <v>0</v>
      </c>
      <c r="BA143" s="407"/>
      <c r="BB143" s="407">
        <v>0</v>
      </c>
      <c r="BC143" s="407">
        <v>0</v>
      </c>
      <c r="BD143" s="407">
        <v>0</v>
      </c>
      <c r="BE143" s="407">
        <v>0</v>
      </c>
      <c r="BF143" s="407">
        <v>0</v>
      </c>
      <c r="BG143" s="407">
        <v>631.08325920001391</v>
      </c>
      <c r="BH143" s="407">
        <v>0</v>
      </c>
      <c r="BI143" s="407">
        <v>202.39</v>
      </c>
      <c r="BJ143" s="407">
        <v>979.71</v>
      </c>
      <c r="BK143" s="407">
        <v>34247.269999999997</v>
      </c>
      <c r="BL143" s="407">
        <v>110</v>
      </c>
      <c r="BM143" s="407"/>
      <c r="BN143" s="407"/>
      <c r="BO143" s="407"/>
      <c r="BP143" s="407"/>
      <c r="BQ143" s="407"/>
      <c r="BR143" s="407"/>
      <c r="BS143" s="407"/>
      <c r="BT143" s="407"/>
      <c r="BU143" s="407"/>
      <c r="BV143" s="407">
        <v>9264.6103193664294</v>
      </c>
      <c r="BW143" s="407"/>
      <c r="BX143" s="407"/>
      <c r="BY143" s="407"/>
      <c r="BZ143" s="407"/>
      <c r="CA143" s="407"/>
      <c r="CB143" s="407"/>
      <c r="CC143" s="407"/>
      <c r="CD143" s="407"/>
      <c r="CE143" s="407"/>
      <c r="CF143" s="407"/>
      <c r="CG143" s="407"/>
      <c r="CH143" s="407"/>
      <c r="CI143" s="407">
        <v>34249.683599999997</v>
      </c>
      <c r="CJ143" s="407">
        <v>-10972.173700000014</v>
      </c>
      <c r="CK143" s="407"/>
      <c r="CL143" s="407"/>
      <c r="CM143" s="407"/>
      <c r="CN143" s="407"/>
      <c r="CO143" s="407">
        <v>-12511.083000000004</v>
      </c>
      <c r="CP143" s="407">
        <v>1537.7156600000001</v>
      </c>
      <c r="CQ143" s="407">
        <v>30</v>
      </c>
      <c r="CR143" s="407">
        <v>965.8454204805239</v>
      </c>
      <c r="CS143" s="407">
        <v>0</v>
      </c>
      <c r="CT143" s="407">
        <v>0</v>
      </c>
      <c r="CU143" s="407">
        <v>0</v>
      </c>
      <c r="CV143" s="407">
        <v>0</v>
      </c>
      <c r="CW143" s="407">
        <v>0</v>
      </c>
      <c r="CX143" s="407">
        <v>0</v>
      </c>
      <c r="CY143" s="407">
        <v>0</v>
      </c>
      <c r="CZ143" s="407">
        <v>294.95144156058996</v>
      </c>
      <c r="DA143" s="407">
        <v>0</v>
      </c>
      <c r="DB143" s="407">
        <v>0</v>
      </c>
      <c r="DC143" s="407">
        <v>1711.7952689779104</v>
      </c>
      <c r="DD143" s="407">
        <v>0</v>
      </c>
      <c r="DE143" s="407">
        <v>0</v>
      </c>
      <c r="DF143" s="407">
        <v>0</v>
      </c>
      <c r="DG143" s="407">
        <v>125.12676799427629</v>
      </c>
      <c r="DH143" s="407">
        <v>0</v>
      </c>
      <c r="DI143" s="407">
        <v>-242.97355051143677</v>
      </c>
      <c r="DJ143" s="407"/>
      <c r="DK143" s="407">
        <v>0</v>
      </c>
      <c r="DL143" s="407">
        <v>0</v>
      </c>
      <c r="DM143" s="407">
        <v>0</v>
      </c>
      <c r="DN143" s="407">
        <v>0</v>
      </c>
      <c r="DO143" s="407">
        <v>-32.705052589359184</v>
      </c>
      <c r="DP143" s="407">
        <v>-7.4014158906582281</v>
      </c>
      <c r="DQ143" s="407">
        <v>0</v>
      </c>
      <c r="DR143" s="407">
        <v>-882.94803906079744</v>
      </c>
      <c r="DS143" s="407"/>
      <c r="DT143" s="407"/>
      <c r="DU143" s="407"/>
      <c r="DV143" s="407">
        <v>23373.389472278999</v>
      </c>
      <c r="DW143" s="407">
        <v>0</v>
      </c>
      <c r="DX143" s="407">
        <v>0</v>
      </c>
      <c r="DY143" s="407">
        <v>-12511.083000000002</v>
      </c>
      <c r="DZ143" s="407">
        <v>1537.7156599999998</v>
      </c>
      <c r="EA143" s="407">
        <v>0</v>
      </c>
      <c r="EB143" s="407">
        <v>0</v>
      </c>
      <c r="EC143" s="407">
        <v>-11939.181630020392</v>
      </c>
      <c r="ED143" s="407">
        <v>0</v>
      </c>
      <c r="EE143" s="407">
        <v>0</v>
      </c>
      <c r="EF143" s="407">
        <v>0</v>
      </c>
      <c r="EG143" s="407">
        <v>0</v>
      </c>
      <c r="EH143" s="407">
        <v>0</v>
      </c>
      <c r="EI143" s="407">
        <v>0</v>
      </c>
      <c r="EJ143" s="407">
        <v>0</v>
      </c>
      <c r="EK143" s="407">
        <v>0</v>
      </c>
      <c r="EL143" s="407">
        <v>0</v>
      </c>
      <c r="EM143" s="407">
        <v>0</v>
      </c>
      <c r="EN143" s="407">
        <v>0</v>
      </c>
      <c r="EO143" s="407">
        <v>0</v>
      </c>
      <c r="EP143" s="407">
        <v>1643.1893919615943</v>
      </c>
      <c r="EQ143" s="407">
        <v>0</v>
      </c>
      <c r="ER143" s="407">
        <v>0</v>
      </c>
      <c r="ES143" s="407">
        <v>0</v>
      </c>
      <c r="ET143" s="407">
        <v>0</v>
      </c>
      <c r="EU143" s="407">
        <v>0</v>
      </c>
      <c r="EV143" s="407">
        <v>246</v>
      </c>
      <c r="EW143" s="407">
        <v>0</v>
      </c>
      <c r="EX143" s="407">
        <v>0</v>
      </c>
      <c r="EY143" s="407">
        <v>0</v>
      </c>
      <c r="EZ143" s="407"/>
      <c r="FA143" s="407">
        <v>0</v>
      </c>
      <c r="FB143" s="407"/>
      <c r="FC143" s="407"/>
      <c r="FD143" s="407"/>
      <c r="FE143" s="407"/>
      <c r="FF143" s="407">
        <v>0</v>
      </c>
      <c r="FG143" s="407">
        <v>0</v>
      </c>
      <c r="FH143" s="407">
        <v>0</v>
      </c>
      <c r="FI143" s="407">
        <v>0</v>
      </c>
    </row>
    <row r="144" spans="1:165">
      <c r="A144" s="407">
        <v>151</v>
      </c>
      <c r="B144" s="407" t="s">
        <v>1090</v>
      </c>
      <c r="C144" s="407" t="s">
        <v>2314</v>
      </c>
      <c r="D144" s="407" t="s">
        <v>650</v>
      </c>
      <c r="E144" s="407" t="s">
        <v>1049</v>
      </c>
      <c r="F144" s="407" t="s">
        <v>97</v>
      </c>
      <c r="G144" s="407" t="s">
        <v>97</v>
      </c>
      <c r="H144" s="407" t="s">
        <v>97</v>
      </c>
      <c r="I144" s="407" t="s">
        <v>1025</v>
      </c>
      <c r="J144" s="407" t="s">
        <v>2307</v>
      </c>
      <c r="K144" s="818">
        <v>44440</v>
      </c>
      <c r="L144" s="407">
        <v>0</v>
      </c>
      <c r="M144" s="407">
        <v>0</v>
      </c>
      <c r="N144" s="407">
        <v>9.2010000000000005</v>
      </c>
      <c r="O144" s="407">
        <v>9.2010000000000005</v>
      </c>
      <c r="P144" s="407">
        <v>9.2010000000000005</v>
      </c>
      <c r="Q144" s="407">
        <v>9.2010000000000005</v>
      </c>
      <c r="R144" s="407"/>
      <c r="S144" s="407">
        <v>2810.7</v>
      </c>
      <c r="T144" s="407">
        <v>159.41</v>
      </c>
      <c r="U144" s="407"/>
      <c r="V144" s="407">
        <v>27327.982110000001</v>
      </c>
      <c r="W144" s="407">
        <v>27327.982110000001</v>
      </c>
      <c r="X144" s="407">
        <v>17405.439689999999</v>
      </c>
      <c r="Y144" s="407">
        <v>0</v>
      </c>
      <c r="Z144" s="407">
        <v>496.0638001606215</v>
      </c>
      <c r="AA144" s="407">
        <v>0</v>
      </c>
      <c r="AB144" s="407">
        <v>0</v>
      </c>
      <c r="AC144" s="407">
        <v>0</v>
      </c>
      <c r="AD144" s="407">
        <v>5617.3539747508703</v>
      </c>
      <c r="AE144" s="407">
        <v>19367.082806540646</v>
      </c>
      <c r="AF144" s="407">
        <v>1419.076824477316</v>
      </c>
      <c r="AG144" s="407">
        <v>47.677256337856647</v>
      </c>
      <c r="AH144" s="407">
        <v>0</v>
      </c>
      <c r="AI144" s="407">
        <v>0</v>
      </c>
      <c r="AJ144" s="407">
        <v>0</v>
      </c>
      <c r="AK144" s="407">
        <v>0</v>
      </c>
      <c r="AL144" s="407">
        <v>88.109285282178348</v>
      </c>
      <c r="AM144" s="407"/>
      <c r="AN144" s="407">
        <v>9.8794208644439987</v>
      </c>
      <c r="AO144" s="407">
        <v>0</v>
      </c>
      <c r="AP144" s="407">
        <v>0</v>
      </c>
      <c r="AQ144" s="407">
        <v>0</v>
      </c>
      <c r="AR144" s="407">
        <v>0</v>
      </c>
      <c r="AS144" s="407">
        <v>0</v>
      </c>
      <c r="AT144" s="407">
        <v>0</v>
      </c>
      <c r="AU144" s="407">
        <v>0</v>
      </c>
      <c r="AV144" s="407">
        <v>0</v>
      </c>
      <c r="AW144" s="407">
        <v>0</v>
      </c>
      <c r="AX144" s="407">
        <v>0</v>
      </c>
      <c r="AY144" s="407">
        <v>0</v>
      </c>
      <c r="AZ144" s="407">
        <v>0</v>
      </c>
      <c r="BA144" s="407"/>
      <c r="BB144" s="407">
        <v>0</v>
      </c>
      <c r="BC144" s="407">
        <v>0</v>
      </c>
      <c r="BD144" s="407">
        <v>0</v>
      </c>
      <c r="BE144" s="407">
        <v>0</v>
      </c>
      <c r="BF144" s="407">
        <v>0</v>
      </c>
      <c r="BG144" s="407">
        <v>47.752033976605382</v>
      </c>
      <c r="BH144" s="407">
        <v>0</v>
      </c>
      <c r="BI144" s="407">
        <v>0</v>
      </c>
      <c r="BJ144" s="407">
        <v>0</v>
      </c>
      <c r="BK144" s="407">
        <v>0</v>
      </c>
      <c r="BL144" s="407">
        <v>0</v>
      </c>
      <c r="BM144" s="407"/>
      <c r="BN144" s="407"/>
      <c r="BO144" s="407"/>
      <c r="BP144" s="407"/>
      <c r="BQ144" s="407"/>
      <c r="BR144" s="407"/>
      <c r="BS144" s="407"/>
      <c r="BT144" s="407"/>
      <c r="BU144" s="407"/>
      <c r="BV144" s="407">
        <v>1466.8288584539214</v>
      </c>
      <c r="BW144" s="407"/>
      <c r="BX144" s="407"/>
      <c r="BY144" s="407"/>
      <c r="BZ144" s="407"/>
      <c r="CA144" s="407"/>
      <c r="CB144" s="407"/>
      <c r="CC144" s="407"/>
      <c r="CD144" s="407"/>
      <c r="CE144" s="407"/>
      <c r="CF144" s="407"/>
      <c r="CG144" s="407"/>
      <c r="CH144" s="407"/>
      <c r="CI144" s="407">
        <v>17403.547999999999</v>
      </c>
      <c r="CJ144" s="407">
        <v>-9924.4641099999972</v>
      </c>
      <c r="CK144" s="407"/>
      <c r="CL144" s="407"/>
      <c r="CM144" s="407"/>
      <c r="CN144" s="407"/>
      <c r="CO144" s="407">
        <v>-10175.293889999999</v>
      </c>
      <c r="CP144" s="407">
        <v>252.75147000000001</v>
      </c>
      <c r="CQ144" s="407">
        <v>30</v>
      </c>
      <c r="CR144" s="407">
        <v>-29.743124950451602</v>
      </c>
      <c r="CS144" s="407">
        <v>0</v>
      </c>
      <c r="CT144" s="407">
        <v>0</v>
      </c>
      <c r="CU144" s="407">
        <v>0</v>
      </c>
      <c r="CV144" s="407">
        <v>0</v>
      </c>
      <c r="CW144" s="407">
        <v>0</v>
      </c>
      <c r="CX144" s="407">
        <v>0</v>
      </c>
      <c r="CY144" s="407">
        <v>0</v>
      </c>
      <c r="CZ144" s="407">
        <v>253.74701718532287</v>
      </c>
      <c r="DA144" s="407">
        <v>0</v>
      </c>
      <c r="DB144" s="407">
        <v>0</v>
      </c>
      <c r="DC144" s="407">
        <v>281.36461234530975</v>
      </c>
      <c r="DD144" s="407">
        <v>0</v>
      </c>
      <c r="DE144" s="407">
        <v>0</v>
      </c>
      <c r="DF144" s="407">
        <v>0</v>
      </c>
      <c r="DG144" s="407">
        <v>9.4679388013234629</v>
      </c>
      <c r="DH144" s="407">
        <v>0</v>
      </c>
      <c r="DI144" s="407">
        <v>-34.745287171433404</v>
      </c>
      <c r="DJ144" s="407"/>
      <c r="DK144" s="407">
        <v>0</v>
      </c>
      <c r="DL144" s="407">
        <v>0</v>
      </c>
      <c r="DM144" s="407">
        <v>0</v>
      </c>
      <c r="DN144" s="407">
        <v>0</v>
      </c>
      <c r="DO144" s="407">
        <v>-5.3756688140822035</v>
      </c>
      <c r="DP144" s="407">
        <v>-0.62949284655521787</v>
      </c>
      <c r="DQ144" s="407">
        <v>0</v>
      </c>
      <c r="DR144" s="407">
        <v>-533.57224445033808</v>
      </c>
      <c r="DS144" s="407"/>
      <c r="DT144" s="407"/>
      <c r="DU144" s="407"/>
      <c r="DV144" s="407">
        <v>19367.082806540646</v>
      </c>
      <c r="DW144" s="407">
        <v>0</v>
      </c>
      <c r="DX144" s="407">
        <v>0</v>
      </c>
      <c r="DY144" s="407">
        <v>-10175.293890000001</v>
      </c>
      <c r="DZ144" s="407">
        <v>252.75146999999993</v>
      </c>
      <c r="EA144" s="407">
        <v>0</v>
      </c>
      <c r="EB144" s="407">
        <v>0</v>
      </c>
      <c r="EC144" s="407">
        <v>-9892.7508800197556</v>
      </c>
      <c r="ED144" s="407">
        <v>0</v>
      </c>
      <c r="EE144" s="407">
        <v>0</v>
      </c>
      <c r="EF144" s="407">
        <v>0</v>
      </c>
      <c r="EG144" s="407">
        <v>0</v>
      </c>
      <c r="EH144" s="407">
        <v>0</v>
      </c>
      <c r="EI144" s="407">
        <v>0</v>
      </c>
      <c r="EJ144" s="407">
        <v>0</v>
      </c>
      <c r="EK144" s="407">
        <v>0</v>
      </c>
      <c r="EL144" s="407">
        <v>0</v>
      </c>
      <c r="EM144" s="407">
        <v>0</v>
      </c>
      <c r="EN144" s="407">
        <v>0</v>
      </c>
      <c r="EO144" s="407">
        <v>0</v>
      </c>
      <c r="EP144" s="407">
        <v>234.97655271770338</v>
      </c>
      <c r="EQ144" s="407">
        <v>0</v>
      </c>
      <c r="ER144" s="407">
        <v>0</v>
      </c>
      <c r="ES144" s="407">
        <v>0</v>
      </c>
      <c r="ET144" s="407">
        <v>0</v>
      </c>
      <c r="EU144" s="407">
        <v>0</v>
      </c>
      <c r="EV144" s="407">
        <v>246</v>
      </c>
      <c r="EW144" s="407">
        <v>0</v>
      </c>
      <c r="EX144" s="407">
        <v>0</v>
      </c>
      <c r="EY144" s="407">
        <v>0</v>
      </c>
      <c r="EZ144" s="407"/>
      <c r="FA144" s="407">
        <v>0</v>
      </c>
      <c r="FB144" s="407"/>
      <c r="FC144" s="407"/>
      <c r="FD144" s="407"/>
      <c r="FE144" s="407"/>
      <c r="FF144" s="407">
        <v>0</v>
      </c>
      <c r="FG144" s="407">
        <v>0</v>
      </c>
      <c r="FH144" s="407">
        <v>0</v>
      </c>
      <c r="FI144" s="407">
        <v>0</v>
      </c>
    </row>
    <row r="145" spans="1:165">
      <c r="A145" s="407">
        <v>152</v>
      </c>
      <c r="B145" s="407" t="s">
        <v>2309</v>
      </c>
      <c r="C145" s="407" t="s">
        <v>2314</v>
      </c>
      <c r="D145" s="407" t="s">
        <v>650</v>
      </c>
      <c r="E145" s="407" t="s">
        <v>1049</v>
      </c>
      <c r="F145" s="407" t="s">
        <v>97</v>
      </c>
      <c r="G145" s="407" t="s">
        <v>97</v>
      </c>
      <c r="H145" s="407" t="s">
        <v>97</v>
      </c>
      <c r="I145" s="407" t="s">
        <v>1025</v>
      </c>
      <c r="J145" s="407" t="s">
        <v>2307</v>
      </c>
      <c r="K145" s="818">
        <v>44440</v>
      </c>
      <c r="L145" s="407">
        <v>0</v>
      </c>
      <c r="M145" s="407">
        <v>0</v>
      </c>
      <c r="N145" s="407">
        <v>8.9999999999999993E-3</v>
      </c>
      <c r="O145" s="407">
        <v>8.9999999999999993E-3</v>
      </c>
      <c r="P145" s="407">
        <v>8.9999999999999993E-3</v>
      </c>
      <c r="Q145" s="407">
        <v>8.9999999999999993E-3</v>
      </c>
      <c r="R145" s="407"/>
      <c r="S145" s="407">
        <v>2810.7</v>
      </c>
      <c r="T145" s="407">
        <v>159.41</v>
      </c>
      <c r="U145" s="407"/>
      <c r="V145" s="407">
        <v>26.730989999999995</v>
      </c>
      <c r="W145" s="407">
        <v>26.730989999999995</v>
      </c>
      <c r="X145" s="407">
        <v>17.025209999999998</v>
      </c>
      <c r="Y145" s="407">
        <v>0</v>
      </c>
      <c r="Z145" s="407">
        <v>0.48522706243295216</v>
      </c>
      <c r="AA145" s="407">
        <v>0</v>
      </c>
      <c r="AB145" s="407">
        <v>0</v>
      </c>
      <c r="AC145" s="407">
        <v>0</v>
      </c>
      <c r="AD145" s="407">
        <v>5.4946403404801467</v>
      </c>
      <c r="AE145" s="407">
        <v>18.944000136818367</v>
      </c>
      <c r="AF145" s="407">
        <v>1.3880764504179808</v>
      </c>
      <c r="AG145" s="407">
        <v>4.6635725142996388E-2</v>
      </c>
      <c r="AH145" s="407">
        <v>0</v>
      </c>
      <c r="AI145" s="407">
        <v>0</v>
      </c>
      <c r="AJ145" s="407">
        <v>0</v>
      </c>
      <c r="AK145" s="407">
        <v>0</v>
      </c>
      <c r="AL145" s="407">
        <v>8.6184498156679168E-2</v>
      </c>
      <c r="AM145" s="407"/>
      <c r="AN145" s="407">
        <v>9.6636004542980086E-3</v>
      </c>
      <c r="AO145" s="407">
        <v>0</v>
      </c>
      <c r="AP145" s="407">
        <v>0</v>
      </c>
      <c r="AQ145" s="407">
        <v>0</v>
      </c>
      <c r="AR145" s="407">
        <v>0</v>
      </c>
      <c r="AS145" s="407">
        <v>0</v>
      </c>
      <c r="AT145" s="407">
        <v>0</v>
      </c>
      <c r="AU145" s="407">
        <v>0</v>
      </c>
      <c r="AV145" s="407">
        <v>0</v>
      </c>
      <c r="AW145" s="407">
        <v>0</v>
      </c>
      <c r="AX145" s="407">
        <v>0</v>
      </c>
      <c r="AY145" s="407">
        <v>0</v>
      </c>
      <c r="AZ145" s="407">
        <v>0</v>
      </c>
      <c r="BA145" s="407"/>
      <c r="BB145" s="407">
        <v>0</v>
      </c>
      <c r="BC145" s="407">
        <v>0</v>
      </c>
      <c r="BD145" s="407">
        <v>0</v>
      </c>
      <c r="BE145" s="407">
        <v>0</v>
      </c>
      <c r="BF145" s="407">
        <v>0</v>
      </c>
      <c r="BG145" s="407">
        <v>4.6708869230458472E-2</v>
      </c>
      <c r="BH145" s="407">
        <v>0</v>
      </c>
      <c r="BI145" s="407">
        <v>0</v>
      </c>
      <c r="BJ145" s="407">
        <v>0</v>
      </c>
      <c r="BK145" s="407">
        <v>0</v>
      </c>
      <c r="BL145" s="407">
        <v>0</v>
      </c>
      <c r="BM145" s="407"/>
      <c r="BN145" s="407"/>
      <c r="BO145" s="407"/>
      <c r="BP145" s="407"/>
      <c r="BQ145" s="407"/>
      <c r="BR145" s="407"/>
      <c r="BS145" s="407"/>
      <c r="BT145" s="407"/>
      <c r="BU145" s="407"/>
      <c r="BV145" s="407">
        <v>1.4347853196484393</v>
      </c>
      <c r="BW145" s="407"/>
      <c r="BX145" s="407"/>
      <c r="BY145" s="407"/>
      <c r="BZ145" s="407"/>
      <c r="CA145" s="407"/>
      <c r="CB145" s="407"/>
      <c r="CC145" s="407"/>
      <c r="CD145" s="407"/>
      <c r="CE145" s="407"/>
      <c r="CF145" s="407"/>
      <c r="CG145" s="407"/>
      <c r="CH145" s="407"/>
      <c r="CI145" s="407">
        <v>18.916899999999998</v>
      </c>
      <c r="CJ145" s="407">
        <v>-7.8440900000000013</v>
      </c>
      <c r="CK145" s="407"/>
      <c r="CL145" s="407"/>
      <c r="CM145" s="407"/>
      <c r="CN145" s="407"/>
      <c r="CO145" s="407">
        <v>-9.9530099999999972</v>
      </c>
      <c r="CP145" s="407">
        <v>0.24722999999999998</v>
      </c>
      <c r="CQ145" s="407">
        <v>30</v>
      </c>
      <c r="CR145" s="407">
        <v>-2.9093372954470453E-2</v>
      </c>
      <c r="CS145" s="407">
        <v>0</v>
      </c>
      <c r="CT145" s="407">
        <v>0</v>
      </c>
      <c r="CU145" s="407">
        <v>0</v>
      </c>
      <c r="CV145" s="407">
        <v>0</v>
      </c>
      <c r="CW145" s="407">
        <v>0</v>
      </c>
      <c r="CX145" s="407">
        <v>0</v>
      </c>
      <c r="CY145" s="407">
        <v>0</v>
      </c>
      <c r="CZ145" s="407">
        <v>0.24820379900748879</v>
      </c>
      <c r="DA145" s="407">
        <v>0</v>
      </c>
      <c r="DB145" s="407">
        <v>0</v>
      </c>
      <c r="DC145" s="407">
        <v>0.27521807532961517</v>
      </c>
      <c r="DD145" s="407">
        <v>0</v>
      </c>
      <c r="DE145" s="407">
        <v>0</v>
      </c>
      <c r="DF145" s="407">
        <v>0</v>
      </c>
      <c r="DG145" s="407">
        <v>9.2611074026639692E-3</v>
      </c>
      <c r="DH145" s="407">
        <v>0</v>
      </c>
      <c r="DI145" s="407">
        <v>-3.3986260682849712E-2</v>
      </c>
      <c r="DJ145" s="407"/>
      <c r="DK145" s="407">
        <v>0</v>
      </c>
      <c r="DL145" s="407">
        <v>0</v>
      </c>
      <c r="DM145" s="407">
        <v>0</v>
      </c>
      <c r="DN145" s="407">
        <v>0</v>
      </c>
      <c r="DO145" s="407">
        <v>-5.2582349012867957E-3</v>
      </c>
      <c r="DP145" s="407">
        <v>-6.1574129105498865E-4</v>
      </c>
      <c r="DQ145" s="407">
        <v>0</v>
      </c>
      <c r="DR145" s="407">
        <v>-0.52191611781904601</v>
      </c>
      <c r="DS145" s="407"/>
      <c r="DT145" s="407"/>
      <c r="DU145" s="407"/>
      <c r="DV145" s="407">
        <v>18.944000136818367</v>
      </c>
      <c r="DW145" s="407">
        <v>0</v>
      </c>
      <c r="DX145" s="407">
        <v>0</v>
      </c>
      <c r="DY145" s="407">
        <v>-9.9530099999999972</v>
      </c>
      <c r="DZ145" s="407">
        <v>0.24723000000000006</v>
      </c>
      <c r="EA145" s="407">
        <v>0</v>
      </c>
      <c r="EB145" s="407">
        <v>0</v>
      </c>
      <c r="EC145" s="407">
        <v>-9.6766392696639283</v>
      </c>
      <c r="ED145" s="407">
        <v>0</v>
      </c>
      <c r="EE145" s="407">
        <v>0</v>
      </c>
      <c r="EF145" s="407">
        <v>0</v>
      </c>
      <c r="EG145" s="407">
        <v>0</v>
      </c>
      <c r="EH145" s="407">
        <v>0</v>
      </c>
      <c r="EI145" s="407">
        <v>0</v>
      </c>
      <c r="EJ145" s="407">
        <v>0</v>
      </c>
      <c r="EK145" s="407">
        <v>0</v>
      </c>
      <c r="EL145" s="407">
        <v>0</v>
      </c>
      <c r="EM145" s="407">
        <v>0</v>
      </c>
      <c r="EN145" s="407">
        <v>0</v>
      </c>
      <c r="EO145" s="407">
        <v>0</v>
      </c>
      <c r="EP145" s="407">
        <v>0.22984338381255628</v>
      </c>
      <c r="EQ145" s="407">
        <v>0</v>
      </c>
      <c r="ER145" s="407">
        <v>0</v>
      </c>
      <c r="ES145" s="407">
        <v>0</v>
      </c>
      <c r="ET145" s="407">
        <v>0</v>
      </c>
      <c r="EU145" s="407">
        <v>0</v>
      </c>
      <c r="EV145" s="407">
        <v>246</v>
      </c>
      <c r="EW145" s="407">
        <v>0</v>
      </c>
      <c r="EX145" s="407">
        <v>0</v>
      </c>
      <c r="EY145" s="407">
        <v>0</v>
      </c>
      <c r="EZ145" s="407"/>
      <c r="FA145" s="407">
        <v>0</v>
      </c>
      <c r="FB145" s="407"/>
      <c r="FC145" s="407"/>
      <c r="FD145" s="407"/>
      <c r="FE145" s="407"/>
      <c r="FF145" s="407">
        <v>0</v>
      </c>
      <c r="FG145" s="407">
        <v>0</v>
      </c>
      <c r="FH145" s="407">
        <v>0</v>
      </c>
      <c r="FI145" s="407">
        <v>0</v>
      </c>
    </row>
    <row r="146" spans="1:165">
      <c r="A146" s="407">
        <v>153</v>
      </c>
      <c r="B146" s="407" t="s">
        <v>1090</v>
      </c>
      <c r="C146" s="407" t="s">
        <v>2314</v>
      </c>
      <c r="D146" s="407" t="s">
        <v>650</v>
      </c>
      <c r="E146" s="407" t="s">
        <v>1049</v>
      </c>
      <c r="F146" s="407" t="s">
        <v>97</v>
      </c>
      <c r="G146" s="407" t="s">
        <v>97</v>
      </c>
      <c r="H146" s="407" t="s">
        <v>97</v>
      </c>
      <c r="I146" s="407" t="s">
        <v>2290</v>
      </c>
      <c r="J146" s="407" t="s">
        <v>2307</v>
      </c>
      <c r="K146" s="818">
        <v>44440</v>
      </c>
      <c r="L146" s="407">
        <v>0</v>
      </c>
      <c r="M146" s="407">
        <v>0</v>
      </c>
      <c r="N146" s="407">
        <v>105.718</v>
      </c>
      <c r="O146" s="407">
        <v>105.718</v>
      </c>
      <c r="P146" s="407">
        <v>105.718</v>
      </c>
      <c r="Q146" s="407">
        <v>105.718</v>
      </c>
      <c r="R146" s="407"/>
      <c r="S146" s="407">
        <v>95.29</v>
      </c>
      <c r="T146" s="407">
        <v>159.41</v>
      </c>
      <c r="U146" s="407"/>
      <c r="V146" s="407">
        <v>26926.374599999999</v>
      </c>
      <c r="W146" s="407">
        <v>26926.374599999999</v>
      </c>
      <c r="X146" s="407">
        <v>29274.371379999997</v>
      </c>
      <c r="Y146" s="407">
        <v>0</v>
      </c>
      <c r="Z146" s="407">
        <v>5699.6927318096486</v>
      </c>
      <c r="AA146" s="407">
        <v>0</v>
      </c>
      <c r="AB146" s="407">
        <v>0</v>
      </c>
      <c r="AC146" s="407">
        <v>0</v>
      </c>
      <c r="AD146" s="407">
        <v>0</v>
      </c>
      <c r="AE146" s="407">
        <v>0</v>
      </c>
      <c r="AF146" s="407">
        <v>16304.962909476457</v>
      </c>
      <c r="AG146" s="407">
        <v>547.80395451858806</v>
      </c>
      <c r="AH146" s="407">
        <v>0</v>
      </c>
      <c r="AI146" s="407">
        <v>0</v>
      </c>
      <c r="AJ146" s="407">
        <v>0</v>
      </c>
      <c r="AK146" s="407">
        <v>0</v>
      </c>
      <c r="AL146" s="407">
        <v>1012.3614195697565</v>
      </c>
      <c r="AM146" s="407"/>
      <c r="AN146" s="407">
        <v>113.51294586971967</v>
      </c>
      <c r="AO146" s="407">
        <v>0</v>
      </c>
      <c r="AP146" s="407">
        <v>0</v>
      </c>
      <c r="AQ146" s="407">
        <v>0</v>
      </c>
      <c r="AR146" s="407">
        <v>0</v>
      </c>
      <c r="AS146" s="407">
        <v>0</v>
      </c>
      <c r="AT146" s="407">
        <v>0</v>
      </c>
      <c r="AU146" s="407">
        <v>0</v>
      </c>
      <c r="AV146" s="407">
        <v>0</v>
      </c>
      <c r="AW146" s="407">
        <v>0</v>
      </c>
      <c r="AX146" s="407">
        <v>0</v>
      </c>
      <c r="AY146" s="407">
        <v>0</v>
      </c>
      <c r="AZ146" s="407">
        <v>0</v>
      </c>
      <c r="BA146" s="407"/>
      <c r="BB146" s="407">
        <v>0</v>
      </c>
      <c r="BC146" s="407">
        <v>0</v>
      </c>
      <c r="BD146" s="407">
        <v>0</v>
      </c>
      <c r="BE146" s="407">
        <v>0</v>
      </c>
      <c r="BF146" s="407">
        <v>0</v>
      </c>
      <c r="BG146" s="407">
        <v>548.66313747840104</v>
      </c>
      <c r="BH146" s="407">
        <v>0</v>
      </c>
      <c r="BI146" s="407">
        <v>0</v>
      </c>
      <c r="BJ146" s="407">
        <v>0</v>
      </c>
      <c r="BK146" s="407">
        <v>0</v>
      </c>
      <c r="BL146" s="407">
        <v>0</v>
      </c>
      <c r="BM146" s="407"/>
      <c r="BN146" s="407"/>
      <c r="BO146" s="407"/>
      <c r="BP146" s="407"/>
      <c r="BQ146" s="407"/>
      <c r="BR146" s="407"/>
      <c r="BS146" s="407"/>
      <c r="BT146" s="407"/>
      <c r="BU146" s="407"/>
      <c r="BV146" s="407">
        <v>16853.626046954858</v>
      </c>
      <c r="BW146" s="407"/>
      <c r="BX146" s="407"/>
      <c r="BY146" s="407"/>
      <c r="BZ146" s="407"/>
      <c r="CA146" s="407"/>
      <c r="CB146" s="407"/>
      <c r="CC146" s="407"/>
      <c r="CD146" s="407"/>
      <c r="CE146" s="407"/>
      <c r="CF146" s="407"/>
      <c r="CG146" s="407"/>
      <c r="CH146" s="407"/>
      <c r="CI146" s="407">
        <v>29274.925200000001</v>
      </c>
      <c r="CJ146" s="407">
        <v>2348.5206000000035</v>
      </c>
      <c r="CK146" s="407"/>
      <c r="CL146" s="407"/>
      <c r="CM146" s="407"/>
      <c r="CN146" s="407"/>
      <c r="CO146" s="407">
        <v>-556.07668000000058</v>
      </c>
      <c r="CP146" s="407">
        <v>2904.0734600000001</v>
      </c>
      <c r="CQ146" s="407">
        <v>30</v>
      </c>
      <c r="CR146" s="407">
        <v>2347.6626275587296</v>
      </c>
      <c r="CS146" s="407">
        <v>0</v>
      </c>
      <c r="CT146" s="407">
        <v>0</v>
      </c>
      <c r="CU146" s="407">
        <v>0</v>
      </c>
      <c r="CV146" s="407">
        <v>0</v>
      </c>
      <c r="CW146" s="407">
        <v>0</v>
      </c>
      <c r="CX146" s="407">
        <v>0</v>
      </c>
      <c r="CY146" s="407">
        <v>0</v>
      </c>
      <c r="CZ146" s="407">
        <v>0</v>
      </c>
      <c r="DA146" s="407">
        <v>0</v>
      </c>
      <c r="DB146" s="407">
        <v>0</v>
      </c>
      <c r="DC146" s="407">
        <v>3232.8338319662507</v>
      </c>
      <c r="DD146" s="407">
        <v>0</v>
      </c>
      <c r="DE146" s="407">
        <v>0</v>
      </c>
      <c r="DF146" s="407">
        <v>0</v>
      </c>
      <c r="DG146" s="407">
        <v>108.78508359942543</v>
      </c>
      <c r="DH146" s="407">
        <v>0</v>
      </c>
      <c r="DI146" s="407">
        <v>-399.21772298550059</v>
      </c>
      <c r="DJ146" s="407"/>
      <c r="DK146" s="407">
        <v>0</v>
      </c>
      <c r="DL146" s="407">
        <v>0</v>
      </c>
      <c r="DM146" s="407">
        <v>0</v>
      </c>
      <c r="DN146" s="407">
        <v>0</v>
      </c>
      <c r="DO146" s="407">
        <v>-61.765564143804113</v>
      </c>
      <c r="DP146" s="407">
        <v>-7.2327708675279325</v>
      </c>
      <c r="DQ146" s="407">
        <v>0</v>
      </c>
      <c r="DR146" s="407">
        <v>-525.7402300101121</v>
      </c>
      <c r="DS146" s="407"/>
      <c r="DT146" s="407"/>
      <c r="DU146" s="407"/>
      <c r="DV146" s="407">
        <v>0</v>
      </c>
      <c r="DW146" s="407">
        <v>0</v>
      </c>
      <c r="DX146" s="407">
        <v>0</v>
      </c>
      <c r="DY146" s="407">
        <v>-556.07668000000012</v>
      </c>
      <c r="DZ146" s="407">
        <v>2904.0734599999996</v>
      </c>
      <c r="EA146" s="407">
        <v>0</v>
      </c>
      <c r="EB146" s="407">
        <v>0</v>
      </c>
      <c r="EC146" s="407">
        <v>0</v>
      </c>
      <c r="ED146" s="407">
        <v>0</v>
      </c>
      <c r="EE146" s="407">
        <v>0</v>
      </c>
      <c r="EF146" s="407">
        <v>0</v>
      </c>
      <c r="EG146" s="407">
        <v>0</v>
      </c>
      <c r="EH146" s="407">
        <v>0</v>
      </c>
      <c r="EI146" s="407">
        <v>0</v>
      </c>
      <c r="EJ146" s="407">
        <v>0</v>
      </c>
      <c r="EK146" s="407">
        <v>0</v>
      </c>
      <c r="EL146" s="407">
        <v>0</v>
      </c>
      <c r="EM146" s="407">
        <v>0</v>
      </c>
      <c r="EN146" s="407">
        <v>0</v>
      </c>
      <c r="EO146" s="407">
        <v>0</v>
      </c>
      <c r="EP146" s="407">
        <v>2699.8425388773139</v>
      </c>
      <c r="EQ146" s="407">
        <v>0</v>
      </c>
      <c r="ER146" s="407">
        <v>0</v>
      </c>
      <c r="ES146" s="407">
        <v>0</v>
      </c>
      <c r="ET146" s="407">
        <v>0</v>
      </c>
      <c r="EU146" s="407">
        <v>0</v>
      </c>
      <c r="EV146" s="407">
        <v>246</v>
      </c>
      <c r="EW146" s="407">
        <v>0</v>
      </c>
      <c r="EX146" s="407">
        <v>0</v>
      </c>
      <c r="EY146" s="407">
        <v>0</v>
      </c>
      <c r="EZ146" s="407"/>
      <c r="FA146" s="407">
        <v>0</v>
      </c>
      <c r="FB146" s="407"/>
      <c r="FC146" s="407"/>
      <c r="FD146" s="407"/>
      <c r="FE146" s="407"/>
      <c r="FF146" s="407">
        <v>0</v>
      </c>
      <c r="FG146" s="407">
        <v>0</v>
      </c>
      <c r="FH146" s="407">
        <v>0</v>
      </c>
      <c r="FI146" s="407">
        <v>0</v>
      </c>
    </row>
    <row r="147" spans="1:165">
      <c r="A147" s="407">
        <v>154</v>
      </c>
      <c r="B147" s="407" t="s">
        <v>2309</v>
      </c>
      <c r="C147" s="407" t="s">
        <v>2314</v>
      </c>
      <c r="D147" s="407" t="s">
        <v>650</v>
      </c>
      <c r="E147" s="407" t="s">
        <v>1049</v>
      </c>
      <c r="F147" s="407" t="s">
        <v>97</v>
      </c>
      <c r="G147" s="407" t="s">
        <v>97</v>
      </c>
      <c r="H147" s="407" t="s">
        <v>97</v>
      </c>
      <c r="I147" s="407" t="s">
        <v>2290</v>
      </c>
      <c r="J147" s="407" t="s">
        <v>2307</v>
      </c>
      <c r="K147" s="818">
        <v>44440</v>
      </c>
      <c r="L147" s="407">
        <v>0</v>
      </c>
      <c r="M147" s="407">
        <v>0</v>
      </c>
      <c r="N147" s="407">
        <v>18.216000000000001</v>
      </c>
      <c r="O147" s="407">
        <v>18.216000000000001</v>
      </c>
      <c r="P147" s="407">
        <v>18.216000000000001</v>
      </c>
      <c r="Q147" s="407">
        <v>18.216000000000001</v>
      </c>
      <c r="R147" s="407"/>
      <c r="S147" s="407">
        <v>95.29</v>
      </c>
      <c r="T147" s="407">
        <v>159.41</v>
      </c>
      <c r="U147" s="407"/>
      <c r="V147" s="407">
        <v>4639.6152000000002</v>
      </c>
      <c r="W147" s="407">
        <v>4639.6152000000002</v>
      </c>
      <c r="X147" s="407">
        <v>5044.1925599999995</v>
      </c>
      <c r="Y147" s="407">
        <v>0</v>
      </c>
      <c r="Z147" s="407">
        <v>982.09957436429534</v>
      </c>
      <c r="AA147" s="407">
        <v>0</v>
      </c>
      <c r="AB147" s="407">
        <v>0</v>
      </c>
      <c r="AC147" s="407">
        <v>0</v>
      </c>
      <c r="AD147" s="407">
        <v>0</v>
      </c>
      <c r="AE147" s="407">
        <v>0</v>
      </c>
      <c r="AF147" s="407">
        <v>2809.4667356459936</v>
      </c>
      <c r="AG147" s="407">
        <v>94.390707689424701</v>
      </c>
      <c r="AH147" s="407">
        <v>0</v>
      </c>
      <c r="AI147" s="407">
        <v>0</v>
      </c>
      <c r="AJ147" s="407">
        <v>0</v>
      </c>
      <c r="AK147" s="407">
        <v>0</v>
      </c>
      <c r="AL147" s="407">
        <v>174.43742426911865</v>
      </c>
      <c r="AM147" s="407"/>
      <c r="AN147" s="407">
        <v>19.559127319499172</v>
      </c>
      <c r="AO147" s="407">
        <v>0</v>
      </c>
      <c r="AP147" s="407">
        <v>0</v>
      </c>
      <c r="AQ147" s="407">
        <v>0</v>
      </c>
      <c r="AR147" s="407">
        <v>0</v>
      </c>
      <c r="AS147" s="407">
        <v>0</v>
      </c>
      <c r="AT147" s="407">
        <v>0</v>
      </c>
      <c r="AU147" s="407">
        <v>0</v>
      </c>
      <c r="AV147" s="407">
        <v>0</v>
      </c>
      <c r="AW147" s="407">
        <v>0</v>
      </c>
      <c r="AX147" s="407">
        <v>0</v>
      </c>
      <c r="AY147" s="407">
        <v>0</v>
      </c>
      <c r="AZ147" s="407">
        <v>0</v>
      </c>
      <c r="BA147" s="407"/>
      <c r="BB147" s="407">
        <v>0</v>
      </c>
      <c r="BC147" s="407">
        <v>0</v>
      </c>
      <c r="BD147" s="407">
        <v>0</v>
      </c>
      <c r="BE147" s="407">
        <v>0</v>
      </c>
      <c r="BF147" s="407">
        <v>0</v>
      </c>
      <c r="BG147" s="407">
        <v>94.538751322447951</v>
      </c>
      <c r="BH147" s="407">
        <v>0</v>
      </c>
      <c r="BI147" s="407">
        <v>0</v>
      </c>
      <c r="BJ147" s="407">
        <v>0</v>
      </c>
      <c r="BK147" s="407">
        <v>0</v>
      </c>
      <c r="BL147" s="407">
        <v>0</v>
      </c>
      <c r="BM147" s="407"/>
      <c r="BN147" s="407"/>
      <c r="BO147" s="407"/>
      <c r="BP147" s="407"/>
      <c r="BQ147" s="407"/>
      <c r="BR147" s="407"/>
      <c r="BS147" s="407"/>
      <c r="BT147" s="407"/>
      <c r="BU147" s="407"/>
      <c r="BV147" s="407">
        <v>2904.0054869684413</v>
      </c>
      <c r="BW147" s="407"/>
      <c r="BX147" s="407"/>
      <c r="BY147" s="407"/>
      <c r="BZ147" s="407"/>
      <c r="CA147" s="407"/>
      <c r="CB147" s="407"/>
      <c r="CC147" s="407"/>
      <c r="CD147" s="407"/>
      <c r="CE147" s="407"/>
      <c r="CF147" s="407"/>
      <c r="CG147" s="407"/>
      <c r="CH147" s="407"/>
      <c r="CI147" s="407">
        <v>5045.3001999999997</v>
      </c>
      <c r="CJ147" s="407">
        <v>405.65499999999884</v>
      </c>
      <c r="CK147" s="407"/>
      <c r="CL147" s="407"/>
      <c r="CM147" s="407"/>
      <c r="CN147" s="407"/>
      <c r="CO147" s="407">
        <v>-95.816160000000096</v>
      </c>
      <c r="CP147" s="407">
        <v>500.39352000000002</v>
      </c>
      <c r="CQ147" s="407">
        <v>30</v>
      </c>
      <c r="CR147" s="407">
        <v>404.5197830417701</v>
      </c>
      <c r="CS147" s="407">
        <v>0</v>
      </c>
      <c r="CT147" s="407">
        <v>0</v>
      </c>
      <c r="CU147" s="407">
        <v>0</v>
      </c>
      <c r="CV147" s="407">
        <v>0</v>
      </c>
      <c r="CW147" s="407">
        <v>0</v>
      </c>
      <c r="CX147" s="407">
        <v>0</v>
      </c>
      <c r="CY147" s="407">
        <v>0</v>
      </c>
      <c r="CZ147" s="407">
        <v>0</v>
      </c>
      <c r="DA147" s="407">
        <v>0</v>
      </c>
      <c r="DB147" s="407">
        <v>0</v>
      </c>
      <c r="DC147" s="407">
        <v>557.04138446714069</v>
      </c>
      <c r="DD147" s="407">
        <v>0</v>
      </c>
      <c r="DE147" s="407">
        <v>0</v>
      </c>
      <c r="DF147" s="407">
        <v>0</v>
      </c>
      <c r="DG147" s="407">
        <v>18.744481382991879</v>
      </c>
      <c r="DH147" s="407">
        <v>0</v>
      </c>
      <c r="DI147" s="407">
        <v>-68.788191622087879</v>
      </c>
      <c r="DJ147" s="407"/>
      <c r="DK147" s="407">
        <v>0</v>
      </c>
      <c r="DL147" s="407">
        <v>0</v>
      </c>
      <c r="DM147" s="407">
        <v>0</v>
      </c>
      <c r="DN147" s="407">
        <v>0</v>
      </c>
      <c r="DO147" s="407">
        <v>-10.642667440204463</v>
      </c>
      <c r="DP147" s="407">
        <v>-1.2462603730952999</v>
      </c>
      <c r="DQ147" s="407">
        <v>0</v>
      </c>
      <c r="DR147" s="407">
        <v>-90.588963372975314</v>
      </c>
      <c r="DS147" s="407"/>
      <c r="DT147" s="407"/>
      <c r="DU147" s="407"/>
      <c r="DV147" s="407">
        <v>0</v>
      </c>
      <c r="DW147" s="407">
        <v>0</v>
      </c>
      <c r="DX147" s="407">
        <v>0</v>
      </c>
      <c r="DY147" s="407">
        <v>-95.816160000000082</v>
      </c>
      <c r="DZ147" s="407">
        <v>500.39351999999963</v>
      </c>
      <c r="EA147" s="407">
        <v>0</v>
      </c>
      <c r="EB147" s="407">
        <v>0</v>
      </c>
      <c r="EC147" s="407">
        <v>0</v>
      </c>
      <c r="ED147" s="407">
        <v>0</v>
      </c>
      <c r="EE147" s="407">
        <v>0</v>
      </c>
      <c r="EF147" s="407">
        <v>0</v>
      </c>
      <c r="EG147" s="407">
        <v>0</v>
      </c>
      <c r="EH147" s="407">
        <v>0</v>
      </c>
      <c r="EI147" s="407">
        <v>0</v>
      </c>
      <c r="EJ147" s="407">
        <v>0</v>
      </c>
      <c r="EK147" s="407">
        <v>0</v>
      </c>
      <c r="EL147" s="407">
        <v>0</v>
      </c>
      <c r="EM147" s="407">
        <v>0</v>
      </c>
      <c r="EN147" s="407">
        <v>0</v>
      </c>
      <c r="EO147" s="407">
        <v>0</v>
      </c>
      <c r="EP147" s="407">
        <v>465.20300883661395</v>
      </c>
      <c r="EQ147" s="407">
        <v>0</v>
      </c>
      <c r="ER147" s="407">
        <v>0</v>
      </c>
      <c r="ES147" s="407">
        <v>0</v>
      </c>
      <c r="ET147" s="407">
        <v>0</v>
      </c>
      <c r="EU147" s="407">
        <v>0</v>
      </c>
      <c r="EV147" s="407">
        <v>246</v>
      </c>
      <c r="EW147" s="407">
        <v>0</v>
      </c>
      <c r="EX147" s="407">
        <v>0</v>
      </c>
      <c r="EY147" s="407">
        <v>0</v>
      </c>
      <c r="EZ147" s="407"/>
      <c r="FA147" s="407">
        <v>0</v>
      </c>
      <c r="FB147" s="407"/>
      <c r="FC147" s="407"/>
      <c r="FD147" s="407"/>
      <c r="FE147" s="407"/>
      <c r="FF147" s="407">
        <v>0</v>
      </c>
      <c r="FG147" s="407">
        <v>0</v>
      </c>
      <c r="FH147" s="407">
        <v>0</v>
      </c>
      <c r="FI147" s="407">
        <v>0</v>
      </c>
    </row>
    <row r="148" spans="1:165">
      <c r="A148" s="407">
        <v>155</v>
      </c>
      <c r="B148" s="407" t="s">
        <v>1090</v>
      </c>
      <c r="C148" s="407" t="s">
        <v>2314</v>
      </c>
      <c r="D148" s="407" t="s">
        <v>650</v>
      </c>
      <c r="E148" s="407" t="s">
        <v>1049</v>
      </c>
      <c r="F148" s="407" t="s">
        <v>97</v>
      </c>
      <c r="G148" s="407" t="s">
        <v>97</v>
      </c>
      <c r="H148" s="407" t="s">
        <v>97</v>
      </c>
      <c r="I148" s="407" t="s">
        <v>97</v>
      </c>
      <c r="J148" s="407" t="s">
        <v>2307</v>
      </c>
      <c r="K148" s="818">
        <v>44440</v>
      </c>
      <c r="L148" s="407">
        <v>1271</v>
      </c>
      <c r="M148" s="407">
        <v>1271</v>
      </c>
      <c r="N148" s="407">
        <v>0</v>
      </c>
      <c r="O148" s="407">
        <v>0</v>
      </c>
      <c r="P148" s="407">
        <v>0</v>
      </c>
      <c r="Q148" s="407">
        <v>0</v>
      </c>
      <c r="R148" s="407">
        <v>43.29</v>
      </c>
      <c r="S148" s="407"/>
      <c r="T148" s="407"/>
      <c r="U148" s="407">
        <v>55021.59</v>
      </c>
      <c r="V148" s="407"/>
      <c r="W148" s="407">
        <v>55021.59</v>
      </c>
      <c r="X148" s="407">
        <v>42565.79</v>
      </c>
      <c r="Y148" s="407">
        <v>0</v>
      </c>
      <c r="Z148" s="407">
        <v>0</v>
      </c>
      <c r="AA148" s="407">
        <v>0</v>
      </c>
      <c r="AB148" s="407">
        <v>0</v>
      </c>
      <c r="AC148" s="407">
        <v>0</v>
      </c>
      <c r="AD148" s="407">
        <v>30076.927678374701</v>
      </c>
      <c r="AE148" s="407">
        <v>24948.696809656303</v>
      </c>
      <c r="AF148" s="407"/>
      <c r="AG148" s="407"/>
      <c r="AH148" s="407"/>
      <c r="AI148" s="407">
        <v>0</v>
      </c>
      <c r="AJ148" s="407">
        <v>0</v>
      </c>
      <c r="AK148" s="407">
        <v>0</v>
      </c>
      <c r="AL148" s="407">
        <v>0</v>
      </c>
      <c r="AM148" s="407"/>
      <c r="AN148" s="407">
        <v>0</v>
      </c>
      <c r="AO148" s="407">
        <v>0</v>
      </c>
      <c r="AP148" s="407">
        <v>0</v>
      </c>
      <c r="AQ148" s="407">
        <v>0</v>
      </c>
      <c r="AR148" s="407">
        <v>0</v>
      </c>
      <c r="AS148" s="407"/>
      <c r="AT148" s="407"/>
      <c r="AU148" s="407">
        <v>0</v>
      </c>
      <c r="AV148" s="407">
        <v>0</v>
      </c>
      <c r="AW148" s="407">
        <v>0</v>
      </c>
      <c r="AX148" s="407"/>
      <c r="AY148" s="407"/>
      <c r="AZ148" s="407">
        <v>0</v>
      </c>
      <c r="BA148" s="407"/>
      <c r="BB148" s="407">
        <v>0</v>
      </c>
      <c r="BC148" s="407">
        <v>0</v>
      </c>
      <c r="BD148" s="407">
        <v>0</v>
      </c>
      <c r="BE148" s="407">
        <v>0</v>
      </c>
      <c r="BF148" s="407"/>
      <c r="BG148" s="407">
        <v>0</v>
      </c>
      <c r="BH148" s="407">
        <v>0</v>
      </c>
      <c r="BI148" s="407">
        <v>518.57000000000005</v>
      </c>
      <c r="BJ148" s="407">
        <v>2501.69</v>
      </c>
      <c r="BK148" s="407">
        <v>43220.3</v>
      </c>
      <c r="BL148" s="407">
        <v>12</v>
      </c>
      <c r="BM148" s="407"/>
      <c r="BN148" s="407"/>
      <c r="BO148" s="407"/>
      <c r="BP148" s="407"/>
      <c r="BQ148" s="407"/>
      <c r="BR148" s="407"/>
      <c r="BS148" s="407"/>
      <c r="BT148" s="407"/>
      <c r="BU148" s="407"/>
      <c r="BV148" s="407">
        <v>0</v>
      </c>
      <c r="BW148" s="407"/>
      <c r="BX148" s="407"/>
      <c r="BY148" s="407"/>
      <c r="BZ148" s="407"/>
      <c r="CA148" s="407"/>
      <c r="CB148" s="407"/>
      <c r="CC148" s="407"/>
      <c r="CD148" s="407"/>
      <c r="CE148" s="407"/>
      <c r="CF148" s="407"/>
      <c r="CG148" s="407"/>
      <c r="CH148" s="407"/>
      <c r="CI148" s="407">
        <v>42565.79</v>
      </c>
      <c r="CJ148" s="407">
        <v>-12455.830000000002</v>
      </c>
      <c r="CK148" s="407"/>
      <c r="CL148" s="407"/>
      <c r="CM148" s="407"/>
      <c r="CN148" s="407"/>
      <c r="CO148" s="407">
        <v>-12455.799999999996</v>
      </c>
      <c r="CP148" s="407">
        <v>0</v>
      </c>
      <c r="CQ148" s="407">
        <v>30</v>
      </c>
      <c r="CR148" s="407">
        <v>284.27204456783511</v>
      </c>
      <c r="CS148" s="407">
        <v>0</v>
      </c>
      <c r="CT148" s="407">
        <v>0</v>
      </c>
      <c r="CU148" s="407">
        <v>0</v>
      </c>
      <c r="CV148" s="407">
        <v>0</v>
      </c>
      <c r="CW148" s="407"/>
      <c r="CX148" s="407"/>
      <c r="CY148" s="407"/>
      <c r="CZ148" s="407">
        <v>1358.6344600661432</v>
      </c>
      <c r="DA148" s="407">
        <v>0</v>
      </c>
      <c r="DB148" s="407">
        <v>0</v>
      </c>
      <c r="DC148" s="407"/>
      <c r="DD148" s="407"/>
      <c r="DE148" s="407">
        <v>0</v>
      </c>
      <c r="DF148" s="407">
        <v>0</v>
      </c>
      <c r="DG148" s="407">
        <v>0</v>
      </c>
      <c r="DH148" s="407">
        <v>0</v>
      </c>
      <c r="DI148" s="407">
        <v>0</v>
      </c>
      <c r="DJ148" s="407"/>
      <c r="DK148" s="407">
        <v>0</v>
      </c>
      <c r="DL148" s="407">
        <v>0</v>
      </c>
      <c r="DM148" s="407"/>
      <c r="DN148" s="407">
        <v>0</v>
      </c>
      <c r="DO148" s="407">
        <v>0</v>
      </c>
      <c r="DP148" s="407">
        <v>0</v>
      </c>
      <c r="DQ148" s="407">
        <v>0</v>
      </c>
      <c r="DR148" s="407">
        <v>-1074.3624154983083</v>
      </c>
      <c r="DS148" s="407"/>
      <c r="DT148" s="407"/>
      <c r="DU148" s="407">
        <v>24948.696809656303</v>
      </c>
      <c r="DV148" s="407"/>
      <c r="DW148" s="407">
        <v>0</v>
      </c>
      <c r="DX148" s="407">
        <v>0</v>
      </c>
      <c r="DY148" s="407">
        <v>-12455.799999999996</v>
      </c>
      <c r="DZ148" s="407"/>
      <c r="EA148" s="407">
        <v>0</v>
      </c>
      <c r="EB148" s="407"/>
      <c r="EC148" s="407">
        <v>-12743.85227679835</v>
      </c>
      <c r="ED148" s="407"/>
      <c r="EE148" s="407">
        <v>0</v>
      </c>
      <c r="EF148" s="407">
        <v>0</v>
      </c>
      <c r="EG148" s="407"/>
      <c r="EH148" s="407">
        <v>0</v>
      </c>
      <c r="EI148" s="407">
        <v>0</v>
      </c>
      <c r="EJ148" s="407">
        <v>0</v>
      </c>
      <c r="EK148" s="407">
        <v>0</v>
      </c>
      <c r="EL148" s="407">
        <v>0</v>
      </c>
      <c r="EM148" s="407"/>
      <c r="EN148" s="407"/>
      <c r="EO148" s="407">
        <v>0</v>
      </c>
      <c r="EP148" s="407">
        <v>0</v>
      </c>
      <c r="EQ148" s="407"/>
      <c r="ER148" s="407">
        <v>0</v>
      </c>
      <c r="ES148" s="407"/>
      <c r="ET148" s="407">
        <v>0</v>
      </c>
      <c r="EU148" s="407"/>
      <c r="EV148" s="407">
        <v>246</v>
      </c>
      <c r="EW148" s="407"/>
      <c r="EX148" s="407"/>
      <c r="EY148" s="407"/>
      <c r="EZ148" s="407"/>
      <c r="FA148" s="407">
        <v>0</v>
      </c>
      <c r="FB148" s="407"/>
      <c r="FC148" s="407"/>
      <c r="FD148" s="407"/>
      <c r="FE148" s="407"/>
      <c r="FF148" s="407">
        <v>0</v>
      </c>
      <c r="FG148" s="407">
        <v>0</v>
      </c>
      <c r="FH148" s="407">
        <v>0</v>
      </c>
      <c r="FI148" s="407">
        <v>0</v>
      </c>
    </row>
    <row r="149" spans="1:165">
      <c r="A149" s="407">
        <v>156</v>
      </c>
      <c r="B149" s="407" t="s">
        <v>2309</v>
      </c>
      <c r="C149" s="407" t="s">
        <v>2314</v>
      </c>
      <c r="D149" s="407" t="s">
        <v>650</v>
      </c>
      <c r="E149" s="407" t="s">
        <v>1049</v>
      </c>
      <c r="F149" s="407" t="s">
        <v>97</v>
      </c>
      <c r="G149" s="407" t="s">
        <v>97</v>
      </c>
      <c r="H149" s="407" t="s">
        <v>97</v>
      </c>
      <c r="I149" s="407" t="s">
        <v>97</v>
      </c>
      <c r="J149" s="407" t="s">
        <v>2307</v>
      </c>
      <c r="K149" s="818">
        <v>44440</v>
      </c>
      <c r="L149" s="407">
        <v>887</v>
      </c>
      <c r="M149" s="407">
        <v>887</v>
      </c>
      <c r="N149" s="407">
        <v>0</v>
      </c>
      <c r="O149" s="407">
        <v>0</v>
      </c>
      <c r="P149" s="407">
        <v>0</v>
      </c>
      <c r="Q149" s="407">
        <v>0</v>
      </c>
      <c r="R149" s="407">
        <v>43.29</v>
      </c>
      <c r="S149" s="407"/>
      <c r="T149" s="407"/>
      <c r="U149" s="407">
        <v>38398.229999999996</v>
      </c>
      <c r="V149" s="407"/>
      <c r="W149" s="407">
        <v>38398.229999999996</v>
      </c>
      <c r="X149" s="407">
        <v>29705.63</v>
      </c>
      <c r="Y149" s="407">
        <v>0</v>
      </c>
      <c r="Z149" s="407">
        <v>0</v>
      </c>
      <c r="AA149" s="407">
        <v>0</v>
      </c>
      <c r="AB149" s="407">
        <v>0</v>
      </c>
      <c r="AC149" s="407">
        <v>0</v>
      </c>
      <c r="AD149" s="407">
        <v>20989.956609534507</v>
      </c>
      <c r="AE149" s="407">
        <v>17411.088961577607</v>
      </c>
      <c r="AF149" s="407"/>
      <c r="AG149" s="407"/>
      <c r="AH149" s="407"/>
      <c r="AI149" s="407">
        <v>0</v>
      </c>
      <c r="AJ149" s="407">
        <v>0</v>
      </c>
      <c r="AK149" s="407">
        <v>0</v>
      </c>
      <c r="AL149" s="407">
        <v>0</v>
      </c>
      <c r="AM149" s="407"/>
      <c r="AN149" s="407">
        <v>0</v>
      </c>
      <c r="AO149" s="407">
        <v>0</v>
      </c>
      <c r="AP149" s="407">
        <v>0</v>
      </c>
      <c r="AQ149" s="407">
        <v>0</v>
      </c>
      <c r="AR149" s="407">
        <v>0</v>
      </c>
      <c r="AS149" s="407"/>
      <c r="AT149" s="407"/>
      <c r="AU149" s="407">
        <v>0</v>
      </c>
      <c r="AV149" s="407">
        <v>0</v>
      </c>
      <c r="AW149" s="407">
        <v>0</v>
      </c>
      <c r="AX149" s="407"/>
      <c r="AY149" s="407"/>
      <c r="AZ149" s="407">
        <v>0</v>
      </c>
      <c r="BA149" s="407"/>
      <c r="BB149" s="407">
        <v>0</v>
      </c>
      <c r="BC149" s="407">
        <v>0</v>
      </c>
      <c r="BD149" s="407">
        <v>0</v>
      </c>
      <c r="BE149" s="407">
        <v>0</v>
      </c>
      <c r="BF149" s="407"/>
      <c r="BG149" s="407">
        <v>0</v>
      </c>
      <c r="BH149" s="407">
        <v>0</v>
      </c>
      <c r="BI149" s="407">
        <v>180.99</v>
      </c>
      <c r="BJ149" s="407">
        <v>873.17</v>
      </c>
      <c r="BK149" s="407">
        <v>15493.46</v>
      </c>
      <c r="BL149" s="407">
        <v>6</v>
      </c>
      <c r="BM149" s="407"/>
      <c r="BN149" s="407"/>
      <c r="BO149" s="407"/>
      <c r="BP149" s="407"/>
      <c r="BQ149" s="407"/>
      <c r="BR149" s="407"/>
      <c r="BS149" s="407"/>
      <c r="BT149" s="407"/>
      <c r="BU149" s="407"/>
      <c r="BV149" s="407">
        <v>0</v>
      </c>
      <c r="BW149" s="407"/>
      <c r="BX149" s="407"/>
      <c r="BY149" s="407"/>
      <c r="BZ149" s="407"/>
      <c r="CA149" s="407"/>
      <c r="CB149" s="407"/>
      <c r="CC149" s="407"/>
      <c r="CD149" s="407"/>
      <c r="CE149" s="407"/>
      <c r="CF149" s="407"/>
      <c r="CG149" s="407"/>
      <c r="CH149" s="407"/>
      <c r="CI149" s="407">
        <v>29705.63</v>
      </c>
      <c r="CJ149" s="407">
        <v>-8692.630000000001</v>
      </c>
      <c r="CK149" s="407"/>
      <c r="CL149" s="407"/>
      <c r="CM149" s="407"/>
      <c r="CN149" s="407"/>
      <c r="CO149" s="407">
        <v>-8692.5999999999967</v>
      </c>
      <c r="CP149" s="407">
        <v>0</v>
      </c>
      <c r="CQ149" s="407">
        <v>30</v>
      </c>
      <c r="CR149" s="407">
        <v>198.38654880540344</v>
      </c>
      <c r="CS149" s="407">
        <v>0</v>
      </c>
      <c r="CT149" s="407">
        <v>0</v>
      </c>
      <c r="CU149" s="407">
        <v>0</v>
      </c>
      <c r="CV149" s="407">
        <v>0</v>
      </c>
      <c r="CW149" s="407"/>
      <c r="CX149" s="407"/>
      <c r="CY149" s="407"/>
      <c r="CZ149" s="407">
        <v>948.15795914922637</v>
      </c>
      <c r="DA149" s="407">
        <v>0</v>
      </c>
      <c r="DB149" s="407">
        <v>0</v>
      </c>
      <c r="DC149" s="407"/>
      <c r="DD149" s="407"/>
      <c r="DE149" s="407">
        <v>0</v>
      </c>
      <c r="DF149" s="407">
        <v>0</v>
      </c>
      <c r="DG149" s="407">
        <v>0</v>
      </c>
      <c r="DH149" s="407">
        <v>0</v>
      </c>
      <c r="DI149" s="407">
        <v>0</v>
      </c>
      <c r="DJ149" s="407"/>
      <c r="DK149" s="407">
        <v>0</v>
      </c>
      <c r="DL149" s="407">
        <v>0</v>
      </c>
      <c r="DM149" s="407"/>
      <c r="DN149" s="407">
        <v>0</v>
      </c>
      <c r="DO149" s="407">
        <v>0</v>
      </c>
      <c r="DP149" s="407">
        <v>0</v>
      </c>
      <c r="DQ149" s="407">
        <v>0</v>
      </c>
      <c r="DR149" s="407">
        <v>-749.77141034382339</v>
      </c>
      <c r="DS149" s="407"/>
      <c r="DT149" s="407"/>
      <c r="DU149" s="407">
        <v>17411.088961577607</v>
      </c>
      <c r="DV149" s="407"/>
      <c r="DW149" s="407">
        <v>0</v>
      </c>
      <c r="DX149" s="407">
        <v>0</v>
      </c>
      <c r="DY149" s="407">
        <v>-8692.5999999999949</v>
      </c>
      <c r="DZ149" s="407"/>
      <c r="EA149" s="407">
        <v>0</v>
      </c>
      <c r="EB149" s="407"/>
      <c r="EC149" s="407">
        <v>-8893.6246809757158</v>
      </c>
      <c r="ED149" s="407"/>
      <c r="EE149" s="407">
        <v>0</v>
      </c>
      <c r="EF149" s="407">
        <v>0</v>
      </c>
      <c r="EG149" s="407"/>
      <c r="EH149" s="407">
        <v>0</v>
      </c>
      <c r="EI149" s="407">
        <v>0</v>
      </c>
      <c r="EJ149" s="407">
        <v>0</v>
      </c>
      <c r="EK149" s="407">
        <v>0</v>
      </c>
      <c r="EL149" s="407">
        <v>0</v>
      </c>
      <c r="EM149" s="407"/>
      <c r="EN149" s="407"/>
      <c r="EO149" s="407">
        <v>0</v>
      </c>
      <c r="EP149" s="407">
        <v>0</v>
      </c>
      <c r="EQ149" s="407"/>
      <c r="ER149" s="407">
        <v>0</v>
      </c>
      <c r="ES149" s="407"/>
      <c r="ET149" s="407">
        <v>0</v>
      </c>
      <c r="EU149" s="407"/>
      <c r="EV149" s="407">
        <v>246</v>
      </c>
      <c r="EW149" s="407"/>
      <c r="EX149" s="407"/>
      <c r="EY149" s="407"/>
      <c r="EZ149" s="407"/>
      <c r="FA149" s="407">
        <v>0</v>
      </c>
      <c r="FB149" s="407"/>
      <c r="FC149" s="407"/>
      <c r="FD149" s="407"/>
      <c r="FE149" s="407"/>
      <c r="FF149" s="407">
        <v>0</v>
      </c>
      <c r="FG149" s="407">
        <v>0</v>
      </c>
      <c r="FH149" s="407">
        <v>0</v>
      </c>
      <c r="FI149" s="407">
        <v>0</v>
      </c>
    </row>
    <row r="150" spans="1:165">
      <c r="A150" s="407">
        <v>157</v>
      </c>
      <c r="B150" s="407" t="s">
        <v>1090</v>
      </c>
      <c r="C150" s="407" t="s">
        <v>2306</v>
      </c>
      <c r="D150" s="407" t="s">
        <v>2315</v>
      </c>
      <c r="E150" s="407" t="s">
        <v>1026</v>
      </c>
      <c r="F150" s="407" t="s">
        <v>97</v>
      </c>
      <c r="G150" s="407" t="s">
        <v>97</v>
      </c>
      <c r="H150" s="407" t="s">
        <v>97</v>
      </c>
      <c r="I150" s="407" t="s">
        <v>97</v>
      </c>
      <c r="J150" s="407" t="s">
        <v>2307</v>
      </c>
      <c r="K150" s="818">
        <v>44440</v>
      </c>
      <c r="L150" s="407">
        <v>0</v>
      </c>
      <c r="M150" s="407">
        <v>0</v>
      </c>
      <c r="N150" s="407">
        <v>4278.8289999999997</v>
      </c>
      <c r="O150" s="407">
        <v>4278.8289999999997</v>
      </c>
      <c r="P150" s="407">
        <v>4278.8289999999997</v>
      </c>
      <c r="Q150" s="407">
        <v>4278.8289999999997</v>
      </c>
      <c r="R150" s="407"/>
      <c r="S150" s="407">
        <v>648.44000000000005</v>
      </c>
      <c r="T150" s="407">
        <v>159.41</v>
      </c>
      <c r="U150" s="407"/>
      <c r="V150" s="407">
        <v>3456652.00765</v>
      </c>
      <c r="W150" s="407">
        <v>3456652.00765</v>
      </c>
      <c r="X150" s="407">
        <v>2617873.1587799997</v>
      </c>
      <c r="Y150" s="407">
        <v>0</v>
      </c>
      <c r="Z150" s="407">
        <v>265160.10553294094</v>
      </c>
      <c r="AA150" s="407">
        <v>0</v>
      </c>
      <c r="AB150" s="407">
        <v>0</v>
      </c>
      <c r="AC150" s="407">
        <v>0</v>
      </c>
      <c r="AD150" s="407">
        <v>499101.55356390629</v>
      </c>
      <c r="AE150" s="407">
        <v>1786607.8942134778</v>
      </c>
      <c r="AF150" s="407">
        <v>659926.86336283537</v>
      </c>
      <c r="AG150" s="407">
        <v>22171.810353098012</v>
      </c>
      <c r="AH150" s="407">
        <v>0</v>
      </c>
      <c r="AI150" s="407">
        <v>0</v>
      </c>
      <c r="AJ150" s="407">
        <v>0</v>
      </c>
      <c r="AK150" s="407">
        <v>0</v>
      </c>
      <c r="AL150" s="407">
        <v>40974.303340360595</v>
      </c>
      <c r="AM150" s="407"/>
      <c r="AN150" s="407">
        <v>8878.979404252379</v>
      </c>
      <c r="AO150" s="407">
        <v>0</v>
      </c>
      <c r="AP150" s="407">
        <v>0</v>
      </c>
      <c r="AQ150" s="407">
        <v>0</v>
      </c>
      <c r="AR150" s="407">
        <v>0</v>
      </c>
      <c r="AS150" s="407">
        <v>0</v>
      </c>
      <c r="AT150" s="407">
        <v>0</v>
      </c>
      <c r="AU150" s="407">
        <v>0</v>
      </c>
      <c r="AV150" s="407">
        <v>0</v>
      </c>
      <c r="AW150" s="407">
        <v>0</v>
      </c>
      <c r="AX150" s="407">
        <v>0</v>
      </c>
      <c r="AY150" s="407">
        <v>0</v>
      </c>
      <c r="AZ150" s="407">
        <v>0</v>
      </c>
      <c r="BA150" s="407"/>
      <c r="BB150" s="407">
        <v>0</v>
      </c>
      <c r="BC150" s="407">
        <v>0</v>
      </c>
      <c r="BD150" s="407">
        <v>0</v>
      </c>
      <c r="BE150" s="407">
        <v>0</v>
      </c>
      <c r="BF150" s="407">
        <v>0</v>
      </c>
      <c r="BG150" s="407">
        <v>48238.546408938084</v>
      </c>
      <c r="BH150" s="407">
        <v>0</v>
      </c>
      <c r="BI150" s="407">
        <v>10450.61</v>
      </c>
      <c r="BJ150" s="407">
        <v>50761.72</v>
      </c>
      <c r="BK150" s="407">
        <v>238734.34</v>
      </c>
      <c r="BL150" s="407">
        <v>14039</v>
      </c>
      <c r="BM150" s="407"/>
      <c r="BN150" s="407"/>
      <c r="BO150" s="407"/>
      <c r="BP150" s="407"/>
      <c r="BQ150" s="407"/>
      <c r="BR150" s="407">
        <v>314151.62518000003</v>
      </c>
      <c r="BS150" s="407"/>
      <c r="BT150" s="407"/>
      <c r="BU150" s="407"/>
      <c r="BV150" s="407">
        <v>708165.4097717735</v>
      </c>
      <c r="BW150" s="407"/>
      <c r="BX150" s="407"/>
      <c r="BY150" s="407"/>
      <c r="BZ150" s="407"/>
      <c r="CA150" s="407"/>
      <c r="CB150" s="407"/>
      <c r="CC150" s="407"/>
      <c r="CD150" s="407"/>
      <c r="CE150" s="407"/>
      <c r="CF150" s="407"/>
      <c r="CG150" s="407"/>
      <c r="CH150" s="407"/>
      <c r="CI150" s="407">
        <v>2303722.0719999997</v>
      </c>
      <c r="CJ150" s="407">
        <v>-738140.28238999937</v>
      </c>
      <c r="CK150" s="407"/>
      <c r="CL150" s="407"/>
      <c r="CM150" s="407"/>
      <c r="CN150" s="407"/>
      <c r="CO150" s="407">
        <v>-956318.28150000016</v>
      </c>
      <c r="CP150" s="407">
        <v>117539.43262999998</v>
      </c>
      <c r="CQ150" s="407">
        <v>30</v>
      </c>
      <c r="CR150" s="407">
        <v>73826.992651921231</v>
      </c>
      <c r="CS150" s="407">
        <v>0</v>
      </c>
      <c r="CT150" s="407">
        <v>0</v>
      </c>
      <c r="CU150" s="407">
        <v>0</v>
      </c>
      <c r="CV150" s="407">
        <v>0</v>
      </c>
      <c r="CW150" s="407">
        <v>0</v>
      </c>
      <c r="CX150" s="407">
        <v>0</v>
      </c>
      <c r="CY150" s="407">
        <v>0</v>
      </c>
      <c r="CZ150" s="407">
        <v>22545.406798050273</v>
      </c>
      <c r="DA150" s="407">
        <v>0</v>
      </c>
      <c r="DB150" s="407">
        <v>0</v>
      </c>
      <c r="DC150" s="407">
        <v>130845.67578272684</v>
      </c>
      <c r="DD150" s="407">
        <v>0</v>
      </c>
      <c r="DE150" s="407">
        <v>0</v>
      </c>
      <c r="DF150" s="407">
        <v>0</v>
      </c>
      <c r="DG150" s="407">
        <v>9564.4010784626371</v>
      </c>
      <c r="DH150" s="407">
        <v>0</v>
      </c>
      <c r="DI150" s="407">
        <v>-18572.336885228113</v>
      </c>
      <c r="DJ150" s="407"/>
      <c r="DK150" s="407">
        <v>0</v>
      </c>
      <c r="DL150" s="407">
        <v>0</v>
      </c>
      <c r="DM150" s="407">
        <v>0</v>
      </c>
      <c r="DN150" s="407">
        <v>0</v>
      </c>
      <c r="DO150" s="407">
        <v>-2499.8986649375656</v>
      </c>
      <c r="DP150" s="407">
        <v>-565.74713198058635</v>
      </c>
      <c r="DQ150" s="407">
        <v>0</v>
      </c>
      <c r="DR150" s="407">
        <v>-67490.508325171904</v>
      </c>
      <c r="DS150" s="407"/>
      <c r="DT150" s="407"/>
      <c r="DU150" s="407"/>
      <c r="DV150" s="407">
        <v>1786607.8942134778</v>
      </c>
      <c r="DW150" s="407">
        <v>0</v>
      </c>
      <c r="DX150" s="407">
        <v>0</v>
      </c>
      <c r="DY150" s="407">
        <v>-956318.28150000004</v>
      </c>
      <c r="DZ150" s="407">
        <v>117539.43263000005</v>
      </c>
      <c r="EA150" s="407">
        <v>0</v>
      </c>
      <c r="EB150" s="407">
        <v>0</v>
      </c>
      <c r="EC150" s="407">
        <v>-912603.46198146616</v>
      </c>
      <c r="ED150" s="407">
        <v>0</v>
      </c>
      <c r="EE150" s="407">
        <v>0</v>
      </c>
      <c r="EF150" s="407">
        <v>0</v>
      </c>
      <c r="EG150" s="407">
        <v>0</v>
      </c>
      <c r="EH150" s="407">
        <v>0</v>
      </c>
      <c r="EI150" s="407">
        <v>0</v>
      </c>
      <c r="EJ150" s="407">
        <v>0</v>
      </c>
      <c r="EK150" s="407">
        <v>0</v>
      </c>
      <c r="EL150" s="407">
        <v>0</v>
      </c>
      <c r="EM150" s="407">
        <v>0</v>
      </c>
      <c r="EN150" s="407">
        <v>0</v>
      </c>
      <c r="EO150" s="407">
        <v>0</v>
      </c>
      <c r="EP150" s="407">
        <v>125601.60103643638</v>
      </c>
      <c r="EQ150" s="407">
        <v>0</v>
      </c>
      <c r="ER150" s="407">
        <v>0</v>
      </c>
      <c r="ES150" s="407">
        <v>0</v>
      </c>
      <c r="ET150" s="407">
        <v>0</v>
      </c>
      <c r="EU150" s="407">
        <v>0</v>
      </c>
      <c r="EV150" s="407">
        <v>246</v>
      </c>
      <c r="EW150" s="407">
        <v>0</v>
      </c>
      <c r="EX150" s="407">
        <v>0</v>
      </c>
      <c r="EY150" s="407">
        <v>0</v>
      </c>
      <c r="EZ150" s="407"/>
      <c r="FA150" s="407">
        <v>0</v>
      </c>
      <c r="FB150" s="407"/>
      <c r="FC150" s="407"/>
      <c r="FD150" s="407"/>
      <c r="FE150" s="407"/>
      <c r="FF150" s="407">
        <v>0</v>
      </c>
      <c r="FG150" s="407">
        <v>0</v>
      </c>
      <c r="FH150" s="407">
        <v>0</v>
      </c>
      <c r="FI150" s="407">
        <v>0</v>
      </c>
    </row>
    <row r="151" spans="1:165">
      <c r="A151" s="407">
        <v>158</v>
      </c>
      <c r="B151" s="407" t="s">
        <v>2308</v>
      </c>
      <c r="C151" s="407" t="s">
        <v>2306</v>
      </c>
      <c r="D151" s="407" t="s">
        <v>2315</v>
      </c>
      <c r="E151" s="407" t="s">
        <v>1026</v>
      </c>
      <c r="F151" s="407" t="s">
        <v>97</v>
      </c>
      <c r="G151" s="407" t="s">
        <v>97</v>
      </c>
      <c r="H151" s="407" t="s">
        <v>97</v>
      </c>
      <c r="I151" s="407" t="s">
        <v>97</v>
      </c>
      <c r="J151" s="407" t="s">
        <v>2307</v>
      </c>
      <c r="K151" s="818">
        <v>44440</v>
      </c>
      <c r="L151" s="407">
        <v>0</v>
      </c>
      <c r="M151" s="407">
        <v>0</v>
      </c>
      <c r="N151" s="407">
        <v>-1.1160000000000001</v>
      </c>
      <c r="O151" s="407">
        <v>-1.1160000000000001</v>
      </c>
      <c r="P151" s="407">
        <v>-1.1160000000000001</v>
      </c>
      <c r="Q151" s="407">
        <v>-1.1160000000000001</v>
      </c>
      <c r="R151" s="407"/>
      <c r="S151" s="407">
        <v>648.44000000000005</v>
      </c>
      <c r="T151" s="407">
        <v>159.41</v>
      </c>
      <c r="U151" s="407"/>
      <c r="V151" s="407">
        <v>-901.56060000000014</v>
      </c>
      <c r="W151" s="407">
        <v>-901.56060000000014</v>
      </c>
      <c r="X151" s="407">
        <v>-682.79112000000009</v>
      </c>
      <c r="Y151" s="407">
        <v>0</v>
      </c>
      <c r="Z151" s="407">
        <v>-69.158799703087482</v>
      </c>
      <c r="AA151" s="407">
        <v>0</v>
      </c>
      <c r="AB151" s="407">
        <v>0</v>
      </c>
      <c r="AC151" s="407">
        <v>0</v>
      </c>
      <c r="AD151" s="407">
        <v>-130.17517965249826</v>
      </c>
      <c r="AE151" s="407">
        <v>-465.981325718378</v>
      </c>
      <c r="AF151" s="407">
        <v>-172.12147985182966</v>
      </c>
      <c r="AG151" s="407">
        <v>-5.7828299177315534</v>
      </c>
      <c r="AH151" s="407">
        <v>0</v>
      </c>
      <c r="AI151" s="407">
        <v>0</v>
      </c>
      <c r="AJ151" s="407">
        <v>0</v>
      </c>
      <c r="AK151" s="407">
        <v>0</v>
      </c>
      <c r="AL151" s="407">
        <v>-10.686877771428218</v>
      </c>
      <c r="AM151" s="407"/>
      <c r="AN151" s="407">
        <v>-2.3158067347738496</v>
      </c>
      <c r="AO151" s="407">
        <v>0</v>
      </c>
      <c r="AP151" s="407">
        <v>0</v>
      </c>
      <c r="AQ151" s="407">
        <v>0</v>
      </c>
      <c r="AR151" s="407">
        <v>0</v>
      </c>
      <c r="AS151" s="407">
        <v>0</v>
      </c>
      <c r="AT151" s="407">
        <v>0</v>
      </c>
      <c r="AU151" s="407">
        <v>0</v>
      </c>
      <c r="AV151" s="407">
        <v>0</v>
      </c>
      <c r="AW151" s="407">
        <v>0</v>
      </c>
      <c r="AX151" s="407">
        <v>0</v>
      </c>
      <c r="AY151" s="407">
        <v>0</v>
      </c>
      <c r="AZ151" s="407">
        <v>0</v>
      </c>
      <c r="BA151" s="407"/>
      <c r="BB151" s="407">
        <v>0</v>
      </c>
      <c r="BC151" s="407">
        <v>0</v>
      </c>
      <c r="BD151" s="407">
        <v>0</v>
      </c>
      <c r="BE151" s="407">
        <v>0</v>
      </c>
      <c r="BF151" s="407">
        <v>0</v>
      </c>
      <c r="BG151" s="407">
        <v>-12.581530552488756</v>
      </c>
      <c r="BH151" s="407">
        <v>0</v>
      </c>
      <c r="BI151" s="407">
        <v>-2.02</v>
      </c>
      <c r="BJ151" s="407">
        <v>-13.2</v>
      </c>
      <c r="BK151" s="407">
        <v>-51.63</v>
      </c>
      <c r="BL151" s="407">
        <v>0</v>
      </c>
      <c r="BM151" s="407"/>
      <c r="BN151" s="407"/>
      <c r="BO151" s="407"/>
      <c r="BP151" s="407"/>
      <c r="BQ151" s="407"/>
      <c r="BR151" s="407">
        <v>-81.936720000000022</v>
      </c>
      <c r="BS151" s="407"/>
      <c r="BT151" s="407"/>
      <c r="BU151" s="407"/>
      <c r="BV151" s="407">
        <v>-184.70301040431841</v>
      </c>
      <c r="BW151" s="407"/>
      <c r="BX151" s="407"/>
      <c r="BY151" s="407"/>
      <c r="BZ151" s="407"/>
      <c r="CA151" s="407"/>
      <c r="CB151" s="407"/>
      <c r="CC151" s="407"/>
      <c r="CD151" s="407"/>
      <c r="CE151" s="407"/>
      <c r="CF151" s="407"/>
      <c r="CG151" s="407"/>
      <c r="CH151" s="407"/>
      <c r="CI151" s="407">
        <v>-603.00800000000004</v>
      </c>
      <c r="CJ151" s="407">
        <v>190.33755999999994</v>
      </c>
      <c r="CK151" s="407"/>
      <c r="CL151" s="407"/>
      <c r="CM151" s="407"/>
      <c r="CN151" s="407"/>
      <c r="CO151" s="407">
        <v>249.42600000000007</v>
      </c>
      <c r="CP151" s="407">
        <v>-30.65652</v>
      </c>
      <c r="CQ151" s="407">
        <v>30</v>
      </c>
      <c r="CR151" s="407">
        <v>-19.25548410547475</v>
      </c>
      <c r="CS151" s="407">
        <v>0</v>
      </c>
      <c r="CT151" s="407">
        <v>0</v>
      </c>
      <c r="CU151" s="407">
        <v>0</v>
      </c>
      <c r="CV151" s="407">
        <v>0</v>
      </c>
      <c r="CW151" s="407">
        <v>0</v>
      </c>
      <c r="CX151" s="407">
        <v>0</v>
      </c>
      <c r="CY151" s="407">
        <v>0</v>
      </c>
      <c r="CZ151" s="407">
        <v>-5.8802709775557958</v>
      </c>
      <c r="DA151" s="407">
        <v>0</v>
      </c>
      <c r="DB151" s="407">
        <v>0</v>
      </c>
      <c r="DC151" s="407">
        <v>-34.127041340872267</v>
      </c>
      <c r="DD151" s="407">
        <v>0</v>
      </c>
      <c r="DE151" s="407">
        <v>0</v>
      </c>
      <c r="DF151" s="407">
        <v>0</v>
      </c>
      <c r="DG151" s="407">
        <v>-2.4945777462862626</v>
      </c>
      <c r="DH151" s="407">
        <v>0</v>
      </c>
      <c r="DI151" s="407">
        <v>4.844018763992338</v>
      </c>
      <c r="DJ151" s="407"/>
      <c r="DK151" s="407">
        <v>0</v>
      </c>
      <c r="DL151" s="407">
        <v>0</v>
      </c>
      <c r="DM151" s="407">
        <v>0</v>
      </c>
      <c r="DN151" s="407">
        <v>0</v>
      </c>
      <c r="DO151" s="407">
        <v>0.65202112775956245</v>
      </c>
      <c r="DP151" s="407">
        <v>0.14755761431231162</v>
      </c>
      <c r="DQ151" s="407">
        <v>0</v>
      </c>
      <c r="DR151" s="407">
        <v>17.602808453175356</v>
      </c>
      <c r="DS151" s="407"/>
      <c r="DT151" s="407"/>
      <c r="DU151" s="407"/>
      <c r="DV151" s="407">
        <v>-465.981325718378</v>
      </c>
      <c r="DW151" s="407">
        <v>0</v>
      </c>
      <c r="DX151" s="407">
        <v>0</v>
      </c>
      <c r="DY151" s="407">
        <v>249.4260000000001</v>
      </c>
      <c r="DZ151" s="407">
        <v>-30.65652</v>
      </c>
      <c r="EA151" s="407">
        <v>0</v>
      </c>
      <c r="EB151" s="407">
        <v>0</v>
      </c>
      <c r="EC151" s="407">
        <v>238.02434347605768</v>
      </c>
      <c r="ED151" s="407">
        <v>0</v>
      </c>
      <c r="EE151" s="407">
        <v>0</v>
      </c>
      <c r="EF151" s="407">
        <v>0</v>
      </c>
      <c r="EG151" s="407">
        <v>0</v>
      </c>
      <c r="EH151" s="407">
        <v>0</v>
      </c>
      <c r="EI151" s="407">
        <v>0</v>
      </c>
      <c r="EJ151" s="407">
        <v>0</v>
      </c>
      <c r="EK151" s="407">
        <v>0</v>
      </c>
      <c r="EL151" s="407">
        <v>0</v>
      </c>
      <c r="EM151" s="407">
        <v>0</v>
      </c>
      <c r="EN151" s="407">
        <v>0</v>
      </c>
      <c r="EO151" s="407">
        <v>0</v>
      </c>
      <c r="EP151" s="407">
        <v>-32.759286888226434</v>
      </c>
      <c r="EQ151" s="407">
        <v>0</v>
      </c>
      <c r="ER151" s="407">
        <v>0</v>
      </c>
      <c r="ES151" s="407">
        <v>0</v>
      </c>
      <c r="ET151" s="407">
        <v>0</v>
      </c>
      <c r="EU151" s="407">
        <v>0</v>
      </c>
      <c r="EV151" s="407">
        <v>246</v>
      </c>
      <c r="EW151" s="407">
        <v>0</v>
      </c>
      <c r="EX151" s="407">
        <v>0</v>
      </c>
      <c r="EY151" s="407">
        <v>0</v>
      </c>
      <c r="EZ151" s="407"/>
      <c r="FA151" s="407">
        <v>0</v>
      </c>
      <c r="FB151" s="407"/>
      <c r="FC151" s="407"/>
      <c r="FD151" s="407"/>
      <c r="FE151" s="407"/>
      <c r="FF151" s="407">
        <v>0</v>
      </c>
      <c r="FG151" s="407">
        <v>0</v>
      </c>
      <c r="FH151" s="407">
        <v>0</v>
      </c>
      <c r="FI151" s="407">
        <v>0</v>
      </c>
    </row>
    <row r="152" spans="1:165">
      <c r="A152" s="407">
        <v>159</v>
      </c>
      <c r="B152" s="407" t="s">
        <v>2309</v>
      </c>
      <c r="C152" s="407" t="s">
        <v>2306</v>
      </c>
      <c r="D152" s="407" t="s">
        <v>2315</v>
      </c>
      <c r="E152" s="407" t="s">
        <v>1026</v>
      </c>
      <c r="F152" s="407" t="s">
        <v>97</v>
      </c>
      <c r="G152" s="407" t="s">
        <v>97</v>
      </c>
      <c r="H152" s="407" t="s">
        <v>97</v>
      </c>
      <c r="I152" s="407" t="s">
        <v>97</v>
      </c>
      <c r="J152" s="407" t="s">
        <v>2307</v>
      </c>
      <c r="K152" s="818">
        <v>44440</v>
      </c>
      <c r="L152" s="407">
        <v>0</v>
      </c>
      <c r="M152" s="407">
        <v>0</v>
      </c>
      <c r="N152" s="407">
        <v>81.405000000000001</v>
      </c>
      <c r="O152" s="407">
        <v>81.405000000000001</v>
      </c>
      <c r="P152" s="407">
        <v>81.405000000000001</v>
      </c>
      <c r="Q152" s="407">
        <v>81.405000000000001</v>
      </c>
      <c r="R152" s="407"/>
      <c r="S152" s="407">
        <v>648.44000000000005</v>
      </c>
      <c r="T152" s="407">
        <v>159.41</v>
      </c>
      <c r="U152" s="407"/>
      <c r="V152" s="407">
        <v>65763.029250000007</v>
      </c>
      <c r="W152" s="407">
        <v>65763.029250000007</v>
      </c>
      <c r="X152" s="407">
        <v>49805.2071</v>
      </c>
      <c r="Y152" s="407">
        <v>0</v>
      </c>
      <c r="Z152" s="407">
        <v>5044.6882525356959</v>
      </c>
      <c r="AA152" s="407">
        <v>0</v>
      </c>
      <c r="AB152" s="407">
        <v>0</v>
      </c>
      <c r="AC152" s="407">
        <v>0</v>
      </c>
      <c r="AD152" s="407">
        <v>9495.4395157810213</v>
      </c>
      <c r="AE152" s="407">
        <v>33990.331380022006</v>
      </c>
      <c r="AF152" s="407">
        <v>12555.151494030637</v>
      </c>
      <c r="AG152" s="407">
        <v>421.82013391840241</v>
      </c>
      <c r="AH152" s="407">
        <v>0</v>
      </c>
      <c r="AI152" s="407">
        <v>0</v>
      </c>
      <c r="AJ152" s="407">
        <v>0</v>
      </c>
      <c r="AK152" s="407">
        <v>0</v>
      </c>
      <c r="AL152" s="407">
        <v>779.53878582716311</v>
      </c>
      <c r="AM152" s="407"/>
      <c r="AN152" s="407">
        <v>168.92316061314088</v>
      </c>
      <c r="AO152" s="407">
        <v>0</v>
      </c>
      <c r="AP152" s="407">
        <v>0</v>
      </c>
      <c r="AQ152" s="407">
        <v>0</v>
      </c>
      <c r="AR152" s="407">
        <v>0</v>
      </c>
      <c r="AS152" s="407">
        <v>0</v>
      </c>
      <c r="AT152" s="407">
        <v>0</v>
      </c>
      <c r="AU152" s="407">
        <v>0</v>
      </c>
      <c r="AV152" s="407">
        <v>0</v>
      </c>
      <c r="AW152" s="407">
        <v>0</v>
      </c>
      <c r="AX152" s="407">
        <v>0</v>
      </c>
      <c r="AY152" s="407">
        <v>0</v>
      </c>
      <c r="AZ152" s="407">
        <v>0</v>
      </c>
      <c r="BA152" s="407"/>
      <c r="BB152" s="407">
        <v>0</v>
      </c>
      <c r="BC152" s="407">
        <v>0</v>
      </c>
      <c r="BD152" s="407">
        <v>0</v>
      </c>
      <c r="BE152" s="407">
        <v>0</v>
      </c>
      <c r="BF152" s="407">
        <v>0</v>
      </c>
      <c r="BG152" s="407">
        <v>917.74148263919994</v>
      </c>
      <c r="BH152" s="407">
        <v>0</v>
      </c>
      <c r="BI152" s="407">
        <v>194.12</v>
      </c>
      <c r="BJ152" s="407">
        <v>942.85</v>
      </c>
      <c r="BK152" s="407">
        <v>4058.1</v>
      </c>
      <c r="BL152" s="407">
        <v>260</v>
      </c>
      <c r="BM152" s="407"/>
      <c r="BN152" s="407"/>
      <c r="BO152" s="407"/>
      <c r="BP152" s="407"/>
      <c r="BQ152" s="407"/>
      <c r="BR152" s="407">
        <v>5976.7551000000012</v>
      </c>
      <c r="BS152" s="407"/>
      <c r="BT152" s="407"/>
      <c r="BU152" s="407"/>
      <c r="BV152" s="407">
        <v>13472.892976669837</v>
      </c>
      <c r="BW152" s="407"/>
      <c r="BX152" s="407"/>
      <c r="BY152" s="407"/>
      <c r="BZ152" s="407"/>
      <c r="CA152" s="407"/>
      <c r="CB152" s="407"/>
      <c r="CC152" s="407"/>
      <c r="CD152" s="407"/>
      <c r="CE152" s="407"/>
      <c r="CF152" s="407"/>
      <c r="CG152" s="407"/>
      <c r="CH152" s="407"/>
      <c r="CI152" s="407">
        <v>43831.144</v>
      </c>
      <c r="CJ152" s="407">
        <v>-14040.514550000007</v>
      </c>
      <c r="CK152" s="407"/>
      <c r="CL152" s="407"/>
      <c r="CM152" s="407"/>
      <c r="CN152" s="407"/>
      <c r="CO152" s="407">
        <v>-18194.017500000005</v>
      </c>
      <c r="CP152" s="407">
        <v>2236.19535</v>
      </c>
      <c r="CQ152" s="407">
        <v>30</v>
      </c>
      <c r="CR152" s="407">
        <v>1404.5633365646718</v>
      </c>
      <c r="CS152" s="407">
        <v>0</v>
      </c>
      <c r="CT152" s="407">
        <v>0</v>
      </c>
      <c r="CU152" s="407">
        <v>0</v>
      </c>
      <c r="CV152" s="407">
        <v>0</v>
      </c>
      <c r="CW152" s="407">
        <v>0</v>
      </c>
      <c r="CX152" s="407">
        <v>0</v>
      </c>
      <c r="CY152" s="407">
        <v>0</v>
      </c>
      <c r="CZ152" s="407">
        <v>428.92783058058194</v>
      </c>
      <c r="DA152" s="407">
        <v>0</v>
      </c>
      <c r="DB152" s="407">
        <v>0</v>
      </c>
      <c r="DC152" s="407">
        <v>2489.3474913563696</v>
      </c>
      <c r="DD152" s="407">
        <v>0</v>
      </c>
      <c r="DE152" s="407">
        <v>0</v>
      </c>
      <c r="DF152" s="407">
        <v>0</v>
      </c>
      <c r="DG152" s="407">
        <v>181.9633525416067</v>
      </c>
      <c r="DH152" s="407">
        <v>0</v>
      </c>
      <c r="DI152" s="407">
        <v>-353.33991709927977</v>
      </c>
      <c r="DJ152" s="407"/>
      <c r="DK152" s="407">
        <v>0</v>
      </c>
      <c r="DL152" s="407">
        <v>0</v>
      </c>
      <c r="DM152" s="407">
        <v>0</v>
      </c>
      <c r="DN152" s="407">
        <v>0</v>
      </c>
      <c r="DO152" s="407">
        <v>-47.560734682139014</v>
      </c>
      <c r="DP152" s="407">
        <v>-10.76337597947466</v>
      </c>
      <c r="DQ152" s="407">
        <v>0</v>
      </c>
      <c r="DR152" s="407">
        <v>-1284.0113101529926</v>
      </c>
      <c r="DS152" s="407"/>
      <c r="DT152" s="407"/>
      <c r="DU152" s="407"/>
      <c r="DV152" s="407">
        <v>33990.331380022006</v>
      </c>
      <c r="DW152" s="407">
        <v>0</v>
      </c>
      <c r="DX152" s="407">
        <v>0</v>
      </c>
      <c r="DY152" s="407">
        <v>-18194.017500000002</v>
      </c>
      <c r="DZ152" s="407">
        <v>2236.19535</v>
      </c>
      <c r="EA152" s="407">
        <v>0</v>
      </c>
      <c r="EB152" s="407">
        <v>0</v>
      </c>
      <c r="EC152" s="407">
        <v>-17362.340215652755</v>
      </c>
      <c r="ED152" s="407">
        <v>0</v>
      </c>
      <c r="EE152" s="407">
        <v>0</v>
      </c>
      <c r="EF152" s="407">
        <v>0</v>
      </c>
      <c r="EG152" s="407">
        <v>0</v>
      </c>
      <c r="EH152" s="407">
        <v>0</v>
      </c>
      <c r="EI152" s="407">
        <v>0</v>
      </c>
      <c r="EJ152" s="407">
        <v>0</v>
      </c>
      <c r="EK152" s="407">
        <v>0</v>
      </c>
      <c r="EL152" s="407">
        <v>0</v>
      </c>
      <c r="EM152" s="407">
        <v>0</v>
      </c>
      <c r="EN152" s="407">
        <v>0</v>
      </c>
      <c r="EO152" s="407">
        <v>0</v>
      </c>
      <c r="EP152" s="407">
        <v>2389.5786282581294</v>
      </c>
      <c r="EQ152" s="407">
        <v>0</v>
      </c>
      <c r="ER152" s="407">
        <v>0</v>
      </c>
      <c r="ES152" s="407">
        <v>0</v>
      </c>
      <c r="ET152" s="407">
        <v>0</v>
      </c>
      <c r="EU152" s="407">
        <v>0</v>
      </c>
      <c r="EV152" s="407">
        <v>246</v>
      </c>
      <c r="EW152" s="407">
        <v>0</v>
      </c>
      <c r="EX152" s="407">
        <v>0</v>
      </c>
      <c r="EY152" s="407">
        <v>0</v>
      </c>
      <c r="EZ152" s="407"/>
      <c r="FA152" s="407">
        <v>0</v>
      </c>
      <c r="FB152" s="407"/>
      <c r="FC152" s="407"/>
      <c r="FD152" s="407"/>
      <c r="FE152" s="407"/>
      <c r="FF152" s="407">
        <v>0</v>
      </c>
      <c r="FG152" s="407">
        <v>0</v>
      </c>
      <c r="FH152" s="407">
        <v>0</v>
      </c>
      <c r="FI152" s="407">
        <v>0</v>
      </c>
    </row>
    <row r="153" spans="1:165">
      <c r="A153" s="407">
        <v>160</v>
      </c>
      <c r="B153" s="407" t="s">
        <v>2309</v>
      </c>
      <c r="C153" s="407" t="s">
        <v>2306</v>
      </c>
      <c r="D153" s="407" t="s">
        <v>2315</v>
      </c>
      <c r="E153" s="407" t="s">
        <v>1026</v>
      </c>
      <c r="F153" s="407" t="s">
        <v>97</v>
      </c>
      <c r="G153" s="407" t="s">
        <v>97</v>
      </c>
      <c r="H153" s="407" t="s">
        <v>97</v>
      </c>
      <c r="I153" s="407" t="s">
        <v>97</v>
      </c>
      <c r="J153" s="407" t="s">
        <v>2307</v>
      </c>
      <c r="K153" s="818">
        <v>44440</v>
      </c>
      <c r="L153" s="407">
        <v>0</v>
      </c>
      <c r="M153" s="407">
        <v>0</v>
      </c>
      <c r="N153" s="407">
        <v>0</v>
      </c>
      <c r="O153" s="407">
        <v>0</v>
      </c>
      <c r="P153" s="407">
        <v>0</v>
      </c>
      <c r="Q153" s="407">
        <v>0</v>
      </c>
      <c r="R153" s="407"/>
      <c r="S153" s="407"/>
      <c r="T153" s="407"/>
      <c r="U153" s="407"/>
      <c r="V153" s="407"/>
      <c r="W153" s="407"/>
      <c r="X153" s="407"/>
      <c r="Y153" s="407"/>
      <c r="Z153" s="407"/>
      <c r="AA153" s="407">
        <v>0</v>
      </c>
      <c r="AB153" s="407"/>
      <c r="AC153" s="407"/>
      <c r="AD153" s="407"/>
      <c r="AE153" s="407"/>
      <c r="AF153" s="407"/>
      <c r="AG153" s="407"/>
      <c r="AH153" s="407"/>
      <c r="AI153" s="407"/>
      <c r="AJ153" s="407"/>
      <c r="AK153" s="407"/>
      <c r="AL153" s="407"/>
      <c r="AM153" s="407"/>
      <c r="AN153" s="407"/>
      <c r="AO153" s="407"/>
      <c r="AP153" s="407"/>
      <c r="AQ153" s="407"/>
      <c r="AR153" s="407"/>
      <c r="AS153" s="407"/>
      <c r="AT153" s="407"/>
      <c r="AU153" s="407"/>
      <c r="AV153" s="407"/>
      <c r="AW153" s="407"/>
      <c r="AX153" s="407"/>
      <c r="AY153" s="407"/>
      <c r="AZ153" s="407">
        <v>0</v>
      </c>
      <c r="BA153" s="407"/>
      <c r="BB153" s="407"/>
      <c r="BC153" s="407"/>
      <c r="BD153" s="407"/>
      <c r="BE153" s="407"/>
      <c r="BF153" s="407"/>
      <c r="BG153" s="407"/>
      <c r="BH153" s="407"/>
      <c r="BI153" s="407">
        <v>-0.1</v>
      </c>
      <c r="BJ153" s="407">
        <v>-0.65</v>
      </c>
      <c r="BK153" s="407">
        <v>-4.9000000000000004</v>
      </c>
      <c r="BL153" s="407">
        <v>2</v>
      </c>
      <c r="BM153" s="407"/>
      <c r="BN153" s="407"/>
      <c r="BO153" s="407"/>
      <c r="BP153" s="407"/>
      <c r="BQ153" s="407"/>
      <c r="BR153" s="407"/>
      <c r="BS153" s="407"/>
      <c r="BT153" s="407"/>
      <c r="BU153" s="407"/>
      <c r="BV153" s="407"/>
      <c r="BW153" s="407"/>
      <c r="BX153" s="407"/>
      <c r="BY153" s="407"/>
      <c r="BZ153" s="407"/>
      <c r="CA153" s="407"/>
      <c r="CB153" s="407"/>
      <c r="CC153" s="407"/>
      <c r="CD153" s="407"/>
      <c r="CE153" s="407"/>
      <c r="CF153" s="407"/>
      <c r="CG153" s="407"/>
      <c r="CH153" s="407"/>
      <c r="CI153" s="407"/>
      <c r="CJ153" s="407">
        <v>-0.03</v>
      </c>
      <c r="CK153" s="407"/>
      <c r="CL153" s="407"/>
      <c r="CM153" s="407"/>
      <c r="CN153" s="407"/>
      <c r="CO153" s="407">
        <v>0</v>
      </c>
      <c r="CP153" s="407">
        <v>0</v>
      </c>
      <c r="CQ153" s="407">
        <v>30</v>
      </c>
      <c r="CR153" s="407"/>
      <c r="CS153" s="407"/>
      <c r="CT153" s="407"/>
      <c r="CU153" s="407"/>
      <c r="CV153" s="407"/>
      <c r="CW153" s="407"/>
      <c r="CX153" s="407"/>
      <c r="CY153" s="407"/>
      <c r="CZ153" s="407"/>
      <c r="DA153" s="407"/>
      <c r="DB153" s="407"/>
      <c r="DC153" s="407"/>
      <c r="DD153" s="407"/>
      <c r="DE153" s="407"/>
      <c r="DF153" s="407"/>
      <c r="DG153" s="407"/>
      <c r="DH153" s="407"/>
      <c r="DI153" s="407"/>
      <c r="DJ153" s="407"/>
      <c r="DK153" s="407">
        <v>0</v>
      </c>
      <c r="DL153" s="407"/>
      <c r="DM153" s="407"/>
      <c r="DN153" s="407"/>
      <c r="DO153" s="407"/>
      <c r="DP153" s="407"/>
      <c r="DQ153" s="407"/>
      <c r="DR153" s="407"/>
      <c r="DS153" s="407"/>
      <c r="DT153" s="407"/>
      <c r="DU153" s="407"/>
      <c r="DV153" s="407"/>
      <c r="DW153" s="407"/>
      <c r="DX153" s="407"/>
      <c r="DY153" s="407"/>
      <c r="DZ153" s="407"/>
      <c r="EA153" s="407"/>
      <c r="EB153" s="407"/>
      <c r="EC153" s="407"/>
      <c r="ED153" s="407"/>
      <c r="EE153" s="407"/>
      <c r="EF153" s="407"/>
      <c r="EG153" s="407"/>
      <c r="EH153" s="407"/>
      <c r="EI153" s="407"/>
      <c r="EJ153" s="407"/>
      <c r="EK153" s="407"/>
      <c r="EL153" s="407"/>
      <c r="EM153" s="407"/>
      <c r="EN153" s="407"/>
      <c r="EO153" s="407"/>
      <c r="EP153" s="407"/>
      <c r="EQ153" s="407"/>
      <c r="ER153" s="407"/>
      <c r="ES153" s="407"/>
      <c r="ET153" s="407"/>
      <c r="EU153" s="407"/>
      <c r="EV153" s="407">
        <v>246</v>
      </c>
      <c r="EW153" s="407"/>
      <c r="EX153" s="407"/>
      <c r="EY153" s="407"/>
      <c r="EZ153" s="407"/>
      <c r="FA153" s="407">
        <v>0</v>
      </c>
      <c r="FB153" s="407"/>
      <c r="FC153" s="407"/>
      <c r="FD153" s="407"/>
      <c r="FE153" s="407"/>
      <c r="FF153" s="407">
        <v>0</v>
      </c>
      <c r="FG153" s="407">
        <v>0</v>
      </c>
      <c r="FH153" s="407">
        <v>0</v>
      </c>
      <c r="FI153" s="407">
        <v>0</v>
      </c>
    </row>
    <row r="154" spans="1:165">
      <c r="A154" s="407">
        <v>161</v>
      </c>
      <c r="B154" s="407" t="s">
        <v>1090</v>
      </c>
      <c r="C154" s="407" t="s">
        <v>2314</v>
      </c>
      <c r="D154" s="407" t="s">
        <v>650</v>
      </c>
      <c r="E154" s="407" t="s">
        <v>1026</v>
      </c>
      <c r="F154" s="407" t="s">
        <v>97</v>
      </c>
      <c r="G154" s="407" t="s">
        <v>97</v>
      </c>
      <c r="H154" s="407" t="s">
        <v>97</v>
      </c>
      <c r="I154" s="407" t="s">
        <v>1025</v>
      </c>
      <c r="J154" s="407" t="s">
        <v>2307</v>
      </c>
      <c r="K154" s="818">
        <v>44440</v>
      </c>
      <c r="L154" s="407">
        <v>0</v>
      </c>
      <c r="M154" s="407">
        <v>0</v>
      </c>
      <c r="N154" s="407">
        <v>28.22</v>
      </c>
      <c r="O154" s="407">
        <v>27.091200000000001</v>
      </c>
      <c r="P154" s="407">
        <v>28.22</v>
      </c>
      <c r="Q154" s="407">
        <v>27.091200000000001</v>
      </c>
      <c r="R154" s="407"/>
      <c r="S154" s="407">
        <v>2810.7</v>
      </c>
      <c r="T154" s="407">
        <v>159.41</v>
      </c>
      <c r="U154" s="407"/>
      <c r="V154" s="407">
        <v>83816.504199999996</v>
      </c>
      <c r="W154" s="407">
        <v>83816.504199999996</v>
      </c>
      <c r="X154" s="407">
        <v>53383.491800000003</v>
      </c>
      <c r="Y154" s="407">
        <v>0</v>
      </c>
      <c r="Z154" s="407">
        <v>1521.4564113175456</v>
      </c>
      <c r="AA154" s="407">
        <v>0</v>
      </c>
      <c r="AB154" s="407">
        <v>0</v>
      </c>
      <c r="AC154" s="407">
        <v>0</v>
      </c>
      <c r="AD154" s="407">
        <v>17228.750045372195</v>
      </c>
      <c r="AE154" s="407">
        <v>59399.964873446035</v>
      </c>
      <c r="AF154" s="407">
        <v>4352.3908256439354</v>
      </c>
      <c r="AG154" s="407">
        <v>146.22890705948424</v>
      </c>
      <c r="AH154" s="407">
        <v>0</v>
      </c>
      <c r="AI154" s="407">
        <v>0</v>
      </c>
      <c r="AJ154" s="407">
        <v>0</v>
      </c>
      <c r="AK154" s="407">
        <v>0</v>
      </c>
      <c r="AL154" s="407">
        <v>270.23628199794291</v>
      </c>
      <c r="AM154" s="407"/>
      <c r="AN154" s="407">
        <v>30.300756091143313</v>
      </c>
      <c r="AO154" s="407">
        <v>0</v>
      </c>
      <c r="AP154" s="407">
        <v>0</v>
      </c>
      <c r="AQ154" s="407">
        <v>0</v>
      </c>
      <c r="AR154" s="407">
        <v>0</v>
      </c>
      <c r="AS154" s="407">
        <v>0</v>
      </c>
      <c r="AT154" s="407">
        <v>0</v>
      </c>
      <c r="AU154" s="407">
        <v>0</v>
      </c>
      <c r="AV154" s="407">
        <v>0</v>
      </c>
      <c r="AW154" s="407">
        <v>0</v>
      </c>
      <c r="AX154" s="407">
        <v>0</v>
      </c>
      <c r="AY154" s="407">
        <v>0</v>
      </c>
      <c r="AZ154" s="407">
        <v>0</v>
      </c>
      <c r="BA154" s="407"/>
      <c r="BB154" s="407">
        <v>0</v>
      </c>
      <c r="BC154" s="407">
        <v>0</v>
      </c>
      <c r="BD154" s="407">
        <v>0</v>
      </c>
      <c r="BE154" s="407">
        <v>0</v>
      </c>
      <c r="BF154" s="407">
        <v>0</v>
      </c>
      <c r="BG154" s="407">
        <v>146.45825440928201</v>
      </c>
      <c r="BH154" s="407">
        <v>0</v>
      </c>
      <c r="BI154" s="407">
        <v>0</v>
      </c>
      <c r="BJ154" s="407">
        <v>0</v>
      </c>
      <c r="BK154" s="407">
        <v>0</v>
      </c>
      <c r="BL154" s="407">
        <v>0</v>
      </c>
      <c r="BM154" s="407"/>
      <c r="BN154" s="407"/>
      <c r="BO154" s="407"/>
      <c r="BP154" s="407"/>
      <c r="BQ154" s="407"/>
      <c r="BR154" s="407">
        <v>2135.3396719999964</v>
      </c>
      <c r="BS154" s="407"/>
      <c r="BT154" s="407"/>
      <c r="BU154" s="407"/>
      <c r="BV154" s="407">
        <v>4498.8490800532172</v>
      </c>
      <c r="BW154" s="407"/>
      <c r="BX154" s="407"/>
      <c r="BY154" s="407"/>
      <c r="BZ154" s="407"/>
      <c r="CA154" s="407"/>
      <c r="CB154" s="407"/>
      <c r="CC154" s="407"/>
      <c r="CD154" s="407"/>
      <c r="CE154" s="407"/>
      <c r="CF154" s="407"/>
      <c r="CG154" s="407"/>
      <c r="CH154" s="407"/>
      <c r="CI154" s="407">
        <v>51245.882099999995</v>
      </c>
      <c r="CJ154" s="407">
        <v>-29217.991931999983</v>
      </c>
      <c r="CK154" s="407"/>
      <c r="CL154" s="407"/>
      <c r="CM154" s="407"/>
      <c r="CN154" s="407"/>
      <c r="CO154" s="407">
        <v>-31208.215799999994</v>
      </c>
      <c r="CP154" s="407">
        <v>775.20339999999999</v>
      </c>
      <c r="CQ154" s="407">
        <v>30</v>
      </c>
      <c r="CR154" s="407">
        <v>-91.223887197240401</v>
      </c>
      <c r="CS154" s="407">
        <v>0</v>
      </c>
      <c r="CT154" s="407">
        <v>0</v>
      </c>
      <c r="CU154" s="407">
        <v>0</v>
      </c>
      <c r="CV154" s="407">
        <v>0</v>
      </c>
      <c r="CW154" s="407">
        <v>0</v>
      </c>
      <c r="CX154" s="407">
        <v>0</v>
      </c>
      <c r="CY154" s="407">
        <v>0</v>
      </c>
      <c r="CZ154" s="407">
        <v>778.25680088792433</v>
      </c>
      <c r="DA154" s="407">
        <v>0</v>
      </c>
      <c r="DB154" s="407">
        <v>0</v>
      </c>
      <c r="DC154" s="407">
        <v>862.96156508908189</v>
      </c>
      <c r="DD154" s="407">
        <v>0</v>
      </c>
      <c r="DE154" s="407">
        <v>0</v>
      </c>
      <c r="DF154" s="407">
        <v>0</v>
      </c>
      <c r="DG154" s="407">
        <v>29.038716767019679</v>
      </c>
      <c r="DH154" s="407">
        <v>0</v>
      </c>
      <c r="DI154" s="407">
        <v>-106.56580849666875</v>
      </c>
      <c r="DJ154" s="407"/>
      <c r="DK154" s="407">
        <v>0</v>
      </c>
      <c r="DL154" s="407">
        <v>0</v>
      </c>
      <c r="DM154" s="407">
        <v>0</v>
      </c>
      <c r="DN154" s="407">
        <v>0</v>
      </c>
      <c r="DO154" s="407">
        <v>-16.487487657145948</v>
      </c>
      <c r="DP154" s="407">
        <v>-1.9306910259524237</v>
      </c>
      <c r="DQ154" s="407">
        <v>0</v>
      </c>
      <c r="DR154" s="407">
        <v>-1636.4969827614977</v>
      </c>
      <c r="DS154" s="407"/>
      <c r="DT154" s="407"/>
      <c r="DU154" s="407"/>
      <c r="DV154" s="407">
        <v>59399.964873446035</v>
      </c>
      <c r="DW154" s="407">
        <v>0</v>
      </c>
      <c r="DX154" s="407">
        <v>0</v>
      </c>
      <c r="DY154" s="407">
        <v>-31208.215799999998</v>
      </c>
      <c r="DZ154" s="407">
        <v>775.20340000000033</v>
      </c>
      <c r="EA154" s="407">
        <v>0</v>
      </c>
      <c r="EB154" s="407">
        <v>0</v>
      </c>
      <c r="EC154" s="407">
        <v>-30341.640021101779</v>
      </c>
      <c r="ED154" s="407">
        <v>0</v>
      </c>
      <c r="EE154" s="407">
        <v>0</v>
      </c>
      <c r="EF154" s="407">
        <v>0</v>
      </c>
      <c r="EG154" s="407">
        <v>0</v>
      </c>
      <c r="EH154" s="407">
        <v>0</v>
      </c>
      <c r="EI154" s="407">
        <v>0</v>
      </c>
      <c r="EJ154" s="407">
        <v>0</v>
      </c>
      <c r="EK154" s="407">
        <v>0</v>
      </c>
      <c r="EL154" s="407">
        <v>0</v>
      </c>
      <c r="EM154" s="407">
        <v>0</v>
      </c>
      <c r="EN154" s="407">
        <v>0</v>
      </c>
      <c r="EO154" s="407">
        <v>0</v>
      </c>
      <c r="EP154" s="407">
        <v>720.68669902114868</v>
      </c>
      <c r="EQ154" s="407">
        <v>0</v>
      </c>
      <c r="ER154" s="407">
        <v>0</v>
      </c>
      <c r="ES154" s="407">
        <v>0</v>
      </c>
      <c r="ET154" s="407">
        <v>0</v>
      </c>
      <c r="EU154" s="407">
        <v>0</v>
      </c>
      <c r="EV154" s="407">
        <v>246</v>
      </c>
      <c r="EW154" s="407">
        <v>0</v>
      </c>
      <c r="EX154" s="407">
        <v>0</v>
      </c>
      <c r="EY154" s="407">
        <v>0</v>
      </c>
      <c r="EZ154" s="407"/>
      <c r="FA154" s="407">
        <v>0</v>
      </c>
      <c r="FB154" s="407"/>
      <c r="FC154" s="407"/>
      <c r="FD154" s="407"/>
      <c r="FE154" s="407"/>
      <c r="FF154" s="407">
        <v>0</v>
      </c>
      <c r="FG154" s="407">
        <v>0</v>
      </c>
      <c r="FH154" s="407">
        <v>0</v>
      </c>
      <c r="FI154" s="407">
        <v>0</v>
      </c>
    </row>
    <row r="155" spans="1:165">
      <c r="A155" s="407">
        <v>162</v>
      </c>
      <c r="B155" s="407" t="s">
        <v>2309</v>
      </c>
      <c r="C155" s="407" t="s">
        <v>2314</v>
      </c>
      <c r="D155" s="407" t="s">
        <v>650</v>
      </c>
      <c r="E155" s="407" t="s">
        <v>1026</v>
      </c>
      <c r="F155" s="407" t="s">
        <v>97</v>
      </c>
      <c r="G155" s="407" t="s">
        <v>97</v>
      </c>
      <c r="H155" s="407" t="s">
        <v>97</v>
      </c>
      <c r="I155" s="407" t="s">
        <v>1025</v>
      </c>
      <c r="J155" s="407" t="s">
        <v>2307</v>
      </c>
      <c r="K155" s="818">
        <v>44440</v>
      </c>
      <c r="L155" s="407">
        <v>0</v>
      </c>
      <c r="M155" s="407">
        <v>0</v>
      </c>
      <c r="N155" s="407">
        <v>0.182</v>
      </c>
      <c r="O155" s="407">
        <v>0.17471999999999999</v>
      </c>
      <c r="P155" s="407">
        <v>0.182</v>
      </c>
      <c r="Q155" s="407">
        <v>0.17471999999999999</v>
      </c>
      <c r="R155" s="407"/>
      <c r="S155" s="407">
        <v>2810.7</v>
      </c>
      <c r="T155" s="407">
        <v>159.41</v>
      </c>
      <c r="U155" s="407"/>
      <c r="V155" s="407">
        <v>540.56001999999989</v>
      </c>
      <c r="W155" s="407">
        <v>540.56001999999989</v>
      </c>
      <c r="X155" s="407">
        <v>344.28757999999999</v>
      </c>
      <c r="Y155" s="407">
        <v>0</v>
      </c>
      <c r="Z155" s="407">
        <v>9.8123694847552549</v>
      </c>
      <c r="AA155" s="407">
        <v>0</v>
      </c>
      <c r="AB155" s="407">
        <v>0</v>
      </c>
      <c r="AC155" s="407">
        <v>0</v>
      </c>
      <c r="AD155" s="407">
        <v>111.1138379963763</v>
      </c>
      <c r="AE155" s="407">
        <v>383.08978054454923</v>
      </c>
      <c r="AF155" s="407">
        <v>28.069990441785837</v>
      </c>
      <c r="AG155" s="407">
        <v>0.94307799733614928</v>
      </c>
      <c r="AH155" s="407">
        <v>0</v>
      </c>
      <c r="AI155" s="407">
        <v>0</v>
      </c>
      <c r="AJ155" s="407">
        <v>0</v>
      </c>
      <c r="AK155" s="407">
        <v>0</v>
      </c>
      <c r="AL155" s="407">
        <v>1.7428420738350678</v>
      </c>
      <c r="AM155" s="407"/>
      <c r="AN155" s="407">
        <v>0.19541947585358196</v>
      </c>
      <c r="AO155" s="407">
        <v>0</v>
      </c>
      <c r="AP155" s="407">
        <v>0</v>
      </c>
      <c r="AQ155" s="407">
        <v>0</v>
      </c>
      <c r="AR155" s="407">
        <v>0</v>
      </c>
      <c r="AS155" s="407">
        <v>0</v>
      </c>
      <c r="AT155" s="407">
        <v>0</v>
      </c>
      <c r="AU155" s="407">
        <v>0</v>
      </c>
      <c r="AV155" s="407">
        <v>0</v>
      </c>
      <c r="AW155" s="407">
        <v>0</v>
      </c>
      <c r="AX155" s="407">
        <v>0</v>
      </c>
      <c r="AY155" s="407">
        <v>0</v>
      </c>
      <c r="AZ155" s="407">
        <v>0</v>
      </c>
      <c r="BA155" s="407"/>
      <c r="BB155" s="407">
        <v>0</v>
      </c>
      <c r="BC155" s="407">
        <v>0</v>
      </c>
      <c r="BD155" s="407">
        <v>0</v>
      </c>
      <c r="BE155" s="407">
        <v>0</v>
      </c>
      <c r="BF155" s="407">
        <v>0</v>
      </c>
      <c r="BG155" s="407">
        <v>0.94455713332704916</v>
      </c>
      <c r="BH155" s="407">
        <v>0</v>
      </c>
      <c r="BI155" s="407">
        <v>0</v>
      </c>
      <c r="BJ155" s="407">
        <v>0</v>
      </c>
      <c r="BK155" s="407">
        <v>0</v>
      </c>
      <c r="BL155" s="407">
        <v>0</v>
      </c>
      <c r="BM155" s="407"/>
      <c r="BN155" s="407"/>
      <c r="BO155" s="407"/>
      <c r="BP155" s="407"/>
      <c r="BQ155" s="407"/>
      <c r="BR155" s="407">
        <v>13.771503200000016</v>
      </c>
      <c r="BS155" s="407"/>
      <c r="BT155" s="407"/>
      <c r="BU155" s="407"/>
      <c r="BV155" s="407">
        <v>29.014547575112886</v>
      </c>
      <c r="BW155" s="407"/>
      <c r="BX155" s="407"/>
      <c r="BY155" s="407"/>
      <c r="BZ155" s="407"/>
      <c r="CA155" s="407"/>
      <c r="CB155" s="407"/>
      <c r="CC155" s="407"/>
      <c r="CD155" s="407"/>
      <c r="CE155" s="407"/>
      <c r="CF155" s="407"/>
      <c r="CG155" s="407"/>
      <c r="CH155" s="407"/>
      <c r="CI155" s="407">
        <v>321.58730000000003</v>
      </c>
      <c r="CJ155" s="407">
        <v>-197.38031919999992</v>
      </c>
      <c r="CK155" s="407"/>
      <c r="CL155" s="407"/>
      <c r="CM155" s="407"/>
      <c r="CN155" s="407"/>
      <c r="CO155" s="407">
        <v>-201.27197999999999</v>
      </c>
      <c r="CP155" s="407">
        <v>4.9995399999999997</v>
      </c>
      <c r="CQ155" s="407">
        <v>30</v>
      </c>
      <c r="CR155" s="407">
        <v>-0.58833265307927718</v>
      </c>
      <c r="CS155" s="407">
        <v>0</v>
      </c>
      <c r="CT155" s="407">
        <v>0</v>
      </c>
      <c r="CU155" s="407">
        <v>0</v>
      </c>
      <c r="CV155" s="407">
        <v>0</v>
      </c>
      <c r="CW155" s="407">
        <v>0</v>
      </c>
      <c r="CX155" s="407">
        <v>0</v>
      </c>
      <c r="CY155" s="407">
        <v>0</v>
      </c>
      <c r="CZ155" s="407">
        <v>5.0192323799292211</v>
      </c>
      <c r="DA155" s="407">
        <v>0</v>
      </c>
      <c r="DB155" s="407">
        <v>0</v>
      </c>
      <c r="DC155" s="407">
        <v>5.565521078887766</v>
      </c>
      <c r="DD155" s="407">
        <v>0</v>
      </c>
      <c r="DE155" s="407">
        <v>0</v>
      </c>
      <c r="DF155" s="407">
        <v>0</v>
      </c>
      <c r="DG155" s="407">
        <v>0.18728017192053803</v>
      </c>
      <c r="DH155" s="407">
        <v>0</v>
      </c>
      <c r="DI155" s="407">
        <v>-0.68727771603096066</v>
      </c>
      <c r="DJ155" s="407"/>
      <c r="DK155" s="407">
        <v>0</v>
      </c>
      <c r="DL155" s="407">
        <v>0</v>
      </c>
      <c r="DM155" s="407">
        <v>0</v>
      </c>
      <c r="DN155" s="407">
        <v>0</v>
      </c>
      <c r="DO155" s="407">
        <v>-0.10633319467046642</v>
      </c>
      <c r="DP155" s="407">
        <v>-1.2451657219112011E-2</v>
      </c>
      <c r="DQ155" s="407">
        <v>0</v>
      </c>
      <c r="DR155" s="407">
        <v>-10.554303715896264</v>
      </c>
      <c r="DS155" s="407"/>
      <c r="DT155" s="407"/>
      <c r="DU155" s="407"/>
      <c r="DV155" s="407">
        <v>383.08978054454923</v>
      </c>
      <c r="DW155" s="407">
        <v>0</v>
      </c>
      <c r="DX155" s="407">
        <v>0</v>
      </c>
      <c r="DY155" s="407">
        <v>-201.27197999999993</v>
      </c>
      <c r="DZ155" s="407">
        <v>4.9995400000000032</v>
      </c>
      <c r="EA155" s="407">
        <v>0</v>
      </c>
      <c r="EB155" s="407">
        <v>0</v>
      </c>
      <c r="EC155" s="407">
        <v>-195.68314967542611</v>
      </c>
      <c r="ED155" s="407">
        <v>0</v>
      </c>
      <c r="EE155" s="407">
        <v>0</v>
      </c>
      <c r="EF155" s="407">
        <v>0</v>
      </c>
      <c r="EG155" s="407">
        <v>0</v>
      </c>
      <c r="EH155" s="407">
        <v>0</v>
      </c>
      <c r="EI155" s="407">
        <v>0</v>
      </c>
      <c r="EJ155" s="407">
        <v>0</v>
      </c>
      <c r="EK155" s="407">
        <v>0</v>
      </c>
      <c r="EL155" s="407">
        <v>0</v>
      </c>
      <c r="EM155" s="407">
        <v>0</v>
      </c>
      <c r="EN155" s="407">
        <v>0</v>
      </c>
      <c r="EO155" s="407">
        <v>0</v>
      </c>
      <c r="EP155" s="407">
        <v>4.6479439837650274</v>
      </c>
      <c r="EQ155" s="407">
        <v>0</v>
      </c>
      <c r="ER155" s="407">
        <v>0</v>
      </c>
      <c r="ES155" s="407">
        <v>0</v>
      </c>
      <c r="ET155" s="407">
        <v>0</v>
      </c>
      <c r="EU155" s="407">
        <v>0</v>
      </c>
      <c r="EV155" s="407">
        <v>246</v>
      </c>
      <c r="EW155" s="407">
        <v>0</v>
      </c>
      <c r="EX155" s="407">
        <v>0</v>
      </c>
      <c r="EY155" s="407">
        <v>0</v>
      </c>
      <c r="EZ155" s="407"/>
      <c r="FA155" s="407">
        <v>0</v>
      </c>
      <c r="FB155" s="407"/>
      <c r="FC155" s="407"/>
      <c r="FD155" s="407"/>
      <c r="FE155" s="407"/>
      <c r="FF155" s="407">
        <v>0</v>
      </c>
      <c r="FG155" s="407">
        <v>0</v>
      </c>
      <c r="FH155" s="407">
        <v>0</v>
      </c>
      <c r="FI155" s="407">
        <v>0</v>
      </c>
    </row>
    <row r="156" spans="1:165">
      <c r="A156" s="407">
        <v>163</v>
      </c>
      <c r="B156" s="407" t="s">
        <v>1090</v>
      </c>
      <c r="C156" s="407" t="s">
        <v>2314</v>
      </c>
      <c r="D156" s="407" t="s">
        <v>650</v>
      </c>
      <c r="E156" s="407" t="s">
        <v>1026</v>
      </c>
      <c r="F156" s="407" t="s">
        <v>97</v>
      </c>
      <c r="G156" s="407" t="s">
        <v>97</v>
      </c>
      <c r="H156" s="407" t="s">
        <v>97</v>
      </c>
      <c r="I156" s="407" t="s">
        <v>2290</v>
      </c>
      <c r="J156" s="407" t="s">
        <v>2307</v>
      </c>
      <c r="K156" s="818">
        <v>44440</v>
      </c>
      <c r="L156" s="407">
        <v>0</v>
      </c>
      <c r="M156" s="407">
        <v>0</v>
      </c>
      <c r="N156" s="407">
        <v>718.97900000000004</v>
      </c>
      <c r="O156" s="407">
        <v>690.21983999999998</v>
      </c>
      <c r="P156" s="407">
        <v>718.97900000000004</v>
      </c>
      <c r="Q156" s="407">
        <v>690.21983999999998</v>
      </c>
      <c r="R156" s="407"/>
      <c r="S156" s="407">
        <v>95.29</v>
      </c>
      <c r="T156" s="407">
        <v>159.41</v>
      </c>
      <c r="U156" s="407"/>
      <c r="V156" s="407">
        <v>183123.95130000002</v>
      </c>
      <c r="W156" s="407">
        <v>183123.95130000002</v>
      </c>
      <c r="X156" s="407">
        <v>199092.47489000001</v>
      </c>
      <c r="Y156" s="407">
        <v>0</v>
      </c>
      <c r="Z156" s="407">
        <v>38763.118680109059</v>
      </c>
      <c r="AA156" s="407">
        <v>0</v>
      </c>
      <c r="AB156" s="407">
        <v>0</v>
      </c>
      <c r="AC156" s="407">
        <v>0</v>
      </c>
      <c r="AD156" s="407">
        <v>0</v>
      </c>
      <c r="AE156" s="407">
        <v>0</v>
      </c>
      <c r="AF156" s="407">
        <v>110888.64647167439</v>
      </c>
      <c r="AG156" s="407">
        <v>3725.5674475096007</v>
      </c>
      <c r="AH156" s="407">
        <v>0</v>
      </c>
      <c r="AI156" s="407">
        <v>0</v>
      </c>
      <c r="AJ156" s="407">
        <v>0</v>
      </c>
      <c r="AK156" s="407">
        <v>0</v>
      </c>
      <c r="AL156" s="407">
        <v>6884.9827000212272</v>
      </c>
      <c r="AM156" s="407"/>
      <c r="AN156" s="407">
        <v>771.99175455896989</v>
      </c>
      <c r="AO156" s="407">
        <v>0</v>
      </c>
      <c r="AP156" s="407">
        <v>0</v>
      </c>
      <c r="AQ156" s="407">
        <v>0</v>
      </c>
      <c r="AR156" s="407">
        <v>0</v>
      </c>
      <c r="AS156" s="407">
        <v>0</v>
      </c>
      <c r="AT156" s="407">
        <v>0</v>
      </c>
      <c r="AU156" s="407">
        <v>0</v>
      </c>
      <c r="AV156" s="407">
        <v>0</v>
      </c>
      <c r="AW156" s="407">
        <v>0</v>
      </c>
      <c r="AX156" s="407">
        <v>0</v>
      </c>
      <c r="AY156" s="407">
        <v>0</v>
      </c>
      <c r="AZ156" s="407">
        <v>0</v>
      </c>
      <c r="BA156" s="407"/>
      <c r="BB156" s="407">
        <v>0</v>
      </c>
      <c r="BC156" s="407">
        <v>0</v>
      </c>
      <c r="BD156" s="407">
        <v>0</v>
      </c>
      <c r="BE156" s="407">
        <v>0</v>
      </c>
      <c r="BF156" s="407">
        <v>0</v>
      </c>
      <c r="BG156" s="407">
        <v>3731.4106767162007</v>
      </c>
      <c r="BH156" s="407">
        <v>0</v>
      </c>
      <c r="BI156" s="407">
        <v>0</v>
      </c>
      <c r="BJ156" s="407">
        <v>0</v>
      </c>
      <c r="BK156" s="407">
        <v>0</v>
      </c>
      <c r="BL156" s="407">
        <v>0</v>
      </c>
      <c r="BM156" s="407"/>
      <c r="BN156" s="407"/>
      <c r="BO156" s="407"/>
      <c r="BP156" s="407"/>
      <c r="BQ156" s="407"/>
      <c r="BR156" s="407">
        <v>7963.698995600018</v>
      </c>
      <c r="BS156" s="407"/>
      <c r="BT156" s="407"/>
      <c r="BU156" s="407"/>
      <c r="BV156" s="407">
        <v>114620.0571483906</v>
      </c>
      <c r="BW156" s="407"/>
      <c r="BX156" s="407"/>
      <c r="BY156" s="407"/>
      <c r="BZ156" s="407"/>
      <c r="CA156" s="407"/>
      <c r="CB156" s="407"/>
      <c r="CC156" s="407"/>
      <c r="CD156" s="407"/>
      <c r="CE156" s="407"/>
      <c r="CF156" s="407"/>
      <c r="CG156" s="407"/>
      <c r="CH156" s="407"/>
      <c r="CI156" s="407">
        <v>191128.82020000002</v>
      </c>
      <c r="CJ156" s="407">
        <v>15329.796952000004</v>
      </c>
      <c r="CK156" s="407"/>
      <c r="CL156" s="407"/>
      <c r="CM156" s="407"/>
      <c r="CN156" s="407"/>
      <c r="CO156" s="407">
        <v>-3781.8295400000038</v>
      </c>
      <c r="CP156" s="407">
        <v>19750.35313</v>
      </c>
      <c r="CQ156" s="407">
        <v>30</v>
      </c>
      <c r="CR156" s="407">
        <v>15966.251048067032</v>
      </c>
      <c r="CS156" s="407">
        <v>0</v>
      </c>
      <c r="CT156" s="407">
        <v>0</v>
      </c>
      <c r="CU156" s="407">
        <v>0</v>
      </c>
      <c r="CV156" s="407">
        <v>0</v>
      </c>
      <c r="CW156" s="407">
        <v>0</v>
      </c>
      <c r="CX156" s="407">
        <v>0</v>
      </c>
      <c r="CY156" s="407">
        <v>0</v>
      </c>
      <c r="CZ156" s="407">
        <v>0</v>
      </c>
      <c r="DA156" s="407">
        <v>0</v>
      </c>
      <c r="DB156" s="407">
        <v>0</v>
      </c>
      <c r="DC156" s="407">
        <v>21986.224064712369</v>
      </c>
      <c r="DD156" s="407">
        <v>0</v>
      </c>
      <c r="DE156" s="407">
        <v>0</v>
      </c>
      <c r="DF156" s="407">
        <v>0</v>
      </c>
      <c r="DG156" s="407">
        <v>739.83797102888229</v>
      </c>
      <c r="DH156" s="407">
        <v>0</v>
      </c>
      <c r="DI156" s="407">
        <v>-2715.0453021660651</v>
      </c>
      <c r="DJ156" s="407"/>
      <c r="DK156" s="407">
        <v>0</v>
      </c>
      <c r="DL156" s="407">
        <v>0</v>
      </c>
      <c r="DM156" s="407">
        <v>0</v>
      </c>
      <c r="DN156" s="407">
        <v>0</v>
      </c>
      <c r="DO156" s="407">
        <v>-420.06227456580928</v>
      </c>
      <c r="DP156" s="407">
        <v>-49.189450855713972</v>
      </c>
      <c r="DQ156" s="407">
        <v>0</v>
      </c>
      <c r="DR156" s="407">
        <v>-3575.5139600866501</v>
      </c>
      <c r="DS156" s="407"/>
      <c r="DT156" s="407"/>
      <c r="DU156" s="407"/>
      <c r="DV156" s="407">
        <v>0</v>
      </c>
      <c r="DW156" s="407">
        <v>0</v>
      </c>
      <c r="DX156" s="407">
        <v>0</v>
      </c>
      <c r="DY156" s="407">
        <v>-3781.8295399999988</v>
      </c>
      <c r="DZ156" s="407">
        <v>19750.353130000003</v>
      </c>
      <c r="EA156" s="407">
        <v>0</v>
      </c>
      <c r="EB156" s="407">
        <v>0</v>
      </c>
      <c r="EC156" s="407">
        <v>0</v>
      </c>
      <c r="ED156" s="407">
        <v>0</v>
      </c>
      <c r="EE156" s="407">
        <v>0</v>
      </c>
      <c r="EF156" s="407">
        <v>0</v>
      </c>
      <c r="EG156" s="407">
        <v>0</v>
      </c>
      <c r="EH156" s="407">
        <v>0</v>
      </c>
      <c r="EI156" s="407">
        <v>0</v>
      </c>
      <c r="EJ156" s="407">
        <v>0</v>
      </c>
      <c r="EK156" s="407">
        <v>0</v>
      </c>
      <c r="EL156" s="407">
        <v>0</v>
      </c>
      <c r="EM156" s="407">
        <v>0</v>
      </c>
      <c r="EN156" s="407">
        <v>0</v>
      </c>
      <c r="EO156" s="407">
        <v>0</v>
      </c>
      <c r="EP156" s="407">
        <v>18361.396250018657</v>
      </c>
      <c r="EQ156" s="407">
        <v>0</v>
      </c>
      <c r="ER156" s="407">
        <v>0</v>
      </c>
      <c r="ES156" s="407">
        <v>0</v>
      </c>
      <c r="ET156" s="407">
        <v>0</v>
      </c>
      <c r="EU156" s="407">
        <v>0</v>
      </c>
      <c r="EV156" s="407">
        <v>246</v>
      </c>
      <c r="EW156" s="407">
        <v>0</v>
      </c>
      <c r="EX156" s="407">
        <v>0</v>
      </c>
      <c r="EY156" s="407">
        <v>0</v>
      </c>
      <c r="EZ156" s="407"/>
      <c r="FA156" s="407">
        <v>0</v>
      </c>
      <c r="FB156" s="407"/>
      <c r="FC156" s="407"/>
      <c r="FD156" s="407"/>
      <c r="FE156" s="407"/>
      <c r="FF156" s="407">
        <v>0</v>
      </c>
      <c r="FG156" s="407">
        <v>0</v>
      </c>
      <c r="FH156" s="407">
        <v>0</v>
      </c>
      <c r="FI156" s="407">
        <v>0</v>
      </c>
    </row>
    <row r="157" spans="1:165">
      <c r="A157" s="407">
        <v>164</v>
      </c>
      <c r="B157" s="407" t="s">
        <v>2309</v>
      </c>
      <c r="C157" s="407" t="s">
        <v>2314</v>
      </c>
      <c r="D157" s="407" t="s">
        <v>650</v>
      </c>
      <c r="E157" s="407" t="s">
        <v>1026</v>
      </c>
      <c r="F157" s="407" t="s">
        <v>97</v>
      </c>
      <c r="G157" s="407" t="s">
        <v>97</v>
      </c>
      <c r="H157" s="407" t="s">
        <v>97</v>
      </c>
      <c r="I157" s="407" t="s">
        <v>2290</v>
      </c>
      <c r="J157" s="407" t="s">
        <v>2307</v>
      </c>
      <c r="K157" s="818">
        <v>44440</v>
      </c>
      <c r="L157" s="407">
        <v>0</v>
      </c>
      <c r="M157" s="407">
        <v>0</v>
      </c>
      <c r="N157" s="407">
        <v>14.856999999999999</v>
      </c>
      <c r="O157" s="407">
        <v>14.26272</v>
      </c>
      <c r="P157" s="407">
        <v>14.856999999999999</v>
      </c>
      <c r="Q157" s="407">
        <v>14.26272</v>
      </c>
      <c r="R157" s="407"/>
      <c r="S157" s="407">
        <v>95.29</v>
      </c>
      <c r="T157" s="407">
        <v>159.41</v>
      </c>
      <c r="U157" s="407"/>
      <c r="V157" s="407">
        <v>3784.0779000000002</v>
      </c>
      <c r="W157" s="407">
        <v>3784.0779000000002</v>
      </c>
      <c r="X157" s="407">
        <v>4114.0518699999993</v>
      </c>
      <c r="Y157" s="407">
        <v>0</v>
      </c>
      <c r="Z157" s="407">
        <v>801.00205184070785</v>
      </c>
      <c r="AA157" s="407">
        <v>0</v>
      </c>
      <c r="AB157" s="407">
        <v>0</v>
      </c>
      <c r="AC157" s="407">
        <v>0</v>
      </c>
      <c r="AD157" s="407">
        <v>0</v>
      </c>
      <c r="AE157" s="407">
        <v>0</v>
      </c>
      <c r="AF157" s="407">
        <v>2291.4057582066603</v>
      </c>
      <c r="AG157" s="407">
        <v>76.985218716610817</v>
      </c>
      <c r="AH157" s="407">
        <v>0</v>
      </c>
      <c r="AI157" s="407">
        <v>0</v>
      </c>
      <c r="AJ157" s="407">
        <v>0</v>
      </c>
      <c r="AK157" s="407">
        <v>0</v>
      </c>
      <c r="AL157" s="407">
        <v>142.27145434597583</v>
      </c>
      <c r="AM157" s="407"/>
      <c r="AN157" s="407">
        <v>15.952456883278392</v>
      </c>
      <c r="AO157" s="407">
        <v>0</v>
      </c>
      <c r="AP157" s="407">
        <v>0</v>
      </c>
      <c r="AQ157" s="407">
        <v>0</v>
      </c>
      <c r="AR157" s="407">
        <v>0</v>
      </c>
      <c r="AS157" s="407">
        <v>0</v>
      </c>
      <c r="AT157" s="407">
        <v>0</v>
      </c>
      <c r="AU157" s="407">
        <v>0</v>
      </c>
      <c r="AV157" s="407">
        <v>0</v>
      </c>
      <c r="AW157" s="407">
        <v>0</v>
      </c>
      <c r="AX157" s="407">
        <v>0</v>
      </c>
      <c r="AY157" s="407">
        <v>0</v>
      </c>
      <c r="AZ157" s="407">
        <v>0</v>
      </c>
      <c r="BA157" s="407"/>
      <c r="BB157" s="407">
        <v>0</v>
      </c>
      <c r="BC157" s="407">
        <v>0</v>
      </c>
      <c r="BD157" s="407">
        <v>0</v>
      </c>
      <c r="BE157" s="407">
        <v>0</v>
      </c>
      <c r="BF157" s="407">
        <v>0</v>
      </c>
      <c r="BG157" s="407">
        <v>77.105963350769059</v>
      </c>
      <c r="BH157" s="407">
        <v>0</v>
      </c>
      <c r="BI157" s="407">
        <v>0</v>
      </c>
      <c r="BJ157" s="407">
        <v>0</v>
      </c>
      <c r="BK157" s="407">
        <v>0</v>
      </c>
      <c r="BL157" s="407">
        <v>0</v>
      </c>
      <c r="BM157" s="407"/>
      <c r="BN157" s="407"/>
      <c r="BO157" s="407"/>
      <c r="BP157" s="407"/>
      <c r="BQ157" s="407"/>
      <c r="BR157" s="407">
        <v>164.56207479999986</v>
      </c>
      <c r="BS157" s="407"/>
      <c r="BT157" s="407"/>
      <c r="BU157" s="407"/>
      <c r="BV157" s="407">
        <v>2368.5117215574292</v>
      </c>
      <c r="BW157" s="407"/>
      <c r="BX157" s="407"/>
      <c r="BY157" s="407"/>
      <c r="BZ157" s="407"/>
      <c r="CA157" s="407"/>
      <c r="CB157" s="407"/>
      <c r="CC157" s="407"/>
      <c r="CD157" s="407"/>
      <c r="CE157" s="407"/>
      <c r="CF157" s="407"/>
      <c r="CG157" s="407"/>
      <c r="CH157" s="407"/>
      <c r="CI157" s="407">
        <v>3948.7365999999997</v>
      </c>
      <c r="CJ157" s="407">
        <v>315.99181599999929</v>
      </c>
      <c r="CK157" s="407"/>
      <c r="CL157" s="407"/>
      <c r="CM157" s="407"/>
      <c r="CN157" s="407"/>
      <c r="CO157" s="407">
        <v>-78.147820000000067</v>
      </c>
      <c r="CP157" s="407">
        <v>408.12178999999998</v>
      </c>
      <c r="CQ157" s="407">
        <v>30</v>
      </c>
      <c r="CR157" s="407">
        <v>329.9270101367797</v>
      </c>
      <c r="CS157" s="407">
        <v>0</v>
      </c>
      <c r="CT157" s="407">
        <v>0</v>
      </c>
      <c r="CU157" s="407">
        <v>0</v>
      </c>
      <c r="CV157" s="407">
        <v>0</v>
      </c>
      <c r="CW157" s="407">
        <v>0</v>
      </c>
      <c r="CX157" s="407">
        <v>0</v>
      </c>
      <c r="CY157" s="407">
        <v>0</v>
      </c>
      <c r="CZ157" s="407">
        <v>0</v>
      </c>
      <c r="DA157" s="407">
        <v>0</v>
      </c>
      <c r="DB157" s="407">
        <v>0</v>
      </c>
      <c r="DC157" s="407">
        <v>454.32388279689894</v>
      </c>
      <c r="DD157" s="407">
        <v>0</v>
      </c>
      <c r="DE157" s="407">
        <v>0</v>
      </c>
      <c r="DF157" s="407">
        <v>0</v>
      </c>
      <c r="DG157" s="407">
        <v>15.288030297930959</v>
      </c>
      <c r="DH157" s="407">
        <v>0</v>
      </c>
      <c r="DI157" s="407">
        <v>-56.103763885010949</v>
      </c>
      <c r="DJ157" s="407"/>
      <c r="DK157" s="407">
        <v>0</v>
      </c>
      <c r="DL157" s="407">
        <v>0</v>
      </c>
      <c r="DM157" s="407">
        <v>0</v>
      </c>
      <c r="DN157" s="407">
        <v>0</v>
      </c>
      <c r="DO157" s="407">
        <v>-8.6801773253797592</v>
      </c>
      <c r="DP157" s="407">
        <v>-1.0164520401337764</v>
      </c>
      <c r="DQ157" s="407">
        <v>0</v>
      </c>
      <c r="DR157" s="407">
        <v>-73.884509707526021</v>
      </c>
      <c r="DS157" s="407"/>
      <c r="DT157" s="407"/>
      <c r="DU157" s="407"/>
      <c r="DV157" s="407">
        <v>0</v>
      </c>
      <c r="DW157" s="407">
        <v>0</v>
      </c>
      <c r="DX157" s="407">
        <v>0</v>
      </c>
      <c r="DY157" s="407">
        <v>-78.147820000000138</v>
      </c>
      <c r="DZ157" s="407">
        <v>408.12178999999969</v>
      </c>
      <c r="EA157" s="407">
        <v>0</v>
      </c>
      <c r="EB157" s="407">
        <v>0</v>
      </c>
      <c r="EC157" s="407">
        <v>0</v>
      </c>
      <c r="ED157" s="407">
        <v>0</v>
      </c>
      <c r="EE157" s="407">
        <v>0</v>
      </c>
      <c r="EF157" s="407">
        <v>0</v>
      </c>
      <c r="EG157" s="407">
        <v>0</v>
      </c>
      <c r="EH157" s="407">
        <v>0</v>
      </c>
      <c r="EI157" s="407">
        <v>0</v>
      </c>
      <c r="EJ157" s="407">
        <v>0</v>
      </c>
      <c r="EK157" s="407">
        <v>0</v>
      </c>
      <c r="EL157" s="407">
        <v>0</v>
      </c>
      <c r="EM157" s="407">
        <v>0</v>
      </c>
      <c r="EN157" s="407">
        <v>0</v>
      </c>
      <c r="EO157" s="407">
        <v>0</v>
      </c>
      <c r="EP157" s="407">
        <v>379.42035036701651</v>
      </c>
      <c r="EQ157" s="407">
        <v>0</v>
      </c>
      <c r="ER157" s="407">
        <v>0</v>
      </c>
      <c r="ES157" s="407">
        <v>0</v>
      </c>
      <c r="ET157" s="407">
        <v>0</v>
      </c>
      <c r="EU157" s="407">
        <v>0</v>
      </c>
      <c r="EV157" s="407">
        <v>246</v>
      </c>
      <c r="EW157" s="407">
        <v>0</v>
      </c>
      <c r="EX157" s="407">
        <v>0</v>
      </c>
      <c r="EY157" s="407">
        <v>0</v>
      </c>
      <c r="EZ157" s="407"/>
      <c r="FA157" s="407">
        <v>0</v>
      </c>
      <c r="FB157" s="407"/>
      <c r="FC157" s="407"/>
      <c r="FD157" s="407"/>
      <c r="FE157" s="407"/>
      <c r="FF157" s="407">
        <v>0</v>
      </c>
      <c r="FG157" s="407">
        <v>0</v>
      </c>
      <c r="FH157" s="407">
        <v>0</v>
      </c>
      <c r="FI157" s="407">
        <v>0</v>
      </c>
    </row>
    <row r="158" spans="1:165">
      <c r="A158" s="407">
        <v>165</v>
      </c>
      <c r="B158" s="407" t="s">
        <v>1090</v>
      </c>
      <c r="C158" s="407" t="s">
        <v>2314</v>
      </c>
      <c r="D158" s="407" t="s">
        <v>650</v>
      </c>
      <c r="E158" s="407" t="s">
        <v>1026</v>
      </c>
      <c r="F158" s="407" t="s">
        <v>97</v>
      </c>
      <c r="G158" s="407" t="s">
        <v>97</v>
      </c>
      <c r="H158" s="407" t="s">
        <v>97</v>
      </c>
      <c r="I158" s="407" t="s">
        <v>97</v>
      </c>
      <c r="J158" s="407" t="s">
        <v>2307</v>
      </c>
      <c r="K158" s="818">
        <v>44440</v>
      </c>
      <c r="L158" s="407">
        <v>3368</v>
      </c>
      <c r="M158" s="407">
        <v>3233.28</v>
      </c>
      <c r="N158" s="407">
        <v>0</v>
      </c>
      <c r="O158" s="407">
        <v>0</v>
      </c>
      <c r="P158" s="407">
        <v>0</v>
      </c>
      <c r="Q158" s="407">
        <v>0</v>
      </c>
      <c r="R158" s="407">
        <v>43.29</v>
      </c>
      <c r="S158" s="407"/>
      <c r="T158" s="407"/>
      <c r="U158" s="407">
        <v>145800.72</v>
      </c>
      <c r="V158" s="407"/>
      <c r="W158" s="407">
        <v>145800.72</v>
      </c>
      <c r="X158" s="407">
        <v>112794.32</v>
      </c>
      <c r="Y158" s="407">
        <v>0</v>
      </c>
      <c r="Z158" s="407">
        <v>0</v>
      </c>
      <c r="AA158" s="407">
        <v>0</v>
      </c>
      <c r="AB158" s="407">
        <v>0</v>
      </c>
      <c r="AC158" s="407">
        <v>0</v>
      </c>
      <c r="AD158" s="407">
        <v>79700.308749619187</v>
      </c>
      <c r="AE158" s="407">
        <v>66111.102167523553</v>
      </c>
      <c r="AF158" s="407"/>
      <c r="AG158" s="407"/>
      <c r="AH158" s="407"/>
      <c r="AI158" s="407">
        <v>0</v>
      </c>
      <c r="AJ158" s="407">
        <v>0</v>
      </c>
      <c r="AK158" s="407">
        <v>0</v>
      </c>
      <c r="AL158" s="407">
        <v>0</v>
      </c>
      <c r="AM158" s="407"/>
      <c r="AN158" s="407">
        <v>0</v>
      </c>
      <c r="AO158" s="407">
        <v>0</v>
      </c>
      <c r="AP158" s="407">
        <v>0</v>
      </c>
      <c r="AQ158" s="407">
        <v>0</v>
      </c>
      <c r="AR158" s="407">
        <v>0</v>
      </c>
      <c r="AS158" s="407"/>
      <c r="AT158" s="407"/>
      <c r="AU158" s="407">
        <v>0</v>
      </c>
      <c r="AV158" s="407">
        <v>0</v>
      </c>
      <c r="AW158" s="407">
        <v>0</v>
      </c>
      <c r="AX158" s="407"/>
      <c r="AY158" s="407"/>
      <c r="AZ158" s="407">
        <v>0</v>
      </c>
      <c r="BA158" s="407"/>
      <c r="BB158" s="407">
        <v>0</v>
      </c>
      <c r="BC158" s="407">
        <v>0</v>
      </c>
      <c r="BD158" s="407">
        <v>0</v>
      </c>
      <c r="BE158" s="407">
        <v>0</v>
      </c>
      <c r="BF158" s="407"/>
      <c r="BG158" s="407">
        <v>0</v>
      </c>
      <c r="BH158" s="407">
        <v>0</v>
      </c>
      <c r="BI158" s="407">
        <v>1604.39</v>
      </c>
      <c r="BJ158" s="407">
        <v>7739.39</v>
      </c>
      <c r="BK158" s="407">
        <v>153.18</v>
      </c>
      <c r="BL158" s="407">
        <v>22</v>
      </c>
      <c r="BM158" s="407"/>
      <c r="BN158" s="407"/>
      <c r="BO158" s="407"/>
      <c r="BP158" s="407"/>
      <c r="BQ158" s="407"/>
      <c r="BR158" s="407">
        <v>4511.7727999999934</v>
      </c>
      <c r="BS158" s="407"/>
      <c r="BT158" s="407"/>
      <c r="BU158" s="407"/>
      <c r="BV158" s="407">
        <v>0</v>
      </c>
      <c r="BW158" s="407"/>
      <c r="BX158" s="407"/>
      <c r="BY158" s="407"/>
      <c r="BZ158" s="407"/>
      <c r="CA158" s="407"/>
      <c r="CB158" s="407"/>
      <c r="CC158" s="407"/>
      <c r="CD158" s="407"/>
      <c r="CE158" s="407"/>
      <c r="CF158" s="407"/>
      <c r="CG158" s="407"/>
      <c r="CH158" s="407"/>
      <c r="CI158" s="407">
        <v>108282.54720000002</v>
      </c>
      <c r="CJ158" s="407">
        <v>-31686.174000000014</v>
      </c>
      <c r="CK158" s="407"/>
      <c r="CL158" s="407"/>
      <c r="CM158" s="407"/>
      <c r="CN158" s="407"/>
      <c r="CO158" s="407">
        <v>-33006.399999999987</v>
      </c>
      <c r="CP158" s="407">
        <v>0</v>
      </c>
      <c r="CQ158" s="407">
        <v>30</v>
      </c>
      <c r="CR158" s="407">
        <v>753.28736908298742</v>
      </c>
      <c r="CS158" s="407">
        <v>0</v>
      </c>
      <c r="CT158" s="407">
        <v>0</v>
      </c>
      <c r="CU158" s="407">
        <v>0</v>
      </c>
      <c r="CV158" s="407">
        <v>0</v>
      </c>
      <c r="CW158" s="407"/>
      <c r="CX158" s="407"/>
      <c r="CY158" s="407"/>
      <c r="CZ158" s="407">
        <v>3600.2209767921158</v>
      </c>
      <c r="DA158" s="407">
        <v>0</v>
      </c>
      <c r="DB158" s="407">
        <v>0</v>
      </c>
      <c r="DC158" s="407"/>
      <c r="DD158" s="407"/>
      <c r="DE158" s="407">
        <v>0</v>
      </c>
      <c r="DF158" s="407">
        <v>0</v>
      </c>
      <c r="DG158" s="407">
        <v>0</v>
      </c>
      <c r="DH158" s="407">
        <v>0</v>
      </c>
      <c r="DI158" s="407">
        <v>0</v>
      </c>
      <c r="DJ158" s="407"/>
      <c r="DK158" s="407">
        <v>0</v>
      </c>
      <c r="DL158" s="407">
        <v>0</v>
      </c>
      <c r="DM158" s="407"/>
      <c r="DN158" s="407">
        <v>0</v>
      </c>
      <c r="DO158" s="407">
        <v>0</v>
      </c>
      <c r="DP158" s="407">
        <v>0</v>
      </c>
      <c r="DQ158" s="407">
        <v>0</v>
      </c>
      <c r="DR158" s="407">
        <v>-2846.9336077091284</v>
      </c>
      <c r="DS158" s="407"/>
      <c r="DT158" s="407"/>
      <c r="DU158" s="407">
        <v>66111.102167523553</v>
      </c>
      <c r="DV158" s="407"/>
      <c r="DW158" s="407">
        <v>0</v>
      </c>
      <c r="DX158" s="407">
        <v>0</v>
      </c>
      <c r="DY158" s="407">
        <v>-33006.399999999994</v>
      </c>
      <c r="DZ158" s="407"/>
      <c r="EA158" s="407">
        <v>0</v>
      </c>
      <c r="EB158" s="407"/>
      <c r="EC158" s="407">
        <v>-33769.704538361017</v>
      </c>
      <c r="ED158" s="407"/>
      <c r="EE158" s="407">
        <v>0</v>
      </c>
      <c r="EF158" s="407">
        <v>0</v>
      </c>
      <c r="EG158" s="407"/>
      <c r="EH158" s="407">
        <v>0</v>
      </c>
      <c r="EI158" s="407">
        <v>0</v>
      </c>
      <c r="EJ158" s="407">
        <v>0</v>
      </c>
      <c r="EK158" s="407">
        <v>0</v>
      </c>
      <c r="EL158" s="407">
        <v>0</v>
      </c>
      <c r="EM158" s="407"/>
      <c r="EN158" s="407"/>
      <c r="EO158" s="407">
        <v>0</v>
      </c>
      <c r="EP158" s="407">
        <v>0</v>
      </c>
      <c r="EQ158" s="407"/>
      <c r="ER158" s="407">
        <v>0</v>
      </c>
      <c r="ES158" s="407"/>
      <c r="ET158" s="407">
        <v>0</v>
      </c>
      <c r="EU158" s="407"/>
      <c r="EV158" s="407">
        <v>246</v>
      </c>
      <c r="EW158" s="407"/>
      <c r="EX158" s="407"/>
      <c r="EY158" s="407"/>
      <c r="EZ158" s="407"/>
      <c r="FA158" s="407">
        <v>0</v>
      </c>
      <c r="FB158" s="407"/>
      <c r="FC158" s="407"/>
      <c r="FD158" s="407"/>
      <c r="FE158" s="407"/>
      <c r="FF158" s="407">
        <v>0</v>
      </c>
      <c r="FG158" s="407">
        <v>0</v>
      </c>
      <c r="FH158" s="407">
        <v>0</v>
      </c>
      <c r="FI158" s="407">
        <v>0</v>
      </c>
    </row>
    <row r="159" spans="1:165">
      <c r="A159" s="407">
        <v>166</v>
      </c>
      <c r="B159" s="407" t="s">
        <v>2309</v>
      </c>
      <c r="C159" s="407" t="s">
        <v>2314</v>
      </c>
      <c r="D159" s="407" t="s">
        <v>650</v>
      </c>
      <c r="E159" s="407" t="s">
        <v>1026</v>
      </c>
      <c r="F159" s="407" t="s">
        <v>97</v>
      </c>
      <c r="G159" s="407" t="s">
        <v>97</v>
      </c>
      <c r="H159" s="407" t="s">
        <v>97</v>
      </c>
      <c r="I159" s="407" t="s">
        <v>97</v>
      </c>
      <c r="J159" s="407" t="s">
        <v>2307</v>
      </c>
      <c r="K159" s="818">
        <v>44440</v>
      </c>
      <c r="L159" s="407">
        <v>184</v>
      </c>
      <c r="M159" s="407">
        <v>176.64</v>
      </c>
      <c r="N159" s="407">
        <v>0</v>
      </c>
      <c r="O159" s="407">
        <v>0</v>
      </c>
      <c r="P159" s="407">
        <v>0</v>
      </c>
      <c r="Q159" s="407">
        <v>0</v>
      </c>
      <c r="R159" s="407">
        <v>43.29</v>
      </c>
      <c r="S159" s="407"/>
      <c r="T159" s="407"/>
      <c r="U159" s="407">
        <v>7965.36</v>
      </c>
      <c r="V159" s="407"/>
      <c r="W159" s="407">
        <v>7965.36</v>
      </c>
      <c r="X159" s="407">
        <v>6162.1600000000008</v>
      </c>
      <c r="Y159" s="407">
        <v>0</v>
      </c>
      <c r="Z159" s="407">
        <v>0</v>
      </c>
      <c r="AA159" s="407">
        <v>0</v>
      </c>
      <c r="AB159" s="407">
        <v>0</v>
      </c>
      <c r="AC159" s="407">
        <v>0</v>
      </c>
      <c r="AD159" s="407">
        <v>4354.1736371525922</v>
      </c>
      <c r="AE159" s="407">
        <v>3611.7704272043743</v>
      </c>
      <c r="AF159" s="407"/>
      <c r="AG159" s="407"/>
      <c r="AH159" s="407"/>
      <c r="AI159" s="407">
        <v>0</v>
      </c>
      <c r="AJ159" s="407">
        <v>0</v>
      </c>
      <c r="AK159" s="407">
        <v>0</v>
      </c>
      <c r="AL159" s="407">
        <v>0</v>
      </c>
      <c r="AM159" s="407"/>
      <c r="AN159" s="407">
        <v>0</v>
      </c>
      <c r="AO159" s="407">
        <v>0</v>
      </c>
      <c r="AP159" s="407">
        <v>0</v>
      </c>
      <c r="AQ159" s="407">
        <v>0</v>
      </c>
      <c r="AR159" s="407">
        <v>0</v>
      </c>
      <c r="AS159" s="407"/>
      <c r="AT159" s="407"/>
      <c r="AU159" s="407">
        <v>0</v>
      </c>
      <c r="AV159" s="407">
        <v>0</v>
      </c>
      <c r="AW159" s="407">
        <v>0</v>
      </c>
      <c r="AX159" s="407"/>
      <c r="AY159" s="407"/>
      <c r="AZ159" s="407">
        <v>0</v>
      </c>
      <c r="BA159" s="407"/>
      <c r="BB159" s="407">
        <v>0</v>
      </c>
      <c r="BC159" s="407">
        <v>0</v>
      </c>
      <c r="BD159" s="407">
        <v>0</v>
      </c>
      <c r="BE159" s="407">
        <v>0</v>
      </c>
      <c r="BF159" s="407"/>
      <c r="BG159" s="407">
        <v>0</v>
      </c>
      <c r="BH159" s="407">
        <v>0</v>
      </c>
      <c r="BI159" s="407">
        <v>44.77</v>
      </c>
      <c r="BJ159" s="407">
        <v>216.05</v>
      </c>
      <c r="BK159" s="407">
        <v>11.92</v>
      </c>
      <c r="BL159" s="407">
        <v>2</v>
      </c>
      <c r="BM159" s="407"/>
      <c r="BN159" s="407"/>
      <c r="BO159" s="407"/>
      <c r="BP159" s="407"/>
      <c r="BQ159" s="407"/>
      <c r="BR159" s="407">
        <v>246.48640000000046</v>
      </c>
      <c r="BS159" s="407"/>
      <c r="BT159" s="407"/>
      <c r="BU159" s="407"/>
      <c r="BV159" s="407">
        <v>0</v>
      </c>
      <c r="BW159" s="407"/>
      <c r="BX159" s="407"/>
      <c r="BY159" s="407"/>
      <c r="BZ159" s="407"/>
      <c r="CA159" s="407"/>
      <c r="CB159" s="407"/>
      <c r="CC159" s="407"/>
      <c r="CD159" s="407"/>
      <c r="CE159" s="407"/>
      <c r="CF159" s="407"/>
      <c r="CG159" s="407"/>
      <c r="CH159" s="407"/>
      <c r="CI159" s="407">
        <v>5915.6736000000001</v>
      </c>
      <c r="CJ159" s="407">
        <v>-1731.1019999999999</v>
      </c>
      <c r="CK159" s="407"/>
      <c r="CL159" s="407"/>
      <c r="CM159" s="407"/>
      <c r="CN159" s="407"/>
      <c r="CO159" s="407">
        <v>-1803.1999999999994</v>
      </c>
      <c r="CP159" s="407">
        <v>0</v>
      </c>
      <c r="CQ159" s="407">
        <v>30</v>
      </c>
      <c r="CR159" s="407">
        <v>41.153466719497374</v>
      </c>
      <c r="CS159" s="407">
        <v>0</v>
      </c>
      <c r="CT159" s="407">
        <v>0</v>
      </c>
      <c r="CU159" s="407">
        <v>0</v>
      </c>
      <c r="CV159" s="407">
        <v>0</v>
      </c>
      <c r="CW159" s="407"/>
      <c r="CX159" s="407"/>
      <c r="CY159" s="407"/>
      <c r="CZ159" s="407">
        <v>196.686656689355</v>
      </c>
      <c r="DA159" s="407">
        <v>0</v>
      </c>
      <c r="DB159" s="407">
        <v>0</v>
      </c>
      <c r="DC159" s="407"/>
      <c r="DD159" s="407"/>
      <c r="DE159" s="407">
        <v>0</v>
      </c>
      <c r="DF159" s="407">
        <v>0</v>
      </c>
      <c r="DG159" s="407">
        <v>0</v>
      </c>
      <c r="DH159" s="407">
        <v>0</v>
      </c>
      <c r="DI159" s="407">
        <v>0</v>
      </c>
      <c r="DJ159" s="407"/>
      <c r="DK159" s="407">
        <v>0</v>
      </c>
      <c r="DL159" s="407">
        <v>0</v>
      </c>
      <c r="DM159" s="407"/>
      <c r="DN159" s="407">
        <v>0</v>
      </c>
      <c r="DO159" s="407">
        <v>0</v>
      </c>
      <c r="DP159" s="407">
        <v>0</v>
      </c>
      <c r="DQ159" s="407">
        <v>0</v>
      </c>
      <c r="DR159" s="407">
        <v>-155.53318996985737</v>
      </c>
      <c r="DS159" s="407"/>
      <c r="DT159" s="407"/>
      <c r="DU159" s="407">
        <v>3611.7704272043743</v>
      </c>
      <c r="DV159" s="407"/>
      <c r="DW159" s="407">
        <v>0</v>
      </c>
      <c r="DX159" s="407">
        <v>0</v>
      </c>
      <c r="DY159" s="407">
        <v>-1803.1999999999989</v>
      </c>
      <c r="DZ159" s="407"/>
      <c r="EA159" s="407">
        <v>0</v>
      </c>
      <c r="EB159" s="407"/>
      <c r="EC159" s="407">
        <v>-1844.9007229983449</v>
      </c>
      <c r="ED159" s="407"/>
      <c r="EE159" s="407">
        <v>0</v>
      </c>
      <c r="EF159" s="407">
        <v>0</v>
      </c>
      <c r="EG159" s="407"/>
      <c r="EH159" s="407">
        <v>0</v>
      </c>
      <c r="EI159" s="407">
        <v>0</v>
      </c>
      <c r="EJ159" s="407">
        <v>0</v>
      </c>
      <c r="EK159" s="407">
        <v>0</v>
      </c>
      <c r="EL159" s="407">
        <v>0</v>
      </c>
      <c r="EM159" s="407"/>
      <c r="EN159" s="407"/>
      <c r="EO159" s="407">
        <v>0</v>
      </c>
      <c r="EP159" s="407">
        <v>0</v>
      </c>
      <c r="EQ159" s="407"/>
      <c r="ER159" s="407">
        <v>0</v>
      </c>
      <c r="ES159" s="407"/>
      <c r="ET159" s="407">
        <v>0</v>
      </c>
      <c r="EU159" s="407"/>
      <c r="EV159" s="407">
        <v>246</v>
      </c>
      <c r="EW159" s="407"/>
      <c r="EX159" s="407"/>
      <c r="EY159" s="407"/>
      <c r="EZ159" s="407"/>
      <c r="FA159" s="407">
        <v>0</v>
      </c>
      <c r="FB159" s="407"/>
      <c r="FC159" s="407"/>
      <c r="FD159" s="407"/>
      <c r="FE159" s="407"/>
      <c r="FF159" s="407">
        <v>0</v>
      </c>
      <c r="FG159" s="407">
        <v>0</v>
      </c>
      <c r="FH159" s="407">
        <v>0</v>
      </c>
      <c r="FI159" s="407">
        <v>0</v>
      </c>
    </row>
    <row r="160" spans="1:165">
      <c r="A160" s="407">
        <v>167</v>
      </c>
      <c r="B160" s="407" t="s">
        <v>1090</v>
      </c>
      <c r="C160" s="407" t="s">
        <v>2306</v>
      </c>
      <c r="D160" s="407" t="s">
        <v>1219</v>
      </c>
      <c r="E160" s="407" t="s">
        <v>2316</v>
      </c>
      <c r="F160" s="407" t="s">
        <v>97</v>
      </c>
      <c r="G160" s="407" t="s">
        <v>97</v>
      </c>
      <c r="H160" s="407" t="s">
        <v>97</v>
      </c>
      <c r="I160" s="407" t="s">
        <v>97</v>
      </c>
      <c r="J160" s="407" t="s">
        <v>2307</v>
      </c>
      <c r="K160" s="818">
        <v>44440</v>
      </c>
      <c r="L160" s="407">
        <v>0</v>
      </c>
      <c r="M160" s="407">
        <v>0</v>
      </c>
      <c r="N160" s="407">
        <v>247.559</v>
      </c>
      <c r="O160" s="407">
        <v>247.559</v>
      </c>
      <c r="P160" s="407">
        <v>247.559</v>
      </c>
      <c r="Q160" s="407">
        <v>247.559</v>
      </c>
      <c r="R160" s="407"/>
      <c r="S160" s="407">
        <v>648.44000000000005</v>
      </c>
      <c r="T160" s="407">
        <v>159.41</v>
      </c>
      <c r="U160" s="407"/>
      <c r="V160" s="407">
        <v>199990.53815000001</v>
      </c>
      <c r="W160" s="407">
        <v>199990.53815000001</v>
      </c>
      <c r="X160" s="407">
        <v>151461.54738</v>
      </c>
      <c r="Y160" s="407">
        <v>0</v>
      </c>
      <c r="Z160" s="407">
        <v>15341.29327571383</v>
      </c>
      <c r="AA160" s="407">
        <v>0</v>
      </c>
      <c r="AB160" s="407">
        <v>0</v>
      </c>
      <c r="AC160" s="407">
        <v>0</v>
      </c>
      <c r="AD160" s="407">
        <v>28876.377508595713</v>
      </c>
      <c r="AE160" s="407">
        <v>103367.267933258</v>
      </c>
      <c r="AF160" s="407">
        <v>38181.201998780547</v>
      </c>
      <c r="AG160" s="407">
        <v>1282.7881645194493</v>
      </c>
      <c r="AH160" s="407">
        <v>0</v>
      </c>
      <c r="AI160" s="407">
        <v>0</v>
      </c>
      <c r="AJ160" s="407">
        <v>0</v>
      </c>
      <c r="AK160" s="407">
        <v>0</v>
      </c>
      <c r="AL160" s="407">
        <v>2370.6386865743711</v>
      </c>
      <c r="AM160" s="407"/>
      <c r="AN160" s="407">
        <v>513.70860166118223</v>
      </c>
      <c r="AO160" s="407">
        <v>0</v>
      </c>
      <c r="AP160" s="407">
        <v>0</v>
      </c>
      <c r="AQ160" s="407">
        <v>0</v>
      </c>
      <c r="AR160" s="407">
        <v>0</v>
      </c>
      <c r="AS160" s="407">
        <v>0</v>
      </c>
      <c r="AT160" s="407">
        <v>0</v>
      </c>
      <c r="AU160" s="407">
        <v>0</v>
      </c>
      <c r="AV160" s="407">
        <v>0</v>
      </c>
      <c r="AW160" s="407">
        <v>0</v>
      </c>
      <c r="AX160" s="407">
        <v>0</v>
      </c>
      <c r="AY160" s="407">
        <v>0</v>
      </c>
      <c r="AZ160" s="407">
        <v>0</v>
      </c>
      <c r="BA160" s="407"/>
      <c r="BB160" s="407">
        <v>0</v>
      </c>
      <c r="BC160" s="407">
        <v>0</v>
      </c>
      <c r="BD160" s="407">
        <v>0</v>
      </c>
      <c r="BE160" s="407">
        <v>0</v>
      </c>
      <c r="BF160" s="407">
        <v>0</v>
      </c>
      <c r="BG160" s="407">
        <v>2790.9239444834802</v>
      </c>
      <c r="BH160" s="407">
        <v>0</v>
      </c>
      <c r="BI160" s="407">
        <v>872.23</v>
      </c>
      <c r="BJ160" s="407">
        <v>4216.28</v>
      </c>
      <c r="BK160" s="407">
        <v>73363.039999999994</v>
      </c>
      <c r="BL160" s="407">
        <v>357</v>
      </c>
      <c r="BM160" s="407"/>
      <c r="BN160" s="407"/>
      <c r="BO160" s="407"/>
      <c r="BP160" s="407"/>
      <c r="BQ160" s="407"/>
      <c r="BR160" s="407"/>
      <c r="BS160" s="407"/>
      <c r="BT160" s="407"/>
      <c r="BU160" s="407"/>
      <c r="BV160" s="407">
        <v>40972.125943264029</v>
      </c>
      <c r="BW160" s="407"/>
      <c r="BX160" s="407"/>
      <c r="BY160" s="407"/>
      <c r="BZ160" s="407"/>
      <c r="CA160" s="407"/>
      <c r="CB160" s="407"/>
      <c r="CC160" s="407"/>
      <c r="CD160" s="407"/>
      <c r="CE160" s="407"/>
      <c r="CF160" s="407"/>
      <c r="CG160" s="407"/>
      <c r="CH160" s="407"/>
      <c r="CI160" s="407">
        <v>151462.15919999999</v>
      </c>
      <c r="CJ160" s="407">
        <v>-48528.408950000041</v>
      </c>
      <c r="CK160" s="407"/>
      <c r="CL160" s="407"/>
      <c r="CM160" s="407"/>
      <c r="CN160" s="407"/>
      <c r="CO160" s="407">
        <v>-55329.436500000011</v>
      </c>
      <c r="CP160" s="407">
        <v>6800.4457299999995</v>
      </c>
      <c r="CQ160" s="407">
        <v>30</v>
      </c>
      <c r="CR160" s="407">
        <v>4271.3874459383806</v>
      </c>
      <c r="CS160" s="407">
        <v>0</v>
      </c>
      <c r="CT160" s="407">
        <v>0</v>
      </c>
      <c r="CU160" s="407">
        <v>0</v>
      </c>
      <c r="CV160" s="407">
        <v>0</v>
      </c>
      <c r="CW160" s="407">
        <v>0</v>
      </c>
      <c r="CX160" s="407">
        <v>0</v>
      </c>
      <c r="CY160" s="407">
        <v>0</v>
      </c>
      <c r="CZ160" s="407">
        <v>1304.4032284343484</v>
      </c>
      <c r="DA160" s="407">
        <v>0</v>
      </c>
      <c r="DB160" s="407">
        <v>0</v>
      </c>
      <c r="DC160" s="407">
        <v>7570.3012789471322</v>
      </c>
      <c r="DD160" s="407">
        <v>0</v>
      </c>
      <c r="DE160" s="407">
        <v>0</v>
      </c>
      <c r="DF160" s="407">
        <v>0</v>
      </c>
      <c r="DG160" s="407">
        <v>553.36484972480321</v>
      </c>
      <c r="DH160" s="407">
        <v>0</v>
      </c>
      <c r="DI160" s="407">
        <v>-1074.5344455153936</v>
      </c>
      <c r="DJ160" s="407"/>
      <c r="DK160" s="407">
        <v>0</v>
      </c>
      <c r="DL160" s="407">
        <v>0</v>
      </c>
      <c r="DM160" s="407">
        <v>0</v>
      </c>
      <c r="DN160" s="407">
        <v>0</v>
      </c>
      <c r="DO160" s="407">
        <v>-144.6359304364064</v>
      </c>
      <c r="DP160" s="407">
        <v>-32.732271901022841</v>
      </c>
      <c r="DQ160" s="407">
        <v>0</v>
      </c>
      <c r="DR160" s="407">
        <v>-3904.7792633150875</v>
      </c>
      <c r="DS160" s="407"/>
      <c r="DT160" s="407"/>
      <c r="DU160" s="407"/>
      <c r="DV160" s="407">
        <v>103367.267933258</v>
      </c>
      <c r="DW160" s="407">
        <v>0</v>
      </c>
      <c r="DX160" s="407">
        <v>0</v>
      </c>
      <c r="DY160" s="407">
        <v>-55329.436500000011</v>
      </c>
      <c r="DZ160" s="407">
        <v>6800.4457299999995</v>
      </c>
      <c r="EA160" s="407">
        <v>0</v>
      </c>
      <c r="EB160" s="407">
        <v>0</v>
      </c>
      <c r="EC160" s="407">
        <v>-52800.24054353885</v>
      </c>
      <c r="ED160" s="407">
        <v>0</v>
      </c>
      <c r="EE160" s="407">
        <v>0</v>
      </c>
      <c r="EF160" s="407">
        <v>0</v>
      </c>
      <c r="EG160" s="407">
        <v>0</v>
      </c>
      <c r="EH160" s="407">
        <v>0</v>
      </c>
      <c r="EI160" s="407">
        <v>0</v>
      </c>
      <c r="EJ160" s="407">
        <v>0</v>
      </c>
      <c r="EK160" s="407">
        <v>0</v>
      </c>
      <c r="EL160" s="407">
        <v>0</v>
      </c>
      <c r="EM160" s="407">
        <v>0</v>
      </c>
      <c r="EN160" s="407">
        <v>0</v>
      </c>
      <c r="EO160" s="407">
        <v>0</v>
      </c>
      <c r="EP160" s="407">
        <v>7266.8963286401849</v>
      </c>
      <c r="EQ160" s="407">
        <v>0</v>
      </c>
      <c r="ER160" s="407">
        <v>0</v>
      </c>
      <c r="ES160" s="407">
        <v>0</v>
      </c>
      <c r="ET160" s="407">
        <v>0</v>
      </c>
      <c r="EU160" s="407">
        <v>0</v>
      </c>
      <c r="EV160" s="407">
        <v>246</v>
      </c>
      <c r="EW160" s="407">
        <v>0</v>
      </c>
      <c r="EX160" s="407">
        <v>0</v>
      </c>
      <c r="EY160" s="407">
        <v>0</v>
      </c>
      <c r="EZ160" s="407"/>
      <c r="FA160" s="407">
        <v>0</v>
      </c>
      <c r="FB160" s="407"/>
      <c r="FC160" s="407"/>
      <c r="FD160" s="407"/>
      <c r="FE160" s="407"/>
      <c r="FF160" s="407">
        <v>0</v>
      </c>
      <c r="FG160" s="407">
        <v>0</v>
      </c>
      <c r="FH160" s="407">
        <v>0</v>
      </c>
      <c r="FI160" s="407">
        <v>0</v>
      </c>
    </row>
    <row r="161" spans="1:165">
      <c r="A161" s="407">
        <v>168</v>
      </c>
      <c r="B161" s="407" t="s">
        <v>1090</v>
      </c>
      <c r="C161" s="407" t="s">
        <v>2317</v>
      </c>
      <c r="D161" s="407" t="s">
        <v>650</v>
      </c>
      <c r="E161" s="407" t="s">
        <v>2316</v>
      </c>
      <c r="F161" s="407" t="s">
        <v>97</v>
      </c>
      <c r="G161" s="407" t="s">
        <v>97</v>
      </c>
      <c r="H161" s="407" t="s">
        <v>97</v>
      </c>
      <c r="I161" s="407" t="s">
        <v>1025</v>
      </c>
      <c r="J161" s="407" t="s">
        <v>2307</v>
      </c>
      <c r="K161" s="818">
        <v>44440</v>
      </c>
      <c r="L161" s="407">
        <v>200</v>
      </c>
      <c r="M161" s="407">
        <v>200</v>
      </c>
      <c r="N161" s="407">
        <v>2.66</v>
      </c>
      <c r="O161" s="407">
        <v>2.66</v>
      </c>
      <c r="P161" s="407">
        <v>2.66</v>
      </c>
      <c r="Q161" s="407">
        <v>2.66</v>
      </c>
      <c r="R161" s="407">
        <v>112.91</v>
      </c>
      <c r="S161" s="407">
        <v>95.29</v>
      </c>
      <c r="T161" s="407">
        <v>159.41</v>
      </c>
      <c r="U161" s="407">
        <v>22582</v>
      </c>
      <c r="V161" s="407">
        <v>677.50199999999995</v>
      </c>
      <c r="W161" s="407">
        <v>23259.501999999997</v>
      </c>
      <c r="X161" s="407">
        <v>14164.580599999999</v>
      </c>
      <c r="Y161" s="407">
        <v>0</v>
      </c>
      <c r="Z161" s="407">
        <v>143.41155400796143</v>
      </c>
      <c r="AA161" s="407">
        <v>0</v>
      </c>
      <c r="AB161" s="407">
        <v>0</v>
      </c>
      <c r="AC161" s="407">
        <v>0</v>
      </c>
      <c r="AD161" s="407">
        <v>5077.0827132346003</v>
      </c>
      <c r="AE161" s="407">
        <v>17504.269107723037</v>
      </c>
      <c r="AF161" s="407">
        <v>410.25370645686991</v>
      </c>
      <c r="AG161" s="407">
        <v>13.783447653374491</v>
      </c>
      <c r="AH161" s="407">
        <v>0</v>
      </c>
      <c r="AI161" s="407">
        <v>0</v>
      </c>
      <c r="AJ161" s="407">
        <v>0</v>
      </c>
      <c r="AK161" s="407">
        <v>0</v>
      </c>
      <c r="AL161" s="407">
        <v>25.472307232974067</v>
      </c>
      <c r="AM161" s="407"/>
      <c r="AN161" s="407">
        <v>2.8561308009369677</v>
      </c>
      <c r="AO161" s="407">
        <v>0</v>
      </c>
      <c r="AP161" s="407">
        <v>0</v>
      </c>
      <c r="AQ161" s="407">
        <v>0</v>
      </c>
      <c r="AR161" s="407">
        <v>0</v>
      </c>
      <c r="AS161" s="407">
        <v>0</v>
      </c>
      <c r="AT161" s="407">
        <v>0</v>
      </c>
      <c r="AU161" s="407">
        <v>0</v>
      </c>
      <c r="AV161" s="407">
        <v>0</v>
      </c>
      <c r="AW161" s="407">
        <v>0</v>
      </c>
      <c r="AX161" s="407">
        <v>0</v>
      </c>
      <c r="AY161" s="407">
        <v>0</v>
      </c>
      <c r="AZ161" s="407">
        <v>0</v>
      </c>
      <c r="BA161" s="407"/>
      <c r="BB161" s="407">
        <v>0</v>
      </c>
      <c r="BC161" s="407">
        <v>0</v>
      </c>
      <c r="BD161" s="407">
        <v>0</v>
      </c>
      <c r="BE161" s="407">
        <v>0</v>
      </c>
      <c r="BF161" s="407">
        <v>0</v>
      </c>
      <c r="BG161" s="407">
        <v>13.805065794779949</v>
      </c>
      <c r="BH161" s="407">
        <v>0</v>
      </c>
      <c r="BI161" s="407">
        <v>0</v>
      </c>
      <c r="BJ161" s="407">
        <v>0</v>
      </c>
      <c r="BK161" s="407">
        <v>0</v>
      </c>
      <c r="BL161" s="407">
        <v>0</v>
      </c>
      <c r="BM161" s="407"/>
      <c r="BN161" s="407"/>
      <c r="BO161" s="407"/>
      <c r="BP161" s="407"/>
      <c r="BQ161" s="407"/>
      <c r="BR161" s="407"/>
      <c r="BS161" s="407"/>
      <c r="BT161" s="407"/>
      <c r="BU161" s="407"/>
      <c r="BV161" s="407">
        <v>424.05877225164988</v>
      </c>
      <c r="BW161" s="407"/>
      <c r="BX161" s="407"/>
      <c r="BY161" s="407"/>
      <c r="BZ161" s="407"/>
      <c r="CA161" s="407"/>
      <c r="CB161" s="407"/>
      <c r="CC161" s="407"/>
      <c r="CD161" s="407"/>
      <c r="CE161" s="407"/>
      <c r="CF161" s="407"/>
      <c r="CG161" s="407"/>
      <c r="CH161" s="407"/>
      <c r="CI161" s="407">
        <v>14164.580599999999</v>
      </c>
      <c r="CJ161" s="407">
        <v>-9094.9513999999926</v>
      </c>
      <c r="CK161" s="407"/>
      <c r="CL161" s="407"/>
      <c r="CM161" s="407"/>
      <c r="CN161" s="407"/>
      <c r="CO161" s="407">
        <v>-9167.9915999999994</v>
      </c>
      <c r="CP161" s="407">
        <v>73.0702</v>
      </c>
      <c r="CQ161" s="407">
        <v>30</v>
      </c>
      <c r="CR161" s="407">
        <v>-152.48351399284002</v>
      </c>
      <c r="CS161" s="407">
        <v>0</v>
      </c>
      <c r="CT161" s="407">
        <v>0</v>
      </c>
      <c r="CU161" s="407">
        <v>0</v>
      </c>
      <c r="CV161" s="407">
        <v>0</v>
      </c>
      <c r="CW161" s="407">
        <v>0</v>
      </c>
      <c r="CX161" s="407">
        <v>0</v>
      </c>
      <c r="CY161" s="407">
        <v>0</v>
      </c>
      <c r="CZ161" s="407">
        <v>229.34189304735992</v>
      </c>
      <c r="DA161" s="407">
        <v>0</v>
      </c>
      <c r="DB161" s="407">
        <v>0</v>
      </c>
      <c r="DC161" s="407">
        <v>81.34223115297516</v>
      </c>
      <c r="DD161" s="407">
        <v>0</v>
      </c>
      <c r="DE161" s="407">
        <v>0</v>
      </c>
      <c r="DF161" s="407">
        <v>0</v>
      </c>
      <c r="DG161" s="407">
        <v>2.7371717434540166</v>
      </c>
      <c r="DH161" s="407">
        <v>0</v>
      </c>
      <c r="DI161" s="407">
        <v>-10.044828157375576</v>
      </c>
      <c r="DJ161" s="407"/>
      <c r="DK161" s="407">
        <v>0</v>
      </c>
      <c r="DL161" s="407">
        <v>0</v>
      </c>
      <c r="DM161" s="407">
        <v>0</v>
      </c>
      <c r="DN161" s="407">
        <v>0</v>
      </c>
      <c r="DO161" s="407">
        <v>-1.5541005374914292</v>
      </c>
      <c r="DP161" s="407">
        <v>-0.18198575935625261</v>
      </c>
      <c r="DQ161" s="407">
        <v>0</v>
      </c>
      <c r="DR161" s="407">
        <v>-454.12389548240623</v>
      </c>
      <c r="DS161" s="407"/>
      <c r="DT161" s="407"/>
      <c r="DU161" s="407">
        <v>17504.269107723037</v>
      </c>
      <c r="DV161" s="407">
        <v>0</v>
      </c>
      <c r="DW161" s="407">
        <v>0</v>
      </c>
      <c r="DX161" s="407">
        <v>0</v>
      </c>
      <c r="DY161" s="407">
        <v>-9167.9915999999994</v>
      </c>
      <c r="DZ161" s="407">
        <v>73.0702</v>
      </c>
      <c r="EA161" s="407">
        <v>0</v>
      </c>
      <c r="EB161" s="407">
        <v>0</v>
      </c>
      <c r="EC161" s="407">
        <v>-8941.2213160491574</v>
      </c>
      <c r="ED161" s="407">
        <v>0</v>
      </c>
      <c r="EE161" s="407">
        <v>0</v>
      </c>
      <c r="EF161" s="407">
        <v>0</v>
      </c>
      <c r="EG161" s="407">
        <v>0</v>
      </c>
      <c r="EH161" s="407">
        <v>0</v>
      </c>
      <c r="EI161" s="407">
        <v>0</v>
      </c>
      <c r="EJ161" s="407">
        <v>0</v>
      </c>
      <c r="EK161" s="407">
        <v>0</v>
      </c>
      <c r="EL161" s="407">
        <v>0</v>
      </c>
      <c r="EM161" s="407">
        <v>0</v>
      </c>
      <c r="EN161" s="407">
        <v>0</v>
      </c>
      <c r="EO161" s="407">
        <v>0</v>
      </c>
      <c r="EP161" s="407">
        <v>67.93148899348887</v>
      </c>
      <c r="EQ161" s="407">
        <v>0</v>
      </c>
      <c r="ER161" s="407">
        <v>0</v>
      </c>
      <c r="ES161" s="407">
        <v>0</v>
      </c>
      <c r="ET161" s="407">
        <v>0</v>
      </c>
      <c r="EU161" s="407">
        <v>0</v>
      </c>
      <c r="EV161" s="407">
        <v>246</v>
      </c>
      <c r="EW161" s="407">
        <v>0</v>
      </c>
      <c r="EX161" s="407">
        <v>0</v>
      </c>
      <c r="EY161" s="407">
        <v>0</v>
      </c>
      <c r="EZ161" s="407"/>
      <c r="FA161" s="407">
        <v>0</v>
      </c>
      <c r="FB161" s="407"/>
      <c r="FC161" s="407"/>
      <c r="FD161" s="407"/>
      <c r="FE161" s="407"/>
      <c r="FF161" s="407">
        <v>0</v>
      </c>
      <c r="FG161" s="407">
        <v>0</v>
      </c>
      <c r="FH161" s="407">
        <v>0</v>
      </c>
      <c r="FI161" s="407">
        <v>0</v>
      </c>
    </row>
    <row r="162" spans="1:165">
      <c r="A162" s="407">
        <v>169</v>
      </c>
      <c r="B162" s="407" t="s">
        <v>1090</v>
      </c>
      <c r="C162" s="407" t="s">
        <v>2317</v>
      </c>
      <c r="D162" s="407" t="s">
        <v>650</v>
      </c>
      <c r="E162" s="407" t="s">
        <v>2316</v>
      </c>
      <c r="F162" s="407" t="s">
        <v>97</v>
      </c>
      <c r="G162" s="407" t="s">
        <v>97</v>
      </c>
      <c r="H162" s="407" t="s">
        <v>97</v>
      </c>
      <c r="I162" s="407" t="s">
        <v>2290</v>
      </c>
      <c r="J162" s="407" t="s">
        <v>2307</v>
      </c>
      <c r="K162" s="818">
        <v>44440</v>
      </c>
      <c r="L162" s="407">
        <v>230</v>
      </c>
      <c r="M162" s="407">
        <v>230</v>
      </c>
      <c r="N162" s="407">
        <v>21.893999999999998</v>
      </c>
      <c r="O162" s="407">
        <v>21.893999999999998</v>
      </c>
      <c r="P162" s="407">
        <v>21.893999999999998</v>
      </c>
      <c r="Q162" s="407">
        <v>21.893999999999998</v>
      </c>
      <c r="R162" s="407">
        <v>43.29</v>
      </c>
      <c r="S162" s="407">
        <v>95.29</v>
      </c>
      <c r="T162" s="407">
        <v>159.41</v>
      </c>
      <c r="U162" s="407">
        <v>9956.6999999999989</v>
      </c>
      <c r="V162" s="407">
        <v>5576.4017999999996</v>
      </c>
      <c r="W162" s="407">
        <v>15533.101799999999</v>
      </c>
      <c r="X162" s="407">
        <v>13765.367539999999</v>
      </c>
      <c r="Y162" s="407">
        <v>0</v>
      </c>
      <c r="Z162" s="407">
        <v>1180.3957005452282</v>
      </c>
      <c r="AA162" s="407">
        <v>0</v>
      </c>
      <c r="AB162" s="407">
        <v>0</v>
      </c>
      <c r="AC162" s="407">
        <v>0</v>
      </c>
      <c r="AD162" s="407">
        <v>5442.71704644074</v>
      </c>
      <c r="AE162" s="407">
        <v>4514.7130340054682</v>
      </c>
      <c r="AF162" s="407">
        <v>3376.7273117168079</v>
      </c>
      <c r="AG162" s="407">
        <v>113.44917403119588</v>
      </c>
      <c r="AH162" s="407">
        <v>0</v>
      </c>
      <c r="AI162" s="407">
        <v>0</v>
      </c>
      <c r="AJ162" s="407">
        <v>0</v>
      </c>
      <c r="AK162" s="407">
        <v>0</v>
      </c>
      <c r="AL162" s="407">
        <v>209.65815584914819</v>
      </c>
      <c r="AM162" s="407"/>
      <c r="AN162" s="407">
        <v>23.508318705155624</v>
      </c>
      <c r="AO162" s="407">
        <v>0</v>
      </c>
      <c r="AP162" s="407">
        <v>0</v>
      </c>
      <c r="AQ162" s="407">
        <v>0</v>
      </c>
      <c r="AR162" s="407">
        <v>0</v>
      </c>
      <c r="AS162" s="407">
        <v>0</v>
      </c>
      <c r="AT162" s="407">
        <v>0</v>
      </c>
      <c r="AU162" s="407">
        <v>0</v>
      </c>
      <c r="AV162" s="407">
        <v>0</v>
      </c>
      <c r="AW162" s="407">
        <v>0</v>
      </c>
      <c r="AX162" s="407">
        <v>0</v>
      </c>
      <c r="AY162" s="407">
        <v>0</v>
      </c>
      <c r="AZ162" s="407">
        <v>0</v>
      </c>
      <c r="BA162" s="407"/>
      <c r="BB162" s="407">
        <v>0</v>
      </c>
      <c r="BC162" s="407">
        <v>0</v>
      </c>
      <c r="BD162" s="407">
        <v>0</v>
      </c>
      <c r="BE162" s="407">
        <v>0</v>
      </c>
      <c r="BF162" s="407">
        <v>0</v>
      </c>
      <c r="BG162" s="407">
        <v>113.62710921462863</v>
      </c>
      <c r="BH162" s="407">
        <v>0</v>
      </c>
      <c r="BI162" s="407">
        <v>0</v>
      </c>
      <c r="BJ162" s="407">
        <v>0</v>
      </c>
      <c r="BK162" s="407">
        <v>0</v>
      </c>
      <c r="BL162" s="407">
        <v>0</v>
      </c>
      <c r="BM162" s="407"/>
      <c r="BN162" s="407"/>
      <c r="BO162" s="407"/>
      <c r="BP162" s="407"/>
      <c r="BQ162" s="407"/>
      <c r="BR162" s="407"/>
      <c r="BS162" s="407"/>
      <c r="BT162" s="407"/>
      <c r="BU162" s="407"/>
      <c r="BV162" s="407">
        <v>3490.3544209314364</v>
      </c>
      <c r="BW162" s="407"/>
      <c r="BX162" s="407"/>
      <c r="BY162" s="407"/>
      <c r="BZ162" s="407"/>
      <c r="CA162" s="407"/>
      <c r="CB162" s="407"/>
      <c r="CC162" s="407"/>
      <c r="CD162" s="407"/>
      <c r="CE162" s="407"/>
      <c r="CF162" s="407"/>
      <c r="CG162" s="407"/>
      <c r="CH162" s="407"/>
      <c r="CI162" s="407">
        <v>13764.259900000001</v>
      </c>
      <c r="CJ162" s="407">
        <v>-1768.8718999999983</v>
      </c>
      <c r="CK162" s="407"/>
      <c r="CL162" s="407"/>
      <c r="CM162" s="407"/>
      <c r="CN162" s="407"/>
      <c r="CO162" s="407">
        <v>-2369.1624399999996</v>
      </c>
      <c r="CP162" s="407">
        <v>601.42817999999988</v>
      </c>
      <c r="CQ162" s="407">
        <v>30</v>
      </c>
      <c r="CR162" s="407">
        <v>537.6383710539867</v>
      </c>
      <c r="CS162" s="407">
        <v>0</v>
      </c>
      <c r="CT162" s="407">
        <v>0</v>
      </c>
      <c r="CU162" s="407">
        <v>0</v>
      </c>
      <c r="CV162" s="407">
        <v>0</v>
      </c>
      <c r="CW162" s="407">
        <v>0</v>
      </c>
      <c r="CX162" s="407">
        <v>0</v>
      </c>
      <c r="CY162" s="407">
        <v>0</v>
      </c>
      <c r="CZ162" s="407">
        <v>245.85832086169376</v>
      </c>
      <c r="DA162" s="407">
        <v>0</v>
      </c>
      <c r="DB162" s="407">
        <v>0</v>
      </c>
      <c r="DC162" s="407">
        <v>669.51383791851049</v>
      </c>
      <c r="DD162" s="407">
        <v>0</v>
      </c>
      <c r="DE162" s="407">
        <v>0</v>
      </c>
      <c r="DF162" s="407">
        <v>0</v>
      </c>
      <c r="DG162" s="407">
        <v>22.529187274880542</v>
      </c>
      <c r="DH162" s="407">
        <v>0</v>
      </c>
      <c r="DI162" s="407">
        <v>-82.677243487812348</v>
      </c>
      <c r="DJ162" s="407"/>
      <c r="DK162" s="407">
        <v>0</v>
      </c>
      <c r="DL162" s="407">
        <v>0</v>
      </c>
      <c r="DM162" s="407">
        <v>0</v>
      </c>
      <c r="DN162" s="407">
        <v>0</v>
      </c>
      <c r="DO162" s="407">
        <v>-12.791532769863693</v>
      </c>
      <c r="DP162" s="407">
        <v>-1.4978933140397714</v>
      </c>
      <c r="DQ162" s="407">
        <v>0</v>
      </c>
      <c r="DR162" s="407">
        <v>-303.29630542937934</v>
      </c>
      <c r="DS162" s="407"/>
      <c r="DT162" s="407"/>
      <c r="DU162" s="407">
        <v>4514.7130340054682</v>
      </c>
      <c r="DV162" s="407">
        <v>0</v>
      </c>
      <c r="DW162" s="407">
        <v>0</v>
      </c>
      <c r="DX162" s="407">
        <v>0</v>
      </c>
      <c r="DY162" s="407">
        <v>-2369.1624399999982</v>
      </c>
      <c r="DZ162" s="407">
        <v>601.42817999999988</v>
      </c>
      <c r="EA162" s="407">
        <v>0</v>
      </c>
      <c r="EB162" s="407">
        <v>0</v>
      </c>
      <c r="EC162" s="407">
        <v>-2306.1259037479317</v>
      </c>
      <c r="ED162" s="407">
        <v>0</v>
      </c>
      <c r="EE162" s="407">
        <v>0</v>
      </c>
      <c r="EF162" s="407">
        <v>0</v>
      </c>
      <c r="EG162" s="407">
        <v>0</v>
      </c>
      <c r="EH162" s="407">
        <v>0</v>
      </c>
      <c r="EI162" s="407">
        <v>0</v>
      </c>
      <c r="EJ162" s="407">
        <v>0</v>
      </c>
      <c r="EK162" s="407">
        <v>0</v>
      </c>
      <c r="EL162" s="407">
        <v>0</v>
      </c>
      <c r="EM162" s="407">
        <v>0</v>
      </c>
      <c r="EN162" s="407">
        <v>0</v>
      </c>
      <c r="EO162" s="407">
        <v>0</v>
      </c>
      <c r="EP162" s="407">
        <v>559.13233835467861</v>
      </c>
      <c r="EQ162" s="407">
        <v>0</v>
      </c>
      <c r="ER162" s="407">
        <v>0</v>
      </c>
      <c r="ES162" s="407">
        <v>0</v>
      </c>
      <c r="ET162" s="407">
        <v>0</v>
      </c>
      <c r="EU162" s="407">
        <v>0</v>
      </c>
      <c r="EV162" s="407">
        <v>246</v>
      </c>
      <c r="EW162" s="407">
        <v>0</v>
      </c>
      <c r="EX162" s="407">
        <v>0</v>
      </c>
      <c r="EY162" s="407">
        <v>0</v>
      </c>
      <c r="EZ162" s="407"/>
      <c r="FA162" s="407">
        <v>0</v>
      </c>
      <c r="FB162" s="407"/>
      <c r="FC162" s="407"/>
      <c r="FD162" s="407"/>
      <c r="FE162" s="407"/>
      <c r="FF162" s="407">
        <v>0</v>
      </c>
      <c r="FG162" s="407">
        <v>0</v>
      </c>
      <c r="FH162" s="407">
        <v>0</v>
      </c>
      <c r="FI162" s="407">
        <v>0</v>
      </c>
    </row>
    <row r="163" spans="1:165">
      <c r="A163" s="407">
        <v>170</v>
      </c>
      <c r="B163" s="407" t="s">
        <v>1090</v>
      </c>
      <c r="C163" s="407" t="s">
        <v>2317</v>
      </c>
      <c r="D163" s="407" t="s">
        <v>650</v>
      </c>
      <c r="E163" s="407" t="s">
        <v>2316</v>
      </c>
      <c r="F163" s="407" t="s">
        <v>97</v>
      </c>
      <c r="G163" s="407" t="s">
        <v>97</v>
      </c>
      <c r="H163" s="407" t="s">
        <v>97</v>
      </c>
      <c r="I163" s="407" t="s">
        <v>97</v>
      </c>
      <c r="J163" s="407" t="s">
        <v>2307</v>
      </c>
      <c r="K163" s="818">
        <v>44440</v>
      </c>
      <c r="L163" s="407">
        <v>0</v>
      </c>
      <c r="M163" s="407">
        <v>0</v>
      </c>
      <c r="N163" s="407">
        <v>0</v>
      </c>
      <c r="O163" s="407">
        <v>0</v>
      </c>
      <c r="P163" s="407">
        <v>0</v>
      </c>
      <c r="Q163" s="407">
        <v>0</v>
      </c>
      <c r="R163" s="407"/>
      <c r="S163" s="407"/>
      <c r="T163" s="407"/>
      <c r="U163" s="407"/>
      <c r="V163" s="407"/>
      <c r="W163" s="407"/>
      <c r="X163" s="407"/>
      <c r="Y163" s="407"/>
      <c r="Z163" s="407"/>
      <c r="AA163" s="407">
        <v>0</v>
      </c>
      <c r="AB163" s="407"/>
      <c r="AC163" s="407"/>
      <c r="AD163" s="407"/>
      <c r="AE163" s="407"/>
      <c r="AF163" s="407"/>
      <c r="AG163" s="407"/>
      <c r="AH163" s="407"/>
      <c r="AI163" s="407"/>
      <c r="AJ163" s="407"/>
      <c r="AK163" s="407"/>
      <c r="AL163" s="407"/>
      <c r="AM163" s="407"/>
      <c r="AN163" s="407"/>
      <c r="AO163" s="407"/>
      <c r="AP163" s="407"/>
      <c r="AQ163" s="407"/>
      <c r="AR163" s="407"/>
      <c r="AS163" s="407"/>
      <c r="AT163" s="407"/>
      <c r="AU163" s="407"/>
      <c r="AV163" s="407"/>
      <c r="AW163" s="407"/>
      <c r="AX163" s="407"/>
      <c r="AY163" s="407"/>
      <c r="AZ163" s="407">
        <v>0</v>
      </c>
      <c r="BA163" s="407"/>
      <c r="BB163" s="407"/>
      <c r="BC163" s="407"/>
      <c r="BD163" s="407"/>
      <c r="BE163" s="407"/>
      <c r="BF163" s="407"/>
      <c r="BG163" s="407"/>
      <c r="BH163" s="407"/>
      <c r="BI163" s="407">
        <v>133.68</v>
      </c>
      <c r="BJ163" s="407">
        <v>644.86</v>
      </c>
      <c r="BK163" s="407">
        <v>7125.44</v>
      </c>
      <c r="BL163" s="407">
        <v>1</v>
      </c>
      <c r="BM163" s="407"/>
      <c r="BN163" s="407"/>
      <c r="BO163" s="407"/>
      <c r="BP163" s="407"/>
      <c r="BQ163" s="407"/>
      <c r="BR163" s="407"/>
      <c r="BS163" s="407"/>
      <c r="BT163" s="407"/>
      <c r="BU163" s="407"/>
      <c r="BV163" s="407"/>
      <c r="BW163" s="407"/>
      <c r="BX163" s="407"/>
      <c r="BY163" s="407"/>
      <c r="BZ163" s="407"/>
      <c r="CA163" s="407"/>
      <c r="CB163" s="407"/>
      <c r="CC163" s="407"/>
      <c r="CD163" s="407"/>
      <c r="CE163" s="407"/>
      <c r="CF163" s="407"/>
      <c r="CG163" s="407"/>
      <c r="CH163" s="407"/>
      <c r="CI163" s="407"/>
      <c r="CJ163" s="407">
        <v>-0.03</v>
      </c>
      <c r="CK163" s="407"/>
      <c r="CL163" s="407"/>
      <c r="CM163" s="407"/>
      <c r="CN163" s="407"/>
      <c r="CO163" s="407">
        <v>0</v>
      </c>
      <c r="CP163" s="407">
        <v>0</v>
      </c>
      <c r="CQ163" s="407">
        <v>30</v>
      </c>
      <c r="CR163" s="407"/>
      <c r="CS163" s="407"/>
      <c r="CT163" s="407"/>
      <c r="CU163" s="407"/>
      <c r="CV163" s="407"/>
      <c r="CW163" s="407"/>
      <c r="CX163" s="407"/>
      <c r="CY163" s="407"/>
      <c r="CZ163" s="407"/>
      <c r="DA163" s="407"/>
      <c r="DB163" s="407"/>
      <c r="DC163" s="407"/>
      <c r="DD163" s="407"/>
      <c r="DE163" s="407"/>
      <c r="DF163" s="407"/>
      <c r="DG163" s="407"/>
      <c r="DH163" s="407"/>
      <c r="DI163" s="407"/>
      <c r="DJ163" s="407"/>
      <c r="DK163" s="407">
        <v>0</v>
      </c>
      <c r="DL163" s="407"/>
      <c r="DM163" s="407"/>
      <c r="DN163" s="407"/>
      <c r="DO163" s="407"/>
      <c r="DP163" s="407"/>
      <c r="DQ163" s="407"/>
      <c r="DR163" s="407"/>
      <c r="DS163" s="407"/>
      <c r="DT163" s="407"/>
      <c r="DU163" s="407"/>
      <c r="DV163" s="407"/>
      <c r="DW163" s="407"/>
      <c r="DX163" s="407"/>
      <c r="DY163" s="407"/>
      <c r="DZ163" s="407"/>
      <c r="EA163" s="407"/>
      <c r="EB163" s="407"/>
      <c r="EC163" s="407"/>
      <c r="ED163" s="407"/>
      <c r="EE163" s="407"/>
      <c r="EF163" s="407"/>
      <c r="EG163" s="407"/>
      <c r="EH163" s="407"/>
      <c r="EI163" s="407"/>
      <c r="EJ163" s="407"/>
      <c r="EK163" s="407"/>
      <c r="EL163" s="407"/>
      <c r="EM163" s="407"/>
      <c r="EN163" s="407"/>
      <c r="EO163" s="407"/>
      <c r="EP163" s="407"/>
      <c r="EQ163" s="407"/>
      <c r="ER163" s="407"/>
      <c r="ES163" s="407"/>
      <c r="ET163" s="407"/>
      <c r="EU163" s="407"/>
      <c r="EV163" s="407">
        <v>246</v>
      </c>
      <c r="EW163" s="407"/>
      <c r="EX163" s="407"/>
      <c r="EY163" s="407"/>
      <c r="EZ163" s="407"/>
      <c r="FA163" s="407">
        <v>0</v>
      </c>
      <c r="FB163" s="407"/>
      <c r="FC163" s="407"/>
      <c r="FD163" s="407"/>
      <c r="FE163" s="407"/>
      <c r="FF163" s="407">
        <v>0</v>
      </c>
      <c r="FG163" s="407">
        <v>0</v>
      </c>
      <c r="FH163" s="407">
        <v>0</v>
      </c>
      <c r="FI163" s="407">
        <v>0</v>
      </c>
    </row>
    <row r="164" spans="1:165">
      <c r="A164" s="407">
        <v>171</v>
      </c>
      <c r="B164" s="407" t="s">
        <v>1090</v>
      </c>
      <c r="C164" s="407" t="s">
        <v>2314</v>
      </c>
      <c r="D164" s="407" t="s">
        <v>650</v>
      </c>
      <c r="E164" s="407" t="s">
        <v>2316</v>
      </c>
      <c r="F164" s="407" t="s">
        <v>97</v>
      </c>
      <c r="G164" s="407" t="s">
        <v>97</v>
      </c>
      <c r="H164" s="407" t="s">
        <v>97</v>
      </c>
      <c r="I164" s="407" t="s">
        <v>1025</v>
      </c>
      <c r="J164" s="407" t="s">
        <v>2307</v>
      </c>
      <c r="K164" s="818">
        <v>44440</v>
      </c>
      <c r="L164" s="407">
        <v>0</v>
      </c>
      <c r="M164" s="407">
        <v>0</v>
      </c>
      <c r="N164" s="407">
        <v>0.46200000000000002</v>
      </c>
      <c r="O164" s="407">
        <v>0.46200000000000002</v>
      </c>
      <c r="P164" s="407">
        <v>0.46200000000000002</v>
      </c>
      <c r="Q164" s="407">
        <v>0.46200000000000002</v>
      </c>
      <c r="R164" s="407"/>
      <c r="S164" s="407">
        <v>2810.7</v>
      </c>
      <c r="T164" s="407">
        <v>159.41</v>
      </c>
      <c r="U164" s="407"/>
      <c r="V164" s="407">
        <v>1372.19082</v>
      </c>
      <c r="W164" s="407">
        <v>1372.19082</v>
      </c>
      <c r="X164" s="407">
        <v>873.96078</v>
      </c>
      <c r="Y164" s="407">
        <v>0</v>
      </c>
      <c r="Z164" s="407">
        <v>24.90832253822488</v>
      </c>
      <c r="AA164" s="407">
        <v>0</v>
      </c>
      <c r="AB164" s="407">
        <v>0</v>
      </c>
      <c r="AC164" s="407">
        <v>0</v>
      </c>
      <c r="AD164" s="407">
        <v>282.05820414464756</v>
      </c>
      <c r="AE164" s="407">
        <v>972.45867369000962</v>
      </c>
      <c r="AF164" s="407">
        <v>71.254591121456357</v>
      </c>
      <c r="AG164" s="407">
        <v>2.3939672240071483</v>
      </c>
      <c r="AH164" s="407">
        <v>0</v>
      </c>
      <c r="AI164" s="407">
        <v>0</v>
      </c>
      <c r="AJ164" s="407">
        <v>0</v>
      </c>
      <c r="AK164" s="407">
        <v>0</v>
      </c>
      <c r="AL164" s="407">
        <v>4.4241375720428646</v>
      </c>
      <c r="AM164" s="407"/>
      <c r="AN164" s="407">
        <v>0.49606482332063123</v>
      </c>
      <c r="AO164" s="407">
        <v>0</v>
      </c>
      <c r="AP164" s="407">
        <v>0</v>
      </c>
      <c r="AQ164" s="407">
        <v>0</v>
      </c>
      <c r="AR164" s="407">
        <v>0</v>
      </c>
      <c r="AS164" s="407">
        <v>0</v>
      </c>
      <c r="AT164" s="407">
        <v>0</v>
      </c>
      <c r="AU164" s="407">
        <v>0</v>
      </c>
      <c r="AV164" s="407">
        <v>0</v>
      </c>
      <c r="AW164" s="407">
        <v>0</v>
      </c>
      <c r="AX164" s="407">
        <v>0</v>
      </c>
      <c r="AY164" s="407">
        <v>0</v>
      </c>
      <c r="AZ164" s="407">
        <v>0</v>
      </c>
      <c r="BA164" s="407"/>
      <c r="BB164" s="407">
        <v>0</v>
      </c>
      <c r="BC164" s="407">
        <v>0</v>
      </c>
      <c r="BD164" s="407">
        <v>0</v>
      </c>
      <c r="BE164" s="407">
        <v>0</v>
      </c>
      <c r="BF164" s="407">
        <v>0</v>
      </c>
      <c r="BG164" s="407">
        <v>2.3977219538302017</v>
      </c>
      <c r="BH164" s="407">
        <v>0</v>
      </c>
      <c r="BI164" s="407">
        <v>0</v>
      </c>
      <c r="BJ164" s="407">
        <v>0</v>
      </c>
      <c r="BK164" s="407">
        <v>0</v>
      </c>
      <c r="BL164" s="407">
        <v>0</v>
      </c>
      <c r="BM164" s="407"/>
      <c r="BN164" s="407"/>
      <c r="BO164" s="407"/>
      <c r="BP164" s="407"/>
      <c r="BQ164" s="407"/>
      <c r="BR164" s="407"/>
      <c r="BS164" s="407"/>
      <c r="BT164" s="407"/>
      <c r="BU164" s="407"/>
      <c r="BV164" s="407">
        <v>73.652313075286557</v>
      </c>
      <c r="BW164" s="407"/>
      <c r="BX164" s="407"/>
      <c r="BY164" s="407"/>
      <c r="BZ164" s="407"/>
      <c r="CA164" s="407"/>
      <c r="CB164" s="407"/>
      <c r="CC164" s="407"/>
      <c r="CD164" s="407"/>
      <c r="CE164" s="407"/>
      <c r="CF164" s="407"/>
      <c r="CG164" s="407"/>
      <c r="CH164" s="407"/>
      <c r="CI164" s="407">
        <v>870.17739999999992</v>
      </c>
      <c r="CJ164" s="407">
        <v>-502.04342000000008</v>
      </c>
      <c r="CK164" s="407"/>
      <c r="CL164" s="407"/>
      <c r="CM164" s="407"/>
      <c r="CN164" s="407"/>
      <c r="CO164" s="407">
        <v>-510.92117999999999</v>
      </c>
      <c r="CP164" s="407">
        <v>12.691140000000001</v>
      </c>
      <c r="CQ164" s="407">
        <v>30</v>
      </c>
      <c r="CR164" s="407">
        <v>-1.4934598116627171</v>
      </c>
      <c r="CS164" s="407">
        <v>0</v>
      </c>
      <c r="CT164" s="407">
        <v>0</v>
      </c>
      <c r="CU164" s="407">
        <v>0</v>
      </c>
      <c r="CV164" s="407">
        <v>0</v>
      </c>
      <c r="CW164" s="407">
        <v>0</v>
      </c>
      <c r="CX164" s="407">
        <v>0</v>
      </c>
      <c r="CY164" s="407">
        <v>0</v>
      </c>
      <c r="CZ164" s="407">
        <v>12.74112834905111</v>
      </c>
      <c r="DA164" s="407">
        <v>0</v>
      </c>
      <c r="DB164" s="407">
        <v>0</v>
      </c>
      <c r="DC164" s="407">
        <v>14.127861200253577</v>
      </c>
      <c r="DD164" s="407">
        <v>0</v>
      </c>
      <c r="DE164" s="407">
        <v>0</v>
      </c>
      <c r="DF164" s="407">
        <v>0</v>
      </c>
      <c r="DG164" s="407">
        <v>0.47540351333675046</v>
      </c>
      <c r="DH164" s="407">
        <v>0</v>
      </c>
      <c r="DI164" s="407">
        <v>-1.7446280483862857</v>
      </c>
      <c r="DJ164" s="407"/>
      <c r="DK164" s="407">
        <v>0</v>
      </c>
      <c r="DL164" s="407">
        <v>0</v>
      </c>
      <c r="DM164" s="407">
        <v>0</v>
      </c>
      <c r="DN164" s="407">
        <v>0</v>
      </c>
      <c r="DO164" s="407">
        <v>-0.26992272493272207</v>
      </c>
      <c r="DP164" s="407">
        <v>-3.1608052940822862E-2</v>
      </c>
      <c r="DQ164" s="407">
        <v>0</v>
      </c>
      <c r="DR164" s="407">
        <v>-26.791694048044363</v>
      </c>
      <c r="DS164" s="407"/>
      <c r="DT164" s="407"/>
      <c r="DU164" s="407"/>
      <c r="DV164" s="407">
        <v>972.45867369000962</v>
      </c>
      <c r="DW164" s="407">
        <v>0</v>
      </c>
      <c r="DX164" s="407">
        <v>0</v>
      </c>
      <c r="DY164" s="407">
        <v>-510.92118000000005</v>
      </c>
      <c r="DZ164" s="407">
        <v>12.691140000000004</v>
      </c>
      <c r="EA164" s="407">
        <v>0</v>
      </c>
      <c r="EB164" s="407">
        <v>0</v>
      </c>
      <c r="EC164" s="407">
        <v>-496.73414917608164</v>
      </c>
      <c r="ED164" s="407">
        <v>0</v>
      </c>
      <c r="EE164" s="407">
        <v>0</v>
      </c>
      <c r="EF164" s="407">
        <v>0</v>
      </c>
      <c r="EG164" s="407">
        <v>0</v>
      </c>
      <c r="EH164" s="407">
        <v>0</v>
      </c>
      <c r="EI164" s="407">
        <v>0</v>
      </c>
      <c r="EJ164" s="407">
        <v>0</v>
      </c>
      <c r="EK164" s="407">
        <v>0</v>
      </c>
      <c r="EL164" s="407">
        <v>0</v>
      </c>
      <c r="EM164" s="407">
        <v>0</v>
      </c>
      <c r="EN164" s="407">
        <v>0</v>
      </c>
      <c r="EO164" s="407">
        <v>0</v>
      </c>
      <c r="EP164" s="407">
        <v>11.798627035711224</v>
      </c>
      <c r="EQ164" s="407">
        <v>0</v>
      </c>
      <c r="ER164" s="407">
        <v>0</v>
      </c>
      <c r="ES164" s="407">
        <v>0</v>
      </c>
      <c r="ET164" s="407">
        <v>0</v>
      </c>
      <c r="EU164" s="407">
        <v>0</v>
      </c>
      <c r="EV164" s="407">
        <v>246</v>
      </c>
      <c r="EW164" s="407">
        <v>0</v>
      </c>
      <c r="EX164" s="407">
        <v>0</v>
      </c>
      <c r="EY164" s="407">
        <v>0</v>
      </c>
      <c r="EZ164" s="407"/>
      <c r="FA164" s="407">
        <v>0</v>
      </c>
      <c r="FB164" s="407"/>
      <c r="FC164" s="407"/>
      <c r="FD164" s="407"/>
      <c r="FE164" s="407"/>
      <c r="FF164" s="407">
        <v>0</v>
      </c>
      <c r="FG164" s="407">
        <v>0</v>
      </c>
      <c r="FH164" s="407">
        <v>0</v>
      </c>
      <c r="FI164" s="407">
        <v>0</v>
      </c>
    </row>
    <row r="165" spans="1:165">
      <c r="A165" s="407">
        <v>172</v>
      </c>
      <c r="B165" s="407" t="s">
        <v>1090</v>
      </c>
      <c r="C165" s="407" t="s">
        <v>2314</v>
      </c>
      <c r="D165" s="407" t="s">
        <v>650</v>
      </c>
      <c r="E165" s="407" t="s">
        <v>2316</v>
      </c>
      <c r="F165" s="407" t="s">
        <v>97</v>
      </c>
      <c r="G165" s="407" t="s">
        <v>97</v>
      </c>
      <c r="H165" s="407" t="s">
        <v>97</v>
      </c>
      <c r="I165" s="407" t="s">
        <v>2290</v>
      </c>
      <c r="J165" s="407" t="s">
        <v>2307</v>
      </c>
      <c r="K165" s="818">
        <v>44440</v>
      </c>
      <c r="L165" s="407">
        <v>0</v>
      </c>
      <c r="M165" s="407">
        <v>0</v>
      </c>
      <c r="N165" s="407">
        <v>4.3419999999999996</v>
      </c>
      <c r="O165" s="407">
        <v>4.3419999999999996</v>
      </c>
      <c r="P165" s="407">
        <v>4.3419999999999996</v>
      </c>
      <c r="Q165" s="407">
        <v>4.3419999999999996</v>
      </c>
      <c r="R165" s="407"/>
      <c r="S165" s="407">
        <v>95.29</v>
      </c>
      <c r="T165" s="407">
        <v>159.41</v>
      </c>
      <c r="U165" s="407"/>
      <c r="V165" s="407">
        <v>1105.9073999999998</v>
      </c>
      <c r="W165" s="407">
        <v>1105.9073999999998</v>
      </c>
      <c r="X165" s="407">
        <v>1202.3432199999997</v>
      </c>
      <c r="Y165" s="407">
        <v>0</v>
      </c>
      <c r="Z165" s="407">
        <v>234.09510056487537</v>
      </c>
      <c r="AA165" s="407">
        <v>0</v>
      </c>
      <c r="AB165" s="407">
        <v>0</v>
      </c>
      <c r="AC165" s="407">
        <v>0</v>
      </c>
      <c r="AD165" s="407">
        <v>0</v>
      </c>
      <c r="AE165" s="407">
        <v>0</v>
      </c>
      <c r="AF165" s="407">
        <v>669.6697719683192</v>
      </c>
      <c r="AG165" s="407">
        <v>22.499146507876702</v>
      </c>
      <c r="AH165" s="407">
        <v>0</v>
      </c>
      <c r="AI165" s="407">
        <v>0</v>
      </c>
      <c r="AJ165" s="407">
        <v>0</v>
      </c>
      <c r="AK165" s="407">
        <v>0</v>
      </c>
      <c r="AL165" s="407">
        <v>41.579232332922331</v>
      </c>
      <c r="AM165" s="407"/>
      <c r="AN165" s="407">
        <v>4.6621503525068837</v>
      </c>
      <c r="AO165" s="407">
        <v>0</v>
      </c>
      <c r="AP165" s="407">
        <v>0</v>
      </c>
      <c r="AQ165" s="407">
        <v>0</v>
      </c>
      <c r="AR165" s="407">
        <v>0</v>
      </c>
      <c r="AS165" s="407">
        <v>0</v>
      </c>
      <c r="AT165" s="407">
        <v>0</v>
      </c>
      <c r="AU165" s="407">
        <v>0</v>
      </c>
      <c r="AV165" s="407">
        <v>0</v>
      </c>
      <c r="AW165" s="407">
        <v>0</v>
      </c>
      <c r="AX165" s="407">
        <v>0</v>
      </c>
      <c r="AY165" s="407">
        <v>0</v>
      </c>
      <c r="AZ165" s="407">
        <v>0</v>
      </c>
      <c r="BA165" s="407"/>
      <c r="BB165" s="407">
        <v>0</v>
      </c>
      <c r="BC165" s="407">
        <v>0</v>
      </c>
      <c r="BD165" s="407">
        <v>0</v>
      </c>
      <c r="BE165" s="407">
        <v>0</v>
      </c>
      <c r="BF165" s="407">
        <v>0</v>
      </c>
      <c r="BG165" s="407">
        <v>22.534434466516743</v>
      </c>
      <c r="BH165" s="407">
        <v>0</v>
      </c>
      <c r="BI165" s="407">
        <v>0</v>
      </c>
      <c r="BJ165" s="407">
        <v>0</v>
      </c>
      <c r="BK165" s="407">
        <v>0</v>
      </c>
      <c r="BL165" s="407">
        <v>0</v>
      </c>
      <c r="BM165" s="407"/>
      <c r="BN165" s="407"/>
      <c r="BO165" s="407"/>
      <c r="BP165" s="407"/>
      <c r="BQ165" s="407"/>
      <c r="BR165" s="407"/>
      <c r="BS165" s="407"/>
      <c r="BT165" s="407"/>
      <c r="BU165" s="407"/>
      <c r="BV165" s="407">
        <v>692.2042064348359</v>
      </c>
      <c r="BW165" s="407"/>
      <c r="BX165" s="407"/>
      <c r="BY165" s="407"/>
      <c r="BZ165" s="407"/>
      <c r="CA165" s="407"/>
      <c r="CB165" s="407"/>
      <c r="CC165" s="407"/>
      <c r="CD165" s="407"/>
      <c r="CE165" s="407"/>
      <c r="CF165" s="407"/>
      <c r="CG165" s="407"/>
      <c r="CH165" s="407"/>
      <c r="CI165" s="407">
        <v>1201.7893999999999</v>
      </c>
      <c r="CJ165" s="407">
        <v>95.852000000000089</v>
      </c>
      <c r="CK165" s="407"/>
      <c r="CL165" s="407"/>
      <c r="CM165" s="407"/>
      <c r="CN165" s="407"/>
      <c r="CO165" s="407">
        <v>-22.838920000000019</v>
      </c>
      <c r="CP165" s="407">
        <v>119.27473999999998</v>
      </c>
      <c r="CQ165" s="407">
        <v>30</v>
      </c>
      <c r="CR165" s="407">
        <v>96.422095848011168</v>
      </c>
      <c r="CS165" s="407">
        <v>0</v>
      </c>
      <c r="CT165" s="407">
        <v>0</v>
      </c>
      <c r="CU165" s="407">
        <v>0</v>
      </c>
      <c r="CV165" s="407">
        <v>0</v>
      </c>
      <c r="CW165" s="407">
        <v>0</v>
      </c>
      <c r="CX165" s="407">
        <v>0</v>
      </c>
      <c r="CY165" s="407">
        <v>0</v>
      </c>
      <c r="CZ165" s="407">
        <v>0</v>
      </c>
      <c r="DA165" s="407">
        <v>0</v>
      </c>
      <c r="DB165" s="407">
        <v>0</v>
      </c>
      <c r="DC165" s="407">
        <v>132.7774314534654</v>
      </c>
      <c r="DD165" s="407">
        <v>0</v>
      </c>
      <c r="DE165" s="407">
        <v>0</v>
      </c>
      <c r="DF165" s="407">
        <v>0</v>
      </c>
      <c r="DG165" s="407">
        <v>4.4679698158185488</v>
      </c>
      <c r="DH165" s="407">
        <v>0</v>
      </c>
      <c r="DI165" s="407">
        <v>-16.396482653881492</v>
      </c>
      <c r="DJ165" s="407"/>
      <c r="DK165" s="407">
        <v>0</v>
      </c>
      <c r="DL165" s="407">
        <v>0</v>
      </c>
      <c r="DM165" s="407">
        <v>0</v>
      </c>
      <c r="DN165" s="407">
        <v>0</v>
      </c>
      <c r="DO165" s="407">
        <v>-2.5368062157097029</v>
      </c>
      <c r="DP165" s="407">
        <v>-0.29706096508452884</v>
      </c>
      <c r="DQ165" s="407">
        <v>0</v>
      </c>
      <c r="DR165" s="407">
        <v>-21.592955586597427</v>
      </c>
      <c r="DS165" s="407"/>
      <c r="DT165" s="407"/>
      <c r="DU165" s="407"/>
      <c r="DV165" s="407">
        <v>0</v>
      </c>
      <c r="DW165" s="407">
        <v>0</v>
      </c>
      <c r="DX165" s="407">
        <v>0</v>
      </c>
      <c r="DY165" s="407">
        <v>-22.838919999999973</v>
      </c>
      <c r="DZ165" s="407">
        <v>119.27473999999995</v>
      </c>
      <c r="EA165" s="407">
        <v>0</v>
      </c>
      <c r="EB165" s="407">
        <v>0</v>
      </c>
      <c r="EC165" s="407">
        <v>0</v>
      </c>
      <c r="ED165" s="407">
        <v>0</v>
      </c>
      <c r="EE165" s="407">
        <v>0</v>
      </c>
      <c r="EF165" s="407">
        <v>0</v>
      </c>
      <c r="EG165" s="407">
        <v>0</v>
      </c>
      <c r="EH165" s="407">
        <v>0</v>
      </c>
      <c r="EI165" s="407">
        <v>0</v>
      </c>
      <c r="EJ165" s="407">
        <v>0</v>
      </c>
      <c r="EK165" s="407">
        <v>0</v>
      </c>
      <c r="EL165" s="407">
        <v>0</v>
      </c>
      <c r="EM165" s="407">
        <v>0</v>
      </c>
      <c r="EN165" s="407">
        <v>0</v>
      </c>
      <c r="EO165" s="407">
        <v>0</v>
      </c>
      <c r="EP165" s="407">
        <v>110.88666361267992</v>
      </c>
      <c r="EQ165" s="407">
        <v>0</v>
      </c>
      <c r="ER165" s="407">
        <v>0</v>
      </c>
      <c r="ES165" s="407">
        <v>0</v>
      </c>
      <c r="ET165" s="407">
        <v>0</v>
      </c>
      <c r="EU165" s="407">
        <v>0</v>
      </c>
      <c r="EV165" s="407">
        <v>246</v>
      </c>
      <c r="EW165" s="407">
        <v>0</v>
      </c>
      <c r="EX165" s="407">
        <v>0</v>
      </c>
      <c r="EY165" s="407">
        <v>0</v>
      </c>
      <c r="EZ165" s="407"/>
      <c r="FA165" s="407">
        <v>0</v>
      </c>
      <c r="FB165" s="407"/>
      <c r="FC165" s="407"/>
      <c r="FD165" s="407"/>
      <c r="FE165" s="407"/>
      <c r="FF165" s="407">
        <v>0</v>
      </c>
      <c r="FG165" s="407">
        <v>0</v>
      </c>
      <c r="FH165" s="407">
        <v>0</v>
      </c>
      <c r="FI165" s="407">
        <v>0</v>
      </c>
    </row>
    <row r="166" spans="1:165">
      <c r="A166" s="407">
        <v>173</v>
      </c>
      <c r="B166" s="407" t="s">
        <v>1090</v>
      </c>
      <c r="C166" s="407" t="s">
        <v>2314</v>
      </c>
      <c r="D166" s="407" t="s">
        <v>650</v>
      </c>
      <c r="E166" s="407" t="s">
        <v>2316</v>
      </c>
      <c r="F166" s="407" t="s">
        <v>97</v>
      </c>
      <c r="G166" s="407" t="s">
        <v>97</v>
      </c>
      <c r="H166" s="407" t="s">
        <v>97</v>
      </c>
      <c r="I166" s="407" t="s">
        <v>97</v>
      </c>
      <c r="J166" s="407" t="s">
        <v>2307</v>
      </c>
      <c r="K166" s="818">
        <v>44440</v>
      </c>
      <c r="L166" s="407">
        <v>45</v>
      </c>
      <c r="M166" s="407">
        <v>45</v>
      </c>
      <c r="N166" s="407">
        <v>0</v>
      </c>
      <c r="O166" s="407">
        <v>0</v>
      </c>
      <c r="P166" s="407">
        <v>0</v>
      </c>
      <c r="Q166" s="407">
        <v>0</v>
      </c>
      <c r="R166" s="407">
        <v>43.29</v>
      </c>
      <c r="S166" s="407"/>
      <c r="T166" s="407"/>
      <c r="U166" s="407">
        <v>1948.05</v>
      </c>
      <c r="V166" s="407"/>
      <c r="W166" s="407">
        <v>1948.05</v>
      </c>
      <c r="X166" s="407">
        <v>1507.0500000000002</v>
      </c>
      <c r="Y166" s="407">
        <v>0</v>
      </c>
      <c r="Z166" s="407">
        <v>0</v>
      </c>
      <c r="AA166" s="407">
        <v>0</v>
      </c>
      <c r="AB166" s="407">
        <v>0</v>
      </c>
      <c r="AC166" s="407">
        <v>0</v>
      </c>
      <c r="AD166" s="407">
        <v>1064.8794221297101</v>
      </c>
      <c r="AE166" s="407">
        <v>883.31341969672201</v>
      </c>
      <c r="AF166" s="407"/>
      <c r="AG166" s="407"/>
      <c r="AH166" s="407"/>
      <c r="AI166" s="407">
        <v>0</v>
      </c>
      <c r="AJ166" s="407">
        <v>0</v>
      </c>
      <c r="AK166" s="407">
        <v>0</v>
      </c>
      <c r="AL166" s="407">
        <v>0</v>
      </c>
      <c r="AM166" s="407"/>
      <c r="AN166" s="407">
        <v>0</v>
      </c>
      <c r="AO166" s="407">
        <v>0</v>
      </c>
      <c r="AP166" s="407">
        <v>0</v>
      </c>
      <c r="AQ166" s="407">
        <v>0</v>
      </c>
      <c r="AR166" s="407">
        <v>0</v>
      </c>
      <c r="AS166" s="407"/>
      <c r="AT166" s="407"/>
      <c r="AU166" s="407">
        <v>0</v>
      </c>
      <c r="AV166" s="407">
        <v>0</v>
      </c>
      <c r="AW166" s="407">
        <v>0</v>
      </c>
      <c r="AX166" s="407"/>
      <c r="AY166" s="407"/>
      <c r="AZ166" s="407">
        <v>0</v>
      </c>
      <c r="BA166" s="407"/>
      <c r="BB166" s="407">
        <v>0</v>
      </c>
      <c r="BC166" s="407">
        <v>0</v>
      </c>
      <c r="BD166" s="407">
        <v>0</v>
      </c>
      <c r="BE166" s="407">
        <v>0</v>
      </c>
      <c r="BF166" s="407"/>
      <c r="BG166" s="407">
        <v>0</v>
      </c>
      <c r="BH166" s="407">
        <v>0</v>
      </c>
      <c r="BI166" s="407">
        <v>14.8</v>
      </c>
      <c r="BJ166" s="407">
        <v>71.36</v>
      </c>
      <c r="BK166" s="407">
        <v>0</v>
      </c>
      <c r="BL166" s="407">
        <v>1</v>
      </c>
      <c r="BM166" s="407"/>
      <c r="BN166" s="407"/>
      <c r="BO166" s="407"/>
      <c r="BP166" s="407"/>
      <c r="BQ166" s="407"/>
      <c r="BR166" s="407"/>
      <c r="BS166" s="407"/>
      <c r="BT166" s="407"/>
      <c r="BU166" s="407"/>
      <c r="BV166" s="407">
        <v>0</v>
      </c>
      <c r="BW166" s="407"/>
      <c r="BX166" s="407"/>
      <c r="BY166" s="407"/>
      <c r="BZ166" s="407"/>
      <c r="CA166" s="407"/>
      <c r="CB166" s="407"/>
      <c r="CC166" s="407"/>
      <c r="CD166" s="407"/>
      <c r="CE166" s="407"/>
      <c r="CF166" s="407"/>
      <c r="CG166" s="407"/>
      <c r="CH166" s="407"/>
      <c r="CI166" s="407">
        <v>1507.0500000000002</v>
      </c>
      <c r="CJ166" s="407">
        <v>-441.02999999999975</v>
      </c>
      <c r="CK166" s="407"/>
      <c r="CL166" s="407"/>
      <c r="CM166" s="407"/>
      <c r="CN166" s="407"/>
      <c r="CO166" s="407">
        <v>-440.99999999999989</v>
      </c>
      <c r="CP166" s="407">
        <v>0</v>
      </c>
      <c r="CQ166" s="407">
        <v>30</v>
      </c>
      <c r="CR166" s="407">
        <v>10.064706534659763</v>
      </c>
      <c r="CS166" s="407">
        <v>0</v>
      </c>
      <c r="CT166" s="407">
        <v>0</v>
      </c>
      <c r="CU166" s="407">
        <v>0</v>
      </c>
      <c r="CV166" s="407">
        <v>0</v>
      </c>
      <c r="CW166" s="407"/>
      <c r="CX166" s="407"/>
      <c r="CY166" s="407"/>
      <c r="CZ166" s="407">
        <v>48.102714951201051</v>
      </c>
      <c r="DA166" s="407">
        <v>0</v>
      </c>
      <c r="DB166" s="407">
        <v>0</v>
      </c>
      <c r="DC166" s="407"/>
      <c r="DD166" s="407"/>
      <c r="DE166" s="407">
        <v>0</v>
      </c>
      <c r="DF166" s="407">
        <v>0</v>
      </c>
      <c r="DG166" s="407">
        <v>0</v>
      </c>
      <c r="DH166" s="407">
        <v>0</v>
      </c>
      <c r="DI166" s="407">
        <v>0</v>
      </c>
      <c r="DJ166" s="407"/>
      <c r="DK166" s="407">
        <v>0</v>
      </c>
      <c r="DL166" s="407">
        <v>0</v>
      </c>
      <c r="DM166" s="407"/>
      <c r="DN166" s="407">
        <v>0</v>
      </c>
      <c r="DO166" s="407">
        <v>0</v>
      </c>
      <c r="DP166" s="407">
        <v>0</v>
      </c>
      <c r="DQ166" s="407">
        <v>0</v>
      </c>
      <c r="DR166" s="407">
        <v>-38.03800841654121</v>
      </c>
      <c r="DS166" s="407"/>
      <c r="DT166" s="407"/>
      <c r="DU166" s="407">
        <v>883.31341969672201</v>
      </c>
      <c r="DV166" s="407"/>
      <c r="DW166" s="407">
        <v>0</v>
      </c>
      <c r="DX166" s="407">
        <v>0</v>
      </c>
      <c r="DY166" s="407">
        <v>-440.99999999999977</v>
      </c>
      <c r="DZ166" s="407"/>
      <c r="EA166" s="407">
        <v>0</v>
      </c>
      <c r="EB166" s="407"/>
      <c r="EC166" s="407">
        <v>-451.19854638546485</v>
      </c>
      <c r="ED166" s="407"/>
      <c r="EE166" s="407">
        <v>0</v>
      </c>
      <c r="EF166" s="407">
        <v>0</v>
      </c>
      <c r="EG166" s="407"/>
      <c r="EH166" s="407">
        <v>0</v>
      </c>
      <c r="EI166" s="407">
        <v>0</v>
      </c>
      <c r="EJ166" s="407">
        <v>0</v>
      </c>
      <c r="EK166" s="407">
        <v>0</v>
      </c>
      <c r="EL166" s="407">
        <v>0</v>
      </c>
      <c r="EM166" s="407"/>
      <c r="EN166" s="407"/>
      <c r="EO166" s="407">
        <v>0</v>
      </c>
      <c r="EP166" s="407">
        <v>0</v>
      </c>
      <c r="EQ166" s="407"/>
      <c r="ER166" s="407">
        <v>0</v>
      </c>
      <c r="ES166" s="407"/>
      <c r="ET166" s="407">
        <v>0</v>
      </c>
      <c r="EU166" s="407"/>
      <c r="EV166" s="407">
        <v>246</v>
      </c>
      <c r="EW166" s="407"/>
      <c r="EX166" s="407"/>
      <c r="EY166" s="407"/>
      <c r="EZ166" s="407"/>
      <c r="FA166" s="407">
        <v>0</v>
      </c>
      <c r="FB166" s="407"/>
      <c r="FC166" s="407"/>
      <c r="FD166" s="407"/>
      <c r="FE166" s="407"/>
      <c r="FF166" s="407">
        <v>0</v>
      </c>
      <c r="FG166" s="407">
        <v>0</v>
      </c>
      <c r="FH166" s="407">
        <v>0</v>
      </c>
      <c r="FI166" s="407">
        <v>0</v>
      </c>
    </row>
    <row r="167" spans="1:165">
      <c r="A167" s="407">
        <v>174</v>
      </c>
      <c r="B167" s="407" t="s">
        <v>1090</v>
      </c>
      <c r="C167" s="407" t="s">
        <v>2306</v>
      </c>
      <c r="D167" s="407" t="s">
        <v>2318</v>
      </c>
      <c r="E167" s="407" t="s">
        <v>2319</v>
      </c>
      <c r="F167" s="407" t="s">
        <v>2320</v>
      </c>
      <c r="G167" s="407" t="s">
        <v>97</v>
      </c>
      <c r="H167" s="407" t="s">
        <v>97</v>
      </c>
      <c r="I167" s="407" t="s">
        <v>97</v>
      </c>
      <c r="J167" s="407" t="s">
        <v>2307</v>
      </c>
      <c r="K167" s="818">
        <v>44440</v>
      </c>
      <c r="L167" s="407">
        <v>0</v>
      </c>
      <c r="M167" s="407">
        <v>0</v>
      </c>
      <c r="N167" s="407">
        <v>486.93200000000002</v>
      </c>
      <c r="O167" s="407">
        <v>486.93200000000002</v>
      </c>
      <c r="P167" s="407">
        <v>486.93200000000002</v>
      </c>
      <c r="Q167" s="407">
        <v>486.93200000000002</v>
      </c>
      <c r="R167" s="407"/>
      <c r="S167" s="407">
        <v>356.64</v>
      </c>
      <c r="T167" s="407">
        <v>87.68</v>
      </c>
      <c r="U167" s="407"/>
      <c r="V167" s="407">
        <v>216353.62624000001</v>
      </c>
      <c r="W167" s="407">
        <v>216353.62624000001</v>
      </c>
      <c r="X167" s="407">
        <v>163852.61800000002</v>
      </c>
      <c r="Y167" s="407">
        <v>0</v>
      </c>
      <c r="Z167" s="407">
        <v>16596.41394387374</v>
      </c>
      <c r="AA167" s="407">
        <v>0</v>
      </c>
      <c r="AB167" s="407">
        <v>0</v>
      </c>
      <c r="AC167" s="407">
        <v>0</v>
      </c>
      <c r="AD167" s="407">
        <v>31238.847059321328</v>
      </c>
      <c r="AE167" s="407">
        <v>111824.07741226297</v>
      </c>
      <c r="AF167" s="407">
        <v>41304.92924280111</v>
      </c>
      <c r="AG167" s="407">
        <v>1387.7372003812482</v>
      </c>
      <c r="AH167" s="407">
        <v>0</v>
      </c>
      <c r="AI167" s="407">
        <v>0</v>
      </c>
      <c r="AJ167" s="407">
        <v>0</v>
      </c>
      <c r="AK167" s="407">
        <v>0</v>
      </c>
      <c r="AL167" s="407">
        <v>2564.5882812261611</v>
      </c>
      <c r="AM167" s="407"/>
      <c r="AN167" s="407">
        <v>555.73675872517583</v>
      </c>
      <c r="AO167" s="407">
        <v>0</v>
      </c>
      <c r="AP167" s="407">
        <v>0</v>
      </c>
      <c r="AQ167" s="407">
        <v>0</v>
      </c>
      <c r="AR167" s="407">
        <v>0</v>
      </c>
      <c r="AS167" s="407">
        <v>0</v>
      </c>
      <c r="AT167" s="407">
        <v>0</v>
      </c>
      <c r="AU167" s="407">
        <v>0</v>
      </c>
      <c r="AV167" s="407">
        <v>0</v>
      </c>
      <c r="AW167" s="407">
        <v>0</v>
      </c>
      <c r="AX167" s="407">
        <v>0</v>
      </c>
      <c r="AY167" s="407">
        <v>0</v>
      </c>
      <c r="AZ167" s="407">
        <v>0</v>
      </c>
      <c r="BA167" s="407"/>
      <c r="BB167" s="407">
        <v>0</v>
      </c>
      <c r="BC167" s="407">
        <v>0</v>
      </c>
      <c r="BD167" s="407">
        <v>0</v>
      </c>
      <c r="BE167" s="407">
        <v>0</v>
      </c>
      <c r="BF167" s="407">
        <v>0</v>
      </c>
      <c r="BG167" s="407">
        <v>3019.2584312199447</v>
      </c>
      <c r="BH167" s="407">
        <v>0</v>
      </c>
      <c r="BI167" s="407">
        <v>1010.94</v>
      </c>
      <c r="BJ167" s="407">
        <v>4878.05</v>
      </c>
      <c r="BK167" s="407">
        <v>59487.19</v>
      </c>
      <c r="BL167" s="407">
        <v>62</v>
      </c>
      <c r="BM167" s="407"/>
      <c r="BN167" s="407"/>
      <c r="BO167" s="407"/>
      <c r="BP167" s="407"/>
      <c r="BQ167" s="407"/>
      <c r="BR167" s="407"/>
      <c r="BS167" s="407"/>
      <c r="BT167" s="407"/>
      <c r="BU167" s="407"/>
      <c r="BV167" s="407">
        <v>44324.187674021057</v>
      </c>
      <c r="BW167" s="407"/>
      <c r="BX167" s="407"/>
      <c r="BY167" s="407"/>
      <c r="BZ167" s="407"/>
      <c r="CA167" s="407"/>
      <c r="CB167" s="407"/>
      <c r="CC167" s="407"/>
      <c r="CD167" s="407"/>
      <c r="CE167" s="407"/>
      <c r="CF167" s="407"/>
      <c r="CG167" s="407"/>
      <c r="CH167" s="407"/>
      <c r="CI167" s="407">
        <v>163851.94500000001</v>
      </c>
      <c r="CJ167" s="407">
        <v>-52501.711240000033</v>
      </c>
      <c r="CK167" s="407"/>
      <c r="CL167" s="407"/>
      <c r="CM167" s="407"/>
      <c r="CN167" s="407"/>
      <c r="CO167" s="407">
        <v>-59853.681439999993</v>
      </c>
      <c r="CP167" s="407">
        <v>7352.6731999999975</v>
      </c>
      <c r="CQ167" s="407">
        <v>30</v>
      </c>
      <c r="CR167" s="407">
        <v>4620.8434252202715</v>
      </c>
      <c r="CS167" s="407">
        <v>0</v>
      </c>
      <c r="CT167" s="407">
        <v>0</v>
      </c>
      <c r="CU167" s="407">
        <v>0</v>
      </c>
      <c r="CV167" s="407">
        <v>0</v>
      </c>
      <c r="CW167" s="407">
        <v>0</v>
      </c>
      <c r="CX167" s="407">
        <v>0</v>
      </c>
      <c r="CY167" s="407">
        <v>0</v>
      </c>
      <c r="CZ167" s="407">
        <v>1411.1206623689868</v>
      </c>
      <c r="DA167" s="407">
        <v>0</v>
      </c>
      <c r="DB167" s="407">
        <v>0</v>
      </c>
      <c r="DC167" s="407">
        <v>8189.6520356688634</v>
      </c>
      <c r="DD167" s="407">
        <v>0</v>
      </c>
      <c r="DE167" s="407">
        <v>0</v>
      </c>
      <c r="DF167" s="407">
        <v>0</v>
      </c>
      <c r="DG167" s="407">
        <v>598.63741230740243</v>
      </c>
      <c r="DH167" s="407">
        <v>0</v>
      </c>
      <c r="DI167" s="407">
        <v>-1162.4455731483904</v>
      </c>
      <c r="DJ167" s="407"/>
      <c r="DK167" s="407">
        <v>0</v>
      </c>
      <c r="DL167" s="407">
        <v>0</v>
      </c>
      <c r="DM167" s="407">
        <v>0</v>
      </c>
      <c r="DN167" s="407">
        <v>0</v>
      </c>
      <c r="DO167" s="407">
        <v>-156.46906225826251</v>
      </c>
      <c r="DP167" s="407">
        <v>-35.410204604643127</v>
      </c>
      <c r="DQ167" s="407">
        <v>0</v>
      </c>
      <c r="DR167" s="407">
        <v>-4224.2418451136782</v>
      </c>
      <c r="DS167" s="407"/>
      <c r="DT167" s="407"/>
      <c r="DU167" s="407"/>
      <c r="DV167" s="407">
        <v>111824.07741226297</v>
      </c>
      <c r="DW167" s="407">
        <v>0</v>
      </c>
      <c r="DX167" s="407">
        <v>0</v>
      </c>
      <c r="DY167" s="407">
        <v>-59853.68144</v>
      </c>
      <c r="DZ167" s="407">
        <v>7352.6731999999975</v>
      </c>
      <c r="EA167" s="407">
        <v>0</v>
      </c>
      <c r="EB167" s="407">
        <v>0</v>
      </c>
      <c r="EC167" s="407">
        <v>-57119.998467397418</v>
      </c>
      <c r="ED167" s="407">
        <v>0</v>
      </c>
      <c r="EE167" s="407">
        <v>0</v>
      </c>
      <c r="EF167" s="407">
        <v>0</v>
      </c>
      <c r="EG167" s="407">
        <v>0</v>
      </c>
      <c r="EH167" s="407">
        <v>0</v>
      </c>
      <c r="EI167" s="407">
        <v>0</v>
      </c>
      <c r="EJ167" s="407">
        <v>0</v>
      </c>
      <c r="EK167" s="407">
        <v>0</v>
      </c>
      <c r="EL167" s="407">
        <v>0</v>
      </c>
      <c r="EM167" s="407">
        <v>0</v>
      </c>
      <c r="EN167" s="407">
        <v>0</v>
      </c>
      <c r="EO167" s="407">
        <v>0</v>
      </c>
      <c r="EP167" s="407">
        <v>7861.4245481019734</v>
      </c>
      <c r="EQ167" s="407">
        <v>0</v>
      </c>
      <c r="ER167" s="407">
        <v>0</v>
      </c>
      <c r="ES167" s="407">
        <v>0</v>
      </c>
      <c r="ET167" s="407">
        <v>0</v>
      </c>
      <c r="EU167" s="407">
        <v>0</v>
      </c>
      <c r="EV167" s="407">
        <v>246</v>
      </c>
      <c r="EW167" s="407">
        <v>0</v>
      </c>
      <c r="EX167" s="407">
        <v>0</v>
      </c>
      <c r="EY167" s="407">
        <v>0</v>
      </c>
      <c r="EZ167" s="407"/>
      <c r="FA167" s="407">
        <v>0</v>
      </c>
      <c r="FB167" s="407"/>
      <c r="FC167" s="407"/>
      <c r="FD167" s="407"/>
      <c r="FE167" s="407"/>
      <c r="FF167" s="407">
        <v>0</v>
      </c>
      <c r="FG167" s="407">
        <v>0</v>
      </c>
      <c r="FH167" s="407">
        <v>0</v>
      </c>
      <c r="FI167" s="407">
        <v>0</v>
      </c>
    </row>
    <row r="168" spans="1:165">
      <c r="A168" s="407">
        <v>175</v>
      </c>
      <c r="B168" s="407" t="s">
        <v>1090</v>
      </c>
      <c r="C168" s="407" t="s">
        <v>2306</v>
      </c>
      <c r="D168" s="407" t="s">
        <v>1219</v>
      </c>
      <c r="E168" s="407" t="s">
        <v>1052</v>
      </c>
      <c r="F168" s="407" t="s">
        <v>2321</v>
      </c>
      <c r="G168" s="407" t="s">
        <v>97</v>
      </c>
      <c r="H168" s="407" t="s">
        <v>97</v>
      </c>
      <c r="I168" s="407" t="s">
        <v>97</v>
      </c>
      <c r="J168" s="407" t="s">
        <v>2307</v>
      </c>
      <c r="K168" s="818">
        <v>44440</v>
      </c>
      <c r="L168" s="407">
        <v>0</v>
      </c>
      <c r="M168" s="407">
        <v>0</v>
      </c>
      <c r="N168" s="407">
        <v>50.356999999999999</v>
      </c>
      <c r="O168" s="407">
        <v>47.33558</v>
      </c>
      <c r="P168" s="407">
        <v>50.356999999999999</v>
      </c>
      <c r="Q168" s="407">
        <v>47.33558</v>
      </c>
      <c r="R168" s="407"/>
      <c r="S168" s="407">
        <v>648.44000000000005</v>
      </c>
      <c r="T168" s="407">
        <v>159.41</v>
      </c>
      <c r="U168" s="407"/>
      <c r="V168" s="407">
        <v>40680.902450000001</v>
      </c>
      <c r="W168" s="407">
        <v>40680.902450000001</v>
      </c>
      <c r="X168" s="407">
        <v>30809.419740000001</v>
      </c>
      <c r="Y168" s="407">
        <v>0</v>
      </c>
      <c r="Z168" s="407">
        <v>3120.6359109752475</v>
      </c>
      <c r="AA168" s="407">
        <v>0</v>
      </c>
      <c r="AB168" s="407">
        <v>0</v>
      </c>
      <c r="AC168" s="407">
        <v>0</v>
      </c>
      <c r="AD168" s="407">
        <v>5873.8633707534536</v>
      </c>
      <c r="AE168" s="407">
        <v>21026.363458064836</v>
      </c>
      <c r="AF168" s="407">
        <v>7766.5962015220293</v>
      </c>
      <c r="AG168" s="407">
        <v>260.93724566954103</v>
      </c>
      <c r="AH168" s="407">
        <v>0</v>
      </c>
      <c r="AI168" s="407">
        <v>0</v>
      </c>
      <c r="AJ168" s="407">
        <v>0</v>
      </c>
      <c r="AK168" s="407">
        <v>0</v>
      </c>
      <c r="AL168" s="407">
        <v>482.22141929732146</v>
      </c>
      <c r="AM168" s="407"/>
      <c r="AN168" s="407">
        <v>104.49559116756876</v>
      </c>
      <c r="AO168" s="407">
        <v>0</v>
      </c>
      <c r="AP168" s="407">
        <v>0</v>
      </c>
      <c r="AQ168" s="407">
        <v>0</v>
      </c>
      <c r="AR168" s="407">
        <v>0</v>
      </c>
      <c r="AS168" s="407">
        <v>0</v>
      </c>
      <c r="AT168" s="407">
        <v>0</v>
      </c>
      <c r="AU168" s="407">
        <v>0</v>
      </c>
      <c r="AV168" s="407">
        <v>0</v>
      </c>
      <c r="AW168" s="407">
        <v>0</v>
      </c>
      <c r="AX168" s="407">
        <v>0</v>
      </c>
      <c r="AY168" s="407">
        <v>0</v>
      </c>
      <c r="AZ168" s="407">
        <v>0</v>
      </c>
      <c r="BA168" s="407"/>
      <c r="BB168" s="407">
        <v>0</v>
      </c>
      <c r="BC168" s="407">
        <v>0</v>
      </c>
      <c r="BD168" s="407">
        <v>0</v>
      </c>
      <c r="BE168" s="407">
        <v>0</v>
      </c>
      <c r="BF168" s="407">
        <v>0</v>
      </c>
      <c r="BG168" s="407">
        <v>567.71338174881384</v>
      </c>
      <c r="BH168" s="407">
        <v>0</v>
      </c>
      <c r="BI168" s="407">
        <v>176.1</v>
      </c>
      <c r="BJ168" s="407">
        <v>849.85</v>
      </c>
      <c r="BK168" s="407">
        <v>16111.45</v>
      </c>
      <c r="BL168" s="407">
        <v>13</v>
      </c>
      <c r="BM168" s="407"/>
      <c r="BN168" s="407"/>
      <c r="BO168" s="407"/>
      <c r="BP168" s="407"/>
      <c r="BQ168" s="407">
        <v>1848.5651843999995</v>
      </c>
      <c r="BR168" s="407"/>
      <c r="BS168" s="407"/>
      <c r="BT168" s="407"/>
      <c r="BU168" s="407"/>
      <c r="BV168" s="407">
        <v>8334.3095832708423</v>
      </c>
      <c r="BW168" s="407"/>
      <c r="BX168" s="407"/>
      <c r="BY168" s="407"/>
      <c r="BZ168" s="407"/>
      <c r="CA168" s="407"/>
      <c r="CB168" s="407"/>
      <c r="CC168" s="407"/>
      <c r="CD168" s="407"/>
      <c r="CE168" s="407"/>
      <c r="CF168" s="407"/>
      <c r="CG168" s="407"/>
      <c r="CH168" s="407"/>
      <c r="CI168" s="407">
        <v>28963.558800000003</v>
      </c>
      <c r="CJ168" s="407">
        <v>-9276.5195029999995</v>
      </c>
      <c r="CK168" s="407"/>
      <c r="CL168" s="407"/>
      <c r="CM168" s="407"/>
      <c r="CN168" s="407"/>
      <c r="CO168" s="407">
        <v>-11254.789500000003</v>
      </c>
      <c r="CP168" s="407">
        <v>1383.3067899999999</v>
      </c>
      <c r="CQ168" s="407">
        <v>30</v>
      </c>
      <c r="CR168" s="407">
        <v>868.86058521451196</v>
      </c>
      <c r="CS168" s="407">
        <v>0</v>
      </c>
      <c r="CT168" s="407">
        <v>0</v>
      </c>
      <c r="CU168" s="407">
        <v>0</v>
      </c>
      <c r="CV168" s="407">
        <v>0</v>
      </c>
      <c r="CW168" s="407">
        <v>0</v>
      </c>
      <c r="CX168" s="407">
        <v>0</v>
      </c>
      <c r="CY168" s="407">
        <v>0</v>
      </c>
      <c r="CZ168" s="407">
        <v>265.33405521216628</v>
      </c>
      <c r="DA168" s="407">
        <v>0</v>
      </c>
      <c r="DB168" s="407">
        <v>0</v>
      </c>
      <c r="DC168" s="407">
        <v>1539.9062910414914</v>
      </c>
      <c r="DD168" s="407">
        <v>0</v>
      </c>
      <c r="DE168" s="407">
        <v>0</v>
      </c>
      <c r="DF168" s="407">
        <v>0</v>
      </c>
      <c r="DG168" s="407">
        <v>112.5622325893703</v>
      </c>
      <c r="DH168" s="407">
        <v>0</v>
      </c>
      <c r="DI168" s="407">
        <v>-218.5754954286399</v>
      </c>
      <c r="DJ168" s="407"/>
      <c r="DK168" s="407">
        <v>0</v>
      </c>
      <c r="DL168" s="407">
        <v>0</v>
      </c>
      <c r="DM168" s="407">
        <v>0</v>
      </c>
      <c r="DN168" s="407">
        <v>0</v>
      </c>
      <c r="DO168" s="407">
        <v>-29.420992769344366</v>
      </c>
      <c r="DP168" s="407">
        <v>-6.6582067956317843</v>
      </c>
      <c r="DQ168" s="407">
        <v>0</v>
      </c>
      <c r="DR168" s="407">
        <v>-794.28729863490253</v>
      </c>
      <c r="DS168" s="407"/>
      <c r="DT168" s="407"/>
      <c r="DU168" s="407"/>
      <c r="DV168" s="407">
        <v>21026.363458064836</v>
      </c>
      <c r="DW168" s="407">
        <v>0</v>
      </c>
      <c r="DX168" s="407">
        <v>0</v>
      </c>
      <c r="DY168" s="407">
        <v>-11254.789500000003</v>
      </c>
      <c r="DZ168" s="407">
        <v>1383.3067900000005</v>
      </c>
      <c r="EA168" s="407">
        <v>0</v>
      </c>
      <c r="EB168" s="407">
        <v>0</v>
      </c>
      <c r="EC168" s="407">
        <v>-10740.31529070236</v>
      </c>
      <c r="ED168" s="407">
        <v>0</v>
      </c>
      <c r="EE168" s="407">
        <v>0</v>
      </c>
      <c r="EF168" s="407">
        <v>0</v>
      </c>
      <c r="EG168" s="407">
        <v>0</v>
      </c>
      <c r="EH168" s="407">
        <v>0</v>
      </c>
      <c r="EI168" s="407">
        <v>0</v>
      </c>
      <c r="EJ168" s="407">
        <v>0</v>
      </c>
      <c r="EK168" s="407">
        <v>0</v>
      </c>
      <c r="EL168" s="407">
        <v>0</v>
      </c>
      <c r="EM168" s="407">
        <v>0</v>
      </c>
      <c r="EN168" s="407">
        <v>0</v>
      </c>
      <c r="EO168" s="407">
        <v>0</v>
      </c>
      <c r="EP168" s="407">
        <v>1478.189435331916</v>
      </c>
      <c r="EQ168" s="407">
        <v>0</v>
      </c>
      <c r="ER168" s="407">
        <v>0</v>
      </c>
      <c r="ES168" s="407">
        <v>0</v>
      </c>
      <c r="ET168" s="407">
        <v>0</v>
      </c>
      <c r="EU168" s="407">
        <v>0</v>
      </c>
      <c r="EV168" s="407">
        <v>246</v>
      </c>
      <c r="EW168" s="407">
        <v>0</v>
      </c>
      <c r="EX168" s="407">
        <v>0</v>
      </c>
      <c r="EY168" s="407">
        <v>0</v>
      </c>
      <c r="EZ168" s="407"/>
      <c r="FA168" s="407">
        <v>0</v>
      </c>
      <c r="FB168" s="407"/>
      <c r="FC168" s="407"/>
      <c r="FD168" s="407"/>
      <c r="FE168" s="407"/>
      <c r="FF168" s="407">
        <v>0</v>
      </c>
      <c r="FG168" s="407">
        <v>0</v>
      </c>
      <c r="FH168" s="407">
        <v>0</v>
      </c>
      <c r="FI168" s="407">
        <v>0</v>
      </c>
    </row>
    <row r="169" spans="1:165">
      <c r="A169" s="407">
        <v>176</v>
      </c>
      <c r="B169" s="407" t="s">
        <v>1090</v>
      </c>
      <c r="C169" s="407" t="s">
        <v>2317</v>
      </c>
      <c r="D169" s="407" t="s">
        <v>650</v>
      </c>
      <c r="E169" s="407" t="s">
        <v>1052</v>
      </c>
      <c r="F169" s="407" t="s">
        <v>2321</v>
      </c>
      <c r="G169" s="407" t="s">
        <v>97</v>
      </c>
      <c r="H169" s="407" t="s">
        <v>97</v>
      </c>
      <c r="I169" s="407" t="s">
        <v>1025</v>
      </c>
      <c r="J169" s="407" t="s">
        <v>2307</v>
      </c>
      <c r="K169" s="818">
        <v>44440</v>
      </c>
      <c r="L169" s="407">
        <v>708</v>
      </c>
      <c r="M169" s="407">
        <v>665.52</v>
      </c>
      <c r="N169" s="407">
        <v>34.33</v>
      </c>
      <c r="O169" s="407">
        <v>32.270200000000003</v>
      </c>
      <c r="P169" s="407">
        <v>34.33</v>
      </c>
      <c r="Q169" s="407">
        <v>32.270200000000003</v>
      </c>
      <c r="R169" s="407">
        <v>112.91</v>
      </c>
      <c r="S169" s="407">
        <v>95.29</v>
      </c>
      <c r="T169" s="407">
        <v>159.41</v>
      </c>
      <c r="U169" s="407">
        <v>79940.28</v>
      </c>
      <c r="V169" s="407">
        <v>8743.8509999999987</v>
      </c>
      <c r="W169" s="407">
        <v>88684.130999999994</v>
      </c>
      <c r="X169" s="407">
        <v>57041.440300000002</v>
      </c>
      <c r="Y169" s="407">
        <v>0</v>
      </c>
      <c r="Z169" s="407">
        <v>1850.8716725914719</v>
      </c>
      <c r="AA169" s="407">
        <v>0</v>
      </c>
      <c r="AB169" s="407">
        <v>0</v>
      </c>
      <c r="AC169" s="407">
        <v>0</v>
      </c>
      <c r="AD169" s="407">
        <v>17972.872804850485</v>
      </c>
      <c r="AE169" s="407">
        <v>61965.112641339554</v>
      </c>
      <c r="AF169" s="407">
        <v>5294.7405047610309</v>
      </c>
      <c r="AG169" s="407">
        <v>177.88938268434069</v>
      </c>
      <c r="AH169" s="407">
        <v>0</v>
      </c>
      <c r="AI169" s="407">
        <v>0</v>
      </c>
      <c r="AJ169" s="407">
        <v>0</v>
      </c>
      <c r="AK169" s="407">
        <v>0</v>
      </c>
      <c r="AL169" s="407">
        <v>328.74598019097732</v>
      </c>
      <c r="AM169" s="407"/>
      <c r="AN169" s="407">
        <v>36.861267066227853</v>
      </c>
      <c r="AO169" s="407">
        <v>0</v>
      </c>
      <c r="AP169" s="407">
        <v>0</v>
      </c>
      <c r="AQ169" s="407">
        <v>0</v>
      </c>
      <c r="AR169" s="407">
        <v>0</v>
      </c>
      <c r="AS169" s="407">
        <v>0</v>
      </c>
      <c r="AT169" s="407">
        <v>0</v>
      </c>
      <c r="AU169" s="407">
        <v>0</v>
      </c>
      <c r="AV169" s="407">
        <v>0</v>
      </c>
      <c r="AW169" s="407">
        <v>0</v>
      </c>
      <c r="AX169" s="407">
        <v>0</v>
      </c>
      <c r="AY169" s="407">
        <v>0</v>
      </c>
      <c r="AZ169" s="407">
        <v>0</v>
      </c>
      <c r="BA169" s="407"/>
      <c r="BB169" s="407">
        <v>0</v>
      </c>
      <c r="BC169" s="407">
        <v>0</v>
      </c>
      <c r="BD169" s="407">
        <v>0</v>
      </c>
      <c r="BE169" s="407">
        <v>0</v>
      </c>
      <c r="BF169" s="407">
        <v>0</v>
      </c>
      <c r="BG169" s="407">
        <v>178.16838674240438</v>
      </c>
      <c r="BH169" s="407">
        <v>0</v>
      </c>
      <c r="BI169" s="407">
        <v>0</v>
      </c>
      <c r="BJ169" s="407">
        <v>0</v>
      </c>
      <c r="BK169" s="407">
        <v>0</v>
      </c>
      <c r="BL169" s="407">
        <v>0</v>
      </c>
      <c r="BM169" s="407"/>
      <c r="BN169" s="407"/>
      <c r="BO169" s="407"/>
      <c r="BP169" s="407"/>
      <c r="BQ169" s="407">
        <v>3422.4864180000004</v>
      </c>
      <c r="BR169" s="407"/>
      <c r="BS169" s="407"/>
      <c r="BT169" s="407"/>
      <c r="BU169" s="407"/>
      <c r="BV169" s="407">
        <v>5472.9088915034354</v>
      </c>
      <c r="BW169" s="407"/>
      <c r="BX169" s="407"/>
      <c r="BY169" s="407"/>
      <c r="BZ169" s="407"/>
      <c r="CA169" s="407"/>
      <c r="CB169" s="407"/>
      <c r="CC169" s="407"/>
      <c r="CD169" s="407"/>
      <c r="CE169" s="407"/>
      <c r="CF169" s="407"/>
      <c r="CG169" s="407"/>
      <c r="CH169" s="407"/>
      <c r="CI169" s="407">
        <v>53618.898499999996</v>
      </c>
      <c r="CJ169" s="407">
        <v>-29744.214639999991</v>
      </c>
      <c r="CK169" s="407"/>
      <c r="CL169" s="407"/>
      <c r="CM169" s="407"/>
      <c r="CN169" s="407"/>
      <c r="CO169" s="407">
        <v>-32585.735799999995</v>
      </c>
      <c r="CP169" s="407">
        <v>943.04509999999993</v>
      </c>
      <c r="CQ169" s="407">
        <v>30</v>
      </c>
      <c r="CR169" s="407">
        <v>13.460669797219452</v>
      </c>
      <c r="CS169" s="407">
        <v>0</v>
      </c>
      <c r="CT169" s="407">
        <v>0</v>
      </c>
      <c r="CU169" s="407">
        <v>0</v>
      </c>
      <c r="CV169" s="407">
        <v>0</v>
      </c>
      <c r="CW169" s="407">
        <v>0</v>
      </c>
      <c r="CX169" s="407">
        <v>0</v>
      </c>
      <c r="CY169" s="407">
        <v>0</v>
      </c>
      <c r="CZ169" s="407">
        <v>811.87030138765112</v>
      </c>
      <c r="DA169" s="407">
        <v>0</v>
      </c>
      <c r="DB169" s="407">
        <v>0</v>
      </c>
      <c r="DC169" s="407">
        <v>1049.804058451743</v>
      </c>
      <c r="DD169" s="407">
        <v>0</v>
      </c>
      <c r="DE169" s="407">
        <v>0</v>
      </c>
      <c r="DF169" s="407">
        <v>0</v>
      </c>
      <c r="DG169" s="407">
        <v>35.325979681494886</v>
      </c>
      <c r="DH169" s="407">
        <v>0</v>
      </c>
      <c r="DI169" s="407">
        <v>-129.6387032491366</v>
      </c>
      <c r="DJ169" s="407"/>
      <c r="DK169" s="407">
        <v>0</v>
      </c>
      <c r="DL169" s="407">
        <v>0</v>
      </c>
      <c r="DM169" s="407">
        <v>0</v>
      </c>
      <c r="DN169" s="407">
        <v>0</v>
      </c>
      <c r="DO169" s="407">
        <v>-20.05724490679728</v>
      </c>
      <c r="DP169" s="407">
        <v>-2.3487109468797556</v>
      </c>
      <c r="DQ169" s="407">
        <v>0</v>
      </c>
      <c r="DR169" s="407">
        <v>-1731.495010620858</v>
      </c>
      <c r="DS169" s="407"/>
      <c r="DT169" s="407"/>
      <c r="DU169" s="407">
        <v>61965.112641339554</v>
      </c>
      <c r="DV169" s="407">
        <v>0</v>
      </c>
      <c r="DW169" s="407">
        <v>0</v>
      </c>
      <c r="DX169" s="407">
        <v>0</v>
      </c>
      <c r="DY169" s="407">
        <v>-32585.735799999995</v>
      </c>
      <c r="DZ169" s="407">
        <v>943.04509999999937</v>
      </c>
      <c r="EA169" s="407">
        <v>0</v>
      </c>
      <c r="EB169" s="407">
        <v>0</v>
      </c>
      <c r="EC169" s="407">
        <v>-31651.923458814021</v>
      </c>
      <c r="ED169" s="407">
        <v>0</v>
      </c>
      <c r="EE169" s="407">
        <v>0</v>
      </c>
      <c r="EF169" s="407">
        <v>0</v>
      </c>
      <c r="EG169" s="407">
        <v>0</v>
      </c>
      <c r="EH169" s="407">
        <v>0</v>
      </c>
      <c r="EI169" s="407">
        <v>0</v>
      </c>
      <c r="EJ169" s="407">
        <v>0</v>
      </c>
      <c r="EK169" s="407">
        <v>0</v>
      </c>
      <c r="EL169" s="407">
        <v>0</v>
      </c>
      <c r="EM169" s="407">
        <v>0</v>
      </c>
      <c r="EN169" s="407">
        <v>0</v>
      </c>
      <c r="EO169" s="407">
        <v>0</v>
      </c>
      <c r="EP169" s="407">
        <v>876.72481847611743</v>
      </c>
      <c r="EQ169" s="407">
        <v>0</v>
      </c>
      <c r="ER169" s="407">
        <v>0</v>
      </c>
      <c r="ES169" s="407">
        <v>0</v>
      </c>
      <c r="ET169" s="407">
        <v>0</v>
      </c>
      <c r="EU169" s="407">
        <v>0</v>
      </c>
      <c r="EV169" s="407">
        <v>246</v>
      </c>
      <c r="EW169" s="407">
        <v>0</v>
      </c>
      <c r="EX169" s="407">
        <v>0</v>
      </c>
      <c r="EY169" s="407">
        <v>0</v>
      </c>
      <c r="EZ169" s="407"/>
      <c r="FA169" s="407">
        <v>0</v>
      </c>
      <c r="FB169" s="407"/>
      <c r="FC169" s="407"/>
      <c r="FD169" s="407"/>
      <c r="FE169" s="407"/>
      <c r="FF169" s="407">
        <v>0</v>
      </c>
      <c r="FG169" s="407">
        <v>0</v>
      </c>
      <c r="FH169" s="407">
        <v>0</v>
      </c>
      <c r="FI169" s="407">
        <v>0</v>
      </c>
    </row>
    <row r="170" spans="1:165">
      <c r="A170" s="407">
        <v>177</v>
      </c>
      <c r="B170" s="407" t="s">
        <v>1090</v>
      </c>
      <c r="C170" s="407" t="s">
        <v>2317</v>
      </c>
      <c r="D170" s="407" t="s">
        <v>650</v>
      </c>
      <c r="E170" s="407" t="s">
        <v>1052</v>
      </c>
      <c r="F170" s="407" t="s">
        <v>2321</v>
      </c>
      <c r="G170" s="407" t="s">
        <v>97</v>
      </c>
      <c r="H170" s="407" t="s">
        <v>97</v>
      </c>
      <c r="I170" s="407" t="s">
        <v>2290</v>
      </c>
      <c r="J170" s="407" t="s">
        <v>2307</v>
      </c>
      <c r="K170" s="818">
        <v>44440</v>
      </c>
      <c r="L170" s="407">
        <v>718</v>
      </c>
      <c r="M170" s="407">
        <v>674.92</v>
      </c>
      <c r="N170" s="407">
        <v>349.91199999999998</v>
      </c>
      <c r="O170" s="407">
        <v>328.91728000000001</v>
      </c>
      <c r="P170" s="407">
        <v>349.91199999999998</v>
      </c>
      <c r="Q170" s="407">
        <v>328.91728000000001</v>
      </c>
      <c r="R170" s="407">
        <v>43.29</v>
      </c>
      <c r="S170" s="407">
        <v>95.29</v>
      </c>
      <c r="T170" s="407">
        <v>159.41</v>
      </c>
      <c r="U170" s="407">
        <v>31082.22</v>
      </c>
      <c r="V170" s="407">
        <v>89122.5864</v>
      </c>
      <c r="W170" s="407">
        <v>120204.8064</v>
      </c>
      <c r="X170" s="407">
        <v>120939.95191999999</v>
      </c>
      <c r="Y170" s="407">
        <v>0</v>
      </c>
      <c r="Z170" s="407">
        <v>18865.196874448797</v>
      </c>
      <c r="AA170" s="407">
        <v>0</v>
      </c>
      <c r="AB170" s="407">
        <v>0</v>
      </c>
      <c r="AC170" s="407">
        <v>0</v>
      </c>
      <c r="AD170" s="407">
        <v>16990.742779758486</v>
      </c>
      <c r="AE170" s="407">
        <v>14093.756340938808</v>
      </c>
      <c r="AF170" s="407">
        <v>53967.178546517389</v>
      </c>
      <c r="AG170" s="407">
        <v>1813.1555395817948</v>
      </c>
      <c r="AH170" s="407">
        <v>0</v>
      </c>
      <c r="AI170" s="407">
        <v>0</v>
      </c>
      <c r="AJ170" s="407">
        <v>0</v>
      </c>
      <c r="AK170" s="407">
        <v>0</v>
      </c>
      <c r="AL170" s="407">
        <v>3350.7766798888802</v>
      </c>
      <c r="AM170" s="407"/>
      <c r="AN170" s="407">
        <v>375.7121957960361</v>
      </c>
      <c r="AO170" s="407">
        <v>0</v>
      </c>
      <c r="AP170" s="407">
        <v>0</v>
      </c>
      <c r="AQ170" s="407">
        <v>0</v>
      </c>
      <c r="AR170" s="407">
        <v>0</v>
      </c>
      <c r="AS170" s="407">
        <v>0</v>
      </c>
      <c r="AT170" s="407">
        <v>0</v>
      </c>
      <c r="AU170" s="407">
        <v>0</v>
      </c>
      <c r="AV170" s="407">
        <v>0</v>
      </c>
      <c r="AW170" s="407">
        <v>0</v>
      </c>
      <c r="AX170" s="407">
        <v>0</v>
      </c>
      <c r="AY170" s="407">
        <v>0</v>
      </c>
      <c r="AZ170" s="407">
        <v>0</v>
      </c>
      <c r="BA170" s="407"/>
      <c r="BB170" s="407">
        <v>0</v>
      </c>
      <c r="BC170" s="407">
        <v>0</v>
      </c>
      <c r="BD170" s="407">
        <v>0</v>
      </c>
      <c r="BE170" s="407">
        <v>0</v>
      </c>
      <c r="BF170" s="407">
        <v>0</v>
      </c>
      <c r="BG170" s="407">
        <v>1815.9993166853537</v>
      </c>
      <c r="BH170" s="407">
        <v>0</v>
      </c>
      <c r="BI170" s="407">
        <v>0</v>
      </c>
      <c r="BJ170" s="407">
        <v>0</v>
      </c>
      <c r="BK170" s="407">
        <v>0</v>
      </c>
      <c r="BL170" s="407">
        <v>0</v>
      </c>
      <c r="BM170" s="407"/>
      <c r="BN170" s="407"/>
      <c r="BO170" s="407"/>
      <c r="BP170" s="407"/>
      <c r="BQ170" s="407">
        <v>7256.3971151999931</v>
      </c>
      <c r="BR170" s="407"/>
      <c r="BS170" s="407"/>
      <c r="BT170" s="407"/>
      <c r="BU170" s="407"/>
      <c r="BV170" s="407">
        <v>55783.177863202742</v>
      </c>
      <c r="BW170" s="407"/>
      <c r="BX170" s="407"/>
      <c r="BY170" s="407"/>
      <c r="BZ170" s="407"/>
      <c r="CA170" s="407"/>
      <c r="CB170" s="407"/>
      <c r="CC170" s="407"/>
      <c r="CD170" s="407"/>
      <c r="CE170" s="407"/>
      <c r="CF170" s="407"/>
      <c r="CG170" s="407"/>
      <c r="CH170" s="407"/>
      <c r="CI170" s="407">
        <v>113684.308</v>
      </c>
      <c r="CJ170" s="407">
        <v>691.7599840000039</v>
      </c>
      <c r="CK170" s="407"/>
      <c r="CL170" s="407"/>
      <c r="CM170" s="407"/>
      <c r="CN170" s="407"/>
      <c r="CO170" s="407">
        <v>-8876.9371199999987</v>
      </c>
      <c r="CP170" s="407">
        <v>9612.0826399999987</v>
      </c>
      <c r="CQ170" s="407">
        <v>30</v>
      </c>
      <c r="CR170" s="407">
        <v>7931.0275057678518</v>
      </c>
      <c r="CS170" s="407">
        <v>0</v>
      </c>
      <c r="CT170" s="407">
        <v>0</v>
      </c>
      <c r="CU170" s="407">
        <v>0</v>
      </c>
      <c r="CV170" s="407">
        <v>0</v>
      </c>
      <c r="CW170" s="407">
        <v>0</v>
      </c>
      <c r="CX170" s="407">
        <v>0</v>
      </c>
      <c r="CY170" s="407">
        <v>0</v>
      </c>
      <c r="CZ170" s="407">
        <v>767.5055407769396</v>
      </c>
      <c r="DA170" s="407">
        <v>0</v>
      </c>
      <c r="DB170" s="407">
        <v>0</v>
      </c>
      <c r="DC170" s="407">
        <v>10700.234130526253</v>
      </c>
      <c r="DD170" s="407">
        <v>0</v>
      </c>
      <c r="DE170" s="407">
        <v>0</v>
      </c>
      <c r="DF170" s="407">
        <v>0</v>
      </c>
      <c r="DG170" s="407">
        <v>360.06362372010608</v>
      </c>
      <c r="DH170" s="407">
        <v>0</v>
      </c>
      <c r="DI170" s="407">
        <v>-1321.3556053397042</v>
      </c>
      <c r="DJ170" s="407"/>
      <c r="DK170" s="407">
        <v>0</v>
      </c>
      <c r="DL170" s="407">
        <v>0</v>
      </c>
      <c r="DM170" s="407">
        <v>0</v>
      </c>
      <c r="DN170" s="407">
        <v>0</v>
      </c>
      <c r="DO170" s="407">
        <v>-204.43549897545199</v>
      </c>
      <c r="DP170" s="407">
        <v>-23.93947407062592</v>
      </c>
      <c r="DQ170" s="407">
        <v>0</v>
      </c>
      <c r="DR170" s="407">
        <v>-2347.0452108696713</v>
      </c>
      <c r="DS170" s="407"/>
      <c r="DT170" s="407"/>
      <c r="DU170" s="407">
        <v>14093.756340938808</v>
      </c>
      <c r="DV170" s="407">
        <v>0</v>
      </c>
      <c r="DW170" s="407">
        <v>0</v>
      </c>
      <c r="DX170" s="407">
        <v>0</v>
      </c>
      <c r="DY170" s="407">
        <v>-8876.937119999995</v>
      </c>
      <c r="DZ170" s="407">
        <v>9612.0826400000005</v>
      </c>
      <c r="EA170" s="407">
        <v>0</v>
      </c>
      <c r="EB170" s="407">
        <v>0</v>
      </c>
      <c r="EC170" s="407">
        <v>-7199.1234734391937</v>
      </c>
      <c r="ED170" s="407">
        <v>0</v>
      </c>
      <c r="EE170" s="407">
        <v>0</v>
      </c>
      <c r="EF170" s="407">
        <v>0</v>
      </c>
      <c r="EG170" s="407">
        <v>0</v>
      </c>
      <c r="EH170" s="407">
        <v>0</v>
      </c>
      <c r="EI170" s="407">
        <v>0</v>
      </c>
      <c r="EJ170" s="407">
        <v>0</v>
      </c>
      <c r="EK170" s="407">
        <v>0</v>
      </c>
      <c r="EL170" s="407">
        <v>0</v>
      </c>
      <c r="EM170" s="407">
        <v>0</v>
      </c>
      <c r="EN170" s="407">
        <v>0</v>
      </c>
      <c r="EO170" s="407">
        <v>0</v>
      </c>
      <c r="EP170" s="407">
        <v>8936.1064574021329</v>
      </c>
      <c r="EQ170" s="407">
        <v>0</v>
      </c>
      <c r="ER170" s="407">
        <v>0</v>
      </c>
      <c r="ES170" s="407">
        <v>0</v>
      </c>
      <c r="ET170" s="407">
        <v>0</v>
      </c>
      <c r="EU170" s="407">
        <v>0</v>
      </c>
      <c r="EV170" s="407">
        <v>246</v>
      </c>
      <c r="EW170" s="407">
        <v>0</v>
      </c>
      <c r="EX170" s="407">
        <v>0</v>
      </c>
      <c r="EY170" s="407">
        <v>0</v>
      </c>
      <c r="EZ170" s="407"/>
      <c r="FA170" s="407">
        <v>0</v>
      </c>
      <c r="FB170" s="407"/>
      <c r="FC170" s="407"/>
      <c r="FD170" s="407"/>
      <c r="FE170" s="407"/>
      <c r="FF170" s="407">
        <v>0</v>
      </c>
      <c r="FG170" s="407">
        <v>0</v>
      </c>
      <c r="FH170" s="407">
        <v>0</v>
      </c>
      <c r="FI170" s="407">
        <v>0</v>
      </c>
    </row>
    <row r="171" spans="1:165">
      <c r="A171" s="407">
        <v>178</v>
      </c>
      <c r="B171" s="407" t="s">
        <v>1090</v>
      </c>
      <c r="C171" s="407" t="s">
        <v>2317</v>
      </c>
      <c r="D171" s="407" t="s">
        <v>650</v>
      </c>
      <c r="E171" s="407" t="s">
        <v>1052</v>
      </c>
      <c r="F171" s="407" t="s">
        <v>2321</v>
      </c>
      <c r="G171" s="407" t="s">
        <v>97</v>
      </c>
      <c r="H171" s="407" t="s">
        <v>97</v>
      </c>
      <c r="I171" s="407" t="s">
        <v>97</v>
      </c>
      <c r="J171" s="407" t="s">
        <v>2307</v>
      </c>
      <c r="K171" s="818">
        <v>44440</v>
      </c>
      <c r="L171" s="407">
        <v>0</v>
      </c>
      <c r="M171" s="407">
        <v>0</v>
      </c>
      <c r="N171" s="407">
        <v>0</v>
      </c>
      <c r="O171" s="407">
        <v>0</v>
      </c>
      <c r="P171" s="407">
        <v>0</v>
      </c>
      <c r="Q171" s="407">
        <v>0</v>
      </c>
      <c r="R171" s="407"/>
      <c r="S171" s="407"/>
      <c r="T171" s="407"/>
      <c r="U171" s="407"/>
      <c r="V171" s="407"/>
      <c r="W171" s="407"/>
      <c r="X171" s="407"/>
      <c r="Y171" s="407"/>
      <c r="Z171" s="407"/>
      <c r="AA171" s="407">
        <v>0</v>
      </c>
      <c r="AB171" s="407"/>
      <c r="AC171" s="407"/>
      <c r="AD171" s="407"/>
      <c r="AE171" s="407"/>
      <c r="AF171" s="407"/>
      <c r="AG171" s="407"/>
      <c r="AH171" s="407"/>
      <c r="AI171" s="407"/>
      <c r="AJ171" s="407"/>
      <c r="AK171" s="407"/>
      <c r="AL171" s="407"/>
      <c r="AM171" s="407"/>
      <c r="AN171" s="407"/>
      <c r="AO171" s="407"/>
      <c r="AP171" s="407"/>
      <c r="AQ171" s="407"/>
      <c r="AR171" s="407"/>
      <c r="AS171" s="407"/>
      <c r="AT171" s="407"/>
      <c r="AU171" s="407"/>
      <c r="AV171" s="407"/>
      <c r="AW171" s="407"/>
      <c r="AX171" s="407"/>
      <c r="AY171" s="407"/>
      <c r="AZ171" s="407">
        <v>0</v>
      </c>
      <c r="BA171" s="407"/>
      <c r="BB171" s="407"/>
      <c r="BC171" s="407"/>
      <c r="BD171" s="407"/>
      <c r="BE171" s="407"/>
      <c r="BF171" s="407"/>
      <c r="BG171" s="407"/>
      <c r="BH171" s="407"/>
      <c r="BI171" s="407">
        <v>1109.8800000000001</v>
      </c>
      <c r="BJ171" s="407">
        <v>5353.62</v>
      </c>
      <c r="BK171" s="407">
        <v>98109.66</v>
      </c>
      <c r="BL171" s="407">
        <v>3</v>
      </c>
      <c r="BM171" s="407"/>
      <c r="BN171" s="407"/>
      <c r="BO171" s="407"/>
      <c r="BP171" s="407"/>
      <c r="BQ171" s="407"/>
      <c r="BR171" s="407"/>
      <c r="BS171" s="407"/>
      <c r="BT171" s="407"/>
      <c r="BU171" s="407"/>
      <c r="BV171" s="407"/>
      <c r="BW171" s="407"/>
      <c r="BX171" s="407"/>
      <c r="BY171" s="407"/>
      <c r="BZ171" s="407"/>
      <c r="CA171" s="407"/>
      <c r="CB171" s="407"/>
      <c r="CC171" s="407"/>
      <c r="CD171" s="407"/>
      <c r="CE171" s="407"/>
      <c r="CF171" s="407"/>
      <c r="CG171" s="407"/>
      <c r="CH171" s="407"/>
      <c r="CI171" s="407"/>
      <c r="CJ171" s="407">
        <v>-0.03</v>
      </c>
      <c r="CK171" s="407"/>
      <c r="CL171" s="407"/>
      <c r="CM171" s="407"/>
      <c r="CN171" s="407"/>
      <c r="CO171" s="407">
        <v>0</v>
      </c>
      <c r="CP171" s="407">
        <v>0</v>
      </c>
      <c r="CQ171" s="407">
        <v>30</v>
      </c>
      <c r="CR171" s="407"/>
      <c r="CS171" s="407"/>
      <c r="CT171" s="407"/>
      <c r="CU171" s="407"/>
      <c r="CV171" s="407"/>
      <c r="CW171" s="407"/>
      <c r="CX171" s="407"/>
      <c r="CY171" s="407"/>
      <c r="CZ171" s="407"/>
      <c r="DA171" s="407"/>
      <c r="DB171" s="407"/>
      <c r="DC171" s="407"/>
      <c r="DD171" s="407"/>
      <c r="DE171" s="407"/>
      <c r="DF171" s="407"/>
      <c r="DG171" s="407"/>
      <c r="DH171" s="407"/>
      <c r="DI171" s="407"/>
      <c r="DJ171" s="407"/>
      <c r="DK171" s="407">
        <v>0</v>
      </c>
      <c r="DL171" s="407"/>
      <c r="DM171" s="407"/>
      <c r="DN171" s="407"/>
      <c r="DO171" s="407"/>
      <c r="DP171" s="407"/>
      <c r="DQ171" s="407"/>
      <c r="DR171" s="407"/>
      <c r="DS171" s="407"/>
      <c r="DT171" s="407"/>
      <c r="DU171" s="407"/>
      <c r="DV171" s="407"/>
      <c r="DW171" s="407"/>
      <c r="DX171" s="407"/>
      <c r="DY171" s="407"/>
      <c r="DZ171" s="407"/>
      <c r="EA171" s="407"/>
      <c r="EB171" s="407"/>
      <c r="EC171" s="407"/>
      <c r="ED171" s="407"/>
      <c r="EE171" s="407"/>
      <c r="EF171" s="407"/>
      <c r="EG171" s="407"/>
      <c r="EH171" s="407"/>
      <c r="EI171" s="407"/>
      <c r="EJ171" s="407"/>
      <c r="EK171" s="407"/>
      <c r="EL171" s="407"/>
      <c r="EM171" s="407"/>
      <c r="EN171" s="407"/>
      <c r="EO171" s="407"/>
      <c r="EP171" s="407"/>
      <c r="EQ171" s="407"/>
      <c r="ER171" s="407"/>
      <c r="ES171" s="407"/>
      <c r="ET171" s="407"/>
      <c r="EU171" s="407"/>
      <c r="EV171" s="407">
        <v>246</v>
      </c>
      <c r="EW171" s="407"/>
      <c r="EX171" s="407"/>
      <c r="EY171" s="407"/>
      <c r="EZ171" s="407"/>
      <c r="FA171" s="407">
        <v>0</v>
      </c>
      <c r="FB171" s="407"/>
      <c r="FC171" s="407"/>
      <c r="FD171" s="407"/>
      <c r="FE171" s="407"/>
      <c r="FF171" s="407">
        <v>0</v>
      </c>
      <c r="FG171" s="407">
        <v>0</v>
      </c>
      <c r="FH171" s="407">
        <v>0</v>
      </c>
      <c r="FI171" s="407">
        <v>0</v>
      </c>
    </row>
    <row r="172" spans="1:165">
      <c r="A172" s="407">
        <v>179</v>
      </c>
      <c r="B172" s="407" t="s">
        <v>1090</v>
      </c>
      <c r="C172" s="407" t="s">
        <v>2306</v>
      </c>
      <c r="D172" s="407" t="s">
        <v>1219</v>
      </c>
      <c r="E172" s="407" t="s">
        <v>2322</v>
      </c>
      <c r="F172" s="407" t="s">
        <v>97</v>
      </c>
      <c r="G172" s="407" t="s">
        <v>97</v>
      </c>
      <c r="H172" s="407" t="s">
        <v>97</v>
      </c>
      <c r="I172" s="407" t="s">
        <v>97</v>
      </c>
      <c r="J172" s="407" t="s">
        <v>2307</v>
      </c>
      <c r="K172" s="818">
        <v>44440</v>
      </c>
      <c r="L172" s="407">
        <v>0</v>
      </c>
      <c r="M172" s="407">
        <v>0</v>
      </c>
      <c r="N172" s="407">
        <v>4.49</v>
      </c>
      <c r="O172" s="407">
        <v>4.49</v>
      </c>
      <c r="P172" s="407">
        <v>4.49</v>
      </c>
      <c r="Q172" s="407">
        <v>4.49</v>
      </c>
      <c r="R172" s="407"/>
      <c r="S172" s="407">
        <v>648.44000000000005</v>
      </c>
      <c r="T172" s="407">
        <v>159.41</v>
      </c>
      <c r="U172" s="407"/>
      <c r="V172" s="407">
        <v>3627.2465000000002</v>
      </c>
      <c r="W172" s="407">
        <v>3627.2465000000002</v>
      </c>
      <c r="X172" s="407">
        <v>2747.0718000000002</v>
      </c>
      <c r="Y172" s="407">
        <v>0</v>
      </c>
      <c r="Z172" s="407">
        <v>278.24642532873008</v>
      </c>
      <c r="AA172" s="407">
        <v>0</v>
      </c>
      <c r="AB172" s="407">
        <v>0</v>
      </c>
      <c r="AC172" s="407">
        <v>0</v>
      </c>
      <c r="AD172" s="407">
        <v>523.73347369150281</v>
      </c>
      <c r="AE172" s="407">
        <v>1874.7814986339758</v>
      </c>
      <c r="AF172" s="407">
        <v>692.49591804185934</v>
      </c>
      <c r="AG172" s="407">
        <v>23.26604509911709</v>
      </c>
      <c r="AH172" s="407">
        <v>0</v>
      </c>
      <c r="AI172" s="407">
        <v>0</v>
      </c>
      <c r="AJ172" s="407">
        <v>0</v>
      </c>
      <c r="AK172" s="407">
        <v>0</v>
      </c>
      <c r="AL172" s="407">
        <v>42.996488524832166</v>
      </c>
      <c r="AM172" s="407"/>
      <c r="AN172" s="407">
        <v>9.3171794257478364</v>
      </c>
      <c r="AO172" s="407">
        <v>0</v>
      </c>
      <c r="AP172" s="407">
        <v>0</v>
      </c>
      <c r="AQ172" s="407">
        <v>0</v>
      </c>
      <c r="AR172" s="407">
        <v>0</v>
      </c>
      <c r="AS172" s="407">
        <v>0</v>
      </c>
      <c r="AT172" s="407">
        <v>0</v>
      </c>
      <c r="AU172" s="407">
        <v>0</v>
      </c>
      <c r="AV172" s="407">
        <v>0</v>
      </c>
      <c r="AW172" s="407">
        <v>0</v>
      </c>
      <c r="AX172" s="407">
        <v>0</v>
      </c>
      <c r="AY172" s="407">
        <v>0</v>
      </c>
      <c r="AZ172" s="407">
        <v>0</v>
      </c>
      <c r="BA172" s="407"/>
      <c r="BB172" s="407">
        <v>0</v>
      </c>
      <c r="BC172" s="407">
        <v>0</v>
      </c>
      <c r="BD172" s="407">
        <v>0</v>
      </c>
      <c r="BE172" s="407">
        <v>0</v>
      </c>
      <c r="BF172" s="407">
        <v>0</v>
      </c>
      <c r="BG172" s="407">
        <v>50.619240305263901</v>
      </c>
      <c r="BH172" s="407">
        <v>0</v>
      </c>
      <c r="BI172" s="407">
        <v>16.36</v>
      </c>
      <c r="BJ172" s="407">
        <v>78.98</v>
      </c>
      <c r="BK172" s="407">
        <v>1444.89</v>
      </c>
      <c r="BL172" s="407">
        <v>5</v>
      </c>
      <c r="BM172" s="407"/>
      <c r="BN172" s="407"/>
      <c r="BO172" s="407"/>
      <c r="BP172" s="407"/>
      <c r="BQ172" s="407"/>
      <c r="BR172" s="407"/>
      <c r="BS172" s="407"/>
      <c r="BT172" s="407"/>
      <c r="BU172" s="407"/>
      <c r="BV172" s="407">
        <v>743.11515834712327</v>
      </c>
      <c r="BW172" s="407"/>
      <c r="BX172" s="407"/>
      <c r="BY172" s="407"/>
      <c r="BZ172" s="407"/>
      <c r="CA172" s="407"/>
      <c r="CB172" s="407"/>
      <c r="CC172" s="407"/>
      <c r="CD172" s="407"/>
      <c r="CE172" s="407"/>
      <c r="CF172" s="407"/>
      <c r="CG172" s="407"/>
      <c r="CH172" s="407"/>
      <c r="CI172" s="407">
        <v>2747.0718000000002</v>
      </c>
      <c r="CJ172" s="407">
        <v>-880.20470000000068</v>
      </c>
      <c r="CK172" s="407"/>
      <c r="CL172" s="407"/>
      <c r="CM172" s="407"/>
      <c r="CN172" s="407"/>
      <c r="CO172" s="407">
        <v>-1003.5150000000003</v>
      </c>
      <c r="CP172" s="407">
        <v>123.3403</v>
      </c>
      <c r="CQ172" s="407">
        <v>30</v>
      </c>
      <c r="CR172" s="407">
        <v>77.470540890306211</v>
      </c>
      <c r="CS172" s="407">
        <v>0</v>
      </c>
      <c r="CT172" s="407">
        <v>0</v>
      </c>
      <c r="CU172" s="407">
        <v>0</v>
      </c>
      <c r="CV172" s="407">
        <v>0</v>
      </c>
      <c r="CW172" s="407">
        <v>0</v>
      </c>
      <c r="CX172" s="407">
        <v>0</v>
      </c>
      <c r="CY172" s="407">
        <v>0</v>
      </c>
      <c r="CZ172" s="407">
        <v>23.658079470632288</v>
      </c>
      <c r="DA172" s="407">
        <v>0</v>
      </c>
      <c r="DB172" s="407">
        <v>0</v>
      </c>
      <c r="DC172" s="407">
        <v>137.30323980333026</v>
      </c>
      <c r="DD172" s="407">
        <v>0</v>
      </c>
      <c r="DE172" s="407">
        <v>0</v>
      </c>
      <c r="DF172" s="407">
        <v>0</v>
      </c>
      <c r="DG172" s="407">
        <v>10.036428387836303</v>
      </c>
      <c r="DH172" s="407">
        <v>0</v>
      </c>
      <c r="DI172" s="407">
        <v>-19.488928539718245</v>
      </c>
      <c r="DJ172" s="407"/>
      <c r="DK172" s="407">
        <v>0</v>
      </c>
      <c r="DL172" s="407">
        <v>0</v>
      </c>
      <c r="DM172" s="407">
        <v>0</v>
      </c>
      <c r="DN172" s="407">
        <v>0</v>
      </c>
      <c r="DO172" s="407">
        <v>-2.6232749674197464</v>
      </c>
      <c r="DP172" s="407">
        <v>-0.59366817944648709</v>
      </c>
      <c r="DQ172" s="407">
        <v>0</v>
      </c>
      <c r="DR172" s="407">
        <v>-70.821335084908014</v>
      </c>
      <c r="DS172" s="407"/>
      <c r="DT172" s="407"/>
      <c r="DU172" s="407"/>
      <c r="DV172" s="407">
        <v>1874.7814986339758</v>
      </c>
      <c r="DW172" s="407">
        <v>0</v>
      </c>
      <c r="DX172" s="407">
        <v>0</v>
      </c>
      <c r="DY172" s="407">
        <v>-1003.5150000000001</v>
      </c>
      <c r="DZ172" s="407">
        <v>123.34030000000007</v>
      </c>
      <c r="EA172" s="407">
        <v>0</v>
      </c>
      <c r="EB172" s="407">
        <v>0</v>
      </c>
      <c r="EC172" s="407">
        <v>-957.64274391352944</v>
      </c>
      <c r="ED172" s="407">
        <v>0</v>
      </c>
      <c r="EE172" s="407">
        <v>0</v>
      </c>
      <c r="EF172" s="407">
        <v>0</v>
      </c>
      <c r="EG172" s="407">
        <v>0</v>
      </c>
      <c r="EH172" s="407">
        <v>0</v>
      </c>
      <c r="EI172" s="407">
        <v>0</v>
      </c>
      <c r="EJ172" s="407">
        <v>0</v>
      </c>
      <c r="EK172" s="407">
        <v>0</v>
      </c>
      <c r="EL172" s="407">
        <v>0</v>
      </c>
      <c r="EM172" s="407">
        <v>0</v>
      </c>
      <c r="EN172" s="407">
        <v>0</v>
      </c>
      <c r="EO172" s="407">
        <v>0</v>
      </c>
      <c r="EP172" s="407">
        <v>131.80035674564218</v>
      </c>
      <c r="EQ172" s="407">
        <v>0</v>
      </c>
      <c r="ER172" s="407">
        <v>0</v>
      </c>
      <c r="ES172" s="407">
        <v>0</v>
      </c>
      <c r="ET172" s="407">
        <v>0</v>
      </c>
      <c r="EU172" s="407">
        <v>0</v>
      </c>
      <c r="EV172" s="407">
        <v>246</v>
      </c>
      <c r="EW172" s="407">
        <v>0</v>
      </c>
      <c r="EX172" s="407">
        <v>0</v>
      </c>
      <c r="EY172" s="407">
        <v>0</v>
      </c>
      <c r="EZ172" s="407"/>
      <c r="FA172" s="407">
        <v>0</v>
      </c>
      <c r="FB172" s="407"/>
      <c r="FC172" s="407"/>
      <c r="FD172" s="407"/>
      <c r="FE172" s="407"/>
      <c r="FF172" s="407">
        <v>0</v>
      </c>
      <c r="FG172" s="407">
        <v>0</v>
      </c>
      <c r="FH172" s="407">
        <v>0</v>
      </c>
      <c r="FI172" s="407">
        <v>0</v>
      </c>
    </row>
    <row r="173" spans="1:165">
      <c r="A173" s="407">
        <v>180</v>
      </c>
      <c r="B173" s="407" t="s">
        <v>1090</v>
      </c>
      <c r="C173" s="407" t="s">
        <v>2306</v>
      </c>
      <c r="D173" s="407" t="s">
        <v>2315</v>
      </c>
      <c r="E173" s="407" t="s">
        <v>1026</v>
      </c>
      <c r="F173" s="407" t="s">
        <v>2323</v>
      </c>
      <c r="G173" s="407" t="s">
        <v>2324</v>
      </c>
      <c r="H173" s="407" t="s">
        <v>97</v>
      </c>
      <c r="I173" s="407" t="s">
        <v>97</v>
      </c>
      <c r="J173" s="407" t="s">
        <v>2307</v>
      </c>
      <c r="K173" s="818">
        <v>44440</v>
      </c>
      <c r="L173" s="407">
        <v>0</v>
      </c>
      <c r="M173" s="407">
        <v>0</v>
      </c>
      <c r="N173" s="407">
        <v>0</v>
      </c>
      <c r="O173" s="407">
        <v>0</v>
      </c>
      <c r="P173" s="407">
        <v>0</v>
      </c>
      <c r="Q173" s="407">
        <v>0</v>
      </c>
      <c r="R173" s="407"/>
      <c r="S173" s="407"/>
      <c r="T173" s="407"/>
      <c r="U173" s="407"/>
      <c r="V173" s="407"/>
      <c r="W173" s="407"/>
      <c r="X173" s="407"/>
      <c r="Y173" s="407"/>
      <c r="Z173" s="407"/>
      <c r="AA173" s="407">
        <v>0</v>
      </c>
      <c r="AB173" s="407"/>
      <c r="AC173" s="407"/>
      <c r="AD173" s="407"/>
      <c r="AE173" s="407"/>
      <c r="AF173" s="407"/>
      <c r="AG173" s="407"/>
      <c r="AH173" s="407"/>
      <c r="AI173" s="407"/>
      <c r="AJ173" s="407"/>
      <c r="AK173" s="407"/>
      <c r="AL173" s="407"/>
      <c r="AM173" s="407"/>
      <c r="AN173" s="407"/>
      <c r="AO173" s="407"/>
      <c r="AP173" s="407"/>
      <c r="AQ173" s="407"/>
      <c r="AR173" s="407"/>
      <c r="AS173" s="407"/>
      <c r="AT173" s="407"/>
      <c r="AU173" s="407"/>
      <c r="AV173" s="407"/>
      <c r="AW173" s="407"/>
      <c r="AX173" s="407"/>
      <c r="AY173" s="407"/>
      <c r="AZ173" s="407">
        <v>0</v>
      </c>
      <c r="BA173" s="407"/>
      <c r="BB173" s="407"/>
      <c r="BC173" s="407"/>
      <c r="BD173" s="407"/>
      <c r="BE173" s="407"/>
      <c r="BF173" s="407"/>
      <c r="BG173" s="407"/>
      <c r="BH173" s="407"/>
      <c r="BI173" s="407">
        <v>38.78</v>
      </c>
      <c r="BJ173" s="407">
        <v>187.96</v>
      </c>
      <c r="BK173" s="407">
        <v>372.6</v>
      </c>
      <c r="BL173" s="407">
        <v>39</v>
      </c>
      <c r="BM173" s="407"/>
      <c r="BN173" s="407"/>
      <c r="BO173" s="407"/>
      <c r="BP173" s="407"/>
      <c r="BQ173" s="407"/>
      <c r="BR173" s="407"/>
      <c r="BS173" s="407"/>
      <c r="BT173" s="407"/>
      <c r="BU173" s="407"/>
      <c r="BV173" s="407"/>
      <c r="BW173" s="407"/>
      <c r="BX173" s="407"/>
      <c r="BY173" s="407"/>
      <c r="BZ173" s="407"/>
      <c r="CA173" s="407"/>
      <c r="CB173" s="407"/>
      <c r="CC173" s="407"/>
      <c r="CD173" s="407"/>
      <c r="CE173" s="407"/>
      <c r="CF173" s="407"/>
      <c r="CG173" s="407"/>
      <c r="CH173" s="407"/>
      <c r="CI173" s="407"/>
      <c r="CJ173" s="407">
        <v>-0.03</v>
      </c>
      <c r="CK173" s="407"/>
      <c r="CL173" s="407"/>
      <c r="CM173" s="407"/>
      <c r="CN173" s="407"/>
      <c r="CO173" s="407">
        <v>0</v>
      </c>
      <c r="CP173" s="407">
        <v>0</v>
      </c>
      <c r="CQ173" s="407">
        <v>30</v>
      </c>
      <c r="CR173" s="407"/>
      <c r="CS173" s="407"/>
      <c r="CT173" s="407"/>
      <c r="CU173" s="407"/>
      <c r="CV173" s="407"/>
      <c r="CW173" s="407"/>
      <c r="CX173" s="407"/>
      <c r="CY173" s="407"/>
      <c r="CZ173" s="407"/>
      <c r="DA173" s="407"/>
      <c r="DB173" s="407"/>
      <c r="DC173" s="407"/>
      <c r="DD173" s="407"/>
      <c r="DE173" s="407"/>
      <c r="DF173" s="407"/>
      <c r="DG173" s="407"/>
      <c r="DH173" s="407"/>
      <c r="DI173" s="407"/>
      <c r="DJ173" s="407"/>
      <c r="DK173" s="407">
        <v>0</v>
      </c>
      <c r="DL173" s="407"/>
      <c r="DM173" s="407"/>
      <c r="DN173" s="407"/>
      <c r="DO173" s="407"/>
      <c r="DP173" s="407"/>
      <c r="DQ173" s="407"/>
      <c r="DR173" s="407"/>
      <c r="DS173" s="407"/>
      <c r="DT173" s="407"/>
      <c r="DU173" s="407"/>
      <c r="DV173" s="407"/>
      <c r="DW173" s="407"/>
      <c r="DX173" s="407"/>
      <c r="DY173" s="407"/>
      <c r="DZ173" s="407"/>
      <c r="EA173" s="407"/>
      <c r="EB173" s="407"/>
      <c r="EC173" s="407"/>
      <c r="ED173" s="407"/>
      <c r="EE173" s="407"/>
      <c r="EF173" s="407"/>
      <c r="EG173" s="407"/>
      <c r="EH173" s="407"/>
      <c r="EI173" s="407"/>
      <c r="EJ173" s="407"/>
      <c r="EK173" s="407"/>
      <c r="EL173" s="407"/>
      <c r="EM173" s="407"/>
      <c r="EN173" s="407"/>
      <c r="EO173" s="407"/>
      <c r="EP173" s="407"/>
      <c r="EQ173" s="407"/>
      <c r="ER173" s="407"/>
      <c r="ES173" s="407"/>
      <c r="ET173" s="407"/>
      <c r="EU173" s="407"/>
      <c r="EV173" s="407">
        <v>246</v>
      </c>
      <c r="EW173" s="407"/>
      <c r="EX173" s="407"/>
      <c r="EY173" s="407"/>
      <c r="EZ173" s="407"/>
      <c r="FA173" s="407">
        <v>0</v>
      </c>
      <c r="FB173" s="407"/>
      <c r="FC173" s="407"/>
      <c r="FD173" s="407"/>
      <c r="FE173" s="407"/>
      <c r="FF173" s="407">
        <v>0</v>
      </c>
      <c r="FG173" s="407">
        <v>0</v>
      </c>
      <c r="FH173" s="407">
        <v>0</v>
      </c>
      <c r="FI173" s="407">
        <v>0</v>
      </c>
    </row>
    <row r="174" spans="1:165">
      <c r="A174" s="407">
        <v>181</v>
      </c>
      <c r="B174" s="407" t="s">
        <v>2309</v>
      </c>
      <c r="C174" s="407" t="s">
        <v>2306</v>
      </c>
      <c r="D174" s="407" t="s">
        <v>2315</v>
      </c>
      <c r="E174" s="407" t="s">
        <v>1026</v>
      </c>
      <c r="F174" s="407" t="s">
        <v>2323</v>
      </c>
      <c r="G174" s="407" t="s">
        <v>2324</v>
      </c>
      <c r="H174" s="407" t="s">
        <v>97</v>
      </c>
      <c r="I174" s="407" t="s">
        <v>97</v>
      </c>
      <c r="J174" s="407" t="s">
        <v>2307</v>
      </c>
      <c r="K174" s="818">
        <v>44440</v>
      </c>
      <c r="L174" s="407">
        <v>0</v>
      </c>
      <c r="M174" s="407">
        <v>0</v>
      </c>
      <c r="N174" s="407">
        <v>0</v>
      </c>
      <c r="O174" s="407">
        <v>0</v>
      </c>
      <c r="P174" s="407">
        <v>0</v>
      </c>
      <c r="Q174" s="407">
        <v>0</v>
      </c>
      <c r="R174" s="407"/>
      <c r="S174" s="407"/>
      <c r="T174" s="407"/>
      <c r="U174" s="407"/>
      <c r="V174" s="407"/>
      <c r="W174" s="407"/>
      <c r="X174" s="407"/>
      <c r="Y174" s="407"/>
      <c r="Z174" s="407"/>
      <c r="AA174" s="407">
        <v>0</v>
      </c>
      <c r="AB174" s="407"/>
      <c r="AC174" s="407"/>
      <c r="AD174" s="407"/>
      <c r="AE174" s="407"/>
      <c r="AF174" s="407"/>
      <c r="AG174" s="407"/>
      <c r="AH174" s="407"/>
      <c r="AI174" s="407"/>
      <c r="AJ174" s="407"/>
      <c r="AK174" s="407"/>
      <c r="AL174" s="407"/>
      <c r="AM174" s="407"/>
      <c r="AN174" s="407"/>
      <c r="AO174" s="407"/>
      <c r="AP174" s="407"/>
      <c r="AQ174" s="407"/>
      <c r="AR174" s="407"/>
      <c r="AS174" s="407"/>
      <c r="AT174" s="407"/>
      <c r="AU174" s="407"/>
      <c r="AV174" s="407"/>
      <c r="AW174" s="407"/>
      <c r="AX174" s="407"/>
      <c r="AY174" s="407"/>
      <c r="AZ174" s="407">
        <v>0</v>
      </c>
      <c r="BA174" s="407"/>
      <c r="BB174" s="407"/>
      <c r="BC174" s="407"/>
      <c r="BD174" s="407"/>
      <c r="BE174" s="407"/>
      <c r="BF174" s="407"/>
      <c r="BG174" s="407"/>
      <c r="BH174" s="407"/>
      <c r="BI174" s="407">
        <v>0.54</v>
      </c>
      <c r="BJ174" s="407">
        <v>2.62</v>
      </c>
      <c r="BK174" s="407">
        <v>20.29</v>
      </c>
      <c r="BL174" s="407">
        <v>2</v>
      </c>
      <c r="BM174" s="407"/>
      <c r="BN174" s="407"/>
      <c r="BO174" s="407"/>
      <c r="BP174" s="407"/>
      <c r="BQ174" s="407"/>
      <c r="BR174" s="407"/>
      <c r="BS174" s="407"/>
      <c r="BT174" s="407"/>
      <c r="BU174" s="407"/>
      <c r="BV174" s="407"/>
      <c r="BW174" s="407"/>
      <c r="BX174" s="407"/>
      <c r="BY174" s="407"/>
      <c r="BZ174" s="407"/>
      <c r="CA174" s="407"/>
      <c r="CB174" s="407"/>
      <c r="CC174" s="407"/>
      <c r="CD174" s="407"/>
      <c r="CE174" s="407"/>
      <c r="CF174" s="407"/>
      <c r="CG174" s="407"/>
      <c r="CH174" s="407"/>
      <c r="CI174" s="407"/>
      <c r="CJ174" s="407">
        <v>-0.03</v>
      </c>
      <c r="CK174" s="407"/>
      <c r="CL174" s="407"/>
      <c r="CM174" s="407"/>
      <c r="CN174" s="407"/>
      <c r="CO174" s="407">
        <v>0</v>
      </c>
      <c r="CP174" s="407">
        <v>0</v>
      </c>
      <c r="CQ174" s="407">
        <v>30</v>
      </c>
      <c r="CR174" s="407"/>
      <c r="CS174" s="407"/>
      <c r="CT174" s="407"/>
      <c r="CU174" s="407"/>
      <c r="CV174" s="407"/>
      <c r="CW174" s="407"/>
      <c r="CX174" s="407"/>
      <c r="CY174" s="407"/>
      <c r="CZ174" s="407"/>
      <c r="DA174" s="407"/>
      <c r="DB174" s="407"/>
      <c r="DC174" s="407"/>
      <c r="DD174" s="407"/>
      <c r="DE174" s="407"/>
      <c r="DF174" s="407"/>
      <c r="DG174" s="407"/>
      <c r="DH174" s="407"/>
      <c r="DI174" s="407"/>
      <c r="DJ174" s="407"/>
      <c r="DK174" s="407">
        <v>0</v>
      </c>
      <c r="DL174" s="407"/>
      <c r="DM174" s="407"/>
      <c r="DN174" s="407"/>
      <c r="DO174" s="407"/>
      <c r="DP174" s="407"/>
      <c r="DQ174" s="407"/>
      <c r="DR174" s="407"/>
      <c r="DS174" s="407"/>
      <c r="DT174" s="407"/>
      <c r="DU174" s="407"/>
      <c r="DV174" s="407"/>
      <c r="DW174" s="407"/>
      <c r="DX174" s="407"/>
      <c r="DY174" s="407"/>
      <c r="DZ174" s="407"/>
      <c r="EA174" s="407"/>
      <c r="EB174" s="407"/>
      <c r="EC174" s="407"/>
      <c r="ED174" s="407"/>
      <c r="EE174" s="407"/>
      <c r="EF174" s="407"/>
      <c r="EG174" s="407"/>
      <c r="EH174" s="407"/>
      <c r="EI174" s="407"/>
      <c r="EJ174" s="407"/>
      <c r="EK174" s="407"/>
      <c r="EL174" s="407"/>
      <c r="EM174" s="407"/>
      <c r="EN174" s="407"/>
      <c r="EO174" s="407"/>
      <c r="EP174" s="407"/>
      <c r="EQ174" s="407"/>
      <c r="ER174" s="407"/>
      <c r="ES174" s="407"/>
      <c r="ET174" s="407"/>
      <c r="EU174" s="407"/>
      <c r="EV174" s="407">
        <v>246</v>
      </c>
      <c r="EW174" s="407"/>
      <c r="EX174" s="407"/>
      <c r="EY174" s="407"/>
      <c r="EZ174" s="407"/>
      <c r="FA174" s="407">
        <v>0</v>
      </c>
      <c r="FB174" s="407"/>
      <c r="FC174" s="407"/>
      <c r="FD174" s="407"/>
      <c r="FE174" s="407"/>
      <c r="FF174" s="407">
        <v>0</v>
      </c>
      <c r="FG174" s="407">
        <v>0</v>
      </c>
      <c r="FH174" s="407">
        <v>0</v>
      </c>
      <c r="FI174" s="407">
        <v>0</v>
      </c>
    </row>
    <row r="175" spans="1:165">
      <c r="A175" s="407">
        <v>182</v>
      </c>
      <c r="B175" s="407" t="s">
        <v>1090</v>
      </c>
      <c r="C175" s="407" t="s">
        <v>2306</v>
      </c>
      <c r="D175" s="407" t="s">
        <v>2315</v>
      </c>
      <c r="E175" s="407" t="s">
        <v>1026</v>
      </c>
      <c r="F175" s="407" t="s">
        <v>2323</v>
      </c>
      <c r="G175" s="407" t="s">
        <v>2324</v>
      </c>
      <c r="H175" s="407" t="s">
        <v>97</v>
      </c>
      <c r="I175" s="407" t="s">
        <v>97</v>
      </c>
      <c r="J175" s="407" t="s">
        <v>2307</v>
      </c>
      <c r="K175" s="818">
        <v>44440</v>
      </c>
      <c r="L175" s="407">
        <v>0</v>
      </c>
      <c r="M175" s="407">
        <v>0</v>
      </c>
      <c r="N175" s="407">
        <v>12.303000000000001</v>
      </c>
      <c r="O175" s="407">
        <v>12.303000000000001</v>
      </c>
      <c r="P175" s="407">
        <v>12.303000000000001</v>
      </c>
      <c r="Q175" s="407">
        <v>12.303000000000001</v>
      </c>
      <c r="R175" s="407"/>
      <c r="S175" s="407">
        <v>648.44000000000005</v>
      </c>
      <c r="T175" s="407">
        <v>159.41</v>
      </c>
      <c r="U175" s="407"/>
      <c r="V175" s="407">
        <v>9938.9785500000016</v>
      </c>
      <c r="W175" s="407">
        <v>9938.9785500000016</v>
      </c>
      <c r="X175" s="407">
        <v>7527.2214600000007</v>
      </c>
      <c r="Y175" s="407">
        <v>0</v>
      </c>
      <c r="Z175" s="407">
        <v>762.41999350097251</v>
      </c>
      <c r="AA175" s="407">
        <v>0</v>
      </c>
      <c r="AB175" s="407">
        <v>0</v>
      </c>
      <c r="AC175" s="407">
        <v>0</v>
      </c>
      <c r="AD175" s="407">
        <v>1435.0763756852027</v>
      </c>
      <c r="AE175" s="407">
        <v>5137.068324653409</v>
      </c>
      <c r="AF175" s="407">
        <v>1897.50050772138</v>
      </c>
      <c r="AG175" s="407">
        <v>63.751036270476071</v>
      </c>
      <c r="AH175" s="407">
        <v>0</v>
      </c>
      <c r="AI175" s="407">
        <v>0</v>
      </c>
      <c r="AJ175" s="407">
        <v>0</v>
      </c>
      <c r="AK175" s="407">
        <v>0</v>
      </c>
      <c r="AL175" s="407">
        <v>117.81420898018044</v>
      </c>
      <c r="AM175" s="407"/>
      <c r="AN175" s="407">
        <v>25.529901664805262</v>
      </c>
      <c r="AO175" s="407">
        <v>0</v>
      </c>
      <c r="AP175" s="407">
        <v>0</v>
      </c>
      <c r="AQ175" s="407">
        <v>0</v>
      </c>
      <c r="AR175" s="407">
        <v>0</v>
      </c>
      <c r="AS175" s="407">
        <v>0</v>
      </c>
      <c r="AT175" s="407">
        <v>0</v>
      </c>
      <c r="AU175" s="407">
        <v>0</v>
      </c>
      <c r="AV175" s="407">
        <v>0</v>
      </c>
      <c r="AW175" s="407">
        <v>0</v>
      </c>
      <c r="AX175" s="407">
        <v>0</v>
      </c>
      <c r="AY175" s="407">
        <v>0</v>
      </c>
      <c r="AZ175" s="407">
        <v>0</v>
      </c>
      <c r="BA175" s="407"/>
      <c r="BB175" s="407">
        <v>0</v>
      </c>
      <c r="BC175" s="407">
        <v>0</v>
      </c>
      <c r="BD175" s="407">
        <v>0</v>
      </c>
      <c r="BE175" s="407">
        <v>0</v>
      </c>
      <c r="BF175" s="407">
        <v>0</v>
      </c>
      <c r="BG175" s="407">
        <v>138.70122794558168</v>
      </c>
      <c r="BH175" s="407">
        <v>0</v>
      </c>
      <c r="BI175" s="407">
        <v>0</v>
      </c>
      <c r="BJ175" s="407">
        <v>0</v>
      </c>
      <c r="BK175" s="407">
        <v>0</v>
      </c>
      <c r="BL175" s="407">
        <v>0</v>
      </c>
      <c r="BM175" s="407"/>
      <c r="BN175" s="407"/>
      <c r="BO175" s="407"/>
      <c r="BP175" s="407"/>
      <c r="BQ175" s="407"/>
      <c r="BR175" s="407">
        <v>903.2862600000002</v>
      </c>
      <c r="BS175" s="407"/>
      <c r="BT175" s="407"/>
      <c r="BU175" s="407"/>
      <c r="BV175" s="407">
        <v>2036.2017356669617</v>
      </c>
      <c r="BW175" s="407"/>
      <c r="BX175" s="407"/>
      <c r="BY175" s="407"/>
      <c r="BZ175" s="407"/>
      <c r="CA175" s="407"/>
      <c r="CB175" s="407"/>
      <c r="CC175" s="407"/>
      <c r="CD175" s="407"/>
      <c r="CE175" s="407"/>
      <c r="CF175" s="407"/>
      <c r="CG175" s="407"/>
      <c r="CH175" s="407"/>
      <c r="CI175" s="407">
        <v>6622.32</v>
      </c>
      <c r="CJ175" s="407">
        <v>-2124.0357300000014</v>
      </c>
      <c r="CK175" s="407"/>
      <c r="CL175" s="407"/>
      <c r="CM175" s="407"/>
      <c r="CN175" s="407"/>
      <c r="CO175" s="407">
        <v>-2749.7205000000008</v>
      </c>
      <c r="CP175" s="407">
        <v>337.96341000000001</v>
      </c>
      <c r="CQ175" s="407">
        <v>30</v>
      </c>
      <c r="CR175" s="407">
        <v>212.27618364664613</v>
      </c>
      <c r="CS175" s="407">
        <v>0</v>
      </c>
      <c r="CT175" s="407">
        <v>0</v>
      </c>
      <c r="CU175" s="407">
        <v>0</v>
      </c>
      <c r="CV175" s="407">
        <v>0</v>
      </c>
      <c r="CW175" s="407">
        <v>0</v>
      </c>
      <c r="CX175" s="407">
        <v>0</v>
      </c>
      <c r="CY175" s="407">
        <v>0</v>
      </c>
      <c r="CZ175" s="407">
        <v>64.825245373538337</v>
      </c>
      <c r="DA175" s="407">
        <v>0</v>
      </c>
      <c r="DB175" s="407">
        <v>0</v>
      </c>
      <c r="DC175" s="407">
        <v>376.22310897558373</v>
      </c>
      <c r="DD175" s="407">
        <v>0</v>
      </c>
      <c r="DE175" s="407">
        <v>0</v>
      </c>
      <c r="DF175" s="407">
        <v>0</v>
      </c>
      <c r="DG175" s="407">
        <v>27.500707896559049</v>
      </c>
      <c r="DH175" s="407">
        <v>0</v>
      </c>
      <c r="DI175" s="407">
        <v>-53.401400406270341</v>
      </c>
      <c r="DJ175" s="407"/>
      <c r="DK175" s="407">
        <v>0</v>
      </c>
      <c r="DL175" s="407">
        <v>0</v>
      </c>
      <c r="DM175" s="407">
        <v>0</v>
      </c>
      <c r="DN175" s="407">
        <v>0</v>
      </c>
      <c r="DO175" s="407">
        <v>-7.188007110059047</v>
      </c>
      <c r="DP175" s="407">
        <v>-1.6267036997171758</v>
      </c>
      <c r="DQ175" s="407">
        <v>0</v>
      </c>
      <c r="DR175" s="407">
        <v>-194.05676738298962</v>
      </c>
      <c r="DS175" s="407"/>
      <c r="DT175" s="407"/>
      <c r="DU175" s="407"/>
      <c r="DV175" s="407">
        <v>5137.068324653409</v>
      </c>
      <c r="DW175" s="407">
        <v>0</v>
      </c>
      <c r="DX175" s="407">
        <v>0</v>
      </c>
      <c r="DY175" s="407">
        <v>-2749.7205000000013</v>
      </c>
      <c r="DZ175" s="407">
        <v>337.96340999999984</v>
      </c>
      <c r="EA175" s="407">
        <v>0</v>
      </c>
      <c r="EB175" s="407">
        <v>0</v>
      </c>
      <c r="EC175" s="407">
        <v>-2624.0264317078295</v>
      </c>
      <c r="ED175" s="407">
        <v>0</v>
      </c>
      <c r="EE175" s="407">
        <v>0</v>
      </c>
      <c r="EF175" s="407">
        <v>0</v>
      </c>
      <c r="EG175" s="407">
        <v>0</v>
      </c>
      <c r="EH175" s="407">
        <v>0</v>
      </c>
      <c r="EI175" s="407">
        <v>0</v>
      </c>
      <c r="EJ175" s="407">
        <v>0</v>
      </c>
      <c r="EK175" s="407">
        <v>0</v>
      </c>
      <c r="EL175" s="407">
        <v>0</v>
      </c>
      <c r="EM175" s="407">
        <v>0</v>
      </c>
      <c r="EN175" s="407">
        <v>0</v>
      </c>
      <c r="EO175" s="407">
        <v>0</v>
      </c>
      <c r="EP175" s="407">
        <v>361.14471916294787</v>
      </c>
      <c r="EQ175" s="407">
        <v>0</v>
      </c>
      <c r="ER175" s="407">
        <v>0</v>
      </c>
      <c r="ES175" s="407">
        <v>0</v>
      </c>
      <c r="ET175" s="407">
        <v>0</v>
      </c>
      <c r="EU175" s="407">
        <v>0</v>
      </c>
      <c r="EV175" s="407">
        <v>246</v>
      </c>
      <c r="EW175" s="407">
        <v>0</v>
      </c>
      <c r="EX175" s="407">
        <v>0</v>
      </c>
      <c r="EY175" s="407">
        <v>0</v>
      </c>
      <c r="EZ175" s="407"/>
      <c r="FA175" s="407">
        <v>0</v>
      </c>
      <c r="FB175" s="407"/>
      <c r="FC175" s="407"/>
      <c r="FD175" s="407"/>
      <c r="FE175" s="407"/>
      <c r="FF175" s="407">
        <v>0</v>
      </c>
      <c r="FG175" s="407">
        <v>0</v>
      </c>
      <c r="FH175" s="407">
        <v>0</v>
      </c>
      <c r="FI175" s="407">
        <v>0</v>
      </c>
    </row>
    <row r="176" spans="1:165">
      <c r="A176" s="407">
        <v>183</v>
      </c>
      <c r="B176" s="407" t="s">
        <v>2309</v>
      </c>
      <c r="C176" s="407" t="s">
        <v>2306</v>
      </c>
      <c r="D176" s="407" t="s">
        <v>2315</v>
      </c>
      <c r="E176" s="407" t="s">
        <v>1026</v>
      </c>
      <c r="F176" s="407" t="s">
        <v>2323</v>
      </c>
      <c r="G176" s="407" t="s">
        <v>2324</v>
      </c>
      <c r="H176" s="407" t="s">
        <v>97</v>
      </c>
      <c r="I176" s="407" t="s">
        <v>97</v>
      </c>
      <c r="J176" s="407" t="s">
        <v>2307</v>
      </c>
      <c r="K176" s="818">
        <v>44440</v>
      </c>
      <c r="L176" s="407">
        <v>0</v>
      </c>
      <c r="M176" s="407">
        <v>0</v>
      </c>
      <c r="N176" s="407">
        <v>0.2</v>
      </c>
      <c r="O176" s="407">
        <v>0.2</v>
      </c>
      <c r="P176" s="407">
        <v>0.2</v>
      </c>
      <c r="Q176" s="407">
        <v>0.2</v>
      </c>
      <c r="R176" s="407"/>
      <c r="S176" s="407">
        <v>648.44000000000005</v>
      </c>
      <c r="T176" s="407">
        <v>159.41</v>
      </c>
      <c r="U176" s="407"/>
      <c r="V176" s="407">
        <v>161.57000000000002</v>
      </c>
      <c r="W176" s="407">
        <v>161.57000000000002</v>
      </c>
      <c r="X176" s="407">
        <v>122.364</v>
      </c>
      <c r="Y176" s="407">
        <v>0</v>
      </c>
      <c r="Z176" s="407">
        <v>12.394050126001341</v>
      </c>
      <c r="AA176" s="407">
        <v>0</v>
      </c>
      <c r="AB176" s="407">
        <v>0</v>
      </c>
      <c r="AC176" s="407">
        <v>0</v>
      </c>
      <c r="AD176" s="407">
        <v>23.328885242383201</v>
      </c>
      <c r="AE176" s="407">
        <v>83.509198157415412</v>
      </c>
      <c r="AF176" s="407">
        <v>30.846143342621801</v>
      </c>
      <c r="AG176" s="407">
        <v>1.0363494476221422</v>
      </c>
      <c r="AH176" s="407">
        <v>0</v>
      </c>
      <c r="AI176" s="407">
        <v>0</v>
      </c>
      <c r="AJ176" s="407">
        <v>0</v>
      </c>
      <c r="AK176" s="407">
        <v>0</v>
      </c>
      <c r="AL176" s="407">
        <v>1.9152110701484262</v>
      </c>
      <c r="AM176" s="407"/>
      <c r="AN176" s="407">
        <v>0.41501912809567199</v>
      </c>
      <c r="AO176" s="407">
        <v>0</v>
      </c>
      <c r="AP176" s="407">
        <v>0</v>
      </c>
      <c r="AQ176" s="407">
        <v>0</v>
      </c>
      <c r="AR176" s="407">
        <v>0</v>
      </c>
      <c r="AS176" s="407">
        <v>0</v>
      </c>
      <c r="AT176" s="407">
        <v>0</v>
      </c>
      <c r="AU176" s="407">
        <v>0</v>
      </c>
      <c r="AV176" s="407">
        <v>0</v>
      </c>
      <c r="AW176" s="407">
        <v>0</v>
      </c>
      <c r="AX176" s="407">
        <v>0</v>
      </c>
      <c r="AY176" s="407">
        <v>0</v>
      </c>
      <c r="AZ176" s="407">
        <v>0</v>
      </c>
      <c r="BA176" s="407"/>
      <c r="BB176" s="407">
        <v>0</v>
      </c>
      <c r="BC176" s="407">
        <v>0</v>
      </c>
      <c r="BD176" s="407">
        <v>0</v>
      </c>
      <c r="BE176" s="407">
        <v>0</v>
      </c>
      <c r="BF176" s="407">
        <v>0</v>
      </c>
      <c r="BG176" s="407">
        <v>2.25475457929906</v>
      </c>
      <c r="BH176" s="407">
        <v>0</v>
      </c>
      <c r="BI176" s="407">
        <v>0</v>
      </c>
      <c r="BJ176" s="407">
        <v>0</v>
      </c>
      <c r="BK176" s="407">
        <v>0</v>
      </c>
      <c r="BL176" s="407">
        <v>0</v>
      </c>
      <c r="BM176" s="407"/>
      <c r="BN176" s="407"/>
      <c r="BO176" s="407"/>
      <c r="BP176" s="407"/>
      <c r="BQ176" s="407"/>
      <c r="BR176" s="407">
        <v>14.684000000000005</v>
      </c>
      <c r="BS176" s="407"/>
      <c r="BT176" s="407"/>
      <c r="BU176" s="407"/>
      <c r="BV176" s="407">
        <v>33.100897921920861</v>
      </c>
      <c r="BW176" s="407"/>
      <c r="BX176" s="407"/>
      <c r="BY176" s="407"/>
      <c r="BZ176" s="407"/>
      <c r="CA176" s="407"/>
      <c r="CB176" s="407"/>
      <c r="CC176" s="407"/>
      <c r="CD176" s="407"/>
      <c r="CE176" s="407"/>
      <c r="CF176" s="407"/>
      <c r="CG176" s="407"/>
      <c r="CH176" s="407"/>
      <c r="CI176" s="407">
        <v>107.68</v>
      </c>
      <c r="CJ176" s="407">
        <v>-34.532000000000011</v>
      </c>
      <c r="CK176" s="407"/>
      <c r="CL176" s="407"/>
      <c r="CM176" s="407"/>
      <c r="CN176" s="407"/>
      <c r="CO176" s="407">
        <v>-44.700000000000017</v>
      </c>
      <c r="CP176" s="407">
        <v>5.4939999999999998</v>
      </c>
      <c r="CQ176" s="407">
        <v>30</v>
      </c>
      <c r="CR176" s="407">
        <v>3.4508036031316607</v>
      </c>
      <c r="CS176" s="407">
        <v>0</v>
      </c>
      <c r="CT176" s="407">
        <v>0</v>
      </c>
      <c r="CU176" s="407">
        <v>0</v>
      </c>
      <c r="CV176" s="407">
        <v>0</v>
      </c>
      <c r="CW176" s="407">
        <v>0</v>
      </c>
      <c r="CX176" s="407">
        <v>0</v>
      </c>
      <c r="CY176" s="407">
        <v>0</v>
      </c>
      <c r="CZ176" s="407">
        <v>1.0538120031461986</v>
      </c>
      <c r="DA176" s="407">
        <v>0</v>
      </c>
      <c r="DB176" s="407">
        <v>0</v>
      </c>
      <c r="DC176" s="407">
        <v>6.1159572295469999</v>
      </c>
      <c r="DD176" s="407">
        <v>0</v>
      </c>
      <c r="DE176" s="407">
        <v>0</v>
      </c>
      <c r="DF176" s="407">
        <v>0</v>
      </c>
      <c r="DG176" s="407">
        <v>0.44705694377890026</v>
      </c>
      <c r="DH176" s="407">
        <v>0</v>
      </c>
      <c r="DI176" s="407">
        <v>-0.86810372114558021</v>
      </c>
      <c r="DJ176" s="407"/>
      <c r="DK176" s="407">
        <v>0</v>
      </c>
      <c r="DL176" s="407">
        <v>0</v>
      </c>
      <c r="DM176" s="407">
        <v>0</v>
      </c>
      <c r="DN176" s="407">
        <v>0</v>
      </c>
      <c r="DO176" s="407">
        <v>-0.1168496644730399</v>
      </c>
      <c r="DP176" s="407">
        <v>-2.6444016901847944E-2</v>
      </c>
      <c r="DQ176" s="407">
        <v>0</v>
      </c>
      <c r="DR176" s="407">
        <v>-3.1546251708199562</v>
      </c>
      <c r="DS176" s="407"/>
      <c r="DT176" s="407"/>
      <c r="DU176" s="407"/>
      <c r="DV176" s="407">
        <v>83.509198157415412</v>
      </c>
      <c r="DW176" s="407">
        <v>0</v>
      </c>
      <c r="DX176" s="407">
        <v>0</v>
      </c>
      <c r="DY176" s="407">
        <v>-44.700000000000017</v>
      </c>
      <c r="DZ176" s="407">
        <v>5.4939999999999962</v>
      </c>
      <c r="EA176" s="407">
        <v>0</v>
      </c>
      <c r="EB176" s="407">
        <v>0</v>
      </c>
      <c r="EC176" s="407">
        <v>-42.656692379221809</v>
      </c>
      <c r="ED176" s="407">
        <v>0</v>
      </c>
      <c r="EE176" s="407">
        <v>0</v>
      </c>
      <c r="EF176" s="407">
        <v>0</v>
      </c>
      <c r="EG176" s="407">
        <v>0</v>
      </c>
      <c r="EH176" s="407">
        <v>0</v>
      </c>
      <c r="EI176" s="407">
        <v>0</v>
      </c>
      <c r="EJ176" s="407">
        <v>0</v>
      </c>
      <c r="EK176" s="407">
        <v>0</v>
      </c>
      <c r="EL176" s="407">
        <v>0</v>
      </c>
      <c r="EM176" s="407">
        <v>0</v>
      </c>
      <c r="EN176" s="407">
        <v>0</v>
      </c>
      <c r="EO176" s="407">
        <v>0</v>
      </c>
      <c r="EP176" s="407">
        <v>5.870839944126601</v>
      </c>
      <c r="EQ176" s="407">
        <v>0</v>
      </c>
      <c r="ER176" s="407">
        <v>0</v>
      </c>
      <c r="ES176" s="407">
        <v>0</v>
      </c>
      <c r="ET176" s="407">
        <v>0</v>
      </c>
      <c r="EU176" s="407">
        <v>0</v>
      </c>
      <c r="EV176" s="407">
        <v>246</v>
      </c>
      <c r="EW176" s="407">
        <v>0</v>
      </c>
      <c r="EX176" s="407">
        <v>0</v>
      </c>
      <c r="EY176" s="407">
        <v>0</v>
      </c>
      <c r="EZ176" s="407"/>
      <c r="FA176" s="407">
        <v>0</v>
      </c>
      <c r="FB176" s="407"/>
      <c r="FC176" s="407"/>
      <c r="FD176" s="407"/>
      <c r="FE176" s="407"/>
      <c r="FF176" s="407">
        <v>0</v>
      </c>
      <c r="FG176" s="407">
        <v>0</v>
      </c>
      <c r="FH176" s="407">
        <v>0</v>
      </c>
      <c r="FI176" s="407">
        <v>0</v>
      </c>
    </row>
    <row r="177" spans="1:165">
      <c r="A177" s="407">
        <v>184</v>
      </c>
      <c r="B177" s="407" t="s">
        <v>1090</v>
      </c>
      <c r="C177" s="407" t="s">
        <v>2306</v>
      </c>
      <c r="D177" s="407" t="s">
        <v>2315</v>
      </c>
      <c r="E177" s="407" t="s">
        <v>1026</v>
      </c>
      <c r="F177" s="407" t="s">
        <v>2323</v>
      </c>
      <c r="G177" s="407" t="s">
        <v>2325</v>
      </c>
      <c r="H177" s="407" t="s">
        <v>97</v>
      </c>
      <c r="I177" s="407" t="s">
        <v>97</v>
      </c>
      <c r="J177" s="407" t="s">
        <v>2307</v>
      </c>
      <c r="K177" s="818">
        <v>44440</v>
      </c>
      <c r="L177" s="407">
        <v>0</v>
      </c>
      <c r="M177" s="407">
        <v>0</v>
      </c>
      <c r="N177" s="407">
        <v>10.436999999999999</v>
      </c>
      <c r="O177" s="407">
        <v>4.1748000000000003</v>
      </c>
      <c r="P177" s="407">
        <v>10.436999999999999</v>
      </c>
      <c r="Q177" s="407">
        <v>4.1748000000000003</v>
      </c>
      <c r="R177" s="407"/>
      <c r="S177" s="407">
        <v>648.44000000000005</v>
      </c>
      <c r="T177" s="407">
        <v>159.41</v>
      </c>
      <c r="U177" s="407"/>
      <c r="V177" s="407">
        <v>8431.5304500000002</v>
      </c>
      <c r="W177" s="407">
        <v>8431.5304500000002</v>
      </c>
      <c r="X177" s="407">
        <v>6385.5653399999992</v>
      </c>
      <c r="Y177" s="407">
        <v>0</v>
      </c>
      <c r="Z177" s="407">
        <v>646.78350582537996</v>
      </c>
      <c r="AA177" s="407">
        <v>0</v>
      </c>
      <c r="AB177" s="407">
        <v>0</v>
      </c>
      <c r="AC177" s="407">
        <v>0</v>
      </c>
      <c r="AD177" s="407">
        <v>1217.4178763737673</v>
      </c>
      <c r="AE177" s="407">
        <v>4357.9275058447229</v>
      </c>
      <c r="AF177" s="407">
        <v>1609.7059903347185</v>
      </c>
      <c r="AG177" s="407">
        <v>54.081895924161479</v>
      </c>
      <c r="AH177" s="407">
        <v>0</v>
      </c>
      <c r="AI177" s="407">
        <v>0</v>
      </c>
      <c r="AJ177" s="407">
        <v>0</v>
      </c>
      <c r="AK177" s="407">
        <v>0</v>
      </c>
      <c r="AL177" s="407">
        <v>99.945289695695607</v>
      </c>
      <c r="AM177" s="407"/>
      <c r="AN177" s="407">
        <v>21.65777319967264</v>
      </c>
      <c r="AO177" s="407">
        <v>0</v>
      </c>
      <c r="AP177" s="407">
        <v>0</v>
      </c>
      <c r="AQ177" s="407">
        <v>0</v>
      </c>
      <c r="AR177" s="407">
        <v>0</v>
      </c>
      <c r="AS177" s="407">
        <v>0</v>
      </c>
      <c r="AT177" s="407">
        <v>0</v>
      </c>
      <c r="AU177" s="407">
        <v>0</v>
      </c>
      <c r="AV177" s="407">
        <v>0</v>
      </c>
      <c r="AW177" s="407">
        <v>0</v>
      </c>
      <c r="AX177" s="407">
        <v>0</v>
      </c>
      <c r="AY177" s="407">
        <v>0</v>
      </c>
      <c r="AZ177" s="407">
        <v>0</v>
      </c>
      <c r="BA177" s="407"/>
      <c r="BB177" s="407">
        <v>0</v>
      </c>
      <c r="BC177" s="407">
        <v>0</v>
      </c>
      <c r="BD177" s="407">
        <v>0</v>
      </c>
      <c r="BE177" s="407">
        <v>0</v>
      </c>
      <c r="BF177" s="407">
        <v>0</v>
      </c>
      <c r="BG177" s="407">
        <v>117.66436772072144</v>
      </c>
      <c r="BH177" s="407">
        <v>0</v>
      </c>
      <c r="BI177" s="407">
        <v>0</v>
      </c>
      <c r="BJ177" s="407">
        <v>0</v>
      </c>
      <c r="BK177" s="407">
        <v>0</v>
      </c>
      <c r="BL177" s="407">
        <v>0</v>
      </c>
      <c r="BM177" s="407"/>
      <c r="BN177" s="407"/>
      <c r="BO177" s="407"/>
      <c r="BP177" s="407"/>
      <c r="BQ177" s="407"/>
      <c r="BR177" s="407"/>
      <c r="BS177" s="407">
        <v>4137.8530199999996</v>
      </c>
      <c r="BT177" s="407"/>
      <c r="BU177" s="407"/>
      <c r="BV177" s="407">
        <v>1727.37035805544</v>
      </c>
      <c r="BW177" s="407"/>
      <c r="BX177" s="407"/>
      <c r="BY177" s="407"/>
      <c r="BZ177" s="407"/>
      <c r="CA177" s="407"/>
      <c r="CB177" s="407"/>
      <c r="CC177" s="407"/>
      <c r="CD177" s="407"/>
      <c r="CE177" s="407"/>
      <c r="CF177" s="407"/>
      <c r="CG177" s="407"/>
      <c r="CH177" s="407"/>
      <c r="CI177" s="407">
        <v>2245.1279999999997</v>
      </c>
      <c r="CJ177" s="407">
        <v>-722.80906800000139</v>
      </c>
      <c r="CK177" s="407"/>
      <c r="CL177" s="407"/>
      <c r="CM177" s="407"/>
      <c r="CN177" s="407"/>
      <c r="CO177" s="407">
        <v>-2332.6695000000004</v>
      </c>
      <c r="CP177" s="407">
        <v>286.70438999999999</v>
      </c>
      <c r="CQ177" s="407">
        <v>30</v>
      </c>
      <c r="CR177" s="407">
        <v>180.08018602942684</v>
      </c>
      <c r="CS177" s="407">
        <v>0</v>
      </c>
      <c r="CT177" s="407">
        <v>0</v>
      </c>
      <c r="CU177" s="407">
        <v>0</v>
      </c>
      <c r="CV177" s="407">
        <v>0</v>
      </c>
      <c r="CW177" s="407">
        <v>0</v>
      </c>
      <c r="CX177" s="407">
        <v>0</v>
      </c>
      <c r="CY177" s="407">
        <v>0</v>
      </c>
      <c r="CZ177" s="407">
        <v>54.993179384184259</v>
      </c>
      <c r="DA177" s="407">
        <v>0</v>
      </c>
      <c r="DB177" s="407">
        <v>0</v>
      </c>
      <c r="DC177" s="407">
        <v>319.1612280239101</v>
      </c>
      <c r="DD177" s="407">
        <v>0</v>
      </c>
      <c r="DE177" s="407">
        <v>0</v>
      </c>
      <c r="DF177" s="407">
        <v>0</v>
      </c>
      <c r="DG177" s="407">
        <v>23.329666611101899</v>
      </c>
      <c r="DH177" s="407">
        <v>0</v>
      </c>
      <c r="DI177" s="407">
        <v>-45.301992687982192</v>
      </c>
      <c r="DJ177" s="407"/>
      <c r="DK177" s="407">
        <v>0</v>
      </c>
      <c r="DL177" s="407">
        <v>0</v>
      </c>
      <c r="DM177" s="407">
        <v>0</v>
      </c>
      <c r="DN177" s="407">
        <v>0</v>
      </c>
      <c r="DO177" s="407">
        <v>-6.0977997405255877</v>
      </c>
      <c r="DP177" s="407">
        <v>-1.3799810220229354</v>
      </c>
      <c r="DQ177" s="407">
        <v>0</v>
      </c>
      <c r="DR177" s="407">
        <v>-164.62411453923937</v>
      </c>
      <c r="DS177" s="407"/>
      <c r="DT177" s="407"/>
      <c r="DU177" s="407"/>
      <c r="DV177" s="407">
        <v>4357.9275058447229</v>
      </c>
      <c r="DW177" s="407">
        <v>0</v>
      </c>
      <c r="DX177" s="407">
        <v>0</v>
      </c>
      <c r="DY177" s="407">
        <v>-2332.6695000000009</v>
      </c>
      <c r="DZ177" s="407">
        <v>286.70438999999988</v>
      </c>
      <c r="EA177" s="407">
        <v>0</v>
      </c>
      <c r="EB177" s="407">
        <v>0</v>
      </c>
      <c r="EC177" s="407">
        <v>-2226.0394918096899</v>
      </c>
      <c r="ED177" s="407">
        <v>0</v>
      </c>
      <c r="EE177" s="407">
        <v>0</v>
      </c>
      <c r="EF177" s="407">
        <v>0</v>
      </c>
      <c r="EG177" s="407">
        <v>0</v>
      </c>
      <c r="EH177" s="407">
        <v>0</v>
      </c>
      <c r="EI177" s="407">
        <v>0</v>
      </c>
      <c r="EJ177" s="407">
        <v>0</v>
      </c>
      <c r="EK177" s="407">
        <v>0</v>
      </c>
      <c r="EL177" s="407">
        <v>0</v>
      </c>
      <c r="EM177" s="407">
        <v>0</v>
      </c>
      <c r="EN177" s="407">
        <v>0</v>
      </c>
      <c r="EO177" s="407">
        <v>0</v>
      </c>
      <c r="EP177" s="407">
        <v>306.36978248424663</v>
      </c>
      <c r="EQ177" s="407">
        <v>0</v>
      </c>
      <c r="ER177" s="407">
        <v>0</v>
      </c>
      <c r="ES177" s="407">
        <v>0</v>
      </c>
      <c r="ET177" s="407">
        <v>0</v>
      </c>
      <c r="EU177" s="407">
        <v>0</v>
      </c>
      <c r="EV177" s="407">
        <v>246</v>
      </c>
      <c r="EW177" s="407">
        <v>0</v>
      </c>
      <c r="EX177" s="407">
        <v>0</v>
      </c>
      <c r="EY177" s="407">
        <v>0</v>
      </c>
      <c r="EZ177" s="407"/>
      <c r="FA177" s="407">
        <v>0</v>
      </c>
      <c r="FB177" s="407"/>
      <c r="FC177" s="407"/>
      <c r="FD177" s="407"/>
      <c r="FE177" s="407"/>
      <c r="FF177" s="407">
        <v>0</v>
      </c>
      <c r="FG177" s="407">
        <v>0</v>
      </c>
      <c r="FH177" s="407">
        <v>0</v>
      </c>
      <c r="FI177" s="407">
        <v>0</v>
      </c>
    </row>
    <row r="178" spans="1:165">
      <c r="A178" s="407">
        <v>186</v>
      </c>
      <c r="B178" s="407" t="s">
        <v>1090</v>
      </c>
      <c r="C178" s="407" t="s">
        <v>2314</v>
      </c>
      <c r="D178" s="407" t="s">
        <v>650</v>
      </c>
      <c r="E178" s="407" t="s">
        <v>1026</v>
      </c>
      <c r="F178" s="407" t="s">
        <v>2323</v>
      </c>
      <c r="G178" s="407" t="s">
        <v>97</v>
      </c>
      <c r="H178" s="407" t="s">
        <v>97</v>
      </c>
      <c r="I178" s="407" t="s">
        <v>1025</v>
      </c>
      <c r="J178" s="407" t="s">
        <v>2307</v>
      </c>
      <c r="K178" s="818">
        <v>44440</v>
      </c>
      <c r="L178" s="407">
        <v>0</v>
      </c>
      <c r="M178" s="407">
        <v>0</v>
      </c>
      <c r="N178" s="407">
        <v>2.5299999999999998</v>
      </c>
      <c r="O178" s="407">
        <v>2.4287999999999998</v>
      </c>
      <c r="P178" s="407">
        <v>2.5299999999999998</v>
      </c>
      <c r="Q178" s="407">
        <v>2.4287999999999998</v>
      </c>
      <c r="R178" s="407"/>
      <c r="S178" s="407">
        <v>2810.7</v>
      </c>
      <c r="T178" s="407">
        <v>159.41</v>
      </c>
      <c r="U178" s="407"/>
      <c r="V178" s="407">
        <v>7514.3782999999985</v>
      </c>
      <c r="W178" s="407">
        <v>7514.3782999999985</v>
      </c>
      <c r="X178" s="407">
        <v>4785.9756999999991</v>
      </c>
      <c r="Y178" s="407">
        <v>0</v>
      </c>
      <c r="Z178" s="407">
        <v>136.40271866170767</v>
      </c>
      <c r="AA178" s="407">
        <v>0</v>
      </c>
      <c r="AB178" s="407">
        <v>0</v>
      </c>
      <c r="AC178" s="407">
        <v>0</v>
      </c>
      <c r="AD178" s="407">
        <v>1544.6044512683079</v>
      </c>
      <c r="AE178" s="407">
        <v>5325.3689273500522</v>
      </c>
      <c r="AF178" s="407">
        <v>390.2037132841657</v>
      </c>
      <c r="AG178" s="407">
        <v>13.109820512420097</v>
      </c>
      <c r="AH178" s="407">
        <v>0</v>
      </c>
      <c r="AI178" s="407">
        <v>0</v>
      </c>
      <c r="AJ178" s="407">
        <v>0</v>
      </c>
      <c r="AK178" s="407">
        <v>0</v>
      </c>
      <c r="AL178" s="407">
        <v>24.227420037377588</v>
      </c>
      <c r="AM178" s="407"/>
      <c r="AN178" s="407">
        <v>2.7165454610415516</v>
      </c>
      <c r="AO178" s="407">
        <v>0</v>
      </c>
      <c r="AP178" s="407">
        <v>0</v>
      </c>
      <c r="AQ178" s="407">
        <v>0</v>
      </c>
      <c r="AR178" s="407">
        <v>0</v>
      </c>
      <c r="AS178" s="407">
        <v>0</v>
      </c>
      <c r="AT178" s="407">
        <v>0</v>
      </c>
      <c r="AU178" s="407">
        <v>0</v>
      </c>
      <c r="AV178" s="407">
        <v>0</v>
      </c>
      <c r="AW178" s="407">
        <v>0</v>
      </c>
      <c r="AX178" s="407">
        <v>0</v>
      </c>
      <c r="AY178" s="407">
        <v>0</v>
      </c>
      <c r="AZ178" s="407">
        <v>0</v>
      </c>
      <c r="BA178" s="407"/>
      <c r="BB178" s="407">
        <v>0</v>
      </c>
      <c r="BC178" s="407">
        <v>0</v>
      </c>
      <c r="BD178" s="407">
        <v>0</v>
      </c>
      <c r="BE178" s="407">
        <v>0</v>
      </c>
      <c r="BF178" s="407">
        <v>0</v>
      </c>
      <c r="BG178" s="407">
        <v>13.13038212811777</v>
      </c>
      <c r="BH178" s="407">
        <v>0</v>
      </c>
      <c r="BI178" s="407">
        <v>0</v>
      </c>
      <c r="BJ178" s="407">
        <v>0</v>
      </c>
      <c r="BK178" s="407">
        <v>0</v>
      </c>
      <c r="BL178" s="407">
        <v>0</v>
      </c>
      <c r="BM178" s="407"/>
      <c r="BN178" s="407"/>
      <c r="BO178" s="407"/>
      <c r="BP178" s="407"/>
      <c r="BQ178" s="407"/>
      <c r="BR178" s="407">
        <v>191.43902799999989</v>
      </c>
      <c r="BS178" s="407"/>
      <c r="BT178" s="407"/>
      <c r="BU178" s="407"/>
      <c r="BV178" s="407">
        <v>403.33409541228349</v>
      </c>
      <c r="BW178" s="407"/>
      <c r="BX178" s="407"/>
      <c r="BY178" s="407"/>
      <c r="BZ178" s="407"/>
      <c r="CA178" s="407"/>
      <c r="CB178" s="407"/>
      <c r="CC178" s="407"/>
      <c r="CD178" s="407"/>
      <c r="CE178" s="407"/>
      <c r="CF178" s="407"/>
      <c r="CG178" s="407"/>
      <c r="CH178" s="407"/>
      <c r="CI178" s="407">
        <v>4596.8067000000001</v>
      </c>
      <c r="CJ178" s="407">
        <v>-2617.026468</v>
      </c>
      <c r="CK178" s="407"/>
      <c r="CL178" s="407"/>
      <c r="CM178" s="407"/>
      <c r="CN178" s="407"/>
      <c r="CO178" s="407">
        <v>-2797.9016999999994</v>
      </c>
      <c r="CP178" s="407">
        <v>69.499099999999999</v>
      </c>
      <c r="CQ178" s="407">
        <v>30</v>
      </c>
      <c r="CR178" s="407">
        <v>-8.1784703972016359</v>
      </c>
      <c r="CS178" s="407">
        <v>0</v>
      </c>
      <c r="CT178" s="407">
        <v>0</v>
      </c>
      <c r="CU178" s="407">
        <v>0</v>
      </c>
      <c r="CV178" s="407">
        <v>0</v>
      </c>
      <c r="CW178" s="407">
        <v>0</v>
      </c>
      <c r="CX178" s="407">
        <v>0</v>
      </c>
      <c r="CY178" s="407">
        <v>0</v>
      </c>
      <c r="CZ178" s="407">
        <v>69.772845720993928</v>
      </c>
      <c r="DA178" s="407">
        <v>0</v>
      </c>
      <c r="DB178" s="407">
        <v>0</v>
      </c>
      <c r="DC178" s="407">
        <v>77.366858953769565</v>
      </c>
      <c r="DD178" s="407">
        <v>0</v>
      </c>
      <c r="DE178" s="407">
        <v>0</v>
      </c>
      <c r="DF178" s="407">
        <v>0</v>
      </c>
      <c r="DG178" s="407">
        <v>2.603400192082205</v>
      </c>
      <c r="DH178" s="407">
        <v>0</v>
      </c>
      <c r="DI178" s="407">
        <v>-9.5539155030677563</v>
      </c>
      <c r="DJ178" s="407"/>
      <c r="DK178" s="407">
        <v>0</v>
      </c>
      <c r="DL178" s="407">
        <v>0</v>
      </c>
      <c r="DM178" s="407">
        <v>0</v>
      </c>
      <c r="DN178" s="407">
        <v>0</v>
      </c>
      <c r="DO178" s="407">
        <v>-1.4781482555839531</v>
      </c>
      <c r="DP178" s="407">
        <v>-0.17309171848545857</v>
      </c>
      <c r="DQ178" s="407">
        <v>0</v>
      </c>
      <c r="DR178" s="407">
        <v>-146.71641978690963</v>
      </c>
      <c r="DS178" s="407"/>
      <c r="DT178" s="407"/>
      <c r="DU178" s="407"/>
      <c r="DV178" s="407">
        <v>5325.3689273500522</v>
      </c>
      <c r="DW178" s="407">
        <v>0</v>
      </c>
      <c r="DX178" s="407">
        <v>0</v>
      </c>
      <c r="DY178" s="407">
        <v>-2797.9016999999994</v>
      </c>
      <c r="DZ178" s="407">
        <v>69.499099999999999</v>
      </c>
      <c r="EA178" s="407">
        <v>0</v>
      </c>
      <c r="EB178" s="407">
        <v>0</v>
      </c>
      <c r="EC178" s="407">
        <v>-2720.2108169166377</v>
      </c>
      <c r="ED178" s="407">
        <v>0</v>
      </c>
      <c r="EE178" s="407">
        <v>0</v>
      </c>
      <c r="EF178" s="407">
        <v>0</v>
      </c>
      <c r="EG178" s="407">
        <v>0</v>
      </c>
      <c r="EH178" s="407">
        <v>0</v>
      </c>
      <c r="EI178" s="407">
        <v>0</v>
      </c>
      <c r="EJ178" s="407">
        <v>0</v>
      </c>
      <c r="EK178" s="407">
        <v>0</v>
      </c>
      <c r="EL178" s="407">
        <v>0</v>
      </c>
      <c r="EM178" s="407">
        <v>0</v>
      </c>
      <c r="EN178" s="407">
        <v>0</v>
      </c>
      <c r="EO178" s="407">
        <v>0</v>
      </c>
      <c r="EP178" s="407">
        <v>64.611529005085259</v>
      </c>
      <c r="EQ178" s="407">
        <v>0</v>
      </c>
      <c r="ER178" s="407">
        <v>0</v>
      </c>
      <c r="ES178" s="407">
        <v>0</v>
      </c>
      <c r="ET178" s="407">
        <v>0</v>
      </c>
      <c r="EU178" s="407">
        <v>0</v>
      </c>
      <c r="EV178" s="407">
        <v>246</v>
      </c>
      <c r="EW178" s="407">
        <v>0</v>
      </c>
      <c r="EX178" s="407">
        <v>0</v>
      </c>
      <c r="EY178" s="407">
        <v>0</v>
      </c>
      <c r="EZ178" s="407"/>
      <c r="FA178" s="407">
        <v>0</v>
      </c>
      <c r="FB178" s="407"/>
      <c r="FC178" s="407"/>
      <c r="FD178" s="407"/>
      <c r="FE178" s="407"/>
      <c r="FF178" s="407">
        <v>0</v>
      </c>
      <c r="FG178" s="407">
        <v>0</v>
      </c>
      <c r="FH178" s="407">
        <v>0</v>
      </c>
      <c r="FI178" s="407">
        <v>0</v>
      </c>
    </row>
    <row r="179" spans="1:165">
      <c r="A179" s="407">
        <v>188</v>
      </c>
      <c r="B179" s="407" t="s">
        <v>1090</v>
      </c>
      <c r="C179" s="407" t="s">
        <v>2314</v>
      </c>
      <c r="D179" s="407" t="s">
        <v>650</v>
      </c>
      <c r="E179" s="407" t="s">
        <v>1026</v>
      </c>
      <c r="F179" s="407" t="s">
        <v>2323</v>
      </c>
      <c r="G179" s="407" t="s">
        <v>97</v>
      </c>
      <c r="H179" s="407" t="s">
        <v>97</v>
      </c>
      <c r="I179" s="407" t="s">
        <v>2290</v>
      </c>
      <c r="J179" s="407" t="s">
        <v>2307</v>
      </c>
      <c r="K179" s="818">
        <v>44440</v>
      </c>
      <c r="L179" s="407">
        <v>0</v>
      </c>
      <c r="M179" s="407">
        <v>0</v>
      </c>
      <c r="N179" s="407">
        <v>23.318999999999999</v>
      </c>
      <c r="O179" s="407">
        <v>22.386240000000001</v>
      </c>
      <c r="P179" s="407">
        <v>23.318999999999999</v>
      </c>
      <c r="Q179" s="407">
        <v>22.386240000000001</v>
      </c>
      <c r="R179" s="407"/>
      <c r="S179" s="407">
        <v>95.29</v>
      </c>
      <c r="T179" s="407">
        <v>159.41</v>
      </c>
      <c r="U179" s="407"/>
      <c r="V179" s="407">
        <v>5939.3492999999999</v>
      </c>
      <c r="W179" s="407">
        <v>5939.3492999999999</v>
      </c>
      <c r="X179" s="407">
        <v>6457.2642899999992</v>
      </c>
      <c r="Y179" s="407">
        <v>0</v>
      </c>
      <c r="Z179" s="407">
        <v>1257.2233187637792</v>
      </c>
      <c r="AA179" s="407">
        <v>0</v>
      </c>
      <c r="AB179" s="407">
        <v>0</v>
      </c>
      <c r="AC179" s="407">
        <v>0</v>
      </c>
      <c r="AD179" s="407">
        <v>0</v>
      </c>
      <c r="AE179" s="407">
        <v>0</v>
      </c>
      <c r="AF179" s="407">
        <v>3596.5060830329885</v>
      </c>
      <c r="AG179" s="407">
        <v>120.83316384550365</v>
      </c>
      <c r="AH179" s="407">
        <v>0</v>
      </c>
      <c r="AI179" s="407">
        <v>0</v>
      </c>
      <c r="AJ179" s="407">
        <v>0</v>
      </c>
      <c r="AK179" s="407">
        <v>0</v>
      </c>
      <c r="AL179" s="407">
        <v>223.30403472395574</v>
      </c>
      <c r="AM179" s="407"/>
      <c r="AN179" s="407">
        <v>25.038388777086144</v>
      </c>
      <c r="AO179" s="407">
        <v>0</v>
      </c>
      <c r="AP179" s="407">
        <v>0</v>
      </c>
      <c r="AQ179" s="407">
        <v>0</v>
      </c>
      <c r="AR179" s="407">
        <v>0</v>
      </c>
      <c r="AS179" s="407">
        <v>0</v>
      </c>
      <c r="AT179" s="407">
        <v>0</v>
      </c>
      <c r="AU179" s="407">
        <v>0</v>
      </c>
      <c r="AV179" s="407">
        <v>0</v>
      </c>
      <c r="AW179" s="407">
        <v>0</v>
      </c>
      <c r="AX179" s="407">
        <v>0</v>
      </c>
      <c r="AY179" s="407">
        <v>0</v>
      </c>
      <c r="AZ179" s="407">
        <v>0</v>
      </c>
      <c r="BA179" s="407"/>
      <c r="BB179" s="407">
        <v>0</v>
      </c>
      <c r="BC179" s="407">
        <v>0</v>
      </c>
      <c r="BD179" s="407">
        <v>0</v>
      </c>
      <c r="BE179" s="407">
        <v>0</v>
      </c>
      <c r="BF179" s="407">
        <v>0</v>
      </c>
      <c r="BG179" s="407">
        <v>121.0226801761179</v>
      </c>
      <c r="BH179" s="407">
        <v>0</v>
      </c>
      <c r="BI179" s="407">
        <v>0</v>
      </c>
      <c r="BJ179" s="407">
        <v>0</v>
      </c>
      <c r="BK179" s="407">
        <v>0</v>
      </c>
      <c r="BL179" s="407">
        <v>0</v>
      </c>
      <c r="BM179" s="407"/>
      <c r="BN179" s="407"/>
      <c r="BO179" s="407"/>
      <c r="BP179" s="407"/>
      <c r="BQ179" s="407"/>
      <c r="BR179" s="407">
        <v>258.29057159999951</v>
      </c>
      <c r="BS179" s="407"/>
      <c r="BT179" s="407"/>
      <c r="BU179" s="407"/>
      <c r="BV179" s="407">
        <v>3717.5287632091063</v>
      </c>
      <c r="BW179" s="407"/>
      <c r="BX179" s="407"/>
      <c r="BY179" s="407"/>
      <c r="BZ179" s="407"/>
      <c r="CA179" s="407"/>
      <c r="CB179" s="407"/>
      <c r="CC179" s="407"/>
      <c r="CD179" s="407"/>
      <c r="CE179" s="407"/>
      <c r="CF179" s="407"/>
      <c r="CG179" s="407"/>
      <c r="CH179" s="407"/>
      <c r="CI179" s="407">
        <v>6200.0149000000001</v>
      </c>
      <c r="CJ179" s="407">
        <v>498.20957199999975</v>
      </c>
      <c r="CK179" s="407"/>
      <c r="CL179" s="407"/>
      <c r="CM179" s="407"/>
      <c r="CN179" s="407"/>
      <c r="CO179" s="407">
        <v>-122.65794000000011</v>
      </c>
      <c r="CP179" s="407">
        <v>640.57292999999993</v>
      </c>
      <c r="CQ179" s="407">
        <v>30</v>
      </c>
      <c r="CR179" s="407">
        <v>517.84128352827338</v>
      </c>
      <c r="CS179" s="407">
        <v>0</v>
      </c>
      <c r="CT179" s="407">
        <v>0</v>
      </c>
      <c r="CU179" s="407">
        <v>0</v>
      </c>
      <c r="CV179" s="407">
        <v>0</v>
      </c>
      <c r="CW179" s="407">
        <v>0</v>
      </c>
      <c r="CX179" s="407">
        <v>0</v>
      </c>
      <c r="CY179" s="407">
        <v>0</v>
      </c>
      <c r="CZ179" s="407">
        <v>0</v>
      </c>
      <c r="DA179" s="407">
        <v>0</v>
      </c>
      <c r="DB179" s="407">
        <v>0</v>
      </c>
      <c r="DC179" s="407">
        <v>713.09003317903262</v>
      </c>
      <c r="DD179" s="407">
        <v>0</v>
      </c>
      <c r="DE179" s="407">
        <v>0</v>
      </c>
      <c r="DF179" s="407">
        <v>0</v>
      </c>
      <c r="DG179" s="407">
        <v>23.995529280302335</v>
      </c>
      <c r="DH179" s="407">
        <v>0</v>
      </c>
      <c r="DI179" s="407">
        <v>-88.058401429263768</v>
      </c>
      <c r="DJ179" s="407"/>
      <c r="DK179" s="407">
        <v>0</v>
      </c>
      <c r="DL179" s="407">
        <v>0</v>
      </c>
      <c r="DM179" s="407">
        <v>0</v>
      </c>
      <c r="DN179" s="407">
        <v>0</v>
      </c>
      <c r="DO179" s="407">
        <v>-13.624086629234085</v>
      </c>
      <c r="DP179" s="407">
        <v>-1.5953856851234818</v>
      </c>
      <c r="DQ179" s="407">
        <v>0</v>
      </c>
      <c r="DR179" s="407">
        <v>-115.96640518744022</v>
      </c>
      <c r="DS179" s="407"/>
      <c r="DT179" s="407"/>
      <c r="DU179" s="407"/>
      <c r="DV179" s="407">
        <v>0</v>
      </c>
      <c r="DW179" s="407">
        <v>0</v>
      </c>
      <c r="DX179" s="407">
        <v>0</v>
      </c>
      <c r="DY179" s="407">
        <v>-122.65794000000005</v>
      </c>
      <c r="DZ179" s="407">
        <v>640.57292999999981</v>
      </c>
      <c r="EA179" s="407">
        <v>0</v>
      </c>
      <c r="EB179" s="407">
        <v>0</v>
      </c>
      <c r="EC179" s="407">
        <v>0</v>
      </c>
      <c r="ED179" s="407">
        <v>0</v>
      </c>
      <c r="EE179" s="407">
        <v>0</v>
      </c>
      <c r="EF179" s="407">
        <v>0</v>
      </c>
      <c r="EG179" s="407">
        <v>0</v>
      </c>
      <c r="EH179" s="407">
        <v>0</v>
      </c>
      <c r="EI179" s="407">
        <v>0</v>
      </c>
      <c r="EJ179" s="407">
        <v>0</v>
      </c>
      <c r="EK179" s="407">
        <v>0</v>
      </c>
      <c r="EL179" s="407">
        <v>0</v>
      </c>
      <c r="EM179" s="407">
        <v>0</v>
      </c>
      <c r="EN179" s="407">
        <v>0</v>
      </c>
      <c r="EO179" s="407">
        <v>0</v>
      </c>
      <c r="EP179" s="407">
        <v>595.52420745833331</v>
      </c>
      <c r="EQ179" s="407">
        <v>0</v>
      </c>
      <c r="ER179" s="407">
        <v>0</v>
      </c>
      <c r="ES179" s="407">
        <v>0</v>
      </c>
      <c r="ET179" s="407">
        <v>0</v>
      </c>
      <c r="EU179" s="407">
        <v>0</v>
      </c>
      <c r="EV179" s="407">
        <v>246</v>
      </c>
      <c r="EW179" s="407">
        <v>0</v>
      </c>
      <c r="EX179" s="407">
        <v>0</v>
      </c>
      <c r="EY179" s="407">
        <v>0</v>
      </c>
      <c r="EZ179" s="407"/>
      <c r="FA179" s="407">
        <v>0</v>
      </c>
      <c r="FB179" s="407"/>
      <c r="FC179" s="407"/>
      <c r="FD179" s="407"/>
      <c r="FE179" s="407"/>
      <c r="FF179" s="407">
        <v>0</v>
      </c>
      <c r="FG179" s="407">
        <v>0</v>
      </c>
      <c r="FH179" s="407">
        <v>0</v>
      </c>
      <c r="FI179" s="407">
        <v>0</v>
      </c>
    </row>
    <row r="180" spans="1:165">
      <c r="A180" s="407">
        <v>190</v>
      </c>
      <c r="B180" s="407" t="s">
        <v>1090</v>
      </c>
      <c r="C180" s="407" t="s">
        <v>2314</v>
      </c>
      <c r="D180" s="407" t="s">
        <v>650</v>
      </c>
      <c r="E180" s="407" t="s">
        <v>1026</v>
      </c>
      <c r="F180" s="407" t="s">
        <v>2323</v>
      </c>
      <c r="G180" s="407" t="s">
        <v>97</v>
      </c>
      <c r="H180" s="407" t="s">
        <v>97</v>
      </c>
      <c r="I180" s="407" t="s">
        <v>97</v>
      </c>
      <c r="J180" s="407" t="s">
        <v>2307</v>
      </c>
      <c r="K180" s="818">
        <v>44440</v>
      </c>
      <c r="L180" s="407">
        <v>2344</v>
      </c>
      <c r="M180" s="407">
        <v>2250.2399999999998</v>
      </c>
      <c r="N180" s="407">
        <v>0</v>
      </c>
      <c r="O180" s="407">
        <v>0</v>
      </c>
      <c r="P180" s="407">
        <v>0</v>
      </c>
      <c r="Q180" s="407">
        <v>0</v>
      </c>
      <c r="R180" s="407">
        <v>43.29</v>
      </c>
      <c r="S180" s="407"/>
      <c r="T180" s="407"/>
      <c r="U180" s="407">
        <v>101471.76</v>
      </c>
      <c r="V180" s="407"/>
      <c r="W180" s="407">
        <v>101471.76</v>
      </c>
      <c r="X180" s="407">
        <v>78500.56</v>
      </c>
      <c r="Y180" s="407">
        <v>0</v>
      </c>
      <c r="Z180" s="407">
        <v>0</v>
      </c>
      <c r="AA180" s="407">
        <v>0</v>
      </c>
      <c r="AB180" s="407">
        <v>0</v>
      </c>
      <c r="AC180" s="407">
        <v>0</v>
      </c>
      <c r="AD180" s="407">
        <v>55468.385899378678</v>
      </c>
      <c r="AE180" s="407">
        <v>46010.814572647032</v>
      </c>
      <c r="AF180" s="407"/>
      <c r="AG180" s="407"/>
      <c r="AH180" s="407"/>
      <c r="AI180" s="407">
        <v>0</v>
      </c>
      <c r="AJ180" s="407">
        <v>0</v>
      </c>
      <c r="AK180" s="407">
        <v>0</v>
      </c>
      <c r="AL180" s="407">
        <v>0</v>
      </c>
      <c r="AM180" s="407"/>
      <c r="AN180" s="407">
        <v>0</v>
      </c>
      <c r="AO180" s="407">
        <v>0</v>
      </c>
      <c r="AP180" s="407">
        <v>0</v>
      </c>
      <c r="AQ180" s="407">
        <v>0</v>
      </c>
      <c r="AR180" s="407">
        <v>0</v>
      </c>
      <c r="AS180" s="407"/>
      <c r="AT180" s="407"/>
      <c r="AU180" s="407">
        <v>0</v>
      </c>
      <c r="AV180" s="407">
        <v>0</v>
      </c>
      <c r="AW180" s="407">
        <v>0</v>
      </c>
      <c r="AX180" s="407"/>
      <c r="AY180" s="407"/>
      <c r="AZ180" s="407">
        <v>0</v>
      </c>
      <c r="BA180" s="407"/>
      <c r="BB180" s="407">
        <v>0</v>
      </c>
      <c r="BC180" s="407">
        <v>0</v>
      </c>
      <c r="BD180" s="407">
        <v>0</v>
      </c>
      <c r="BE180" s="407">
        <v>0</v>
      </c>
      <c r="BF180" s="407"/>
      <c r="BG180" s="407">
        <v>0</v>
      </c>
      <c r="BH180" s="407">
        <v>0</v>
      </c>
      <c r="BI180" s="407">
        <v>326.10000000000002</v>
      </c>
      <c r="BJ180" s="407">
        <v>1574.11</v>
      </c>
      <c r="BK180" s="407">
        <v>290.61</v>
      </c>
      <c r="BL180" s="407">
        <v>42</v>
      </c>
      <c r="BM180" s="407"/>
      <c r="BN180" s="407"/>
      <c r="BO180" s="407"/>
      <c r="BP180" s="407"/>
      <c r="BQ180" s="407"/>
      <c r="BR180" s="407">
        <v>3140.0224000000076</v>
      </c>
      <c r="BS180" s="407"/>
      <c r="BT180" s="407"/>
      <c r="BU180" s="407"/>
      <c r="BV180" s="407">
        <v>0</v>
      </c>
      <c r="BW180" s="407"/>
      <c r="BX180" s="407"/>
      <c r="BY180" s="407"/>
      <c r="BZ180" s="407"/>
      <c r="CA180" s="407"/>
      <c r="CB180" s="407"/>
      <c r="CC180" s="407"/>
      <c r="CD180" s="407"/>
      <c r="CE180" s="407"/>
      <c r="CF180" s="407"/>
      <c r="CG180" s="407"/>
      <c r="CH180" s="407"/>
      <c r="CI180" s="407">
        <v>75360.537599999996</v>
      </c>
      <c r="CJ180" s="407">
        <v>-22052.381999999983</v>
      </c>
      <c r="CK180" s="407"/>
      <c r="CL180" s="407"/>
      <c r="CM180" s="407"/>
      <c r="CN180" s="407"/>
      <c r="CO180" s="407">
        <v>-22971.199999999993</v>
      </c>
      <c r="CP180" s="407">
        <v>0</v>
      </c>
      <c r="CQ180" s="407">
        <v>30</v>
      </c>
      <c r="CR180" s="407">
        <v>524.25938038316963</v>
      </c>
      <c r="CS180" s="407">
        <v>0</v>
      </c>
      <c r="CT180" s="407">
        <v>0</v>
      </c>
      <c r="CU180" s="407">
        <v>0</v>
      </c>
      <c r="CV180" s="407">
        <v>0</v>
      </c>
      <c r="CW180" s="407"/>
      <c r="CX180" s="407"/>
      <c r="CY180" s="407"/>
      <c r="CZ180" s="407">
        <v>2505.6169743470018</v>
      </c>
      <c r="DA180" s="407">
        <v>0</v>
      </c>
      <c r="DB180" s="407">
        <v>0</v>
      </c>
      <c r="DC180" s="407"/>
      <c r="DD180" s="407"/>
      <c r="DE180" s="407">
        <v>0</v>
      </c>
      <c r="DF180" s="407">
        <v>0</v>
      </c>
      <c r="DG180" s="407">
        <v>0</v>
      </c>
      <c r="DH180" s="407">
        <v>0</v>
      </c>
      <c r="DI180" s="407">
        <v>0</v>
      </c>
      <c r="DJ180" s="407"/>
      <c r="DK180" s="407">
        <v>0</v>
      </c>
      <c r="DL180" s="407">
        <v>0</v>
      </c>
      <c r="DM180" s="407"/>
      <c r="DN180" s="407">
        <v>0</v>
      </c>
      <c r="DO180" s="407">
        <v>0</v>
      </c>
      <c r="DP180" s="407">
        <v>0</v>
      </c>
      <c r="DQ180" s="407">
        <v>0</v>
      </c>
      <c r="DR180" s="407">
        <v>-1981.3575939638354</v>
      </c>
      <c r="DS180" s="407"/>
      <c r="DT180" s="407"/>
      <c r="DU180" s="407">
        <v>46010.814572647032</v>
      </c>
      <c r="DV180" s="407"/>
      <c r="DW180" s="407">
        <v>0</v>
      </c>
      <c r="DX180" s="407">
        <v>0</v>
      </c>
      <c r="DY180" s="407">
        <v>-22971.199999999997</v>
      </c>
      <c r="DZ180" s="407"/>
      <c r="EA180" s="407">
        <v>0</v>
      </c>
      <c r="EB180" s="407"/>
      <c r="EC180" s="407">
        <v>-23502.43094950066</v>
      </c>
      <c r="ED180" s="407"/>
      <c r="EE180" s="407">
        <v>0</v>
      </c>
      <c r="EF180" s="407">
        <v>0</v>
      </c>
      <c r="EG180" s="407"/>
      <c r="EH180" s="407">
        <v>0</v>
      </c>
      <c r="EI180" s="407">
        <v>0</v>
      </c>
      <c r="EJ180" s="407">
        <v>0</v>
      </c>
      <c r="EK180" s="407">
        <v>0</v>
      </c>
      <c r="EL180" s="407">
        <v>0</v>
      </c>
      <c r="EM180" s="407"/>
      <c r="EN180" s="407"/>
      <c r="EO180" s="407">
        <v>0</v>
      </c>
      <c r="EP180" s="407">
        <v>0</v>
      </c>
      <c r="EQ180" s="407"/>
      <c r="ER180" s="407">
        <v>0</v>
      </c>
      <c r="ES180" s="407"/>
      <c r="ET180" s="407">
        <v>0</v>
      </c>
      <c r="EU180" s="407"/>
      <c r="EV180" s="407">
        <v>246</v>
      </c>
      <c r="EW180" s="407"/>
      <c r="EX180" s="407"/>
      <c r="EY180" s="407"/>
      <c r="EZ180" s="407"/>
      <c r="FA180" s="407">
        <v>0</v>
      </c>
      <c r="FB180" s="407"/>
      <c r="FC180" s="407"/>
      <c r="FD180" s="407"/>
      <c r="FE180" s="407"/>
      <c r="FF180" s="407">
        <v>0</v>
      </c>
      <c r="FG180" s="407">
        <v>0</v>
      </c>
      <c r="FH180" s="407">
        <v>0</v>
      </c>
      <c r="FI180" s="407">
        <v>0</v>
      </c>
    </row>
    <row r="181" spans="1:165">
      <c r="A181" s="407">
        <v>191</v>
      </c>
      <c r="B181" s="407" t="s">
        <v>2309</v>
      </c>
      <c r="C181" s="407" t="s">
        <v>2314</v>
      </c>
      <c r="D181" s="407" t="s">
        <v>650</v>
      </c>
      <c r="E181" s="407" t="s">
        <v>1026</v>
      </c>
      <c r="F181" s="407" t="s">
        <v>2323</v>
      </c>
      <c r="G181" s="407" t="s">
        <v>97</v>
      </c>
      <c r="H181" s="407" t="s">
        <v>97</v>
      </c>
      <c r="I181" s="407" t="s">
        <v>97</v>
      </c>
      <c r="J181" s="407" t="s">
        <v>2307</v>
      </c>
      <c r="K181" s="818">
        <v>44440</v>
      </c>
      <c r="L181" s="407">
        <v>168</v>
      </c>
      <c r="M181" s="407">
        <v>161.28</v>
      </c>
      <c r="N181" s="407">
        <v>0</v>
      </c>
      <c r="O181" s="407">
        <v>0</v>
      </c>
      <c r="P181" s="407">
        <v>0</v>
      </c>
      <c r="Q181" s="407">
        <v>0</v>
      </c>
      <c r="R181" s="407">
        <v>43.29</v>
      </c>
      <c r="S181" s="407"/>
      <c r="T181" s="407"/>
      <c r="U181" s="407">
        <v>7272.72</v>
      </c>
      <c r="V181" s="407"/>
      <c r="W181" s="407">
        <v>7272.72</v>
      </c>
      <c r="X181" s="407">
        <v>5626.3200000000006</v>
      </c>
      <c r="Y181" s="407">
        <v>0</v>
      </c>
      <c r="Z181" s="407">
        <v>0</v>
      </c>
      <c r="AA181" s="407">
        <v>0</v>
      </c>
      <c r="AB181" s="407">
        <v>0</v>
      </c>
      <c r="AC181" s="407">
        <v>0</v>
      </c>
      <c r="AD181" s="407">
        <v>3975.5498426175841</v>
      </c>
      <c r="AE181" s="407">
        <v>3297.7034335344288</v>
      </c>
      <c r="AF181" s="407"/>
      <c r="AG181" s="407"/>
      <c r="AH181" s="407"/>
      <c r="AI181" s="407">
        <v>0</v>
      </c>
      <c r="AJ181" s="407">
        <v>0</v>
      </c>
      <c r="AK181" s="407">
        <v>0</v>
      </c>
      <c r="AL181" s="407">
        <v>0</v>
      </c>
      <c r="AM181" s="407"/>
      <c r="AN181" s="407">
        <v>0</v>
      </c>
      <c r="AO181" s="407">
        <v>0</v>
      </c>
      <c r="AP181" s="407">
        <v>0</v>
      </c>
      <c r="AQ181" s="407">
        <v>0</v>
      </c>
      <c r="AR181" s="407">
        <v>0</v>
      </c>
      <c r="AS181" s="407"/>
      <c r="AT181" s="407"/>
      <c r="AU181" s="407">
        <v>0</v>
      </c>
      <c r="AV181" s="407">
        <v>0</v>
      </c>
      <c r="AW181" s="407">
        <v>0</v>
      </c>
      <c r="AX181" s="407"/>
      <c r="AY181" s="407"/>
      <c r="AZ181" s="407">
        <v>0</v>
      </c>
      <c r="BA181" s="407"/>
      <c r="BB181" s="407">
        <v>0</v>
      </c>
      <c r="BC181" s="407">
        <v>0</v>
      </c>
      <c r="BD181" s="407">
        <v>0</v>
      </c>
      <c r="BE181" s="407">
        <v>0</v>
      </c>
      <c r="BF181" s="407"/>
      <c r="BG181" s="407">
        <v>0</v>
      </c>
      <c r="BH181" s="407">
        <v>0</v>
      </c>
      <c r="BI181" s="407">
        <v>46.77</v>
      </c>
      <c r="BJ181" s="407">
        <v>225.66</v>
      </c>
      <c r="BK181" s="407">
        <v>12.4</v>
      </c>
      <c r="BL181" s="407">
        <v>3</v>
      </c>
      <c r="BM181" s="407"/>
      <c r="BN181" s="407"/>
      <c r="BO181" s="407"/>
      <c r="BP181" s="407"/>
      <c r="BQ181" s="407"/>
      <c r="BR181" s="407">
        <v>225.05279999999996</v>
      </c>
      <c r="BS181" s="407"/>
      <c r="BT181" s="407"/>
      <c r="BU181" s="407"/>
      <c r="BV181" s="407">
        <v>0</v>
      </c>
      <c r="BW181" s="407"/>
      <c r="BX181" s="407"/>
      <c r="BY181" s="407"/>
      <c r="BZ181" s="407"/>
      <c r="CA181" s="407"/>
      <c r="CB181" s="407"/>
      <c r="CC181" s="407"/>
      <c r="CD181" s="407"/>
      <c r="CE181" s="407"/>
      <c r="CF181" s="407"/>
      <c r="CG181" s="407"/>
      <c r="CH181" s="407"/>
      <c r="CI181" s="407">
        <v>5401.2672000000002</v>
      </c>
      <c r="CJ181" s="407">
        <v>-1580.5740000000005</v>
      </c>
      <c r="CK181" s="407"/>
      <c r="CL181" s="407"/>
      <c r="CM181" s="407"/>
      <c r="CN181" s="407"/>
      <c r="CO181" s="407">
        <v>-1646.3999999999996</v>
      </c>
      <c r="CP181" s="407">
        <v>0</v>
      </c>
      <c r="CQ181" s="407">
        <v>30</v>
      </c>
      <c r="CR181" s="407">
        <v>37.574904396063175</v>
      </c>
      <c r="CS181" s="407">
        <v>0</v>
      </c>
      <c r="CT181" s="407">
        <v>0</v>
      </c>
      <c r="CU181" s="407">
        <v>0</v>
      </c>
      <c r="CV181" s="407">
        <v>0</v>
      </c>
      <c r="CW181" s="407"/>
      <c r="CX181" s="407"/>
      <c r="CY181" s="407"/>
      <c r="CZ181" s="407">
        <v>179.58346915115044</v>
      </c>
      <c r="DA181" s="407">
        <v>0</v>
      </c>
      <c r="DB181" s="407">
        <v>0</v>
      </c>
      <c r="DC181" s="407"/>
      <c r="DD181" s="407"/>
      <c r="DE181" s="407">
        <v>0</v>
      </c>
      <c r="DF181" s="407">
        <v>0</v>
      </c>
      <c r="DG181" s="407">
        <v>0</v>
      </c>
      <c r="DH181" s="407">
        <v>0</v>
      </c>
      <c r="DI181" s="407">
        <v>0</v>
      </c>
      <c r="DJ181" s="407"/>
      <c r="DK181" s="407">
        <v>0</v>
      </c>
      <c r="DL181" s="407">
        <v>0</v>
      </c>
      <c r="DM181" s="407"/>
      <c r="DN181" s="407">
        <v>0</v>
      </c>
      <c r="DO181" s="407">
        <v>0</v>
      </c>
      <c r="DP181" s="407">
        <v>0</v>
      </c>
      <c r="DQ181" s="407">
        <v>0</v>
      </c>
      <c r="DR181" s="407">
        <v>-142.00856475508718</v>
      </c>
      <c r="DS181" s="407"/>
      <c r="DT181" s="407"/>
      <c r="DU181" s="407">
        <v>3297.7034335344288</v>
      </c>
      <c r="DV181" s="407"/>
      <c r="DW181" s="407">
        <v>0</v>
      </c>
      <c r="DX181" s="407">
        <v>0</v>
      </c>
      <c r="DY181" s="407">
        <v>-1646.3999999999996</v>
      </c>
      <c r="DZ181" s="407"/>
      <c r="EA181" s="407">
        <v>0</v>
      </c>
      <c r="EB181" s="407"/>
      <c r="EC181" s="407">
        <v>-1684.474573172402</v>
      </c>
      <c r="ED181" s="407"/>
      <c r="EE181" s="407">
        <v>0</v>
      </c>
      <c r="EF181" s="407">
        <v>0</v>
      </c>
      <c r="EG181" s="407"/>
      <c r="EH181" s="407">
        <v>0</v>
      </c>
      <c r="EI181" s="407">
        <v>0</v>
      </c>
      <c r="EJ181" s="407">
        <v>0</v>
      </c>
      <c r="EK181" s="407">
        <v>0</v>
      </c>
      <c r="EL181" s="407">
        <v>0</v>
      </c>
      <c r="EM181" s="407"/>
      <c r="EN181" s="407"/>
      <c r="EO181" s="407">
        <v>0</v>
      </c>
      <c r="EP181" s="407">
        <v>0</v>
      </c>
      <c r="EQ181" s="407"/>
      <c r="ER181" s="407">
        <v>0</v>
      </c>
      <c r="ES181" s="407"/>
      <c r="ET181" s="407">
        <v>0</v>
      </c>
      <c r="EU181" s="407"/>
      <c r="EV181" s="407">
        <v>246</v>
      </c>
      <c r="EW181" s="407"/>
      <c r="EX181" s="407"/>
      <c r="EY181" s="407"/>
      <c r="EZ181" s="407"/>
      <c r="FA181" s="407">
        <v>0</v>
      </c>
      <c r="FB181" s="407"/>
      <c r="FC181" s="407"/>
      <c r="FD181" s="407"/>
      <c r="FE181" s="407"/>
      <c r="FF181" s="407">
        <v>0</v>
      </c>
      <c r="FG181" s="407">
        <v>0</v>
      </c>
      <c r="FH181" s="407">
        <v>0</v>
      </c>
      <c r="FI181" s="407">
        <v>0</v>
      </c>
    </row>
    <row r="182" spans="1:165">
      <c r="A182" s="407">
        <v>192</v>
      </c>
      <c r="B182" s="407" t="s">
        <v>1090</v>
      </c>
      <c r="C182" s="407" t="s">
        <v>2314</v>
      </c>
      <c r="D182" s="407" t="s">
        <v>650</v>
      </c>
      <c r="E182" s="407" t="s">
        <v>1026</v>
      </c>
      <c r="F182" s="407" t="s">
        <v>2323</v>
      </c>
      <c r="G182" s="407" t="s">
        <v>2325</v>
      </c>
      <c r="H182" s="407" t="s">
        <v>97</v>
      </c>
      <c r="I182" s="407" t="s">
        <v>2290</v>
      </c>
      <c r="J182" s="407" t="s">
        <v>2307</v>
      </c>
      <c r="K182" s="818">
        <v>44440</v>
      </c>
      <c r="L182" s="407">
        <v>0</v>
      </c>
      <c r="M182" s="407">
        <v>0</v>
      </c>
      <c r="N182" s="407">
        <v>24.536000000000001</v>
      </c>
      <c r="O182" s="407">
        <v>7.3608000000000002</v>
      </c>
      <c r="P182" s="407">
        <v>24.536000000000001</v>
      </c>
      <c r="Q182" s="407">
        <v>7.3608000000000002</v>
      </c>
      <c r="R182" s="407"/>
      <c r="S182" s="407">
        <v>95.29</v>
      </c>
      <c r="T182" s="407">
        <v>159.41</v>
      </c>
      <c r="U182" s="407"/>
      <c r="V182" s="407">
        <v>6249.3191999999999</v>
      </c>
      <c r="W182" s="407">
        <v>6249.3191999999999</v>
      </c>
      <c r="X182" s="407">
        <v>6794.2637600000007</v>
      </c>
      <c r="Y182" s="407">
        <v>0</v>
      </c>
      <c r="Z182" s="407">
        <v>1322.8368004283238</v>
      </c>
      <c r="AA182" s="407">
        <v>0</v>
      </c>
      <c r="AB182" s="407">
        <v>0</v>
      </c>
      <c r="AC182" s="407">
        <v>0</v>
      </c>
      <c r="AD182" s="407">
        <v>0</v>
      </c>
      <c r="AE182" s="407">
        <v>0</v>
      </c>
      <c r="AF182" s="407">
        <v>3784.2048652728422</v>
      </c>
      <c r="AG182" s="407">
        <v>127.13935023428439</v>
      </c>
      <c r="AH182" s="407">
        <v>0</v>
      </c>
      <c r="AI182" s="407">
        <v>0</v>
      </c>
      <c r="AJ182" s="407">
        <v>0</v>
      </c>
      <c r="AK182" s="407">
        <v>0</v>
      </c>
      <c r="AL182" s="407">
        <v>234.95809408580894</v>
      </c>
      <c r="AM182" s="407"/>
      <c r="AN182" s="407">
        <v>26.345122305183999</v>
      </c>
      <c r="AO182" s="407">
        <v>0</v>
      </c>
      <c r="AP182" s="407">
        <v>0</v>
      </c>
      <c r="AQ182" s="407">
        <v>0</v>
      </c>
      <c r="AR182" s="407">
        <v>0</v>
      </c>
      <c r="AS182" s="407">
        <v>0</v>
      </c>
      <c r="AT182" s="407">
        <v>0</v>
      </c>
      <c r="AU182" s="407">
        <v>0</v>
      </c>
      <c r="AV182" s="407">
        <v>0</v>
      </c>
      <c r="AW182" s="407">
        <v>0</v>
      </c>
      <c r="AX182" s="407">
        <v>0</v>
      </c>
      <c r="AY182" s="407">
        <v>0</v>
      </c>
      <c r="AZ182" s="407">
        <v>0</v>
      </c>
      <c r="BA182" s="407"/>
      <c r="BB182" s="407">
        <v>0</v>
      </c>
      <c r="BC182" s="407">
        <v>0</v>
      </c>
      <c r="BD182" s="407">
        <v>0</v>
      </c>
      <c r="BE182" s="407">
        <v>0</v>
      </c>
      <c r="BF182" s="407">
        <v>0</v>
      </c>
      <c r="BG182" s="407">
        <v>127.33875727094768</v>
      </c>
      <c r="BH182" s="407">
        <v>0</v>
      </c>
      <c r="BI182" s="407">
        <v>0</v>
      </c>
      <c r="BJ182" s="407">
        <v>0</v>
      </c>
      <c r="BK182" s="407">
        <v>0</v>
      </c>
      <c r="BL182" s="407">
        <v>0</v>
      </c>
      <c r="BM182" s="407"/>
      <c r="BN182" s="407"/>
      <c r="BO182" s="407"/>
      <c r="BP182" s="407"/>
      <c r="BQ182" s="407"/>
      <c r="BR182" s="407"/>
      <c r="BS182" s="407">
        <v>4755.9846319999997</v>
      </c>
      <c r="BT182" s="407"/>
      <c r="BU182" s="407"/>
      <c r="BV182" s="407">
        <v>3911.5436225437898</v>
      </c>
      <c r="BW182" s="407"/>
      <c r="BX182" s="407"/>
      <c r="BY182" s="407"/>
      <c r="BZ182" s="407"/>
      <c r="CA182" s="407"/>
      <c r="CB182" s="407"/>
      <c r="CC182" s="407"/>
      <c r="CD182" s="407"/>
      <c r="CE182" s="407"/>
      <c r="CF182" s="407"/>
      <c r="CG182" s="407"/>
      <c r="CH182" s="407"/>
      <c r="CI182" s="407">
        <v>2038.0576000000001</v>
      </c>
      <c r="CJ182" s="407">
        <v>163.23183999999992</v>
      </c>
      <c r="CK182" s="407"/>
      <c r="CL182" s="407"/>
      <c r="CM182" s="407"/>
      <c r="CN182" s="407"/>
      <c r="CO182" s="407">
        <v>-129.05936000000014</v>
      </c>
      <c r="CP182" s="407">
        <v>674.00391999999999</v>
      </c>
      <c r="CQ182" s="407">
        <v>30</v>
      </c>
      <c r="CR182" s="407">
        <v>544.86700684633615</v>
      </c>
      <c r="CS182" s="407">
        <v>0</v>
      </c>
      <c r="CT182" s="407">
        <v>0</v>
      </c>
      <c r="CU182" s="407">
        <v>0</v>
      </c>
      <c r="CV182" s="407">
        <v>0</v>
      </c>
      <c r="CW182" s="407">
        <v>0</v>
      </c>
      <c r="CX182" s="407">
        <v>0</v>
      </c>
      <c r="CY182" s="407">
        <v>0</v>
      </c>
      <c r="CZ182" s="407">
        <v>0</v>
      </c>
      <c r="DA182" s="407">
        <v>0</v>
      </c>
      <c r="DB182" s="407">
        <v>0</v>
      </c>
      <c r="DC182" s="407">
        <v>750.30563292082616</v>
      </c>
      <c r="DD182" s="407">
        <v>0</v>
      </c>
      <c r="DE182" s="407">
        <v>0</v>
      </c>
      <c r="DF182" s="407">
        <v>0</v>
      </c>
      <c r="DG182" s="407">
        <v>25.247836803529239</v>
      </c>
      <c r="DH182" s="407">
        <v>0</v>
      </c>
      <c r="DI182" s="407">
        <v>-92.654099123822107</v>
      </c>
      <c r="DJ182" s="407"/>
      <c r="DK182" s="407">
        <v>0</v>
      </c>
      <c r="DL182" s="407">
        <v>0</v>
      </c>
      <c r="DM182" s="407">
        <v>0</v>
      </c>
      <c r="DN182" s="407">
        <v>0</v>
      </c>
      <c r="DO182" s="407">
        <v>-14.335116837552562</v>
      </c>
      <c r="DP182" s="407">
        <v>-1.6786475908139167</v>
      </c>
      <c r="DQ182" s="407">
        <v>0</v>
      </c>
      <c r="DR182" s="407">
        <v>-122.01859932583017</v>
      </c>
      <c r="DS182" s="407"/>
      <c r="DT182" s="407"/>
      <c r="DU182" s="407"/>
      <c r="DV182" s="407">
        <v>0</v>
      </c>
      <c r="DW182" s="407">
        <v>0</v>
      </c>
      <c r="DX182" s="407">
        <v>0</v>
      </c>
      <c r="DY182" s="407">
        <v>-129.05935999999974</v>
      </c>
      <c r="DZ182" s="407">
        <v>674.00392000000011</v>
      </c>
      <c r="EA182" s="407">
        <v>0</v>
      </c>
      <c r="EB182" s="407">
        <v>0</v>
      </c>
      <c r="EC182" s="407">
        <v>0</v>
      </c>
      <c r="ED182" s="407">
        <v>0</v>
      </c>
      <c r="EE182" s="407">
        <v>0</v>
      </c>
      <c r="EF182" s="407">
        <v>0</v>
      </c>
      <c r="EG182" s="407">
        <v>0</v>
      </c>
      <c r="EH182" s="407">
        <v>0</v>
      </c>
      <c r="EI182" s="407">
        <v>0</v>
      </c>
      <c r="EJ182" s="407">
        <v>0</v>
      </c>
      <c r="EK182" s="407">
        <v>0</v>
      </c>
      <c r="EL182" s="407">
        <v>0</v>
      </c>
      <c r="EM182" s="407">
        <v>0</v>
      </c>
      <c r="EN182" s="407">
        <v>0</v>
      </c>
      <c r="EO182" s="407">
        <v>0</v>
      </c>
      <c r="EP182" s="407">
        <v>626.60414058054243</v>
      </c>
      <c r="EQ182" s="407">
        <v>0</v>
      </c>
      <c r="ER182" s="407">
        <v>0</v>
      </c>
      <c r="ES182" s="407">
        <v>0</v>
      </c>
      <c r="ET182" s="407">
        <v>0</v>
      </c>
      <c r="EU182" s="407">
        <v>0</v>
      </c>
      <c r="EV182" s="407">
        <v>246</v>
      </c>
      <c r="EW182" s="407">
        <v>0</v>
      </c>
      <c r="EX182" s="407">
        <v>0</v>
      </c>
      <c r="EY182" s="407">
        <v>0</v>
      </c>
      <c r="EZ182" s="407"/>
      <c r="FA182" s="407">
        <v>0</v>
      </c>
      <c r="FB182" s="407"/>
      <c r="FC182" s="407"/>
      <c r="FD182" s="407"/>
      <c r="FE182" s="407"/>
      <c r="FF182" s="407">
        <v>0</v>
      </c>
      <c r="FG182" s="407">
        <v>0</v>
      </c>
      <c r="FH182" s="407">
        <v>0</v>
      </c>
      <c r="FI182" s="407">
        <v>0</v>
      </c>
    </row>
    <row r="183" spans="1:165">
      <c r="A183" s="407">
        <v>194</v>
      </c>
      <c r="B183" s="407" t="s">
        <v>1090</v>
      </c>
      <c r="C183" s="407" t="s">
        <v>2306</v>
      </c>
      <c r="D183" s="407" t="s">
        <v>2315</v>
      </c>
      <c r="E183" s="407" t="s">
        <v>1026</v>
      </c>
      <c r="F183" s="407" t="s">
        <v>2326</v>
      </c>
      <c r="G183" s="407" t="s">
        <v>2324</v>
      </c>
      <c r="H183" s="407" t="s">
        <v>97</v>
      </c>
      <c r="I183" s="407" t="s">
        <v>97</v>
      </c>
      <c r="J183" s="407" t="s">
        <v>2307</v>
      </c>
      <c r="K183" s="818">
        <v>44440</v>
      </c>
      <c r="L183" s="407">
        <v>0</v>
      </c>
      <c r="M183" s="407">
        <v>0</v>
      </c>
      <c r="N183" s="407">
        <v>0</v>
      </c>
      <c r="O183" s="407">
        <v>0</v>
      </c>
      <c r="P183" s="407">
        <v>0</v>
      </c>
      <c r="Q183" s="407">
        <v>0</v>
      </c>
      <c r="R183" s="407"/>
      <c r="S183" s="407"/>
      <c r="T183" s="407"/>
      <c r="U183" s="407"/>
      <c r="V183" s="407"/>
      <c r="W183" s="407"/>
      <c r="X183" s="407"/>
      <c r="Y183" s="407"/>
      <c r="Z183" s="407"/>
      <c r="AA183" s="407">
        <v>0</v>
      </c>
      <c r="AB183" s="407"/>
      <c r="AC183" s="407"/>
      <c r="AD183" s="407"/>
      <c r="AE183" s="407"/>
      <c r="AF183" s="407"/>
      <c r="AG183" s="407"/>
      <c r="AH183" s="407"/>
      <c r="AI183" s="407"/>
      <c r="AJ183" s="407"/>
      <c r="AK183" s="407"/>
      <c r="AL183" s="407"/>
      <c r="AM183" s="407"/>
      <c r="AN183" s="407"/>
      <c r="AO183" s="407"/>
      <c r="AP183" s="407"/>
      <c r="AQ183" s="407"/>
      <c r="AR183" s="407"/>
      <c r="AS183" s="407"/>
      <c r="AT183" s="407"/>
      <c r="AU183" s="407"/>
      <c r="AV183" s="407"/>
      <c r="AW183" s="407"/>
      <c r="AX183" s="407"/>
      <c r="AY183" s="407"/>
      <c r="AZ183" s="407">
        <v>0</v>
      </c>
      <c r="BA183" s="407"/>
      <c r="BB183" s="407"/>
      <c r="BC183" s="407"/>
      <c r="BD183" s="407"/>
      <c r="BE183" s="407"/>
      <c r="BF183" s="407"/>
      <c r="BG183" s="407"/>
      <c r="BH183" s="407"/>
      <c r="BI183" s="407">
        <v>8.8000000000000007</v>
      </c>
      <c r="BJ183" s="407">
        <v>42.57</v>
      </c>
      <c r="BK183" s="407">
        <v>49.33</v>
      </c>
      <c r="BL183" s="407">
        <v>5</v>
      </c>
      <c r="BM183" s="407"/>
      <c r="BN183" s="407"/>
      <c r="BO183" s="407"/>
      <c r="BP183" s="407"/>
      <c r="BQ183" s="407"/>
      <c r="BR183" s="407"/>
      <c r="BS183" s="407"/>
      <c r="BT183" s="407"/>
      <c r="BU183" s="407"/>
      <c r="BV183" s="407"/>
      <c r="BW183" s="407"/>
      <c r="BX183" s="407"/>
      <c r="BY183" s="407"/>
      <c r="BZ183" s="407"/>
      <c r="CA183" s="407"/>
      <c r="CB183" s="407"/>
      <c r="CC183" s="407"/>
      <c r="CD183" s="407"/>
      <c r="CE183" s="407"/>
      <c r="CF183" s="407"/>
      <c r="CG183" s="407"/>
      <c r="CH183" s="407"/>
      <c r="CI183" s="407"/>
      <c r="CJ183" s="407">
        <v>-0.03</v>
      </c>
      <c r="CK183" s="407"/>
      <c r="CL183" s="407"/>
      <c r="CM183" s="407"/>
      <c r="CN183" s="407"/>
      <c r="CO183" s="407">
        <v>0</v>
      </c>
      <c r="CP183" s="407">
        <v>0</v>
      </c>
      <c r="CQ183" s="407">
        <v>30</v>
      </c>
      <c r="CR183" s="407"/>
      <c r="CS183" s="407"/>
      <c r="CT183" s="407"/>
      <c r="CU183" s="407"/>
      <c r="CV183" s="407"/>
      <c r="CW183" s="407"/>
      <c r="CX183" s="407"/>
      <c r="CY183" s="407"/>
      <c r="CZ183" s="407"/>
      <c r="DA183" s="407"/>
      <c r="DB183" s="407"/>
      <c r="DC183" s="407"/>
      <c r="DD183" s="407"/>
      <c r="DE183" s="407"/>
      <c r="DF183" s="407"/>
      <c r="DG183" s="407"/>
      <c r="DH183" s="407"/>
      <c r="DI183" s="407"/>
      <c r="DJ183" s="407"/>
      <c r="DK183" s="407">
        <v>0</v>
      </c>
      <c r="DL183" s="407"/>
      <c r="DM183" s="407"/>
      <c r="DN183" s="407"/>
      <c r="DO183" s="407"/>
      <c r="DP183" s="407"/>
      <c r="DQ183" s="407"/>
      <c r="DR183" s="407"/>
      <c r="DS183" s="407"/>
      <c r="DT183" s="407"/>
      <c r="DU183" s="407"/>
      <c r="DV183" s="407"/>
      <c r="DW183" s="407"/>
      <c r="DX183" s="407"/>
      <c r="DY183" s="407"/>
      <c r="DZ183" s="407"/>
      <c r="EA183" s="407"/>
      <c r="EB183" s="407"/>
      <c r="EC183" s="407"/>
      <c r="ED183" s="407"/>
      <c r="EE183" s="407"/>
      <c r="EF183" s="407"/>
      <c r="EG183" s="407"/>
      <c r="EH183" s="407"/>
      <c r="EI183" s="407"/>
      <c r="EJ183" s="407"/>
      <c r="EK183" s="407"/>
      <c r="EL183" s="407"/>
      <c r="EM183" s="407"/>
      <c r="EN183" s="407"/>
      <c r="EO183" s="407"/>
      <c r="EP183" s="407"/>
      <c r="EQ183" s="407"/>
      <c r="ER183" s="407"/>
      <c r="ES183" s="407"/>
      <c r="ET183" s="407"/>
      <c r="EU183" s="407"/>
      <c r="EV183" s="407">
        <v>246</v>
      </c>
      <c r="EW183" s="407"/>
      <c r="EX183" s="407"/>
      <c r="EY183" s="407"/>
      <c r="EZ183" s="407"/>
      <c r="FA183" s="407">
        <v>0</v>
      </c>
      <c r="FB183" s="407"/>
      <c r="FC183" s="407"/>
      <c r="FD183" s="407"/>
      <c r="FE183" s="407"/>
      <c r="FF183" s="407">
        <v>0</v>
      </c>
      <c r="FG183" s="407">
        <v>0</v>
      </c>
      <c r="FH183" s="407">
        <v>0</v>
      </c>
      <c r="FI183" s="407">
        <v>0</v>
      </c>
    </row>
    <row r="184" spans="1:165">
      <c r="A184" s="407">
        <v>195</v>
      </c>
      <c r="B184" s="407" t="s">
        <v>1090</v>
      </c>
      <c r="C184" s="407" t="s">
        <v>2306</v>
      </c>
      <c r="D184" s="407" t="s">
        <v>2315</v>
      </c>
      <c r="E184" s="407" t="s">
        <v>1026</v>
      </c>
      <c r="F184" s="407" t="s">
        <v>2326</v>
      </c>
      <c r="G184" s="407" t="s">
        <v>2324</v>
      </c>
      <c r="H184" s="407" t="s">
        <v>97</v>
      </c>
      <c r="I184" s="407" t="s">
        <v>97</v>
      </c>
      <c r="J184" s="407" t="s">
        <v>2307</v>
      </c>
      <c r="K184" s="818">
        <v>44440</v>
      </c>
      <c r="L184" s="407">
        <v>0</v>
      </c>
      <c r="M184" s="407">
        <v>0</v>
      </c>
      <c r="N184" s="407">
        <v>2.177</v>
      </c>
      <c r="O184" s="407">
        <v>2.177</v>
      </c>
      <c r="P184" s="407">
        <v>2.177</v>
      </c>
      <c r="Q184" s="407">
        <v>2.177</v>
      </c>
      <c r="R184" s="407"/>
      <c r="S184" s="407">
        <v>648.44000000000005</v>
      </c>
      <c r="T184" s="407">
        <v>159.41</v>
      </c>
      <c r="U184" s="407"/>
      <c r="V184" s="407">
        <v>1758.6894500000001</v>
      </c>
      <c r="W184" s="407">
        <v>1758.6894500000001</v>
      </c>
      <c r="X184" s="407">
        <v>1331.9321399999999</v>
      </c>
      <c r="Y184" s="407">
        <v>0</v>
      </c>
      <c r="Z184" s="407">
        <v>134.9092356215246</v>
      </c>
      <c r="AA184" s="407">
        <v>0</v>
      </c>
      <c r="AB184" s="407">
        <v>0</v>
      </c>
      <c r="AC184" s="407">
        <v>0</v>
      </c>
      <c r="AD184" s="407">
        <v>253.93491586334113</v>
      </c>
      <c r="AE184" s="407">
        <v>908.9976219434667</v>
      </c>
      <c r="AF184" s="407">
        <v>335.76027028443826</v>
      </c>
      <c r="AG184" s="407">
        <v>11.280663737367016</v>
      </c>
      <c r="AH184" s="407">
        <v>0</v>
      </c>
      <c r="AI184" s="407">
        <v>0</v>
      </c>
      <c r="AJ184" s="407">
        <v>0</v>
      </c>
      <c r="AK184" s="407">
        <v>0</v>
      </c>
      <c r="AL184" s="407">
        <v>20.84707249856562</v>
      </c>
      <c r="AM184" s="407"/>
      <c r="AN184" s="407">
        <v>4.517483209321389</v>
      </c>
      <c r="AO184" s="407">
        <v>0</v>
      </c>
      <c r="AP184" s="407">
        <v>0</v>
      </c>
      <c r="AQ184" s="407">
        <v>0</v>
      </c>
      <c r="AR184" s="407">
        <v>0</v>
      </c>
      <c r="AS184" s="407">
        <v>0</v>
      </c>
      <c r="AT184" s="407">
        <v>0</v>
      </c>
      <c r="AU184" s="407">
        <v>0</v>
      </c>
      <c r="AV184" s="407">
        <v>0</v>
      </c>
      <c r="AW184" s="407">
        <v>0</v>
      </c>
      <c r="AX184" s="407">
        <v>0</v>
      </c>
      <c r="AY184" s="407">
        <v>0</v>
      </c>
      <c r="AZ184" s="407">
        <v>0</v>
      </c>
      <c r="BA184" s="407"/>
      <c r="BB184" s="407">
        <v>0</v>
      </c>
      <c r="BC184" s="407">
        <v>0</v>
      </c>
      <c r="BD184" s="407">
        <v>0</v>
      </c>
      <c r="BE184" s="407">
        <v>0</v>
      </c>
      <c r="BF184" s="407">
        <v>0</v>
      </c>
      <c r="BG184" s="407">
        <v>24.543003595670271</v>
      </c>
      <c r="BH184" s="407">
        <v>0</v>
      </c>
      <c r="BI184" s="407">
        <v>0</v>
      </c>
      <c r="BJ184" s="407">
        <v>0</v>
      </c>
      <c r="BK184" s="407">
        <v>0</v>
      </c>
      <c r="BL184" s="407">
        <v>0</v>
      </c>
      <c r="BM184" s="407"/>
      <c r="BN184" s="407"/>
      <c r="BO184" s="407"/>
      <c r="BP184" s="407"/>
      <c r="BQ184" s="407"/>
      <c r="BR184" s="407">
        <v>159.83534000000003</v>
      </c>
      <c r="BS184" s="407"/>
      <c r="BT184" s="407"/>
      <c r="BU184" s="407"/>
      <c r="BV184" s="407">
        <v>360.30327388010852</v>
      </c>
      <c r="BW184" s="407"/>
      <c r="BX184" s="407"/>
      <c r="BY184" s="407"/>
      <c r="BZ184" s="407"/>
      <c r="CA184" s="407"/>
      <c r="CB184" s="407"/>
      <c r="CC184" s="407"/>
      <c r="CD184" s="407"/>
      <c r="CE184" s="407"/>
      <c r="CF184" s="407"/>
      <c r="CG184" s="407"/>
      <c r="CH184" s="407"/>
      <c r="CI184" s="407">
        <v>1173.712</v>
      </c>
      <c r="CJ184" s="407">
        <v>-373.9690700000001</v>
      </c>
      <c r="CK184" s="407"/>
      <c r="CL184" s="407"/>
      <c r="CM184" s="407"/>
      <c r="CN184" s="407"/>
      <c r="CO184" s="407">
        <v>-486.55950000000013</v>
      </c>
      <c r="CP184" s="407">
        <v>59.802189999999996</v>
      </c>
      <c r="CQ184" s="407">
        <v>30</v>
      </c>
      <c r="CR184" s="407">
        <v>37.561997220088529</v>
      </c>
      <c r="CS184" s="407">
        <v>0</v>
      </c>
      <c r="CT184" s="407">
        <v>0</v>
      </c>
      <c r="CU184" s="407">
        <v>0</v>
      </c>
      <c r="CV184" s="407">
        <v>0</v>
      </c>
      <c r="CW184" s="407">
        <v>0</v>
      </c>
      <c r="CX184" s="407">
        <v>0</v>
      </c>
      <c r="CY184" s="407">
        <v>0</v>
      </c>
      <c r="CZ184" s="407">
        <v>11.470743654246405</v>
      </c>
      <c r="DA184" s="407">
        <v>0</v>
      </c>
      <c r="DB184" s="407">
        <v>0</v>
      </c>
      <c r="DC184" s="407">
        <v>66.572194443619139</v>
      </c>
      <c r="DD184" s="407">
        <v>0</v>
      </c>
      <c r="DE184" s="407">
        <v>0</v>
      </c>
      <c r="DF184" s="407">
        <v>0</v>
      </c>
      <c r="DG184" s="407">
        <v>4.8662148330333252</v>
      </c>
      <c r="DH184" s="407">
        <v>0</v>
      </c>
      <c r="DI184" s="407">
        <v>-9.4493090046696437</v>
      </c>
      <c r="DJ184" s="407"/>
      <c r="DK184" s="407">
        <v>0</v>
      </c>
      <c r="DL184" s="407">
        <v>0</v>
      </c>
      <c r="DM184" s="407">
        <v>0</v>
      </c>
      <c r="DN184" s="407">
        <v>0</v>
      </c>
      <c r="DO184" s="407">
        <v>-1.271908597789043</v>
      </c>
      <c r="DP184" s="407">
        <v>-0.28784312397661438</v>
      </c>
      <c r="DQ184" s="407">
        <v>0</v>
      </c>
      <c r="DR184" s="407">
        <v>-34.338094984375225</v>
      </c>
      <c r="DS184" s="407"/>
      <c r="DT184" s="407"/>
      <c r="DU184" s="407"/>
      <c r="DV184" s="407">
        <v>908.9976219434667</v>
      </c>
      <c r="DW184" s="407">
        <v>0</v>
      </c>
      <c r="DX184" s="407">
        <v>0</v>
      </c>
      <c r="DY184" s="407">
        <v>-486.55950000000007</v>
      </c>
      <c r="DZ184" s="407">
        <v>59.802189999999996</v>
      </c>
      <c r="EA184" s="407">
        <v>0</v>
      </c>
      <c r="EB184" s="407">
        <v>0</v>
      </c>
      <c r="EC184" s="407">
        <v>-464.31809654782933</v>
      </c>
      <c r="ED184" s="407">
        <v>0</v>
      </c>
      <c r="EE184" s="407">
        <v>0</v>
      </c>
      <c r="EF184" s="407">
        <v>0</v>
      </c>
      <c r="EG184" s="407">
        <v>0</v>
      </c>
      <c r="EH184" s="407">
        <v>0</v>
      </c>
      <c r="EI184" s="407">
        <v>0</v>
      </c>
      <c r="EJ184" s="407">
        <v>0</v>
      </c>
      <c r="EK184" s="407">
        <v>0</v>
      </c>
      <c r="EL184" s="407">
        <v>0</v>
      </c>
      <c r="EM184" s="407">
        <v>0</v>
      </c>
      <c r="EN184" s="407">
        <v>0</v>
      </c>
      <c r="EO184" s="407">
        <v>0</v>
      </c>
      <c r="EP184" s="407">
        <v>63.904092791818044</v>
      </c>
      <c r="EQ184" s="407">
        <v>0</v>
      </c>
      <c r="ER184" s="407">
        <v>0</v>
      </c>
      <c r="ES184" s="407">
        <v>0</v>
      </c>
      <c r="ET184" s="407">
        <v>0</v>
      </c>
      <c r="EU184" s="407">
        <v>0</v>
      </c>
      <c r="EV184" s="407">
        <v>246</v>
      </c>
      <c r="EW184" s="407">
        <v>0</v>
      </c>
      <c r="EX184" s="407">
        <v>0</v>
      </c>
      <c r="EY184" s="407">
        <v>0</v>
      </c>
      <c r="EZ184" s="407"/>
      <c r="FA184" s="407">
        <v>0</v>
      </c>
      <c r="FB184" s="407"/>
      <c r="FC184" s="407"/>
      <c r="FD184" s="407"/>
      <c r="FE184" s="407"/>
      <c r="FF184" s="407">
        <v>0</v>
      </c>
      <c r="FG184" s="407">
        <v>0</v>
      </c>
      <c r="FH184" s="407">
        <v>0</v>
      </c>
      <c r="FI184" s="407">
        <v>0</v>
      </c>
    </row>
    <row r="185" spans="1:165">
      <c r="A185" s="407">
        <v>196</v>
      </c>
      <c r="B185" s="407" t="s">
        <v>1090</v>
      </c>
      <c r="C185" s="407" t="s">
        <v>2306</v>
      </c>
      <c r="D185" s="407" t="s">
        <v>2315</v>
      </c>
      <c r="E185" s="407" t="s">
        <v>1026</v>
      </c>
      <c r="F185" s="407" t="s">
        <v>2326</v>
      </c>
      <c r="G185" s="407" t="s">
        <v>2325</v>
      </c>
      <c r="H185" s="407" t="s">
        <v>97</v>
      </c>
      <c r="I185" s="407" t="s">
        <v>97</v>
      </c>
      <c r="J185" s="407" t="s">
        <v>2307</v>
      </c>
      <c r="K185" s="818">
        <v>44440</v>
      </c>
      <c r="L185" s="407">
        <v>0</v>
      </c>
      <c r="M185" s="407">
        <v>0</v>
      </c>
      <c r="N185" s="407">
        <v>4.1619999999999999</v>
      </c>
      <c r="O185" s="407">
        <v>1.6648000000000001</v>
      </c>
      <c r="P185" s="407">
        <v>4.1619999999999999</v>
      </c>
      <c r="Q185" s="407">
        <v>1.6648000000000001</v>
      </c>
      <c r="R185" s="407"/>
      <c r="S185" s="407">
        <v>648.44000000000005</v>
      </c>
      <c r="T185" s="407">
        <v>159.41</v>
      </c>
      <c r="U185" s="407"/>
      <c r="V185" s="407">
        <v>3362.2717000000002</v>
      </c>
      <c r="W185" s="407">
        <v>3362.2717000000002</v>
      </c>
      <c r="X185" s="407">
        <v>2546.3948399999999</v>
      </c>
      <c r="Y185" s="407">
        <v>0</v>
      </c>
      <c r="Z185" s="407">
        <v>257.92018312208791</v>
      </c>
      <c r="AA185" s="407">
        <v>0</v>
      </c>
      <c r="AB185" s="407">
        <v>0</v>
      </c>
      <c r="AC185" s="407">
        <v>0</v>
      </c>
      <c r="AD185" s="407">
        <v>485.47410189399437</v>
      </c>
      <c r="AE185" s="407">
        <v>1737.8264136558146</v>
      </c>
      <c r="AF185" s="407">
        <v>641.90824295995958</v>
      </c>
      <c r="AG185" s="407">
        <v>21.566432005016775</v>
      </c>
      <c r="AH185" s="407">
        <v>0</v>
      </c>
      <c r="AI185" s="407">
        <v>0</v>
      </c>
      <c r="AJ185" s="407">
        <v>0</v>
      </c>
      <c r="AK185" s="407">
        <v>0</v>
      </c>
      <c r="AL185" s="407">
        <v>39.855542369788751</v>
      </c>
      <c r="AM185" s="407"/>
      <c r="AN185" s="407">
        <v>8.636548055670934</v>
      </c>
      <c r="AO185" s="407">
        <v>0</v>
      </c>
      <c r="AP185" s="407">
        <v>0</v>
      </c>
      <c r="AQ185" s="407">
        <v>0</v>
      </c>
      <c r="AR185" s="407">
        <v>0</v>
      </c>
      <c r="AS185" s="407">
        <v>0</v>
      </c>
      <c r="AT185" s="407">
        <v>0</v>
      </c>
      <c r="AU185" s="407">
        <v>0</v>
      </c>
      <c r="AV185" s="407">
        <v>0</v>
      </c>
      <c r="AW185" s="407">
        <v>0</v>
      </c>
      <c r="AX185" s="407">
        <v>0</v>
      </c>
      <c r="AY185" s="407">
        <v>0</v>
      </c>
      <c r="AZ185" s="407">
        <v>0</v>
      </c>
      <c r="BA185" s="407"/>
      <c r="BB185" s="407">
        <v>0</v>
      </c>
      <c r="BC185" s="407">
        <v>0</v>
      </c>
      <c r="BD185" s="407">
        <v>0</v>
      </c>
      <c r="BE185" s="407">
        <v>0</v>
      </c>
      <c r="BF185" s="407">
        <v>0</v>
      </c>
      <c r="BG185" s="407">
        <v>46.921442795213437</v>
      </c>
      <c r="BH185" s="407">
        <v>0</v>
      </c>
      <c r="BI185" s="407">
        <v>0</v>
      </c>
      <c r="BJ185" s="407">
        <v>0</v>
      </c>
      <c r="BK185" s="407">
        <v>0</v>
      </c>
      <c r="BL185" s="407">
        <v>0</v>
      </c>
      <c r="BM185" s="407"/>
      <c r="BN185" s="407"/>
      <c r="BO185" s="407"/>
      <c r="BP185" s="407"/>
      <c r="BQ185" s="407"/>
      <c r="BR185" s="407"/>
      <c r="BS185" s="407">
        <v>1650.0665199999999</v>
      </c>
      <c r="BT185" s="407"/>
      <c r="BU185" s="407"/>
      <c r="BV185" s="407">
        <v>688.82968575517305</v>
      </c>
      <c r="BW185" s="407"/>
      <c r="BX185" s="407"/>
      <c r="BY185" s="407"/>
      <c r="BZ185" s="407"/>
      <c r="CA185" s="407"/>
      <c r="CB185" s="407"/>
      <c r="CC185" s="407"/>
      <c r="CD185" s="407"/>
      <c r="CE185" s="407"/>
      <c r="CF185" s="407"/>
      <c r="CG185" s="407"/>
      <c r="CH185" s="407"/>
      <c r="CI185" s="407">
        <v>893.74399999999991</v>
      </c>
      <c r="CJ185" s="407">
        <v>-289.80896800000005</v>
      </c>
      <c r="CK185" s="407"/>
      <c r="CL185" s="407"/>
      <c r="CM185" s="407"/>
      <c r="CN185" s="407"/>
      <c r="CO185" s="407">
        <v>-930.20700000000022</v>
      </c>
      <c r="CP185" s="407">
        <v>114.33014</v>
      </c>
      <c r="CQ185" s="407">
        <v>30</v>
      </c>
      <c r="CR185" s="407">
        <v>71.811222981169976</v>
      </c>
      <c r="CS185" s="407">
        <v>0</v>
      </c>
      <c r="CT185" s="407">
        <v>0</v>
      </c>
      <c r="CU185" s="407">
        <v>0</v>
      </c>
      <c r="CV185" s="407">
        <v>0</v>
      </c>
      <c r="CW185" s="407">
        <v>0</v>
      </c>
      <c r="CX185" s="407">
        <v>0</v>
      </c>
      <c r="CY185" s="407">
        <v>0</v>
      </c>
      <c r="CZ185" s="407">
        <v>21.929827785472412</v>
      </c>
      <c r="DA185" s="407">
        <v>0</v>
      </c>
      <c r="DB185" s="407">
        <v>0</v>
      </c>
      <c r="DC185" s="407">
        <v>127.27306994687308</v>
      </c>
      <c r="DD185" s="407">
        <v>0</v>
      </c>
      <c r="DE185" s="407">
        <v>0</v>
      </c>
      <c r="DF185" s="407">
        <v>0</v>
      </c>
      <c r="DG185" s="407">
        <v>9.3032550000389094</v>
      </c>
      <c r="DH185" s="407">
        <v>0</v>
      </c>
      <c r="DI185" s="407">
        <v>-18.06523843703954</v>
      </c>
      <c r="DJ185" s="407"/>
      <c r="DK185" s="407">
        <v>0</v>
      </c>
      <c r="DL185" s="407">
        <v>0</v>
      </c>
      <c r="DM185" s="407">
        <v>0</v>
      </c>
      <c r="DN185" s="407">
        <v>0</v>
      </c>
      <c r="DO185" s="407">
        <v>-2.4316415176839641</v>
      </c>
      <c r="DP185" s="407">
        <v>-0.55029999172745647</v>
      </c>
      <c r="DQ185" s="407">
        <v>0</v>
      </c>
      <c r="DR185" s="407">
        <v>-65.647749804763279</v>
      </c>
      <c r="DS185" s="407"/>
      <c r="DT185" s="407"/>
      <c r="DU185" s="407"/>
      <c r="DV185" s="407">
        <v>1737.8264136558146</v>
      </c>
      <c r="DW185" s="407">
        <v>0</v>
      </c>
      <c r="DX185" s="407">
        <v>0</v>
      </c>
      <c r="DY185" s="407">
        <v>-930.20700000000011</v>
      </c>
      <c r="DZ185" s="407">
        <v>114.33013999999991</v>
      </c>
      <c r="EA185" s="407">
        <v>0</v>
      </c>
      <c r="EB185" s="407">
        <v>0</v>
      </c>
      <c r="EC185" s="407">
        <v>-887.68576841160575</v>
      </c>
      <c r="ED185" s="407">
        <v>0</v>
      </c>
      <c r="EE185" s="407">
        <v>0</v>
      </c>
      <c r="EF185" s="407">
        <v>0</v>
      </c>
      <c r="EG185" s="407">
        <v>0</v>
      </c>
      <c r="EH185" s="407">
        <v>0</v>
      </c>
      <c r="EI185" s="407">
        <v>0</v>
      </c>
      <c r="EJ185" s="407">
        <v>0</v>
      </c>
      <c r="EK185" s="407">
        <v>0</v>
      </c>
      <c r="EL185" s="407">
        <v>0</v>
      </c>
      <c r="EM185" s="407">
        <v>0</v>
      </c>
      <c r="EN185" s="407">
        <v>0</v>
      </c>
      <c r="EO185" s="407">
        <v>0</v>
      </c>
      <c r="EP185" s="407">
        <v>122.17217923727455</v>
      </c>
      <c r="EQ185" s="407">
        <v>0</v>
      </c>
      <c r="ER185" s="407">
        <v>0</v>
      </c>
      <c r="ES185" s="407">
        <v>0</v>
      </c>
      <c r="ET185" s="407">
        <v>0</v>
      </c>
      <c r="EU185" s="407">
        <v>0</v>
      </c>
      <c r="EV185" s="407">
        <v>246</v>
      </c>
      <c r="EW185" s="407">
        <v>0</v>
      </c>
      <c r="EX185" s="407">
        <v>0</v>
      </c>
      <c r="EY185" s="407">
        <v>0</v>
      </c>
      <c r="EZ185" s="407"/>
      <c r="FA185" s="407">
        <v>0</v>
      </c>
      <c r="FB185" s="407"/>
      <c r="FC185" s="407"/>
      <c r="FD185" s="407"/>
      <c r="FE185" s="407"/>
      <c r="FF185" s="407">
        <v>0</v>
      </c>
      <c r="FG185" s="407">
        <v>0</v>
      </c>
      <c r="FH185" s="407">
        <v>0</v>
      </c>
      <c r="FI185" s="407">
        <v>0</v>
      </c>
    </row>
    <row r="186" spans="1:165">
      <c r="A186" s="407">
        <v>197</v>
      </c>
      <c r="B186" s="407" t="s">
        <v>1090</v>
      </c>
      <c r="C186" s="407" t="s">
        <v>2306</v>
      </c>
      <c r="D186" s="407" t="s">
        <v>1218</v>
      </c>
      <c r="E186" s="407" t="s">
        <v>1021</v>
      </c>
      <c r="F186" s="407" t="s">
        <v>1021</v>
      </c>
      <c r="G186" s="407" t="s">
        <v>97</v>
      </c>
      <c r="H186" s="407" t="s">
        <v>97</v>
      </c>
      <c r="I186" s="407" t="s">
        <v>97</v>
      </c>
      <c r="J186" s="407" t="s">
        <v>2307</v>
      </c>
      <c r="K186" s="818">
        <v>44470</v>
      </c>
      <c r="L186" s="407">
        <v>0</v>
      </c>
      <c r="M186" s="407">
        <v>0</v>
      </c>
      <c r="N186" s="407">
        <v>1127.7139999999999</v>
      </c>
      <c r="O186" s="407">
        <v>1127.7139999999999</v>
      </c>
      <c r="P186" s="407">
        <v>1127.7139999999999</v>
      </c>
      <c r="Q186" s="407">
        <v>1127.7139999999999</v>
      </c>
      <c r="R186" s="407"/>
      <c r="S186" s="407">
        <v>648.44000000000005</v>
      </c>
      <c r="T186" s="407">
        <v>159.41</v>
      </c>
      <c r="U186" s="407"/>
      <c r="V186" s="407">
        <v>911023.75489999994</v>
      </c>
      <c r="W186" s="407">
        <v>911023.75489999994</v>
      </c>
      <c r="X186" s="407">
        <v>689957.97947999998</v>
      </c>
      <c r="Y186" s="407">
        <v>0</v>
      </c>
      <c r="Z186" s="407">
        <v>69884.719218967381</v>
      </c>
      <c r="AA186" s="407">
        <v>0</v>
      </c>
      <c r="AB186" s="407">
        <v>0</v>
      </c>
      <c r="AC186" s="407">
        <v>0</v>
      </c>
      <c r="AD186" s="407">
        <v>131541.55246114463</v>
      </c>
      <c r="AE186" s="407">
        <v>470872.45945445774</v>
      </c>
      <c r="AF186" s="407">
        <v>173928.13846740697</v>
      </c>
      <c r="AG186" s="407">
        <v>5843.5289048787818</v>
      </c>
      <c r="AH186" s="407">
        <v>0</v>
      </c>
      <c r="AI186" s="407">
        <v>0</v>
      </c>
      <c r="AJ186" s="407">
        <v>0</v>
      </c>
      <c r="AK186" s="407">
        <v>0</v>
      </c>
      <c r="AL186" s="407">
        <v>10799.051683806811</v>
      </c>
      <c r="AM186" s="407"/>
      <c r="AN186" s="407">
        <v>2340.114405106413</v>
      </c>
      <c r="AO186" s="407">
        <v>0</v>
      </c>
      <c r="AP186" s="407">
        <v>0</v>
      </c>
      <c r="AQ186" s="407">
        <v>0</v>
      </c>
      <c r="AR186" s="407">
        <v>0</v>
      </c>
      <c r="AS186" s="407">
        <v>0</v>
      </c>
      <c r="AT186" s="407">
        <v>0</v>
      </c>
      <c r="AU186" s="407">
        <v>0</v>
      </c>
      <c r="AV186" s="407">
        <v>0</v>
      </c>
      <c r="AW186" s="407">
        <v>0</v>
      </c>
      <c r="AX186" s="407">
        <v>0</v>
      </c>
      <c r="AY186" s="407">
        <v>0</v>
      </c>
      <c r="AZ186" s="407">
        <v>0</v>
      </c>
      <c r="BA186" s="407"/>
      <c r="BB186" s="407">
        <v>0</v>
      </c>
      <c r="BC186" s="407">
        <v>0</v>
      </c>
      <c r="BD186" s="407">
        <v>0</v>
      </c>
      <c r="BE186" s="407">
        <v>0</v>
      </c>
      <c r="BF186" s="407">
        <v>0</v>
      </c>
      <c r="BG186" s="407">
        <v>12713.5915281983</v>
      </c>
      <c r="BH186" s="407">
        <v>0</v>
      </c>
      <c r="BI186" s="407">
        <v>5721.06</v>
      </c>
      <c r="BJ186" s="407">
        <v>25148.51</v>
      </c>
      <c r="BK186" s="407">
        <v>370300.76</v>
      </c>
      <c r="BL186" s="407">
        <v>7240</v>
      </c>
      <c r="BM186" s="407"/>
      <c r="BN186" s="407"/>
      <c r="BO186" s="407"/>
      <c r="BP186" s="407"/>
      <c r="BQ186" s="407"/>
      <c r="BR186" s="407"/>
      <c r="BS186" s="407"/>
      <c r="BT186" s="407"/>
      <c r="BU186" s="407"/>
      <c r="BV186" s="407">
        <v>186641.72999560527</v>
      </c>
      <c r="BW186" s="407"/>
      <c r="BX186" s="407"/>
      <c r="BY186" s="407"/>
      <c r="BZ186" s="407"/>
      <c r="CA186" s="407"/>
      <c r="CB186" s="407"/>
      <c r="CC186" s="407"/>
      <c r="CD186" s="407"/>
      <c r="CE186" s="407"/>
      <c r="CF186" s="407"/>
      <c r="CG186" s="407"/>
      <c r="CH186" s="407"/>
      <c r="CI186" s="407">
        <v>689955.53220000002</v>
      </c>
      <c r="CJ186" s="407">
        <v>-221068.25269999995</v>
      </c>
      <c r="CK186" s="407"/>
      <c r="CL186" s="407"/>
      <c r="CM186" s="407"/>
      <c r="CN186" s="407"/>
      <c r="CO186" s="407">
        <v>-252044.07900000006</v>
      </c>
      <c r="CP186" s="407">
        <v>30978.303579999996</v>
      </c>
      <c r="CQ186" s="407">
        <v>31</v>
      </c>
      <c r="CR186" s="407">
        <v>19457.597672510077</v>
      </c>
      <c r="CS186" s="407">
        <v>0</v>
      </c>
      <c r="CT186" s="407">
        <v>0</v>
      </c>
      <c r="CU186" s="407">
        <v>0</v>
      </c>
      <c r="CV186" s="407">
        <v>0</v>
      </c>
      <c r="CW186" s="407">
        <v>0</v>
      </c>
      <c r="CX186" s="407">
        <v>0</v>
      </c>
      <c r="CY186" s="407">
        <v>0</v>
      </c>
      <c r="CZ186" s="407">
        <v>5941.992746580072</v>
      </c>
      <c r="DA186" s="407">
        <v>0</v>
      </c>
      <c r="DB186" s="407">
        <v>0</v>
      </c>
      <c r="DC186" s="407">
        <v>34485.252955806849</v>
      </c>
      <c r="DD186" s="407">
        <v>0</v>
      </c>
      <c r="DE186" s="407">
        <v>0</v>
      </c>
      <c r="DF186" s="407">
        <v>0</v>
      </c>
      <c r="DG186" s="407">
        <v>2520.7618714833916</v>
      </c>
      <c r="DH186" s="407">
        <v>0</v>
      </c>
      <c r="DI186" s="407">
        <v>-4894.863598939839</v>
      </c>
      <c r="DJ186" s="407"/>
      <c r="DK186" s="407">
        <v>0</v>
      </c>
      <c r="DL186" s="407">
        <v>0</v>
      </c>
      <c r="DM186" s="407">
        <v>0</v>
      </c>
      <c r="DN186" s="407">
        <v>0</v>
      </c>
      <c r="DO186" s="407">
        <v>-658.86501260775003</v>
      </c>
      <c r="DP186" s="407">
        <v>-149.10644038225291</v>
      </c>
      <c r="DQ186" s="407">
        <v>0</v>
      </c>
      <c r="DR186" s="407">
        <v>-17787.574849430279</v>
      </c>
      <c r="DS186" s="407"/>
      <c r="DT186" s="407"/>
      <c r="DU186" s="407"/>
      <c r="DV186" s="407">
        <v>470872.45945445774</v>
      </c>
      <c r="DW186" s="407">
        <v>0</v>
      </c>
      <c r="DX186" s="407">
        <v>0</v>
      </c>
      <c r="DY186" s="407">
        <v>-252044.07900000003</v>
      </c>
      <c r="DZ186" s="407">
        <v>30978.303579999978</v>
      </c>
      <c r="EA186" s="407">
        <v>0</v>
      </c>
      <c r="EB186" s="407">
        <v>0</v>
      </c>
      <c r="EC186" s="407">
        <v>-240522.74594870865</v>
      </c>
      <c r="ED186" s="407">
        <v>0</v>
      </c>
      <c r="EE186" s="407">
        <v>0</v>
      </c>
      <c r="EF186" s="407">
        <v>0</v>
      </c>
      <c r="EG186" s="407">
        <v>0</v>
      </c>
      <c r="EH186" s="407">
        <v>0</v>
      </c>
      <c r="EI186" s="407">
        <v>0</v>
      </c>
      <c r="EJ186" s="407">
        <v>0</v>
      </c>
      <c r="EK186" s="407">
        <v>0</v>
      </c>
      <c r="EL186" s="407">
        <v>0</v>
      </c>
      <c r="EM186" s="407">
        <v>0</v>
      </c>
      <c r="EN186" s="407">
        <v>0</v>
      </c>
      <c r="EO186" s="407">
        <v>0</v>
      </c>
      <c r="EP186" s="407">
        <v>33103.141983753922</v>
      </c>
      <c r="EQ186" s="407">
        <v>0</v>
      </c>
      <c r="ER186" s="407">
        <v>0</v>
      </c>
      <c r="ES186" s="407">
        <v>0</v>
      </c>
      <c r="ET186" s="407">
        <v>0</v>
      </c>
      <c r="EU186" s="407">
        <v>0</v>
      </c>
      <c r="EV186" s="407">
        <v>246</v>
      </c>
      <c r="EW186" s="407">
        <v>0</v>
      </c>
      <c r="EX186" s="407">
        <v>0</v>
      </c>
      <c r="EY186" s="407">
        <v>0</v>
      </c>
      <c r="EZ186" s="407"/>
      <c r="FA186" s="407">
        <v>0</v>
      </c>
      <c r="FB186" s="407"/>
      <c r="FC186" s="407"/>
      <c r="FD186" s="407"/>
      <c r="FE186" s="407"/>
      <c r="FF186" s="407">
        <v>0</v>
      </c>
      <c r="FG186" s="407">
        <v>0</v>
      </c>
      <c r="FH186" s="407">
        <v>0</v>
      </c>
      <c r="FI186" s="407">
        <v>0</v>
      </c>
    </row>
    <row r="187" spans="1:165">
      <c r="A187" s="407">
        <v>198</v>
      </c>
      <c r="B187" s="407" t="s">
        <v>2308</v>
      </c>
      <c r="C187" s="407" t="s">
        <v>2306</v>
      </c>
      <c r="D187" s="407" t="s">
        <v>1218</v>
      </c>
      <c r="E187" s="407" t="s">
        <v>1021</v>
      </c>
      <c r="F187" s="407" t="s">
        <v>1021</v>
      </c>
      <c r="G187" s="407" t="s">
        <v>97</v>
      </c>
      <c r="H187" s="407" t="s">
        <v>97</v>
      </c>
      <c r="I187" s="407" t="s">
        <v>97</v>
      </c>
      <c r="J187" s="407" t="s">
        <v>2307</v>
      </c>
      <c r="K187" s="818">
        <v>44470</v>
      </c>
      <c r="L187" s="407">
        <v>0</v>
      </c>
      <c r="M187" s="407">
        <v>0</v>
      </c>
      <c r="N187" s="407">
        <v>-0.61</v>
      </c>
      <c r="O187" s="407">
        <v>-0.61</v>
      </c>
      <c r="P187" s="407">
        <v>-0.61</v>
      </c>
      <c r="Q187" s="407">
        <v>-0.61</v>
      </c>
      <c r="R187" s="407"/>
      <c r="S187" s="407">
        <v>648.44000000000005</v>
      </c>
      <c r="T187" s="407">
        <v>159.41</v>
      </c>
      <c r="U187" s="407"/>
      <c r="V187" s="407">
        <v>-492.7885</v>
      </c>
      <c r="W187" s="407">
        <v>-492.7885</v>
      </c>
      <c r="X187" s="407">
        <v>-373.21019999999999</v>
      </c>
      <c r="Y187" s="407">
        <v>0</v>
      </c>
      <c r="Z187" s="407">
        <v>-37.80185288430409</v>
      </c>
      <c r="AA187" s="407">
        <v>0</v>
      </c>
      <c r="AB187" s="407">
        <v>0</v>
      </c>
      <c r="AC187" s="407">
        <v>0</v>
      </c>
      <c r="AD187" s="407">
        <v>-71.153099989268753</v>
      </c>
      <c r="AE187" s="407">
        <v>-254.70305438011698</v>
      </c>
      <c r="AF187" s="407">
        <v>-94.080737194996487</v>
      </c>
      <c r="AG187" s="407">
        <v>-3.1608658152475333</v>
      </c>
      <c r="AH187" s="407">
        <v>0</v>
      </c>
      <c r="AI187" s="407">
        <v>0</v>
      </c>
      <c r="AJ187" s="407">
        <v>0</v>
      </c>
      <c r="AK187" s="407">
        <v>0</v>
      </c>
      <c r="AL187" s="407">
        <v>-5.8413937639526994</v>
      </c>
      <c r="AM187" s="407"/>
      <c r="AN187" s="407">
        <v>-1.2658083406917995</v>
      </c>
      <c r="AO187" s="407">
        <v>0</v>
      </c>
      <c r="AP187" s="407">
        <v>0</v>
      </c>
      <c r="AQ187" s="407">
        <v>0</v>
      </c>
      <c r="AR187" s="407">
        <v>0</v>
      </c>
      <c r="AS187" s="407">
        <v>0</v>
      </c>
      <c r="AT187" s="407">
        <v>0</v>
      </c>
      <c r="AU187" s="407">
        <v>0</v>
      </c>
      <c r="AV187" s="407">
        <v>0</v>
      </c>
      <c r="AW187" s="407">
        <v>0</v>
      </c>
      <c r="AX187" s="407">
        <v>0</v>
      </c>
      <c r="AY187" s="407">
        <v>0</v>
      </c>
      <c r="AZ187" s="407">
        <v>0</v>
      </c>
      <c r="BA187" s="407"/>
      <c r="BB187" s="407">
        <v>0</v>
      </c>
      <c r="BC187" s="407">
        <v>0</v>
      </c>
      <c r="BD187" s="407">
        <v>0</v>
      </c>
      <c r="BE187" s="407">
        <v>0</v>
      </c>
      <c r="BF187" s="407">
        <v>0</v>
      </c>
      <c r="BG187" s="407">
        <v>-6.8770014668621329</v>
      </c>
      <c r="BH187" s="407">
        <v>0</v>
      </c>
      <c r="BI187" s="407">
        <v>-2.2400000000000002</v>
      </c>
      <c r="BJ187" s="407">
        <v>-11.39</v>
      </c>
      <c r="BK187" s="407">
        <v>-231.73</v>
      </c>
      <c r="BL187" s="407">
        <v>0</v>
      </c>
      <c r="BM187" s="407"/>
      <c r="BN187" s="407"/>
      <c r="BO187" s="407"/>
      <c r="BP187" s="407"/>
      <c r="BQ187" s="407"/>
      <c r="BR187" s="407"/>
      <c r="BS187" s="407"/>
      <c r="BT187" s="407"/>
      <c r="BU187" s="407"/>
      <c r="BV187" s="407">
        <v>-100.95773866185863</v>
      </c>
      <c r="BW187" s="407"/>
      <c r="BX187" s="407"/>
      <c r="BY187" s="407"/>
      <c r="BZ187" s="407"/>
      <c r="CA187" s="407"/>
      <c r="CB187" s="407"/>
      <c r="CC187" s="407"/>
      <c r="CD187" s="407"/>
      <c r="CE187" s="407"/>
      <c r="CF187" s="407"/>
      <c r="CG187" s="407"/>
      <c r="CH187" s="407"/>
      <c r="CI187" s="407">
        <v>-373.21019999999999</v>
      </c>
      <c r="CJ187" s="407">
        <v>119.54830000000004</v>
      </c>
      <c r="CK187" s="407"/>
      <c r="CL187" s="407"/>
      <c r="CM187" s="407"/>
      <c r="CN187" s="407"/>
      <c r="CO187" s="407">
        <v>136.33500000000004</v>
      </c>
      <c r="CP187" s="407">
        <v>-16.756699999999999</v>
      </c>
      <c r="CQ187" s="407">
        <v>31</v>
      </c>
      <c r="CR187" s="407">
        <v>-10.524950989551627</v>
      </c>
      <c r="CS187" s="407">
        <v>0</v>
      </c>
      <c r="CT187" s="407">
        <v>0</v>
      </c>
      <c r="CU187" s="407">
        <v>0</v>
      </c>
      <c r="CV187" s="407">
        <v>0</v>
      </c>
      <c r="CW187" s="407">
        <v>0</v>
      </c>
      <c r="CX187" s="407">
        <v>0</v>
      </c>
      <c r="CY187" s="407">
        <v>0</v>
      </c>
      <c r="CZ187" s="407">
        <v>-3.2141266095959082</v>
      </c>
      <c r="DA187" s="407">
        <v>0</v>
      </c>
      <c r="DB187" s="407">
        <v>0</v>
      </c>
      <c r="DC187" s="407">
        <v>-18.653669550118352</v>
      </c>
      <c r="DD187" s="407">
        <v>0</v>
      </c>
      <c r="DE187" s="407">
        <v>0</v>
      </c>
      <c r="DF187" s="407">
        <v>0</v>
      </c>
      <c r="DG187" s="407">
        <v>-1.3635236785256453</v>
      </c>
      <c r="DH187" s="407">
        <v>0</v>
      </c>
      <c r="DI187" s="407">
        <v>2.6477163494940186</v>
      </c>
      <c r="DJ187" s="407"/>
      <c r="DK187" s="407">
        <v>0</v>
      </c>
      <c r="DL187" s="407">
        <v>0</v>
      </c>
      <c r="DM187" s="407">
        <v>0</v>
      </c>
      <c r="DN187" s="407">
        <v>0</v>
      </c>
      <c r="DO187" s="407">
        <v>0.35639147664277182</v>
      </c>
      <c r="DP187" s="407">
        <v>8.0654251550636324E-2</v>
      </c>
      <c r="DQ187" s="407">
        <v>0</v>
      </c>
      <c r="DR187" s="407">
        <v>9.6216067710008666</v>
      </c>
      <c r="DS187" s="407"/>
      <c r="DT187" s="407"/>
      <c r="DU187" s="407"/>
      <c r="DV187" s="407">
        <v>-254.70305438011698</v>
      </c>
      <c r="DW187" s="407">
        <v>0</v>
      </c>
      <c r="DX187" s="407">
        <v>0</v>
      </c>
      <c r="DY187" s="407">
        <v>136.33500000000004</v>
      </c>
      <c r="DZ187" s="407">
        <v>-16.756699999999995</v>
      </c>
      <c r="EA187" s="407">
        <v>0</v>
      </c>
      <c r="EB187" s="407">
        <v>0</v>
      </c>
      <c r="EC187" s="407">
        <v>130.1029117566265</v>
      </c>
      <c r="ED187" s="407">
        <v>0</v>
      </c>
      <c r="EE187" s="407">
        <v>0</v>
      </c>
      <c r="EF187" s="407">
        <v>0</v>
      </c>
      <c r="EG187" s="407">
        <v>0</v>
      </c>
      <c r="EH187" s="407">
        <v>0</v>
      </c>
      <c r="EI187" s="407">
        <v>0</v>
      </c>
      <c r="EJ187" s="407">
        <v>0</v>
      </c>
      <c r="EK187" s="407">
        <v>0</v>
      </c>
      <c r="EL187" s="407">
        <v>0</v>
      </c>
      <c r="EM187" s="407">
        <v>0</v>
      </c>
      <c r="EN187" s="407">
        <v>0</v>
      </c>
      <c r="EO187" s="407">
        <v>0</v>
      </c>
      <c r="EP187" s="407">
        <v>-17.906061829586129</v>
      </c>
      <c r="EQ187" s="407">
        <v>0</v>
      </c>
      <c r="ER187" s="407">
        <v>0</v>
      </c>
      <c r="ES187" s="407">
        <v>0</v>
      </c>
      <c r="ET187" s="407">
        <v>0</v>
      </c>
      <c r="EU187" s="407">
        <v>0</v>
      </c>
      <c r="EV187" s="407">
        <v>246</v>
      </c>
      <c r="EW187" s="407">
        <v>0</v>
      </c>
      <c r="EX187" s="407">
        <v>0</v>
      </c>
      <c r="EY187" s="407">
        <v>0</v>
      </c>
      <c r="EZ187" s="407"/>
      <c r="FA187" s="407">
        <v>0</v>
      </c>
      <c r="FB187" s="407"/>
      <c r="FC187" s="407"/>
      <c r="FD187" s="407"/>
      <c r="FE187" s="407"/>
      <c r="FF187" s="407">
        <v>0</v>
      </c>
      <c r="FG187" s="407">
        <v>0</v>
      </c>
      <c r="FH187" s="407">
        <v>0</v>
      </c>
      <c r="FI187" s="407">
        <v>0</v>
      </c>
    </row>
    <row r="188" spans="1:165">
      <c r="A188" s="407">
        <v>199</v>
      </c>
      <c r="B188" s="407" t="s">
        <v>2309</v>
      </c>
      <c r="C188" s="407" t="s">
        <v>2306</v>
      </c>
      <c r="D188" s="407" t="s">
        <v>1218</v>
      </c>
      <c r="E188" s="407" t="s">
        <v>1021</v>
      </c>
      <c r="F188" s="407" t="s">
        <v>1021</v>
      </c>
      <c r="G188" s="407" t="s">
        <v>97</v>
      </c>
      <c r="H188" s="407" t="s">
        <v>97</v>
      </c>
      <c r="I188" s="407" t="s">
        <v>97</v>
      </c>
      <c r="J188" s="407" t="s">
        <v>2307</v>
      </c>
      <c r="K188" s="818">
        <v>44470</v>
      </c>
      <c r="L188" s="407">
        <v>0</v>
      </c>
      <c r="M188" s="407">
        <v>0</v>
      </c>
      <c r="N188" s="407">
        <v>21.1</v>
      </c>
      <c r="O188" s="407">
        <v>21.1</v>
      </c>
      <c r="P188" s="407">
        <v>21.1</v>
      </c>
      <c r="Q188" s="407">
        <v>21.1</v>
      </c>
      <c r="R188" s="407"/>
      <c r="S188" s="407">
        <v>648.44000000000005</v>
      </c>
      <c r="T188" s="407">
        <v>159.41</v>
      </c>
      <c r="U188" s="407"/>
      <c r="V188" s="407">
        <v>17045.635000000002</v>
      </c>
      <c r="W188" s="407">
        <v>17045.635000000002</v>
      </c>
      <c r="X188" s="407">
        <v>12909.402</v>
      </c>
      <c r="Y188" s="407">
        <v>0</v>
      </c>
      <c r="Z188" s="407">
        <v>1307.5722882931416</v>
      </c>
      <c r="AA188" s="407">
        <v>0</v>
      </c>
      <c r="AB188" s="407">
        <v>0</v>
      </c>
      <c r="AC188" s="407">
        <v>0</v>
      </c>
      <c r="AD188" s="407">
        <v>2461.1973930714275</v>
      </c>
      <c r="AE188" s="407">
        <v>8810.220405607326</v>
      </c>
      <c r="AF188" s="407">
        <v>3254.2681226465997</v>
      </c>
      <c r="AG188" s="407">
        <v>109.33486672413599</v>
      </c>
      <c r="AH188" s="407">
        <v>0</v>
      </c>
      <c r="AI188" s="407">
        <v>0</v>
      </c>
      <c r="AJ188" s="407">
        <v>0</v>
      </c>
      <c r="AK188" s="407">
        <v>0</v>
      </c>
      <c r="AL188" s="407">
        <v>202.05476790065896</v>
      </c>
      <c r="AM188" s="407"/>
      <c r="AN188" s="407">
        <v>43.784518014093393</v>
      </c>
      <c r="AO188" s="407">
        <v>0</v>
      </c>
      <c r="AP188" s="407">
        <v>0</v>
      </c>
      <c r="AQ188" s="407">
        <v>0</v>
      </c>
      <c r="AR188" s="407">
        <v>0</v>
      </c>
      <c r="AS188" s="407">
        <v>0</v>
      </c>
      <c r="AT188" s="407">
        <v>0</v>
      </c>
      <c r="AU188" s="407">
        <v>0</v>
      </c>
      <c r="AV188" s="407">
        <v>0</v>
      </c>
      <c r="AW188" s="407">
        <v>0</v>
      </c>
      <c r="AX188" s="407">
        <v>0</v>
      </c>
      <c r="AY188" s="407">
        <v>0</v>
      </c>
      <c r="AZ188" s="407">
        <v>0</v>
      </c>
      <c r="BA188" s="407"/>
      <c r="BB188" s="407">
        <v>0</v>
      </c>
      <c r="BC188" s="407">
        <v>0</v>
      </c>
      <c r="BD188" s="407">
        <v>0</v>
      </c>
      <c r="BE188" s="407">
        <v>0</v>
      </c>
      <c r="BF188" s="407">
        <v>0</v>
      </c>
      <c r="BG188" s="407">
        <v>237.87660811605085</v>
      </c>
      <c r="BH188" s="407">
        <v>0</v>
      </c>
      <c r="BI188" s="407">
        <v>107.39</v>
      </c>
      <c r="BJ188" s="407">
        <v>472.28</v>
      </c>
      <c r="BK188" s="407">
        <v>16384.599999999999</v>
      </c>
      <c r="BL188" s="407">
        <v>181</v>
      </c>
      <c r="BM188" s="407"/>
      <c r="BN188" s="407"/>
      <c r="BO188" s="407"/>
      <c r="BP188" s="407"/>
      <c r="BQ188" s="407"/>
      <c r="BR188" s="407"/>
      <c r="BS188" s="407"/>
      <c r="BT188" s="407"/>
      <c r="BU188" s="407"/>
      <c r="BV188" s="407">
        <v>3492.1447307626504</v>
      </c>
      <c r="BW188" s="407"/>
      <c r="BX188" s="407"/>
      <c r="BY188" s="407"/>
      <c r="BZ188" s="407"/>
      <c r="CA188" s="407"/>
      <c r="CB188" s="407"/>
      <c r="CC188" s="407"/>
      <c r="CD188" s="407"/>
      <c r="CE188" s="407"/>
      <c r="CF188" s="407"/>
      <c r="CG188" s="407"/>
      <c r="CH188" s="407"/>
      <c r="CI188" s="407">
        <v>12909.402</v>
      </c>
      <c r="CJ188" s="407">
        <v>-4136.2630000000008</v>
      </c>
      <c r="CK188" s="407"/>
      <c r="CL188" s="407"/>
      <c r="CM188" s="407"/>
      <c r="CN188" s="407"/>
      <c r="CO188" s="407">
        <v>-4715.8500000000013</v>
      </c>
      <c r="CP188" s="407">
        <v>579.61699999999996</v>
      </c>
      <c r="CQ188" s="407">
        <v>31</v>
      </c>
      <c r="CR188" s="407">
        <v>364.05978013039021</v>
      </c>
      <c r="CS188" s="407">
        <v>0</v>
      </c>
      <c r="CT188" s="407">
        <v>0</v>
      </c>
      <c r="CU188" s="407">
        <v>0</v>
      </c>
      <c r="CV188" s="407">
        <v>0</v>
      </c>
      <c r="CW188" s="407">
        <v>0</v>
      </c>
      <c r="CX188" s="407">
        <v>0</v>
      </c>
      <c r="CY188" s="407">
        <v>0</v>
      </c>
      <c r="CZ188" s="407">
        <v>111.17716633192413</v>
      </c>
      <c r="DA188" s="407">
        <v>0</v>
      </c>
      <c r="DB188" s="407">
        <v>0</v>
      </c>
      <c r="DC188" s="407">
        <v>645.23348771720885</v>
      </c>
      <c r="DD188" s="407">
        <v>0</v>
      </c>
      <c r="DE188" s="407">
        <v>0</v>
      </c>
      <c r="DF188" s="407">
        <v>0</v>
      </c>
      <c r="DG188" s="407">
        <v>47.16450756867394</v>
      </c>
      <c r="DH188" s="407">
        <v>0</v>
      </c>
      <c r="DI188" s="407">
        <v>-91.584942580858751</v>
      </c>
      <c r="DJ188" s="407"/>
      <c r="DK188" s="407">
        <v>0</v>
      </c>
      <c r="DL188" s="407">
        <v>0</v>
      </c>
      <c r="DM188" s="407">
        <v>0</v>
      </c>
      <c r="DN188" s="407">
        <v>0</v>
      </c>
      <c r="DO188" s="407">
        <v>-12.327639601905702</v>
      </c>
      <c r="DP188" s="407">
        <v>-2.7898437831449598</v>
      </c>
      <c r="DQ188" s="407">
        <v>0</v>
      </c>
      <c r="DR188" s="407">
        <v>-332.81295552150539</v>
      </c>
      <c r="DS188" s="407"/>
      <c r="DT188" s="407"/>
      <c r="DU188" s="407"/>
      <c r="DV188" s="407">
        <v>8810.220405607326</v>
      </c>
      <c r="DW188" s="407">
        <v>0</v>
      </c>
      <c r="DX188" s="407">
        <v>0</v>
      </c>
      <c r="DY188" s="407">
        <v>-4715.8500000000022</v>
      </c>
      <c r="DZ188" s="407">
        <v>579.61700000000019</v>
      </c>
      <c r="EA188" s="407">
        <v>0</v>
      </c>
      <c r="EB188" s="407">
        <v>0</v>
      </c>
      <c r="EC188" s="407">
        <v>-4500.2810460079008</v>
      </c>
      <c r="ED188" s="407">
        <v>0</v>
      </c>
      <c r="EE188" s="407">
        <v>0</v>
      </c>
      <c r="EF188" s="407">
        <v>0</v>
      </c>
      <c r="EG188" s="407">
        <v>0</v>
      </c>
      <c r="EH188" s="407">
        <v>0</v>
      </c>
      <c r="EI188" s="407">
        <v>0</v>
      </c>
      <c r="EJ188" s="407">
        <v>0</v>
      </c>
      <c r="EK188" s="407">
        <v>0</v>
      </c>
      <c r="EL188" s="407">
        <v>0</v>
      </c>
      <c r="EM188" s="407">
        <v>0</v>
      </c>
      <c r="EN188" s="407">
        <v>0</v>
      </c>
      <c r="EO188" s="407">
        <v>0</v>
      </c>
      <c r="EP188" s="407">
        <v>619.37361410535641</v>
      </c>
      <c r="EQ188" s="407">
        <v>0</v>
      </c>
      <c r="ER188" s="407">
        <v>0</v>
      </c>
      <c r="ES188" s="407">
        <v>0</v>
      </c>
      <c r="ET188" s="407">
        <v>0</v>
      </c>
      <c r="EU188" s="407">
        <v>0</v>
      </c>
      <c r="EV188" s="407">
        <v>246</v>
      </c>
      <c r="EW188" s="407">
        <v>0</v>
      </c>
      <c r="EX188" s="407">
        <v>0</v>
      </c>
      <c r="EY188" s="407">
        <v>0</v>
      </c>
      <c r="EZ188" s="407"/>
      <c r="FA188" s="407">
        <v>0</v>
      </c>
      <c r="FB188" s="407"/>
      <c r="FC188" s="407"/>
      <c r="FD188" s="407"/>
      <c r="FE188" s="407"/>
      <c r="FF188" s="407">
        <v>0</v>
      </c>
      <c r="FG188" s="407">
        <v>0</v>
      </c>
      <c r="FH188" s="407">
        <v>0</v>
      </c>
      <c r="FI188" s="407">
        <v>0</v>
      </c>
    </row>
    <row r="189" spans="1:165">
      <c r="A189" s="407">
        <v>200</v>
      </c>
      <c r="B189" s="407" t="s">
        <v>1090</v>
      </c>
      <c r="C189" s="407" t="s">
        <v>2306</v>
      </c>
      <c r="D189" s="407" t="s">
        <v>1218</v>
      </c>
      <c r="E189" s="407" t="s">
        <v>1021</v>
      </c>
      <c r="F189" s="407" t="s">
        <v>2310</v>
      </c>
      <c r="G189" s="407" t="s">
        <v>97</v>
      </c>
      <c r="H189" s="407" t="s">
        <v>97</v>
      </c>
      <c r="I189" s="407" t="s">
        <v>97</v>
      </c>
      <c r="J189" s="407" t="s">
        <v>2307</v>
      </c>
      <c r="K189" s="818">
        <v>44470</v>
      </c>
      <c r="L189" s="407">
        <v>0</v>
      </c>
      <c r="M189" s="407">
        <v>0</v>
      </c>
      <c r="N189" s="407">
        <v>19.829999999999998</v>
      </c>
      <c r="O189" s="407">
        <v>19.829999999999998</v>
      </c>
      <c r="P189" s="407">
        <v>19.829999999999998</v>
      </c>
      <c r="Q189" s="407">
        <v>19.829999999999998</v>
      </c>
      <c r="R189" s="407"/>
      <c r="S189" s="407">
        <v>547.54</v>
      </c>
      <c r="T189" s="407">
        <v>159.41</v>
      </c>
      <c r="U189" s="407"/>
      <c r="V189" s="407">
        <v>14018.818499999998</v>
      </c>
      <c r="W189" s="407">
        <v>14018.818499999998</v>
      </c>
      <c r="X189" s="407">
        <v>10268.370599999998</v>
      </c>
      <c r="Y189" s="407">
        <v>0</v>
      </c>
      <c r="Z189" s="407">
        <v>0</v>
      </c>
      <c r="AA189" s="407">
        <v>0</v>
      </c>
      <c r="AB189" s="407">
        <v>0</v>
      </c>
      <c r="AC189" s="407">
        <v>0</v>
      </c>
      <c r="AD189" s="407">
        <v>2313.0589717822941</v>
      </c>
      <c r="AE189" s="407">
        <v>8279.9369973077373</v>
      </c>
      <c r="AF189" s="407">
        <v>3058.3951124209511</v>
      </c>
      <c r="AG189" s="407">
        <v>102.75404773173538</v>
      </c>
      <c r="AH189" s="407">
        <v>0</v>
      </c>
      <c r="AI189" s="407">
        <v>0</v>
      </c>
      <c r="AJ189" s="407">
        <v>0</v>
      </c>
      <c r="AK189" s="407">
        <v>0</v>
      </c>
      <c r="AL189" s="407">
        <v>0</v>
      </c>
      <c r="AM189" s="407"/>
      <c r="AN189" s="407">
        <v>41.14914655068587</v>
      </c>
      <c r="AO189" s="407">
        <v>0</v>
      </c>
      <c r="AP189" s="407">
        <v>0</v>
      </c>
      <c r="AQ189" s="407">
        <v>0</v>
      </c>
      <c r="AR189" s="407">
        <v>0</v>
      </c>
      <c r="AS189" s="407">
        <v>0</v>
      </c>
      <c r="AT189" s="407">
        <v>0</v>
      </c>
      <c r="AU189" s="407">
        <v>0</v>
      </c>
      <c r="AV189" s="407">
        <v>0</v>
      </c>
      <c r="AW189" s="407">
        <v>0</v>
      </c>
      <c r="AX189" s="407">
        <v>0</v>
      </c>
      <c r="AY189" s="407">
        <v>0</v>
      </c>
      <c r="AZ189" s="407">
        <v>0</v>
      </c>
      <c r="BA189" s="407"/>
      <c r="BB189" s="407">
        <v>0</v>
      </c>
      <c r="BC189" s="407">
        <v>0</v>
      </c>
      <c r="BD189" s="407">
        <v>0</v>
      </c>
      <c r="BE189" s="407">
        <v>0</v>
      </c>
      <c r="BF189" s="407">
        <v>0</v>
      </c>
      <c r="BG189" s="407">
        <v>223.55891653750177</v>
      </c>
      <c r="BH189" s="407">
        <v>0</v>
      </c>
      <c r="BI189" s="407">
        <v>22.01</v>
      </c>
      <c r="BJ189" s="407">
        <v>96.91</v>
      </c>
      <c r="BK189" s="407">
        <v>1444.26</v>
      </c>
      <c r="BL189" s="407">
        <v>29</v>
      </c>
      <c r="BM189" s="407"/>
      <c r="BN189" s="407"/>
      <c r="BO189" s="407"/>
      <c r="BP189" s="407"/>
      <c r="BQ189" s="407"/>
      <c r="BR189" s="407"/>
      <c r="BS189" s="407"/>
      <c r="BT189" s="407">
        <v>6674.3814000000002</v>
      </c>
      <c r="BU189" s="407"/>
      <c r="BV189" s="407">
        <v>3281.9540289584529</v>
      </c>
      <c r="BW189" s="407"/>
      <c r="BX189" s="407"/>
      <c r="BY189" s="407"/>
      <c r="BZ189" s="407"/>
      <c r="CA189" s="407"/>
      <c r="CB189" s="407"/>
      <c r="CC189" s="407"/>
      <c r="CD189" s="407"/>
      <c r="CE189" s="407"/>
      <c r="CF189" s="407"/>
      <c r="CG189" s="407"/>
      <c r="CH189" s="407"/>
      <c r="CI189" s="407">
        <v>3593.9892</v>
      </c>
      <c r="CJ189" s="407">
        <v>-1312.5776999999998</v>
      </c>
      <c r="CK189" s="407"/>
      <c r="CL189" s="407"/>
      <c r="CM189" s="407"/>
      <c r="CN189" s="407"/>
      <c r="CO189" s="407">
        <v>-4295.177999999999</v>
      </c>
      <c r="CP189" s="407">
        <v>544.73009999999988</v>
      </c>
      <c r="CQ189" s="407">
        <v>31</v>
      </c>
      <c r="CR189" s="407">
        <v>478.87156973840138</v>
      </c>
      <c r="CS189" s="407">
        <v>0</v>
      </c>
      <c r="CT189" s="407">
        <v>0</v>
      </c>
      <c r="CU189" s="407">
        <v>0</v>
      </c>
      <c r="CV189" s="407">
        <v>0</v>
      </c>
      <c r="CW189" s="407">
        <v>0</v>
      </c>
      <c r="CX189" s="407">
        <v>0</v>
      </c>
      <c r="CY189" s="407">
        <v>0</v>
      </c>
      <c r="CZ189" s="407">
        <v>104.48546011194594</v>
      </c>
      <c r="DA189" s="407">
        <v>0</v>
      </c>
      <c r="DB189" s="407">
        <v>0</v>
      </c>
      <c r="DC189" s="407">
        <v>606.39715930958482</v>
      </c>
      <c r="DD189" s="407">
        <v>0</v>
      </c>
      <c r="DE189" s="407">
        <v>0</v>
      </c>
      <c r="DF189" s="407">
        <v>0</v>
      </c>
      <c r="DG189" s="407">
        <v>44.325695975677945</v>
      </c>
      <c r="DH189" s="407">
        <v>0</v>
      </c>
      <c r="DI189" s="407">
        <v>0</v>
      </c>
      <c r="DJ189" s="407"/>
      <c r="DK189" s="407">
        <v>0</v>
      </c>
      <c r="DL189" s="407">
        <v>0</v>
      </c>
      <c r="DM189" s="407">
        <v>0</v>
      </c>
      <c r="DN189" s="407">
        <v>0</v>
      </c>
      <c r="DO189" s="407">
        <v>0</v>
      </c>
      <c r="DP189" s="407">
        <v>-2.6219242758182233</v>
      </c>
      <c r="DQ189" s="407">
        <v>0</v>
      </c>
      <c r="DR189" s="407">
        <v>-273.7148213829891</v>
      </c>
      <c r="DS189" s="407"/>
      <c r="DT189" s="407"/>
      <c r="DU189" s="407"/>
      <c r="DV189" s="407">
        <v>8279.9369973077373</v>
      </c>
      <c r="DW189" s="407">
        <v>0</v>
      </c>
      <c r="DX189" s="407">
        <v>0</v>
      </c>
      <c r="DY189" s="407">
        <v>-4295.1779999999981</v>
      </c>
      <c r="DZ189" s="407">
        <v>544.73009999999977</v>
      </c>
      <c r="EA189" s="407">
        <v>0</v>
      </c>
      <c r="EB189" s="407">
        <v>0</v>
      </c>
      <c r="EC189" s="407">
        <v>-4229.4110493998414</v>
      </c>
      <c r="ED189" s="407">
        <v>0</v>
      </c>
      <c r="EE189" s="407">
        <v>0</v>
      </c>
      <c r="EF189" s="407">
        <v>0</v>
      </c>
      <c r="EG189" s="407">
        <v>0</v>
      </c>
      <c r="EH189" s="407">
        <v>0</v>
      </c>
      <c r="EI189" s="407">
        <v>0</v>
      </c>
      <c r="EJ189" s="407">
        <v>0</v>
      </c>
      <c r="EK189" s="407">
        <v>0</v>
      </c>
      <c r="EL189" s="407">
        <v>0</v>
      </c>
      <c r="EM189" s="407">
        <v>0</v>
      </c>
      <c r="EN189" s="407">
        <v>0</v>
      </c>
      <c r="EO189" s="407">
        <v>0</v>
      </c>
      <c r="EP189" s="407">
        <v>0</v>
      </c>
      <c r="EQ189" s="407">
        <v>0</v>
      </c>
      <c r="ER189" s="407">
        <v>0</v>
      </c>
      <c r="ES189" s="407">
        <v>0</v>
      </c>
      <c r="ET189" s="407">
        <v>0</v>
      </c>
      <c r="EU189" s="407">
        <v>0</v>
      </c>
      <c r="EV189" s="407">
        <v>246</v>
      </c>
      <c r="EW189" s="407">
        <v>0</v>
      </c>
      <c r="EX189" s="407">
        <v>0</v>
      </c>
      <c r="EY189" s="407">
        <v>0</v>
      </c>
      <c r="EZ189" s="407"/>
      <c r="FA189" s="407">
        <v>0</v>
      </c>
      <c r="FB189" s="407"/>
      <c r="FC189" s="407"/>
      <c r="FD189" s="407"/>
      <c r="FE189" s="407"/>
      <c r="FF189" s="407">
        <v>0</v>
      </c>
      <c r="FG189" s="407">
        <v>0</v>
      </c>
      <c r="FH189" s="407">
        <v>0</v>
      </c>
      <c r="FI189" s="407">
        <v>0</v>
      </c>
    </row>
    <row r="190" spans="1:165">
      <c r="A190" s="407">
        <v>201</v>
      </c>
      <c r="B190" s="407" t="s">
        <v>2308</v>
      </c>
      <c r="C190" s="407" t="s">
        <v>2306</v>
      </c>
      <c r="D190" s="407" t="s">
        <v>1218</v>
      </c>
      <c r="E190" s="407" t="s">
        <v>1021</v>
      </c>
      <c r="F190" s="407" t="s">
        <v>2310</v>
      </c>
      <c r="G190" s="407" t="s">
        <v>97</v>
      </c>
      <c r="H190" s="407" t="s">
        <v>97</v>
      </c>
      <c r="I190" s="407" t="s">
        <v>97</v>
      </c>
      <c r="J190" s="407" t="s">
        <v>2307</v>
      </c>
      <c r="K190" s="818">
        <v>44470</v>
      </c>
      <c r="L190" s="407">
        <v>0</v>
      </c>
      <c r="M190" s="407">
        <v>0</v>
      </c>
      <c r="N190" s="407">
        <v>0</v>
      </c>
      <c r="O190" s="407">
        <v>0</v>
      </c>
      <c r="P190" s="407">
        <v>0</v>
      </c>
      <c r="Q190" s="407">
        <v>0</v>
      </c>
      <c r="R190" s="407"/>
      <c r="S190" s="407"/>
      <c r="T190" s="407"/>
      <c r="U190" s="407"/>
      <c r="V190" s="407"/>
      <c r="W190" s="407"/>
      <c r="X190" s="407"/>
      <c r="Y190" s="407"/>
      <c r="Z190" s="407"/>
      <c r="AA190" s="407">
        <v>0</v>
      </c>
      <c r="AB190" s="407"/>
      <c r="AC190" s="407"/>
      <c r="AD190" s="407"/>
      <c r="AE190" s="407"/>
      <c r="AF190" s="407"/>
      <c r="AG190" s="407"/>
      <c r="AH190" s="407"/>
      <c r="AI190" s="407"/>
      <c r="AJ190" s="407"/>
      <c r="AK190" s="407"/>
      <c r="AL190" s="407"/>
      <c r="AM190" s="407"/>
      <c r="AN190" s="407"/>
      <c r="AO190" s="407"/>
      <c r="AP190" s="407"/>
      <c r="AQ190" s="407"/>
      <c r="AR190" s="407"/>
      <c r="AS190" s="407"/>
      <c r="AT190" s="407"/>
      <c r="AU190" s="407"/>
      <c r="AV190" s="407"/>
      <c r="AW190" s="407"/>
      <c r="AX190" s="407"/>
      <c r="AY190" s="407"/>
      <c r="AZ190" s="407">
        <v>0</v>
      </c>
      <c r="BA190" s="407"/>
      <c r="BB190" s="407"/>
      <c r="BC190" s="407"/>
      <c r="BD190" s="407"/>
      <c r="BE190" s="407"/>
      <c r="BF190" s="407"/>
      <c r="BG190" s="407"/>
      <c r="BH190" s="407"/>
      <c r="BI190" s="407">
        <v>0</v>
      </c>
      <c r="BJ190" s="407">
        <v>0.03</v>
      </c>
      <c r="BK190" s="407">
        <v>0.13</v>
      </c>
      <c r="BL190" s="407">
        <v>0</v>
      </c>
      <c r="BM190" s="407"/>
      <c r="BN190" s="407"/>
      <c r="BO190" s="407"/>
      <c r="BP190" s="407"/>
      <c r="BQ190" s="407"/>
      <c r="BR190" s="407"/>
      <c r="BS190" s="407"/>
      <c r="BT190" s="407"/>
      <c r="BU190" s="407"/>
      <c r="BV190" s="407"/>
      <c r="BW190" s="407"/>
      <c r="BX190" s="407"/>
      <c r="BY190" s="407"/>
      <c r="BZ190" s="407"/>
      <c r="CA190" s="407"/>
      <c r="CB190" s="407"/>
      <c r="CC190" s="407"/>
      <c r="CD190" s="407"/>
      <c r="CE190" s="407"/>
      <c r="CF190" s="407"/>
      <c r="CG190" s="407"/>
      <c r="CH190" s="407"/>
      <c r="CI190" s="407"/>
      <c r="CJ190" s="407">
        <v>-0.03</v>
      </c>
      <c r="CK190" s="407"/>
      <c r="CL190" s="407"/>
      <c r="CM190" s="407"/>
      <c r="CN190" s="407"/>
      <c r="CO190" s="407">
        <v>0</v>
      </c>
      <c r="CP190" s="407">
        <v>0</v>
      </c>
      <c r="CQ190" s="407">
        <v>31</v>
      </c>
      <c r="CR190" s="407"/>
      <c r="CS190" s="407"/>
      <c r="CT190" s="407"/>
      <c r="CU190" s="407"/>
      <c r="CV190" s="407"/>
      <c r="CW190" s="407"/>
      <c r="CX190" s="407"/>
      <c r="CY190" s="407"/>
      <c r="CZ190" s="407"/>
      <c r="DA190" s="407"/>
      <c r="DB190" s="407"/>
      <c r="DC190" s="407"/>
      <c r="DD190" s="407"/>
      <c r="DE190" s="407"/>
      <c r="DF190" s="407"/>
      <c r="DG190" s="407"/>
      <c r="DH190" s="407"/>
      <c r="DI190" s="407"/>
      <c r="DJ190" s="407"/>
      <c r="DK190" s="407">
        <v>0</v>
      </c>
      <c r="DL190" s="407"/>
      <c r="DM190" s="407"/>
      <c r="DN190" s="407"/>
      <c r="DO190" s="407"/>
      <c r="DP190" s="407"/>
      <c r="DQ190" s="407"/>
      <c r="DR190" s="407"/>
      <c r="DS190" s="407"/>
      <c r="DT190" s="407"/>
      <c r="DU190" s="407"/>
      <c r="DV190" s="407"/>
      <c r="DW190" s="407"/>
      <c r="DX190" s="407"/>
      <c r="DY190" s="407"/>
      <c r="DZ190" s="407"/>
      <c r="EA190" s="407"/>
      <c r="EB190" s="407"/>
      <c r="EC190" s="407"/>
      <c r="ED190" s="407"/>
      <c r="EE190" s="407"/>
      <c r="EF190" s="407"/>
      <c r="EG190" s="407"/>
      <c r="EH190" s="407"/>
      <c r="EI190" s="407"/>
      <c r="EJ190" s="407"/>
      <c r="EK190" s="407"/>
      <c r="EL190" s="407"/>
      <c r="EM190" s="407"/>
      <c r="EN190" s="407"/>
      <c r="EO190" s="407"/>
      <c r="EP190" s="407"/>
      <c r="EQ190" s="407"/>
      <c r="ER190" s="407"/>
      <c r="ES190" s="407"/>
      <c r="ET190" s="407"/>
      <c r="EU190" s="407"/>
      <c r="EV190" s="407">
        <v>246</v>
      </c>
      <c r="EW190" s="407"/>
      <c r="EX190" s="407"/>
      <c r="EY190" s="407"/>
      <c r="EZ190" s="407"/>
      <c r="FA190" s="407">
        <v>0</v>
      </c>
      <c r="FB190" s="407"/>
      <c r="FC190" s="407"/>
      <c r="FD190" s="407"/>
      <c r="FE190" s="407"/>
      <c r="FF190" s="407">
        <v>0</v>
      </c>
      <c r="FG190" s="407">
        <v>0</v>
      </c>
      <c r="FH190" s="407">
        <v>0</v>
      </c>
      <c r="FI190" s="407">
        <v>0</v>
      </c>
    </row>
    <row r="191" spans="1:165">
      <c r="A191" s="407">
        <v>202</v>
      </c>
      <c r="B191" s="407" t="s">
        <v>2309</v>
      </c>
      <c r="C191" s="407" t="s">
        <v>2306</v>
      </c>
      <c r="D191" s="407" t="s">
        <v>1218</v>
      </c>
      <c r="E191" s="407" t="s">
        <v>1021</v>
      </c>
      <c r="F191" s="407" t="s">
        <v>2310</v>
      </c>
      <c r="G191" s="407" t="s">
        <v>97</v>
      </c>
      <c r="H191" s="407" t="s">
        <v>97</v>
      </c>
      <c r="I191" s="407" t="s">
        <v>97</v>
      </c>
      <c r="J191" s="407" t="s">
        <v>2307</v>
      </c>
      <c r="K191" s="818">
        <v>44470</v>
      </c>
      <c r="L191" s="407">
        <v>0</v>
      </c>
      <c r="M191" s="407">
        <v>0</v>
      </c>
      <c r="N191" s="407">
        <v>0</v>
      </c>
      <c r="O191" s="407">
        <v>0</v>
      </c>
      <c r="P191" s="407">
        <v>0</v>
      </c>
      <c r="Q191" s="407">
        <v>0</v>
      </c>
      <c r="R191" s="407"/>
      <c r="S191" s="407"/>
      <c r="T191" s="407"/>
      <c r="U191" s="407"/>
      <c r="V191" s="407"/>
      <c r="W191" s="407"/>
      <c r="X191" s="407"/>
      <c r="Y191" s="407"/>
      <c r="Z191" s="407"/>
      <c r="AA191" s="407">
        <v>0</v>
      </c>
      <c r="AB191" s="407"/>
      <c r="AC191" s="407"/>
      <c r="AD191" s="407"/>
      <c r="AE191" s="407"/>
      <c r="AF191" s="407"/>
      <c r="AG191" s="407"/>
      <c r="AH191" s="407"/>
      <c r="AI191" s="407"/>
      <c r="AJ191" s="407"/>
      <c r="AK191" s="407"/>
      <c r="AL191" s="407"/>
      <c r="AM191" s="407"/>
      <c r="AN191" s="407"/>
      <c r="AO191" s="407"/>
      <c r="AP191" s="407"/>
      <c r="AQ191" s="407"/>
      <c r="AR191" s="407"/>
      <c r="AS191" s="407"/>
      <c r="AT191" s="407"/>
      <c r="AU191" s="407"/>
      <c r="AV191" s="407"/>
      <c r="AW191" s="407"/>
      <c r="AX191" s="407"/>
      <c r="AY191" s="407"/>
      <c r="AZ191" s="407">
        <v>0</v>
      </c>
      <c r="BA191" s="407"/>
      <c r="BB191" s="407"/>
      <c r="BC191" s="407"/>
      <c r="BD191" s="407"/>
      <c r="BE191" s="407"/>
      <c r="BF191" s="407"/>
      <c r="BG191" s="407"/>
      <c r="BH191" s="407"/>
      <c r="BI191" s="407">
        <v>0</v>
      </c>
      <c r="BJ191" s="407">
        <v>0</v>
      </c>
      <c r="BK191" s="407">
        <v>1.48</v>
      </c>
      <c r="BL191" s="407">
        <v>0</v>
      </c>
      <c r="BM191" s="407"/>
      <c r="BN191" s="407"/>
      <c r="BO191" s="407"/>
      <c r="BP191" s="407"/>
      <c r="BQ191" s="407"/>
      <c r="BR191" s="407"/>
      <c r="BS191" s="407"/>
      <c r="BT191" s="407"/>
      <c r="BU191" s="407"/>
      <c r="BV191" s="407"/>
      <c r="BW191" s="407"/>
      <c r="BX191" s="407"/>
      <c r="BY191" s="407"/>
      <c r="BZ191" s="407"/>
      <c r="CA191" s="407"/>
      <c r="CB191" s="407"/>
      <c r="CC191" s="407"/>
      <c r="CD191" s="407"/>
      <c r="CE191" s="407"/>
      <c r="CF191" s="407"/>
      <c r="CG191" s="407"/>
      <c r="CH191" s="407"/>
      <c r="CI191" s="407"/>
      <c r="CJ191" s="407">
        <v>-0.03</v>
      </c>
      <c r="CK191" s="407"/>
      <c r="CL191" s="407"/>
      <c r="CM191" s="407"/>
      <c r="CN191" s="407"/>
      <c r="CO191" s="407">
        <v>0</v>
      </c>
      <c r="CP191" s="407">
        <v>0</v>
      </c>
      <c r="CQ191" s="407">
        <v>31</v>
      </c>
      <c r="CR191" s="407"/>
      <c r="CS191" s="407"/>
      <c r="CT191" s="407"/>
      <c r="CU191" s="407"/>
      <c r="CV191" s="407"/>
      <c r="CW191" s="407"/>
      <c r="CX191" s="407"/>
      <c r="CY191" s="407"/>
      <c r="CZ191" s="407"/>
      <c r="DA191" s="407"/>
      <c r="DB191" s="407"/>
      <c r="DC191" s="407"/>
      <c r="DD191" s="407"/>
      <c r="DE191" s="407"/>
      <c r="DF191" s="407"/>
      <c r="DG191" s="407"/>
      <c r="DH191" s="407"/>
      <c r="DI191" s="407"/>
      <c r="DJ191" s="407"/>
      <c r="DK191" s="407">
        <v>0</v>
      </c>
      <c r="DL191" s="407"/>
      <c r="DM191" s="407"/>
      <c r="DN191" s="407"/>
      <c r="DO191" s="407"/>
      <c r="DP191" s="407"/>
      <c r="DQ191" s="407"/>
      <c r="DR191" s="407"/>
      <c r="DS191" s="407"/>
      <c r="DT191" s="407"/>
      <c r="DU191" s="407"/>
      <c r="DV191" s="407"/>
      <c r="DW191" s="407"/>
      <c r="DX191" s="407"/>
      <c r="DY191" s="407"/>
      <c r="DZ191" s="407"/>
      <c r="EA191" s="407"/>
      <c r="EB191" s="407"/>
      <c r="EC191" s="407"/>
      <c r="ED191" s="407"/>
      <c r="EE191" s="407"/>
      <c r="EF191" s="407"/>
      <c r="EG191" s="407"/>
      <c r="EH191" s="407"/>
      <c r="EI191" s="407"/>
      <c r="EJ191" s="407"/>
      <c r="EK191" s="407"/>
      <c r="EL191" s="407"/>
      <c r="EM191" s="407"/>
      <c r="EN191" s="407"/>
      <c r="EO191" s="407"/>
      <c r="EP191" s="407"/>
      <c r="EQ191" s="407"/>
      <c r="ER191" s="407"/>
      <c r="ES191" s="407"/>
      <c r="ET191" s="407"/>
      <c r="EU191" s="407"/>
      <c r="EV191" s="407">
        <v>246</v>
      </c>
      <c r="EW191" s="407"/>
      <c r="EX191" s="407"/>
      <c r="EY191" s="407"/>
      <c r="EZ191" s="407"/>
      <c r="FA191" s="407">
        <v>0</v>
      </c>
      <c r="FB191" s="407"/>
      <c r="FC191" s="407"/>
      <c r="FD191" s="407"/>
      <c r="FE191" s="407"/>
      <c r="FF191" s="407">
        <v>0</v>
      </c>
      <c r="FG191" s="407">
        <v>0</v>
      </c>
      <c r="FH191" s="407">
        <v>0</v>
      </c>
      <c r="FI191" s="407">
        <v>0</v>
      </c>
    </row>
    <row r="192" spans="1:165">
      <c r="A192" s="407">
        <v>203</v>
      </c>
      <c r="B192" s="407" t="s">
        <v>1090</v>
      </c>
      <c r="C192" s="407" t="s">
        <v>2306</v>
      </c>
      <c r="D192" s="407" t="s">
        <v>1218</v>
      </c>
      <c r="E192" s="407" t="s">
        <v>1021</v>
      </c>
      <c r="F192" s="407" t="s">
        <v>2311</v>
      </c>
      <c r="G192" s="407" t="s">
        <v>97</v>
      </c>
      <c r="H192" s="407" t="s">
        <v>97</v>
      </c>
      <c r="I192" s="407" t="s">
        <v>97</v>
      </c>
      <c r="J192" s="407" t="s">
        <v>2307</v>
      </c>
      <c r="K192" s="818">
        <v>44470</v>
      </c>
      <c r="L192" s="407">
        <v>0</v>
      </c>
      <c r="M192" s="407">
        <v>0</v>
      </c>
      <c r="N192" s="407">
        <v>39.808</v>
      </c>
      <c r="O192" s="407">
        <v>39.808</v>
      </c>
      <c r="P192" s="407">
        <v>39.808</v>
      </c>
      <c r="Q192" s="407">
        <v>39.808</v>
      </c>
      <c r="R192" s="407"/>
      <c r="S192" s="407">
        <v>547.54</v>
      </c>
      <c r="T192" s="407">
        <v>159.41</v>
      </c>
      <c r="U192" s="407"/>
      <c r="V192" s="407">
        <v>28142.265599999999</v>
      </c>
      <c r="W192" s="407">
        <v>28142.265599999999</v>
      </c>
      <c r="X192" s="407">
        <v>20613.378560000001</v>
      </c>
      <c r="Y192" s="407">
        <v>0</v>
      </c>
      <c r="Z192" s="407">
        <v>0</v>
      </c>
      <c r="AA192" s="407">
        <v>0</v>
      </c>
      <c r="AB192" s="407">
        <v>0</v>
      </c>
      <c r="AC192" s="407">
        <v>0</v>
      </c>
      <c r="AD192" s="407">
        <v>4643.381318643952</v>
      </c>
      <c r="AE192" s="407">
        <v>16621.670801251963</v>
      </c>
      <c r="AF192" s="407">
        <v>6139.6163709154425</v>
      </c>
      <c r="AG192" s="407">
        <v>206.27499405471116</v>
      </c>
      <c r="AH192" s="407">
        <v>0</v>
      </c>
      <c r="AI192" s="407">
        <v>0</v>
      </c>
      <c r="AJ192" s="407">
        <v>0</v>
      </c>
      <c r="AK192" s="407">
        <v>0</v>
      </c>
      <c r="AL192" s="407">
        <v>0</v>
      </c>
      <c r="AM192" s="407"/>
      <c r="AN192" s="407">
        <v>82.60540725616255</v>
      </c>
      <c r="AO192" s="407">
        <v>0</v>
      </c>
      <c r="AP192" s="407">
        <v>0</v>
      </c>
      <c r="AQ192" s="407">
        <v>0</v>
      </c>
      <c r="AR192" s="407">
        <v>0</v>
      </c>
      <c r="AS192" s="407">
        <v>0</v>
      </c>
      <c r="AT192" s="407">
        <v>0</v>
      </c>
      <c r="AU192" s="407">
        <v>0</v>
      </c>
      <c r="AV192" s="407">
        <v>0</v>
      </c>
      <c r="AW192" s="407">
        <v>0</v>
      </c>
      <c r="AX192" s="407">
        <v>0</v>
      </c>
      <c r="AY192" s="407">
        <v>0</v>
      </c>
      <c r="AZ192" s="407">
        <v>0</v>
      </c>
      <c r="BA192" s="407"/>
      <c r="BB192" s="407">
        <v>0</v>
      </c>
      <c r="BC192" s="407">
        <v>0</v>
      </c>
      <c r="BD192" s="407">
        <v>0</v>
      </c>
      <c r="BE192" s="407">
        <v>0</v>
      </c>
      <c r="BF192" s="407">
        <v>0</v>
      </c>
      <c r="BG192" s="407">
        <v>448.78635146368492</v>
      </c>
      <c r="BH192" s="407">
        <v>0</v>
      </c>
      <c r="BI192" s="407">
        <v>87.05</v>
      </c>
      <c r="BJ192" s="407">
        <v>380.66</v>
      </c>
      <c r="BK192" s="407">
        <v>5620.88</v>
      </c>
      <c r="BL192" s="407">
        <v>169</v>
      </c>
      <c r="BM192" s="407"/>
      <c r="BN192" s="407"/>
      <c r="BO192" s="407"/>
      <c r="BP192" s="407"/>
      <c r="BQ192" s="407"/>
      <c r="BR192" s="407"/>
      <c r="BS192" s="407"/>
      <c r="BT192" s="407">
        <v>8245.4310399999995</v>
      </c>
      <c r="BU192" s="407"/>
      <c r="BV192" s="407">
        <v>6588.4027223791272</v>
      </c>
      <c r="BW192" s="407"/>
      <c r="BX192" s="407"/>
      <c r="BY192" s="407"/>
      <c r="BZ192" s="407"/>
      <c r="CA192" s="407"/>
      <c r="CB192" s="407"/>
      <c r="CC192" s="407"/>
      <c r="CD192" s="407"/>
      <c r="CE192" s="407"/>
      <c r="CF192" s="407"/>
      <c r="CG192" s="407"/>
      <c r="CH192" s="407"/>
      <c r="CI192" s="407">
        <v>12368.568900000002</v>
      </c>
      <c r="CJ192" s="407">
        <v>-4516.8204599999954</v>
      </c>
      <c r="CK192" s="407"/>
      <c r="CL192" s="407"/>
      <c r="CM192" s="407"/>
      <c r="CN192" s="407"/>
      <c r="CO192" s="407">
        <v>-8622.4127999999982</v>
      </c>
      <c r="CP192" s="407">
        <v>1093.52576</v>
      </c>
      <c r="CQ192" s="407">
        <v>31</v>
      </c>
      <c r="CR192" s="407">
        <v>961.31716833819155</v>
      </c>
      <c r="CS192" s="407">
        <v>0</v>
      </c>
      <c r="CT192" s="407">
        <v>0</v>
      </c>
      <c r="CU192" s="407">
        <v>0</v>
      </c>
      <c r="CV192" s="407">
        <v>0</v>
      </c>
      <c r="CW192" s="407">
        <v>0</v>
      </c>
      <c r="CX192" s="407">
        <v>0</v>
      </c>
      <c r="CY192" s="407">
        <v>0</v>
      </c>
      <c r="CZ192" s="407">
        <v>209.75074110621972</v>
      </c>
      <c r="DA192" s="407">
        <v>0</v>
      </c>
      <c r="DB192" s="407">
        <v>0</v>
      </c>
      <c r="DC192" s="407">
        <v>1217.3201269690353</v>
      </c>
      <c r="DD192" s="407">
        <v>0</v>
      </c>
      <c r="DE192" s="407">
        <v>0</v>
      </c>
      <c r="DF192" s="407">
        <v>0</v>
      </c>
      <c r="DG192" s="407">
        <v>88.982214089752233</v>
      </c>
      <c r="DH192" s="407">
        <v>0</v>
      </c>
      <c r="DI192" s="407">
        <v>0</v>
      </c>
      <c r="DJ192" s="407"/>
      <c r="DK192" s="407">
        <v>0</v>
      </c>
      <c r="DL192" s="407">
        <v>0</v>
      </c>
      <c r="DM192" s="407">
        <v>0</v>
      </c>
      <c r="DN192" s="407">
        <v>0</v>
      </c>
      <c r="DO192" s="407">
        <v>0</v>
      </c>
      <c r="DP192" s="407">
        <v>-5.2634171241438281</v>
      </c>
      <c r="DQ192" s="407">
        <v>0</v>
      </c>
      <c r="DR192" s="407">
        <v>-549.47249670267422</v>
      </c>
      <c r="DS192" s="407"/>
      <c r="DT192" s="407"/>
      <c r="DU192" s="407"/>
      <c r="DV192" s="407">
        <v>16621.670801251963</v>
      </c>
      <c r="DW192" s="407">
        <v>0</v>
      </c>
      <c r="DX192" s="407">
        <v>0</v>
      </c>
      <c r="DY192" s="407">
        <v>-8622.4127999999964</v>
      </c>
      <c r="DZ192" s="407">
        <v>1093.5257599999995</v>
      </c>
      <c r="EA192" s="407">
        <v>0</v>
      </c>
      <c r="EB192" s="407">
        <v>0</v>
      </c>
      <c r="EC192" s="407">
        <v>-8490.3880511603093</v>
      </c>
      <c r="ED192" s="407">
        <v>0</v>
      </c>
      <c r="EE192" s="407">
        <v>0</v>
      </c>
      <c r="EF192" s="407">
        <v>0</v>
      </c>
      <c r="EG192" s="407">
        <v>0</v>
      </c>
      <c r="EH192" s="407">
        <v>0</v>
      </c>
      <c r="EI192" s="407">
        <v>0</v>
      </c>
      <c r="EJ192" s="407">
        <v>0</v>
      </c>
      <c r="EK192" s="407">
        <v>0</v>
      </c>
      <c r="EL192" s="407">
        <v>0</v>
      </c>
      <c r="EM192" s="407">
        <v>0</v>
      </c>
      <c r="EN192" s="407">
        <v>0</v>
      </c>
      <c r="EO192" s="407">
        <v>0</v>
      </c>
      <c r="EP192" s="407">
        <v>0</v>
      </c>
      <c r="EQ192" s="407">
        <v>0</v>
      </c>
      <c r="ER192" s="407">
        <v>0</v>
      </c>
      <c r="ES192" s="407">
        <v>0</v>
      </c>
      <c r="ET192" s="407">
        <v>0</v>
      </c>
      <c r="EU192" s="407">
        <v>0</v>
      </c>
      <c r="EV192" s="407">
        <v>246</v>
      </c>
      <c r="EW192" s="407">
        <v>0</v>
      </c>
      <c r="EX192" s="407">
        <v>0</v>
      </c>
      <c r="EY192" s="407">
        <v>0</v>
      </c>
      <c r="EZ192" s="407"/>
      <c r="FA192" s="407">
        <v>0</v>
      </c>
      <c r="FB192" s="407"/>
      <c r="FC192" s="407"/>
      <c r="FD192" s="407"/>
      <c r="FE192" s="407"/>
      <c r="FF192" s="407">
        <v>0</v>
      </c>
      <c r="FG192" s="407">
        <v>0</v>
      </c>
      <c r="FH192" s="407">
        <v>0</v>
      </c>
      <c r="FI192" s="407">
        <v>0</v>
      </c>
    </row>
    <row r="193" spans="1:165">
      <c r="A193" s="407">
        <v>204</v>
      </c>
      <c r="B193" s="407" t="s">
        <v>2308</v>
      </c>
      <c r="C193" s="407" t="s">
        <v>2306</v>
      </c>
      <c r="D193" s="407" t="s">
        <v>1218</v>
      </c>
      <c r="E193" s="407" t="s">
        <v>1021</v>
      </c>
      <c r="F193" s="407" t="s">
        <v>2311</v>
      </c>
      <c r="G193" s="407" t="s">
        <v>97</v>
      </c>
      <c r="H193" s="407" t="s">
        <v>97</v>
      </c>
      <c r="I193" s="407" t="s">
        <v>97</v>
      </c>
      <c r="J193" s="407" t="s">
        <v>2307</v>
      </c>
      <c r="K193" s="818">
        <v>44470</v>
      </c>
      <c r="L193" s="407">
        <v>0</v>
      </c>
      <c r="M193" s="407">
        <v>0</v>
      </c>
      <c r="N193" s="407">
        <v>-1E-3</v>
      </c>
      <c r="O193" s="407">
        <v>-1E-3</v>
      </c>
      <c r="P193" s="407">
        <v>-1E-3</v>
      </c>
      <c r="Q193" s="407">
        <v>-1E-3</v>
      </c>
      <c r="R193" s="407"/>
      <c r="S193" s="407">
        <v>547.54</v>
      </c>
      <c r="T193" s="407">
        <v>159.41</v>
      </c>
      <c r="U193" s="407"/>
      <c r="V193" s="407">
        <v>-0.70694999999999997</v>
      </c>
      <c r="W193" s="407">
        <v>-0.70694999999999997</v>
      </c>
      <c r="X193" s="407">
        <v>-0.51781999999999995</v>
      </c>
      <c r="Y193" s="407">
        <v>0</v>
      </c>
      <c r="Z193" s="407">
        <v>0</v>
      </c>
      <c r="AA193" s="407">
        <v>0</v>
      </c>
      <c r="AB193" s="407">
        <v>0</v>
      </c>
      <c r="AC193" s="407">
        <v>0</v>
      </c>
      <c r="AD193" s="407">
        <v>-0.11664442621191601</v>
      </c>
      <c r="AE193" s="407">
        <v>-0.41754599078707705</v>
      </c>
      <c r="AF193" s="407">
        <v>-0.15423071671310901</v>
      </c>
      <c r="AG193" s="407">
        <v>-5.1817472381107104E-3</v>
      </c>
      <c r="AH193" s="407">
        <v>0</v>
      </c>
      <c r="AI193" s="407">
        <v>0</v>
      </c>
      <c r="AJ193" s="407">
        <v>0</v>
      </c>
      <c r="AK193" s="407">
        <v>0</v>
      </c>
      <c r="AL193" s="407">
        <v>0</v>
      </c>
      <c r="AM193" s="407"/>
      <c r="AN193" s="407">
        <v>-2.0750956404783599E-3</v>
      </c>
      <c r="AO193" s="407">
        <v>0</v>
      </c>
      <c r="AP193" s="407">
        <v>0</v>
      </c>
      <c r="AQ193" s="407">
        <v>0</v>
      </c>
      <c r="AR193" s="407">
        <v>0</v>
      </c>
      <c r="AS193" s="407">
        <v>0</v>
      </c>
      <c r="AT193" s="407">
        <v>0</v>
      </c>
      <c r="AU193" s="407">
        <v>0</v>
      </c>
      <c r="AV193" s="407">
        <v>0</v>
      </c>
      <c r="AW193" s="407">
        <v>0</v>
      </c>
      <c r="AX193" s="407">
        <v>0</v>
      </c>
      <c r="AY193" s="407">
        <v>0</v>
      </c>
      <c r="AZ193" s="407">
        <v>0</v>
      </c>
      <c r="BA193" s="407"/>
      <c r="BB193" s="407">
        <v>0</v>
      </c>
      <c r="BC193" s="407">
        <v>0</v>
      </c>
      <c r="BD193" s="407">
        <v>0</v>
      </c>
      <c r="BE193" s="407">
        <v>0</v>
      </c>
      <c r="BF193" s="407">
        <v>0</v>
      </c>
      <c r="BG193" s="407">
        <v>-1.1273772896495301E-2</v>
      </c>
      <c r="BH193" s="407">
        <v>0</v>
      </c>
      <c r="BI193" s="407">
        <v>0</v>
      </c>
      <c r="BJ193" s="407">
        <v>-0.04</v>
      </c>
      <c r="BK193" s="407">
        <v>-0.18</v>
      </c>
      <c r="BL193" s="407">
        <v>0</v>
      </c>
      <c r="BM193" s="407"/>
      <c r="BN193" s="407"/>
      <c r="BO193" s="407"/>
      <c r="BP193" s="407"/>
      <c r="BQ193" s="407"/>
      <c r="BR193" s="407"/>
      <c r="BS193" s="407"/>
      <c r="BT193" s="407">
        <v>-0.20712999999999998</v>
      </c>
      <c r="BU193" s="407"/>
      <c r="BV193" s="407">
        <v>-0.16550448960960432</v>
      </c>
      <c r="BW193" s="407"/>
      <c r="BX193" s="407"/>
      <c r="BY193" s="407"/>
      <c r="BZ193" s="407"/>
      <c r="CA193" s="407"/>
      <c r="CB193" s="407"/>
      <c r="CC193" s="407"/>
      <c r="CD193" s="407"/>
      <c r="CE193" s="407"/>
      <c r="CF193" s="407"/>
      <c r="CG193" s="407"/>
      <c r="CH193" s="407"/>
      <c r="CI193" s="407">
        <v>0</v>
      </c>
      <c r="CJ193" s="407">
        <v>0.39416999999999996</v>
      </c>
      <c r="CK193" s="407"/>
      <c r="CL193" s="407"/>
      <c r="CM193" s="407"/>
      <c r="CN193" s="407"/>
      <c r="CO193" s="407">
        <v>0.21659999999999996</v>
      </c>
      <c r="CP193" s="407">
        <v>-2.7469999999999998E-2</v>
      </c>
      <c r="CQ193" s="407">
        <v>31</v>
      </c>
      <c r="CR193" s="407">
        <v>-2.4148843658013064E-2</v>
      </c>
      <c r="CS193" s="407">
        <v>0</v>
      </c>
      <c r="CT193" s="407">
        <v>0</v>
      </c>
      <c r="CU193" s="407">
        <v>0</v>
      </c>
      <c r="CV193" s="407">
        <v>0</v>
      </c>
      <c r="CW193" s="407">
        <v>0</v>
      </c>
      <c r="CX193" s="407">
        <v>0</v>
      </c>
      <c r="CY193" s="407">
        <v>0</v>
      </c>
      <c r="CZ193" s="407">
        <v>-5.2690600157309919E-3</v>
      </c>
      <c r="DA193" s="407">
        <v>0</v>
      </c>
      <c r="DB193" s="407">
        <v>0</v>
      </c>
      <c r="DC193" s="407">
        <v>-3.0579786147734989E-2</v>
      </c>
      <c r="DD193" s="407">
        <v>0</v>
      </c>
      <c r="DE193" s="407">
        <v>0</v>
      </c>
      <c r="DF193" s="407">
        <v>0</v>
      </c>
      <c r="DG193" s="407">
        <v>-2.2352847188944983E-3</v>
      </c>
      <c r="DH193" s="407">
        <v>0</v>
      </c>
      <c r="DI193" s="407">
        <v>0</v>
      </c>
      <c r="DJ193" s="407"/>
      <c r="DK193" s="407">
        <v>0</v>
      </c>
      <c r="DL193" s="407">
        <v>0</v>
      </c>
      <c r="DM193" s="407">
        <v>0</v>
      </c>
      <c r="DN193" s="407">
        <v>0</v>
      </c>
      <c r="DO193" s="407">
        <v>0</v>
      </c>
      <c r="DP193" s="407">
        <v>1.3222008450923983E-4</v>
      </c>
      <c r="DQ193" s="407">
        <v>0</v>
      </c>
      <c r="DR193" s="407">
        <v>1.3803067139838081E-2</v>
      </c>
      <c r="DS193" s="407"/>
      <c r="DT193" s="407"/>
      <c r="DU193" s="407"/>
      <c r="DV193" s="407">
        <v>-0.41754599078707705</v>
      </c>
      <c r="DW193" s="407">
        <v>0</v>
      </c>
      <c r="DX193" s="407">
        <v>0</v>
      </c>
      <c r="DY193" s="407">
        <v>0.21660000000000001</v>
      </c>
      <c r="DZ193" s="407">
        <v>-2.7469999999999994E-2</v>
      </c>
      <c r="EA193" s="407">
        <v>0</v>
      </c>
      <c r="EB193" s="407">
        <v>0</v>
      </c>
      <c r="EC193" s="407">
        <v>0.21328346189610903</v>
      </c>
      <c r="ED193" s="407">
        <v>0</v>
      </c>
      <c r="EE193" s="407">
        <v>0</v>
      </c>
      <c r="EF193" s="407">
        <v>0</v>
      </c>
      <c r="EG193" s="407">
        <v>0</v>
      </c>
      <c r="EH193" s="407">
        <v>0</v>
      </c>
      <c r="EI193" s="407">
        <v>0</v>
      </c>
      <c r="EJ193" s="407">
        <v>0</v>
      </c>
      <c r="EK193" s="407">
        <v>0</v>
      </c>
      <c r="EL193" s="407">
        <v>0</v>
      </c>
      <c r="EM193" s="407">
        <v>0</v>
      </c>
      <c r="EN193" s="407">
        <v>0</v>
      </c>
      <c r="EO193" s="407">
        <v>0</v>
      </c>
      <c r="EP193" s="407">
        <v>0</v>
      </c>
      <c r="EQ193" s="407">
        <v>0</v>
      </c>
      <c r="ER193" s="407">
        <v>0</v>
      </c>
      <c r="ES193" s="407">
        <v>0</v>
      </c>
      <c r="ET193" s="407">
        <v>0</v>
      </c>
      <c r="EU193" s="407">
        <v>0</v>
      </c>
      <c r="EV193" s="407">
        <v>246</v>
      </c>
      <c r="EW193" s="407">
        <v>0</v>
      </c>
      <c r="EX193" s="407">
        <v>0</v>
      </c>
      <c r="EY193" s="407">
        <v>0</v>
      </c>
      <c r="EZ193" s="407"/>
      <c r="FA193" s="407">
        <v>0</v>
      </c>
      <c r="FB193" s="407"/>
      <c r="FC193" s="407"/>
      <c r="FD193" s="407"/>
      <c r="FE193" s="407"/>
      <c r="FF193" s="407">
        <v>0</v>
      </c>
      <c r="FG193" s="407">
        <v>0</v>
      </c>
      <c r="FH193" s="407">
        <v>0</v>
      </c>
      <c r="FI193" s="407">
        <v>0</v>
      </c>
    </row>
    <row r="194" spans="1:165">
      <c r="A194" s="407">
        <v>205</v>
      </c>
      <c r="B194" s="407" t="s">
        <v>2309</v>
      </c>
      <c r="C194" s="407" t="s">
        <v>2306</v>
      </c>
      <c r="D194" s="407" t="s">
        <v>1218</v>
      </c>
      <c r="E194" s="407" t="s">
        <v>1021</v>
      </c>
      <c r="F194" s="407" t="s">
        <v>2311</v>
      </c>
      <c r="G194" s="407" t="s">
        <v>97</v>
      </c>
      <c r="H194" s="407" t="s">
        <v>97</v>
      </c>
      <c r="I194" s="407" t="s">
        <v>97</v>
      </c>
      <c r="J194" s="407" t="s">
        <v>2307</v>
      </c>
      <c r="K194" s="818">
        <v>44470</v>
      </c>
      <c r="L194" s="407">
        <v>0</v>
      </c>
      <c r="M194" s="407">
        <v>0</v>
      </c>
      <c r="N194" s="407">
        <v>0</v>
      </c>
      <c r="O194" s="407">
        <v>0</v>
      </c>
      <c r="P194" s="407">
        <v>0</v>
      </c>
      <c r="Q194" s="407">
        <v>0</v>
      </c>
      <c r="R194" s="407"/>
      <c r="S194" s="407"/>
      <c r="T194" s="407"/>
      <c r="U194" s="407"/>
      <c r="V194" s="407"/>
      <c r="W194" s="407"/>
      <c r="X194" s="407"/>
      <c r="Y194" s="407"/>
      <c r="Z194" s="407"/>
      <c r="AA194" s="407">
        <v>0</v>
      </c>
      <c r="AB194" s="407"/>
      <c r="AC194" s="407"/>
      <c r="AD194" s="407"/>
      <c r="AE194" s="407"/>
      <c r="AF194" s="407"/>
      <c r="AG194" s="407"/>
      <c r="AH194" s="407"/>
      <c r="AI194" s="407"/>
      <c r="AJ194" s="407"/>
      <c r="AK194" s="407"/>
      <c r="AL194" s="407"/>
      <c r="AM194" s="407"/>
      <c r="AN194" s="407"/>
      <c r="AO194" s="407"/>
      <c r="AP194" s="407"/>
      <c r="AQ194" s="407"/>
      <c r="AR194" s="407"/>
      <c r="AS194" s="407"/>
      <c r="AT194" s="407"/>
      <c r="AU194" s="407"/>
      <c r="AV194" s="407"/>
      <c r="AW194" s="407"/>
      <c r="AX194" s="407"/>
      <c r="AY194" s="407"/>
      <c r="AZ194" s="407">
        <v>0</v>
      </c>
      <c r="BA194" s="407"/>
      <c r="BB194" s="407"/>
      <c r="BC194" s="407"/>
      <c r="BD194" s="407"/>
      <c r="BE194" s="407"/>
      <c r="BF194" s="407"/>
      <c r="BG194" s="407"/>
      <c r="BH194" s="407"/>
      <c r="BI194" s="407">
        <v>0</v>
      </c>
      <c r="BJ194" s="407">
        <v>0</v>
      </c>
      <c r="BK194" s="407">
        <v>5.95</v>
      </c>
      <c r="BL194" s="407">
        <v>0</v>
      </c>
      <c r="BM194" s="407"/>
      <c r="BN194" s="407"/>
      <c r="BO194" s="407"/>
      <c r="BP194" s="407"/>
      <c r="BQ194" s="407"/>
      <c r="BR194" s="407"/>
      <c r="BS194" s="407"/>
      <c r="BT194" s="407"/>
      <c r="BU194" s="407"/>
      <c r="BV194" s="407"/>
      <c r="BW194" s="407"/>
      <c r="BX194" s="407"/>
      <c r="BY194" s="407"/>
      <c r="BZ194" s="407"/>
      <c r="CA194" s="407"/>
      <c r="CB194" s="407"/>
      <c r="CC194" s="407"/>
      <c r="CD194" s="407"/>
      <c r="CE194" s="407"/>
      <c r="CF194" s="407"/>
      <c r="CG194" s="407"/>
      <c r="CH194" s="407"/>
      <c r="CI194" s="407"/>
      <c r="CJ194" s="407">
        <v>-0.03</v>
      </c>
      <c r="CK194" s="407"/>
      <c r="CL194" s="407"/>
      <c r="CM194" s="407"/>
      <c r="CN194" s="407"/>
      <c r="CO194" s="407">
        <v>0</v>
      </c>
      <c r="CP194" s="407">
        <v>0</v>
      </c>
      <c r="CQ194" s="407">
        <v>31</v>
      </c>
      <c r="CR194" s="407"/>
      <c r="CS194" s="407"/>
      <c r="CT194" s="407"/>
      <c r="CU194" s="407"/>
      <c r="CV194" s="407"/>
      <c r="CW194" s="407"/>
      <c r="CX194" s="407"/>
      <c r="CY194" s="407"/>
      <c r="CZ194" s="407"/>
      <c r="DA194" s="407"/>
      <c r="DB194" s="407"/>
      <c r="DC194" s="407"/>
      <c r="DD194" s="407"/>
      <c r="DE194" s="407"/>
      <c r="DF194" s="407"/>
      <c r="DG194" s="407"/>
      <c r="DH194" s="407"/>
      <c r="DI194" s="407"/>
      <c r="DJ194" s="407"/>
      <c r="DK194" s="407">
        <v>0</v>
      </c>
      <c r="DL194" s="407"/>
      <c r="DM194" s="407"/>
      <c r="DN194" s="407"/>
      <c r="DO194" s="407"/>
      <c r="DP194" s="407"/>
      <c r="DQ194" s="407"/>
      <c r="DR194" s="407"/>
      <c r="DS194" s="407"/>
      <c r="DT194" s="407"/>
      <c r="DU194" s="407"/>
      <c r="DV194" s="407"/>
      <c r="DW194" s="407"/>
      <c r="DX194" s="407"/>
      <c r="DY194" s="407"/>
      <c r="DZ194" s="407"/>
      <c r="EA194" s="407"/>
      <c r="EB194" s="407"/>
      <c r="EC194" s="407"/>
      <c r="ED194" s="407"/>
      <c r="EE194" s="407"/>
      <c r="EF194" s="407"/>
      <c r="EG194" s="407"/>
      <c r="EH194" s="407"/>
      <c r="EI194" s="407"/>
      <c r="EJ194" s="407"/>
      <c r="EK194" s="407"/>
      <c r="EL194" s="407"/>
      <c r="EM194" s="407"/>
      <c r="EN194" s="407"/>
      <c r="EO194" s="407"/>
      <c r="EP194" s="407"/>
      <c r="EQ194" s="407"/>
      <c r="ER194" s="407"/>
      <c r="ES194" s="407"/>
      <c r="ET194" s="407"/>
      <c r="EU194" s="407"/>
      <c r="EV194" s="407">
        <v>246</v>
      </c>
      <c r="EW194" s="407"/>
      <c r="EX194" s="407"/>
      <c r="EY194" s="407"/>
      <c r="EZ194" s="407"/>
      <c r="FA194" s="407">
        <v>0</v>
      </c>
      <c r="FB194" s="407"/>
      <c r="FC194" s="407"/>
      <c r="FD194" s="407"/>
      <c r="FE194" s="407"/>
      <c r="FF194" s="407">
        <v>0</v>
      </c>
      <c r="FG194" s="407">
        <v>0</v>
      </c>
      <c r="FH194" s="407">
        <v>0</v>
      </c>
      <c r="FI194" s="407">
        <v>0</v>
      </c>
    </row>
    <row r="195" spans="1:165">
      <c r="A195" s="407">
        <v>206</v>
      </c>
      <c r="B195" s="407" t="s">
        <v>1090</v>
      </c>
      <c r="C195" s="407" t="s">
        <v>2306</v>
      </c>
      <c r="D195" s="407" t="s">
        <v>1218</v>
      </c>
      <c r="E195" s="407" t="s">
        <v>1021</v>
      </c>
      <c r="F195" s="407" t="s">
        <v>2312</v>
      </c>
      <c r="G195" s="407" t="s">
        <v>97</v>
      </c>
      <c r="H195" s="407" t="s">
        <v>97</v>
      </c>
      <c r="I195" s="407" t="s">
        <v>97</v>
      </c>
      <c r="J195" s="407" t="s">
        <v>2307</v>
      </c>
      <c r="K195" s="818">
        <v>44470</v>
      </c>
      <c r="L195" s="407">
        <v>0</v>
      </c>
      <c r="M195" s="407">
        <v>0</v>
      </c>
      <c r="N195" s="407">
        <v>29.771000000000001</v>
      </c>
      <c r="O195" s="407">
        <v>29.771000000000001</v>
      </c>
      <c r="P195" s="407">
        <v>29.771000000000001</v>
      </c>
      <c r="Q195" s="407">
        <v>29.771000000000001</v>
      </c>
      <c r="R195" s="407"/>
      <c r="S195" s="407">
        <v>547.54</v>
      </c>
      <c r="T195" s="407">
        <v>159.41</v>
      </c>
      <c r="U195" s="407"/>
      <c r="V195" s="407">
        <v>21046.60845</v>
      </c>
      <c r="W195" s="407">
        <v>21046.60845</v>
      </c>
      <c r="X195" s="407">
        <v>15416.01922</v>
      </c>
      <c r="Y195" s="407">
        <v>0</v>
      </c>
      <c r="Z195" s="407">
        <v>0</v>
      </c>
      <c r="AA195" s="407">
        <v>0</v>
      </c>
      <c r="AB195" s="407">
        <v>0</v>
      </c>
      <c r="AC195" s="407">
        <v>0</v>
      </c>
      <c r="AD195" s="407">
        <v>3472.6212127549511</v>
      </c>
      <c r="AE195" s="407">
        <v>12430.761691722069</v>
      </c>
      <c r="AF195" s="407">
        <v>4591.6026672659682</v>
      </c>
      <c r="AG195" s="407">
        <v>154.26579702579397</v>
      </c>
      <c r="AH195" s="407">
        <v>0</v>
      </c>
      <c r="AI195" s="407">
        <v>0</v>
      </c>
      <c r="AJ195" s="407">
        <v>0</v>
      </c>
      <c r="AK195" s="407">
        <v>0</v>
      </c>
      <c r="AL195" s="407">
        <v>0</v>
      </c>
      <c r="AM195" s="407"/>
      <c r="AN195" s="407">
        <v>61.777672312681254</v>
      </c>
      <c r="AO195" s="407">
        <v>0</v>
      </c>
      <c r="AP195" s="407">
        <v>0</v>
      </c>
      <c r="AQ195" s="407">
        <v>0</v>
      </c>
      <c r="AR195" s="407">
        <v>0</v>
      </c>
      <c r="AS195" s="407">
        <v>0</v>
      </c>
      <c r="AT195" s="407">
        <v>0</v>
      </c>
      <c r="AU195" s="407">
        <v>0</v>
      </c>
      <c r="AV195" s="407">
        <v>0</v>
      </c>
      <c r="AW195" s="407">
        <v>0</v>
      </c>
      <c r="AX195" s="407">
        <v>0</v>
      </c>
      <c r="AY195" s="407">
        <v>0</v>
      </c>
      <c r="AZ195" s="407">
        <v>0</v>
      </c>
      <c r="BA195" s="407"/>
      <c r="BB195" s="407">
        <v>0</v>
      </c>
      <c r="BC195" s="407">
        <v>0</v>
      </c>
      <c r="BD195" s="407">
        <v>0</v>
      </c>
      <c r="BE195" s="407">
        <v>0</v>
      </c>
      <c r="BF195" s="407">
        <v>0</v>
      </c>
      <c r="BG195" s="407">
        <v>335.63149290156161</v>
      </c>
      <c r="BH195" s="407">
        <v>0</v>
      </c>
      <c r="BI195" s="407">
        <v>116.93</v>
      </c>
      <c r="BJ195" s="407">
        <v>520.6</v>
      </c>
      <c r="BK195" s="407">
        <v>7756.02</v>
      </c>
      <c r="BL195" s="407">
        <v>382</v>
      </c>
      <c r="BM195" s="407"/>
      <c r="BN195" s="407"/>
      <c r="BO195" s="407"/>
      <c r="BP195" s="407"/>
      <c r="BQ195" s="407"/>
      <c r="BR195" s="407"/>
      <c r="BS195" s="407"/>
      <c r="BT195" s="407">
        <v>1541.8400900000006</v>
      </c>
      <c r="BU195" s="407"/>
      <c r="BV195" s="407">
        <v>4927.2341601675298</v>
      </c>
      <c r="BW195" s="407"/>
      <c r="BX195" s="407"/>
      <c r="BY195" s="407"/>
      <c r="BZ195" s="407"/>
      <c r="CA195" s="407"/>
      <c r="CB195" s="407"/>
      <c r="CC195" s="407"/>
      <c r="CD195" s="407"/>
      <c r="CE195" s="407"/>
      <c r="CF195" s="407"/>
      <c r="CG195" s="407"/>
      <c r="CH195" s="407"/>
      <c r="CI195" s="407">
        <v>13873.713100000001</v>
      </c>
      <c r="CJ195" s="407">
        <v>-5068.4133599999986</v>
      </c>
      <c r="CK195" s="407"/>
      <c r="CL195" s="407"/>
      <c r="CM195" s="407"/>
      <c r="CN195" s="407"/>
      <c r="CO195" s="407">
        <v>-6448.3985999999995</v>
      </c>
      <c r="CP195" s="407">
        <v>817.80936999999994</v>
      </c>
      <c r="CQ195" s="407">
        <v>31</v>
      </c>
      <c r="CR195" s="407">
        <v>718.93522454271078</v>
      </c>
      <c r="CS195" s="407">
        <v>0</v>
      </c>
      <c r="CT195" s="407">
        <v>0</v>
      </c>
      <c r="CU195" s="407">
        <v>0</v>
      </c>
      <c r="CV195" s="407">
        <v>0</v>
      </c>
      <c r="CW195" s="407">
        <v>0</v>
      </c>
      <c r="CX195" s="407">
        <v>0</v>
      </c>
      <c r="CY195" s="407">
        <v>0</v>
      </c>
      <c r="CZ195" s="407">
        <v>156.86518572832802</v>
      </c>
      <c r="DA195" s="407">
        <v>0</v>
      </c>
      <c r="DB195" s="407">
        <v>0</v>
      </c>
      <c r="DC195" s="407">
        <v>910.39081340421853</v>
      </c>
      <c r="DD195" s="407">
        <v>0</v>
      </c>
      <c r="DE195" s="407">
        <v>0</v>
      </c>
      <c r="DF195" s="407">
        <v>0</v>
      </c>
      <c r="DG195" s="407">
        <v>66.546661366208127</v>
      </c>
      <c r="DH195" s="407">
        <v>0</v>
      </c>
      <c r="DI195" s="407">
        <v>0</v>
      </c>
      <c r="DJ195" s="407"/>
      <c r="DK195" s="407">
        <v>0</v>
      </c>
      <c r="DL195" s="407">
        <v>0</v>
      </c>
      <c r="DM195" s="407">
        <v>0</v>
      </c>
      <c r="DN195" s="407">
        <v>0</v>
      </c>
      <c r="DO195" s="407">
        <v>0</v>
      </c>
      <c r="DP195" s="407">
        <v>-3.9363241359245791</v>
      </c>
      <c r="DQ195" s="407">
        <v>0</v>
      </c>
      <c r="DR195" s="407">
        <v>-410.93111182011944</v>
      </c>
      <c r="DS195" s="407"/>
      <c r="DT195" s="407"/>
      <c r="DU195" s="407"/>
      <c r="DV195" s="407">
        <v>12430.761691722069</v>
      </c>
      <c r="DW195" s="407">
        <v>0</v>
      </c>
      <c r="DX195" s="407">
        <v>0</v>
      </c>
      <c r="DY195" s="407">
        <v>-6448.3985999999986</v>
      </c>
      <c r="DZ195" s="407">
        <v>817.80936999999994</v>
      </c>
      <c r="EA195" s="407">
        <v>0</v>
      </c>
      <c r="EB195" s="407">
        <v>0</v>
      </c>
      <c r="EC195" s="407">
        <v>-6349.6619441090606</v>
      </c>
      <c r="ED195" s="407">
        <v>0</v>
      </c>
      <c r="EE195" s="407">
        <v>0</v>
      </c>
      <c r="EF195" s="407">
        <v>0</v>
      </c>
      <c r="EG195" s="407">
        <v>0</v>
      </c>
      <c r="EH195" s="407">
        <v>0</v>
      </c>
      <c r="EI195" s="407">
        <v>0</v>
      </c>
      <c r="EJ195" s="407">
        <v>0</v>
      </c>
      <c r="EK195" s="407">
        <v>0</v>
      </c>
      <c r="EL195" s="407">
        <v>0</v>
      </c>
      <c r="EM195" s="407">
        <v>0</v>
      </c>
      <c r="EN195" s="407">
        <v>0</v>
      </c>
      <c r="EO195" s="407">
        <v>0</v>
      </c>
      <c r="EP195" s="407">
        <v>0</v>
      </c>
      <c r="EQ195" s="407">
        <v>0</v>
      </c>
      <c r="ER195" s="407">
        <v>0</v>
      </c>
      <c r="ES195" s="407">
        <v>0</v>
      </c>
      <c r="ET195" s="407">
        <v>0</v>
      </c>
      <c r="EU195" s="407">
        <v>0</v>
      </c>
      <c r="EV195" s="407">
        <v>246</v>
      </c>
      <c r="EW195" s="407">
        <v>0</v>
      </c>
      <c r="EX195" s="407">
        <v>0</v>
      </c>
      <c r="EY195" s="407">
        <v>0</v>
      </c>
      <c r="EZ195" s="407"/>
      <c r="FA195" s="407">
        <v>0</v>
      </c>
      <c r="FB195" s="407"/>
      <c r="FC195" s="407"/>
      <c r="FD195" s="407"/>
      <c r="FE195" s="407"/>
      <c r="FF195" s="407">
        <v>0</v>
      </c>
      <c r="FG195" s="407">
        <v>0</v>
      </c>
      <c r="FH195" s="407">
        <v>0</v>
      </c>
      <c r="FI195" s="407">
        <v>0</v>
      </c>
    </row>
    <row r="196" spans="1:165">
      <c r="A196" s="407">
        <v>207</v>
      </c>
      <c r="B196" s="407" t="s">
        <v>2309</v>
      </c>
      <c r="C196" s="407" t="s">
        <v>2306</v>
      </c>
      <c r="D196" s="407" t="s">
        <v>1218</v>
      </c>
      <c r="E196" s="407" t="s">
        <v>1021</v>
      </c>
      <c r="F196" s="407" t="s">
        <v>2312</v>
      </c>
      <c r="G196" s="407" t="s">
        <v>97</v>
      </c>
      <c r="H196" s="407" t="s">
        <v>97</v>
      </c>
      <c r="I196" s="407" t="s">
        <v>97</v>
      </c>
      <c r="J196" s="407" t="s">
        <v>2307</v>
      </c>
      <c r="K196" s="818">
        <v>44470</v>
      </c>
      <c r="L196" s="407">
        <v>0</v>
      </c>
      <c r="M196" s="407">
        <v>0</v>
      </c>
      <c r="N196" s="407">
        <v>0</v>
      </c>
      <c r="O196" s="407">
        <v>0</v>
      </c>
      <c r="P196" s="407">
        <v>0</v>
      </c>
      <c r="Q196" s="407">
        <v>0</v>
      </c>
      <c r="R196" s="407"/>
      <c r="S196" s="407"/>
      <c r="T196" s="407"/>
      <c r="U196" s="407"/>
      <c r="V196" s="407"/>
      <c r="W196" s="407"/>
      <c r="X196" s="407"/>
      <c r="Y196" s="407"/>
      <c r="Z196" s="407"/>
      <c r="AA196" s="407">
        <v>0</v>
      </c>
      <c r="AB196" s="407"/>
      <c r="AC196" s="407"/>
      <c r="AD196" s="407"/>
      <c r="AE196" s="407"/>
      <c r="AF196" s="407"/>
      <c r="AG196" s="407"/>
      <c r="AH196" s="407"/>
      <c r="AI196" s="407"/>
      <c r="AJ196" s="407"/>
      <c r="AK196" s="407"/>
      <c r="AL196" s="407"/>
      <c r="AM196" s="407"/>
      <c r="AN196" s="407"/>
      <c r="AO196" s="407"/>
      <c r="AP196" s="407"/>
      <c r="AQ196" s="407"/>
      <c r="AR196" s="407"/>
      <c r="AS196" s="407"/>
      <c r="AT196" s="407"/>
      <c r="AU196" s="407"/>
      <c r="AV196" s="407"/>
      <c r="AW196" s="407"/>
      <c r="AX196" s="407"/>
      <c r="AY196" s="407"/>
      <c r="AZ196" s="407">
        <v>0</v>
      </c>
      <c r="BA196" s="407"/>
      <c r="BB196" s="407"/>
      <c r="BC196" s="407"/>
      <c r="BD196" s="407"/>
      <c r="BE196" s="407"/>
      <c r="BF196" s="407"/>
      <c r="BG196" s="407"/>
      <c r="BH196" s="407"/>
      <c r="BI196" s="407">
        <v>0</v>
      </c>
      <c r="BJ196" s="407">
        <v>0</v>
      </c>
      <c r="BK196" s="407">
        <v>13.66</v>
      </c>
      <c r="BL196" s="407">
        <v>1</v>
      </c>
      <c r="BM196" s="407"/>
      <c r="BN196" s="407"/>
      <c r="BO196" s="407"/>
      <c r="BP196" s="407"/>
      <c r="BQ196" s="407"/>
      <c r="BR196" s="407"/>
      <c r="BS196" s="407"/>
      <c r="BT196" s="407"/>
      <c r="BU196" s="407"/>
      <c r="BV196" s="407"/>
      <c r="BW196" s="407"/>
      <c r="BX196" s="407"/>
      <c r="BY196" s="407"/>
      <c r="BZ196" s="407"/>
      <c r="CA196" s="407"/>
      <c r="CB196" s="407"/>
      <c r="CC196" s="407"/>
      <c r="CD196" s="407"/>
      <c r="CE196" s="407"/>
      <c r="CF196" s="407"/>
      <c r="CG196" s="407"/>
      <c r="CH196" s="407"/>
      <c r="CI196" s="407"/>
      <c r="CJ196" s="407">
        <v>-0.03</v>
      </c>
      <c r="CK196" s="407"/>
      <c r="CL196" s="407"/>
      <c r="CM196" s="407"/>
      <c r="CN196" s="407"/>
      <c r="CO196" s="407">
        <v>0</v>
      </c>
      <c r="CP196" s="407">
        <v>0</v>
      </c>
      <c r="CQ196" s="407">
        <v>31</v>
      </c>
      <c r="CR196" s="407"/>
      <c r="CS196" s="407"/>
      <c r="CT196" s="407"/>
      <c r="CU196" s="407"/>
      <c r="CV196" s="407"/>
      <c r="CW196" s="407"/>
      <c r="CX196" s="407"/>
      <c r="CY196" s="407"/>
      <c r="CZ196" s="407"/>
      <c r="DA196" s="407"/>
      <c r="DB196" s="407"/>
      <c r="DC196" s="407"/>
      <c r="DD196" s="407"/>
      <c r="DE196" s="407"/>
      <c r="DF196" s="407"/>
      <c r="DG196" s="407"/>
      <c r="DH196" s="407"/>
      <c r="DI196" s="407"/>
      <c r="DJ196" s="407"/>
      <c r="DK196" s="407">
        <v>0</v>
      </c>
      <c r="DL196" s="407"/>
      <c r="DM196" s="407"/>
      <c r="DN196" s="407"/>
      <c r="DO196" s="407"/>
      <c r="DP196" s="407"/>
      <c r="DQ196" s="407"/>
      <c r="DR196" s="407"/>
      <c r="DS196" s="407"/>
      <c r="DT196" s="407"/>
      <c r="DU196" s="407"/>
      <c r="DV196" s="407"/>
      <c r="DW196" s="407"/>
      <c r="DX196" s="407"/>
      <c r="DY196" s="407"/>
      <c r="DZ196" s="407"/>
      <c r="EA196" s="407"/>
      <c r="EB196" s="407"/>
      <c r="EC196" s="407"/>
      <c r="ED196" s="407"/>
      <c r="EE196" s="407"/>
      <c r="EF196" s="407"/>
      <c r="EG196" s="407"/>
      <c r="EH196" s="407"/>
      <c r="EI196" s="407"/>
      <c r="EJ196" s="407"/>
      <c r="EK196" s="407"/>
      <c r="EL196" s="407"/>
      <c r="EM196" s="407"/>
      <c r="EN196" s="407"/>
      <c r="EO196" s="407"/>
      <c r="EP196" s="407"/>
      <c r="EQ196" s="407"/>
      <c r="ER196" s="407"/>
      <c r="ES196" s="407"/>
      <c r="ET196" s="407"/>
      <c r="EU196" s="407"/>
      <c r="EV196" s="407">
        <v>246</v>
      </c>
      <c r="EW196" s="407"/>
      <c r="EX196" s="407"/>
      <c r="EY196" s="407"/>
      <c r="EZ196" s="407"/>
      <c r="FA196" s="407">
        <v>0</v>
      </c>
      <c r="FB196" s="407"/>
      <c r="FC196" s="407"/>
      <c r="FD196" s="407"/>
      <c r="FE196" s="407"/>
      <c r="FF196" s="407">
        <v>0</v>
      </c>
      <c r="FG196" s="407">
        <v>0</v>
      </c>
      <c r="FH196" s="407">
        <v>0</v>
      </c>
      <c r="FI196" s="407">
        <v>0</v>
      </c>
    </row>
    <row r="197" spans="1:165">
      <c r="A197" s="407">
        <v>208</v>
      </c>
      <c r="B197" s="407" t="s">
        <v>1090</v>
      </c>
      <c r="C197" s="407" t="s">
        <v>2306</v>
      </c>
      <c r="D197" s="407" t="s">
        <v>1218</v>
      </c>
      <c r="E197" s="407" t="s">
        <v>1021</v>
      </c>
      <c r="F197" s="407" t="s">
        <v>2313</v>
      </c>
      <c r="G197" s="407" t="s">
        <v>97</v>
      </c>
      <c r="H197" s="407" t="s">
        <v>97</v>
      </c>
      <c r="I197" s="407" t="s">
        <v>97</v>
      </c>
      <c r="J197" s="407" t="s">
        <v>2307</v>
      </c>
      <c r="K197" s="818">
        <v>44470</v>
      </c>
      <c r="L197" s="407">
        <v>0</v>
      </c>
      <c r="M197" s="407">
        <v>0</v>
      </c>
      <c r="N197" s="407">
        <v>3.9990000000000001</v>
      </c>
      <c r="O197" s="407">
        <v>3.9990000000000001</v>
      </c>
      <c r="P197" s="407">
        <v>3.9990000000000001</v>
      </c>
      <c r="Q197" s="407">
        <v>3.9990000000000001</v>
      </c>
      <c r="R197" s="407"/>
      <c r="S197" s="407">
        <v>547.54</v>
      </c>
      <c r="T197" s="407">
        <v>159.41</v>
      </c>
      <c r="U197" s="407"/>
      <c r="V197" s="407">
        <v>2827.0930499999999</v>
      </c>
      <c r="W197" s="407">
        <v>2827.0930499999999</v>
      </c>
      <c r="X197" s="407">
        <v>2070.7621799999997</v>
      </c>
      <c r="Y197" s="407">
        <v>0</v>
      </c>
      <c r="Z197" s="407">
        <v>0</v>
      </c>
      <c r="AA197" s="407">
        <v>0</v>
      </c>
      <c r="AB197" s="407">
        <v>0</v>
      </c>
      <c r="AC197" s="407">
        <v>0</v>
      </c>
      <c r="AD197" s="407">
        <v>466.46106042145209</v>
      </c>
      <c r="AE197" s="407">
        <v>1669.7664171575211</v>
      </c>
      <c r="AF197" s="407">
        <v>616.76863613572289</v>
      </c>
      <c r="AG197" s="407">
        <v>20.72180720520473</v>
      </c>
      <c r="AH197" s="407">
        <v>0</v>
      </c>
      <c r="AI197" s="407">
        <v>0</v>
      </c>
      <c r="AJ197" s="407">
        <v>0</v>
      </c>
      <c r="AK197" s="407">
        <v>0</v>
      </c>
      <c r="AL197" s="407">
        <v>0</v>
      </c>
      <c r="AM197" s="407"/>
      <c r="AN197" s="407">
        <v>8.298307466272961</v>
      </c>
      <c r="AO197" s="407">
        <v>0</v>
      </c>
      <c r="AP197" s="407">
        <v>0</v>
      </c>
      <c r="AQ197" s="407">
        <v>0</v>
      </c>
      <c r="AR197" s="407">
        <v>0</v>
      </c>
      <c r="AS197" s="407">
        <v>0</v>
      </c>
      <c r="AT197" s="407">
        <v>0</v>
      </c>
      <c r="AU197" s="407">
        <v>0</v>
      </c>
      <c r="AV197" s="407">
        <v>0</v>
      </c>
      <c r="AW197" s="407">
        <v>0</v>
      </c>
      <c r="AX197" s="407">
        <v>0</v>
      </c>
      <c r="AY197" s="407">
        <v>0</v>
      </c>
      <c r="AZ197" s="407">
        <v>0</v>
      </c>
      <c r="BA197" s="407"/>
      <c r="BB197" s="407">
        <v>0</v>
      </c>
      <c r="BC197" s="407">
        <v>0</v>
      </c>
      <c r="BD197" s="407">
        <v>0</v>
      </c>
      <c r="BE197" s="407">
        <v>0</v>
      </c>
      <c r="BF197" s="407">
        <v>0</v>
      </c>
      <c r="BG197" s="407">
        <v>45.083817813084707</v>
      </c>
      <c r="BH197" s="407">
        <v>0</v>
      </c>
      <c r="BI197" s="407">
        <v>24.41</v>
      </c>
      <c r="BJ197" s="407">
        <v>110.48</v>
      </c>
      <c r="BK197" s="407">
        <v>1634.65</v>
      </c>
      <c r="BL197" s="407">
        <v>81</v>
      </c>
      <c r="BM197" s="407"/>
      <c r="BN197" s="407"/>
      <c r="BO197" s="407"/>
      <c r="BP197" s="407"/>
      <c r="BQ197" s="407"/>
      <c r="BR197" s="407"/>
      <c r="BS197" s="407"/>
      <c r="BT197" s="407"/>
      <c r="BU197" s="407"/>
      <c r="BV197" s="407">
        <v>661.85245394880758</v>
      </c>
      <c r="BW197" s="407"/>
      <c r="BX197" s="407"/>
      <c r="BY197" s="407"/>
      <c r="BZ197" s="407"/>
      <c r="CA197" s="407"/>
      <c r="CB197" s="407"/>
      <c r="CC197" s="407"/>
      <c r="CD197" s="407"/>
      <c r="CE197" s="407"/>
      <c r="CF197" s="407"/>
      <c r="CG197" s="407"/>
      <c r="CH197" s="407"/>
      <c r="CI197" s="407">
        <v>2071.2799999999997</v>
      </c>
      <c r="CJ197" s="407">
        <v>-755.84305000000086</v>
      </c>
      <c r="CK197" s="407"/>
      <c r="CL197" s="407"/>
      <c r="CM197" s="407"/>
      <c r="CN197" s="407"/>
      <c r="CO197" s="407">
        <v>-866.18339999999989</v>
      </c>
      <c r="CP197" s="407">
        <v>109.85253</v>
      </c>
      <c r="CQ197" s="407">
        <v>31</v>
      </c>
      <c r="CR197" s="407">
        <v>96.571225788394486</v>
      </c>
      <c r="CS197" s="407">
        <v>0</v>
      </c>
      <c r="CT197" s="407">
        <v>0</v>
      </c>
      <c r="CU197" s="407">
        <v>0</v>
      </c>
      <c r="CV197" s="407">
        <v>0</v>
      </c>
      <c r="CW197" s="407">
        <v>0</v>
      </c>
      <c r="CX197" s="407">
        <v>0</v>
      </c>
      <c r="CY197" s="407">
        <v>0</v>
      </c>
      <c r="CZ197" s="407">
        <v>21.070971002908266</v>
      </c>
      <c r="DA197" s="407">
        <v>0</v>
      </c>
      <c r="DB197" s="407">
        <v>0</v>
      </c>
      <c r="DC197" s="407">
        <v>122.28856480479226</v>
      </c>
      <c r="DD197" s="407">
        <v>0</v>
      </c>
      <c r="DE197" s="407">
        <v>0</v>
      </c>
      <c r="DF197" s="407">
        <v>0</v>
      </c>
      <c r="DG197" s="407">
        <v>8.9389035908591055</v>
      </c>
      <c r="DH197" s="407">
        <v>0</v>
      </c>
      <c r="DI197" s="407">
        <v>0</v>
      </c>
      <c r="DJ197" s="407"/>
      <c r="DK197" s="407">
        <v>0</v>
      </c>
      <c r="DL197" s="407">
        <v>0</v>
      </c>
      <c r="DM197" s="407">
        <v>0</v>
      </c>
      <c r="DN197" s="407">
        <v>0</v>
      </c>
      <c r="DO197" s="407">
        <v>0</v>
      </c>
      <c r="DP197" s="407">
        <v>-0.5287481179524498</v>
      </c>
      <c r="DQ197" s="407">
        <v>0</v>
      </c>
      <c r="DR197" s="407">
        <v>-55.198465492212478</v>
      </c>
      <c r="DS197" s="407"/>
      <c r="DT197" s="407"/>
      <c r="DU197" s="407"/>
      <c r="DV197" s="407">
        <v>1669.7664171575211</v>
      </c>
      <c r="DW197" s="407">
        <v>0</v>
      </c>
      <c r="DX197" s="407">
        <v>0</v>
      </c>
      <c r="DY197" s="407">
        <v>-866.18339999999989</v>
      </c>
      <c r="DZ197" s="407">
        <v>109.85253</v>
      </c>
      <c r="EA197" s="407">
        <v>0</v>
      </c>
      <c r="EB197" s="407">
        <v>0</v>
      </c>
      <c r="EC197" s="407">
        <v>-852.92056412253999</v>
      </c>
      <c r="ED197" s="407">
        <v>0</v>
      </c>
      <c r="EE197" s="407">
        <v>0</v>
      </c>
      <c r="EF197" s="407">
        <v>0</v>
      </c>
      <c r="EG197" s="407">
        <v>0</v>
      </c>
      <c r="EH197" s="407">
        <v>0</v>
      </c>
      <c r="EI197" s="407">
        <v>0</v>
      </c>
      <c r="EJ197" s="407">
        <v>0</v>
      </c>
      <c r="EK197" s="407">
        <v>0</v>
      </c>
      <c r="EL197" s="407">
        <v>0</v>
      </c>
      <c r="EM197" s="407">
        <v>0</v>
      </c>
      <c r="EN197" s="407">
        <v>0</v>
      </c>
      <c r="EO197" s="407">
        <v>0</v>
      </c>
      <c r="EP197" s="407">
        <v>0</v>
      </c>
      <c r="EQ197" s="407">
        <v>0</v>
      </c>
      <c r="ER197" s="407">
        <v>0</v>
      </c>
      <c r="ES197" s="407">
        <v>0</v>
      </c>
      <c r="ET197" s="407">
        <v>0</v>
      </c>
      <c r="EU197" s="407">
        <v>0</v>
      </c>
      <c r="EV197" s="407">
        <v>246</v>
      </c>
      <c r="EW197" s="407">
        <v>0</v>
      </c>
      <c r="EX197" s="407">
        <v>0</v>
      </c>
      <c r="EY197" s="407">
        <v>0</v>
      </c>
      <c r="EZ197" s="407"/>
      <c r="FA197" s="407">
        <v>0</v>
      </c>
      <c r="FB197" s="407"/>
      <c r="FC197" s="407"/>
      <c r="FD197" s="407"/>
      <c r="FE197" s="407"/>
      <c r="FF197" s="407">
        <v>0</v>
      </c>
      <c r="FG197" s="407">
        <v>0</v>
      </c>
      <c r="FH197" s="407">
        <v>0</v>
      </c>
      <c r="FI197" s="407">
        <v>0</v>
      </c>
    </row>
    <row r="198" spans="1:165">
      <c r="A198" s="407">
        <v>209</v>
      </c>
      <c r="B198" s="407" t="s">
        <v>1090</v>
      </c>
      <c r="C198" s="407" t="s">
        <v>2306</v>
      </c>
      <c r="D198" s="407" t="s">
        <v>1219</v>
      </c>
      <c r="E198" s="407" t="s">
        <v>1022</v>
      </c>
      <c r="F198" s="407" t="s">
        <v>97</v>
      </c>
      <c r="G198" s="407" t="s">
        <v>97</v>
      </c>
      <c r="H198" s="407" t="s">
        <v>97</v>
      </c>
      <c r="I198" s="407" t="s">
        <v>97</v>
      </c>
      <c r="J198" s="407" t="s">
        <v>2307</v>
      </c>
      <c r="K198" s="818">
        <v>44470</v>
      </c>
      <c r="L198" s="407">
        <v>0</v>
      </c>
      <c r="M198" s="407">
        <v>0</v>
      </c>
      <c r="N198" s="407">
        <v>86.637</v>
      </c>
      <c r="O198" s="407">
        <v>86.637</v>
      </c>
      <c r="P198" s="407">
        <v>86.637</v>
      </c>
      <c r="Q198" s="407">
        <v>86.637</v>
      </c>
      <c r="R198" s="407"/>
      <c r="S198" s="407">
        <v>648.44000000000005</v>
      </c>
      <c r="T198" s="407">
        <v>159.41</v>
      </c>
      <c r="U198" s="407"/>
      <c r="V198" s="407">
        <v>69989.700450000004</v>
      </c>
      <c r="W198" s="407">
        <v>69989.700450000004</v>
      </c>
      <c r="X198" s="407">
        <v>53006.249340000002</v>
      </c>
      <c r="Y198" s="407">
        <v>0</v>
      </c>
      <c r="Z198" s="407">
        <v>5368.9166038318908</v>
      </c>
      <c r="AA198" s="407">
        <v>0</v>
      </c>
      <c r="AB198" s="407">
        <v>0</v>
      </c>
      <c r="AC198" s="407">
        <v>0</v>
      </c>
      <c r="AD198" s="407">
        <v>10105.723153721767</v>
      </c>
      <c r="AE198" s="407">
        <v>36174.932003819995</v>
      </c>
      <c r="AF198" s="407">
        <v>13362.086603873624</v>
      </c>
      <c r="AG198" s="407">
        <v>448.93103546819759</v>
      </c>
      <c r="AH198" s="407">
        <v>0</v>
      </c>
      <c r="AI198" s="407">
        <v>0</v>
      </c>
      <c r="AJ198" s="407">
        <v>0</v>
      </c>
      <c r="AK198" s="407">
        <v>0</v>
      </c>
      <c r="AL198" s="407">
        <v>829.64070742224601</v>
      </c>
      <c r="AM198" s="407"/>
      <c r="AN198" s="407">
        <v>179.78006100412367</v>
      </c>
      <c r="AO198" s="407">
        <v>0</v>
      </c>
      <c r="AP198" s="407">
        <v>0</v>
      </c>
      <c r="AQ198" s="407">
        <v>0</v>
      </c>
      <c r="AR198" s="407">
        <v>0</v>
      </c>
      <c r="AS198" s="407">
        <v>0</v>
      </c>
      <c r="AT198" s="407">
        <v>0</v>
      </c>
      <c r="AU198" s="407">
        <v>0</v>
      </c>
      <c r="AV198" s="407">
        <v>0</v>
      </c>
      <c r="AW198" s="407">
        <v>0</v>
      </c>
      <c r="AX198" s="407">
        <v>0</v>
      </c>
      <c r="AY198" s="407">
        <v>0</v>
      </c>
      <c r="AZ198" s="407">
        <v>0</v>
      </c>
      <c r="BA198" s="407"/>
      <c r="BB198" s="407">
        <v>0</v>
      </c>
      <c r="BC198" s="407">
        <v>0</v>
      </c>
      <c r="BD198" s="407">
        <v>0</v>
      </c>
      <c r="BE198" s="407">
        <v>0</v>
      </c>
      <c r="BF198" s="407">
        <v>0</v>
      </c>
      <c r="BG198" s="407">
        <v>976.72586243366334</v>
      </c>
      <c r="BH198" s="407">
        <v>0</v>
      </c>
      <c r="BI198" s="407">
        <v>374.95</v>
      </c>
      <c r="BJ198" s="407">
        <v>1640.18</v>
      </c>
      <c r="BK198" s="407">
        <v>14280.21</v>
      </c>
      <c r="BL198" s="407">
        <v>88</v>
      </c>
      <c r="BM198" s="407"/>
      <c r="BN198" s="407"/>
      <c r="BO198" s="407"/>
      <c r="BP198" s="407"/>
      <c r="BQ198" s="407"/>
      <c r="BR198" s="407"/>
      <c r="BS198" s="407"/>
      <c r="BT198" s="407"/>
      <c r="BU198" s="407"/>
      <c r="BV198" s="407">
        <v>14338.812466307287</v>
      </c>
      <c r="BW198" s="407"/>
      <c r="BX198" s="407"/>
      <c r="BY198" s="407"/>
      <c r="BZ198" s="407"/>
      <c r="CA198" s="407"/>
      <c r="CB198" s="407"/>
      <c r="CC198" s="407"/>
      <c r="CD198" s="407"/>
      <c r="CE198" s="407"/>
      <c r="CF198" s="407"/>
      <c r="CG198" s="407"/>
      <c r="CH198" s="407"/>
      <c r="CI198" s="407">
        <v>53008.084799999997</v>
      </c>
      <c r="CJ198" s="407">
        <v>-16981.645650000006</v>
      </c>
      <c r="CK198" s="407"/>
      <c r="CL198" s="407"/>
      <c r="CM198" s="407"/>
      <c r="CN198" s="407"/>
      <c r="CO198" s="407">
        <v>-19363.369500000004</v>
      </c>
      <c r="CP198" s="407">
        <v>2379.9183899999998</v>
      </c>
      <c r="CQ198" s="407">
        <v>31</v>
      </c>
      <c r="CR198" s="407">
        <v>1494.8363588225911</v>
      </c>
      <c r="CS198" s="407">
        <v>0</v>
      </c>
      <c r="CT198" s="407">
        <v>0</v>
      </c>
      <c r="CU198" s="407">
        <v>0</v>
      </c>
      <c r="CV198" s="407">
        <v>0</v>
      </c>
      <c r="CW198" s="407">
        <v>0</v>
      </c>
      <c r="CX198" s="407">
        <v>0</v>
      </c>
      <c r="CY198" s="407">
        <v>0</v>
      </c>
      <c r="CZ198" s="407">
        <v>456.49555258288638</v>
      </c>
      <c r="DA198" s="407">
        <v>0</v>
      </c>
      <c r="DB198" s="407">
        <v>0</v>
      </c>
      <c r="DC198" s="407">
        <v>2649.3409324813183</v>
      </c>
      <c r="DD198" s="407">
        <v>0</v>
      </c>
      <c r="DE198" s="407">
        <v>0</v>
      </c>
      <c r="DF198" s="407">
        <v>0</v>
      </c>
      <c r="DG198" s="407">
        <v>193.6583621908627</v>
      </c>
      <c r="DH198" s="407">
        <v>0</v>
      </c>
      <c r="DI198" s="407">
        <v>-376.04951044444806</v>
      </c>
      <c r="DJ198" s="407"/>
      <c r="DK198" s="407">
        <v>0</v>
      </c>
      <c r="DL198" s="407">
        <v>0</v>
      </c>
      <c r="DM198" s="407">
        <v>0</v>
      </c>
      <c r="DN198" s="407">
        <v>0</v>
      </c>
      <c r="DO198" s="407">
        <v>-50.617521904753858</v>
      </c>
      <c r="DP198" s="407">
        <v>-11.455151461627025</v>
      </c>
      <c r="DQ198" s="407">
        <v>0</v>
      </c>
      <c r="DR198" s="407">
        <v>-1366.5363046216426</v>
      </c>
      <c r="DS198" s="407"/>
      <c r="DT198" s="407"/>
      <c r="DU198" s="407"/>
      <c r="DV198" s="407">
        <v>36174.932003819995</v>
      </c>
      <c r="DW198" s="407">
        <v>0</v>
      </c>
      <c r="DX198" s="407">
        <v>0</v>
      </c>
      <c r="DY198" s="407">
        <v>-19363.369500000008</v>
      </c>
      <c r="DZ198" s="407">
        <v>2379.9183900000007</v>
      </c>
      <c r="EA198" s="407">
        <v>0</v>
      </c>
      <c r="EB198" s="407">
        <v>0</v>
      </c>
      <c r="EC198" s="407">
        <v>-18478.2392882932</v>
      </c>
      <c r="ED198" s="407">
        <v>0</v>
      </c>
      <c r="EE198" s="407">
        <v>0</v>
      </c>
      <c r="EF198" s="407">
        <v>0</v>
      </c>
      <c r="EG198" s="407">
        <v>0</v>
      </c>
      <c r="EH198" s="407">
        <v>0</v>
      </c>
      <c r="EI198" s="407">
        <v>0</v>
      </c>
      <c r="EJ198" s="407">
        <v>0</v>
      </c>
      <c r="EK198" s="407">
        <v>0</v>
      </c>
      <c r="EL198" s="407">
        <v>0</v>
      </c>
      <c r="EM198" s="407">
        <v>0</v>
      </c>
      <c r="EN198" s="407">
        <v>0</v>
      </c>
      <c r="EO198" s="407">
        <v>0</v>
      </c>
      <c r="EP198" s="407">
        <v>2543.1598011964816</v>
      </c>
      <c r="EQ198" s="407">
        <v>0</v>
      </c>
      <c r="ER198" s="407">
        <v>0</v>
      </c>
      <c r="ES198" s="407">
        <v>0</v>
      </c>
      <c r="ET198" s="407">
        <v>0</v>
      </c>
      <c r="EU198" s="407">
        <v>0</v>
      </c>
      <c r="EV198" s="407">
        <v>246</v>
      </c>
      <c r="EW198" s="407">
        <v>0</v>
      </c>
      <c r="EX198" s="407">
        <v>0</v>
      </c>
      <c r="EY198" s="407">
        <v>0</v>
      </c>
      <c r="EZ198" s="407"/>
      <c r="FA198" s="407">
        <v>0</v>
      </c>
      <c r="FB198" s="407"/>
      <c r="FC198" s="407"/>
      <c r="FD198" s="407"/>
      <c r="FE198" s="407"/>
      <c r="FF198" s="407">
        <v>0</v>
      </c>
      <c r="FG198" s="407">
        <v>0</v>
      </c>
      <c r="FH198" s="407">
        <v>0</v>
      </c>
      <c r="FI198" s="407">
        <v>0</v>
      </c>
    </row>
    <row r="199" spans="1:165">
      <c r="A199" s="407">
        <v>210</v>
      </c>
      <c r="B199" s="407" t="s">
        <v>2309</v>
      </c>
      <c r="C199" s="407" t="s">
        <v>2306</v>
      </c>
      <c r="D199" s="407" t="s">
        <v>1219</v>
      </c>
      <c r="E199" s="407" t="s">
        <v>1022</v>
      </c>
      <c r="F199" s="407" t="s">
        <v>97</v>
      </c>
      <c r="G199" s="407" t="s">
        <v>97</v>
      </c>
      <c r="H199" s="407" t="s">
        <v>97</v>
      </c>
      <c r="I199" s="407" t="s">
        <v>97</v>
      </c>
      <c r="J199" s="407" t="s">
        <v>2307</v>
      </c>
      <c r="K199" s="818">
        <v>44470</v>
      </c>
      <c r="L199" s="407">
        <v>0</v>
      </c>
      <c r="M199" s="407">
        <v>0</v>
      </c>
      <c r="N199" s="407">
        <v>11.592000000000001</v>
      </c>
      <c r="O199" s="407">
        <v>11.592000000000001</v>
      </c>
      <c r="P199" s="407">
        <v>11.592000000000001</v>
      </c>
      <c r="Q199" s="407">
        <v>11.592000000000001</v>
      </c>
      <c r="R199" s="407"/>
      <c r="S199" s="407">
        <v>648.44000000000005</v>
      </c>
      <c r="T199" s="407">
        <v>159.41</v>
      </c>
      <c r="U199" s="407"/>
      <c r="V199" s="407">
        <v>9364.5972000000002</v>
      </c>
      <c r="W199" s="407">
        <v>9364.5972000000002</v>
      </c>
      <c r="X199" s="407">
        <v>7092.2174400000004</v>
      </c>
      <c r="Y199" s="407">
        <v>0</v>
      </c>
      <c r="Z199" s="407">
        <v>718.35914530303774</v>
      </c>
      <c r="AA199" s="407">
        <v>0</v>
      </c>
      <c r="AB199" s="407">
        <v>0</v>
      </c>
      <c r="AC199" s="407">
        <v>0</v>
      </c>
      <c r="AD199" s="407">
        <v>1352.1421886485302</v>
      </c>
      <c r="AE199" s="407">
        <v>4840.1931252037966</v>
      </c>
      <c r="AF199" s="407">
        <v>1787.8424681383594</v>
      </c>
      <c r="AG199" s="407">
        <v>60.066813984179355</v>
      </c>
      <c r="AH199" s="407">
        <v>0</v>
      </c>
      <c r="AI199" s="407">
        <v>0</v>
      </c>
      <c r="AJ199" s="407">
        <v>0</v>
      </c>
      <c r="AK199" s="407">
        <v>0</v>
      </c>
      <c r="AL199" s="407">
        <v>111.00563362580279</v>
      </c>
      <c r="AM199" s="407"/>
      <c r="AN199" s="407">
        <v>24.05450866442515</v>
      </c>
      <c r="AO199" s="407">
        <v>0</v>
      </c>
      <c r="AP199" s="407">
        <v>0</v>
      </c>
      <c r="AQ199" s="407">
        <v>0</v>
      </c>
      <c r="AR199" s="407">
        <v>0</v>
      </c>
      <c r="AS199" s="407">
        <v>0</v>
      </c>
      <c r="AT199" s="407">
        <v>0</v>
      </c>
      <c r="AU199" s="407">
        <v>0</v>
      </c>
      <c r="AV199" s="407">
        <v>0</v>
      </c>
      <c r="AW199" s="407">
        <v>0</v>
      </c>
      <c r="AX199" s="407">
        <v>0</v>
      </c>
      <c r="AY199" s="407">
        <v>0</v>
      </c>
      <c r="AZ199" s="407">
        <v>0</v>
      </c>
      <c r="BA199" s="407"/>
      <c r="BB199" s="407">
        <v>0</v>
      </c>
      <c r="BC199" s="407">
        <v>0</v>
      </c>
      <c r="BD199" s="407">
        <v>0</v>
      </c>
      <c r="BE199" s="407">
        <v>0</v>
      </c>
      <c r="BF199" s="407">
        <v>0</v>
      </c>
      <c r="BG199" s="407">
        <v>130.68557541617352</v>
      </c>
      <c r="BH199" s="407">
        <v>0</v>
      </c>
      <c r="BI199" s="407">
        <v>50.13</v>
      </c>
      <c r="BJ199" s="407">
        <v>219.43</v>
      </c>
      <c r="BK199" s="407">
        <v>4021.12</v>
      </c>
      <c r="BL199" s="407">
        <v>18</v>
      </c>
      <c r="BM199" s="407"/>
      <c r="BN199" s="407"/>
      <c r="BO199" s="407"/>
      <c r="BP199" s="407"/>
      <c r="BQ199" s="407"/>
      <c r="BR199" s="407"/>
      <c r="BS199" s="407"/>
      <c r="BT199" s="407"/>
      <c r="BU199" s="407"/>
      <c r="BV199" s="407">
        <v>1918.528043554533</v>
      </c>
      <c r="BW199" s="407"/>
      <c r="BX199" s="407"/>
      <c r="BY199" s="407"/>
      <c r="BZ199" s="407"/>
      <c r="CA199" s="407"/>
      <c r="CB199" s="407"/>
      <c r="CC199" s="407"/>
      <c r="CD199" s="407"/>
      <c r="CE199" s="407"/>
      <c r="CF199" s="407"/>
      <c r="CG199" s="407"/>
      <c r="CH199" s="407"/>
      <c r="CI199" s="407">
        <v>7090.9937999999993</v>
      </c>
      <c r="CJ199" s="407">
        <v>-2273.6334000000015</v>
      </c>
      <c r="CK199" s="407"/>
      <c r="CL199" s="407"/>
      <c r="CM199" s="407"/>
      <c r="CN199" s="407"/>
      <c r="CO199" s="407">
        <v>-2590.8120000000008</v>
      </c>
      <c r="CP199" s="407">
        <v>318.43223999999998</v>
      </c>
      <c r="CQ199" s="407">
        <v>31</v>
      </c>
      <c r="CR199" s="407">
        <v>200.00857683751201</v>
      </c>
      <c r="CS199" s="407">
        <v>0</v>
      </c>
      <c r="CT199" s="407">
        <v>0</v>
      </c>
      <c r="CU199" s="407">
        <v>0</v>
      </c>
      <c r="CV199" s="407">
        <v>0</v>
      </c>
      <c r="CW199" s="407">
        <v>0</v>
      </c>
      <c r="CX199" s="407">
        <v>0</v>
      </c>
      <c r="CY199" s="407">
        <v>0</v>
      </c>
      <c r="CZ199" s="407">
        <v>61.078943702353854</v>
      </c>
      <c r="DA199" s="407">
        <v>0</v>
      </c>
      <c r="DB199" s="407">
        <v>0</v>
      </c>
      <c r="DC199" s="407">
        <v>354.48088102454449</v>
      </c>
      <c r="DD199" s="407">
        <v>0</v>
      </c>
      <c r="DE199" s="407">
        <v>0</v>
      </c>
      <c r="DF199" s="407">
        <v>0</v>
      </c>
      <c r="DG199" s="407">
        <v>25.911420461425053</v>
      </c>
      <c r="DH199" s="407">
        <v>0</v>
      </c>
      <c r="DI199" s="407">
        <v>-50.315291677597884</v>
      </c>
      <c r="DJ199" s="407"/>
      <c r="DK199" s="407">
        <v>0</v>
      </c>
      <c r="DL199" s="407">
        <v>0</v>
      </c>
      <c r="DM199" s="407">
        <v>0</v>
      </c>
      <c r="DN199" s="407">
        <v>0</v>
      </c>
      <c r="DO199" s="407">
        <v>-6.7726065528573969</v>
      </c>
      <c r="DP199" s="407">
        <v>-1.5326952196311083</v>
      </c>
      <c r="DQ199" s="407">
        <v>0</v>
      </c>
      <c r="DR199" s="407">
        <v>-182.84207490072467</v>
      </c>
      <c r="DS199" s="407"/>
      <c r="DT199" s="407"/>
      <c r="DU199" s="407"/>
      <c r="DV199" s="407">
        <v>4840.1931252037966</v>
      </c>
      <c r="DW199" s="407">
        <v>0</v>
      </c>
      <c r="DX199" s="407">
        <v>0</v>
      </c>
      <c r="DY199" s="407">
        <v>-2590.8120000000008</v>
      </c>
      <c r="DZ199" s="407">
        <v>318.43224000000009</v>
      </c>
      <c r="EA199" s="407">
        <v>0</v>
      </c>
      <c r="EB199" s="407">
        <v>0</v>
      </c>
      <c r="EC199" s="407">
        <v>-2472.3818902996954</v>
      </c>
      <c r="ED199" s="407">
        <v>0</v>
      </c>
      <c r="EE199" s="407">
        <v>0</v>
      </c>
      <c r="EF199" s="407">
        <v>0</v>
      </c>
      <c r="EG199" s="407">
        <v>0</v>
      </c>
      <c r="EH199" s="407">
        <v>0</v>
      </c>
      <c r="EI199" s="407">
        <v>0</v>
      </c>
      <c r="EJ199" s="407">
        <v>0</v>
      </c>
      <c r="EK199" s="407">
        <v>0</v>
      </c>
      <c r="EL199" s="407">
        <v>0</v>
      </c>
      <c r="EM199" s="407">
        <v>0</v>
      </c>
      <c r="EN199" s="407">
        <v>0</v>
      </c>
      <c r="EO199" s="407">
        <v>0</v>
      </c>
      <c r="EP199" s="407">
        <v>340.27388316157777</v>
      </c>
      <c r="EQ199" s="407">
        <v>0</v>
      </c>
      <c r="ER199" s="407">
        <v>0</v>
      </c>
      <c r="ES199" s="407">
        <v>0</v>
      </c>
      <c r="ET199" s="407">
        <v>0</v>
      </c>
      <c r="EU199" s="407">
        <v>0</v>
      </c>
      <c r="EV199" s="407">
        <v>246</v>
      </c>
      <c r="EW199" s="407">
        <v>0</v>
      </c>
      <c r="EX199" s="407">
        <v>0</v>
      </c>
      <c r="EY199" s="407">
        <v>0</v>
      </c>
      <c r="EZ199" s="407"/>
      <c r="FA199" s="407">
        <v>0</v>
      </c>
      <c r="FB199" s="407"/>
      <c r="FC199" s="407"/>
      <c r="FD199" s="407"/>
      <c r="FE199" s="407"/>
      <c r="FF199" s="407">
        <v>0</v>
      </c>
      <c r="FG199" s="407">
        <v>0</v>
      </c>
      <c r="FH199" s="407">
        <v>0</v>
      </c>
      <c r="FI199" s="407">
        <v>0</v>
      </c>
    </row>
    <row r="200" spans="1:165">
      <c r="A200" s="407">
        <v>211</v>
      </c>
      <c r="B200" s="407" t="s">
        <v>1090</v>
      </c>
      <c r="C200" s="407" t="s">
        <v>2314</v>
      </c>
      <c r="D200" s="407" t="s">
        <v>650</v>
      </c>
      <c r="E200" s="407" t="s">
        <v>1022</v>
      </c>
      <c r="F200" s="407" t="s">
        <v>97</v>
      </c>
      <c r="G200" s="407" t="s">
        <v>97</v>
      </c>
      <c r="H200" s="407" t="s">
        <v>97</v>
      </c>
      <c r="I200" s="407" t="s">
        <v>1025</v>
      </c>
      <c r="J200" s="407" t="s">
        <v>2307</v>
      </c>
      <c r="K200" s="818">
        <v>44470</v>
      </c>
      <c r="L200" s="407">
        <v>0</v>
      </c>
      <c r="M200" s="407">
        <v>0</v>
      </c>
      <c r="N200" s="407">
        <v>12.951000000000001</v>
      </c>
      <c r="O200" s="407">
        <v>12.951000000000001</v>
      </c>
      <c r="P200" s="407">
        <v>12.951000000000001</v>
      </c>
      <c r="Q200" s="407">
        <v>12.951000000000001</v>
      </c>
      <c r="R200" s="407"/>
      <c r="S200" s="407">
        <v>2810.7</v>
      </c>
      <c r="T200" s="407">
        <v>159.41</v>
      </c>
      <c r="U200" s="407"/>
      <c r="V200" s="407">
        <v>38465.894609999996</v>
      </c>
      <c r="W200" s="407">
        <v>38465.894609999996</v>
      </c>
      <c r="X200" s="407">
        <v>24499.277190000001</v>
      </c>
      <c r="Y200" s="407">
        <v>0</v>
      </c>
      <c r="Z200" s="407">
        <v>698.24174284101821</v>
      </c>
      <c r="AA200" s="407">
        <v>0</v>
      </c>
      <c r="AB200" s="407">
        <v>0</v>
      </c>
      <c r="AC200" s="407">
        <v>0</v>
      </c>
      <c r="AD200" s="407">
        <v>7906.7874499509317</v>
      </c>
      <c r="AE200" s="407">
        <v>27260.416196881633</v>
      </c>
      <c r="AF200" s="407">
        <v>1997.4420121514745</v>
      </c>
      <c r="AG200" s="407">
        <v>67.108808480771813</v>
      </c>
      <c r="AH200" s="407">
        <v>0</v>
      </c>
      <c r="AI200" s="407">
        <v>0</v>
      </c>
      <c r="AJ200" s="407">
        <v>0</v>
      </c>
      <c r="AK200" s="407">
        <v>0</v>
      </c>
      <c r="AL200" s="407">
        <v>124.01949284746134</v>
      </c>
      <c r="AM200" s="407"/>
      <c r="AN200" s="407">
        <v>13.905921053734836</v>
      </c>
      <c r="AO200" s="407">
        <v>0</v>
      </c>
      <c r="AP200" s="407">
        <v>0</v>
      </c>
      <c r="AQ200" s="407">
        <v>0</v>
      </c>
      <c r="AR200" s="407">
        <v>0</v>
      </c>
      <c r="AS200" s="407">
        <v>0</v>
      </c>
      <c r="AT200" s="407">
        <v>0</v>
      </c>
      <c r="AU200" s="407">
        <v>0</v>
      </c>
      <c r="AV200" s="407">
        <v>0</v>
      </c>
      <c r="AW200" s="407">
        <v>0</v>
      </c>
      <c r="AX200" s="407">
        <v>0</v>
      </c>
      <c r="AY200" s="407">
        <v>0</v>
      </c>
      <c r="AZ200" s="407">
        <v>0</v>
      </c>
      <c r="BA200" s="407"/>
      <c r="BB200" s="407">
        <v>0</v>
      </c>
      <c r="BC200" s="407">
        <v>0</v>
      </c>
      <c r="BD200" s="407">
        <v>0</v>
      </c>
      <c r="BE200" s="407">
        <v>0</v>
      </c>
      <c r="BF200" s="407">
        <v>0</v>
      </c>
      <c r="BG200" s="407">
        <v>67.214062822629742</v>
      </c>
      <c r="BH200" s="407">
        <v>0</v>
      </c>
      <c r="BI200" s="407">
        <v>0</v>
      </c>
      <c r="BJ200" s="407">
        <v>0</v>
      </c>
      <c r="BK200" s="407">
        <v>0</v>
      </c>
      <c r="BL200" s="407">
        <v>0</v>
      </c>
      <c r="BM200" s="407"/>
      <c r="BN200" s="407"/>
      <c r="BO200" s="407"/>
      <c r="BP200" s="407"/>
      <c r="BQ200" s="407"/>
      <c r="BR200" s="407"/>
      <c r="BS200" s="407"/>
      <c r="BT200" s="407"/>
      <c r="BU200" s="407"/>
      <c r="BV200" s="407">
        <v>2064.6560749741043</v>
      </c>
      <c r="BW200" s="407"/>
      <c r="BX200" s="407"/>
      <c r="BY200" s="407"/>
      <c r="BZ200" s="407"/>
      <c r="CA200" s="407"/>
      <c r="CB200" s="407"/>
      <c r="CC200" s="407"/>
      <c r="CD200" s="407"/>
      <c r="CE200" s="407"/>
      <c r="CF200" s="407"/>
      <c r="CG200" s="407"/>
      <c r="CH200" s="407"/>
      <c r="CI200" s="407">
        <v>24497.3855</v>
      </c>
      <c r="CJ200" s="407">
        <v>-13968.539110000002</v>
      </c>
      <c r="CK200" s="407"/>
      <c r="CL200" s="407"/>
      <c r="CM200" s="407"/>
      <c r="CN200" s="407"/>
      <c r="CO200" s="407">
        <v>-14322.381389999999</v>
      </c>
      <c r="CP200" s="407">
        <v>355.76396999999997</v>
      </c>
      <c r="CQ200" s="407">
        <v>31</v>
      </c>
      <c r="CR200" s="407">
        <v>-41.865363681479721</v>
      </c>
      <c r="CS200" s="407">
        <v>0</v>
      </c>
      <c r="CT200" s="407">
        <v>0</v>
      </c>
      <c r="CU200" s="407">
        <v>0</v>
      </c>
      <c r="CV200" s="407">
        <v>0</v>
      </c>
      <c r="CW200" s="407">
        <v>0</v>
      </c>
      <c r="CX200" s="407">
        <v>0</v>
      </c>
      <c r="CY200" s="407">
        <v>0</v>
      </c>
      <c r="CZ200" s="407">
        <v>357.16526677177626</v>
      </c>
      <c r="DA200" s="407">
        <v>0</v>
      </c>
      <c r="DB200" s="407">
        <v>0</v>
      </c>
      <c r="DC200" s="407">
        <v>396.03881039931639</v>
      </c>
      <c r="DD200" s="407">
        <v>0</v>
      </c>
      <c r="DE200" s="407">
        <v>0</v>
      </c>
      <c r="DF200" s="407">
        <v>0</v>
      </c>
      <c r="DG200" s="407">
        <v>13.326733552433453</v>
      </c>
      <c r="DH200" s="407">
        <v>0</v>
      </c>
      <c r="DI200" s="407">
        <v>-48.906229122620744</v>
      </c>
      <c r="DJ200" s="407"/>
      <c r="DK200" s="407">
        <v>0</v>
      </c>
      <c r="DL200" s="407">
        <v>0</v>
      </c>
      <c r="DM200" s="407">
        <v>0</v>
      </c>
      <c r="DN200" s="407">
        <v>0</v>
      </c>
      <c r="DO200" s="407">
        <v>-7.5666000229517039</v>
      </c>
      <c r="DP200" s="407">
        <v>-0.88605171782812953</v>
      </c>
      <c r="DQ200" s="407">
        <v>0</v>
      </c>
      <c r="DR200" s="407">
        <v>-751.03729354160726</v>
      </c>
      <c r="DS200" s="407"/>
      <c r="DT200" s="407"/>
      <c r="DU200" s="407"/>
      <c r="DV200" s="407">
        <v>27260.416196881633</v>
      </c>
      <c r="DW200" s="407">
        <v>0</v>
      </c>
      <c r="DX200" s="407">
        <v>0</v>
      </c>
      <c r="DY200" s="407">
        <v>-14322.381389999995</v>
      </c>
      <c r="DZ200" s="407">
        <v>355.76396999999997</v>
      </c>
      <c r="EA200" s="407">
        <v>0</v>
      </c>
      <c r="EB200" s="407">
        <v>0</v>
      </c>
      <c r="EC200" s="407">
        <v>-13924.683909046393</v>
      </c>
      <c r="ED200" s="407">
        <v>0</v>
      </c>
      <c r="EE200" s="407">
        <v>0</v>
      </c>
      <c r="EF200" s="407">
        <v>0</v>
      </c>
      <c r="EG200" s="407">
        <v>0</v>
      </c>
      <c r="EH200" s="407">
        <v>0</v>
      </c>
      <c r="EI200" s="407">
        <v>0</v>
      </c>
      <c r="EJ200" s="407">
        <v>0</v>
      </c>
      <c r="EK200" s="407">
        <v>0</v>
      </c>
      <c r="EL200" s="407">
        <v>0</v>
      </c>
      <c r="EM200" s="407">
        <v>0</v>
      </c>
      <c r="EN200" s="407">
        <v>0</v>
      </c>
      <c r="EO200" s="407">
        <v>0</v>
      </c>
      <c r="EP200" s="407">
        <v>330.74462930626851</v>
      </c>
      <c r="EQ200" s="407">
        <v>0</v>
      </c>
      <c r="ER200" s="407">
        <v>0</v>
      </c>
      <c r="ES200" s="407">
        <v>0</v>
      </c>
      <c r="ET200" s="407">
        <v>0</v>
      </c>
      <c r="EU200" s="407">
        <v>0</v>
      </c>
      <c r="EV200" s="407">
        <v>246</v>
      </c>
      <c r="EW200" s="407">
        <v>0</v>
      </c>
      <c r="EX200" s="407">
        <v>0</v>
      </c>
      <c r="EY200" s="407">
        <v>0</v>
      </c>
      <c r="EZ200" s="407"/>
      <c r="FA200" s="407">
        <v>0</v>
      </c>
      <c r="FB200" s="407"/>
      <c r="FC200" s="407"/>
      <c r="FD200" s="407"/>
      <c r="FE200" s="407"/>
      <c r="FF200" s="407">
        <v>0</v>
      </c>
      <c r="FG200" s="407">
        <v>0</v>
      </c>
      <c r="FH200" s="407">
        <v>0</v>
      </c>
      <c r="FI200" s="407">
        <v>0</v>
      </c>
    </row>
    <row r="201" spans="1:165">
      <c r="A201" s="407">
        <v>212</v>
      </c>
      <c r="B201" s="407" t="s">
        <v>1090</v>
      </c>
      <c r="C201" s="407" t="s">
        <v>2314</v>
      </c>
      <c r="D201" s="407" t="s">
        <v>650</v>
      </c>
      <c r="E201" s="407" t="s">
        <v>1022</v>
      </c>
      <c r="F201" s="407" t="s">
        <v>97</v>
      </c>
      <c r="G201" s="407" t="s">
        <v>97</v>
      </c>
      <c r="H201" s="407" t="s">
        <v>97</v>
      </c>
      <c r="I201" s="407" t="s">
        <v>2290</v>
      </c>
      <c r="J201" s="407" t="s">
        <v>2307</v>
      </c>
      <c r="K201" s="818">
        <v>44470</v>
      </c>
      <c r="L201" s="407">
        <v>0</v>
      </c>
      <c r="M201" s="407">
        <v>0</v>
      </c>
      <c r="N201" s="407">
        <v>476.85599999999999</v>
      </c>
      <c r="O201" s="407">
        <v>476.85599999999999</v>
      </c>
      <c r="P201" s="407">
        <v>476.85599999999999</v>
      </c>
      <c r="Q201" s="407">
        <v>476.85599999999999</v>
      </c>
      <c r="R201" s="407"/>
      <c r="S201" s="407">
        <v>95.29</v>
      </c>
      <c r="T201" s="407">
        <v>159.41</v>
      </c>
      <c r="U201" s="407"/>
      <c r="V201" s="407">
        <v>121455.22319999999</v>
      </c>
      <c r="W201" s="407">
        <v>121455.22319999999</v>
      </c>
      <c r="X201" s="407">
        <v>132046.19495999999</v>
      </c>
      <c r="Y201" s="407">
        <v>0</v>
      </c>
      <c r="Z201" s="407">
        <v>25709.270675947537</v>
      </c>
      <c r="AA201" s="407">
        <v>0</v>
      </c>
      <c r="AB201" s="407">
        <v>0</v>
      </c>
      <c r="AC201" s="407">
        <v>0</v>
      </c>
      <c r="AD201" s="407">
        <v>0</v>
      </c>
      <c r="AE201" s="407">
        <v>0</v>
      </c>
      <c r="AF201" s="407">
        <v>73545.842648946302</v>
      </c>
      <c r="AG201" s="407">
        <v>2470.9472609765207</v>
      </c>
      <c r="AH201" s="407">
        <v>0</v>
      </c>
      <c r="AI201" s="407">
        <v>0</v>
      </c>
      <c r="AJ201" s="407">
        <v>0</v>
      </c>
      <c r="AK201" s="407">
        <v>0</v>
      </c>
      <c r="AL201" s="407">
        <v>4566.3994503334898</v>
      </c>
      <c r="AM201" s="407"/>
      <c r="AN201" s="407">
        <v>512.01620647052573</v>
      </c>
      <c r="AO201" s="407">
        <v>0</v>
      </c>
      <c r="AP201" s="407">
        <v>0</v>
      </c>
      <c r="AQ201" s="407">
        <v>0</v>
      </c>
      <c r="AR201" s="407">
        <v>0</v>
      </c>
      <c r="AS201" s="407">
        <v>0</v>
      </c>
      <c r="AT201" s="407">
        <v>0</v>
      </c>
      <c r="AU201" s="407">
        <v>0</v>
      </c>
      <c r="AV201" s="407">
        <v>0</v>
      </c>
      <c r="AW201" s="407">
        <v>0</v>
      </c>
      <c r="AX201" s="407">
        <v>0</v>
      </c>
      <c r="AY201" s="407">
        <v>0</v>
      </c>
      <c r="AZ201" s="407">
        <v>0</v>
      </c>
      <c r="BA201" s="407"/>
      <c r="BB201" s="407">
        <v>0</v>
      </c>
      <c r="BC201" s="407">
        <v>0</v>
      </c>
      <c r="BD201" s="407">
        <v>0</v>
      </c>
      <c r="BE201" s="407">
        <v>0</v>
      </c>
      <c r="BF201" s="407">
        <v>0</v>
      </c>
      <c r="BG201" s="407">
        <v>2474.8227273066118</v>
      </c>
      <c r="BH201" s="407">
        <v>0</v>
      </c>
      <c r="BI201" s="407">
        <v>0</v>
      </c>
      <c r="BJ201" s="407">
        <v>0</v>
      </c>
      <c r="BK201" s="407">
        <v>0</v>
      </c>
      <c r="BL201" s="407">
        <v>0</v>
      </c>
      <c r="BM201" s="407"/>
      <c r="BN201" s="407"/>
      <c r="BO201" s="407"/>
      <c r="BP201" s="407"/>
      <c r="BQ201" s="407"/>
      <c r="BR201" s="407"/>
      <c r="BS201" s="407"/>
      <c r="BT201" s="407"/>
      <c r="BU201" s="407"/>
      <c r="BV201" s="407">
        <v>76020.665376252917</v>
      </c>
      <c r="BW201" s="407"/>
      <c r="BX201" s="407"/>
      <c r="BY201" s="407"/>
      <c r="BZ201" s="407"/>
      <c r="CA201" s="407"/>
      <c r="CB201" s="407"/>
      <c r="CC201" s="407"/>
      <c r="CD201" s="407"/>
      <c r="CE201" s="407"/>
      <c r="CF201" s="407"/>
      <c r="CG201" s="407"/>
      <c r="CH201" s="407"/>
      <c r="CI201" s="407">
        <v>132047.3026</v>
      </c>
      <c r="CJ201" s="407">
        <v>10592.049400000004</v>
      </c>
      <c r="CK201" s="407"/>
      <c r="CL201" s="407"/>
      <c r="CM201" s="407"/>
      <c r="CN201" s="407"/>
      <c r="CO201" s="407">
        <v>-2508.2625600000024</v>
      </c>
      <c r="CP201" s="407">
        <v>13099.23432</v>
      </c>
      <c r="CQ201" s="407">
        <v>31</v>
      </c>
      <c r="CR201" s="407">
        <v>10589.464518125096</v>
      </c>
      <c r="CS201" s="407">
        <v>0</v>
      </c>
      <c r="CT201" s="407">
        <v>0</v>
      </c>
      <c r="CU201" s="407">
        <v>0</v>
      </c>
      <c r="CV201" s="407">
        <v>0</v>
      </c>
      <c r="CW201" s="407">
        <v>0</v>
      </c>
      <c r="CX201" s="407">
        <v>0</v>
      </c>
      <c r="CY201" s="407">
        <v>0</v>
      </c>
      <c r="CZ201" s="407">
        <v>0</v>
      </c>
      <c r="DA201" s="407">
        <v>0</v>
      </c>
      <c r="DB201" s="407">
        <v>0</v>
      </c>
      <c r="DC201" s="407">
        <v>14582.154503264319</v>
      </c>
      <c r="DD201" s="407">
        <v>0</v>
      </c>
      <c r="DE201" s="407">
        <v>0</v>
      </c>
      <c r="DF201" s="407">
        <v>0</v>
      </c>
      <c r="DG201" s="407">
        <v>490.69051462274774</v>
      </c>
      <c r="DH201" s="407">
        <v>0</v>
      </c>
      <c r="DI201" s="407">
        <v>-1800.7280360201075</v>
      </c>
      <c r="DJ201" s="407"/>
      <c r="DK201" s="407">
        <v>0</v>
      </c>
      <c r="DL201" s="407">
        <v>0</v>
      </c>
      <c r="DM201" s="407">
        <v>0</v>
      </c>
      <c r="DN201" s="407">
        <v>0</v>
      </c>
      <c r="DO201" s="407">
        <v>-278.60231800977999</v>
      </c>
      <c r="DP201" s="407">
        <v>-32.624436565257554</v>
      </c>
      <c r="DQ201" s="407">
        <v>0</v>
      </c>
      <c r="DR201" s="407">
        <v>-2371.4257091668596</v>
      </c>
      <c r="DS201" s="407"/>
      <c r="DT201" s="407"/>
      <c r="DU201" s="407"/>
      <c r="DV201" s="407">
        <v>0</v>
      </c>
      <c r="DW201" s="407">
        <v>0</v>
      </c>
      <c r="DX201" s="407">
        <v>0</v>
      </c>
      <c r="DY201" s="407">
        <v>-2508.2625600000028</v>
      </c>
      <c r="DZ201" s="407">
        <v>13099.234320000003</v>
      </c>
      <c r="EA201" s="407">
        <v>0</v>
      </c>
      <c r="EB201" s="407">
        <v>0</v>
      </c>
      <c r="EC201" s="407">
        <v>0</v>
      </c>
      <c r="ED201" s="407">
        <v>0</v>
      </c>
      <c r="EE201" s="407">
        <v>0</v>
      </c>
      <c r="EF201" s="407">
        <v>0</v>
      </c>
      <c r="EG201" s="407">
        <v>0</v>
      </c>
      <c r="EH201" s="407">
        <v>0</v>
      </c>
      <c r="EI201" s="407">
        <v>0</v>
      </c>
      <c r="EJ201" s="407">
        <v>0</v>
      </c>
      <c r="EK201" s="407">
        <v>0</v>
      </c>
      <c r="EL201" s="407">
        <v>0</v>
      </c>
      <c r="EM201" s="407">
        <v>0</v>
      </c>
      <c r="EN201" s="407">
        <v>0</v>
      </c>
      <c r="EO201" s="407">
        <v>0</v>
      </c>
      <c r="EP201" s="407">
        <v>12178.021847924483</v>
      </c>
      <c r="EQ201" s="407">
        <v>0</v>
      </c>
      <c r="ER201" s="407">
        <v>0</v>
      </c>
      <c r="ES201" s="407">
        <v>0</v>
      </c>
      <c r="ET201" s="407">
        <v>0</v>
      </c>
      <c r="EU201" s="407">
        <v>0</v>
      </c>
      <c r="EV201" s="407">
        <v>246</v>
      </c>
      <c r="EW201" s="407">
        <v>0</v>
      </c>
      <c r="EX201" s="407">
        <v>0</v>
      </c>
      <c r="EY201" s="407">
        <v>0</v>
      </c>
      <c r="EZ201" s="407"/>
      <c r="FA201" s="407">
        <v>0</v>
      </c>
      <c r="FB201" s="407"/>
      <c r="FC201" s="407"/>
      <c r="FD201" s="407"/>
      <c r="FE201" s="407"/>
      <c r="FF201" s="407">
        <v>0</v>
      </c>
      <c r="FG201" s="407">
        <v>0</v>
      </c>
      <c r="FH201" s="407">
        <v>0</v>
      </c>
      <c r="FI201" s="407">
        <v>0</v>
      </c>
    </row>
    <row r="202" spans="1:165">
      <c r="A202" s="407">
        <v>213</v>
      </c>
      <c r="B202" s="407" t="s">
        <v>1090</v>
      </c>
      <c r="C202" s="407" t="s">
        <v>2314</v>
      </c>
      <c r="D202" s="407" t="s">
        <v>650</v>
      </c>
      <c r="E202" s="407" t="s">
        <v>1022</v>
      </c>
      <c r="F202" s="407" t="s">
        <v>97</v>
      </c>
      <c r="G202" s="407" t="s">
        <v>97</v>
      </c>
      <c r="H202" s="407" t="s">
        <v>97</v>
      </c>
      <c r="I202" s="407" t="s">
        <v>97</v>
      </c>
      <c r="J202" s="407" t="s">
        <v>2307</v>
      </c>
      <c r="K202" s="818">
        <v>44470</v>
      </c>
      <c r="L202" s="407">
        <v>2114</v>
      </c>
      <c r="M202" s="407">
        <v>2114</v>
      </c>
      <c r="N202" s="407">
        <v>0</v>
      </c>
      <c r="O202" s="407">
        <v>0</v>
      </c>
      <c r="P202" s="407">
        <v>0</v>
      </c>
      <c r="Q202" s="407">
        <v>0</v>
      </c>
      <c r="R202" s="407">
        <v>43.29</v>
      </c>
      <c r="S202" s="407"/>
      <c r="T202" s="407"/>
      <c r="U202" s="407">
        <v>91515.06</v>
      </c>
      <c r="V202" s="407"/>
      <c r="W202" s="407">
        <v>91515.06</v>
      </c>
      <c r="X202" s="407">
        <v>70797.86</v>
      </c>
      <c r="Y202" s="407">
        <v>0</v>
      </c>
      <c r="Z202" s="407">
        <v>0</v>
      </c>
      <c r="AA202" s="407">
        <v>0</v>
      </c>
      <c r="AB202" s="407">
        <v>0</v>
      </c>
      <c r="AC202" s="407">
        <v>0</v>
      </c>
      <c r="AD202" s="407">
        <v>50025.668852937932</v>
      </c>
      <c r="AE202" s="407">
        <v>41496.10153864156</v>
      </c>
      <c r="AF202" s="407"/>
      <c r="AG202" s="407"/>
      <c r="AH202" s="407"/>
      <c r="AI202" s="407">
        <v>0</v>
      </c>
      <c r="AJ202" s="407">
        <v>0</v>
      </c>
      <c r="AK202" s="407">
        <v>0</v>
      </c>
      <c r="AL202" s="407">
        <v>0</v>
      </c>
      <c r="AM202" s="407"/>
      <c r="AN202" s="407">
        <v>0</v>
      </c>
      <c r="AO202" s="407">
        <v>0</v>
      </c>
      <c r="AP202" s="407">
        <v>0</v>
      </c>
      <c r="AQ202" s="407">
        <v>0</v>
      </c>
      <c r="AR202" s="407">
        <v>0</v>
      </c>
      <c r="AS202" s="407"/>
      <c r="AT202" s="407"/>
      <c r="AU202" s="407">
        <v>0</v>
      </c>
      <c r="AV202" s="407">
        <v>0</v>
      </c>
      <c r="AW202" s="407">
        <v>0</v>
      </c>
      <c r="AX202" s="407"/>
      <c r="AY202" s="407"/>
      <c r="AZ202" s="407">
        <v>0</v>
      </c>
      <c r="BA202" s="407"/>
      <c r="BB202" s="407">
        <v>0</v>
      </c>
      <c r="BC202" s="407">
        <v>0</v>
      </c>
      <c r="BD202" s="407">
        <v>0</v>
      </c>
      <c r="BE202" s="407">
        <v>0</v>
      </c>
      <c r="BF202" s="407"/>
      <c r="BG202" s="407">
        <v>0</v>
      </c>
      <c r="BH202" s="407">
        <v>0</v>
      </c>
      <c r="BI202" s="407">
        <v>1707.51</v>
      </c>
      <c r="BJ202" s="407">
        <v>7461.44</v>
      </c>
      <c r="BK202" s="407">
        <v>64079.3</v>
      </c>
      <c r="BL202" s="407">
        <v>13</v>
      </c>
      <c r="BM202" s="407"/>
      <c r="BN202" s="407"/>
      <c r="BO202" s="407"/>
      <c r="BP202" s="407"/>
      <c r="BQ202" s="407"/>
      <c r="BR202" s="407"/>
      <c r="BS202" s="407"/>
      <c r="BT202" s="407"/>
      <c r="BU202" s="407"/>
      <c r="BV202" s="407">
        <v>0</v>
      </c>
      <c r="BW202" s="407"/>
      <c r="BX202" s="407"/>
      <c r="BY202" s="407"/>
      <c r="BZ202" s="407"/>
      <c r="CA202" s="407"/>
      <c r="CB202" s="407"/>
      <c r="CC202" s="407"/>
      <c r="CD202" s="407"/>
      <c r="CE202" s="407"/>
      <c r="CF202" s="407"/>
      <c r="CG202" s="407"/>
      <c r="CH202" s="407"/>
      <c r="CI202" s="407">
        <v>70797.86</v>
      </c>
      <c r="CJ202" s="407">
        <v>-20717.229999999981</v>
      </c>
      <c r="CK202" s="407"/>
      <c r="CL202" s="407"/>
      <c r="CM202" s="407"/>
      <c r="CN202" s="407"/>
      <c r="CO202" s="407">
        <v>-20717.199999999993</v>
      </c>
      <c r="CP202" s="407">
        <v>0</v>
      </c>
      <c r="CQ202" s="407">
        <v>31</v>
      </c>
      <c r="CR202" s="407">
        <v>472.81754698379518</v>
      </c>
      <c r="CS202" s="407">
        <v>0</v>
      </c>
      <c r="CT202" s="407">
        <v>0</v>
      </c>
      <c r="CU202" s="407">
        <v>0</v>
      </c>
      <c r="CV202" s="407">
        <v>0</v>
      </c>
      <c r="CW202" s="407"/>
      <c r="CX202" s="407"/>
      <c r="CY202" s="407"/>
      <c r="CZ202" s="407">
        <v>2259.7586534853108</v>
      </c>
      <c r="DA202" s="407">
        <v>0</v>
      </c>
      <c r="DB202" s="407">
        <v>0</v>
      </c>
      <c r="DC202" s="407"/>
      <c r="DD202" s="407"/>
      <c r="DE202" s="407">
        <v>0</v>
      </c>
      <c r="DF202" s="407">
        <v>0</v>
      </c>
      <c r="DG202" s="407">
        <v>0</v>
      </c>
      <c r="DH202" s="407">
        <v>0</v>
      </c>
      <c r="DI202" s="407">
        <v>0</v>
      </c>
      <c r="DJ202" s="407"/>
      <c r="DK202" s="407">
        <v>0</v>
      </c>
      <c r="DL202" s="407">
        <v>0</v>
      </c>
      <c r="DM202" s="407"/>
      <c r="DN202" s="407">
        <v>0</v>
      </c>
      <c r="DO202" s="407">
        <v>0</v>
      </c>
      <c r="DP202" s="407">
        <v>0</v>
      </c>
      <c r="DQ202" s="407">
        <v>0</v>
      </c>
      <c r="DR202" s="407">
        <v>-1786.9411065015136</v>
      </c>
      <c r="DS202" s="407"/>
      <c r="DT202" s="407"/>
      <c r="DU202" s="407">
        <v>41496.10153864156</v>
      </c>
      <c r="DV202" s="407"/>
      <c r="DW202" s="407">
        <v>0</v>
      </c>
      <c r="DX202" s="407">
        <v>0</v>
      </c>
      <c r="DY202" s="407">
        <v>-20717.199999999997</v>
      </c>
      <c r="DZ202" s="407"/>
      <c r="EA202" s="407">
        <v>0</v>
      </c>
      <c r="EB202" s="407"/>
      <c r="EC202" s="407">
        <v>-21196.305045752724</v>
      </c>
      <c r="ED202" s="407"/>
      <c r="EE202" s="407">
        <v>0</v>
      </c>
      <c r="EF202" s="407">
        <v>0</v>
      </c>
      <c r="EG202" s="407"/>
      <c r="EH202" s="407">
        <v>0</v>
      </c>
      <c r="EI202" s="407">
        <v>0</v>
      </c>
      <c r="EJ202" s="407">
        <v>0</v>
      </c>
      <c r="EK202" s="407">
        <v>0</v>
      </c>
      <c r="EL202" s="407">
        <v>0</v>
      </c>
      <c r="EM202" s="407"/>
      <c r="EN202" s="407"/>
      <c r="EO202" s="407">
        <v>0</v>
      </c>
      <c r="EP202" s="407">
        <v>0</v>
      </c>
      <c r="EQ202" s="407"/>
      <c r="ER202" s="407">
        <v>0</v>
      </c>
      <c r="ES202" s="407"/>
      <c r="ET202" s="407">
        <v>0</v>
      </c>
      <c r="EU202" s="407"/>
      <c r="EV202" s="407">
        <v>246</v>
      </c>
      <c r="EW202" s="407"/>
      <c r="EX202" s="407"/>
      <c r="EY202" s="407"/>
      <c r="EZ202" s="407"/>
      <c r="FA202" s="407">
        <v>0</v>
      </c>
      <c r="FB202" s="407"/>
      <c r="FC202" s="407"/>
      <c r="FD202" s="407"/>
      <c r="FE202" s="407"/>
      <c r="FF202" s="407">
        <v>0</v>
      </c>
      <c r="FG202" s="407">
        <v>0</v>
      </c>
      <c r="FH202" s="407">
        <v>0</v>
      </c>
      <c r="FI202" s="407">
        <v>0</v>
      </c>
    </row>
    <row r="203" spans="1:165">
      <c r="A203" s="407">
        <v>214</v>
      </c>
      <c r="B203" s="407" t="s">
        <v>1090</v>
      </c>
      <c r="C203" s="407" t="s">
        <v>2306</v>
      </c>
      <c r="D203" s="407" t="s">
        <v>1219</v>
      </c>
      <c r="E203" s="407" t="s">
        <v>1049</v>
      </c>
      <c r="F203" s="407" t="s">
        <v>97</v>
      </c>
      <c r="G203" s="407" t="s">
        <v>97</v>
      </c>
      <c r="H203" s="407" t="s">
        <v>97</v>
      </c>
      <c r="I203" s="407" t="s">
        <v>97</v>
      </c>
      <c r="J203" s="407" t="s">
        <v>2307</v>
      </c>
      <c r="K203" s="818">
        <v>44470</v>
      </c>
      <c r="L203" s="407">
        <v>0</v>
      </c>
      <c r="M203" s="407">
        <v>0</v>
      </c>
      <c r="N203" s="407">
        <v>580.88599999999997</v>
      </c>
      <c r="O203" s="407">
        <v>580.88599999999997</v>
      </c>
      <c r="P203" s="407">
        <v>580.88599999999997</v>
      </c>
      <c r="Q203" s="407">
        <v>580.88599999999997</v>
      </c>
      <c r="R203" s="407"/>
      <c r="S203" s="407">
        <v>648.44000000000005</v>
      </c>
      <c r="T203" s="407">
        <v>159.41</v>
      </c>
      <c r="U203" s="407"/>
      <c r="V203" s="407">
        <v>469268.75510000001</v>
      </c>
      <c r="W203" s="407">
        <v>469268.75510000001</v>
      </c>
      <c r="X203" s="407">
        <v>355397.67251999996</v>
      </c>
      <c r="Y203" s="407">
        <v>0</v>
      </c>
      <c r="Z203" s="407">
        <v>35997.651007462075</v>
      </c>
      <c r="AA203" s="407">
        <v>0</v>
      </c>
      <c r="AB203" s="407">
        <v>0</v>
      </c>
      <c r="AC203" s="407">
        <v>0</v>
      </c>
      <c r="AD203" s="407">
        <v>67757.114164535029</v>
      </c>
      <c r="AE203" s="407">
        <v>242546.62040434201</v>
      </c>
      <c r="AF203" s="407">
        <v>89590.46410861102</v>
      </c>
      <c r="AG203" s="407">
        <v>3010.0044261571779</v>
      </c>
      <c r="AH203" s="407">
        <v>0</v>
      </c>
      <c r="AI203" s="407">
        <v>0</v>
      </c>
      <c r="AJ203" s="407">
        <v>0</v>
      </c>
      <c r="AK203" s="407">
        <v>0</v>
      </c>
      <c r="AL203" s="407">
        <v>5562.596488471193</v>
      </c>
      <c r="AM203" s="407"/>
      <c r="AN203" s="407">
        <v>1205.3940062149125</v>
      </c>
      <c r="AO203" s="407">
        <v>0</v>
      </c>
      <c r="AP203" s="407">
        <v>0</v>
      </c>
      <c r="AQ203" s="407">
        <v>0</v>
      </c>
      <c r="AR203" s="407">
        <v>0</v>
      </c>
      <c r="AS203" s="407">
        <v>0</v>
      </c>
      <c r="AT203" s="407">
        <v>0</v>
      </c>
      <c r="AU203" s="407">
        <v>0</v>
      </c>
      <c r="AV203" s="407">
        <v>0</v>
      </c>
      <c r="AW203" s="407">
        <v>0</v>
      </c>
      <c r="AX203" s="407">
        <v>0</v>
      </c>
      <c r="AY203" s="407">
        <v>0</v>
      </c>
      <c r="AZ203" s="407">
        <v>0</v>
      </c>
      <c r="BA203" s="407"/>
      <c r="BB203" s="407">
        <v>0</v>
      </c>
      <c r="BC203" s="407">
        <v>0</v>
      </c>
      <c r="BD203" s="407">
        <v>0</v>
      </c>
      <c r="BE203" s="407">
        <v>0</v>
      </c>
      <c r="BF203" s="407">
        <v>0</v>
      </c>
      <c r="BG203" s="407">
        <v>6548.7768427535684</v>
      </c>
      <c r="BH203" s="407">
        <v>0</v>
      </c>
      <c r="BI203" s="407">
        <v>2975.83</v>
      </c>
      <c r="BJ203" s="407">
        <v>13031.49</v>
      </c>
      <c r="BK203" s="407">
        <v>194513.69</v>
      </c>
      <c r="BL203" s="407">
        <v>1435</v>
      </c>
      <c r="BM203" s="407"/>
      <c r="BN203" s="407"/>
      <c r="BO203" s="407"/>
      <c r="BP203" s="407"/>
      <c r="BQ203" s="407"/>
      <c r="BR203" s="407"/>
      <c r="BS203" s="407"/>
      <c r="BT203" s="407"/>
      <c r="BU203" s="407"/>
      <c r="BV203" s="407">
        <v>96139.240951364583</v>
      </c>
      <c r="BW203" s="407"/>
      <c r="BX203" s="407"/>
      <c r="BY203" s="407"/>
      <c r="BZ203" s="407"/>
      <c r="CA203" s="407"/>
      <c r="CB203" s="407"/>
      <c r="CC203" s="407"/>
      <c r="CD203" s="407"/>
      <c r="CE203" s="407"/>
      <c r="CF203" s="407"/>
      <c r="CG203" s="407"/>
      <c r="CH203" s="407"/>
      <c r="CI203" s="407">
        <v>355400.11979999999</v>
      </c>
      <c r="CJ203" s="407">
        <v>-113868.66530000005</v>
      </c>
      <c r="CK203" s="407"/>
      <c r="CL203" s="407"/>
      <c r="CM203" s="407"/>
      <c r="CN203" s="407"/>
      <c r="CO203" s="407">
        <v>-129828.02100000002</v>
      </c>
      <c r="CP203" s="407">
        <v>15956.938419999999</v>
      </c>
      <c r="CQ203" s="407">
        <v>31</v>
      </c>
      <c r="CR203" s="407">
        <v>10022.617509043688</v>
      </c>
      <c r="CS203" s="407">
        <v>0</v>
      </c>
      <c r="CT203" s="407">
        <v>0</v>
      </c>
      <c r="CU203" s="407">
        <v>0</v>
      </c>
      <c r="CV203" s="407">
        <v>0</v>
      </c>
      <c r="CW203" s="407">
        <v>0</v>
      </c>
      <c r="CX203" s="407">
        <v>0</v>
      </c>
      <c r="CY203" s="407">
        <v>0</v>
      </c>
      <c r="CZ203" s="407">
        <v>3060.7231962979276</v>
      </c>
      <c r="DA203" s="407">
        <v>0</v>
      </c>
      <c r="DB203" s="407">
        <v>0</v>
      </c>
      <c r="DC203" s="407">
        <v>17763.369656213195</v>
      </c>
      <c r="DD203" s="407">
        <v>0</v>
      </c>
      <c r="DE203" s="407">
        <v>0</v>
      </c>
      <c r="DF203" s="407">
        <v>0</v>
      </c>
      <c r="DG203" s="407">
        <v>1298.4455992197509</v>
      </c>
      <c r="DH203" s="407">
        <v>0</v>
      </c>
      <c r="DI203" s="407">
        <v>-2521.3464908068636</v>
      </c>
      <c r="DJ203" s="407"/>
      <c r="DK203" s="407">
        <v>0</v>
      </c>
      <c r="DL203" s="407">
        <v>0</v>
      </c>
      <c r="DM203" s="407">
        <v>0</v>
      </c>
      <c r="DN203" s="407">
        <v>0</v>
      </c>
      <c r="DO203" s="407">
        <v>-339.38167098543181</v>
      </c>
      <c r="DP203" s="407">
        <v>-76.804796010234213</v>
      </c>
      <c r="DQ203" s="407">
        <v>0</v>
      </c>
      <c r="DR203" s="407">
        <v>-9162.3879848846045</v>
      </c>
      <c r="DS203" s="407"/>
      <c r="DT203" s="407"/>
      <c r="DU203" s="407"/>
      <c r="DV203" s="407">
        <v>242546.62040434201</v>
      </c>
      <c r="DW203" s="407">
        <v>0</v>
      </c>
      <c r="DX203" s="407">
        <v>0</v>
      </c>
      <c r="DY203" s="407">
        <v>-129828.02100000001</v>
      </c>
      <c r="DZ203" s="407">
        <v>15956.938419999991</v>
      </c>
      <c r="EA203" s="407">
        <v>0</v>
      </c>
      <c r="EB203" s="407">
        <v>0</v>
      </c>
      <c r="EC203" s="407">
        <v>-123893.37704698318</v>
      </c>
      <c r="ED203" s="407">
        <v>0</v>
      </c>
      <c r="EE203" s="407">
        <v>0</v>
      </c>
      <c r="EF203" s="407">
        <v>0</v>
      </c>
      <c r="EG203" s="407">
        <v>0</v>
      </c>
      <c r="EH203" s="407">
        <v>0</v>
      </c>
      <c r="EI203" s="407">
        <v>0</v>
      </c>
      <c r="EJ203" s="407">
        <v>0</v>
      </c>
      <c r="EK203" s="407">
        <v>0</v>
      </c>
      <c r="EL203" s="407">
        <v>0</v>
      </c>
      <c r="EM203" s="407">
        <v>0</v>
      </c>
      <c r="EN203" s="407">
        <v>0</v>
      </c>
      <c r="EO203" s="407">
        <v>0</v>
      </c>
      <c r="EP203" s="407">
        <v>17051.443658919619</v>
      </c>
      <c r="EQ203" s="407">
        <v>0</v>
      </c>
      <c r="ER203" s="407">
        <v>0</v>
      </c>
      <c r="ES203" s="407">
        <v>0</v>
      </c>
      <c r="ET203" s="407">
        <v>0</v>
      </c>
      <c r="EU203" s="407">
        <v>0</v>
      </c>
      <c r="EV203" s="407">
        <v>246</v>
      </c>
      <c r="EW203" s="407">
        <v>0</v>
      </c>
      <c r="EX203" s="407">
        <v>0</v>
      </c>
      <c r="EY203" s="407">
        <v>0</v>
      </c>
      <c r="EZ203" s="407"/>
      <c r="FA203" s="407">
        <v>0</v>
      </c>
      <c r="FB203" s="407"/>
      <c r="FC203" s="407"/>
      <c r="FD203" s="407"/>
      <c r="FE203" s="407"/>
      <c r="FF203" s="407">
        <v>0</v>
      </c>
      <c r="FG203" s="407">
        <v>0</v>
      </c>
      <c r="FH203" s="407">
        <v>0</v>
      </c>
      <c r="FI203" s="407">
        <v>0</v>
      </c>
    </row>
    <row r="204" spans="1:165">
      <c r="A204" s="407">
        <v>215</v>
      </c>
      <c r="B204" s="407" t="s">
        <v>2309</v>
      </c>
      <c r="C204" s="407" t="s">
        <v>2306</v>
      </c>
      <c r="D204" s="407" t="s">
        <v>1219</v>
      </c>
      <c r="E204" s="407" t="s">
        <v>1049</v>
      </c>
      <c r="F204" s="407" t="s">
        <v>97</v>
      </c>
      <c r="G204" s="407" t="s">
        <v>97</v>
      </c>
      <c r="H204" s="407" t="s">
        <v>97</v>
      </c>
      <c r="I204" s="407" t="s">
        <v>97</v>
      </c>
      <c r="J204" s="407" t="s">
        <v>2307</v>
      </c>
      <c r="K204" s="818">
        <v>44470</v>
      </c>
      <c r="L204" s="407">
        <v>0</v>
      </c>
      <c r="M204" s="407">
        <v>0</v>
      </c>
      <c r="N204" s="407">
        <v>59.186</v>
      </c>
      <c r="O204" s="407">
        <v>59.186</v>
      </c>
      <c r="P204" s="407">
        <v>59.186</v>
      </c>
      <c r="Q204" s="407">
        <v>59.186</v>
      </c>
      <c r="R204" s="407"/>
      <c r="S204" s="407">
        <v>648.44000000000005</v>
      </c>
      <c r="T204" s="407">
        <v>159.41</v>
      </c>
      <c r="U204" s="407"/>
      <c r="V204" s="407">
        <v>47813.410100000001</v>
      </c>
      <c r="W204" s="407">
        <v>47813.410100000001</v>
      </c>
      <c r="X204" s="407">
        <v>36211.178520000001</v>
      </c>
      <c r="Y204" s="407">
        <v>0</v>
      </c>
      <c r="Z204" s="407">
        <v>3667.7712537875768</v>
      </c>
      <c r="AA204" s="407">
        <v>0</v>
      </c>
      <c r="AB204" s="407">
        <v>0</v>
      </c>
      <c r="AC204" s="407">
        <v>0</v>
      </c>
      <c r="AD204" s="407">
        <v>6903.7170097784601</v>
      </c>
      <c r="AE204" s="407">
        <v>24712.87701072394</v>
      </c>
      <c r="AF204" s="407">
        <v>9128.2991993820688</v>
      </c>
      <c r="AG204" s="407">
        <v>306.68689203482052</v>
      </c>
      <c r="AH204" s="407">
        <v>0</v>
      </c>
      <c r="AI204" s="407">
        <v>0</v>
      </c>
      <c r="AJ204" s="407">
        <v>0</v>
      </c>
      <c r="AK204" s="407">
        <v>0</v>
      </c>
      <c r="AL204" s="407">
        <v>566.76841198902378</v>
      </c>
      <c r="AM204" s="407"/>
      <c r="AN204" s="407">
        <v>122.81661057735221</v>
      </c>
      <c r="AO204" s="407">
        <v>0</v>
      </c>
      <c r="AP204" s="407">
        <v>0</v>
      </c>
      <c r="AQ204" s="407">
        <v>0</v>
      </c>
      <c r="AR204" s="407">
        <v>0</v>
      </c>
      <c r="AS204" s="407">
        <v>0</v>
      </c>
      <c r="AT204" s="407">
        <v>0</v>
      </c>
      <c r="AU204" s="407">
        <v>0</v>
      </c>
      <c r="AV204" s="407">
        <v>0</v>
      </c>
      <c r="AW204" s="407">
        <v>0</v>
      </c>
      <c r="AX204" s="407">
        <v>0</v>
      </c>
      <c r="AY204" s="407">
        <v>0</v>
      </c>
      <c r="AZ204" s="407">
        <v>0</v>
      </c>
      <c r="BA204" s="407"/>
      <c r="BB204" s="407">
        <v>0</v>
      </c>
      <c r="BC204" s="407">
        <v>0</v>
      </c>
      <c r="BD204" s="407">
        <v>0</v>
      </c>
      <c r="BE204" s="407">
        <v>0</v>
      </c>
      <c r="BF204" s="407">
        <v>0</v>
      </c>
      <c r="BG204" s="407">
        <v>667.24952265197089</v>
      </c>
      <c r="BH204" s="407">
        <v>0</v>
      </c>
      <c r="BI204" s="407">
        <v>304.74</v>
      </c>
      <c r="BJ204" s="407">
        <v>1333.44</v>
      </c>
      <c r="BK204" s="407">
        <v>36846.949999999997</v>
      </c>
      <c r="BL204" s="407">
        <v>114</v>
      </c>
      <c r="BM204" s="407"/>
      <c r="BN204" s="407"/>
      <c r="BO204" s="407"/>
      <c r="BP204" s="407"/>
      <c r="BQ204" s="407"/>
      <c r="BR204" s="407"/>
      <c r="BS204" s="407"/>
      <c r="BT204" s="407"/>
      <c r="BU204" s="407"/>
      <c r="BV204" s="407">
        <v>9795.5487220340401</v>
      </c>
      <c r="BW204" s="407"/>
      <c r="BX204" s="407"/>
      <c r="BY204" s="407"/>
      <c r="BZ204" s="407"/>
      <c r="CA204" s="407"/>
      <c r="CB204" s="407"/>
      <c r="CC204" s="407"/>
      <c r="CD204" s="407"/>
      <c r="CE204" s="407"/>
      <c r="CF204" s="407"/>
      <c r="CG204" s="407"/>
      <c r="CH204" s="407"/>
      <c r="CI204" s="407">
        <v>36213.625800000002</v>
      </c>
      <c r="CJ204" s="407">
        <v>-11599.814300000005</v>
      </c>
      <c r="CK204" s="407"/>
      <c r="CL204" s="407"/>
      <c r="CM204" s="407"/>
      <c r="CN204" s="407"/>
      <c r="CO204" s="407">
        <v>-13228.071000000004</v>
      </c>
      <c r="CP204" s="407">
        <v>1625.83942</v>
      </c>
      <c r="CQ204" s="407">
        <v>31</v>
      </c>
      <c r="CR204" s="407">
        <v>1021.1963102747541</v>
      </c>
      <c r="CS204" s="407">
        <v>0</v>
      </c>
      <c r="CT204" s="407">
        <v>0</v>
      </c>
      <c r="CU204" s="407">
        <v>0</v>
      </c>
      <c r="CV204" s="407">
        <v>0</v>
      </c>
      <c r="CW204" s="407">
        <v>0</v>
      </c>
      <c r="CX204" s="407">
        <v>0</v>
      </c>
      <c r="CY204" s="407">
        <v>0</v>
      </c>
      <c r="CZ204" s="407">
        <v>311.85458609105535</v>
      </c>
      <c r="DA204" s="407">
        <v>0</v>
      </c>
      <c r="DB204" s="407">
        <v>0</v>
      </c>
      <c r="DC204" s="407">
        <v>1809.8952229398437</v>
      </c>
      <c r="DD204" s="407">
        <v>0</v>
      </c>
      <c r="DE204" s="407">
        <v>0</v>
      </c>
      <c r="DF204" s="407">
        <v>0</v>
      </c>
      <c r="DG204" s="407">
        <v>132.29756137248978</v>
      </c>
      <c r="DH204" s="407">
        <v>0</v>
      </c>
      <c r="DI204" s="407">
        <v>-256.89793419861144</v>
      </c>
      <c r="DJ204" s="407"/>
      <c r="DK204" s="407">
        <v>0</v>
      </c>
      <c r="DL204" s="407">
        <v>0</v>
      </c>
      <c r="DM204" s="407">
        <v>0</v>
      </c>
      <c r="DN204" s="407">
        <v>0</v>
      </c>
      <c r="DO204" s="407">
        <v>-34.579321207506723</v>
      </c>
      <c r="DP204" s="407">
        <v>-7.8255779217638661</v>
      </c>
      <c r="DQ204" s="407">
        <v>0</v>
      </c>
      <c r="DR204" s="407">
        <v>-933.54822680074949</v>
      </c>
      <c r="DS204" s="407"/>
      <c r="DT204" s="407"/>
      <c r="DU204" s="407"/>
      <c r="DV204" s="407">
        <v>24712.87701072394</v>
      </c>
      <c r="DW204" s="407">
        <v>0</v>
      </c>
      <c r="DX204" s="407">
        <v>0</v>
      </c>
      <c r="DY204" s="407">
        <v>-13228.071000000004</v>
      </c>
      <c r="DZ204" s="407">
        <v>1625.8394200000002</v>
      </c>
      <c r="EA204" s="407">
        <v>0</v>
      </c>
      <c r="EB204" s="407">
        <v>0</v>
      </c>
      <c r="EC204" s="407">
        <v>-12623.394975783107</v>
      </c>
      <c r="ED204" s="407">
        <v>0</v>
      </c>
      <c r="EE204" s="407">
        <v>0</v>
      </c>
      <c r="EF204" s="407">
        <v>0</v>
      </c>
      <c r="EG204" s="407">
        <v>0</v>
      </c>
      <c r="EH204" s="407">
        <v>0</v>
      </c>
      <c r="EI204" s="407">
        <v>0</v>
      </c>
      <c r="EJ204" s="407">
        <v>0</v>
      </c>
      <c r="EK204" s="407">
        <v>0</v>
      </c>
      <c r="EL204" s="407">
        <v>0</v>
      </c>
      <c r="EM204" s="407">
        <v>0</v>
      </c>
      <c r="EN204" s="407">
        <v>0</v>
      </c>
      <c r="EO204" s="407">
        <v>0</v>
      </c>
      <c r="EP204" s="407">
        <v>1737.3576646653848</v>
      </c>
      <c r="EQ204" s="407">
        <v>0</v>
      </c>
      <c r="ER204" s="407">
        <v>0</v>
      </c>
      <c r="ES204" s="407">
        <v>0</v>
      </c>
      <c r="ET204" s="407">
        <v>0</v>
      </c>
      <c r="EU204" s="407">
        <v>0</v>
      </c>
      <c r="EV204" s="407">
        <v>246</v>
      </c>
      <c r="EW204" s="407">
        <v>0</v>
      </c>
      <c r="EX204" s="407">
        <v>0</v>
      </c>
      <c r="EY204" s="407">
        <v>0</v>
      </c>
      <c r="EZ204" s="407"/>
      <c r="FA204" s="407">
        <v>0</v>
      </c>
      <c r="FB204" s="407"/>
      <c r="FC204" s="407"/>
      <c r="FD204" s="407"/>
      <c r="FE204" s="407"/>
      <c r="FF204" s="407">
        <v>0</v>
      </c>
      <c r="FG204" s="407">
        <v>0</v>
      </c>
      <c r="FH204" s="407">
        <v>0</v>
      </c>
      <c r="FI204" s="407">
        <v>0</v>
      </c>
    </row>
    <row r="205" spans="1:165">
      <c r="A205" s="407">
        <v>216</v>
      </c>
      <c r="B205" s="407" t="s">
        <v>1090</v>
      </c>
      <c r="C205" s="407" t="s">
        <v>2314</v>
      </c>
      <c r="D205" s="407" t="s">
        <v>650</v>
      </c>
      <c r="E205" s="407" t="s">
        <v>1049</v>
      </c>
      <c r="F205" s="407" t="s">
        <v>97</v>
      </c>
      <c r="G205" s="407" t="s">
        <v>97</v>
      </c>
      <c r="H205" s="407" t="s">
        <v>97</v>
      </c>
      <c r="I205" s="407" t="s">
        <v>1025</v>
      </c>
      <c r="J205" s="407" t="s">
        <v>2307</v>
      </c>
      <c r="K205" s="818">
        <v>44470</v>
      </c>
      <c r="L205" s="407">
        <v>0</v>
      </c>
      <c r="M205" s="407">
        <v>0</v>
      </c>
      <c r="N205" s="407">
        <v>9.3119999999999994</v>
      </c>
      <c r="O205" s="407">
        <v>9.3119999999999994</v>
      </c>
      <c r="P205" s="407">
        <v>9.3119999999999994</v>
      </c>
      <c r="Q205" s="407">
        <v>9.3119999999999994</v>
      </c>
      <c r="R205" s="407"/>
      <c r="S205" s="407">
        <v>2810.7</v>
      </c>
      <c r="T205" s="407">
        <v>159.41</v>
      </c>
      <c r="U205" s="407"/>
      <c r="V205" s="407">
        <v>27657.66432</v>
      </c>
      <c r="W205" s="407">
        <v>27657.66432</v>
      </c>
      <c r="X205" s="407">
        <v>17615.417279999998</v>
      </c>
      <c r="Y205" s="407">
        <v>0</v>
      </c>
      <c r="Z205" s="407">
        <v>502.04826726396118</v>
      </c>
      <c r="AA205" s="407">
        <v>0</v>
      </c>
      <c r="AB205" s="407">
        <v>0</v>
      </c>
      <c r="AC205" s="407">
        <v>0</v>
      </c>
      <c r="AD205" s="407">
        <v>5685.1212056167915</v>
      </c>
      <c r="AE205" s="407">
        <v>19600.725474894738</v>
      </c>
      <c r="AF205" s="407">
        <v>1436.1964340324707</v>
      </c>
      <c r="AG205" s="407">
        <v>48.252430281286934</v>
      </c>
      <c r="AH205" s="407">
        <v>0</v>
      </c>
      <c r="AI205" s="407">
        <v>0</v>
      </c>
      <c r="AJ205" s="407">
        <v>0</v>
      </c>
      <c r="AK205" s="407">
        <v>0</v>
      </c>
      <c r="AL205" s="407">
        <v>89.172227426110709</v>
      </c>
      <c r="AM205" s="407"/>
      <c r="AN205" s="407">
        <v>9.9986052700470065</v>
      </c>
      <c r="AO205" s="407">
        <v>0</v>
      </c>
      <c r="AP205" s="407">
        <v>0</v>
      </c>
      <c r="AQ205" s="407">
        <v>0</v>
      </c>
      <c r="AR205" s="407">
        <v>0</v>
      </c>
      <c r="AS205" s="407">
        <v>0</v>
      </c>
      <c r="AT205" s="407">
        <v>0</v>
      </c>
      <c r="AU205" s="407">
        <v>0</v>
      </c>
      <c r="AV205" s="407">
        <v>0</v>
      </c>
      <c r="AW205" s="407">
        <v>0</v>
      </c>
      <c r="AX205" s="407">
        <v>0</v>
      </c>
      <c r="AY205" s="407">
        <v>0</v>
      </c>
      <c r="AZ205" s="407">
        <v>0</v>
      </c>
      <c r="BA205" s="407"/>
      <c r="BB205" s="407">
        <v>0</v>
      </c>
      <c r="BC205" s="407">
        <v>0</v>
      </c>
      <c r="BD205" s="407">
        <v>0</v>
      </c>
      <c r="BE205" s="407">
        <v>0</v>
      </c>
      <c r="BF205" s="407">
        <v>0</v>
      </c>
      <c r="BG205" s="407">
        <v>48.328110030447696</v>
      </c>
      <c r="BH205" s="407">
        <v>0</v>
      </c>
      <c r="BI205" s="407">
        <v>0</v>
      </c>
      <c r="BJ205" s="407">
        <v>0</v>
      </c>
      <c r="BK205" s="407">
        <v>0</v>
      </c>
      <c r="BL205" s="407">
        <v>0</v>
      </c>
      <c r="BM205" s="407"/>
      <c r="BN205" s="407"/>
      <c r="BO205" s="407"/>
      <c r="BP205" s="407"/>
      <c r="BQ205" s="407"/>
      <c r="BR205" s="407"/>
      <c r="BS205" s="407"/>
      <c r="BT205" s="407"/>
      <c r="BU205" s="407"/>
      <c r="BV205" s="407">
        <v>1484.5245440629185</v>
      </c>
      <c r="BW205" s="407"/>
      <c r="BX205" s="407"/>
      <c r="BY205" s="407"/>
      <c r="BZ205" s="407"/>
      <c r="CA205" s="407"/>
      <c r="CB205" s="407"/>
      <c r="CC205" s="407"/>
      <c r="CD205" s="407"/>
      <c r="CE205" s="407"/>
      <c r="CF205" s="407"/>
      <c r="CG205" s="407"/>
      <c r="CH205" s="407"/>
      <c r="CI205" s="407">
        <v>17611.633900000001</v>
      </c>
      <c r="CJ205" s="407">
        <v>-10046.060419999994</v>
      </c>
      <c r="CK205" s="407"/>
      <c r="CL205" s="407"/>
      <c r="CM205" s="407"/>
      <c r="CN205" s="407"/>
      <c r="CO205" s="407">
        <v>-10298.047679999998</v>
      </c>
      <c r="CP205" s="407">
        <v>255.80063999999996</v>
      </c>
      <c r="CQ205" s="407">
        <v>31</v>
      </c>
      <c r="CR205" s="407">
        <v>-30.101943216890504</v>
      </c>
      <c r="CS205" s="407">
        <v>0</v>
      </c>
      <c r="CT205" s="407">
        <v>0</v>
      </c>
      <c r="CU205" s="407">
        <v>0</v>
      </c>
      <c r="CV205" s="407">
        <v>0</v>
      </c>
      <c r="CW205" s="407">
        <v>0</v>
      </c>
      <c r="CX205" s="407">
        <v>0</v>
      </c>
      <c r="CY205" s="407">
        <v>0</v>
      </c>
      <c r="CZ205" s="407">
        <v>256.80819737308229</v>
      </c>
      <c r="DA205" s="407">
        <v>0</v>
      </c>
      <c r="DB205" s="407">
        <v>0</v>
      </c>
      <c r="DC205" s="407">
        <v>284.75896860770854</v>
      </c>
      <c r="DD205" s="407">
        <v>0</v>
      </c>
      <c r="DE205" s="407">
        <v>0</v>
      </c>
      <c r="DF205" s="407">
        <v>0</v>
      </c>
      <c r="DG205" s="407">
        <v>9.5821591259563235</v>
      </c>
      <c r="DH205" s="407">
        <v>0</v>
      </c>
      <c r="DI205" s="407">
        <v>-35.164451053188543</v>
      </c>
      <c r="DJ205" s="407"/>
      <c r="DK205" s="407">
        <v>0</v>
      </c>
      <c r="DL205" s="407">
        <v>0</v>
      </c>
      <c r="DM205" s="407">
        <v>0</v>
      </c>
      <c r="DN205" s="407">
        <v>0</v>
      </c>
      <c r="DO205" s="407">
        <v>-5.4405203778647291</v>
      </c>
      <c r="DP205" s="407">
        <v>-0.63708698914489581</v>
      </c>
      <c r="DQ205" s="407">
        <v>0</v>
      </c>
      <c r="DR205" s="407">
        <v>-540.00920990343957</v>
      </c>
      <c r="DS205" s="407"/>
      <c r="DT205" s="407"/>
      <c r="DU205" s="407"/>
      <c r="DV205" s="407">
        <v>19600.725474894738</v>
      </c>
      <c r="DW205" s="407">
        <v>0</v>
      </c>
      <c r="DX205" s="407">
        <v>0</v>
      </c>
      <c r="DY205" s="407">
        <v>-10298.04768</v>
      </c>
      <c r="DZ205" s="407">
        <v>255.80063999999993</v>
      </c>
      <c r="EA205" s="407">
        <v>0</v>
      </c>
      <c r="EB205" s="407">
        <v>0</v>
      </c>
      <c r="EC205" s="407">
        <v>-10012.096097678945</v>
      </c>
      <c r="ED205" s="407">
        <v>0</v>
      </c>
      <c r="EE205" s="407">
        <v>0</v>
      </c>
      <c r="EF205" s="407">
        <v>0</v>
      </c>
      <c r="EG205" s="407">
        <v>0</v>
      </c>
      <c r="EH205" s="407">
        <v>0</v>
      </c>
      <c r="EI205" s="407">
        <v>0</v>
      </c>
      <c r="EJ205" s="407">
        <v>0</v>
      </c>
      <c r="EK205" s="407">
        <v>0</v>
      </c>
      <c r="EL205" s="407">
        <v>0</v>
      </c>
      <c r="EM205" s="407">
        <v>0</v>
      </c>
      <c r="EN205" s="407">
        <v>0</v>
      </c>
      <c r="EO205" s="407">
        <v>0</v>
      </c>
      <c r="EP205" s="407">
        <v>237.8112877847249</v>
      </c>
      <c r="EQ205" s="407">
        <v>0</v>
      </c>
      <c r="ER205" s="407">
        <v>0</v>
      </c>
      <c r="ES205" s="407">
        <v>0</v>
      </c>
      <c r="ET205" s="407">
        <v>0</v>
      </c>
      <c r="EU205" s="407">
        <v>0</v>
      </c>
      <c r="EV205" s="407">
        <v>246</v>
      </c>
      <c r="EW205" s="407">
        <v>0</v>
      </c>
      <c r="EX205" s="407">
        <v>0</v>
      </c>
      <c r="EY205" s="407">
        <v>0</v>
      </c>
      <c r="EZ205" s="407"/>
      <c r="FA205" s="407">
        <v>0</v>
      </c>
      <c r="FB205" s="407"/>
      <c r="FC205" s="407"/>
      <c r="FD205" s="407"/>
      <c r="FE205" s="407"/>
      <c r="FF205" s="407">
        <v>0</v>
      </c>
      <c r="FG205" s="407">
        <v>0</v>
      </c>
      <c r="FH205" s="407">
        <v>0</v>
      </c>
      <c r="FI205" s="407">
        <v>0</v>
      </c>
    </row>
    <row r="206" spans="1:165">
      <c r="A206" s="407">
        <v>217</v>
      </c>
      <c r="B206" s="407" t="s">
        <v>2309</v>
      </c>
      <c r="C206" s="407" t="s">
        <v>2314</v>
      </c>
      <c r="D206" s="407" t="s">
        <v>650</v>
      </c>
      <c r="E206" s="407" t="s">
        <v>1049</v>
      </c>
      <c r="F206" s="407" t="s">
        <v>97</v>
      </c>
      <c r="G206" s="407" t="s">
        <v>97</v>
      </c>
      <c r="H206" s="407" t="s">
        <v>97</v>
      </c>
      <c r="I206" s="407" t="s">
        <v>1025</v>
      </c>
      <c r="J206" s="407" t="s">
        <v>2307</v>
      </c>
      <c r="K206" s="818">
        <v>44470</v>
      </c>
      <c r="L206" s="407">
        <v>0</v>
      </c>
      <c r="M206" s="407">
        <v>0</v>
      </c>
      <c r="N206" s="407">
        <v>5.3860000000000001</v>
      </c>
      <c r="O206" s="407">
        <v>5.3860000000000001</v>
      </c>
      <c r="P206" s="407">
        <v>5.3860000000000001</v>
      </c>
      <c r="Q206" s="407">
        <v>5.3860000000000001</v>
      </c>
      <c r="R206" s="407"/>
      <c r="S206" s="407">
        <v>2810.7</v>
      </c>
      <c r="T206" s="407">
        <v>159.41</v>
      </c>
      <c r="U206" s="407"/>
      <c r="V206" s="407">
        <v>15997.012459999998</v>
      </c>
      <c r="W206" s="407">
        <v>15997.012459999998</v>
      </c>
      <c r="X206" s="407">
        <v>10188.642339999999</v>
      </c>
      <c r="Y206" s="407">
        <v>0</v>
      </c>
      <c r="Z206" s="407">
        <v>290.38143980709782</v>
      </c>
      <c r="AA206" s="407">
        <v>0</v>
      </c>
      <c r="AB206" s="407">
        <v>0</v>
      </c>
      <c r="AC206" s="407">
        <v>0</v>
      </c>
      <c r="AD206" s="407">
        <v>3288.2369859806749</v>
      </c>
      <c r="AE206" s="407">
        <v>11336.931637433749</v>
      </c>
      <c r="AF206" s="407">
        <v>830.68664021680502</v>
      </c>
      <c r="AG206" s="407">
        <v>27.908890624464288</v>
      </c>
      <c r="AH206" s="407">
        <v>0</v>
      </c>
      <c r="AI206" s="407">
        <v>0</v>
      </c>
      <c r="AJ206" s="407">
        <v>0</v>
      </c>
      <c r="AK206" s="407">
        <v>0</v>
      </c>
      <c r="AL206" s="407">
        <v>51.576634119097115</v>
      </c>
      <c r="AM206" s="407"/>
      <c r="AN206" s="407">
        <v>5.7831280052054534</v>
      </c>
      <c r="AO206" s="407">
        <v>0</v>
      </c>
      <c r="AP206" s="407">
        <v>0</v>
      </c>
      <c r="AQ206" s="407">
        <v>0</v>
      </c>
      <c r="AR206" s="407">
        <v>0</v>
      </c>
      <c r="AS206" s="407">
        <v>0</v>
      </c>
      <c r="AT206" s="407">
        <v>0</v>
      </c>
      <c r="AU206" s="407">
        <v>0</v>
      </c>
      <c r="AV206" s="407">
        <v>0</v>
      </c>
      <c r="AW206" s="407">
        <v>0</v>
      </c>
      <c r="AX206" s="407">
        <v>0</v>
      </c>
      <c r="AY206" s="407">
        <v>0</v>
      </c>
      <c r="AZ206" s="407">
        <v>0</v>
      </c>
      <c r="BA206" s="407"/>
      <c r="BB206" s="407">
        <v>0</v>
      </c>
      <c r="BC206" s="407">
        <v>0</v>
      </c>
      <c r="BD206" s="407">
        <v>0</v>
      </c>
      <c r="BE206" s="407">
        <v>0</v>
      </c>
      <c r="BF206" s="407">
        <v>0</v>
      </c>
      <c r="BG206" s="407">
        <v>27.952663297249927</v>
      </c>
      <c r="BH206" s="407">
        <v>0</v>
      </c>
      <c r="BI206" s="407">
        <v>0</v>
      </c>
      <c r="BJ206" s="407">
        <v>0</v>
      </c>
      <c r="BK206" s="407">
        <v>0</v>
      </c>
      <c r="BL206" s="407">
        <v>0</v>
      </c>
      <c r="BM206" s="407"/>
      <c r="BN206" s="407"/>
      <c r="BO206" s="407"/>
      <c r="BP206" s="407"/>
      <c r="BQ206" s="407"/>
      <c r="BR206" s="407"/>
      <c r="BS206" s="407"/>
      <c r="BT206" s="407"/>
      <c r="BU206" s="407"/>
      <c r="BV206" s="407">
        <v>858.63930351405497</v>
      </c>
      <c r="BW206" s="407"/>
      <c r="BX206" s="407"/>
      <c r="BY206" s="407"/>
      <c r="BZ206" s="407"/>
      <c r="CA206" s="407"/>
      <c r="CB206" s="407"/>
      <c r="CC206" s="407"/>
      <c r="CD206" s="407"/>
      <c r="CE206" s="407"/>
      <c r="CF206" s="407"/>
      <c r="CG206" s="407"/>
      <c r="CH206" s="407"/>
      <c r="CI206" s="407">
        <v>10196.209099999998</v>
      </c>
      <c r="CJ206" s="407">
        <v>-5800.8333600000005</v>
      </c>
      <c r="CK206" s="407"/>
      <c r="CL206" s="407"/>
      <c r="CM206" s="407"/>
      <c r="CN206" s="407"/>
      <c r="CO206" s="407">
        <v>-5956.3235399999994</v>
      </c>
      <c r="CP206" s="407">
        <v>147.95341999999999</v>
      </c>
      <c r="CQ206" s="407">
        <v>31</v>
      </c>
      <c r="CR206" s="407">
        <v>-17.410767414753536</v>
      </c>
      <c r="CS206" s="407">
        <v>0</v>
      </c>
      <c r="CT206" s="407">
        <v>0</v>
      </c>
      <c r="CU206" s="407">
        <v>0</v>
      </c>
      <c r="CV206" s="407">
        <v>0</v>
      </c>
      <c r="CW206" s="407">
        <v>0</v>
      </c>
      <c r="CX206" s="407">
        <v>0</v>
      </c>
      <c r="CY206" s="407">
        <v>0</v>
      </c>
      <c r="CZ206" s="407">
        <v>148.53618460603684</v>
      </c>
      <c r="DA206" s="407">
        <v>0</v>
      </c>
      <c r="DB206" s="407">
        <v>0</v>
      </c>
      <c r="DC206" s="407">
        <v>164.70272819170077</v>
      </c>
      <c r="DD206" s="407">
        <v>0</v>
      </c>
      <c r="DE206" s="407">
        <v>0</v>
      </c>
      <c r="DF206" s="407">
        <v>0</v>
      </c>
      <c r="DG206" s="407">
        <v>5.542258274527569</v>
      </c>
      <c r="DH206" s="407">
        <v>0</v>
      </c>
      <c r="DI206" s="407">
        <v>-20.338888893092019</v>
      </c>
      <c r="DJ206" s="407"/>
      <c r="DK206" s="407">
        <v>0</v>
      </c>
      <c r="DL206" s="407">
        <v>0</v>
      </c>
      <c r="DM206" s="407">
        <v>0</v>
      </c>
      <c r="DN206" s="407">
        <v>0</v>
      </c>
      <c r="DO206" s="407">
        <v>-3.1467614642589652</v>
      </c>
      <c r="DP206" s="407">
        <v>-0.36848695484690808</v>
      </c>
      <c r="DQ206" s="407">
        <v>0</v>
      </c>
      <c r="DR206" s="407">
        <v>-312.33780117482024</v>
      </c>
      <c r="DS206" s="407"/>
      <c r="DT206" s="407"/>
      <c r="DU206" s="407"/>
      <c r="DV206" s="407">
        <v>11336.931637433749</v>
      </c>
      <c r="DW206" s="407">
        <v>0</v>
      </c>
      <c r="DX206" s="407">
        <v>0</v>
      </c>
      <c r="DY206" s="407">
        <v>-5956.3235399999994</v>
      </c>
      <c r="DZ206" s="407">
        <v>147.95341999999994</v>
      </c>
      <c r="EA206" s="407">
        <v>0</v>
      </c>
      <c r="EB206" s="407">
        <v>0</v>
      </c>
      <c r="EC206" s="407">
        <v>-5790.9310118233243</v>
      </c>
      <c r="ED206" s="407">
        <v>0</v>
      </c>
      <c r="EE206" s="407">
        <v>0</v>
      </c>
      <c r="EF206" s="407">
        <v>0</v>
      </c>
      <c r="EG206" s="407">
        <v>0</v>
      </c>
      <c r="EH206" s="407">
        <v>0</v>
      </c>
      <c r="EI206" s="407">
        <v>0</v>
      </c>
      <c r="EJ206" s="407">
        <v>0</v>
      </c>
      <c r="EK206" s="407">
        <v>0</v>
      </c>
      <c r="EL206" s="407">
        <v>0</v>
      </c>
      <c r="EM206" s="407">
        <v>0</v>
      </c>
      <c r="EN206" s="407">
        <v>0</v>
      </c>
      <c r="EO206" s="407">
        <v>0</v>
      </c>
      <c r="EP206" s="407">
        <v>137.54849613493647</v>
      </c>
      <c r="EQ206" s="407">
        <v>0</v>
      </c>
      <c r="ER206" s="407">
        <v>0</v>
      </c>
      <c r="ES206" s="407">
        <v>0</v>
      </c>
      <c r="ET206" s="407">
        <v>0</v>
      </c>
      <c r="EU206" s="407">
        <v>0</v>
      </c>
      <c r="EV206" s="407">
        <v>246</v>
      </c>
      <c r="EW206" s="407">
        <v>0</v>
      </c>
      <c r="EX206" s="407">
        <v>0</v>
      </c>
      <c r="EY206" s="407">
        <v>0</v>
      </c>
      <c r="EZ206" s="407"/>
      <c r="FA206" s="407">
        <v>0</v>
      </c>
      <c r="FB206" s="407"/>
      <c r="FC206" s="407"/>
      <c r="FD206" s="407"/>
      <c r="FE206" s="407"/>
      <c r="FF206" s="407">
        <v>0</v>
      </c>
      <c r="FG206" s="407">
        <v>0</v>
      </c>
      <c r="FH206" s="407">
        <v>0</v>
      </c>
      <c r="FI206" s="407">
        <v>0</v>
      </c>
    </row>
    <row r="207" spans="1:165">
      <c r="A207" s="407">
        <v>218</v>
      </c>
      <c r="B207" s="407" t="s">
        <v>1090</v>
      </c>
      <c r="C207" s="407" t="s">
        <v>2314</v>
      </c>
      <c r="D207" s="407" t="s">
        <v>650</v>
      </c>
      <c r="E207" s="407" t="s">
        <v>1049</v>
      </c>
      <c r="F207" s="407" t="s">
        <v>97</v>
      </c>
      <c r="G207" s="407" t="s">
        <v>97</v>
      </c>
      <c r="H207" s="407" t="s">
        <v>97</v>
      </c>
      <c r="I207" s="407" t="s">
        <v>2290</v>
      </c>
      <c r="J207" s="407" t="s">
        <v>2307</v>
      </c>
      <c r="K207" s="818">
        <v>44470</v>
      </c>
      <c r="L207" s="407">
        <v>0</v>
      </c>
      <c r="M207" s="407">
        <v>0</v>
      </c>
      <c r="N207" s="407">
        <v>119.55200000000001</v>
      </c>
      <c r="O207" s="407">
        <v>119.55200000000001</v>
      </c>
      <c r="P207" s="407">
        <v>119.55200000000001</v>
      </c>
      <c r="Q207" s="407">
        <v>119.55200000000001</v>
      </c>
      <c r="R207" s="407"/>
      <c r="S207" s="407">
        <v>95.29</v>
      </c>
      <c r="T207" s="407">
        <v>159.41</v>
      </c>
      <c r="U207" s="407"/>
      <c r="V207" s="407">
        <v>30449.894400000001</v>
      </c>
      <c r="W207" s="407">
        <v>30449.894400000001</v>
      </c>
      <c r="X207" s="407">
        <v>33105.144319999999</v>
      </c>
      <c r="Y207" s="407">
        <v>0</v>
      </c>
      <c r="Z207" s="407">
        <v>6445.5406408871449</v>
      </c>
      <c r="AA207" s="407">
        <v>0</v>
      </c>
      <c r="AB207" s="407">
        <v>0</v>
      </c>
      <c r="AC207" s="407">
        <v>0</v>
      </c>
      <c r="AD207" s="407">
        <v>0</v>
      </c>
      <c r="AE207" s="407">
        <v>0</v>
      </c>
      <c r="AF207" s="407">
        <v>18438.590644485608</v>
      </c>
      <c r="AG207" s="407">
        <v>619.48824581061172</v>
      </c>
      <c r="AH207" s="407">
        <v>0</v>
      </c>
      <c r="AI207" s="407">
        <v>0</v>
      </c>
      <c r="AJ207" s="407">
        <v>0</v>
      </c>
      <c r="AK207" s="407">
        <v>0</v>
      </c>
      <c r="AL207" s="407">
        <v>1144.8365692919233</v>
      </c>
      <c r="AM207" s="407"/>
      <c r="AN207" s="407">
        <v>128.36697350135952</v>
      </c>
      <c r="AO207" s="407">
        <v>0</v>
      </c>
      <c r="AP207" s="407">
        <v>0</v>
      </c>
      <c r="AQ207" s="407">
        <v>0</v>
      </c>
      <c r="AR207" s="407">
        <v>0</v>
      </c>
      <c r="AS207" s="407">
        <v>0</v>
      </c>
      <c r="AT207" s="407">
        <v>0</v>
      </c>
      <c r="AU207" s="407">
        <v>0</v>
      </c>
      <c r="AV207" s="407">
        <v>0</v>
      </c>
      <c r="AW207" s="407">
        <v>0</v>
      </c>
      <c r="AX207" s="407">
        <v>0</v>
      </c>
      <c r="AY207" s="407">
        <v>0</v>
      </c>
      <c r="AZ207" s="407">
        <v>0</v>
      </c>
      <c r="BA207" s="407"/>
      <c r="BB207" s="407">
        <v>0</v>
      </c>
      <c r="BC207" s="407">
        <v>0</v>
      </c>
      <c r="BD207" s="407">
        <v>0</v>
      </c>
      <c r="BE207" s="407">
        <v>0</v>
      </c>
      <c r="BF207" s="407">
        <v>0</v>
      </c>
      <c r="BG207" s="407">
        <v>620.45985935997464</v>
      </c>
      <c r="BH207" s="407">
        <v>0</v>
      </c>
      <c r="BI207" s="407">
        <v>0</v>
      </c>
      <c r="BJ207" s="407">
        <v>0</v>
      </c>
      <c r="BK207" s="407">
        <v>0</v>
      </c>
      <c r="BL207" s="407">
        <v>0</v>
      </c>
      <c r="BM207" s="407"/>
      <c r="BN207" s="407"/>
      <c r="BO207" s="407"/>
      <c r="BP207" s="407"/>
      <c r="BQ207" s="407"/>
      <c r="BR207" s="407"/>
      <c r="BS207" s="407"/>
      <c r="BT207" s="407"/>
      <c r="BU207" s="407"/>
      <c r="BV207" s="407">
        <v>19059.050503845581</v>
      </c>
      <c r="BW207" s="407"/>
      <c r="BX207" s="407"/>
      <c r="BY207" s="407"/>
      <c r="BZ207" s="407"/>
      <c r="CA207" s="407"/>
      <c r="CB207" s="407"/>
      <c r="CC207" s="407"/>
      <c r="CD207" s="407"/>
      <c r="CE207" s="407"/>
      <c r="CF207" s="407"/>
      <c r="CG207" s="407"/>
      <c r="CH207" s="407"/>
      <c r="CI207" s="407">
        <v>33104.590499999998</v>
      </c>
      <c r="CJ207" s="407">
        <v>2654.6660999999986</v>
      </c>
      <c r="CK207" s="407"/>
      <c r="CL207" s="407"/>
      <c r="CM207" s="407"/>
      <c r="CN207" s="407"/>
      <c r="CO207" s="407">
        <v>-628.84352000000069</v>
      </c>
      <c r="CP207" s="407">
        <v>3284.0934400000001</v>
      </c>
      <c r="CQ207" s="407">
        <v>31</v>
      </c>
      <c r="CR207" s="407">
        <v>2654.8720411841023</v>
      </c>
      <c r="CS207" s="407">
        <v>0</v>
      </c>
      <c r="CT207" s="407">
        <v>0</v>
      </c>
      <c r="CU207" s="407">
        <v>0</v>
      </c>
      <c r="CV207" s="407">
        <v>0</v>
      </c>
      <c r="CW207" s="407">
        <v>0</v>
      </c>
      <c r="CX207" s="407">
        <v>0</v>
      </c>
      <c r="CY207" s="407">
        <v>0</v>
      </c>
      <c r="CZ207" s="407">
        <v>0</v>
      </c>
      <c r="DA207" s="407">
        <v>0</v>
      </c>
      <c r="DB207" s="407">
        <v>0</v>
      </c>
      <c r="DC207" s="407">
        <v>3655.8745935340157</v>
      </c>
      <c r="DD207" s="407">
        <v>0</v>
      </c>
      <c r="DE207" s="407">
        <v>0</v>
      </c>
      <c r="DF207" s="407">
        <v>0</v>
      </c>
      <c r="DG207" s="407">
        <v>123.02043468925365</v>
      </c>
      <c r="DH207" s="407">
        <v>0</v>
      </c>
      <c r="DI207" s="407">
        <v>-451.45838190622817</v>
      </c>
      <c r="DJ207" s="407"/>
      <c r="DK207" s="407">
        <v>0</v>
      </c>
      <c r="DL207" s="407">
        <v>0</v>
      </c>
      <c r="DM207" s="407">
        <v>0</v>
      </c>
      <c r="DN207" s="407">
        <v>0</v>
      </c>
      <c r="DO207" s="407">
        <v>-69.848055435404376</v>
      </c>
      <c r="DP207" s="407">
        <v>-8.1792336475784566</v>
      </c>
      <c r="DQ207" s="407">
        <v>0</v>
      </c>
      <c r="DR207" s="407">
        <v>-594.53731604995301</v>
      </c>
      <c r="DS207" s="407"/>
      <c r="DT207" s="407"/>
      <c r="DU207" s="407"/>
      <c r="DV207" s="407">
        <v>0</v>
      </c>
      <c r="DW207" s="407">
        <v>0</v>
      </c>
      <c r="DX207" s="407">
        <v>0</v>
      </c>
      <c r="DY207" s="407">
        <v>-628.84352000000217</v>
      </c>
      <c r="DZ207" s="407">
        <v>3284.0934400000006</v>
      </c>
      <c r="EA207" s="407">
        <v>0</v>
      </c>
      <c r="EB207" s="407">
        <v>0</v>
      </c>
      <c r="EC207" s="407">
        <v>0</v>
      </c>
      <c r="ED207" s="407">
        <v>0</v>
      </c>
      <c r="EE207" s="407">
        <v>0</v>
      </c>
      <c r="EF207" s="407">
        <v>0</v>
      </c>
      <c r="EG207" s="407">
        <v>0</v>
      </c>
      <c r="EH207" s="407">
        <v>0</v>
      </c>
      <c r="EI207" s="407">
        <v>0</v>
      </c>
      <c r="EJ207" s="407">
        <v>0</v>
      </c>
      <c r="EK207" s="407">
        <v>0</v>
      </c>
      <c r="EL207" s="407">
        <v>0</v>
      </c>
      <c r="EM207" s="407">
        <v>0</v>
      </c>
      <c r="EN207" s="407">
        <v>0</v>
      </c>
      <c r="EO207" s="407">
        <v>0</v>
      </c>
      <c r="EP207" s="407">
        <v>3053.13735795097</v>
      </c>
      <c r="EQ207" s="407">
        <v>0</v>
      </c>
      <c r="ER207" s="407">
        <v>0</v>
      </c>
      <c r="ES207" s="407">
        <v>0</v>
      </c>
      <c r="ET207" s="407">
        <v>0</v>
      </c>
      <c r="EU207" s="407">
        <v>0</v>
      </c>
      <c r="EV207" s="407">
        <v>246</v>
      </c>
      <c r="EW207" s="407">
        <v>0</v>
      </c>
      <c r="EX207" s="407">
        <v>0</v>
      </c>
      <c r="EY207" s="407">
        <v>0</v>
      </c>
      <c r="EZ207" s="407"/>
      <c r="FA207" s="407">
        <v>0</v>
      </c>
      <c r="FB207" s="407"/>
      <c r="FC207" s="407"/>
      <c r="FD207" s="407"/>
      <c r="FE207" s="407"/>
      <c r="FF207" s="407">
        <v>0</v>
      </c>
      <c r="FG207" s="407">
        <v>0</v>
      </c>
      <c r="FH207" s="407">
        <v>0</v>
      </c>
      <c r="FI207" s="407">
        <v>0</v>
      </c>
    </row>
    <row r="208" spans="1:165">
      <c r="A208" s="407">
        <v>219</v>
      </c>
      <c r="B208" s="407" t="s">
        <v>2309</v>
      </c>
      <c r="C208" s="407" t="s">
        <v>2314</v>
      </c>
      <c r="D208" s="407" t="s">
        <v>650</v>
      </c>
      <c r="E208" s="407" t="s">
        <v>1049</v>
      </c>
      <c r="F208" s="407" t="s">
        <v>97</v>
      </c>
      <c r="G208" s="407" t="s">
        <v>97</v>
      </c>
      <c r="H208" s="407" t="s">
        <v>97</v>
      </c>
      <c r="I208" s="407" t="s">
        <v>2290</v>
      </c>
      <c r="J208" s="407" t="s">
        <v>2307</v>
      </c>
      <c r="K208" s="818">
        <v>44470</v>
      </c>
      <c r="L208" s="407">
        <v>0</v>
      </c>
      <c r="M208" s="407">
        <v>0</v>
      </c>
      <c r="N208" s="407">
        <v>38.345999999999997</v>
      </c>
      <c r="O208" s="407">
        <v>38.345999999999997</v>
      </c>
      <c r="P208" s="407">
        <v>38.345999999999997</v>
      </c>
      <c r="Q208" s="407">
        <v>38.345999999999997</v>
      </c>
      <c r="R208" s="407"/>
      <c r="S208" s="407">
        <v>95.29</v>
      </c>
      <c r="T208" s="407">
        <v>159.41</v>
      </c>
      <c r="U208" s="407"/>
      <c r="V208" s="407">
        <v>9766.7261999999992</v>
      </c>
      <c r="W208" s="407">
        <v>9766.7261999999992</v>
      </c>
      <c r="X208" s="407">
        <v>10618.39086</v>
      </c>
      <c r="Y208" s="407">
        <v>0</v>
      </c>
      <c r="Z208" s="407">
        <v>2067.390770672665</v>
      </c>
      <c r="AA208" s="407">
        <v>0</v>
      </c>
      <c r="AB208" s="407">
        <v>0</v>
      </c>
      <c r="AC208" s="407">
        <v>0</v>
      </c>
      <c r="AD208" s="407">
        <v>0</v>
      </c>
      <c r="AE208" s="407">
        <v>0</v>
      </c>
      <c r="AF208" s="407">
        <v>5914.1310630808766</v>
      </c>
      <c r="AG208" s="407">
        <v>198.69927959259329</v>
      </c>
      <c r="AH208" s="407">
        <v>0</v>
      </c>
      <c r="AI208" s="407">
        <v>0</v>
      </c>
      <c r="AJ208" s="407">
        <v>0</v>
      </c>
      <c r="AK208" s="407">
        <v>0</v>
      </c>
      <c r="AL208" s="407">
        <v>367.20341847955768</v>
      </c>
      <c r="AM208" s="407"/>
      <c r="AN208" s="407">
        <v>41.173380335612386</v>
      </c>
      <c r="AO208" s="407">
        <v>0</v>
      </c>
      <c r="AP208" s="407">
        <v>0</v>
      </c>
      <c r="AQ208" s="407">
        <v>0</v>
      </c>
      <c r="AR208" s="407">
        <v>0</v>
      </c>
      <c r="AS208" s="407">
        <v>0</v>
      </c>
      <c r="AT208" s="407">
        <v>0</v>
      </c>
      <c r="AU208" s="407">
        <v>0</v>
      </c>
      <c r="AV208" s="407">
        <v>0</v>
      </c>
      <c r="AW208" s="407">
        <v>0</v>
      </c>
      <c r="AX208" s="407">
        <v>0</v>
      </c>
      <c r="AY208" s="407">
        <v>0</v>
      </c>
      <c r="AZ208" s="407">
        <v>0</v>
      </c>
      <c r="BA208" s="407"/>
      <c r="BB208" s="407">
        <v>0</v>
      </c>
      <c r="BC208" s="407">
        <v>0</v>
      </c>
      <c r="BD208" s="407">
        <v>0</v>
      </c>
      <c r="BE208" s="407">
        <v>0</v>
      </c>
      <c r="BF208" s="407">
        <v>0</v>
      </c>
      <c r="BG208" s="407">
        <v>199.01092216790673</v>
      </c>
      <c r="BH208" s="407">
        <v>0</v>
      </c>
      <c r="BI208" s="407">
        <v>0</v>
      </c>
      <c r="BJ208" s="407">
        <v>0</v>
      </c>
      <c r="BK208" s="407">
        <v>0</v>
      </c>
      <c r="BL208" s="407">
        <v>0</v>
      </c>
      <c r="BM208" s="407"/>
      <c r="BN208" s="407"/>
      <c r="BO208" s="407"/>
      <c r="BP208" s="407"/>
      <c r="BQ208" s="407"/>
      <c r="BR208" s="407"/>
      <c r="BS208" s="407"/>
      <c r="BT208" s="407"/>
      <c r="BU208" s="407"/>
      <c r="BV208" s="407">
        <v>6113.1419852487834</v>
      </c>
      <c r="BW208" s="407"/>
      <c r="BX208" s="407"/>
      <c r="BY208" s="407"/>
      <c r="BZ208" s="407"/>
      <c r="CA208" s="407"/>
      <c r="CB208" s="407"/>
      <c r="CC208" s="407"/>
      <c r="CD208" s="407"/>
      <c r="CE208" s="407"/>
      <c r="CF208" s="407"/>
      <c r="CG208" s="407"/>
      <c r="CH208" s="407"/>
      <c r="CI208" s="407">
        <v>10619.4985</v>
      </c>
      <c r="CJ208" s="407">
        <v>852.74229999999989</v>
      </c>
      <c r="CK208" s="407"/>
      <c r="CL208" s="407"/>
      <c r="CM208" s="407"/>
      <c r="CN208" s="407"/>
      <c r="CO208" s="407">
        <v>-201.69996000000017</v>
      </c>
      <c r="CP208" s="407">
        <v>1053.3646199999998</v>
      </c>
      <c r="CQ208" s="407">
        <v>31</v>
      </c>
      <c r="CR208" s="407">
        <v>851.5434563306826</v>
      </c>
      <c r="CS208" s="407">
        <v>0</v>
      </c>
      <c r="CT208" s="407">
        <v>0</v>
      </c>
      <c r="CU208" s="407">
        <v>0</v>
      </c>
      <c r="CV208" s="407">
        <v>0</v>
      </c>
      <c r="CW208" s="407">
        <v>0</v>
      </c>
      <c r="CX208" s="407">
        <v>0</v>
      </c>
      <c r="CY208" s="407">
        <v>0</v>
      </c>
      <c r="CZ208" s="407">
        <v>0</v>
      </c>
      <c r="DA208" s="407">
        <v>0</v>
      </c>
      <c r="DB208" s="407">
        <v>0</v>
      </c>
      <c r="DC208" s="407">
        <v>1172.612479621047</v>
      </c>
      <c r="DD208" s="407">
        <v>0</v>
      </c>
      <c r="DE208" s="407">
        <v>0</v>
      </c>
      <c r="DF208" s="407">
        <v>0</v>
      </c>
      <c r="DG208" s="407">
        <v>39.458491606950275</v>
      </c>
      <c r="DH208" s="407">
        <v>0</v>
      </c>
      <c r="DI208" s="407">
        <v>-144.8041280160619</v>
      </c>
      <c r="DJ208" s="407"/>
      <c r="DK208" s="407">
        <v>0</v>
      </c>
      <c r="DL208" s="407">
        <v>0</v>
      </c>
      <c r="DM208" s="407">
        <v>0</v>
      </c>
      <c r="DN208" s="407">
        <v>0</v>
      </c>
      <c r="DO208" s="407">
        <v>-22.403586169415917</v>
      </c>
      <c r="DP208" s="407">
        <v>-2.6234683940882917</v>
      </c>
      <c r="DQ208" s="407">
        <v>0</v>
      </c>
      <c r="DR208" s="407">
        <v>-190.69633231774873</v>
      </c>
      <c r="DS208" s="407"/>
      <c r="DT208" s="407"/>
      <c r="DU208" s="407"/>
      <c r="DV208" s="407">
        <v>0</v>
      </c>
      <c r="DW208" s="407">
        <v>0</v>
      </c>
      <c r="DX208" s="407">
        <v>0</v>
      </c>
      <c r="DY208" s="407">
        <v>-201.69995999999992</v>
      </c>
      <c r="DZ208" s="407">
        <v>1053.3646200000003</v>
      </c>
      <c r="EA208" s="407">
        <v>0</v>
      </c>
      <c r="EB208" s="407">
        <v>0</v>
      </c>
      <c r="EC208" s="407">
        <v>0</v>
      </c>
      <c r="ED208" s="407">
        <v>0</v>
      </c>
      <c r="EE208" s="407">
        <v>0</v>
      </c>
      <c r="EF208" s="407">
        <v>0</v>
      </c>
      <c r="EG208" s="407">
        <v>0</v>
      </c>
      <c r="EH208" s="407">
        <v>0</v>
      </c>
      <c r="EI208" s="407">
        <v>0</v>
      </c>
      <c r="EJ208" s="407">
        <v>0</v>
      </c>
      <c r="EK208" s="407">
        <v>0</v>
      </c>
      <c r="EL208" s="407">
        <v>0</v>
      </c>
      <c r="EM208" s="407">
        <v>0</v>
      </c>
      <c r="EN208" s="407">
        <v>0</v>
      </c>
      <c r="EO208" s="407">
        <v>0</v>
      </c>
      <c r="EP208" s="407">
        <v>979.28604396403136</v>
      </c>
      <c r="EQ208" s="407">
        <v>0</v>
      </c>
      <c r="ER208" s="407">
        <v>0</v>
      </c>
      <c r="ES208" s="407">
        <v>0</v>
      </c>
      <c r="ET208" s="407">
        <v>0</v>
      </c>
      <c r="EU208" s="407">
        <v>0</v>
      </c>
      <c r="EV208" s="407">
        <v>246</v>
      </c>
      <c r="EW208" s="407">
        <v>0</v>
      </c>
      <c r="EX208" s="407">
        <v>0</v>
      </c>
      <c r="EY208" s="407">
        <v>0</v>
      </c>
      <c r="EZ208" s="407"/>
      <c r="FA208" s="407">
        <v>0</v>
      </c>
      <c r="FB208" s="407"/>
      <c r="FC208" s="407"/>
      <c r="FD208" s="407"/>
      <c r="FE208" s="407"/>
      <c r="FF208" s="407">
        <v>0</v>
      </c>
      <c r="FG208" s="407">
        <v>0</v>
      </c>
      <c r="FH208" s="407">
        <v>0</v>
      </c>
      <c r="FI208" s="407">
        <v>0</v>
      </c>
    </row>
    <row r="209" spans="1:165">
      <c r="A209" s="407">
        <v>220</v>
      </c>
      <c r="B209" s="407" t="s">
        <v>1090</v>
      </c>
      <c r="C209" s="407" t="s">
        <v>2314</v>
      </c>
      <c r="D209" s="407" t="s">
        <v>650</v>
      </c>
      <c r="E209" s="407" t="s">
        <v>1049</v>
      </c>
      <c r="F209" s="407" t="s">
        <v>97</v>
      </c>
      <c r="G209" s="407" t="s">
        <v>97</v>
      </c>
      <c r="H209" s="407" t="s">
        <v>97</v>
      </c>
      <c r="I209" s="407" t="s">
        <v>97</v>
      </c>
      <c r="J209" s="407" t="s">
        <v>2307</v>
      </c>
      <c r="K209" s="818">
        <v>44470</v>
      </c>
      <c r="L209" s="407">
        <v>1402</v>
      </c>
      <c r="M209" s="407">
        <v>1402</v>
      </c>
      <c r="N209" s="407">
        <v>0</v>
      </c>
      <c r="O209" s="407">
        <v>0</v>
      </c>
      <c r="P209" s="407">
        <v>0</v>
      </c>
      <c r="Q209" s="407">
        <v>0</v>
      </c>
      <c r="R209" s="407">
        <v>43.29</v>
      </c>
      <c r="S209" s="407"/>
      <c r="T209" s="407"/>
      <c r="U209" s="407">
        <v>60692.58</v>
      </c>
      <c r="V209" s="407"/>
      <c r="W209" s="407">
        <v>60692.58</v>
      </c>
      <c r="X209" s="407">
        <v>46952.98</v>
      </c>
      <c r="Y209" s="407">
        <v>0</v>
      </c>
      <c r="Z209" s="407">
        <v>0</v>
      </c>
      <c r="AA209" s="407">
        <v>0</v>
      </c>
      <c r="AB209" s="407">
        <v>0</v>
      </c>
      <c r="AC209" s="407">
        <v>0</v>
      </c>
      <c r="AD209" s="407">
        <v>33176.909996130074</v>
      </c>
      <c r="AE209" s="407">
        <v>27520.120320328981</v>
      </c>
      <c r="AF209" s="407"/>
      <c r="AG209" s="407"/>
      <c r="AH209" s="407"/>
      <c r="AI209" s="407">
        <v>0</v>
      </c>
      <c r="AJ209" s="407">
        <v>0</v>
      </c>
      <c r="AK209" s="407">
        <v>0</v>
      </c>
      <c r="AL209" s="407">
        <v>0</v>
      </c>
      <c r="AM209" s="407"/>
      <c r="AN209" s="407">
        <v>0</v>
      </c>
      <c r="AO209" s="407">
        <v>0</v>
      </c>
      <c r="AP209" s="407">
        <v>0</v>
      </c>
      <c r="AQ209" s="407">
        <v>0</v>
      </c>
      <c r="AR209" s="407">
        <v>0</v>
      </c>
      <c r="AS209" s="407"/>
      <c r="AT209" s="407"/>
      <c r="AU209" s="407">
        <v>0</v>
      </c>
      <c r="AV209" s="407">
        <v>0</v>
      </c>
      <c r="AW209" s="407">
        <v>0</v>
      </c>
      <c r="AX209" s="407"/>
      <c r="AY209" s="407"/>
      <c r="AZ209" s="407">
        <v>0</v>
      </c>
      <c r="BA209" s="407"/>
      <c r="BB209" s="407">
        <v>0</v>
      </c>
      <c r="BC209" s="407">
        <v>0</v>
      </c>
      <c r="BD209" s="407">
        <v>0</v>
      </c>
      <c r="BE209" s="407">
        <v>0</v>
      </c>
      <c r="BF209" s="407"/>
      <c r="BG209" s="407">
        <v>0</v>
      </c>
      <c r="BH209" s="407">
        <v>0</v>
      </c>
      <c r="BI209" s="407">
        <v>799.47</v>
      </c>
      <c r="BJ209" s="407">
        <v>3493.59</v>
      </c>
      <c r="BK209" s="407">
        <v>49258.66</v>
      </c>
      <c r="BL209" s="407">
        <v>12</v>
      </c>
      <c r="BM209" s="407"/>
      <c r="BN209" s="407"/>
      <c r="BO209" s="407"/>
      <c r="BP209" s="407"/>
      <c r="BQ209" s="407"/>
      <c r="BR209" s="407"/>
      <c r="BS209" s="407"/>
      <c r="BT209" s="407"/>
      <c r="BU209" s="407"/>
      <c r="BV209" s="407">
        <v>0</v>
      </c>
      <c r="BW209" s="407"/>
      <c r="BX209" s="407"/>
      <c r="BY209" s="407"/>
      <c r="BZ209" s="407"/>
      <c r="CA209" s="407"/>
      <c r="CB209" s="407"/>
      <c r="CC209" s="407"/>
      <c r="CD209" s="407"/>
      <c r="CE209" s="407"/>
      <c r="CF209" s="407"/>
      <c r="CG209" s="407"/>
      <c r="CH209" s="407"/>
      <c r="CI209" s="407">
        <v>46952.98</v>
      </c>
      <c r="CJ209" s="407">
        <v>-13739.630000000005</v>
      </c>
      <c r="CK209" s="407"/>
      <c r="CL209" s="407"/>
      <c r="CM209" s="407"/>
      <c r="CN209" s="407"/>
      <c r="CO209" s="407">
        <v>-13739.599999999997</v>
      </c>
      <c r="CP209" s="407">
        <v>0</v>
      </c>
      <c r="CQ209" s="407">
        <v>31</v>
      </c>
      <c r="CR209" s="407">
        <v>313.57152359095926</v>
      </c>
      <c r="CS209" s="407">
        <v>0</v>
      </c>
      <c r="CT209" s="407">
        <v>0</v>
      </c>
      <c r="CU209" s="407">
        <v>0</v>
      </c>
      <c r="CV209" s="407">
        <v>0</v>
      </c>
      <c r="CW209" s="407"/>
      <c r="CX209" s="407"/>
      <c r="CY209" s="407"/>
      <c r="CZ209" s="407">
        <v>1498.6668080351956</v>
      </c>
      <c r="DA209" s="407">
        <v>0</v>
      </c>
      <c r="DB209" s="407">
        <v>0</v>
      </c>
      <c r="DC209" s="407"/>
      <c r="DD209" s="407"/>
      <c r="DE209" s="407">
        <v>0</v>
      </c>
      <c r="DF209" s="407">
        <v>0</v>
      </c>
      <c r="DG209" s="407">
        <v>0</v>
      </c>
      <c r="DH209" s="407">
        <v>0</v>
      </c>
      <c r="DI209" s="407">
        <v>0</v>
      </c>
      <c r="DJ209" s="407"/>
      <c r="DK209" s="407">
        <v>0</v>
      </c>
      <c r="DL209" s="407">
        <v>0</v>
      </c>
      <c r="DM209" s="407"/>
      <c r="DN209" s="407">
        <v>0</v>
      </c>
      <c r="DO209" s="407">
        <v>0</v>
      </c>
      <c r="DP209" s="407">
        <v>0</v>
      </c>
      <c r="DQ209" s="407">
        <v>0</v>
      </c>
      <c r="DR209" s="407">
        <v>-1185.0952844442395</v>
      </c>
      <c r="DS209" s="407"/>
      <c r="DT209" s="407"/>
      <c r="DU209" s="407">
        <v>27520.120320328981</v>
      </c>
      <c r="DV209" s="407"/>
      <c r="DW209" s="407">
        <v>0</v>
      </c>
      <c r="DX209" s="407">
        <v>0</v>
      </c>
      <c r="DY209" s="407">
        <v>-13739.599999999999</v>
      </c>
      <c r="DZ209" s="407"/>
      <c r="EA209" s="407">
        <v>0</v>
      </c>
      <c r="EB209" s="407"/>
      <c r="EC209" s="407">
        <v>-14057.341378498257</v>
      </c>
      <c r="ED209" s="407"/>
      <c r="EE209" s="407">
        <v>0</v>
      </c>
      <c r="EF209" s="407">
        <v>0</v>
      </c>
      <c r="EG209" s="407"/>
      <c r="EH209" s="407">
        <v>0</v>
      </c>
      <c r="EI209" s="407">
        <v>0</v>
      </c>
      <c r="EJ209" s="407">
        <v>0</v>
      </c>
      <c r="EK209" s="407">
        <v>0</v>
      </c>
      <c r="EL209" s="407">
        <v>0</v>
      </c>
      <c r="EM209" s="407"/>
      <c r="EN209" s="407"/>
      <c r="EO209" s="407">
        <v>0</v>
      </c>
      <c r="EP209" s="407">
        <v>0</v>
      </c>
      <c r="EQ209" s="407"/>
      <c r="ER209" s="407">
        <v>0</v>
      </c>
      <c r="ES209" s="407"/>
      <c r="ET209" s="407">
        <v>0</v>
      </c>
      <c r="EU209" s="407"/>
      <c r="EV209" s="407">
        <v>246</v>
      </c>
      <c r="EW209" s="407"/>
      <c r="EX209" s="407"/>
      <c r="EY209" s="407"/>
      <c r="EZ209" s="407"/>
      <c r="FA209" s="407">
        <v>0</v>
      </c>
      <c r="FB209" s="407"/>
      <c r="FC209" s="407"/>
      <c r="FD209" s="407"/>
      <c r="FE209" s="407"/>
      <c r="FF209" s="407">
        <v>0</v>
      </c>
      <c r="FG209" s="407">
        <v>0</v>
      </c>
      <c r="FH209" s="407">
        <v>0</v>
      </c>
      <c r="FI209" s="407">
        <v>0</v>
      </c>
    </row>
    <row r="210" spans="1:165">
      <c r="A210" s="407">
        <v>221</v>
      </c>
      <c r="B210" s="407" t="s">
        <v>2309</v>
      </c>
      <c r="C210" s="407" t="s">
        <v>2314</v>
      </c>
      <c r="D210" s="407" t="s">
        <v>650</v>
      </c>
      <c r="E210" s="407" t="s">
        <v>1049</v>
      </c>
      <c r="F210" s="407" t="s">
        <v>97</v>
      </c>
      <c r="G210" s="407" t="s">
        <v>97</v>
      </c>
      <c r="H210" s="407" t="s">
        <v>97</v>
      </c>
      <c r="I210" s="407" t="s">
        <v>97</v>
      </c>
      <c r="J210" s="407" t="s">
        <v>2307</v>
      </c>
      <c r="K210" s="818">
        <v>44470</v>
      </c>
      <c r="L210" s="407">
        <v>928</v>
      </c>
      <c r="M210" s="407">
        <v>928</v>
      </c>
      <c r="N210" s="407">
        <v>0</v>
      </c>
      <c r="O210" s="407">
        <v>0</v>
      </c>
      <c r="P210" s="407">
        <v>0</v>
      </c>
      <c r="Q210" s="407">
        <v>0</v>
      </c>
      <c r="R210" s="407">
        <v>43.29</v>
      </c>
      <c r="S210" s="407"/>
      <c r="T210" s="407"/>
      <c r="U210" s="407">
        <v>40173.120000000003</v>
      </c>
      <c r="V210" s="407"/>
      <c r="W210" s="407">
        <v>40173.120000000003</v>
      </c>
      <c r="X210" s="407">
        <v>31078.720000000001</v>
      </c>
      <c r="Y210" s="407">
        <v>0</v>
      </c>
      <c r="Z210" s="407">
        <v>0</v>
      </c>
      <c r="AA210" s="407">
        <v>0</v>
      </c>
      <c r="AB210" s="407">
        <v>0</v>
      </c>
      <c r="AC210" s="407">
        <v>0</v>
      </c>
      <c r="AD210" s="407">
        <v>21960.180083030464</v>
      </c>
      <c r="AE210" s="407">
        <v>18215.885632856844</v>
      </c>
      <c r="AF210" s="407"/>
      <c r="AG210" s="407"/>
      <c r="AH210" s="407"/>
      <c r="AI210" s="407">
        <v>0</v>
      </c>
      <c r="AJ210" s="407">
        <v>0</v>
      </c>
      <c r="AK210" s="407">
        <v>0</v>
      </c>
      <c r="AL210" s="407">
        <v>0</v>
      </c>
      <c r="AM210" s="407"/>
      <c r="AN210" s="407">
        <v>0</v>
      </c>
      <c r="AO210" s="407">
        <v>0</v>
      </c>
      <c r="AP210" s="407">
        <v>0</v>
      </c>
      <c r="AQ210" s="407">
        <v>0</v>
      </c>
      <c r="AR210" s="407">
        <v>0</v>
      </c>
      <c r="AS210" s="407"/>
      <c r="AT210" s="407"/>
      <c r="AU210" s="407">
        <v>0</v>
      </c>
      <c r="AV210" s="407">
        <v>0</v>
      </c>
      <c r="AW210" s="407">
        <v>0</v>
      </c>
      <c r="AX210" s="407"/>
      <c r="AY210" s="407"/>
      <c r="AZ210" s="407">
        <v>0</v>
      </c>
      <c r="BA210" s="407"/>
      <c r="BB210" s="407">
        <v>0</v>
      </c>
      <c r="BC210" s="407">
        <v>0</v>
      </c>
      <c r="BD210" s="407">
        <v>0</v>
      </c>
      <c r="BE210" s="407">
        <v>0</v>
      </c>
      <c r="BF210" s="407"/>
      <c r="BG210" s="407">
        <v>0</v>
      </c>
      <c r="BH210" s="407">
        <v>0</v>
      </c>
      <c r="BI210" s="407">
        <v>513.69000000000005</v>
      </c>
      <c r="BJ210" s="407">
        <v>2244.7600000000002</v>
      </c>
      <c r="BK210" s="407">
        <v>35931.24</v>
      </c>
      <c r="BL210" s="407">
        <v>6</v>
      </c>
      <c r="BM210" s="407"/>
      <c r="BN210" s="407"/>
      <c r="BO210" s="407"/>
      <c r="BP210" s="407"/>
      <c r="BQ210" s="407"/>
      <c r="BR210" s="407"/>
      <c r="BS210" s="407"/>
      <c r="BT210" s="407"/>
      <c r="BU210" s="407"/>
      <c r="BV210" s="407">
        <v>0</v>
      </c>
      <c r="BW210" s="407"/>
      <c r="BX210" s="407"/>
      <c r="BY210" s="407"/>
      <c r="BZ210" s="407"/>
      <c r="CA210" s="407"/>
      <c r="CB210" s="407"/>
      <c r="CC210" s="407"/>
      <c r="CD210" s="407"/>
      <c r="CE210" s="407"/>
      <c r="CF210" s="407"/>
      <c r="CG210" s="407"/>
      <c r="CH210" s="407"/>
      <c r="CI210" s="407">
        <v>31078.720000000001</v>
      </c>
      <c r="CJ210" s="407">
        <v>-9094.4300000000076</v>
      </c>
      <c r="CK210" s="407"/>
      <c r="CL210" s="407"/>
      <c r="CM210" s="407"/>
      <c r="CN210" s="407"/>
      <c r="CO210" s="407">
        <v>-9094.3999999999978</v>
      </c>
      <c r="CP210" s="407">
        <v>0</v>
      </c>
      <c r="CQ210" s="407">
        <v>31</v>
      </c>
      <c r="CR210" s="407">
        <v>207.55661475920715</v>
      </c>
      <c r="CS210" s="407">
        <v>0</v>
      </c>
      <c r="CT210" s="407">
        <v>0</v>
      </c>
      <c r="CU210" s="407">
        <v>0</v>
      </c>
      <c r="CV210" s="407">
        <v>0</v>
      </c>
      <c r="CW210" s="407"/>
      <c r="CX210" s="407"/>
      <c r="CY210" s="407"/>
      <c r="CZ210" s="407">
        <v>991.98487721588026</v>
      </c>
      <c r="DA210" s="407">
        <v>0</v>
      </c>
      <c r="DB210" s="407">
        <v>0</v>
      </c>
      <c r="DC210" s="407"/>
      <c r="DD210" s="407"/>
      <c r="DE210" s="407">
        <v>0</v>
      </c>
      <c r="DF210" s="407">
        <v>0</v>
      </c>
      <c r="DG210" s="407">
        <v>0</v>
      </c>
      <c r="DH210" s="407">
        <v>0</v>
      </c>
      <c r="DI210" s="407">
        <v>0</v>
      </c>
      <c r="DJ210" s="407"/>
      <c r="DK210" s="407">
        <v>0</v>
      </c>
      <c r="DL210" s="407">
        <v>0</v>
      </c>
      <c r="DM210" s="407"/>
      <c r="DN210" s="407">
        <v>0</v>
      </c>
      <c r="DO210" s="407">
        <v>0</v>
      </c>
      <c r="DP210" s="407">
        <v>0</v>
      </c>
      <c r="DQ210" s="407">
        <v>0</v>
      </c>
      <c r="DR210" s="407">
        <v>-784.42826245667197</v>
      </c>
      <c r="DS210" s="407"/>
      <c r="DT210" s="407"/>
      <c r="DU210" s="407">
        <v>18215.885632856844</v>
      </c>
      <c r="DV210" s="407"/>
      <c r="DW210" s="407">
        <v>0</v>
      </c>
      <c r="DX210" s="407">
        <v>0</v>
      </c>
      <c r="DY210" s="407">
        <v>-9094.4000000000015</v>
      </c>
      <c r="DZ210" s="407"/>
      <c r="EA210" s="407">
        <v>0</v>
      </c>
      <c r="EB210" s="407"/>
      <c r="EC210" s="407">
        <v>-9304.7166899046952</v>
      </c>
      <c r="ED210" s="407"/>
      <c r="EE210" s="407">
        <v>0</v>
      </c>
      <c r="EF210" s="407">
        <v>0</v>
      </c>
      <c r="EG210" s="407"/>
      <c r="EH210" s="407">
        <v>0</v>
      </c>
      <c r="EI210" s="407">
        <v>0</v>
      </c>
      <c r="EJ210" s="407">
        <v>0</v>
      </c>
      <c r="EK210" s="407">
        <v>0</v>
      </c>
      <c r="EL210" s="407">
        <v>0</v>
      </c>
      <c r="EM210" s="407"/>
      <c r="EN210" s="407"/>
      <c r="EO210" s="407">
        <v>0</v>
      </c>
      <c r="EP210" s="407">
        <v>0</v>
      </c>
      <c r="EQ210" s="407"/>
      <c r="ER210" s="407">
        <v>0</v>
      </c>
      <c r="ES210" s="407"/>
      <c r="ET210" s="407">
        <v>0</v>
      </c>
      <c r="EU210" s="407"/>
      <c r="EV210" s="407">
        <v>246</v>
      </c>
      <c r="EW210" s="407"/>
      <c r="EX210" s="407"/>
      <c r="EY210" s="407"/>
      <c r="EZ210" s="407"/>
      <c r="FA210" s="407">
        <v>0</v>
      </c>
      <c r="FB210" s="407"/>
      <c r="FC210" s="407"/>
      <c r="FD210" s="407"/>
      <c r="FE210" s="407"/>
      <c r="FF210" s="407">
        <v>0</v>
      </c>
      <c r="FG210" s="407">
        <v>0</v>
      </c>
      <c r="FH210" s="407">
        <v>0</v>
      </c>
      <c r="FI210" s="407">
        <v>0</v>
      </c>
    </row>
    <row r="211" spans="1:165">
      <c r="A211" s="407">
        <v>222</v>
      </c>
      <c r="B211" s="407" t="s">
        <v>1090</v>
      </c>
      <c r="C211" s="407" t="s">
        <v>2306</v>
      </c>
      <c r="D211" s="407" t="s">
        <v>2315</v>
      </c>
      <c r="E211" s="407" t="s">
        <v>1026</v>
      </c>
      <c r="F211" s="407" t="s">
        <v>97</v>
      </c>
      <c r="G211" s="407" t="s">
        <v>97</v>
      </c>
      <c r="H211" s="407" t="s">
        <v>97</v>
      </c>
      <c r="I211" s="407" t="s">
        <v>97</v>
      </c>
      <c r="J211" s="407" t="s">
        <v>2307</v>
      </c>
      <c r="K211" s="818">
        <v>44470</v>
      </c>
      <c r="L211" s="407">
        <v>0</v>
      </c>
      <c r="M211" s="407">
        <v>0</v>
      </c>
      <c r="N211" s="407">
        <v>3903.623</v>
      </c>
      <c r="O211" s="407">
        <v>3903.623</v>
      </c>
      <c r="P211" s="407">
        <v>3903.623</v>
      </c>
      <c r="Q211" s="407">
        <v>3903.623</v>
      </c>
      <c r="R211" s="407"/>
      <c r="S211" s="407">
        <v>648.44000000000005</v>
      </c>
      <c r="T211" s="407">
        <v>159.41</v>
      </c>
      <c r="U211" s="407"/>
      <c r="V211" s="407">
        <v>3153541.8405500003</v>
      </c>
      <c r="W211" s="407">
        <v>3153541.8405500003</v>
      </c>
      <c r="X211" s="407">
        <v>2388314.6238600002</v>
      </c>
      <c r="Y211" s="407">
        <v>0</v>
      </c>
      <c r="Z211" s="407">
        <v>241908.49567505866</v>
      </c>
      <c r="AA211" s="407">
        <v>0</v>
      </c>
      <c r="AB211" s="407">
        <v>0</v>
      </c>
      <c r="AC211" s="407">
        <v>0</v>
      </c>
      <c r="AD211" s="407">
        <v>455335.86498263816</v>
      </c>
      <c r="AE211" s="407">
        <v>1629942.1331942219</v>
      </c>
      <c r="AF211" s="407">
        <v>602058.57306777663</v>
      </c>
      <c r="AG211" s="407">
        <v>20227.587698875446</v>
      </c>
      <c r="AH211" s="407">
        <v>0</v>
      </c>
      <c r="AI211" s="407">
        <v>0</v>
      </c>
      <c r="AJ211" s="407">
        <v>0</v>
      </c>
      <c r="AK211" s="407">
        <v>0</v>
      </c>
      <c r="AL211" s="407">
        <v>37381.309916430051</v>
      </c>
      <c r="AM211" s="407"/>
      <c r="AN211" s="407">
        <v>8100.3910693710568</v>
      </c>
      <c r="AO211" s="407">
        <v>0</v>
      </c>
      <c r="AP211" s="407">
        <v>0</v>
      </c>
      <c r="AQ211" s="407">
        <v>0</v>
      </c>
      <c r="AR211" s="407">
        <v>0</v>
      </c>
      <c r="AS211" s="407">
        <v>0</v>
      </c>
      <c r="AT211" s="407">
        <v>0</v>
      </c>
      <c r="AU211" s="407">
        <v>0</v>
      </c>
      <c r="AV211" s="407">
        <v>0</v>
      </c>
      <c r="AW211" s="407">
        <v>0</v>
      </c>
      <c r="AX211" s="407">
        <v>0</v>
      </c>
      <c r="AY211" s="407">
        <v>0</v>
      </c>
      <c r="AZ211" s="407">
        <v>0</v>
      </c>
      <c r="BA211" s="407"/>
      <c r="BB211" s="407">
        <v>0</v>
      </c>
      <c r="BC211" s="407">
        <v>0</v>
      </c>
      <c r="BD211" s="407">
        <v>0</v>
      </c>
      <c r="BE211" s="407">
        <v>0</v>
      </c>
      <c r="BF211" s="407">
        <v>0</v>
      </c>
      <c r="BG211" s="407">
        <v>44008.559175535673</v>
      </c>
      <c r="BH211" s="407">
        <v>0</v>
      </c>
      <c r="BI211" s="407">
        <v>13611.92</v>
      </c>
      <c r="BJ211" s="407">
        <v>59763.05</v>
      </c>
      <c r="BK211" s="407">
        <v>244087.41</v>
      </c>
      <c r="BL211" s="407">
        <v>14037</v>
      </c>
      <c r="BM211" s="407"/>
      <c r="BN211" s="407"/>
      <c r="BO211" s="407"/>
      <c r="BP211" s="407"/>
      <c r="BQ211" s="407"/>
      <c r="BR211" s="407">
        <v>286604.00066000008</v>
      </c>
      <c r="BS211" s="407"/>
      <c r="BT211" s="407"/>
      <c r="BU211" s="407"/>
      <c r="BV211" s="407">
        <v>646067.13224331231</v>
      </c>
      <c r="BW211" s="407"/>
      <c r="BX211" s="407"/>
      <c r="BY211" s="407"/>
      <c r="BZ211" s="407"/>
      <c r="CA211" s="407"/>
      <c r="CB211" s="407"/>
      <c r="CC211" s="407"/>
      <c r="CD211" s="407"/>
      <c r="CE211" s="407"/>
      <c r="CF211" s="407"/>
      <c r="CG211" s="407"/>
      <c r="CH211" s="407"/>
      <c r="CI211" s="407">
        <v>2101709.0079999999</v>
      </c>
      <c r="CJ211" s="407">
        <v>-673415.64892999968</v>
      </c>
      <c r="CK211" s="407"/>
      <c r="CL211" s="407"/>
      <c r="CM211" s="407"/>
      <c r="CN211" s="407"/>
      <c r="CO211" s="407">
        <v>-872459.74050000019</v>
      </c>
      <c r="CP211" s="407">
        <v>107232.52381</v>
      </c>
      <c r="CQ211" s="407">
        <v>31</v>
      </c>
      <c r="CR211" s="407">
        <v>67353.181568338769</v>
      </c>
      <c r="CS211" s="407">
        <v>0</v>
      </c>
      <c r="CT211" s="407">
        <v>0</v>
      </c>
      <c r="CU211" s="407">
        <v>0</v>
      </c>
      <c r="CV211" s="407">
        <v>0</v>
      </c>
      <c r="CW211" s="407">
        <v>0</v>
      </c>
      <c r="CX211" s="407">
        <v>0</v>
      </c>
      <c r="CY211" s="407">
        <v>0</v>
      </c>
      <c r="CZ211" s="407">
        <v>20568.423865787918</v>
      </c>
      <c r="DA211" s="407">
        <v>0</v>
      </c>
      <c r="DB211" s="407">
        <v>0</v>
      </c>
      <c r="DC211" s="407">
        <v>119371.9565413798</v>
      </c>
      <c r="DD211" s="407">
        <v>0</v>
      </c>
      <c r="DE211" s="407">
        <v>0</v>
      </c>
      <c r="DF211" s="407">
        <v>0</v>
      </c>
      <c r="DG211" s="407">
        <v>8725.7088402251029</v>
      </c>
      <c r="DH211" s="407">
        <v>0</v>
      </c>
      <c r="DI211" s="407">
        <v>-16943.748261247354</v>
      </c>
      <c r="DJ211" s="407"/>
      <c r="DK211" s="407">
        <v>0</v>
      </c>
      <c r="DL211" s="407">
        <v>0</v>
      </c>
      <c r="DM211" s="407">
        <v>0</v>
      </c>
      <c r="DN211" s="407">
        <v>0</v>
      </c>
      <c r="DO211" s="407">
        <v>-2280.6851888962119</v>
      </c>
      <c r="DP211" s="407">
        <v>-516.13736295221224</v>
      </c>
      <c r="DQ211" s="407">
        <v>0</v>
      </c>
      <c r="DR211" s="407">
        <v>-61572.336865958547</v>
      </c>
      <c r="DS211" s="407"/>
      <c r="DT211" s="407"/>
      <c r="DU211" s="407"/>
      <c r="DV211" s="407">
        <v>1629942.1331942219</v>
      </c>
      <c r="DW211" s="407">
        <v>0</v>
      </c>
      <c r="DX211" s="407">
        <v>0</v>
      </c>
      <c r="DY211" s="407">
        <v>-872459.74050000031</v>
      </c>
      <c r="DZ211" s="407">
        <v>107232.52380999993</v>
      </c>
      <c r="EA211" s="407">
        <v>0</v>
      </c>
      <c r="EB211" s="407">
        <v>0</v>
      </c>
      <c r="EC211" s="407">
        <v>-832578.22737727466</v>
      </c>
      <c r="ED211" s="407">
        <v>0</v>
      </c>
      <c r="EE211" s="407">
        <v>0</v>
      </c>
      <c r="EF211" s="407">
        <v>0</v>
      </c>
      <c r="EG211" s="407">
        <v>0</v>
      </c>
      <c r="EH211" s="407">
        <v>0</v>
      </c>
      <c r="EI211" s="407">
        <v>0</v>
      </c>
      <c r="EJ211" s="407">
        <v>0</v>
      </c>
      <c r="EK211" s="407">
        <v>0</v>
      </c>
      <c r="EL211" s="407">
        <v>0</v>
      </c>
      <c r="EM211" s="407">
        <v>0</v>
      </c>
      <c r="EN211" s="407">
        <v>0</v>
      </c>
      <c r="EO211" s="407">
        <v>0</v>
      </c>
      <c r="EP211" s="407">
        <v>114587.72917605656</v>
      </c>
      <c r="EQ211" s="407">
        <v>0</v>
      </c>
      <c r="ER211" s="407">
        <v>0</v>
      </c>
      <c r="ES211" s="407">
        <v>0</v>
      </c>
      <c r="ET211" s="407">
        <v>0</v>
      </c>
      <c r="EU211" s="407">
        <v>0</v>
      </c>
      <c r="EV211" s="407">
        <v>246</v>
      </c>
      <c r="EW211" s="407">
        <v>0</v>
      </c>
      <c r="EX211" s="407">
        <v>0</v>
      </c>
      <c r="EY211" s="407">
        <v>0</v>
      </c>
      <c r="EZ211" s="407"/>
      <c r="FA211" s="407">
        <v>0</v>
      </c>
      <c r="FB211" s="407"/>
      <c r="FC211" s="407"/>
      <c r="FD211" s="407"/>
      <c r="FE211" s="407"/>
      <c r="FF211" s="407">
        <v>0</v>
      </c>
      <c r="FG211" s="407">
        <v>0</v>
      </c>
      <c r="FH211" s="407">
        <v>0</v>
      </c>
      <c r="FI211" s="407">
        <v>0</v>
      </c>
    </row>
    <row r="212" spans="1:165">
      <c r="A212" s="407">
        <v>223</v>
      </c>
      <c r="B212" s="407" t="s">
        <v>2308</v>
      </c>
      <c r="C212" s="407" t="s">
        <v>2306</v>
      </c>
      <c r="D212" s="407" t="s">
        <v>2315</v>
      </c>
      <c r="E212" s="407" t="s">
        <v>1026</v>
      </c>
      <c r="F212" s="407" t="s">
        <v>97</v>
      </c>
      <c r="G212" s="407" t="s">
        <v>97</v>
      </c>
      <c r="H212" s="407" t="s">
        <v>97</v>
      </c>
      <c r="I212" s="407" t="s">
        <v>97</v>
      </c>
      <c r="J212" s="407" t="s">
        <v>2307</v>
      </c>
      <c r="K212" s="818">
        <v>44470</v>
      </c>
      <c r="L212" s="407">
        <v>0</v>
      </c>
      <c r="M212" s="407">
        <v>0</v>
      </c>
      <c r="N212" s="407">
        <v>-1.647</v>
      </c>
      <c r="O212" s="407">
        <v>-1.647</v>
      </c>
      <c r="P212" s="407">
        <v>-1.647</v>
      </c>
      <c r="Q212" s="407">
        <v>-1.647</v>
      </c>
      <c r="R212" s="407"/>
      <c r="S212" s="407">
        <v>648.44000000000005</v>
      </c>
      <c r="T212" s="407">
        <v>159.41</v>
      </c>
      <c r="U212" s="407"/>
      <c r="V212" s="407">
        <v>-1330.5289500000001</v>
      </c>
      <c r="W212" s="407">
        <v>-1330.5289500000001</v>
      </c>
      <c r="X212" s="407">
        <v>-1007.6675399999999</v>
      </c>
      <c r="Y212" s="407">
        <v>0</v>
      </c>
      <c r="Z212" s="407">
        <v>-102.06500278762104</v>
      </c>
      <c r="AA212" s="407">
        <v>0</v>
      </c>
      <c r="AB212" s="407">
        <v>0</v>
      </c>
      <c r="AC212" s="407">
        <v>0</v>
      </c>
      <c r="AD212" s="407">
        <v>-192.11336997102566</v>
      </c>
      <c r="AE212" s="407">
        <v>-687.69824682631588</v>
      </c>
      <c r="AF212" s="407">
        <v>-254.01799042649051</v>
      </c>
      <c r="AG212" s="407">
        <v>-8.5343377011683401</v>
      </c>
      <c r="AH212" s="407">
        <v>0</v>
      </c>
      <c r="AI212" s="407">
        <v>0</v>
      </c>
      <c r="AJ212" s="407">
        <v>0</v>
      </c>
      <c r="AK212" s="407">
        <v>0</v>
      </c>
      <c r="AL212" s="407">
        <v>-15.77176316267229</v>
      </c>
      <c r="AM212" s="407"/>
      <c r="AN212" s="407">
        <v>-3.4176825198678586</v>
      </c>
      <c r="AO212" s="407">
        <v>0</v>
      </c>
      <c r="AP212" s="407">
        <v>0</v>
      </c>
      <c r="AQ212" s="407">
        <v>0</v>
      </c>
      <c r="AR212" s="407">
        <v>0</v>
      </c>
      <c r="AS212" s="407">
        <v>0</v>
      </c>
      <c r="AT212" s="407">
        <v>0</v>
      </c>
      <c r="AU212" s="407">
        <v>0</v>
      </c>
      <c r="AV212" s="407">
        <v>0</v>
      </c>
      <c r="AW212" s="407">
        <v>0</v>
      </c>
      <c r="AX212" s="407">
        <v>0</v>
      </c>
      <c r="AY212" s="407">
        <v>0</v>
      </c>
      <c r="AZ212" s="407">
        <v>0</v>
      </c>
      <c r="BA212" s="407"/>
      <c r="BB212" s="407">
        <v>0</v>
      </c>
      <c r="BC212" s="407">
        <v>0</v>
      </c>
      <c r="BD212" s="407">
        <v>0</v>
      </c>
      <c r="BE212" s="407">
        <v>0</v>
      </c>
      <c r="BF212" s="407">
        <v>0</v>
      </c>
      <c r="BG212" s="407">
        <v>-18.567903960527762</v>
      </c>
      <c r="BH212" s="407">
        <v>0</v>
      </c>
      <c r="BI212" s="407">
        <v>-4.18</v>
      </c>
      <c r="BJ212" s="407">
        <v>-20.16</v>
      </c>
      <c r="BK212" s="407">
        <v>-135.41</v>
      </c>
      <c r="BL212" s="407">
        <v>0</v>
      </c>
      <c r="BM212" s="407"/>
      <c r="BN212" s="407"/>
      <c r="BO212" s="407"/>
      <c r="BP212" s="407"/>
      <c r="BQ212" s="407"/>
      <c r="BR212" s="407">
        <v>-120.92274000000003</v>
      </c>
      <c r="BS212" s="407"/>
      <c r="BT212" s="407"/>
      <c r="BU212" s="407"/>
      <c r="BV212" s="407">
        <v>-272.5858943870183</v>
      </c>
      <c r="BW212" s="407"/>
      <c r="BX212" s="407"/>
      <c r="BY212" s="407"/>
      <c r="BZ212" s="407"/>
      <c r="CA212" s="407"/>
      <c r="CB212" s="407"/>
      <c r="CC212" s="407"/>
      <c r="CD212" s="407"/>
      <c r="CE212" s="407"/>
      <c r="CF212" s="407"/>
      <c r="CG212" s="407"/>
      <c r="CH212" s="407"/>
      <c r="CI212" s="407">
        <v>-888.3599999999999</v>
      </c>
      <c r="CJ212" s="407">
        <v>282.47877000000017</v>
      </c>
      <c r="CK212" s="407"/>
      <c r="CL212" s="407"/>
      <c r="CM212" s="407"/>
      <c r="CN212" s="407"/>
      <c r="CO212" s="407">
        <v>368.10450000000009</v>
      </c>
      <c r="CP212" s="407">
        <v>-45.243089999999995</v>
      </c>
      <c r="CQ212" s="407">
        <v>31</v>
      </c>
      <c r="CR212" s="407">
        <v>-28.417367671789293</v>
      </c>
      <c r="CS212" s="407">
        <v>0</v>
      </c>
      <c r="CT212" s="407">
        <v>0</v>
      </c>
      <c r="CU212" s="407">
        <v>0</v>
      </c>
      <c r="CV212" s="407">
        <v>0</v>
      </c>
      <c r="CW212" s="407">
        <v>0</v>
      </c>
      <c r="CX212" s="407">
        <v>0</v>
      </c>
      <c r="CY212" s="407">
        <v>0</v>
      </c>
      <c r="CZ212" s="407">
        <v>-8.6781418459089537</v>
      </c>
      <c r="DA212" s="407">
        <v>0</v>
      </c>
      <c r="DB212" s="407">
        <v>0</v>
      </c>
      <c r="DC212" s="407">
        <v>-50.364907785319559</v>
      </c>
      <c r="DD212" s="407">
        <v>0</v>
      </c>
      <c r="DE212" s="407">
        <v>0</v>
      </c>
      <c r="DF212" s="407">
        <v>0</v>
      </c>
      <c r="DG212" s="407">
        <v>-3.6815139320192394</v>
      </c>
      <c r="DH212" s="407">
        <v>0</v>
      </c>
      <c r="DI212" s="407">
        <v>7.1488341436338487</v>
      </c>
      <c r="DJ212" s="407"/>
      <c r="DK212" s="407">
        <v>0</v>
      </c>
      <c r="DL212" s="407">
        <v>0</v>
      </c>
      <c r="DM212" s="407">
        <v>0</v>
      </c>
      <c r="DN212" s="407">
        <v>0</v>
      </c>
      <c r="DO212" s="407">
        <v>0.96225698693548445</v>
      </c>
      <c r="DP212" s="407">
        <v>0.21776647918671799</v>
      </c>
      <c r="DQ212" s="407">
        <v>0</v>
      </c>
      <c r="DR212" s="407">
        <v>25.978338281702339</v>
      </c>
      <c r="DS212" s="407"/>
      <c r="DT212" s="407"/>
      <c r="DU212" s="407"/>
      <c r="DV212" s="407">
        <v>-687.69824682631588</v>
      </c>
      <c r="DW212" s="407">
        <v>0</v>
      </c>
      <c r="DX212" s="407">
        <v>0</v>
      </c>
      <c r="DY212" s="407">
        <v>368.10450000000014</v>
      </c>
      <c r="DZ212" s="407">
        <v>-45.243089999999995</v>
      </c>
      <c r="EA212" s="407">
        <v>0</v>
      </c>
      <c r="EB212" s="407">
        <v>0</v>
      </c>
      <c r="EC212" s="407">
        <v>351.27786174289156</v>
      </c>
      <c r="ED212" s="407">
        <v>0</v>
      </c>
      <c r="EE212" s="407">
        <v>0</v>
      </c>
      <c r="EF212" s="407">
        <v>0</v>
      </c>
      <c r="EG212" s="407">
        <v>0</v>
      </c>
      <c r="EH212" s="407">
        <v>0</v>
      </c>
      <c r="EI212" s="407">
        <v>0</v>
      </c>
      <c r="EJ212" s="407">
        <v>0</v>
      </c>
      <c r="EK212" s="407">
        <v>0</v>
      </c>
      <c r="EL212" s="407">
        <v>0</v>
      </c>
      <c r="EM212" s="407">
        <v>0</v>
      </c>
      <c r="EN212" s="407">
        <v>0</v>
      </c>
      <c r="EO212" s="407">
        <v>0</v>
      </c>
      <c r="EP212" s="407">
        <v>-48.346366939882557</v>
      </c>
      <c r="EQ212" s="407">
        <v>0</v>
      </c>
      <c r="ER212" s="407">
        <v>0</v>
      </c>
      <c r="ES212" s="407">
        <v>0</v>
      </c>
      <c r="ET212" s="407">
        <v>0</v>
      </c>
      <c r="EU212" s="407">
        <v>0</v>
      </c>
      <c r="EV212" s="407">
        <v>246</v>
      </c>
      <c r="EW212" s="407">
        <v>0</v>
      </c>
      <c r="EX212" s="407">
        <v>0</v>
      </c>
      <c r="EY212" s="407">
        <v>0</v>
      </c>
      <c r="EZ212" s="407"/>
      <c r="FA212" s="407">
        <v>0</v>
      </c>
      <c r="FB212" s="407"/>
      <c r="FC212" s="407"/>
      <c r="FD212" s="407"/>
      <c r="FE212" s="407"/>
      <c r="FF212" s="407">
        <v>0</v>
      </c>
      <c r="FG212" s="407">
        <v>0</v>
      </c>
      <c r="FH212" s="407">
        <v>0</v>
      </c>
      <c r="FI212" s="407">
        <v>0</v>
      </c>
    </row>
    <row r="213" spans="1:165">
      <c r="A213" s="407">
        <v>224</v>
      </c>
      <c r="B213" s="407" t="s">
        <v>2309</v>
      </c>
      <c r="C213" s="407" t="s">
        <v>2306</v>
      </c>
      <c r="D213" s="407" t="s">
        <v>2315</v>
      </c>
      <c r="E213" s="407" t="s">
        <v>1026</v>
      </c>
      <c r="F213" s="407" t="s">
        <v>97</v>
      </c>
      <c r="G213" s="407" t="s">
        <v>97</v>
      </c>
      <c r="H213" s="407" t="s">
        <v>97</v>
      </c>
      <c r="I213" s="407" t="s">
        <v>97</v>
      </c>
      <c r="J213" s="407" t="s">
        <v>2307</v>
      </c>
      <c r="K213" s="818">
        <v>44470</v>
      </c>
      <c r="L213" s="407">
        <v>0</v>
      </c>
      <c r="M213" s="407">
        <v>0</v>
      </c>
      <c r="N213" s="407">
        <v>104.88500000000001</v>
      </c>
      <c r="O213" s="407">
        <v>104.88500000000001</v>
      </c>
      <c r="P213" s="407">
        <v>104.88500000000001</v>
      </c>
      <c r="Q213" s="407">
        <v>104.88500000000001</v>
      </c>
      <c r="R213" s="407"/>
      <c r="S213" s="407">
        <v>648.44000000000005</v>
      </c>
      <c r="T213" s="407">
        <v>159.41</v>
      </c>
      <c r="U213" s="407"/>
      <c r="V213" s="407">
        <v>84731.347250000006</v>
      </c>
      <c r="W213" s="407">
        <v>84731.347250000006</v>
      </c>
      <c r="X213" s="407">
        <v>64170.740700000009</v>
      </c>
      <c r="Y213" s="407">
        <v>0</v>
      </c>
      <c r="Z213" s="407">
        <v>6499.7497373282531</v>
      </c>
      <c r="AA213" s="407">
        <v>0</v>
      </c>
      <c r="AB213" s="407">
        <v>0</v>
      </c>
      <c r="AC213" s="407">
        <v>0</v>
      </c>
      <c r="AD213" s="407">
        <v>12234.25064323681</v>
      </c>
      <c r="AE213" s="407">
        <v>43794.311243702577</v>
      </c>
      <c r="AF213" s="407">
        <v>16176.488722454436</v>
      </c>
      <c r="AG213" s="407">
        <v>543.48755906924191</v>
      </c>
      <c r="AH213" s="407">
        <v>0</v>
      </c>
      <c r="AI213" s="407">
        <v>0</v>
      </c>
      <c r="AJ213" s="407">
        <v>0</v>
      </c>
      <c r="AK213" s="407">
        <v>0</v>
      </c>
      <c r="AL213" s="407">
        <v>1004.3845654625884</v>
      </c>
      <c r="AM213" s="407"/>
      <c r="AN213" s="407">
        <v>217.64640625157278</v>
      </c>
      <c r="AO213" s="407">
        <v>0</v>
      </c>
      <c r="AP213" s="407">
        <v>0</v>
      </c>
      <c r="AQ213" s="407">
        <v>0</v>
      </c>
      <c r="AR213" s="407">
        <v>0</v>
      </c>
      <c r="AS213" s="407">
        <v>0</v>
      </c>
      <c r="AT213" s="407">
        <v>0</v>
      </c>
      <c r="AU213" s="407">
        <v>0</v>
      </c>
      <c r="AV213" s="407">
        <v>0</v>
      </c>
      <c r="AW213" s="407">
        <v>0</v>
      </c>
      <c r="AX213" s="407">
        <v>0</v>
      </c>
      <c r="AY213" s="407">
        <v>0</v>
      </c>
      <c r="AZ213" s="407">
        <v>0</v>
      </c>
      <c r="BA213" s="407"/>
      <c r="BB213" s="407">
        <v>0</v>
      </c>
      <c r="BC213" s="407">
        <v>0</v>
      </c>
      <c r="BD213" s="407">
        <v>0</v>
      </c>
      <c r="BE213" s="407">
        <v>0</v>
      </c>
      <c r="BF213" s="407">
        <v>0</v>
      </c>
      <c r="BG213" s="407">
        <v>1182.4496702489096</v>
      </c>
      <c r="BH213" s="407">
        <v>0</v>
      </c>
      <c r="BI213" s="407">
        <v>351.27</v>
      </c>
      <c r="BJ213" s="407">
        <v>1539.44</v>
      </c>
      <c r="BK213" s="407">
        <v>4178.87</v>
      </c>
      <c r="BL213" s="407">
        <v>277</v>
      </c>
      <c r="BM213" s="407"/>
      <c r="BN213" s="407"/>
      <c r="BO213" s="407"/>
      <c r="BP213" s="407"/>
      <c r="BQ213" s="407"/>
      <c r="BR213" s="407">
        <v>7700.6567000000014</v>
      </c>
      <c r="BS213" s="407"/>
      <c r="BT213" s="407"/>
      <c r="BU213" s="407"/>
      <c r="BV213" s="407">
        <v>17358.938392703345</v>
      </c>
      <c r="BW213" s="407"/>
      <c r="BX213" s="407"/>
      <c r="BY213" s="407"/>
      <c r="BZ213" s="407"/>
      <c r="CA213" s="407"/>
      <c r="CB213" s="407"/>
      <c r="CC213" s="407"/>
      <c r="CD213" s="407"/>
      <c r="CE213" s="407"/>
      <c r="CF213" s="407"/>
      <c r="CG213" s="407"/>
      <c r="CH213" s="407"/>
      <c r="CI213" s="407">
        <v>56472.775999999998</v>
      </c>
      <c r="CJ213" s="407">
        <v>-18091.049350000001</v>
      </c>
      <c r="CK213" s="407"/>
      <c r="CL213" s="407"/>
      <c r="CM213" s="407"/>
      <c r="CN213" s="407"/>
      <c r="CO213" s="407">
        <v>-23441.797500000008</v>
      </c>
      <c r="CP213" s="407">
        <v>2881.1909500000002</v>
      </c>
      <c r="CQ213" s="407">
        <v>31</v>
      </c>
      <c r="CR213" s="407">
        <v>1809.6876795723074</v>
      </c>
      <c r="CS213" s="407">
        <v>0</v>
      </c>
      <c r="CT213" s="407">
        <v>0</v>
      </c>
      <c r="CU213" s="407">
        <v>0</v>
      </c>
      <c r="CV213" s="407">
        <v>0</v>
      </c>
      <c r="CW213" s="407">
        <v>0</v>
      </c>
      <c r="CX213" s="407">
        <v>0</v>
      </c>
      <c r="CY213" s="407">
        <v>0</v>
      </c>
      <c r="CZ213" s="407">
        <v>552.64535974994578</v>
      </c>
      <c r="DA213" s="407">
        <v>0</v>
      </c>
      <c r="DB213" s="407">
        <v>0</v>
      </c>
      <c r="DC213" s="407">
        <v>3207.360870105189</v>
      </c>
      <c r="DD213" s="407">
        <v>0</v>
      </c>
      <c r="DE213" s="407">
        <v>0</v>
      </c>
      <c r="DF213" s="407">
        <v>0</v>
      </c>
      <c r="DG213" s="407">
        <v>234.44783774124971</v>
      </c>
      <c r="DH213" s="407">
        <v>0</v>
      </c>
      <c r="DI213" s="407">
        <v>-455.2552939617708</v>
      </c>
      <c r="DJ213" s="407"/>
      <c r="DK213" s="407">
        <v>0</v>
      </c>
      <c r="DL213" s="407">
        <v>0</v>
      </c>
      <c r="DM213" s="407">
        <v>0</v>
      </c>
      <c r="DN213" s="407">
        <v>0</v>
      </c>
      <c r="DO213" s="407">
        <v>-61.278885291273923</v>
      </c>
      <c r="DP213" s="407">
        <v>-13.867903563751639</v>
      </c>
      <c r="DQ213" s="407">
        <v>0</v>
      </c>
      <c r="DR213" s="407">
        <v>-1654.3643052072557</v>
      </c>
      <c r="DS213" s="407"/>
      <c r="DT213" s="407"/>
      <c r="DU213" s="407"/>
      <c r="DV213" s="407">
        <v>43794.311243702577</v>
      </c>
      <c r="DW213" s="407">
        <v>0</v>
      </c>
      <c r="DX213" s="407">
        <v>0</v>
      </c>
      <c r="DY213" s="407">
        <v>-23441.797500000001</v>
      </c>
      <c r="DZ213" s="407">
        <v>2881.1909500000002</v>
      </c>
      <c r="EA213" s="407">
        <v>0</v>
      </c>
      <c r="EB213" s="407">
        <v>0</v>
      </c>
      <c r="EC213" s="407">
        <v>-22370.235900973395</v>
      </c>
      <c r="ED213" s="407">
        <v>0</v>
      </c>
      <c r="EE213" s="407">
        <v>0</v>
      </c>
      <c r="EF213" s="407">
        <v>0</v>
      </c>
      <c r="EG213" s="407">
        <v>0</v>
      </c>
      <c r="EH213" s="407">
        <v>0</v>
      </c>
      <c r="EI213" s="407">
        <v>0</v>
      </c>
      <c r="EJ213" s="407">
        <v>0</v>
      </c>
      <c r="EK213" s="407">
        <v>0</v>
      </c>
      <c r="EL213" s="407">
        <v>0</v>
      </c>
      <c r="EM213" s="407">
        <v>0</v>
      </c>
      <c r="EN213" s="407">
        <v>0</v>
      </c>
      <c r="EO213" s="407">
        <v>0</v>
      </c>
      <c r="EP213" s="407">
        <v>3078.8152376985927</v>
      </c>
      <c r="EQ213" s="407">
        <v>0</v>
      </c>
      <c r="ER213" s="407">
        <v>0</v>
      </c>
      <c r="ES213" s="407">
        <v>0</v>
      </c>
      <c r="ET213" s="407">
        <v>0</v>
      </c>
      <c r="EU213" s="407">
        <v>0</v>
      </c>
      <c r="EV213" s="407">
        <v>246</v>
      </c>
      <c r="EW213" s="407">
        <v>0</v>
      </c>
      <c r="EX213" s="407">
        <v>0</v>
      </c>
      <c r="EY213" s="407">
        <v>0</v>
      </c>
      <c r="EZ213" s="407"/>
      <c r="FA213" s="407">
        <v>0</v>
      </c>
      <c r="FB213" s="407"/>
      <c r="FC213" s="407"/>
      <c r="FD213" s="407"/>
      <c r="FE213" s="407"/>
      <c r="FF213" s="407">
        <v>0</v>
      </c>
      <c r="FG213" s="407">
        <v>0</v>
      </c>
      <c r="FH213" s="407">
        <v>0</v>
      </c>
      <c r="FI213" s="407">
        <v>0</v>
      </c>
    </row>
    <row r="214" spans="1:165">
      <c r="A214" s="407">
        <v>225</v>
      </c>
      <c r="B214" s="407" t="s">
        <v>2309</v>
      </c>
      <c r="C214" s="407" t="s">
        <v>2306</v>
      </c>
      <c r="D214" s="407" t="s">
        <v>2315</v>
      </c>
      <c r="E214" s="407" t="s">
        <v>1026</v>
      </c>
      <c r="F214" s="407" t="s">
        <v>97</v>
      </c>
      <c r="G214" s="407" t="s">
        <v>97</v>
      </c>
      <c r="H214" s="407" t="s">
        <v>97</v>
      </c>
      <c r="I214" s="407" t="s">
        <v>97</v>
      </c>
      <c r="J214" s="407" t="s">
        <v>2307</v>
      </c>
      <c r="K214" s="818">
        <v>44470</v>
      </c>
      <c r="L214" s="407">
        <v>0</v>
      </c>
      <c r="M214" s="407">
        <v>0</v>
      </c>
      <c r="N214" s="407">
        <v>-0.88300000000000001</v>
      </c>
      <c r="O214" s="407">
        <v>-0.88300000000000001</v>
      </c>
      <c r="P214" s="407">
        <v>-0.88300000000000001</v>
      </c>
      <c r="Q214" s="407">
        <v>-0.88300000000000001</v>
      </c>
      <c r="R214" s="407"/>
      <c r="S214" s="407">
        <v>648.44000000000005</v>
      </c>
      <c r="T214" s="407">
        <v>159.41</v>
      </c>
      <c r="U214" s="407"/>
      <c r="V214" s="407">
        <v>-713.33155000000011</v>
      </c>
      <c r="W214" s="407">
        <v>-713.33155000000011</v>
      </c>
      <c r="X214" s="407">
        <v>-540.23705999999993</v>
      </c>
      <c r="Y214" s="407">
        <v>0</v>
      </c>
      <c r="Z214" s="407">
        <v>-54.71973130629592</v>
      </c>
      <c r="AA214" s="407">
        <v>0</v>
      </c>
      <c r="AB214" s="407">
        <v>0</v>
      </c>
      <c r="AC214" s="407">
        <v>0</v>
      </c>
      <c r="AD214" s="407">
        <v>-102.99702834512183</v>
      </c>
      <c r="AE214" s="407">
        <v>-368.69310986498903</v>
      </c>
      <c r="AF214" s="407">
        <v>-136.18572285767524</v>
      </c>
      <c r="AG214" s="407">
        <v>-4.5754828112517574</v>
      </c>
      <c r="AH214" s="407">
        <v>0</v>
      </c>
      <c r="AI214" s="407">
        <v>0</v>
      </c>
      <c r="AJ214" s="407">
        <v>0</v>
      </c>
      <c r="AK214" s="407">
        <v>0</v>
      </c>
      <c r="AL214" s="407">
        <v>-8.4556568747053014</v>
      </c>
      <c r="AM214" s="407"/>
      <c r="AN214" s="407">
        <v>-1.8323094505423918</v>
      </c>
      <c r="AO214" s="407">
        <v>0</v>
      </c>
      <c r="AP214" s="407">
        <v>0</v>
      </c>
      <c r="AQ214" s="407">
        <v>0</v>
      </c>
      <c r="AR214" s="407">
        <v>0</v>
      </c>
      <c r="AS214" s="407">
        <v>0</v>
      </c>
      <c r="AT214" s="407">
        <v>0</v>
      </c>
      <c r="AU214" s="407">
        <v>0</v>
      </c>
      <c r="AV214" s="407">
        <v>0</v>
      </c>
      <c r="AW214" s="407">
        <v>0</v>
      </c>
      <c r="AX214" s="407">
        <v>0</v>
      </c>
      <c r="AY214" s="407">
        <v>0</v>
      </c>
      <c r="AZ214" s="407">
        <v>0</v>
      </c>
      <c r="BA214" s="407"/>
      <c r="BB214" s="407">
        <v>0</v>
      </c>
      <c r="BC214" s="407">
        <v>0</v>
      </c>
      <c r="BD214" s="407">
        <v>0</v>
      </c>
      <c r="BE214" s="407">
        <v>0</v>
      </c>
      <c r="BF214" s="407">
        <v>0</v>
      </c>
      <c r="BG214" s="407">
        <v>-9.9547414676053503</v>
      </c>
      <c r="BH214" s="407">
        <v>0</v>
      </c>
      <c r="BI214" s="407">
        <v>-2</v>
      </c>
      <c r="BJ214" s="407">
        <v>-9.69</v>
      </c>
      <c r="BK214" s="407">
        <v>-0.52</v>
      </c>
      <c r="BL214" s="407">
        <v>2</v>
      </c>
      <c r="BM214" s="407"/>
      <c r="BN214" s="407"/>
      <c r="BO214" s="407"/>
      <c r="BP214" s="407"/>
      <c r="BQ214" s="407"/>
      <c r="BR214" s="407">
        <v>-64.829860000000011</v>
      </c>
      <c r="BS214" s="407"/>
      <c r="BT214" s="407"/>
      <c r="BU214" s="407"/>
      <c r="BV214" s="407">
        <v>-146.14046432528059</v>
      </c>
      <c r="BW214" s="407"/>
      <c r="BX214" s="407"/>
      <c r="BY214" s="407"/>
      <c r="BZ214" s="407"/>
      <c r="CA214" s="407"/>
      <c r="CB214" s="407"/>
      <c r="CC214" s="407"/>
      <c r="CD214" s="407"/>
      <c r="CE214" s="407"/>
      <c r="CF214" s="407"/>
      <c r="CG214" s="407"/>
      <c r="CH214" s="407"/>
      <c r="CI214" s="407">
        <v>-473.79199999999992</v>
      </c>
      <c r="CJ214" s="407">
        <v>153.91153000000008</v>
      </c>
      <c r="CK214" s="407"/>
      <c r="CL214" s="407"/>
      <c r="CM214" s="407"/>
      <c r="CN214" s="407"/>
      <c r="CO214" s="407">
        <v>197.35050000000004</v>
      </c>
      <c r="CP214" s="407">
        <v>-24.25601</v>
      </c>
      <c r="CQ214" s="407">
        <v>31</v>
      </c>
      <c r="CR214" s="407">
        <v>-15.235297907826293</v>
      </c>
      <c r="CS214" s="407">
        <v>0</v>
      </c>
      <c r="CT214" s="407">
        <v>0</v>
      </c>
      <c r="CU214" s="407">
        <v>0</v>
      </c>
      <c r="CV214" s="407">
        <v>0</v>
      </c>
      <c r="CW214" s="407">
        <v>0</v>
      </c>
      <c r="CX214" s="407">
        <v>0</v>
      </c>
      <c r="CY214" s="407">
        <v>0</v>
      </c>
      <c r="CZ214" s="407">
        <v>-4.6525799938904697</v>
      </c>
      <c r="DA214" s="407">
        <v>0</v>
      </c>
      <c r="DB214" s="407">
        <v>0</v>
      </c>
      <c r="DC214" s="407">
        <v>-27.001951168450006</v>
      </c>
      <c r="DD214" s="407">
        <v>0</v>
      </c>
      <c r="DE214" s="407">
        <v>0</v>
      </c>
      <c r="DF214" s="407">
        <v>0</v>
      </c>
      <c r="DG214" s="407">
        <v>-1.9737564067838438</v>
      </c>
      <c r="DH214" s="407">
        <v>0</v>
      </c>
      <c r="DI214" s="407">
        <v>3.8326779288577342</v>
      </c>
      <c r="DJ214" s="407"/>
      <c r="DK214" s="407">
        <v>0</v>
      </c>
      <c r="DL214" s="407">
        <v>0</v>
      </c>
      <c r="DM214" s="407">
        <v>0</v>
      </c>
      <c r="DN214" s="407">
        <v>0</v>
      </c>
      <c r="DO214" s="407">
        <v>0.51589126864847135</v>
      </c>
      <c r="DP214" s="407">
        <v>0.11675033462165874</v>
      </c>
      <c r="DQ214" s="407">
        <v>0</v>
      </c>
      <c r="DR214" s="407">
        <v>13.927670129170107</v>
      </c>
      <c r="DS214" s="407"/>
      <c r="DT214" s="407"/>
      <c r="DU214" s="407"/>
      <c r="DV214" s="407">
        <v>-368.69310986498903</v>
      </c>
      <c r="DW214" s="407">
        <v>0</v>
      </c>
      <c r="DX214" s="407">
        <v>0</v>
      </c>
      <c r="DY214" s="407">
        <v>197.35050000000007</v>
      </c>
      <c r="DZ214" s="407">
        <v>-24.256010000000003</v>
      </c>
      <c r="EA214" s="407">
        <v>0</v>
      </c>
      <c r="EB214" s="407">
        <v>0</v>
      </c>
      <c r="EC214" s="407">
        <v>188.32929685426427</v>
      </c>
      <c r="ED214" s="407">
        <v>0</v>
      </c>
      <c r="EE214" s="407">
        <v>0</v>
      </c>
      <c r="EF214" s="407">
        <v>0</v>
      </c>
      <c r="EG214" s="407">
        <v>0</v>
      </c>
      <c r="EH214" s="407">
        <v>0</v>
      </c>
      <c r="EI214" s="407">
        <v>0</v>
      </c>
      <c r="EJ214" s="407">
        <v>0</v>
      </c>
      <c r="EK214" s="407">
        <v>0</v>
      </c>
      <c r="EL214" s="407">
        <v>0</v>
      </c>
      <c r="EM214" s="407">
        <v>0</v>
      </c>
      <c r="EN214" s="407">
        <v>0</v>
      </c>
      <c r="EO214" s="407">
        <v>0</v>
      </c>
      <c r="EP214" s="407">
        <v>-25.91975835331894</v>
      </c>
      <c r="EQ214" s="407">
        <v>0</v>
      </c>
      <c r="ER214" s="407">
        <v>0</v>
      </c>
      <c r="ES214" s="407">
        <v>0</v>
      </c>
      <c r="ET214" s="407">
        <v>0</v>
      </c>
      <c r="EU214" s="407">
        <v>0</v>
      </c>
      <c r="EV214" s="407">
        <v>246</v>
      </c>
      <c r="EW214" s="407">
        <v>0</v>
      </c>
      <c r="EX214" s="407">
        <v>0</v>
      </c>
      <c r="EY214" s="407">
        <v>0</v>
      </c>
      <c r="EZ214" s="407"/>
      <c r="FA214" s="407">
        <v>0</v>
      </c>
      <c r="FB214" s="407"/>
      <c r="FC214" s="407"/>
      <c r="FD214" s="407"/>
      <c r="FE214" s="407"/>
      <c r="FF214" s="407">
        <v>0</v>
      </c>
      <c r="FG214" s="407">
        <v>0</v>
      </c>
      <c r="FH214" s="407">
        <v>0</v>
      </c>
      <c r="FI214" s="407">
        <v>0</v>
      </c>
    </row>
    <row r="215" spans="1:165">
      <c r="A215" s="407">
        <v>226</v>
      </c>
      <c r="B215" s="407" t="s">
        <v>1090</v>
      </c>
      <c r="C215" s="407" t="s">
        <v>2314</v>
      </c>
      <c r="D215" s="407" t="s">
        <v>650</v>
      </c>
      <c r="E215" s="407" t="s">
        <v>1026</v>
      </c>
      <c r="F215" s="407" t="s">
        <v>97</v>
      </c>
      <c r="G215" s="407" t="s">
        <v>97</v>
      </c>
      <c r="H215" s="407" t="s">
        <v>97</v>
      </c>
      <c r="I215" s="407" t="s">
        <v>1025</v>
      </c>
      <c r="J215" s="407" t="s">
        <v>2307</v>
      </c>
      <c r="K215" s="818">
        <v>44470</v>
      </c>
      <c r="L215" s="407">
        <v>0</v>
      </c>
      <c r="M215" s="407">
        <v>0</v>
      </c>
      <c r="N215" s="407">
        <v>34.173000000000002</v>
      </c>
      <c r="O215" s="407">
        <v>32.806080000000001</v>
      </c>
      <c r="P215" s="407">
        <v>34.173000000000002</v>
      </c>
      <c r="Q215" s="407">
        <v>32.806080000000001</v>
      </c>
      <c r="R215" s="407"/>
      <c r="S215" s="407">
        <v>2810.7</v>
      </c>
      <c r="T215" s="407">
        <v>159.41</v>
      </c>
      <c r="U215" s="407"/>
      <c r="V215" s="407">
        <v>101497.56903</v>
      </c>
      <c r="W215" s="407">
        <v>101497.56903</v>
      </c>
      <c r="X215" s="407">
        <v>64644.722370000003</v>
      </c>
      <c r="Y215" s="407">
        <v>0</v>
      </c>
      <c r="Z215" s="407">
        <v>1842.4071560579196</v>
      </c>
      <c r="AA215" s="407">
        <v>0</v>
      </c>
      <c r="AB215" s="407">
        <v>0</v>
      </c>
      <c r="AC215" s="407">
        <v>0</v>
      </c>
      <c r="AD215" s="407">
        <v>20863.14937280312</v>
      </c>
      <c r="AE215" s="407">
        <v>71930.368519499345</v>
      </c>
      <c r="AF215" s="407">
        <v>5270.5262822370742</v>
      </c>
      <c r="AG215" s="407">
        <v>177.07584836795732</v>
      </c>
      <c r="AH215" s="407">
        <v>0</v>
      </c>
      <c r="AI215" s="407">
        <v>0</v>
      </c>
      <c r="AJ215" s="407">
        <v>0</v>
      </c>
      <c r="AK215" s="407">
        <v>0</v>
      </c>
      <c r="AL215" s="407">
        <v>327.24253950091082</v>
      </c>
      <c r="AM215" s="407"/>
      <c r="AN215" s="407">
        <v>36.692690924969547</v>
      </c>
      <c r="AO215" s="407">
        <v>0</v>
      </c>
      <c r="AP215" s="407">
        <v>0</v>
      </c>
      <c r="AQ215" s="407">
        <v>0</v>
      </c>
      <c r="AR215" s="407">
        <v>0</v>
      </c>
      <c r="AS215" s="407">
        <v>0</v>
      </c>
      <c r="AT215" s="407">
        <v>0</v>
      </c>
      <c r="AU215" s="407">
        <v>0</v>
      </c>
      <c r="AV215" s="407">
        <v>0</v>
      </c>
      <c r="AW215" s="407">
        <v>0</v>
      </c>
      <c r="AX215" s="407">
        <v>0</v>
      </c>
      <c r="AY215" s="407">
        <v>0</v>
      </c>
      <c r="AZ215" s="407">
        <v>0</v>
      </c>
      <c r="BA215" s="407"/>
      <c r="BB215" s="407">
        <v>0</v>
      </c>
      <c r="BC215" s="407">
        <v>0</v>
      </c>
      <c r="BD215" s="407">
        <v>0</v>
      </c>
      <c r="BE215" s="407">
        <v>0</v>
      </c>
      <c r="BF215" s="407">
        <v>0</v>
      </c>
      <c r="BG215" s="407">
        <v>177.35357646805085</v>
      </c>
      <c r="BH215" s="407">
        <v>0</v>
      </c>
      <c r="BI215" s="407">
        <v>0</v>
      </c>
      <c r="BJ215" s="407">
        <v>0</v>
      </c>
      <c r="BK215" s="407">
        <v>0</v>
      </c>
      <c r="BL215" s="407">
        <v>0</v>
      </c>
      <c r="BM215" s="407"/>
      <c r="BN215" s="407"/>
      <c r="BO215" s="407"/>
      <c r="BP215" s="407"/>
      <c r="BQ215" s="407"/>
      <c r="BR215" s="407">
        <v>2585.7888948000009</v>
      </c>
      <c r="BS215" s="407"/>
      <c r="BT215" s="407"/>
      <c r="BU215" s="407"/>
      <c r="BV215" s="407">
        <v>5447.8798587051251</v>
      </c>
      <c r="BW215" s="407"/>
      <c r="BX215" s="407"/>
      <c r="BY215" s="407"/>
      <c r="BZ215" s="407"/>
      <c r="CA215" s="407"/>
      <c r="CB215" s="407"/>
      <c r="CC215" s="407"/>
      <c r="CD215" s="407"/>
      <c r="CE215" s="407"/>
      <c r="CF215" s="407"/>
      <c r="CG215" s="407"/>
      <c r="CH215" s="407"/>
      <c r="CI215" s="407">
        <v>62066.348900000005</v>
      </c>
      <c r="CJ215" s="407">
        <v>-35371.347368799987</v>
      </c>
      <c r="CK215" s="407"/>
      <c r="CL215" s="407"/>
      <c r="CM215" s="407"/>
      <c r="CN215" s="407"/>
      <c r="CO215" s="407">
        <v>-37791.578969999995</v>
      </c>
      <c r="CP215" s="407">
        <v>938.73230999999998</v>
      </c>
      <c r="CQ215" s="407">
        <v>31</v>
      </c>
      <c r="CR215" s="407">
        <v>-110.46753710812482</v>
      </c>
      <c r="CS215" s="407">
        <v>0</v>
      </c>
      <c r="CT215" s="407">
        <v>0</v>
      </c>
      <c r="CU215" s="407">
        <v>0</v>
      </c>
      <c r="CV215" s="407">
        <v>0</v>
      </c>
      <c r="CW215" s="407">
        <v>0</v>
      </c>
      <c r="CX215" s="407">
        <v>0</v>
      </c>
      <c r="CY215" s="407">
        <v>0</v>
      </c>
      <c r="CZ215" s="407">
        <v>942.42982483143351</v>
      </c>
      <c r="DA215" s="407">
        <v>0</v>
      </c>
      <c r="DB215" s="407">
        <v>0</v>
      </c>
      <c r="DC215" s="407">
        <v>1045.0030320265478</v>
      </c>
      <c r="DD215" s="407">
        <v>0</v>
      </c>
      <c r="DE215" s="407">
        <v>0</v>
      </c>
      <c r="DF215" s="407">
        <v>0</v>
      </c>
      <c r="DG215" s="407">
        <v>35.164424807915083</v>
      </c>
      <c r="DH215" s="407">
        <v>0</v>
      </c>
      <c r="DI215" s="407">
        <v>-129.04583181278031</v>
      </c>
      <c r="DJ215" s="407"/>
      <c r="DK215" s="407">
        <v>0</v>
      </c>
      <c r="DL215" s="407">
        <v>0</v>
      </c>
      <c r="DM215" s="407">
        <v>0</v>
      </c>
      <c r="DN215" s="407">
        <v>0</v>
      </c>
      <c r="DO215" s="407">
        <v>-19.96551792018596</v>
      </c>
      <c r="DP215" s="407">
        <v>-2.3379696821357996</v>
      </c>
      <c r="DQ215" s="407">
        <v>0</v>
      </c>
      <c r="DR215" s="407">
        <v>-1981.7154993589179</v>
      </c>
      <c r="DS215" s="407"/>
      <c r="DT215" s="407"/>
      <c r="DU215" s="407"/>
      <c r="DV215" s="407">
        <v>71930.368519499345</v>
      </c>
      <c r="DW215" s="407">
        <v>0</v>
      </c>
      <c r="DX215" s="407">
        <v>0</v>
      </c>
      <c r="DY215" s="407">
        <v>-37791.578969999995</v>
      </c>
      <c r="DZ215" s="407">
        <v>938.73231000000033</v>
      </c>
      <c r="EA215" s="407">
        <v>0</v>
      </c>
      <c r="EB215" s="407">
        <v>0</v>
      </c>
      <c r="EC215" s="407">
        <v>-36742.199306913935</v>
      </c>
      <c r="ED215" s="407">
        <v>0</v>
      </c>
      <c r="EE215" s="407">
        <v>0</v>
      </c>
      <c r="EF215" s="407">
        <v>0</v>
      </c>
      <c r="EG215" s="407">
        <v>0</v>
      </c>
      <c r="EH215" s="407">
        <v>0</v>
      </c>
      <c r="EI215" s="407">
        <v>0</v>
      </c>
      <c r="EJ215" s="407">
        <v>0</v>
      </c>
      <c r="EK215" s="407">
        <v>0</v>
      </c>
      <c r="EL215" s="407">
        <v>0</v>
      </c>
      <c r="EM215" s="407">
        <v>0</v>
      </c>
      <c r="EN215" s="407">
        <v>0</v>
      </c>
      <c r="EO215" s="407">
        <v>0</v>
      </c>
      <c r="EP215" s="407">
        <v>872.71532833627623</v>
      </c>
      <c r="EQ215" s="407">
        <v>0</v>
      </c>
      <c r="ER215" s="407">
        <v>0</v>
      </c>
      <c r="ES215" s="407">
        <v>0</v>
      </c>
      <c r="ET215" s="407">
        <v>0</v>
      </c>
      <c r="EU215" s="407">
        <v>0</v>
      </c>
      <c r="EV215" s="407">
        <v>246</v>
      </c>
      <c r="EW215" s="407">
        <v>0</v>
      </c>
      <c r="EX215" s="407">
        <v>0</v>
      </c>
      <c r="EY215" s="407">
        <v>0</v>
      </c>
      <c r="EZ215" s="407"/>
      <c r="FA215" s="407">
        <v>0</v>
      </c>
      <c r="FB215" s="407"/>
      <c r="FC215" s="407"/>
      <c r="FD215" s="407"/>
      <c r="FE215" s="407"/>
      <c r="FF215" s="407">
        <v>0</v>
      </c>
      <c r="FG215" s="407">
        <v>0</v>
      </c>
      <c r="FH215" s="407">
        <v>0</v>
      </c>
      <c r="FI215" s="407">
        <v>0</v>
      </c>
    </row>
    <row r="216" spans="1:165">
      <c r="A216" s="407">
        <v>227</v>
      </c>
      <c r="B216" s="407" t="s">
        <v>2309</v>
      </c>
      <c r="C216" s="407" t="s">
        <v>2314</v>
      </c>
      <c r="D216" s="407" t="s">
        <v>650</v>
      </c>
      <c r="E216" s="407" t="s">
        <v>1026</v>
      </c>
      <c r="F216" s="407" t="s">
        <v>97</v>
      </c>
      <c r="G216" s="407" t="s">
        <v>97</v>
      </c>
      <c r="H216" s="407" t="s">
        <v>97</v>
      </c>
      <c r="I216" s="407" t="s">
        <v>1025</v>
      </c>
      <c r="J216" s="407" t="s">
        <v>2307</v>
      </c>
      <c r="K216" s="818">
        <v>44470</v>
      </c>
      <c r="L216" s="407">
        <v>0</v>
      </c>
      <c r="M216" s="407">
        <v>0</v>
      </c>
      <c r="N216" s="407">
        <v>1.845</v>
      </c>
      <c r="O216" s="407">
        <v>1.7712000000000001</v>
      </c>
      <c r="P216" s="407">
        <v>1.845</v>
      </c>
      <c r="Q216" s="407">
        <v>1.7712000000000001</v>
      </c>
      <c r="R216" s="407"/>
      <c r="S216" s="407">
        <v>2810.7</v>
      </c>
      <c r="T216" s="407">
        <v>159.41</v>
      </c>
      <c r="U216" s="407"/>
      <c r="V216" s="407">
        <v>5479.8529499999995</v>
      </c>
      <c r="W216" s="407">
        <v>5479.8529499999995</v>
      </c>
      <c r="X216" s="407">
        <v>3490.1680499999998</v>
      </c>
      <c r="Y216" s="407">
        <v>0</v>
      </c>
      <c r="Z216" s="407">
        <v>99.471547798755196</v>
      </c>
      <c r="AA216" s="407">
        <v>0</v>
      </c>
      <c r="AB216" s="407">
        <v>0</v>
      </c>
      <c r="AC216" s="407">
        <v>0</v>
      </c>
      <c r="AD216" s="407">
        <v>1126.4012697984301</v>
      </c>
      <c r="AE216" s="407">
        <v>3883.5200280477657</v>
      </c>
      <c r="AF216" s="407">
        <v>284.5556723356861</v>
      </c>
      <c r="AG216" s="407">
        <v>9.56032365431426</v>
      </c>
      <c r="AH216" s="407">
        <v>0</v>
      </c>
      <c r="AI216" s="407">
        <v>0</v>
      </c>
      <c r="AJ216" s="407">
        <v>0</v>
      </c>
      <c r="AK216" s="407">
        <v>0</v>
      </c>
      <c r="AL216" s="407">
        <v>17.66782212211923</v>
      </c>
      <c r="AM216" s="407"/>
      <c r="AN216" s="407">
        <v>1.981038093131092</v>
      </c>
      <c r="AO216" s="407">
        <v>0</v>
      </c>
      <c r="AP216" s="407">
        <v>0</v>
      </c>
      <c r="AQ216" s="407">
        <v>0</v>
      </c>
      <c r="AR216" s="407">
        <v>0</v>
      </c>
      <c r="AS216" s="407">
        <v>0</v>
      </c>
      <c r="AT216" s="407">
        <v>0</v>
      </c>
      <c r="AU216" s="407">
        <v>0</v>
      </c>
      <c r="AV216" s="407">
        <v>0</v>
      </c>
      <c r="AW216" s="407">
        <v>0</v>
      </c>
      <c r="AX216" s="407">
        <v>0</v>
      </c>
      <c r="AY216" s="407">
        <v>0</v>
      </c>
      <c r="AZ216" s="407">
        <v>0</v>
      </c>
      <c r="BA216" s="407"/>
      <c r="BB216" s="407">
        <v>0</v>
      </c>
      <c r="BC216" s="407">
        <v>0</v>
      </c>
      <c r="BD216" s="407">
        <v>0</v>
      </c>
      <c r="BE216" s="407">
        <v>0</v>
      </c>
      <c r="BF216" s="407">
        <v>0</v>
      </c>
      <c r="BG216" s="407">
        <v>9.5753181922439872</v>
      </c>
      <c r="BH216" s="407">
        <v>0</v>
      </c>
      <c r="BI216" s="407">
        <v>0</v>
      </c>
      <c r="BJ216" s="407">
        <v>0</v>
      </c>
      <c r="BK216" s="407">
        <v>0</v>
      </c>
      <c r="BL216" s="407">
        <v>0</v>
      </c>
      <c r="BM216" s="407"/>
      <c r="BN216" s="407"/>
      <c r="BO216" s="407"/>
      <c r="BP216" s="407"/>
      <c r="BQ216" s="407"/>
      <c r="BR216" s="407">
        <v>139.60672199999973</v>
      </c>
      <c r="BS216" s="407"/>
      <c r="BT216" s="407"/>
      <c r="BU216" s="407"/>
      <c r="BV216" s="407">
        <v>294.13099052793007</v>
      </c>
      <c r="BW216" s="407"/>
      <c r="BX216" s="407"/>
      <c r="BY216" s="407"/>
      <c r="BZ216" s="407"/>
      <c r="CA216" s="407"/>
      <c r="CB216" s="407"/>
      <c r="CC216" s="407"/>
      <c r="CD216" s="407"/>
      <c r="CE216" s="407"/>
      <c r="CF216" s="407"/>
      <c r="CG216" s="407"/>
      <c r="CH216" s="407"/>
      <c r="CI216" s="407">
        <v>3348.2912999999999</v>
      </c>
      <c r="CJ216" s="407">
        <v>-1912.3975320000009</v>
      </c>
      <c r="CK216" s="407"/>
      <c r="CL216" s="407"/>
      <c r="CM216" s="407"/>
      <c r="CN216" s="407"/>
      <c r="CO216" s="407">
        <v>-2040.3670499999998</v>
      </c>
      <c r="CP216" s="407">
        <v>50.68215</v>
      </c>
      <c r="CQ216" s="407">
        <v>31</v>
      </c>
      <c r="CR216" s="407">
        <v>-5.9641414556663221</v>
      </c>
      <c r="CS216" s="407">
        <v>0</v>
      </c>
      <c r="CT216" s="407">
        <v>0</v>
      </c>
      <c r="CU216" s="407">
        <v>0</v>
      </c>
      <c r="CV216" s="407">
        <v>0</v>
      </c>
      <c r="CW216" s="407">
        <v>0</v>
      </c>
      <c r="CX216" s="407">
        <v>0</v>
      </c>
      <c r="CY216" s="407">
        <v>0</v>
      </c>
      <c r="CZ216" s="407">
        <v>50.881778796535173</v>
      </c>
      <c r="DA216" s="407">
        <v>0</v>
      </c>
      <c r="DB216" s="407">
        <v>0</v>
      </c>
      <c r="DC216" s="407">
        <v>56.419705442571058</v>
      </c>
      <c r="DD216" s="407">
        <v>0</v>
      </c>
      <c r="DE216" s="407">
        <v>0</v>
      </c>
      <c r="DF216" s="407">
        <v>0</v>
      </c>
      <c r="DG216" s="407">
        <v>1.8985270175461135</v>
      </c>
      <c r="DH216" s="407">
        <v>0</v>
      </c>
      <c r="DI216" s="407">
        <v>-6.967183439984197</v>
      </c>
      <c r="DJ216" s="407"/>
      <c r="DK216" s="407">
        <v>0</v>
      </c>
      <c r="DL216" s="407">
        <v>0</v>
      </c>
      <c r="DM216" s="407">
        <v>0</v>
      </c>
      <c r="DN216" s="407">
        <v>0</v>
      </c>
      <c r="DO216" s="407">
        <v>-1.0779381547637925</v>
      </c>
      <c r="DP216" s="407">
        <v>-0.12622696466627303</v>
      </c>
      <c r="DQ216" s="407">
        <v>0</v>
      </c>
      <c r="DR216" s="407">
        <v>-106.99280415290444</v>
      </c>
      <c r="DS216" s="407"/>
      <c r="DT216" s="407"/>
      <c r="DU216" s="407"/>
      <c r="DV216" s="407">
        <v>3883.5200280477657</v>
      </c>
      <c r="DW216" s="407">
        <v>0</v>
      </c>
      <c r="DX216" s="407">
        <v>0</v>
      </c>
      <c r="DY216" s="407">
        <v>-2040.3670499999994</v>
      </c>
      <c r="DZ216" s="407">
        <v>50.682149999999979</v>
      </c>
      <c r="EA216" s="407">
        <v>0</v>
      </c>
      <c r="EB216" s="407">
        <v>0</v>
      </c>
      <c r="EC216" s="407">
        <v>-1983.7110502811054</v>
      </c>
      <c r="ED216" s="407">
        <v>0</v>
      </c>
      <c r="EE216" s="407">
        <v>0</v>
      </c>
      <c r="EF216" s="407">
        <v>0</v>
      </c>
      <c r="EG216" s="407">
        <v>0</v>
      </c>
      <c r="EH216" s="407">
        <v>0</v>
      </c>
      <c r="EI216" s="407">
        <v>0</v>
      </c>
      <c r="EJ216" s="407">
        <v>0</v>
      </c>
      <c r="EK216" s="407">
        <v>0</v>
      </c>
      <c r="EL216" s="407">
        <v>0</v>
      </c>
      <c r="EM216" s="407">
        <v>0</v>
      </c>
      <c r="EN216" s="407">
        <v>0</v>
      </c>
      <c r="EO216" s="407">
        <v>0</v>
      </c>
      <c r="EP216" s="407">
        <v>47.117893681574039</v>
      </c>
      <c r="EQ216" s="407">
        <v>0</v>
      </c>
      <c r="ER216" s="407">
        <v>0</v>
      </c>
      <c r="ES216" s="407">
        <v>0</v>
      </c>
      <c r="ET216" s="407">
        <v>0</v>
      </c>
      <c r="EU216" s="407">
        <v>0</v>
      </c>
      <c r="EV216" s="407">
        <v>246</v>
      </c>
      <c r="EW216" s="407">
        <v>0</v>
      </c>
      <c r="EX216" s="407">
        <v>0</v>
      </c>
      <c r="EY216" s="407">
        <v>0</v>
      </c>
      <c r="EZ216" s="407"/>
      <c r="FA216" s="407">
        <v>0</v>
      </c>
      <c r="FB216" s="407"/>
      <c r="FC216" s="407"/>
      <c r="FD216" s="407"/>
      <c r="FE216" s="407"/>
      <c r="FF216" s="407">
        <v>0</v>
      </c>
      <c r="FG216" s="407">
        <v>0</v>
      </c>
      <c r="FH216" s="407">
        <v>0</v>
      </c>
      <c r="FI216" s="407">
        <v>0</v>
      </c>
    </row>
    <row r="217" spans="1:165">
      <c r="A217" s="407">
        <v>228</v>
      </c>
      <c r="B217" s="407" t="s">
        <v>1090</v>
      </c>
      <c r="C217" s="407" t="s">
        <v>2314</v>
      </c>
      <c r="D217" s="407" t="s">
        <v>650</v>
      </c>
      <c r="E217" s="407" t="s">
        <v>1026</v>
      </c>
      <c r="F217" s="407" t="s">
        <v>97</v>
      </c>
      <c r="G217" s="407" t="s">
        <v>97</v>
      </c>
      <c r="H217" s="407" t="s">
        <v>97</v>
      </c>
      <c r="I217" s="407" t="s">
        <v>2290</v>
      </c>
      <c r="J217" s="407" t="s">
        <v>2307</v>
      </c>
      <c r="K217" s="818">
        <v>44470</v>
      </c>
      <c r="L217" s="407">
        <v>0</v>
      </c>
      <c r="M217" s="407">
        <v>0</v>
      </c>
      <c r="N217" s="407">
        <v>703.90099999999995</v>
      </c>
      <c r="O217" s="407">
        <v>675.74495999999999</v>
      </c>
      <c r="P217" s="407">
        <v>703.90099999999995</v>
      </c>
      <c r="Q217" s="407">
        <v>675.74495999999999</v>
      </c>
      <c r="R217" s="407"/>
      <c r="S217" s="407">
        <v>95.29</v>
      </c>
      <c r="T217" s="407">
        <v>159.41</v>
      </c>
      <c r="U217" s="407"/>
      <c r="V217" s="407">
        <v>179283.58470000001</v>
      </c>
      <c r="W217" s="407">
        <v>179283.58470000001</v>
      </c>
      <c r="X217" s="407">
        <v>194917.22590999998</v>
      </c>
      <c r="Y217" s="407">
        <v>0</v>
      </c>
      <c r="Z217" s="407">
        <v>37950.201608179719</v>
      </c>
      <c r="AA217" s="407">
        <v>0</v>
      </c>
      <c r="AB217" s="407">
        <v>0</v>
      </c>
      <c r="AC217" s="407">
        <v>0</v>
      </c>
      <c r="AD217" s="407">
        <v>0</v>
      </c>
      <c r="AE217" s="407">
        <v>0</v>
      </c>
      <c r="AF217" s="407">
        <v>108563.15572507412</v>
      </c>
      <c r="AG217" s="407">
        <v>3647.4370626533669</v>
      </c>
      <c r="AH217" s="407">
        <v>0</v>
      </c>
      <c r="AI217" s="407">
        <v>0</v>
      </c>
      <c r="AJ217" s="407">
        <v>0</v>
      </c>
      <c r="AK217" s="407">
        <v>0</v>
      </c>
      <c r="AL217" s="407">
        <v>6740.5949374427364</v>
      </c>
      <c r="AM217" s="407"/>
      <c r="AN217" s="407">
        <v>755.8020025978692</v>
      </c>
      <c r="AO217" s="407">
        <v>0</v>
      </c>
      <c r="AP217" s="407">
        <v>0</v>
      </c>
      <c r="AQ217" s="407">
        <v>0</v>
      </c>
      <c r="AR217" s="407">
        <v>0</v>
      </c>
      <c r="AS217" s="407">
        <v>0</v>
      </c>
      <c r="AT217" s="407">
        <v>0</v>
      </c>
      <c r="AU217" s="407">
        <v>0</v>
      </c>
      <c r="AV217" s="407">
        <v>0</v>
      </c>
      <c r="AW217" s="407">
        <v>0</v>
      </c>
      <c r="AX217" s="407">
        <v>0</v>
      </c>
      <c r="AY217" s="407">
        <v>0</v>
      </c>
      <c r="AZ217" s="407">
        <v>0</v>
      </c>
      <c r="BA217" s="407"/>
      <c r="BB217" s="407">
        <v>0</v>
      </c>
      <c r="BC217" s="407">
        <v>0</v>
      </c>
      <c r="BD217" s="407">
        <v>0</v>
      </c>
      <c r="BE217" s="407">
        <v>0</v>
      </c>
      <c r="BF217" s="407">
        <v>0</v>
      </c>
      <c r="BG217" s="407">
        <v>3653.1577511321052</v>
      </c>
      <c r="BH217" s="407">
        <v>0</v>
      </c>
      <c r="BI217" s="407">
        <v>0</v>
      </c>
      <c r="BJ217" s="407">
        <v>0</v>
      </c>
      <c r="BK217" s="407">
        <v>0</v>
      </c>
      <c r="BL217" s="407">
        <v>0</v>
      </c>
      <c r="BM217" s="407"/>
      <c r="BN217" s="407"/>
      <c r="BO217" s="407"/>
      <c r="BP217" s="407"/>
      <c r="BQ217" s="407"/>
      <c r="BR217" s="407">
        <v>7796.6890363999892</v>
      </c>
      <c r="BS217" s="407"/>
      <c r="BT217" s="407"/>
      <c r="BU217" s="407"/>
      <c r="BV217" s="407">
        <v>112216.31347620623</v>
      </c>
      <c r="BW217" s="407"/>
      <c r="BX217" s="407"/>
      <c r="BY217" s="407"/>
      <c r="BZ217" s="407"/>
      <c r="CA217" s="407"/>
      <c r="CB217" s="407"/>
      <c r="CC217" s="407"/>
      <c r="CD217" s="407"/>
      <c r="CE217" s="407"/>
      <c r="CF217" s="407"/>
      <c r="CG217" s="407"/>
      <c r="CH217" s="407"/>
      <c r="CI217" s="407">
        <v>187119.16339999999</v>
      </c>
      <c r="CJ217" s="407">
        <v>15006.892087999993</v>
      </c>
      <c r="CK217" s="407"/>
      <c r="CL217" s="407"/>
      <c r="CM217" s="407"/>
      <c r="CN217" s="407"/>
      <c r="CO217" s="407">
        <v>-3702.5192600000032</v>
      </c>
      <c r="CP217" s="407">
        <v>19336.160469999999</v>
      </c>
      <c r="CQ217" s="407">
        <v>31</v>
      </c>
      <c r="CR217" s="407">
        <v>15631.416326464911</v>
      </c>
      <c r="CS217" s="407">
        <v>0</v>
      </c>
      <c r="CT217" s="407">
        <v>0</v>
      </c>
      <c r="CU217" s="407">
        <v>0</v>
      </c>
      <c r="CV217" s="407">
        <v>0</v>
      </c>
      <c r="CW217" s="407">
        <v>0</v>
      </c>
      <c r="CX217" s="407">
        <v>0</v>
      </c>
      <c r="CY217" s="407">
        <v>0</v>
      </c>
      <c r="CZ217" s="407">
        <v>0</v>
      </c>
      <c r="DA217" s="407">
        <v>0</v>
      </c>
      <c r="DB217" s="407">
        <v>0</v>
      </c>
      <c r="DC217" s="407">
        <v>21525.142049176822</v>
      </c>
      <c r="DD217" s="407">
        <v>0</v>
      </c>
      <c r="DE217" s="407">
        <v>0</v>
      </c>
      <c r="DF217" s="407">
        <v>0</v>
      </c>
      <c r="DG217" s="407">
        <v>724.32252909361932</v>
      </c>
      <c r="DH217" s="407">
        <v>0</v>
      </c>
      <c r="DI217" s="407">
        <v>-2658.1069867687329</v>
      </c>
      <c r="DJ217" s="407"/>
      <c r="DK217" s="407">
        <v>0</v>
      </c>
      <c r="DL217" s="407">
        <v>0</v>
      </c>
      <c r="DM217" s="407">
        <v>0</v>
      </c>
      <c r="DN217" s="407">
        <v>0</v>
      </c>
      <c r="DO217" s="407">
        <v>-411.25297836118716</v>
      </c>
      <c r="DP217" s="407">
        <v>-48.1578789460998</v>
      </c>
      <c r="DQ217" s="407">
        <v>0</v>
      </c>
      <c r="DR217" s="407">
        <v>-3500.5304077295059</v>
      </c>
      <c r="DS217" s="407"/>
      <c r="DT217" s="407"/>
      <c r="DU217" s="407"/>
      <c r="DV217" s="407">
        <v>0</v>
      </c>
      <c r="DW217" s="407">
        <v>0</v>
      </c>
      <c r="DX217" s="407">
        <v>0</v>
      </c>
      <c r="DY217" s="407">
        <v>-3702.5192600000082</v>
      </c>
      <c r="DZ217" s="407">
        <v>19336.160470000003</v>
      </c>
      <c r="EA217" s="407">
        <v>0</v>
      </c>
      <c r="EB217" s="407">
        <v>0</v>
      </c>
      <c r="EC217" s="407">
        <v>0</v>
      </c>
      <c r="ED217" s="407">
        <v>0</v>
      </c>
      <c r="EE217" s="407">
        <v>0</v>
      </c>
      <c r="EF217" s="407">
        <v>0</v>
      </c>
      <c r="EG217" s="407">
        <v>0</v>
      </c>
      <c r="EH217" s="407">
        <v>0</v>
      </c>
      <c r="EI217" s="407">
        <v>0</v>
      </c>
      <c r="EJ217" s="407">
        <v>0</v>
      </c>
      <c r="EK217" s="407">
        <v>0</v>
      </c>
      <c r="EL217" s="407">
        <v>0</v>
      </c>
      <c r="EM217" s="407">
        <v>0</v>
      </c>
      <c r="EN217" s="407">
        <v>0</v>
      </c>
      <c r="EO217" s="407">
        <v>0</v>
      </c>
      <c r="EP217" s="407">
        <v>17976.331967671355</v>
      </c>
      <c r="EQ217" s="407">
        <v>0</v>
      </c>
      <c r="ER217" s="407">
        <v>0</v>
      </c>
      <c r="ES217" s="407">
        <v>0</v>
      </c>
      <c r="ET217" s="407">
        <v>0</v>
      </c>
      <c r="EU217" s="407">
        <v>0</v>
      </c>
      <c r="EV217" s="407">
        <v>246</v>
      </c>
      <c r="EW217" s="407">
        <v>0</v>
      </c>
      <c r="EX217" s="407">
        <v>0</v>
      </c>
      <c r="EY217" s="407">
        <v>0</v>
      </c>
      <c r="EZ217" s="407"/>
      <c r="FA217" s="407">
        <v>0</v>
      </c>
      <c r="FB217" s="407"/>
      <c r="FC217" s="407"/>
      <c r="FD217" s="407"/>
      <c r="FE217" s="407"/>
      <c r="FF217" s="407">
        <v>0</v>
      </c>
      <c r="FG217" s="407">
        <v>0</v>
      </c>
      <c r="FH217" s="407">
        <v>0</v>
      </c>
      <c r="FI217" s="407">
        <v>0</v>
      </c>
    </row>
    <row r="218" spans="1:165">
      <c r="A218" s="407">
        <v>229</v>
      </c>
      <c r="B218" s="407" t="s">
        <v>2309</v>
      </c>
      <c r="C218" s="407" t="s">
        <v>2314</v>
      </c>
      <c r="D218" s="407" t="s">
        <v>650</v>
      </c>
      <c r="E218" s="407" t="s">
        <v>1026</v>
      </c>
      <c r="F218" s="407" t="s">
        <v>97</v>
      </c>
      <c r="G218" s="407" t="s">
        <v>97</v>
      </c>
      <c r="H218" s="407" t="s">
        <v>97</v>
      </c>
      <c r="I218" s="407" t="s">
        <v>2290</v>
      </c>
      <c r="J218" s="407" t="s">
        <v>2307</v>
      </c>
      <c r="K218" s="818">
        <v>44470</v>
      </c>
      <c r="L218" s="407">
        <v>0</v>
      </c>
      <c r="M218" s="407">
        <v>0</v>
      </c>
      <c r="N218" s="407">
        <v>28.138999999999999</v>
      </c>
      <c r="O218" s="407">
        <v>27.013439999999999</v>
      </c>
      <c r="P218" s="407">
        <v>28.138999999999999</v>
      </c>
      <c r="Q218" s="407">
        <v>27.013439999999999</v>
      </c>
      <c r="R218" s="407"/>
      <c r="S218" s="407">
        <v>95.29</v>
      </c>
      <c r="T218" s="407">
        <v>159.41</v>
      </c>
      <c r="U218" s="407"/>
      <c r="V218" s="407">
        <v>7167.0033000000003</v>
      </c>
      <c r="W218" s="407">
        <v>7167.0033000000003</v>
      </c>
      <c r="X218" s="407">
        <v>7791.9704899999997</v>
      </c>
      <c r="Y218" s="407">
        <v>0</v>
      </c>
      <c r="Z218" s="407">
        <v>1517.0893677556489</v>
      </c>
      <c r="AA218" s="407">
        <v>0</v>
      </c>
      <c r="AB218" s="407">
        <v>0</v>
      </c>
      <c r="AC218" s="407">
        <v>0</v>
      </c>
      <c r="AD218" s="407">
        <v>0</v>
      </c>
      <c r="AE218" s="407">
        <v>0</v>
      </c>
      <c r="AF218" s="407">
        <v>4339.898137590174</v>
      </c>
      <c r="AG218" s="407">
        <v>145.80918553319728</v>
      </c>
      <c r="AH218" s="407">
        <v>0</v>
      </c>
      <c r="AI218" s="407">
        <v>0</v>
      </c>
      <c r="AJ218" s="407">
        <v>0</v>
      </c>
      <c r="AK218" s="407">
        <v>0</v>
      </c>
      <c r="AL218" s="407">
        <v>269.46062151453282</v>
      </c>
      <c r="AM218" s="407"/>
      <c r="AN218" s="407">
        <v>30.213783687054633</v>
      </c>
      <c r="AO218" s="407">
        <v>0</v>
      </c>
      <c r="AP218" s="407">
        <v>0</v>
      </c>
      <c r="AQ218" s="407">
        <v>0</v>
      </c>
      <c r="AR218" s="407">
        <v>0</v>
      </c>
      <c r="AS218" s="407">
        <v>0</v>
      </c>
      <c r="AT218" s="407">
        <v>0</v>
      </c>
      <c r="AU218" s="407">
        <v>0</v>
      </c>
      <c r="AV218" s="407">
        <v>0</v>
      </c>
      <c r="AW218" s="407">
        <v>0</v>
      </c>
      <c r="AX218" s="407">
        <v>0</v>
      </c>
      <c r="AY218" s="407">
        <v>0</v>
      </c>
      <c r="AZ218" s="407">
        <v>0</v>
      </c>
      <c r="BA218" s="407"/>
      <c r="BB218" s="407">
        <v>0</v>
      </c>
      <c r="BC218" s="407">
        <v>0</v>
      </c>
      <c r="BD218" s="407">
        <v>0</v>
      </c>
      <c r="BE218" s="407">
        <v>0</v>
      </c>
      <c r="BF218" s="407">
        <v>0</v>
      </c>
      <c r="BG218" s="407">
        <v>146.03787458620789</v>
      </c>
      <c r="BH218" s="407">
        <v>0</v>
      </c>
      <c r="BI218" s="407">
        <v>0</v>
      </c>
      <c r="BJ218" s="407">
        <v>0</v>
      </c>
      <c r="BK218" s="407">
        <v>0</v>
      </c>
      <c r="BL218" s="407">
        <v>0</v>
      </c>
      <c r="BM218" s="407"/>
      <c r="BN218" s="407"/>
      <c r="BO218" s="407"/>
      <c r="BP218" s="407"/>
      <c r="BQ218" s="407"/>
      <c r="BR218" s="407">
        <v>311.6788196</v>
      </c>
      <c r="BS218" s="407"/>
      <c r="BT218" s="407"/>
      <c r="BU218" s="407"/>
      <c r="BV218" s="407">
        <v>4485.9360121763821</v>
      </c>
      <c r="BW218" s="407"/>
      <c r="BX218" s="407"/>
      <c r="BY218" s="407"/>
      <c r="BZ218" s="407"/>
      <c r="CA218" s="407"/>
      <c r="CB218" s="407"/>
      <c r="CC218" s="407"/>
      <c r="CD218" s="407"/>
      <c r="CE218" s="407"/>
      <c r="CF218" s="407"/>
      <c r="CG218" s="407"/>
      <c r="CH218" s="407"/>
      <c r="CI218" s="407">
        <v>7479.3391000000011</v>
      </c>
      <c r="CJ218" s="407">
        <v>598.9859320000005</v>
      </c>
      <c r="CK218" s="407"/>
      <c r="CL218" s="407"/>
      <c r="CM218" s="407"/>
      <c r="CN218" s="407"/>
      <c r="CO218" s="407">
        <v>-148.01114000000015</v>
      </c>
      <c r="CP218" s="407">
        <v>772.97832999999991</v>
      </c>
      <c r="CQ218" s="407">
        <v>31</v>
      </c>
      <c r="CR218" s="407">
        <v>624.87824851846472</v>
      </c>
      <c r="CS218" s="407">
        <v>0</v>
      </c>
      <c r="CT218" s="407">
        <v>0</v>
      </c>
      <c r="CU218" s="407">
        <v>0</v>
      </c>
      <c r="CV218" s="407">
        <v>0</v>
      </c>
      <c r="CW218" s="407">
        <v>0</v>
      </c>
      <c r="CX218" s="407">
        <v>0</v>
      </c>
      <c r="CY218" s="407">
        <v>0</v>
      </c>
      <c r="CZ218" s="407">
        <v>0</v>
      </c>
      <c r="DA218" s="407">
        <v>0</v>
      </c>
      <c r="DB218" s="407">
        <v>0</v>
      </c>
      <c r="DC218" s="407">
        <v>860.48460241111479</v>
      </c>
      <c r="DD218" s="407">
        <v>0</v>
      </c>
      <c r="DE218" s="407">
        <v>0</v>
      </c>
      <c r="DF218" s="407">
        <v>0</v>
      </c>
      <c r="DG218" s="407">
        <v>28.955366800395694</v>
      </c>
      <c r="DH218" s="407">
        <v>0</v>
      </c>
      <c r="DI218" s="407">
        <v>-106.25993215052313</v>
      </c>
      <c r="DJ218" s="407"/>
      <c r="DK218" s="407">
        <v>0</v>
      </c>
      <c r="DL218" s="407">
        <v>0</v>
      </c>
      <c r="DM218" s="407">
        <v>0</v>
      </c>
      <c r="DN218" s="407">
        <v>0</v>
      </c>
      <c r="DO218" s="407">
        <v>-16.440163543034373</v>
      </c>
      <c r="DP218" s="407">
        <v>-1.9251493543329303</v>
      </c>
      <c r="DQ218" s="407">
        <v>0</v>
      </c>
      <c r="DR218" s="407">
        <v>-139.93647564515547</v>
      </c>
      <c r="DS218" s="407"/>
      <c r="DT218" s="407"/>
      <c r="DU218" s="407"/>
      <c r="DV218" s="407">
        <v>0</v>
      </c>
      <c r="DW218" s="407">
        <v>0</v>
      </c>
      <c r="DX218" s="407">
        <v>0</v>
      </c>
      <c r="DY218" s="407">
        <v>-148.01114000000007</v>
      </c>
      <c r="DZ218" s="407">
        <v>772.97832999999991</v>
      </c>
      <c r="EA218" s="407">
        <v>0</v>
      </c>
      <c r="EB218" s="407">
        <v>0</v>
      </c>
      <c r="EC218" s="407">
        <v>0</v>
      </c>
      <c r="ED218" s="407">
        <v>0</v>
      </c>
      <c r="EE218" s="407">
        <v>0</v>
      </c>
      <c r="EF218" s="407">
        <v>0</v>
      </c>
      <c r="EG218" s="407">
        <v>0</v>
      </c>
      <c r="EH218" s="407">
        <v>0</v>
      </c>
      <c r="EI218" s="407">
        <v>0</v>
      </c>
      <c r="EJ218" s="407">
        <v>0</v>
      </c>
      <c r="EK218" s="407">
        <v>0</v>
      </c>
      <c r="EL218" s="407">
        <v>0</v>
      </c>
      <c r="EM218" s="407">
        <v>0</v>
      </c>
      <c r="EN218" s="407">
        <v>0</v>
      </c>
      <c r="EO218" s="407">
        <v>0</v>
      </c>
      <c r="EP218" s="407">
        <v>718.61810856683564</v>
      </c>
      <c r="EQ218" s="407">
        <v>0</v>
      </c>
      <c r="ER218" s="407">
        <v>0</v>
      </c>
      <c r="ES218" s="407">
        <v>0</v>
      </c>
      <c r="ET218" s="407">
        <v>0</v>
      </c>
      <c r="EU218" s="407">
        <v>0</v>
      </c>
      <c r="EV218" s="407">
        <v>246</v>
      </c>
      <c r="EW218" s="407">
        <v>0</v>
      </c>
      <c r="EX218" s="407">
        <v>0</v>
      </c>
      <c r="EY218" s="407">
        <v>0</v>
      </c>
      <c r="EZ218" s="407"/>
      <c r="FA218" s="407">
        <v>0</v>
      </c>
      <c r="FB218" s="407"/>
      <c r="FC218" s="407"/>
      <c r="FD218" s="407"/>
      <c r="FE218" s="407"/>
      <c r="FF218" s="407">
        <v>0</v>
      </c>
      <c r="FG218" s="407">
        <v>0</v>
      </c>
      <c r="FH218" s="407">
        <v>0</v>
      </c>
      <c r="FI218" s="407">
        <v>0</v>
      </c>
    </row>
    <row r="219" spans="1:165">
      <c r="A219" s="407">
        <v>230</v>
      </c>
      <c r="B219" s="407" t="s">
        <v>1090</v>
      </c>
      <c r="C219" s="407" t="s">
        <v>2314</v>
      </c>
      <c r="D219" s="407" t="s">
        <v>650</v>
      </c>
      <c r="E219" s="407" t="s">
        <v>1026</v>
      </c>
      <c r="F219" s="407" t="s">
        <v>97</v>
      </c>
      <c r="G219" s="407" t="s">
        <v>97</v>
      </c>
      <c r="H219" s="407" t="s">
        <v>97</v>
      </c>
      <c r="I219" s="407" t="s">
        <v>97</v>
      </c>
      <c r="J219" s="407" t="s">
        <v>2307</v>
      </c>
      <c r="K219" s="818">
        <v>44470</v>
      </c>
      <c r="L219" s="407">
        <v>3248</v>
      </c>
      <c r="M219" s="407">
        <v>3118.08</v>
      </c>
      <c r="N219" s="407">
        <v>0</v>
      </c>
      <c r="O219" s="407">
        <v>0</v>
      </c>
      <c r="P219" s="407">
        <v>0</v>
      </c>
      <c r="Q219" s="407">
        <v>0</v>
      </c>
      <c r="R219" s="407">
        <v>43.29</v>
      </c>
      <c r="S219" s="407"/>
      <c r="T219" s="407"/>
      <c r="U219" s="407">
        <v>140605.91999999998</v>
      </c>
      <c r="V219" s="407"/>
      <c r="W219" s="407">
        <v>140605.91999999998</v>
      </c>
      <c r="X219" s="407">
        <v>108775.52</v>
      </c>
      <c r="Y219" s="407">
        <v>0</v>
      </c>
      <c r="Z219" s="407">
        <v>0</v>
      </c>
      <c r="AA219" s="407">
        <v>0</v>
      </c>
      <c r="AB219" s="407">
        <v>0</v>
      </c>
      <c r="AC219" s="407">
        <v>0</v>
      </c>
      <c r="AD219" s="407">
        <v>76860.630290606627</v>
      </c>
      <c r="AE219" s="407">
        <v>63755.599714998956</v>
      </c>
      <c r="AF219" s="407"/>
      <c r="AG219" s="407"/>
      <c r="AH219" s="407"/>
      <c r="AI219" s="407">
        <v>0</v>
      </c>
      <c r="AJ219" s="407">
        <v>0</v>
      </c>
      <c r="AK219" s="407">
        <v>0</v>
      </c>
      <c r="AL219" s="407">
        <v>0</v>
      </c>
      <c r="AM219" s="407"/>
      <c r="AN219" s="407">
        <v>0</v>
      </c>
      <c r="AO219" s="407">
        <v>0</v>
      </c>
      <c r="AP219" s="407">
        <v>0</v>
      </c>
      <c r="AQ219" s="407">
        <v>0</v>
      </c>
      <c r="AR219" s="407">
        <v>0</v>
      </c>
      <c r="AS219" s="407"/>
      <c r="AT219" s="407"/>
      <c r="AU219" s="407">
        <v>0</v>
      </c>
      <c r="AV219" s="407">
        <v>0</v>
      </c>
      <c r="AW219" s="407">
        <v>0</v>
      </c>
      <c r="AX219" s="407"/>
      <c r="AY219" s="407"/>
      <c r="AZ219" s="407">
        <v>0</v>
      </c>
      <c r="BA219" s="407"/>
      <c r="BB219" s="407">
        <v>0</v>
      </c>
      <c r="BC219" s="407">
        <v>0</v>
      </c>
      <c r="BD219" s="407">
        <v>0</v>
      </c>
      <c r="BE219" s="407">
        <v>0</v>
      </c>
      <c r="BF219" s="407"/>
      <c r="BG219" s="407">
        <v>0</v>
      </c>
      <c r="BH219" s="407">
        <v>0</v>
      </c>
      <c r="BI219" s="407">
        <v>2169.67</v>
      </c>
      <c r="BJ219" s="407">
        <v>9481.02</v>
      </c>
      <c r="BK219" s="407">
        <v>155.41</v>
      </c>
      <c r="BL219" s="407">
        <v>22</v>
      </c>
      <c r="BM219" s="407"/>
      <c r="BN219" s="407"/>
      <c r="BO219" s="407"/>
      <c r="BP219" s="407"/>
      <c r="BQ219" s="407"/>
      <c r="BR219" s="407">
        <v>4351.020800000003</v>
      </c>
      <c r="BS219" s="407"/>
      <c r="BT219" s="407"/>
      <c r="BU219" s="407"/>
      <c r="BV219" s="407">
        <v>0</v>
      </c>
      <c r="BW219" s="407"/>
      <c r="BX219" s="407"/>
      <c r="BY219" s="407"/>
      <c r="BZ219" s="407"/>
      <c r="CA219" s="407"/>
      <c r="CB219" s="407"/>
      <c r="CC219" s="407"/>
      <c r="CD219" s="407"/>
      <c r="CE219" s="407"/>
      <c r="CF219" s="407"/>
      <c r="CG219" s="407"/>
      <c r="CH219" s="407"/>
      <c r="CI219" s="407">
        <v>104424.49920000001</v>
      </c>
      <c r="CJ219" s="407">
        <v>-30557.214000000022</v>
      </c>
      <c r="CK219" s="407"/>
      <c r="CL219" s="407"/>
      <c r="CM219" s="407"/>
      <c r="CN219" s="407"/>
      <c r="CO219" s="407">
        <v>-31830.399999999991</v>
      </c>
      <c r="CP219" s="407">
        <v>0</v>
      </c>
      <c r="CQ219" s="407">
        <v>31</v>
      </c>
      <c r="CR219" s="407">
        <v>726.44815165721229</v>
      </c>
      <c r="CS219" s="407">
        <v>0</v>
      </c>
      <c r="CT219" s="407">
        <v>0</v>
      </c>
      <c r="CU219" s="407">
        <v>0</v>
      </c>
      <c r="CV219" s="407">
        <v>0</v>
      </c>
      <c r="CW219" s="407"/>
      <c r="CX219" s="407"/>
      <c r="CY219" s="407"/>
      <c r="CZ219" s="407">
        <v>3471.94707025557</v>
      </c>
      <c r="DA219" s="407">
        <v>0</v>
      </c>
      <c r="DB219" s="407">
        <v>0</v>
      </c>
      <c r="DC219" s="407"/>
      <c r="DD219" s="407"/>
      <c r="DE219" s="407">
        <v>0</v>
      </c>
      <c r="DF219" s="407">
        <v>0</v>
      </c>
      <c r="DG219" s="407">
        <v>0</v>
      </c>
      <c r="DH219" s="407">
        <v>0</v>
      </c>
      <c r="DI219" s="407">
        <v>0</v>
      </c>
      <c r="DJ219" s="407"/>
      <c r="DK219" s="407">
        <v>0</v>
      </c>
      <c r="DL219" s="407">
        <v>0</v>
      </c>
      <c r="DM219" s="407"/>
      <c r="DN219" s="407">
        <v>0</v>
      </c>
      <c r="DO219" s="407">
        <v>0</v>
      </c>
      <c r="DP219" s="407">
        <v>0</v>
      </c>
      <c r="DQ219" s="407">
        <v>0</v>
      </c>
      <c r="DR219" s="407">
        <v>-2745.4989185983522</v>
      </c>
      <c r="DS219" s="407"/>
      <c r="DT219" s="407"/>
      <c r="DU219" s="407">
        <v>63755.599714998956</v>
      </c>
      <c r="DV219" s="407"/>
      <c r="DW219" s="407">
        <v>0</v>
      </c>
      <c r="DX219" s="407">
        <v>0</v>
      </c>
      <c r="DY219" s="407">
        <v>-31830.39999999998</v>
      </c>
      <c r="DZ219" s="407"/>
      <c r="EA219" s="407">
        <v>0</v>
      </c>
      <c r="EB219" s="407"/>
      <c r="EC219" s="407">
        <v>-32566.508414666438</v>
      </c>
      <c r="ED219" s="407"/>
      <c r="EE219" s="407">
        <v>0</v>
      </c>
      <c r="EF219" s="407">
        <v>0</v>
      </c>
      <c r="EG219" s="407"/>
      <c r="EH219" s="407">
        <v>0</v>
      </c>
      <c r="EI219" s="407">
        <v>0</v>
      </c>
      <c r="EJ219" s="407">
        <v>0</v>
      </c>
      <c r="EK219" s="407">
        <v>0</v>
      </c>
      <c r="EL219" s="407">
        <v>0</v>
      </c>
      <c r="EM219" s="407"/>
      <c r="EN219" s="407"/>
      <c r="EO219" s="407">
        <v>0</v>
      </c>
      <c r="EP219" s="407">
        <v>0</v>
      </c>
      <c r="EQ219" s="407"/>
      <c r="ER219" s="407">
        <v>0</v>
      </c>
      <c r="ES219" s="407"/>
      <c r="ET219" s="407">
        <v>0</v>
      </c>
      <c r="EU219" s="407"/>
      <c r="EV219" s="407">
        <v>246</v>
      </c>
      <c r="EW219" s="407"/>
      <c r="EX219" s="407"/>
      <c r="EY219" s="407"/>
      <c r="EZ219" s="407"/>
      <c r="FA219" s="407">
        <v>0</v>
      </c>
      <c r="FB219" s="407"/>
      <c r="FC219" s="407"/>
      <c r="FD219" s="407"/>
      <c r="FE219" s="407"/>
      <c r="FF219" s="407">
        <v>0</v>
      </c>
      <c r="FG219" s="407">
        <v>0</v>
      </c>
      <c r="FH219" s="407">
        <v>0</v>
      </c>
      <c r="FI219" s="407">
        <v>0</v>
      </c>
    </row>
    <row r="220" spans="1:165">
      <c r="A220" s="407">
        <v>231</v>
      </c>
      <c r="B220" s="407" t="s">
        <v>2309</v>
      </c>
      <c r="C220" s="407" t="s">
        <v>2314</v>
      </c>
      <c r="D220" s="407" t="s">
        <v>650</v>
      </c>
      <c r="E220" s="407" t="s">
        <v>1026</v>
      </c>
      <c r="F220" s="407" t="s">
        <v>97</v>
      </c>
      <c r="G220" s="407" t="s">
        <v>97</v>
      </c>
      <c r="H220" s="407" t="s">
        <v>97</v>
      </c>
      <c r="I220" s="407" t="s">
        <v>97</v>
      </c>
      <c r="J220" s="407" t="s">
        <v>2307</v>
      </c>
      <c r="K220" s="818">
        <v>44470</v>
      </c>
      <c r="L220" s="407">
        <v>273</v>
      </c>
      <c r="M220" s="407">
        <v>262.08</v>
      </c>
      <c r="N220" s="407">
        <v>0</v>
      </c>
      <c r="O220" s="407">
        <v>0</v>
      </c>
      <c r="P220" s="407">
        <v>0</v>
      </c>
      <c r="Q220" s="407">
        <v>0</v>
      </c>
      <c r="R220" s="407">
        <v>43.29</v>
      </c>
      <c r="S220" s="407"/>
      <c r="T220" s="407"/>
      <c r="U220" s="407">
        <v>11818.17</v>
      </c>
      <c r="V220" s="407"/>
      <c r="W220" s="407">
        <v>11818.17</v>
      </c>
      <c r="X220" s="407">
        <v>9142.77</v>
      </c>
      <c r="Y220" s="407">
        <v>0</v>
      </c>
      <c r="Z220" s="407">
        <v>0</v>
      </c>
      <c r="AA220" s="407">
        <v>0</v>
      </c>
      <c r="AB220" s="407">
        <v>0</v>
      </c>
      <c r="AC220" s="407">
        <v>0</v>
      </c>
      <c r="AD220" s="407">
        <v>6460.2684942535743</v>
      </c>
      <c r="AE220" s="407">
        <v>5358.7680794934467</v>
      </c>
      <c r="AF220" s="407"/>
      <c r="AG220" s="407"/>
      <c r="AH220" s="407"/>
      <c r="AI220" s="407">
        <v>0</v>
      </c>
      <c r="AJ220" s="407">
        <v>0</v>
      </c>
      <c r="AK220" s="407">
        <v>0</v>
      </c>
      <c r="AL220" s="407">
        <v>0</v>
      </c>
      <c r="AM220" s="407"/>
      <c r="AN220" s="407">
        <v>0</v>
      </c>
      <c r="AO220" s="407">
        <v>0</v>
      </c>
      <c r="AP220" s="407">
        <v>0</v>
      </c>
      <c r="AQ220" s="407">
        <v>0</v>
      </c>
      <c r="AR220" s="407">
        <v>0</v>
      </c>
      <c r="AS220" s="407"/>
      <c r="AT220" s="407"/>
      <c r="AU220" s="407">
        <v>0</v>
      </c>
      <c r="AV220" s="407">
        <v>0</v>
      </c>
      <c r="AW220" s="407">
        <v>0</v>
      </c>
      <c r="AX220" s="407"/>
      <c r="AY220" s="407"/>
      <c r="AZ220" s="407">
        <v>0</v>
      </c>
      <c r="BA220" s="407"/>
      <c r="BB220" s="407">
        <v>0</v>
      </c>
      <c r="BC220" s="407">
        <v>0</v>
      </c>
      <c r="BD220" s="407">
        <v>0</v>
      </c>
      <c r="BE220" s="407">
        <v>0</v>
      </c>
      <c r="BF220" s="407"/>
      <c r="BG220" s="407">
        <v>0</v>
      </c>
      <c r="BH220" s="407">
        <v>0</v>
      </c>
      <c r="BI220" s="407">
        <v>131.46</v>
      </c>
      <c r="BJ220" s="407">
        <v>574.5</v>
      </c>
      <c r="BK220" s="407">
        <v>22.03</v>
      </c>
      <c r="BL220" s="407">
        <v>3</v>
      </c>
      <c r="BM220" s="407"/>
      <c r="BN220" s="407"/>
      <c r="BO220" s="407"/>
      <c r="BP220" s="407"/>
      <c r="BQ220" s="407"/>
      <c r="BR220" s="407">
        <v>365.71080000000057</v>
      </c>
      <c r="BS220" s="407"/>
      <c r="BT220" s="407"/>
      <c r="BU220" s="407"/>
      <c r="BV220" s="407">
        <v>0</v>
      </c>
      <c r="BW220" s="407"/>
      <c r="BX220" s="407"/>
      <c r="BY220" s="407"/>
      <c r="BZ220" s="407"/>
      <c r="CA220" s="407"/>
      <c r="CB220" s="407"/>
      <c r="CC220" s="407"/>
      <c r="CD220" s="407"/>
      <c r="CE220" s="407"/>
      <c r="CF220" s="407"/>
      <c r="CG220" s="407"/>
      <c r="CH220" s="407"/>
      <c r="CI220" s="407">
        <v>8777.0591999999997</v>
      </c>
      <c r="CJ220" s="407">
        <v>-2568.4140000000007</v>
      </c>
      <c r="CK220" s="407"/>
      <c r="CL220" s="407"/>
      <c r="CM220" s="407"/>
      <c r="CN220" s="407"/>
      <c r="CO220" s="407">
        <v>-2675.3999999999992</v>
      </c>
      <c r="CP220" s="407">
        <v>0</v>
      </c>
      <c r="CQ220" s="407">
        <v>31</v>
      </c>
      <c r="CR220" s="407">
        <v>61.059219643602773</v>
      </c>
      <c r="CS220" s="407">
        <v>0</v>
      </c>
      <c r="CT220" s="407">
        <v>0</v>
      </c>
      <c r="CU220" s="407">
        <v>0</v>
      </c>
      <c r="CV220" s="407">
        <v>0</v>
      </c>
      <c r="CW220" s="407"/>
      <c r="CX220" s="407"/>
      <c r="CY220" s="407"/>
      <c r="CZ220" s="407">
        <v>291.82313737061941</v>
      </c>
      <c r="DA220" s="407">
        <v>0</v>
      </c>
      <c r="DB220" s="407">
        <v>0</v>
      </c>
      <c r="DC220" s="407"/>
      <c r="DD220" s="407"/>
      <c r="DE220" s="407">
        <v>0</v>
      </c>
      <c r="DF220" s="407">
        <v>0</v>
      </c>
      <c r="DG220" s="407">
        <v>0</v>
      </c>
      <c r="DH220" s="407">
        <v>0</v>
      </c>
      <c r="DI220" s="407">
        <v>0</v>
      </c>
      <c r="DJ220" s="407"/>
      <c r="DK220" s="407">
        <v>0</v>
      </c>
      <c r="DL220" s="407">
        <v>0</v>
      </c>
      <c r="DM220" s="407"/>
      <c r="DN220" s="407">
        <v>0</v>
      </c>
      <c r="DO220" s="407">
        <v>0</v>
      </c>
      <c r="DP220" s="407">
        <v>0</v>
      </c>
      <c r="DQ220" s="407">
        <v>0</v>
      </c>
      <c r="DR220" s="407">
        <v>-230.76391772701666</v>
      </c>
      <c r="DS220" s="407"/>
      <c r="DT220" s="407"/>
      <c r="DU220" s="407">
        <v>5358.7680794934467</v>
      </c>
      <c r="DV220" s="407"/>
      <c r="DW220" s="407">
        <v>0</v>
      </c>
      <c r="DX220" s="407">
        <v>0</v>
      </c>
      <c r="DY220" s="407">
        <v>-2675.3999999999996</v>
      </c>
      <c r="DZ220" s="407"/>
      <c r="EA220" s="407">
        <v>0</v>
      </c>
      <c r="EB220" s="407"/>
      <c r="EC220" s="407">
        <v>-2737.2711814051531</v>
      </c>
      <c r="ED220" s="407"/>
      <c r="EE220" s="407">
        <v>0</v>
      </c>
      <c r="EF220" s="407">
        <v>0</v>
      </c>
      <c r="EG220" s="407"/>
      <c r="EH220" s="407">
        <v>0</v>
      </c>
      <c r="EI220" s="407">
        <v>0</v>
      </c>
      <c r="EJ220" s="407">
        <v>0</v>
      </c>
      <c r="EK220" s="407">
        <v>0</v>
      </c>
      <c r="EL220" s="407">
        <v>0</v>
      </c>
      <c r="EM220" s="407"/>
      <c r="EN220" s="407"/>
      <c r="EO220" s="407">
        <v>0</v>
      </c>
      <c r="EP220" s="407">
        <v>0</v>
      </c>
      <c r="EQ220" s="407"/>
      <c r="ER220" s="407">
        <v>0</v>
      </c>
      <c r="ES220" s="407"/>
      <c r="ET220" s="407">
        <v>0</v>
      </c>
      <c r="EU220" s="407"/>
      <c r="EV220" s="407">
        <v>246</v>
      </c>
      <c r="EW220" s="407"/>
      <c r="EX220" s="407"/>
      <c r="EY220" s="407"/>
      <c r="EZ220" s="407"/>
      <c r="FA220" s="407">
        <v>0</v>
      </c>
      <c r="FB220" s="407"/>
      <c r="FC220" s="407"/>
      <c r="FD220" s="407"/>
      <c r="FE220" s="407"/>
      <c r="FF220" s="407">
        <v>0</v>
      </c>
      <c r="FG220" s="407">
        <v>0</v>
      </c>
      <c r="FH220" s="407">
        <v>0</v>
      </c>
      <c r="FI220" s="407">
        <v>0</v>
      </c>
    </row>
    <row r="221" spans="1:165">
      <c r="A221" s="407">
        <v>232</v>
      </c>
      <c r="B221" s="407" t="s">
        <v>1090</v>
      </c>
      <c r="C221" s="407" t="s">
        <v>2306</v>
      </c>
      <c r="D221" s="407" t="s">
        <v>1219</v>
      </c>
      <c r="E221" s="407" t="s">
        <v>2316</v>
      </c>
      <c r="F221" s="407" t="s">
        <v>97</v>
      </c>
      <c r="G221" s="407" t="s">
        <v>97</v>
      </c>
      <c r="H221" s="407" t="s">
        <v>97</v>
      </c>
      <c r="I221" s="407" t="s">
        <v>97</v>
      </c>
      <c r="J221" s="407" t="s">
        <v>2307</v>
      </c>
      <c r="K221" s="818">
        <v>44470</v>
      </c>
      <c r="L221" s="407">
        <v>0</v>
      </c>
      <c r="M221" s="407">
        <v>0</v>
      </c>
      <c r="N221" s="407">
        <v>229.61099999999999</v>
      </c>
      <c r="O221" s="407">
        <v>229.61099999999999</v>
      </c>
      <c r="P221" s="407">
        <v>229.61099999999999</v>
      </c>
      <c r="Q221" s="407">
        <v>229.61099999999999</v>
      </c>
      <c r="R221" s="407"/>
      <c r="S221" s="407">
        <v>648.44000000000005</v>
      </c>
      <c r="T221" s="407">
        <v>159.41</v>
      </c>
      <c r="U221" s="407"/>
      <c r="V221" s="407">
        <v>185491.24635</v>
      </c>
      <c r="W221" s="407">
        <v>185491.24635</v>
      </c>
      <c r="X221" s="407">
        <v>140480.60201999999</v>
      </c>
      <c r="Y221" s="407">
        <v>0</v>
      </c>
      <c r="Z221" s="407">
        <v>14229.051217406468</v>
      </c>
      <c r="AA221" s="407">
        <v>0</v>
      </c>
      <c r="AB221" s="407">
        <v>0</v>
      </c>
      <c r="AC221" s="407">
        <v>0</v>
      </c>
      <c r="AD221" s="407">
        <v>26782.843346944243</v>
      </c>
      <c r="AE221" s="407">
        <v>95873.152490611537</v>
      </c>
      <c r="AF221" s="407">
        <v>35413.069095213665</v>
      </c>
      <c r="AG221" s="407">
        <v>1189.7861650898383</v>
      </c>
      <c r="AH221" s="407">
        <v>0</v>
      </c>
      <c r="AI221" s="407">
        <v>0</v>
      </c>
      <c r="AJ221" s="407">
        <v>0</v>
      </c>
      <c r="AK221" s="407">
        <v>0</v>
      </c>
      <c r="AL221" s="407">
        <v>2198.7676451392513</v>
      </c>
      <c r="AM221" s="407"/>
      <c r="AN221" s="407">
        <v>476.46478510587667</v>
      </c>
      <c r="AO221" s="407">
        <v>0</v>
      </c>
      <c r="AP221" s="407">
        <v>0</v>
      </c>
      <c r="AQ221" s="407">
        <v>0</v>
      </c>
      <c r="AR221" s="407">
        <v>0</v>
      </c>
      <c r="AS221" s="407">
        <v>0</v>
      </c>
      <c r="AT221" s="407">
        <v>0</v>
      </c>
      <c r="AU221" s="407">
        <v>0</v>
      </c>
      <c r="AV221" s="407">
        <v>0</v>
      </c>
      <c r="AW221" s="407">
        <v>0</v>
      </c>
      <c r="AX221" s="407">
        <v>0</v>
      </c>
      <c r="AY221" s="407">
        <v>0</v>
      </c>
      <c r="AZ221" s="407">
        <v>0</v>
      </c>
      <c r="BA221" s="407"/>
      <c r="BB221" s="407">
        <v>0</v>
      </c>
      <c r="BC221" s="407">
        <v>0</v>
      </c>
      <c r="BD221" s="407">
        <v>0</v>
      </c>
      <c r="BE221" s="407">
        <v>0</v>
      </c>
      <c r="BF221" s="407">
        <v>0</v>
      </c>
      <c r="BG221" s="407">
        <v>2588.5822685371822</v>
      </c>
      <c r="BH221" s="407">
        <v>0</v>
      </c>
      <c r="BI221" s="407">
        <v>1153.53</v>
      </c>
      <c r="BJ221" s="407">
        <v>5047.9799999999996</v>
      </c>
      <c r="BK221" s="407">
        <v>71867.41</v>
      </c>
      <c r="BL221" s="407">
        <v>357</v>
      </c>
      <c r="BM221" s="407"/>
      <c r="BN221" s="407"/>
      <c r="BO221" s="407"/>
      <c r="BP221" s="407"/>
      <c r="BQ221" s="407"/>
      <c r="BR221" s="407"/>
      <c r="BS221" s="407"/>
      <c r="BT221" s="407"/>
      <c r="BU221" s="407"/>
      <c r="BV221" s="407">
        <v>38001.651363750847</v>
      </c>
      <c r="BW221" s="407"/>
      <c r="BX221" s="407"/>
      <c r="BY221" s="407"/>
      <c r="BZ221" s="407"/>
      <c r="CA221" s="407"/>
      <c r="CB221" s="407"/>
      <c r="CC221" s="407"/>
      <c r="CD221" s="407"/>
      <c r="CE221" s="407"/>
      <c r="CF221" s="407"/>
      <c r="CG221" s="407"/>
      <c r="CH221" s="407"/>
      <c r="CI221" s="407">
        <v>140479.9902</v>
      </c>
      <c r="CJ221" s="407">
        <v>-45011.286150000029</v>
      </c>
      <c r="CK221" s="407"/>
      <c r="CL221" s="407"/>
      <c r="CM221" s="407"/>
      <c r="CN221" s="407"/>
      <c r="CO221" s="407">
        <v>-51318.058500000014</v>
      </c>
      <c r="CP221" s="407">
        <v>6307.4141699999991</v>
      </c>
      <c r="CQ221" s="407">
        <v>31</v>
      </c>
      <c r="CR221" s="407">
        <v>3961.7123305933492</v>
      </c>
      <c r="CS221" s="407">
        <v>0</v>
      </c>
      <c r="CT221" s="407">
        <v>0</v>
      </c>
      <c r="CU221" s="407">
        <v>0</v>
      </c>
      <c r="CV221" s="407">
        <v>0</v>
      </c>
      <c r="CW221" s="407">
        <v>0</v>
      </c>
      <c r="CX221" s="407">
        <v>0</v>
      </c>
      <c r="CY221" s="407">
        <v>0</v>
      </c>
      <c r="CZ221" s="407">
        <v>1209.8341392720104</v>
      </c>
      <c r="DA221" s="407">
        <v>0</v>
      </c>
      <c r="DB221" s="407">
        <v>0</v>
      </c>
      <c r="DC221" s="407">
        <v>7021.4552771675808</v>
      </c>
      <c r="DD221" s="407">
        <v>0</v>
      </c>
      <c r="DE221" s="407">
        <v>0</v>
      </c>
      <c r="DF221" s="407">
        <v>0</v>
      </c>
      <c r="DG221" s="407">
        <v>513.24595959008502</v>
      </c>
      <c r="DH221" s="407">
        <v>0</v>
      </c>
      <c r="DI221" s="407">
        <v>-996.63081757978762</v>
      </c>
      <c r="DJ221" s="407"/>
      <c r="DK221" s="407">
        <v>0</v>
      </c>
      <c r="DL221" s="407">
        <v>0</v>
      </c>
      <c r="DM221" s="407">
        <v>0</v>
      </c>
      <c r="DN221" s="407">
        <v>0</v>
      </c>
      <c r="DO221" s="407">
        <v>-134.14984154659578</v>
      </c>
      <c r="DP221" s="407">
        <v>-30.359185824251085</v>
      </c>
      <c r="DQ221" s="407">
        <v>0</v>
      </c>
      <c r="DR221" s="407">
        <v>-3621.6832004857042</v>
      </c>
      <c r="DS221" s="407"/>
      <c r="DT221" s="407"/>
      <c r="DU221" s="407"/>
      <c r="DV221" s="407">
        <v>95873.152490611537</v>
      </c>
      <c r="DW221" s="407">
        <v>0</v>
      </c>
      <c r="DX221" s="407">
        <v>0</v>
      </c>
      <c r="DY221" s="407">
        <v>-51318.058499999999</v>
      </c>
      <c r="DZ221" s="407">
        <v>6307.4141700000037</v>
      </c>
      <c r="EA221" s="407">
        <v>0</v>
      </c>
      <c r="EB221" s="407">
        <v>0</v>
      </c>
      <c r="EC221" s="407">
        <v>-48972.22896942748</v>
      </c>
      <c r="ED221" s="407">
        <v>0</v>
      </c>
      <c r="EE221" s="407">
        <v>0</v>
      </c>
      <c r="EF221" s="407">
        <v>0</v>
      </c>
      <c r="EG221" s="407">
        <v>0</v>
      </c>
      <c r="EH221" s="407">
        <v>0</v>
      </c>
      <c r="EI221" s="407">
        <v>0</v>
      </c>
      <c r="EJ221" s="407">
        <v>0</v>
      </c>
      <c r="EK221" s="407">
        <v>0</v>
      </c>
      <c r="EL221" s="407">
        <v>0</v>
      </c>
      <c r="EM221" s="407">
        <v>0</v>
      </c>
      <c r="EN221" s="407">
        <v>0</v>
      </c>
      <c r="EO221" s="407">
        <v>0</v>
      </c>
      <c r="EP221" s="407">
        <v>6740.0471520542642</v>
      </c>
      <c r="EQ221" s="407">
        <v>0</v>
      </c>
      <c r="ER221" s="407">
        <v>0</v>
      </c>
      <c r="ES221" s="407">
        <v>0</v>
      </c>
      <c r="ET221" s="407">
        <v>0</v>
      </c>
      <c r="EU221" s="407">
        <v>0</v>
      </c>
      <c r="EV221" s="407">
        <v>246</v>
      </c>
      <c r="EW221" s="407">
        <v>0</v>
      </c>
      <c r="EX221" s="407">
        <v>0</v>
      </c>
      <c r="EY221" s="407">
        <v>0</v>
      </c>
      <c r="EZ221" s="407"/>
      <c r="FA221" s="407">
        <v>0</v>
      </c>
      <c r="FB221" s="407"/>
      <c r="FC221" s="407"/>
      <c r="FD221" s="407"/>
      <c r="FE221" s="407"/>
      <c r="FF221" s="407">
        <v>0</v>
      </c>
      <c r="FG221" s="407">
        <v>0</v>
      </c>
      <c r="FH221" s="407">
        <v>0</v>
      </c>
      <c r="FI221" s="407">
        <v>0</v>
      </c>
    </row>
    <row r="222" spans="1:165">
      <c r="A222" s="407">
        <v>233</v>
      </c>
      <c r="B222" s="407" t="s">
        <v>2308</v>
      </c>
      <c r="C222" s="407" t="s">
        <v>2306</v>
      </c>
      <c r="D222" s="407" t="s">
        <v>1219</v>
      </c>
      <c r="E222" s="407" t="s">
        <v>2316</v>
      </c>
      <c r="F222" s="407" t="s">
        <v>97</v>
      </c>
      <c r="G222" s="407" t="s">
        <v>97</v>
      </c>
      <c r="H222" s="407" t="s">
        <v>97</v>
      </c>
      <c r="I222" s="407" t="s">
        <v>97</v>
      </c>
      <c r="J222" s="407" t="s">
        <v>2307</v>
      </c>
      <c r="K222" s="818">
        <v>44470</v>
      </c>
      <c r="L222" s="407">
        <v>0</v>
      </c>
      <c r="M222" s="407">
        <v>0</v>
      </c>
      <c r="N222" s="407">
        <v>-3.2629999999999999</v>
      </c>
      <c r="O222" s="407">
        <v>-3.2629999999999999</v>
      </c>
      <c r="P222" s="407">
        <v>-3.2629999999999999</v>
      </c>
      <c r="Q222" s="407">
        <v>-3.2629999999999999</v>
      </c>
      <c r="R222" s="407"/>
      <c r="S222" s="407">
        <v>648.44000000000005</v>
      </c>
      <c r="T222" s="407">
        <v>159.41</v>
      </c>
      <c r="U222" s="407"/>
      <c r="V222" s="407">
        <v>-2636.0145499999999</v>
      </c>
      <c r="W222" s="407">
        <v>-2636.0145499999999</v>
      </c>
      <c r="X222" s="407">
        <v>-1996.3686599999999</v>
      </c>
      <c r="Y222" s="407">
        <v>0</v>
      </c>
      <c r="Z222" s="407">
        <v>-202.20892780571185</v>
      </c>
      <c r="AA222" s="407">
        <v>0</v>
      </c>
      <c r="AB222" s="407">
        <v>0</v>
      </c>
      <c r="AC222" s="407">
        <v>0</v>
      </c>
      <c r="AD222" s="407">
        <v>-380.61076272948191</v>
      </c>
      <c r="AE222" s="407">
        <v>-1362.4525679382323</v>
      </c>
      <c r="AF222" s="407">
        <v>-503.25482863487463</v>
      </c>
      <c r="AG222" s="407">
        <v>-16.908041237955249</v>
      </c>
      <c r="AH222" s="407">
        <v>0</v>
      </c>
      <c r="AI222" s="407">
        <v>0</v>
      </c>
      <c r="AJ222" s="407">
        <v>0</v>
      </c>
      <c r="AK222" s="407">
        <v>0</v>
      </c>
      <c r="AL222" s="407">
        <v>-31.24666860947157</v>
      </c>
      <c r="AM222" s="407"/>
      <c r="AN222" s="407">
        <v>-6.7710370748808879</v>
      </c>
      <c r="AO222" s="407">
        <v>0</v>
      </c>
      <c r="AP222" s="407">
        <v>0</v>
      </c>
      <c r="AQ222" s="407">
        <v>0</v>
      </c>
      <c r="AR222" s="407">
        <v>0</v>
      </c>
      <c r="AS222" s="407">
        <v>0</v>
      </c>
      <c r="AT222" s="407">
        <v>0</v>
      </c>
      <c r="AU222" s="407">
        <v>0</v>
      </c>
      <c r="AV222" s="407">
        <v>0</v>
      </c>
      <c r="AW222" s="407">
        <v>0</v>
      </c>
      <c r="AX222" s="407">
        <v>0</v>
      </c>
      <c r="AY222" s="407">
        <v>0</v>
      </c>
      <c r="AZ222" s="407">
        <v>0</v>
      </c>
      <c r="BA222" s="407"/>
      <c r="BB222" s="407">
        <v>0</v>
      </c>
      <c r="BC222" s="407">
        <v>0</v>
      </c>
      <c r="BD222" s="407">
        <v>0</v>
      </c>
      <c r="BE222" s="407">
        <v>0</v>
      </c>
      <c r="BF222" s="407">
        <v>0</v>
      </c>
      <c r="BG222" s="407">
        <v>-36.786320961264167</v>
      </c>
      <c r="BH222" s="407">
        <v>0</v>
      </c>
      <c r="BI222" s="407">
        <v>-11.6</v>
      </c>
      <c r="BJ222" s="407">
        <v>-55.96</v>
      </c>
      <c r="BK222" s="407">
        <v>-1023.66</v>
      </c>
      <c r="BL222" s="407">
        <v>0</v>
      </c>
      <c r="BM222" s="407"/>
      <c r="BN222" s="407"/>
      <c r="BO222" s="407"/>
      <c r="BP222" s="407"/>
      <c r="BQ222" s="407"/>
      <c r="BR222" s="407"/>
      <c r="BS222" s="407"/>
      <c r="BT222" s="407"/>
      <c r="BU222" s="407"/>
      <c r="BV222" s="407">
        <v>-540.04114959613878</v>
      </c>
      <c r="BW222" s="407"/>
      <c r="BX222" s="407"/>
      <c r="BY222" s="407"/>
      <c r="BZ222" s="407"/>
      <c r="CA222" s="407"/>
      <c r="CB222" s="407"/>
      <c r="CC222" s="407"/>
      <c r="CD222" s="407"/>
      <c r="CE222" s="407"/>
      <c r="CF222" s="407"/>
      <c r="CG222" s="407"/>
      <c r="CH222" s="407"/>
      <c r="CI222" s="407">
        <v>-1994.5331999999999</v>
      </c>
      <c r="CJ222" s="407">
        <v>641.45134999999937</v>
      </c>
      <c r="CK222" s="407"/>
      <c r="CL222" s="407"/>
      <c r="CM222" s="407"/>
      <c r="CN222" s="407"/>
      <c r="CO222" s="407">
        <v>729.28050000000019</v>
      </c>
      <c r="CP222" s="407">
        <v>-89.634609999999995</v>
      </c>
      <c r="CQ222" s="407">
        <v>31</v>
      </c>
      <c r="CR222" s="407">
        <v>-56.299860785093188</v>
      </c>
      <c r="CS222" s="407">
        <v>0</v>
      </c>
      <c r="CT222" s="407">
        <v>0</v>
      </c>
      <c r="CU222" s="407">
        <v>0</v>
      </c>
      <c r="CV222" s="407">
        <v>0</v>
      </c>
      <c r="CW222" s="407">
        <v>0</v>
      </c>
      <c r="CX222" s="407">
        <v>0</v>
      </c>
      <c r="CY222" s="407">
        <v>0</v>
      </c>
      <c r="CZ222" s="407">
        <v>-17.192942831330242</v>
      </c>
      <c r="DA222" s="407">
        <v>0</v>
      </c>
      <c r="DB222" s="407">
        <v>0</v>
      </c>
      <c r="DC222" s="407">
        <v>-99.781842200059316</v>
      </c>
      <c r="DD222" s="407">
        <v>0</v>
      </c>
      <c r="DE222" s="407">
        <v>0</v>
      </c>
      <c r="DF222" s="407">
        <v>0</v>
      </c>
      <c r="DG222" s="407">
        <v>-7.2937340377527491</v>
      </c>
      <c r="DH222" s="407">
        <v>0</v>
      </c>
      <c r="DI222" s="407">
        <v>14.163112210490141</v>
      </c>
      <c r="DJ222" s="407"/>
      <c r="DK222" s="407">
        <v>0</v>
      </c>
      <c r="DL222" s="407">
        <v>0</v>
      </c>
      <c r="DM222" s="407">
        <v>0</v>
      </c>
      <c r="DN222" s="407">
        <v>0</v>
      </c>
      <c r="DO222" s="407">
        <v>1.906402275877646</v>
      </c>
      <c r="DP222" s="407">
        <v>0.43143413575364953</v>
      </c>
      <c r="DQ222" s="407">
        <v>0</v>
      </c>
      <c r="DR222" s="407">
        <v>51.467709661927579</v>
      </c>
      <c r="DS222" s="407"/>
      <c r="DT222" s="407"/>
      <c r="DU222" s="407"/>
      <c r="DV222" s="407">
        <v>-1362.4525679382323</v>
      </c>
      <c r="DW222" s="407">
        <v>0</v>
      </c>
      <c r="DX222" s="407">
        <v>0</v>
      </c>
      <c r="DY222" s="407">
        <v>729.28050000000007</v>
      </c>
      <c r="DZ222" s="407">
        <v>-89.634610000000066</v>
      </c>
      <c r="EA222" s="407">
        <v>0</v>
      </c>
      <c r="EB222" s="407">
        <v>0</v>
      </c>
      <c r="EC222" s="407">
        <v>695.9439361670037</v>
      </c>
      <c r="ED222" s="407">
        <v>0</v>
      </c>
      <c r="EE222" s="407">
        <v>0</v>
      </c>
      <c r="EF222" s="407">
        <v>0</v>
      </c>
      <c r="EG222" s="407">
        <v>0</v>
      </c>
      <c r="EH222" s="407">
        <v>0</v>
      </c>
      <c r="EI222" s="407">
        <v>0</v>
      </c>
      <c r="EJ222" s="407">
        <v>0</v>
      </c>
      <c r="EK222" s="407">
        <v>0</v>
      </c>
      <c r="EL222" s="407">
        <v>0</v>
      </c>
      <c r="EM222" s="407">
        <v>0</v>
      </c>
      <c r="EN222" s="407">
        <v>0</v>
      </c>
      <c r="EO222" s="407">
        <v>0</v>
      </c>
      <c r="EP222" s="407">
        <v>-95.782753688425487</v>
      </c>
      <c r="EQ222" s="407">
        <v>0</v>
      </c>
      <c r="ER222" s="407">
        <v>0</v>
      </c>
      <c r="ES222" s="407">
        <v>0</v>
      </c>
      <c r="ET222" s="407">
        <v>0</v>
      </c>
      <c r="EU222" s="407">
        <v>0</v>
      </c>
      <c r="EV222" s="407">
        <v>246</v>
      </c>
      <c r="EW222" s="407">
        <v>0</v>
      </c>
      <c r="EX222" s="407">
        <v>0</v>
      </c>
      <c r="EY222" s="407">
        <v>0</v>
      </c>
      <c r="EZ222" s="407"/>
      <c r="FA222" s="407">
        <v>0</v>
      </c>
      <c r="FB222" s="407"/>
      <c r="FC222" s="407"/>
      <c r="FD222" s="407"/>
      <c r="FE222" s="407"/>
      <c r="FF222" s="407">
        <v>0</v>
      </c>
      <c r="FG222" s="407">
        <v>0</v>
      </c>
      <c r="FH222" s="407">
        <v>0</v>
      </c>
      <c r="FI222" s="407">
        <v>0</v>
      </c>
    </row>
    <row r="223" spans="1:165">
      <c r="A223" s="407">
        <v>234</v>
      </c>
      <c r="B223" s="407" t="s">
        <v>1090</v>
      </c>
      <c r="C223" s="407" t="s">
        <v>2317</v>
      </c>
      <c r="D223" s="407" t="s">
        <v>650</v>
      </c>
      <c r="E223" s="407" t="s">
        <v>2316</v>
      </c>
      <c r="F223" s="407" t="s">
        <v>97</v>
      </c>
      <c r="G223" s="407" t="s">
        <v>97</v>
      </c>
      <c r="H223" s="407" t="s">
        <v>97</v>
      </c>
      <c r="I223" s="407" t="s">
        <v>1025</v>
      </c>
      <c r="J223" s="407" t="s">
        <v>2307</v>
      </c>
      <c r="K223" s="818">
        <v>44470</v>
      </c>
      <c r="L223" s="407">
        <v>200</v>
      </c>
      <c r="M223" s="407">
        <v>200</v>
      </c>
      <c r="N223" s="407">
        <v>2.2869999999999999</v>
      </c>
      <c r="O223" s="407">
        <v>2.2869999999999999</v>
      </c>
      <c r="P223" s="407">
        <v>2.2869999999999999</v>
      </c>
      <c r="Q223" s="407">
        <v>2.2869999999999999</v>
      </c>
      <c r="R223" s="407">
        <v>112.91</v>
      </c>
      <c r="S223" s="407">
        <v>95.29</v>
      </c>
      <c r="T223" s="407">
        <v>159.41</v>
      </c>
      <c r="U223" s="407">
        <v>22582</v>
      </c>
      <c r="V223" s="407">
        <v>582.49890000000005</v>
      </c>
      <c r="W223" s="407">
        <v>23164.498900000002</v>
      </c>
      <c r="X223" s="407">
        <v>14061.293170000001</v>
      </c>
      <c r="Y223" s="407">
        <v>0</v>
      </c>
      <c r="Z223" s="407">
        <v>123.30158797601796</v>
      </c>
      <c r="AA223" s="407">
        <v>0</v>
      </c>
      <c r="AB223" s="407">
        <v>0</v>
      </c>
      <c r="AC223" s="407">
        <v>0</v>
      </c>
      <c r="AD223" s="407">
        <v>5077.0827132346003</v>
      </c>
      <c r="AE223" s="407">
        <v>17504.269107723037</v>
      </c>
      <c r="AF223" s="407">
        <v>352.72564912288027</v>
      </c>
      <c r="AG223" s="407">
        <v>11.850655933559194</v>
      </c>
      <c r="AH223" s="407">
        <v>0</v>
      </c>
      <c r="AI223" s="407">
        <v>0</v>
      </c>
      <c r="AJ223" s="407">
        <v>0</v>
      </c>
      <c r="AK223" s="407">
        <v>0</v>
      </c>
      <c r="AL223" s="407">
        <v>21.900438587147253</v>
      </c>
      <c r="AM223" s="407"/>
      <c r="AN223" s="407">
        <v>2.4556282487755055</v>
      </c>
      <c r="AO223" s="407">
        <v>0</v>
      </c>
      <c r="AP223" s="407">
        <v>0</v>
      </c>
      <c r="AQ223" s="407">
        <v>0</v>
      </c>
      <c r="AR223" s="407">
        <v>0</v>
      </c>
      <c r="AS223" s="407">
        <v>0</v>
      </c>
      <c r="AT223" s="407">
        <v>0</v>
      </c>
      <c r="AU223" s="407">
        <v>0</v>
      </c>
      <c r="AV223" s="407">
        <v>0</v>
      </c>
      <c r="AW223" s="407">
        <v>0</v>
      </c>
      <c r="AX223" s="407">
        <v>0</v>
      </c>
      <c r="AY223" s="407">
        <v>0</v>
      </c>
      <c r="AZ223" s="407">
        <v>0</v>
      </c>
      <c r="BA223" s="407"/>
      <c r="BB223" s="407">
        <v>0</v>
      </c>
      <c r="BC223" s="407">
        <v>0</v>
      </c>
      <c r="BD223" s="407">
        <v>0</v>
      </c>
      <c r="BE223" s="407">
        <v>0</v>
      </c>
      <c r="BF223" s="407">
        <v>0</v>
      </c>
      <c r="BG223" s="407">
        <v>11.869242658895391</v>
      </c>
      <c r="BH223" s="407">
        <v>0</v>
      </c>
      <c r="BI223" s="407">
        <v>0</v>
      </c>
      <c r="BJ223" s="407">
        <v>0</v>
      </c>
      <c r="BK223" s="407">
        <v>0</v>
      </c>
      <c r="BL223" s="407">
        <v>0</v>
      </c>
      <c r="BM223" s="407"/>
      <c r="BN223" s="407"/>
      <c r="BO223" s="407"/>
      <c r="BP223" s="407"/>
      <c r="BQ223" s="407"/>
      <c r="BR223" s="407"/>
      <c r="BS223" s="407"/>
      <c r="BT223" s="407"/>
      <c r="BU223" s="407"/>
      <c r="BV223" s="407">
        <v>364.59489178177569</v>
      </c>
      <c r="BW223" s="407"/>
      <c r="BX223" s="407"/>
      <c r="BY223" s="407"/>
      <c r="BZ223" s="407"/>
      <c r="CA223" s="407"/>
      <c r="CB223" s="407"/>
      <c r="CC223" s="407"/>
      <c r="CD223" s="407"/>
      <c r="CE223" s="407"/>
      <c r="CF223" s="407"/>
      <c r="CG223" s="407"/>
      <c r="CH223" s="407"/>
      <c r="CI223" s="407">
        <v>14062.123900000001</v>
      </c>
      <c r="CJ223" s="407">
        <v>-9102.404999999997</v>
      </c>
      <c r="CK223" s="407"/>
      <c r="CL223" s="407"/>
      <c r="CM223" s="407"/>
      <c r="CN223" s="407"/>
      <c r="CO223" s="407">
        <v>-9166.0296199999993</v>
      </c>
      <c r="CP223" s="407">
        <v>62.823889999999999</v>
      </c>
      <c r="CQ223" s="407">
        <v>31</v>
      </c>
      <c r="CR223" s="407">
        <v>-160.76666501801628</v>
      </c>
      <c r="CS223" s="407">
        <v>0</v>
      </c>
      <c r="CT223" s="407">
        <v>0</v>
      </c>
      <c r="CU223" s="407">
        <v>0</v>
      </c>
      <c r="CV223" s="407">
        <v>0</v>
      </c>
      <c r="CW223" s="407">
        <v>0</v>
      </c>
      <c r="CX223" s="407">
        <v>0</v>
      </c>
      <c r="CY223" s="407">
        <v>0</v>
      </c>
      <c r="CZ223" s="407">
        <v>229.34189304735992</v>
      </c>
      <c r="DA223" s="407">
        <v>0</v>
      </c>
      <c r="DB223" s="407">
        <v>0</v>
      </c>
      <c r="DC223" s="407">
        <v>69.935970919869931</v>
      </c>
      <c r="DD223" s="407">
        <v>0</v>
      </c>
      <c r="DE223" s="407">
        <v>0</v>
      </c>
      <c r="DF223" s="407">
        <v>0</v>
      </c>
      <c r="DG223" s="407">
        <v>2.353350292210278</v>
      </c>
      <c r="DH223" s="407">
        <v>0</v>
      </c>
      <c r="DI223" s="407">
        <v>-8.636286464630814</v>
      </c>
      <c r="DJ223" s="407"/>
      <c r="DK223" s="407">
        <v>0</v>
      </c>
      <c r="DL223" s="407">
        <v>0</v>
      </c>
      <c r="DM223" s="407">
        <v>0</v>
      </c>
      <c r="DN223" s="407">
        <v>0</v>
      </c>
      <c r="DO223" s="407">
        <v>-1.3361759132492139</v>
      </c>
      <c r="DP223" s="407">
        <v>-0.15646670362697357</v>
      </c>
      <c r="DQ223" s="407">
        <v>0</v>
      </c>
      <c r="DR223" s="407">
        <v>-452.26895019594815</v>
      </c>
      <c r="DS223" s="407"/>
      <c r="DT223" s="407"/>
      <c r="DU223" s="407">
        <v>17504.269107723037</v>
      </c>
      <c r="DV223" s="407">
        <v>0</v>
      </c>
      <c r="DW223" s="407">
        <v>0</v>
      </c>
      <c r="DX223" s="407">
        <v>0</v>
      </c>
      <c r="DY223" s="407">
        <v>-9166.0296200000012</v>
      </c>
      <c r="DZ223" s="407">
        <v>62.823889999999949</v>
      </c>
      <c r="EA223" s="407">
        <v>0</v>
      </c>
      <c r="EB223" s="407">
        <v>0</v>
      </c>
      <c r="EC223" s="407">
        <v>-8941.2213160491574</v>
      </c>
      <c r="ED223" s="407">
        <v>0</v>
      </c>
      <c r="EE223" s="407">
        <v>0</v>
      </c>
      <c r="EF223" s="407">
        <v>0</v>
      </c>
      <c r="EG223" s="407">
        <v>0</v>
      </c>
      <c r="EH223" s="407">
        <v>0</v>
      </c>
      <c r="EI223" s="407">
        <v>0</v>
      </c>
      <c r="EJ223" s="407">
        <v>0</v>
      </c>
      <c r="EK223" s="407">
        <v>0</v>
      </c>
      <c r="EL223" s="407">
        <v>0</v>
      </c>
      <c r="EM223" s="407">
        <v>0</v>
      </c>
      <c r="EN223" s="407">
        <v>0</v>
      </c>
      <c r="EO223" s="407">
        <v>0</v>
      </c>
      <c r="EP223" s="407">
        <v>58.405757642146249</v>
      </c>
      <c r="EQ223" s="407">
        <v>0</v>
      </c>
      <c r="ER223" s="407">
        <v>0</v>
      </c>
      <c r="ES223" s="407">
        <v>0</v>
      </c>
      <c r="ET223" s="407">
        <v>0</v>
      </c>
      <c r="EU223" s="407">
        <v>0</v>
      </c>
      <c r="EV223" s="407">
        <v>246</v>
      </c>
      <c r="EW223" s="407">
        <v>0</v>
      </c>
      <c r="EX223" s="407">
        <v>0</v>
      </c>
      <c r="EY223" s="407">
        <v>0</v>
      </c>
      <c r="EZ223" s="407"/>
      <c r="FA223" s="407">
        <v>0</v>
      </c>
      <c r="FB223" s="407"/>
      <c r="FC223" s="407"/>
      <c r="FD223" s="407"/>
      <c r="FE223" s="407"/>
      <c r="FF223" s="407">
        <v>0</v>
      </c>
      <c r="FG223" s="407">
        <v>0</v>
      </c>
      <c r="FH223" s="407">
        <v>0</v>
      </c>
      <c r="FI223" s="407">
        <v>0</v>
      </c>
    </row>
    <row r="224" spans="1:165">
      <c r="A224" s="407">
        <v>235</v>
      </c>
      <c r="B224" s="407" t="s">
        <v>1090</v>
      </c>
      <c r="C224" s="407" t="s">
        <v>2317</v>
      </c>
      <c r="D224" s="407" t="s">
        <v>650</v>
      </c>
      <c r="E224" s="407" t="s">
        <v>2316</v>
      </c>
      <c r="F224" s="407" t="s">
        <v>97</v>
      </c>
      <c r="G224" s="407" t="s">
        <v>97</v>
      </c>
      <c r="H224" s="407" t="s">
        <v>97</v>
      </c>
      <c r="I224" s="407" t="s">
        <v>2290</v>
      </c>
      <c r="J224" s="407" t="s">
        <v>2307</v>
      </c>
      <c r="K224" s="818">
        <v>44470</v>
      </c>
      <c r="L224" s="407">
        <v>230</v>
      </c>
      <c r="M224" s="407">
        <v>230</v>
      </c>
      <c r="N224" s="407">
        <v>22.193000000000001</v>
      </c>
      <c r="O224" s="407">
        <v>22.193000000000001</v>
      </c>
      <c r="P224" s="407">
        <v>22.193000000000001</v>
      </c>
      <c r="Q224" s="407">
        <v>22.193000000000001</v>
      </c>
      <c r="R224" s="407">
        <v>43.29</v>
      </c>
      <c r="S224" s="407">
        <v>95.29</v>
      </c>
      <c r="T224" s="407">
        <v>159.41</v>
      </c>
      <c r="U224" s="407">
        <v>9956.6999999999989</v>
      </c>
      <c r="V224" s="407">
        <v>5652.5571</v>
      </c>
      <c r="W224" s="407">
        <v>15609.257099999999</v>
      </c>
      <c r="X224" s="407">
        <v>13848.163630000001</v>
      </c>
      <c r="Y224" s="407">
        <v>0</v>
      </c>
      <c r="Z224" s="407">
        <v>1196.516021841612</v>
      </c>
      <c r="AA224" s="407">
        <v>0</v>
      </c>
      <c r="AB224" s="407">
        <v>0</v>
      </c>
      <c r="AC224" s="407">
        <v>0</v>
      </c>
      <c r="AD224" s="407">
        <v>5442.71704644074</v>
      </c>
      <c r="AE224" s="407">
        <v>4514.7130340054682</v>
      </c>
      <c r="AF224" s="407">
        <v>3422.8422960140279</v>
      </c>
      <c r="AG224" s="407">
        <v>114.998516455391</v>
      </c>
      <c r="AH224" s="407">
        <v>0</v>
      </c>
      <c r="AI224" s="407">
        <v>0</v>
      </c>
      <c r="AJ224" s="407">
        <v>0</v>
      </c>
      <c r="AK224" s="407">
        <v>0</v>
      </c>
      <c r="AL224" s="407">
        <v>212.52139639902012</v>
      </c>
      <c r="AM224" s="407"/>
      <c r="AN224" s="407">
        <v>23.829364986915085</v>
      </c>
      <c r="AO224" s="407">
        <v>0</v>
      </c>
      <c r="AP224" s="407">
        <v>0</v>
      </c>
      <c r="AQ224" s="407">
        <v>0</v>
      </c>
      <c r="AR224" s="407">
        <v>0</v>
      </c>
      <c r="AS224" s="407">
        <v>0</v>
      </c>
      <c r="AT224" s="407">
        <v>0</v>
      </c>
      <c r="AU224" s="407">
        <v>0</v>
      </c>
      <c r="AV224" s="407">
        <v>0</v>
      </c>
      <c r="AW224" s="407">
        <v>0</v>
      </c>
      <c r="AX224" s="407">
        <v>0</v>
      </c>
      <c r="AY224" s="407">
        <v>0</v>
      </c>
      <c r="AZ224" s="407">
        <v>0</v>
      </c>
      <c r="BA224" s="407"/>
      <c r="BB224" s="407">
        <v>0</v>
      </c>
      <c r="BC224" s="407">
        <v>0</v>
      </c>
      <c r="BD224" s="407">
        <v>0</v>
      </c>
      <c r="BE224" s="407">
        <v>0</v>
      </c>
      <c r="BF224" s="407">
        <v>0</v>
      </c>
      <c r="BG224" s="407">
        <v>115.17888164795167</v>
      </c>
      <c r="BH224" s="407">
        <v>0</v>
      </c>
      <c r="BI224" s="407">
        <v>0</v>
      </c>
      <c r="BJ224" s="407">
        <v>0</v>
      </c>
      <c r="BK224" s="407">
        <v>0</v>
      </c>
      <c r="BL224" s="407">
        <v>0</v>
      </c>
      <c r="BM224" s="407"/>
      <c r="BN224" s="407"/>
      <c r="BO224" s="407"/>
      <c r="BP224" s="407"/>
      <c r="BQ224" s="407"/>
      <c r="BR224" s="407"/>
      <c r="BS224" s="407"/>
      <c r="BT224" s="407"/>
      <c r="BU224" s="407"/>
      <c r="BV224" s="407">
        <v>3538.0211776619794</v>
      </c>
      <c r="BW224" s="407"/>
      <c r="BX224" s="407"/>
      <c r="BY224" s="407"/>
      <c r="BZ224" s="407"/>
      <c r="CA224" s="407"/>
      <c r="CB224" s="407"/>
      <c r="CC224" s="407"/>
      <c r="CD224" s="407"/>
      <c r="CE224" s="407"/>
      <c r="CF224" s="407"/>
      <c r="CG224" s="407"/>
      <c r="CH224" s="407"/>
      <c r="CI224" s="407">
        <v>13847.332900000001</v>
      </c>
      <c r="CJ224" s="407">
        <v>-1761.9542000000001</v>
      </c>
      <c r="CK224" s="407"/>
      <c r="CL224" s="407"/>
      <c r="CM224" s="407"/>
      <c r="CN224" s="407"/>
      <c r="CO224" s="407">
        <v>-2370.7351799999997</v>
      </c>
      <c r="CP224" s="407">
        <v>609.64170999999999</v>
      </c>
      <c r="CQ224" s="407">
        <v>31</v>
      </c>
      <c r="CR224" s="407">
        <v>544.27821597765615</v>
      </c>
      <c r="CS224" s="407">
        <v>0</v>
      </c>
      <c r="CT224" s="407">
        <v>0</v>
      </c>
      <c r="CU224" s="407">
        <v>0</v>
      </c>
      <c r="CV224" s="407">
        <v>0</v>
      </c>
      <c r="CW224" s="407">
        <v>0</v>
      </c>
      <c r="CX224" s="407">
        <v>0</v>
      </c>
      <c r="CY224" s="407">
        <v>0</v>
      </c>
      <c r="CZ224" s="407">
        <v>245.85832086169376</v>
      </c>
      <c r="DA224" s="407">
        <v>0</v>
      </c>
      <c r="DB224" s="407">
        <v>0</v>
      </c>
      <c r="DC224" s="407">
        <v>678.65719397668363</v>
      </c>
      <c r="DD224" s="407">
        <v>0</v>
      </c>
      <c r="DE224" s="407">
        <v>0</v>
      </c>
      <c r="DF224" s="407">
        <v>0</v>
      </c>
      <c r="DG224" s="407">
        <v>22.836861843035706</v>
      </c>
      <c r="DH224" s="407">
        <v>0</v>
      </c>
      <c r="DI224" s="407">
        <v>-83.806342592720284</v>
      </c>
      <c r="DJ224" s="407"/>
      <c r="DK224" s="407">
        <v>0</v>
      </c>
      <c r="DL224" s="407">
        <v>0</v>
      </c>
      <c r="DM224" s="407">
        <v>0</v>
      </c>
      <c r="DN224" s="407">
        <v>0</v>
      </c>
      <c r="DO224" s="407">
        <v>-12.966223018250872</v>
      </c>
      <c r="DP224" s="407">
        <v>-1.5183496080426018</v>
      </c>
      <c r="DQ224" s="407">
        <v>0</v>
      </c>
      <c r="DR224" s="407">
        <v>-304.78324548474382</v>
      </c>
      <c r="DS224" s="407"/>
      <c r="DT224" s="407"/>
      <c r="DU224" s="407">
        <v>4514.7130340054682</v>
      </c>
      <c r="DV224" s="407">
        <v>0</v>
      </c>
      <c r="DW224" s="407">
        <v>0</v>
      </c>
      <c r="DX224" s="407">
        <v>0</v>
      </c>
      <c r="DY224" s="407">
        <v>-2370.7351799999979</v>
      </c>
      <c r="DZ224" s="407">
        <v>609.64171000000033</v>
      </c>
      <c r="EA224" s="407">
        <v>0</v>
      </c>
      <c r="EB224" s="407">
        <v>0</v>
      </c>
      <c r="EC224" s="407">
        <v>-2306.1259037479317</v>
      </c>
      <c r="ED224" s="407">
        <v>0</v>
      </c>
      <c r="EE224" s="407">
        <v>0</v>
      </c>
      <c r="EF224" s="407">
        <v>0</v>
      </c>
      <c r="EG224" s="407">
        <v>0</v>
      </c>
      <c r="EH224" s="407">
        <v>0</v>
      </c>
      <c r="EI224" s="407">
        <v>0</v>
      </c>
      <c r="EJ224" s="407">
        <v>0</v>
      </c>
      <c r="EK224" s="407">
        <v>0</v>
      </c>
      <c r="EL224" s="407">
        <v>0</v>
      </c>
      <c r="EM224" s="407">
        <v>0</v>
      </c>
      <c r="EN224" s="407">
        <v>0</v>
      </c>
      <c r="EO224" s="407">
        <v>0</v>
      </c>
      <c r="EP224" s="407">
        <v>566.76824632800685</v>
      </c>
      <c r="EQ224" s="407">
        <v>0</v>
      </c>
      <c r="ER224" s="407">
        <v>0</v>
      </c>
      <c r="ES224" s="407">
        <v>0</v>
      </c>
      <c r="ET224" s="407">
        <v>0</v>
      </c>
      <c r="EU224" s="407">
        <v>0</v>
      </c>
      <c r="EV224" s="407">
        <v>246</v>
      </c>
      <c r="EW224" s="407">
        <v>0</v>
      </c>
      <c r="EX224" s="407">
        <v>0</v>
      </c>
      <c r="EY224" s="407">
        <v>0</v>
      </c>
      <c r="EZ224" s="407"/>
      <c r="FA224" s="407">
        <v>0</v>
      </c>
      <c r="FB224" s="407"/>
      <c r="FC224" s="407"/>
      <c r="FD224" s="407"/>
      <c r="FE224" s="407"/>
      <c r="FF224" s="407">
        <v>0</v>
      </c>
      <c r="FG224" s="407">
        <v>0</v>
      </c>
      <c r="FH224" s="407">
        <v>0</v>
      </c>
      <c r="FI224" s="407">
        <v>0</v>
      </c>
    </row>
    <row r="225" spans="1:165">
      <c r="A225" s="407">
        <v>236</v>
      </c>
      <c r="B225" s="407" t="s">
        <v>1090</v>
      </c>
      <c r="C225" s="407" t="s">
        <v>2317</v>
      </c>
      <c r="D225" s="407" t="s">
        <v>650</v>
      </c>
      <c r="E225" s="407" t="s">
        <v>2316</v>
      </c>
      <c r="F225" s="407" t="s">
        <v>97</v>
      </c>
      <c r="G225" s="407" t="s">
        <v>97</v>
      </c>
      <c r="H225" s="407" t="s">
        <v>97</v>
      </c>
      <c r="I225" s="407" t="s">
        <v>97</v>
      </c>
      <c r="J225" s="407" t="s">
        <v>2307</v>
      </c>
      <c r="K225" s="818">
        <v>44470</v>
      </c>
      <c r="L225" s="407">
        <v>0</v>
      </c>
      <c r="M225" s="407">
        <v>0</v>
      </c>
      <c r="N225" s="407">
        <v>0</v>
      </c>
      <c r="O225" s="407">
        <v>0</v>
      </c>
      <c r="P225" s="407">
        <v>0</v>
      </c>
      <c r="Q225" s="407">
        <v>0</v>
      </c>
      <c r="R225" s="407"/>
      <c r="S225" s="407"/>
      <c r="T225" s="407"/>
      <c r="U225" s="407"/>
      <c r="V225" s="407"/>
      <c r="W225" s="407"/>
      <c r="X225" s="407"/>
      <c r="Y225" s="407"/>
      <c r="Z225" s="407"/>
      <c r="AA225" s="407">
        <v>0</v>
      </c>
      <c r="AB225" s="407"/>
      <c r="AC225" s="407"/>
      <c r="AD225" s="407"/>
      <c r="AE225" s="407"/>
      <c r="AF225" s="407"/>
      <c r="AG225" s="407"/>
      <c r="AH225" s="407"/>
      <c r="AI225" s="407"/>
      <c r="AJ225" s="407"/>
      <c r="AK225" s="407"/>
      <c r="AL225" s="407"/>
      <c r="AM225" s="407"/>
      <c r="AN225" s="407"/>
      <c r="AO225" s="407"/>
      <c r="AP225" s="407"/>
      <c r="AQ225" s="407"/>
      <c r="AR225" s="407"/>
      <c r="AS225" s="407"/>
      <c r="AT225" s="407"/>
      <c r="AU225" s="407"/>
      <c r="AV225" s="407"/>
      <c r="AW225" s="407"/>
      <c r="AX225" s="407"/>
      <c r="AY225" s="407"/>
      <c r="AZ225" s="407">
        <v>0</v>
      </c>
      <c r="BA225" s="407"/>
      <c r="BB225" s="407"/>
      <c r="BC225" s="407"/>
      <c r="BD225" s="407"/>
      <c r="BE225" s="407"/>
      <c r="BF225" s="407"/>
      <c r="BG225" s="407"/>
      <c r="BH225" s="407"/>
      <c r="BI225" s="407">
        <v>181.39</v>
      </c>
      <c r="BJ225" s="407">
        <v>792.62</v>
      </c>
      <c r="BK225" s="407">
        <v>7074.11</v>
      </c>
      <c r="BL225" s="407">
        <v>1</v>
      </c>
      <c r="BM225" s="407"/>
      <c r="BN225" s="407"/>
      <c r="BO225" s="407"/>
      <c r="BP225" s="407"/>
      <c r="BQ225" s="407"/>
      <c r="BR225" s="407"/>
      <c r="BS225" s="407"/>
      <c r="BT225" s="407"/>
      <c r="BU225" s="407"/>
      <c r="BV225" s="407"/>
      <c r="BW225" s="407"/>
      <c r="BX225" s="407"/>
      <c r="BY225" s="407"/>
      <c r="BZ225" s="407"/>
      <c r="CA225" s="407"/>
      <c r="CB225" s="407"/>
      <c r="CC225" s="407"/>
      <c r="CD225" s="407"/>
      <c r="CE225" s="407"/>
      <c r="CF225" s="407"/>
      <c r="CG225" s="407"/>
      <c r="CH225" s="407"/>
      <c r="CI225" s="407"/>
      <c r="CJ225" s="407">
        <v>-0.03</v>
      </c>
      <c r="CK225" s="407"/>
      <c r="CL225" s="407"/>
      <c r="CM225" s="407"/>
      <c r="CN225" s="407"/>
      <c r="CO225" s="407">
        <v>0</v>
      </c>
      <c r="CP225" s="407">
        <v>0</v>
      </c>
      <c r="CQ225" s="407">
        <v>31</v>
      </c>
      <c r="CR225" s="407"/>
      <c r="CS225" s="407"/>
      <c r="CT225" s="407"/>
      <c r="CU225" s="407"/>
      <c r="CV225" s="407"/>
      <c r="CW225" s="407"/>
      <c r="CX225" s="407"/>
      <c r="CY225" s="407"/>
      <c r="CZ225" s="407"/>
      <c r="DA225" s="407"/>
      <c r="DB225" s="407"/>
      <c r="DC225" s="407"/>
      <c r="DD225" s="407"/>
      <c r="DE225" s="407"/>
      <c r="DF225" s="407"/>
      <c r="DG225" s="407"/>
      <c r="DH225" s="407"/>
      <c r="DI225" s="407"/>
      <c r="DJ225" s="407"/>
      <c r="DK225" s="407">
        <v>0</v>
      </c>
      <c r="DL225" s="407"/>
      <c r="DM225" s="407"/>
      <c r="DN225" s="407"/>
      <c r="DO225" s="407"/>
      <c r="DP225" s="407"/>
      <c r="DQ225" s="407"/>
      <c r="DR225" s="407"/>
      <c r="DS225" s="407"/>
      <c r="DT225" s="407"/>
      <c r="DU225" s="407"/>
      <c r="DV225" s="407"/>
      <c r="DW225" s="407"/>
      <c r="DX225" s="407"/>
      <c r="DY225" s="407"/>
      <c r="DZ225" s="407"/>
      <c r="EA225" s="407"/>
      <c r="EB225" s="407"/>
      <c r="EC225" s="407"/>
      <c r="ED225" s="407"/>
      <c r="EE225" s="407"/>
      <c r="EF225" s="407"/>
      <c r="EG225" s="407"/>
      <c r="EH225" s="407"/>
      <c r="EI225" s="407"/>
      <c r="EJ225" s="407"/>
      <c r="EK225" s="407"/>
      <c r="EL225" s="407"/>
      <c r="EM225" s="407"/>
      <c r="EN225" s="407"/>
      <c r="EO225" s="407"/>
      <c r="EP225" s="407"/>
      <c r="EQ225" s="407"/>
      <c r="ER225" s="407"/>
      <c r="ES225" s="407"/>
      <c r="ET225" s="407"/>
      <c r="EU225" s="407"/>
      <c r="EV225" s="407">
        <v>246</v>
      </c>
      <c r="EW225" s="407"/>
      <c r="EX225" s="407"/>
      <c r="EY225" s="407"/>
      <c r="EZ225" s="407"/>
      <c r="FA225" s="407">
        <v>0</v>
      </c>
      <c r="FB225" s="407"/>
      <c r="FC225" s="407"/>
      <c r="FD225" s="407"/>
      <c r="FE225" s="407"/>
      <c r="FF225" s="407">
        <v>0</v>
      </c>
      <c r="FG225" s="407">
        <v>0</v>
      </c>
      <c r="FH225" s="407">
        <v>0</v>
      </c>
      <c r="FI225" s="407">
        <v>0</v>
      </c>
    </row>
    <row r="226" spans="1:165">
      <c r="A226" s="407">
        <v>237</v>
      </c>
      <c r="B226" s="407" t="s">
        <v>1090</v>
      </c>
      <c r="C226" s="407" t="s">
        <v>2314</v>
      </c>
      <c r="D226" s="407" t="s">
        <v>650</v>
      </c>
      <c r="E226" s="407" t="s">
        <v>2316</v>
      </c>
      <c r="F226" s="407" t="s">
        <v>97</v>
      </c>
      <c r="G226" s="407" t="s">
        <v>97</v>
      </c>
      <c r="H226" s="407" t="s">
        <v>97</v>
      </c>
      <c r="I226" s="407" t="s">
        <v>1025</v>
      </c>
      <c r="J226" s="407" t="s">
        <v>2307</v>
      </c>
      <c r="K226" s="818">
        <v>44470</v>
      </c>
      <c r="L226" s="407">
        <v>0</v>
      </c>
      <c r="M226" s="407">
        <v>0</v>
      </c>
      <c r="N226" s="407">
        <v>0.46200000000000002</v>
      </c>
      <c r="O226" s="407">
        <v>0.46200000000000002</v>
      </c>
      <c r="P226" s="407">
        <v>0.46200000000000002</v>
      </c>
      <c r="Q226" s="407">
        <v>0.46200000000000002</v>
      </c>
      <c r="R226" s="407"/>
      <c r="S226" s="407">
        <v>2810.7</v>
      </c>
      <c r="T226" s="407">
        <v>159.41</v>
      </c>
      <c r="U226" s="407"/>
      <c r="V226" s="407">
        <v>1372.19082</v>
      </c>
      <c r="W226" s="407">
        <v>1372.19082</v>
      </c>
      <c r="X226" s="407">
        <v>873.96078</v>
      </c>
      <c r="Y226" s="407">
        <v>0</v>
      </c>
      <c r="Z226" s="407">
        <v>24.90832253822488</v>
      </c>
      <c r="AA226" s="407">
        <v>0</v>
      </c>
      <c r="AB226" s="407">
        <v>0</v>
      </c>
      <c r="AC226" s="407">
        <v>0</v>
      </c>
      <c r="AD226" s="407">
        <v>282.05820414464756</v>
      </c>
      <c r="AE226" s="407">
        <v>972.45867369000962</v>
      </c>
      <c r="AF226" s="407">
        <v>71.254591121456357</v>
      </c>
      <c r="AG226" s="407">
        <v>2.3939672240071483</v>
      </c>
      <c r="AH226" s="407">
        <v>0</v>
      </c>
      <c r="AI226" s="407">
        <v>0</v>
      </c>
      <c r="AJ226" s="407">
        <v>0</v>
      </c>
      <c r="AK226" s="407">
        <v>0</v>
      </c>
      <c r="AL226" s="407">
        <v>4.4241375720428646</v>
      </c>
      <c r="AM226" s="407"/>
      <c r="AN226" s="407">
        <v>0.49606482332063123</v>
      </c>
      <c r="AO226" s="407">
        <v>0</v>
      </c>
      <c r="AP226" s="407">
        <v>0</v>
      </c>
      <c r="AQ226" s="407">
        <v>0</v>
      </c>
      <c r="AR226" s="407">
        <v>0</v>
      </c>
      <c r="AS226" s="407">
        <v>0</v>
      </c>
      <c r="AT226" s="407">
        <v>0</v>
      </c>
      <c r="AU226" s="407">
        <v>0</v>
      </c>
      <c r="AV226" s="407">
        <v>0</v>
      </c>
      <c r="AW226" s="407">
        <v>0</v>
      </c>
      <c r="AX226" s="407">
        <v>0</v>
      </c>
      <c r="AY226" s="407">
        <v>0</v>
      </c>
      <c r="AZ226" s="407">
        <v>0</v>
      </c>
      <c r="BA226" s="407"/>
      <c r="BB226" s="407">
        <v>0</v>
      </c>
      <c r="BC226" s="407">
        <v>0</v>
      </c>
      <c r="BD226" s="407">
        <v>0</v>
      </c>
      <c r="BE226" s="407">
        <v>0</v>
      </c>
      <c r="BF226" s="407">
        <v>0</v>
      </c>
      <c r="BG226" s="407">
        <v>2.3977219538302017</v>
      </c>
      <c r="BH226" s="407">
        <v>0</v>
      </c>
      <c r="BI226" s="407">
        <v>0</v>
      </c>
      <c r="BJ226" s="407">
        <v>0</v>
      </c>
      <c r="BK226" s="407">
        <v>0</v>
      </c>
      <c r="BL226" s="407">
        <v>0</v>
      </c>
      <c r="BM226" s="407"/>
      <c r="BN226" s="407"/>
      <c r="BO226" s="407"/>
      <c r="BP226" s="407"/>
      <c r="BQ226" s="407"/>
      <c r="BR226" s="407"/>
      <c r="BS226" s="407"/>
      <c r="BT226" s="407"/>
      <c r="BU226" s="407"/>
      <c r="BV226" s="407">
        <v>73.652313075286557</v>
      </c>
      <c r="BW226" s="407"/>
      <c r="BX226" s="407"/>
      <c r="BY226" s="407"/>
      <c r="BZ226" s="407"/>
      <c r="CA226" s="407"/>
      <c r="CB226" s="407"/>
      <c r="CC226" s="407"/>
      <c r="CD226" s="407"/>
      <c r="CE226" s="407"/>
      <c r="CF226" s="407"/>
      <c r="CG226" s="407"/>
      <c r="CH226" s="407"/>
      <c r="CI226" s="407">
        <v>870.17739999999992</v>
      </c>
      <c r="CJ226" s="407">
        <v>-502.04342000000008</v>
      </c>
      <c r="CK226" s="407"/>
      <c r="CL226" s="407"/>
      <c r="CM226" s="407"/>
      <c r="CN226" s="407"/>
      <c r="CO226" s="407">
        <v>-510.92117999999999</v>
      </c>
      <c r="CP226" s="407">
        <v>12.691140000000001</v>
      </c>
      <c r="CQ226" s="407">
        <v>31</v>
      </c>
      <c r="CR226" s="407">
        <v>-1.4934598116627171</v>
      </c>
      <c r="CS226" s="407">
        <v>0</v>
      </c>
      <c r="CT226" s="407">
        <v>0</v>
      </c>
      <c r="CU226" s="407">
        <v>0</v>
      </c>
      <c r="CV226" s="407">
        <v>0</v>
      </c>
      <c r="CW226" s="407">
        <v>0</v>
      </c>
      <c r="CX226" s="407">
        <v>0</v>
      </c>
      <c r="CY226" s="407">
        <v>0</v>
      </c>
      <c r="CZ226" s="407">
        <v>12.74112834905111</v>
      </c>
      <c r="DA226" s="407">
        <v>0</v>
      </c>
      <c r="DB226" s="407">
        <v>0</v>
      </c>
      <c r="DC226" s="407">
        <v>14.127861200253577</v>
      </c>
      <c r="DD226" s="407">
        <v>0</v>
      </c>
      <c r="DE226" s="407">
        <v>0</v>
      </c>
      <c r="DF226" s="407">
        <v>0</v>
      </c>
      <c r="DG226" s="407">
        <v>0.47540351333675046</v>
      </c>
      <c r="DH226" s="407">
        <v>0</v>
      </c>
      <c r="DI226" s="407">
        <v>-1.7446280483862857</v>
      </c>
      <c r="DJ226" s="407"/>
      <c r="DK226" s="407">
        <v>0</v>
      </c>
      <c r="DL226" s="407">
        <v>0</v>
      </c>
      <c r="DM226" s="407">
        <v>0</v>
      </c>
      <c r="DN226" s="407">
        <v>0</v>
      </c>
      <c r="DO226" s="407">
        <v>-0.26992272493272207</v>
      </c>
      <c r="DP226" s="407">
        <v>-3.1608052940822862E-2</v>
      </c>
      <c r="DQ226" s="407">
        <v>0</v>
      </c>
      <c r="DR226" s="407">
        <v>-26.791694048044363</v>
      </c>
      <c r="DS226" s="407"/>
      <c r="DT226" s="407"/>
      <c r="DU226" s="407"/>
      <c r="DV226" s="407">
        <v>972.45867369000962</v>
      </c>
      <c r="DW226" s="407">
        <v>0</v>
      </c>
      <c r="DX226" s="407">
        <v>0</v>
      </c>
      <c r="DY226" s="407">
        <v>-510.92118000000005</v>
      </c>
      <c r="DZ226" s="407">
        <v>12.691140000000004</v>
      </c>
      <c r="EA226" s="407">
        <v>0</v>
      </c>
      <c r="EB226" s="407">
        <v>0</v>
      </c>
      <c r="EC226" s="407">
        <v>-496.73414917608164</v>
      </c>
      <c r="ED226" s="407">
        <v>0</v>
      </c>
      <c r="EE226" s="407">
        <v>0</v>
      </c>
      <c r="EF226" s="407">
        <v>0</v>
      </c>
      <c r="EG226" s="407">
        <v>0</v>
      </c>
      <c r="EH226" s="407">
        <v>0</v>
      </c>
      <c r="EI226" s="407">
        <v>0</v>
      </c>
      <c r="EJ226" s="407">
        <v>0</v>
      </c>
      <c r="EK226" s="407">
        <v>0</v>
      </c>
      <c r="EL226" s="407">
        <v>0</v>
      </c>
      <c r="EM226" s="407">
        <v>0</v>
      </c>
      <c r="EN226" s="407">
        <v>0</v>
      </c>
      <c r="EO226" s="407">
        <v>0</v>
      </c>
      <c r="EP226" s="407">
        <v>11.798627035711224</v>
      </c>
      <c r="EQ226" s="407">
        <v>0</v>
      </c>
      <c r="ER226" s="407">
        <v>0</v>
      </c>
      <c r="ES226" s="407">
        <v>0</v>
      </c>
      <c r="ET226" s="407">
        <v>0</v>
      </c>
      <c r="EU226" s="407">
        <v>0</v>
      </c>
      <c r="EV226" s="407">
        <v>246</v>
      </c>
      <c r="EW226" s="407">
        <v>0</v>
      </c>
      <c r="EX226" s="407">
        <v>0</v>
      </c>
      <c r="EY226" s="407">
        <v>0</v>
      </c>
      <c r="EZ226" s="407"/>
      <c r="FA226" s="407">
        <v>0</v>
      </c>
      <c r="FB226" s="407"/>
      <c r="FC226" s="407"/>
      <c r="FD226" s="407"/>
      <c r="FE226" s="407"/>
      <c r="FF226" s="407">
        <v>0</v>
      </c>
      <c r="FG226" s="407">
        <v>0</v>
      </c>
      <c r="FH226" s="407">
        <v>0</v>
      </c>
      <c r="FI226" s="407">
        <v>0</v>
      </c>
    </row>
    <row r="227" spans="1:165">
      <c r="A227" s="407">
        <v>238</v>
      </c>
      <c r="B227" s="407" t="s">
        <v>1090</v>
      </c>
      <c r="C227" s="407" t="s">
        <v>2314</v>
      </c>
      <c r="D227" s="407" t="s">
        <v>650</v>
      </c>
      <c r="E227" s="407" t="s">
        <v>2316</v>
      </c>
      <c r="F227" s="407" t="s">
        <v>97</v>
      </c>
      <c r="G227" s="407" t="s">
        <v>97</v>
      </c>
      <c r="H227" s="407" t="s">
        <v>97</v>
      </c>
      <c r="I227" s="407" t="s">
        <v>2290</v>
      </c>
      <c r="J227" s="407" t="s">
        <v>2307</v>
      </c>
      <c r="K227" s="818">
        <v>44470</v>
      </c>
      <c r="L227" s="407">
        <v>0</v>
      </c>
      <c r="M227" s="407">
        <v>0</v>
      </c>
      <c r="N227" s="407">
        <v>4.67</v>
      </c>
      <c r="O227" s="407">
        <v>4.67</v>
      </c>
      <c r="P227" s="407">
        <v>4.67</v>
      </c>
      <c r="Q227" s="407">
        <v>4.67</v>
      </c>
      <c r="R227" s="407"/>
      <c r="S227" s="407">
        <v>95.29</v>
      </c>
      <c r="T227" s="407">
        <v>159.41</v>
      </c>
      <c r="U227" s="407"/>
      <c r="V227" s="407">
        <v>1189.4490000000001</v>
      </c>
      <c r="W227" s="407">
        <v>1189.4490000000001</v>
      </c>
      <c r="X227" s="407">
        <v>1293.1696999999999</v>
      </c>
      <c r="Y227" s="407">
        <v>0</v>
      </c>
      <c r="Z227" s="407">
        <v>251.77893128465408</v>
      </c>
      <c r="AA227" s="407">
        <v>0</v>
      </c>
      <c r="AB227" s="407">
        <v>0</v>
      </c>
      <c r="AC227" s="407">
        <v>0</v>
      </c>
      <c r="AD227" s="407">
        <v>0</v>
      </c>
      <c r="AE227" s="407">
        <v>0</v>
      </c>
      <c r="AF227" s="407">
        <v>720.25744705021896</v>
      </c>
      <c r="AG227" s="407">
        <v>24.198759601977017</v>
      </c>
      <c r="AH227" s="407">
        <v>0</v>
      </c>
      <c r="AI227" s="407">
        <v>0</v>
      </c>
      <c r="AJ227" s="407">
        <v>0</v>
      </c>
      <c r="AK227" s="407">
        <v>0</v>
      </c>
      <c r="AL227" s="407">
        <v>44.720178487965747</v>
      </c>
      <c r="AM227" s="407"/>
      <c r="AN227" s="407">
        <v>5.0143349023968566</v>
      </c>
      <c r="AO227" s="407">
        <v>0</v>
      </c>
      <c r="AP227" s="407">
        <v>0</v>
      </c>
      <c r="AQ227" s="407">
        <v>0</v>
      </c>
      <c r="AR227" s="407">
        <v>0</v>
      </c>
      <c r="AS227" s="407">
        <v>0</v>
      </c>
      <c r="AT227" s="407">
        <v>0</v>
      </c>
      <c r="AU227" s="407">
        <v>0</v>
      </c>
      <c r="AV227" s="407">
        <v>0</v>
      </c>
      <c r="AW227" s="407">
        <v>0</v>
      </c>
      <c r="AX227" s="407">
        <v>0</v>
      </c>
      <c r="AY227" s="407">
        <v>0</v>
      </c>
      <c r="AZ227" s="407">
        <v>0</v>
      </c>
      <c r="BA227" s="407"/>
      <c r="BB227" s="407">
        <v>0</v>
      </c>
      <c r="BC227" s="407">
        <v>0</v>
      </c>
      <c r="BD227" s="407">
        <v>0</v>
      </c>
      <c r="BE227" s="407">
        <v>0</v>
      </c>
      <c r="BF227" s="407">
        <v>0</v>
      </c>
      <c r="BG227" s="407">
        <v>24.236713256249008</v>
      </c>
      <c r="BH227" s="407">
        <v>0</v>
      </c>
      <c r="BI227" s="407">
        <v>0</v>
      </c>
      <c r="BJ227" s="407">
        <v>0</v>
      </c>
      <c r="BK227" s="407">
        <v>0</v>
      </c>
      <c r="BL227" s="407">
        <v>0</v>
      </c>
      <c r="BM227" s="407"/>
      <c r="BN227" s="407"/>
      <c r="BO227" s="407"/>
      <c r="BP227" s="407"/>
      <c r="BQ227" s="407"/>
      <c r="BR227" s="407"/>
      <c r="BS227" s="407"/>
      <c r="BT227" s="407"/>
      <c r="BU227" s="407"/>
      <c r="BV227" s="407">
        <v>744.49416030646796</v>
      </c>
      <c r="BW227" s="407"/>
      <c r="BX227" s="407"/>
      <c r="BY227" s="407"/>
      <c r="BZ227" s="407"/>
      <c r="CA227" s="407"/>
      <c r="CB227" s="407"/>
      <c r="CC227" s="407"/>
      <c r="CD227" s="407"/>
      <c r="CE227" s="407"/>
      <c r="CF227" s="407"/>
      <c r="CG227" s="407"/>
      <c r="CH227" s="407"/>
      <c r="CI227" s="407">
        <v>1293.1696999999999</v>
      </c>
      <c r="CJ227" s="407">
        <v>103.69069999999988</v>
      </c>
      <c r="CK227" s="407"/>
      <c r="CL227" s="407"/>
      <c r="CM227" s="407"/>
      <c r="CN227" s="407"/>
      <c r="CO227" s="407">
        <v>-24.564200000000024</v>
      </c>
      <c r="CP227" s="407">
        <v>128.28489999999999</v>
      </c>
      <c r="CQ227" s="407">
        <v>31</v>
      </c>
      <c r="CR227" s="407">
        <v>103.70593910875414</v>
      </c>
      <c r="CS227" s="407">
        <v>0</v>
      </c>
      <c r="CT227" s="407">
        <v>0</v>
      </c>
      <c r="CU227" s="407">
        <v>0</v>
      </c>
      <c r="CV227" s="407">
        <v>0</v>
      </c>
      <c r="CW227" s="407">
        <v>0</v>
      </c>
      <c r="CX227" s="407">
        <v>0</v>
      </c>
      <c r="CY227" s="407">
        <v>0</v>
      </c>
      <c r="CZ227" s="407">
        <v>0</v>
      </c>
      <c r="DA227" s="407">
        <v>0</v>
      </c>
      <c r="DB227" s="407">
        <v>0</v>
      </c>
      <c r="DC227" s="407">
        <v>142.80760130992246</v>
      </c>
      <c r="DD227" s="407">
        <v>0</v>
      </c>
      <c r="DE227" s="407">
        <v>0</v>
      </c>
      <c r="DF227" s="407">
        <v>0</v>
      </c>
      <c r="DG227" s="407">
        <v>4.8054857300489715</v>
      </c>
      <c r="DH227" s="407">
        <v>0</v>
      </c>
      <c r="DI227" s="407">
        <v>-17.635093043212009</v>
      </c>
      <c r="DJ227" s="407"/>
      <c r="DK227" s="407">
        <v>0</v>
      </c>
      <c r="DL227" s="407">
        <v>0</v>
      </c>
      <c r="DM227" s="407">
        <v>0</v>
      </c>
      <c r="DN227" s="407">
        <v>0</v>
      </c>
      <c r="DO227" s="407">
        <v>-2.7284396654454781</v>
      </c>
      <c r="DP227" s="407">
        <v>-0.31950131435853368</v>
      </c>
      <c r="DQ227" s="407">
        <v>0</v>
      </c>
      <c r="DR227" s="407">
        <v>-23.224113908201289</v>
      </c>
      <c r="DS227" s="407"/>
      <c r="DT227" s="407"/>
      <c r="DU227" s="407"/>
      <c r="DV227" s="407">
        <v>0</v>
      </c>
      <c r="DW227" s="407">
        <v>0</v>
      </c>
      <c r="DX227" s="407">
        <v>0</v>
      </c>
      <c r="DY227" s="407">
        <v>-24.564200000000028</v>
      </c>
      <c r="DZ227" s="407">
        <v>128.28489999999999</v>
      </c>
      <c r="EA227" s="407">
        <v>0</v>
      </c>
      <c r="EB227" s="407">
        <v>0</v>
      </c>
      <c r="EC227" s="407">
        <v>0</v>
      </c>
      <c r="ED227" s="407">
        <v>0</v>
      </c>
      <c r="EE227" s="407">
        <v>0</v>
      </c>
      <c r="EF227" s="407">
        <v>0</v>
      </c>
      <c r="EG227" s="407">
        <v>0</v>
      </c>
      <c r="EH227" s="407">
        <v>0</v>
      </c>
      <c r="EI227" s="407">
        <v>0</v>
      </c>
      <c r="EJ227" s="407">
        <v>0</v>
      </c>
      <c r="EK227" s="407">
        <v>0</v>
      </c>
      <c r="EL227" s="407">
        <v>0</v>
      </c>
      <c r="EM227" s="407">
        <v>0</v>
      </c>
      <c r="EN227" s="407">
        <v>0</v>
      </c>
      <c r="EO227" s="407">
        <v>0</v>
      </c>
      <c r="EP227" s="407">
        <v>119.26317804495976</v>
      </c>
      <c r="EQ227" s="407">
        <v>0</v>
      </c>
      <c r="ER227" s="407">
        <v>0</v>
      </c>
      <c r="ES227" s="407">
        <v>0</v>
      </c>
      <c r="ET227" s="407">
        <v>0</v>
      </c>
      <c r="EU227" s="407">
        <v>0</v>
      </c>
      <c r="EV227" s="407">
        <v>246</v>
      </c>
      <c r="EW227" s="407">
        <v>0</v>
      </c>
      <c r="EX227" s="407">
        <v>0</v>
      </c>
      <c r="EY227" s="407">
        <v>0</v>
      </c>
      <c r="EZ227" s="407"/>
      <c r="FA227" s="407">
        <v>0</v>
      </c>
      <c r="FB227" s="407"/>
      <c r="FC227" s="407"/>
      <c r="FD227" s="407"/>
      <c r="FE227" s="407"/>
      <c r="FF227" s="407">
        <v>0</v>
      </c>
      <c r="FG227" s="407">
        <v>0</v>
      </c>
      <c r="FH227" s="407">
        <v>0</v>
      </c>
      <c r="FI227" s="407">
        <v>0</v>
      </c>
    </row>
    <row r="228" spans="1:165">
      <c r="A228" s="407">
        <v>239</v>
      </c>
      <c r="B228" s="407" t="s">
        <v>1090</v>
      </c>
      <c r="C228" s="407" t="s">
        <v>2314</v>
      </c>
      <c r="D228" s="407" t="s">
        <v>650</v>
      </c>
      <c r="E228" s="407" t="s">
        <v>2316</v>
      </c>
      <c r="F228" s="407" t="s">
        <v>97</v>
      </c>
      <c r="G228" s="407" t="s">
        <v>97</v>
      </c>
      <c r="H228" s="407" t="s">
        <v>97</v>
      </c>
      <c r="I228" s="407" t="s">
        <v>97</v>
      </c>
      <c r="J228" s="407" t="s">
        <v>2307</v>
      </c>
      <c r="K228" s="818">
        <v>44470</v>
      </c>
      <c r="L228" s="407">
        <v>45</v>
      </c>
      <c r="M228" s="407">
        <v>45</v>
      </c>
      <c r="N228" s="407">
        <v>0</v>
      </c>
      <c r="O228" s="407">
        <v>0</v>
      </c>
      <c r="P228" s="407">
        <v>0</v>
      </c>
      <c r="Q228" s="407">
        <v>0</v>
      </c>
      <c r="R228" s="407">
        <v>43.29</v>
      </c>
      <c r="S228" s="407"/>
      <c r="T228" s="407"/>
      <c r="U228" s="407">
        <v>1948.05</v>
      </c>
      <c r="V228" s="407"/>
      <c r="W228" s="407">
        <v>1948.05</v>
      </c>
      <c r="X228" s="407">
        <v>1507.0500000000002</v>
      </c>
      <c r="Y228" s="407">
        <v>0</v>
      </c>
      <c r="Z228" s="407">
        <v>0</v>
      </c>
      <c r="AA228" s="407">
        <v>0</v>
      </c>
      <c r="AB228" s="407">
        <v>0</v>
      </c>
      <c r="AC228" s="407">
        <v>0</v>
      </c>
      <c r="AD228" s="407">
        <v>1064.8794221297101</v>
      </c>
      <c r="AE228" s="407">
        <v>883.31341969672201</v>
      </c>
      <c r="AF228" s="407"/>
      <c r="AG228" s="407"/>
      <c r="AH228" s="407"/>
      <c r="AI228" s="407">
        <v>0</v>
      </c>
      <c r="AJ228" s="407">
        <v>0</v>
      </c>
      <c r="AK228" s="407">
        <v>0</v>
      </c>
      <c r="AL228" s="407">
        <v>0</v>
      </c>
      <c r="AM228" s="407"/>
      <c r="AN228" s="407">
        <v>0</v>
      </c>
      <c r="AO228" s="407">
        <v>0</v>
      </c>
      <c r="AP228" s="407">
        <v>0</v>
      </c>
      <c r="AQ228" s="407">
        <v>0</v>
      </c>
      <c r="AR228" s="407">
        <v>0</v>
      </c>
      <c r="AS228" s="407"/>
      <c r="AT228" s="407"/>
      <c r="AU228" s="407">
        <v>0</v>
      </c>
      <c r="AV228" s="407">
        <v>0</v>
      </c>
      <c r="AW228" s="407">
        <v>0</v>
      </c>
      <c r="AX228" s="407"/>
      <c r="AY228" s="407"/>
      <c r="AZ228" s="407">
        <v>0</v>
      </c>
      <c r="BA228" s="407"/>
      <c r="BB228" s="407">
        <v>0</v>
      </c>
      <c r="BC228" s="407">
        <v>0</v>
      </c>
      <c r="BD228" s="407">
        <v>0</v>
      </c>
      <c r="BE228" s="407">
        <v>0</v>
      </c>
      <c r="BF228" s="407"/>
      <c r="BG228" s="407">
        <v>0</v>
      </c>
      <c r="BH228" s="407">
        <v>0</v>
      </c>
      <c r="BI228" s="407">
        <v>20.76</v>
      </c>
      <c r="BJ228" s="407">
        <v>90.74</v>
      </c>
      <c r="BK228" s="407">
        <v>0</v>
      </c>
      <c r="BL228" s="407">
        <v>1</v>
      </c>
      <c r="BM228" s="407"/>
      <c r="BN228" s="407"/>
      <c r="BO228" s="407"/>
      <c r="BP228" s="407"/>
      <c r="BQ228" s="407"/>
      <c r="BR228" s="407"/>
      <c r="BS228" s="407"/>
      <c r="BT228" s="407"/>
      <c r="BU228" s="407"/>
      <c r="BV228" s="407">
        <v>0</v>
      </c>
      <c r="BW228" s="407"/>
      <c r="BX228" s="407"/>
      <c r="BY228" s="407"/>
      <c r="BZ228" s="407"/>
      <c r="CA228" s="407"/>
      <c r="CB228" s="407"/>
      <c r="CC228" s="407"/>
      <c r="CD228" s="407"/>
      <c r="CE228" s="407"/>
      <c r="CF228" s="407"/>
      <c r="CG228" s="407"/>
      <c r="CH228" s="407"/>
      <c r="CI228" s="407">
        <v>1507.0500000000002</v>
      </c>
      <c r="CJ228" s="407">
        <v>-441.02999999999975</v>
      </c>
      <c r="CK228" s="407"/>
      <c r="CL228" s="407"/>
      <c r="CM228" s="407"/>
      <c r="CN228" s="407"/>
      <c r="CO228" s="407">
        <v>-440.99999999999989</v>
      </c>
      <c r="CP228" s="407">
        <v>0</v>
      </c>
      <c r="CQ228" s="407">
        <v>31</v>
      </c>
      <c r="CR228" s="407">
        <v>10.064706534659763</v>
      </c>
      <c r="CS228" s="407">
        <v>0</v>
      </c>
      <c r="CT228" s="407">
        <v>0</v>
      </c>
      <c r="CU228" s="407">
        <v>0</v>
      </c>
      <c r="CV228" s="407">
        <v>0</v>
      </c>
      <c r="CW228" s="407"/>
      <c r="CX228" s="407"/>
      <c r="CY228" s="407"/>
      <c r="CZ228" s="407">
        <v>48.102714951201051</v>
      </c>
      <c r="DA228" s="407">
        <v>0</v>
      </c>
      <c r="DB228" s="407">
        <v>0</v>
      </c>
      <c r="DC228" s="407"/>
      <c r="DD228" s="407"/>
      <c r="DE228" s="407">
        <v>0</v>
      </c>
      <c r="DF228" s="407">
        <v>0</v>
      </c>
      <c r="DG228" s="407">
        <v>0</v>
      </c>
      <c r="DH228" s="407">
        <v>0</v>
      </c>
      <c r="DI228" s="407">
        <v>0</v>
      </c>
      <c r="DJ228" s="407"/>
      <c r="DK228" s="407">
        <v>0</v>
      </c>
      <c r="DL228" s="407">
        <v>0</v>
      </c>
      <c r="DM228" s="407"/>
      <c r="DN228" s="407">
        <v>0</v>
      </c>
      <c r="DO228" s="407">
        <v>0</v>
      </c>
      <c r="DP228" s="407">
        <v>0</v>
      </c>
      <c r="DQ228" s="407">
        <v>0</v>
      </c>
      <c r="DR228" s="407">
        <v>-38.03800841654121</v>
      </c>
      <c r="DS228" s="407"/>
      <c r="DT228" s="407"/>
      <c r="DU228" s="407">
        <v>883.31341969672201</v>
      </c>
      <c r="DV228" s="407"/>
      <c r="DW228" s="407">
        <v>0</v>
      </c>
      <c r="DX228" s="407">
        <v>0</v>
      </c>
      <c r="DY228" s="407">
        <v>-440.99999999999977</v>
      </c>
      <c r="DZ228" s="407"/>
      <c r="EA228" s="407">
        <v>0</v>
      </c>
      <c r="EB228" s="407"/>
      <c r="EC228" s="407">
        <v>-451.19854638546485</v>
      </c>
      <c r="ED228" s="407"/>
      <c r="EE228" s="407">
        <v>0</v>
      </c>
      <c r="EF228" s="407">
        <v>0</v>
      </c>
      <c r="EG228" s="407"/>
      <c r="EH228" s="407">
        <v>0</v>
      </c>
      <c r="EI228" s="407">
        <v>0</v>
      </c>
      <c r="EJ228" s="407">
        <v>0</v>
      </c>
      <c r="EK228" s="407">
        <v>0</v>
      </c>
      <c r="EL228" s="407">
        <v>0</v>
      </c>
      <c r="EM228" s="407"/>
      <c r="EN228" s="407"/>
      <c r="EO228" s="407">
        <v>0</v>
      </c>
      <c r="EP228" s="407">
        <v>0</v>
      </c>
      <c r="EQ228" s="407"/>
      <c r="ER228" s="407">
        <v>0</v>
      </c>
      <c r="ES228" s="407"/>
      <c r="ET228" s="407">
        <v>0</v>
      </c>
      <c r="EU228" s="407"/>
      <c r="EV228" s="407">
        <v>246</v>
      </c>
      <c r="EW228" s="407"/>
      <c r="EX228" s="407"/>
      <c r="EY228" s="407"/>
      <c r="EZ228" s="407"/>
      <c r="FA228" s="407">
        <v>0</v>
      </c>
      <c r="FB228" s="407"/>
      <c r="FC228" s="407"/>
      <c r="FD228" s="407"/>
      <c r="FE228" s="407"/>
      <c r="FF228" s="407">
        <v>0</v>
      </c>
      <c r="FG228" s="407">
        <v>0</v>
      </c>
      <c r="FH228" s="407">
        <v>0</v>
      </c>
      <c r="FI228" s="407">
        <v>0</v>
      </c>
    </row>
    <row r="229" spans="1:165">
      <c r="A229" s="407">
        <v>240</v>
      </c>
      <c r="B229" s="407" t="s">
        <v>1090</v>
      </c>
      <c r="C229" s="407" t="s">
        <v>2306</v>
      </c>
      <c r="D229" s="407" t="s">
        <v>2318</v>
      </c>
      <c r="E229" s="407" t="s">
        <v>2319</v>
      </c>
      <c r="F229" s="407" t="s">
        <v>2320</v>
      </c>
      <c r="G229" s="407" t="s">
        <v>97</v>
      </c>
      <c r="H229" s="407" t="s">
        <v>97</v>
      </c>
      <c r="I229" s="407" t="s">
        <v>97</v>
      </c>
      <c r="J229" s="407" t="s">
        <v>2307</v>
      </c>
      <c r="K229" s="818">
        <v>44470</v>
      </c>
      <c r="L229" s="407">
        <v>0</v>
      </c>
      <c r="M229" s="407">
        <v>0</v>
      </c>
      <c r="N229" s="407">
        <v>499.63900000000001</v>
      </c>
      <c r="O229" s="407">
        <v>499.63900000000001</v>
      </c>
      <c r="P229" s="407">
        <v>499.63900000000001</v>
      </c>
      <c r="Q229" s="407">
        <v>499.63900000000001</v>
      </c>
      <c r="R229" s="407"/>
      <c r="S229" s="407">
        <v>356.64</v>
      </c>
      <c r="T229" s="407">
        <v>87.68</v>
      </c>
      <c r="U229" s="407"/>
      <c r="V229" s="407">
        <v>221999.60047999999</v>
      </c>
      <c r="W229" s="407">
        <v>221999.60047999999</v>
      </c>
      <c r="X229" s="407">
        <v>168128.52350000001</v>
      </c>
      <c r="Y229" s="407">
        <v>0</v>
      </c>
      <c r="Z229" s="407">
        <v>17029.514729989263</v>
      </c>
      <c r="AA229" s="407">
        <v>0</v>
      </c>
      <c r="AB229" s="407">
        <v>0</v>
      </c>
      <c r="AC229" s="407">
        <v>0</v>
      </c>
      <c r="AD229" s="407">
        <v>32054.057457452473</v>
      </c>
      <c r="AE229" s="407">
        <v>114742.24370997523</v>
      </c>
      <c r="AF229" s="407">
        <v>42382.824587301518</v>
      </c>
      <c r="AG229" s="407">
        <v>1423.9516545663182</v>
      </c>
      <c r="AH229" s="407">
        <v>0</v>
      </c>
      <c r="AI229" s="407">
        <v>0</v>
      </c>
      <c r="AJ229" s="407">
        <v>0</v>
      </c>
      <c r="AK229" s="407">
        <v>0</v>
      </c>
      <c r="AL229" s="407">
        <v>2631.5138956641954</v>
      </c>
      <c r="AM229" s="407"/>
      <c r="AN229" s="407">
        <v>570.23929089213311</v>
      </c>
      <c r="AO229" s="407">
        <v>0</v>
      </c>
      <c r="AP229" s="407">
        <v>0</v>
      </c>
      <c r="AQ229" s="407">
        <v>0</v>
      </c>
      <c r="AR229" s="407">
        <v>0</v>
      </c>
      <c r="AS229" s="407">
        <v>0</v>
      </c>
      <c r="AT229" s="407">
        <v>0</v>
      </c>
      <c r="AU229" s="407">
        <v>0</v>
      </c>
      <c r="AV229" s="407">
        <v>0</v>
      </c>
      <c r="AW229" s="407">
        <v>0</v>
      </c>
      <c r="AX229" s="407">
        <v>0</v>
      </c>
      <c r="AY229" s="407">
        <v>0</v>
      </c>
      <c r="AZ229" s="407">
        <v>0</v>
      </c>
      <c r="BA229" s="407"/>
      <c r="BB229" s="407">
        <v>0</v>
      </c>
      <c r="BC229" s="407">
        <v>0</v>
      </c>
      <c r="BD229" s="407">
        <v>0</v>
      </c>
      <c r="BE229" s="407">
        <v>0</v>
      </c>
      <c r="BF229" s="407">
        <v>0</v>
      </c>
      <c r="BG229" s="407">
        <v>3098.0491389276162</v>
      </c>
      <c r="BH229" s="407">
        <v>0</v>
      </c>
      <c r="BI229" s="407">
        <v>1418.21</v>
      </c>
      <c r="BJ229" s="407">
        <v>6198.11</v>
      </c>
      <c r="BK229" s="407">
        <v>61672.99</v>
      </c>
      <c r="BL229" s="407">
        <v>62</v>
      </c>
      <c r="BM229" s="407"/>
      <c r="BN229" s="407"/>
      <c r="BO229" s="407"/>
      <c r="BP229" s="407"/>
      <c r="BQ229" s="407"/>
      <c r="BR229" s="407"/>
      <c r="BS229" s="407"/>
      <c r="BT229" s="407"/>
      <c r="BU229" s="407"/>
      <c r="BV229" s="407">
        <v>45480.873726229132</v>
      </c>
      <c r="BW229" s="407"/>
      <c r="BX229" s="407"/>
      <c r="BY229" s="407"/>
      <c r="BZ229" s="407"/>
      <c r="CA229" s="407"/>
      <c r="CB229" s="407"/>
      <c r="CC229" s="407"/>
      <c r="CD229" s="407"/>
      <c r="CE229" s="407"/>
      <c r="CF229" s="407"/>
      <c r="CG229" s="407"/>
      <c r="CH229" s="407"/>
      <c r="CI229" s="407">
        <v>168128.86</v>
      </c>
      <c r="CJ229" s="407">
        <v>-53870.770480000036</v>
      </c>
      <c r="CK229" s="407"/>
      <c r="CL229" s="407"/>
      <c r="CM229" s="407"/>
      <c r="CN229" s="407"/>
      <c r="CO229" s="407">
        <v>-61415.625879999992</v>
      </c>
      <c r="CP229" s="407">
        <v>7544.548899999997</v>
      </c>
      <c r="CQ229" s="407">
        <v>31</v>
      </c>
      <c r="CR229" s="407">
        <v>4741.4291690290411</v>
      </c>
      <c r="CS229" s="407">
        <v>0</v>
      </c>
      <c r="CT229" s="407">
        <v>0</v>
      </c>
      <c r="CU229" s="407">
        <v>0</v>
      </c>
      <c r="CV229" s="407">
        <v>0</v>
      </c>
      <c r="CW229" s="407">
        <v>0</v>
      </c>
      <c r="CX229" s="407">
        <v>0</v>
      </c>
      <c r="CY229" s="407">
        <v>0</v>
      </c>
      <c r="CZ229" s="407">
        <v>1447.9453324599308</v>
      </c>
      <c r="DA229" s="407">
        <v>0</v>
      </c>
      <c r="DB229" s="407">
        <v>0</v>
      </c>
      <c r="DC229" s="407">
        <v>8403.3695740874609</v>
      </c>
      <c r="DD229" s="407">
        <v>0</v>
      </c>
      <c r="DE229" s="407">
        <v>0</v>
      </c>
      <c r="DF229" s="407">
        <v>0</v>
      </c>
      <c r="DG229" s="407">
        <v>614.25948191504813</v>
      </c>
      <c r="DH229" s="407">
        <v>0</v>
      </c>
      <c r="DI229" s="407">
        <v>-1192.7808066060334</v>
      </c>
      <c r="DJ229" s="407"/>
      <c r="DK229" s="407">
        <v>0</v>
      </c>
      <c r="DL229" s="407">
        <v>0</v>
      </c>
      <c r="DM229" s="407">
        <v>0</v>
      </c>
      <c r="DN229" s="407">
        <v>0</v>
      </c>
      <c r="DO229" s="407">
        <v>-160.55228614602447</v>
      </c>
      <c r="DP229" s="407">
        <v>-36.334270942265789</v>
      </c>
      <c r="DQ229" s="407">
        <v>0</v>
      </c>
      <c r="DR229" s="407">
        <v>-4334.4778557391037</v>
      </c>
      <c r="DS229" s="407"/>
      <c r="DT229" s="407"/>
      <c r="DU229" s="407"/>
      <c r="DV229" s="407">
        <v>114742.24370997523</v>
      </c>
      <c r="DW229" s="407">
        <v>0</v>
      </c>
      <c r="DX229" s="407">
        <v>0</v>
      </c>
      <c r="DY229" s="407">
        <v>-61415.625879999978</v>
      </c>
      <c r="DZ229" s="407">
        <v>7544.5489000000016</v>
      </c>
      <c r="EA229" s="407">
        <v>0</v>
      </c>
      <c r="EB229" s="407">
        <v>0</v>
      </c>
      <c r="EC229" s="407">
        <v>-58610.604590070026</v>
      </c>
      <c r="ED229" s="407">
        <v>0</v>
      </c>
      <c r="EE229" s="407">
        <v>0</v>
      </c>
      <c r="EF229" s="407">
        <v>0</v>
      </c>
      <c r="EG229" s="407">
        <v>0</v>
      </c>
      <c r="EH229" s="407">
        <v>0</v>
      </c>
      <c r="EI229" s="407">
        <v>0</v>
      </c>
      <c r="EJ229" s="407">
        <v>0</v>
      </c>
      <c r="EK229" s="407">
        <v>0</v>
      </c>
      <c r="EL229" s="407">
        <v>0</v>
      </c>
      <c r="EM229" s="407">
        <v>0</v>
      </c>
      <c r="EN229" s="407">
        <v>0</v>
      </c>
      <c r="EO229" s="407">
        <v>0</v>
      </c>
      <c r="EP229" s="407">
        <v>8066.5766468195179</v>
      </c>
      <c r="EQ229" s="407">
        <v>0</v>
      </c>
      <c r="ER229" s="407">
        <v>0</v>
      </c>
      <c r="ES229" s="407">
        <v>0</v>
      </c>
      <c r="ET229" s="407">
        <v>0</v>
      </c>
      <c r="EU229" s="407">
        <v>0</v>
      </c>
      <c r="EV229" s="407">
        <v>246</v>
      </c>
      <c r="EW229" s="407">
        <v>0</v>
      </c>
      <c r="EX229" s="407">
        <v>0</v>
      </c>
      <c r="EY229" s="407">
        <v>0</v>
      </c>
      <c r="EZ229" s="407"/>
      <c r="FA229" s="407">
        <v>0</v>
      </c>
      <c r="FB229" s="407"/>
      <c r="FC229" s="407"/>
      <c r="FD229" s="407"/>
      <c r="FE229" s="407"/>
      <c r="FF229" s="407">
        <v>0</v>
      </c>
      <c r="FG229" s="407">
        <v>0</v>
      </c>
      <c r="FH229" s="407">
        <v>0</v>
      </c>
      <c r="FI229" s="407">
        <v>0</v>
      </c>
    </row>
    <row r="230" spans="1:165">
      <c r="A230" s="407">
        <v>241</v>
      </c>
      <c r="B230" s="407" t="s">
        <v>1090</v>
      </c>
      <c r="C230" s="407" t="s">
        <v>2306</v>
      </c>
      <c r="D230" s="407" t="s">
        <v>1219</v>
      </c>
      <c r="E230" s="407" t="s">
        <v>1052</v>
      </c>
      <c r="F230" s="407" t="s">
        <v>2321</v>
      </c>
      <c r="G230" s="407" t="s">
        <v>97</v>
      </c>
      <c r="H230" s="407" t="s">
        <v>97</v>
      </c>
      <c r="I230" s="407" t="s">
        <v>97</v>
      </c>
      <c r="J230" s="407" t="s">
        <v>2307</v>
      </c>
      <c r="K230" s="818">
        <v>44470</v>
      </c>
      <c r="L230" s="407">
        <v>0</v>
      </c>
      <c r="M230" s="407">
        <v>0</v>
      </c>
      <c r="N230" s="407">
        <v>46.662999999999997</v>
      </c>
      <c r="O230" s="407">
        <v>43.863219999999998</v>
      </c>
      <c r="P230" s="407">
        <v>46.662999999999997</v>
      </c>
      <c r="Q230" s="407">
        <v>43.863219999999998</v>
      </c>
      <c r="R230" s="407"/>
      <c r="S230" s="407">
        <v>648.44000000000005</v>
      </c>
      <c r="T230" s="407">
        <v>159.41</v>
      </c>
      <c r="U230" s="407"/>
      <c r="V230" s="407">
        <v>37696.704549999995</v>
      </c>
      <c r="W230" s="407">
        <v>37696.704549999995</v>
      </c>
      <c r="X230" s="407">
        <v>28549.356659999998</v>
      </c>
      <c r="Y230" s="407">
        <v>0</v>
      </c>
      <c r="Z230" s="407">
        <v>2891.7178051480028</v>
      </c>
      <c r="AA230" s="407">
        <v>0</v>
      </c>
      <c r="AB230" s="407">
        <v>0</v>
      </c>
      <c r="AC230" s="407">
        <v>0</v>
      </c>
      <c r="AD230" s="407">
        <v>5442.9788603266361</v>
      </c>
      <c r="AE230" s="407">
        <v>19483.948568097374</v>
      </c>
      <c r="AF230" s="407">
        <v>7196.8679339838045</v>
      </c>
      <c r="AG230" s="407">
        <v>241.79587137196006</v>
      </c>
      <c r="AH230" s="407">
        <v>0</v>
      </c>
      <c r="AI230" s="407">
        <v>0</v>
      </c>
      <c r="AJ230" s="407">
        <v>0</v>
      </c>
      <c r="AK230" s="407">
        <v>0</v>
      </c>
      <c r="AL230" s="407">
        <v>446.84747083168003</v>
      </c>
      <c r="AM230" s="407"/>
      <c r="AN230" s="407">
        <v>96.830187871641698</v>
      </c>
      <c r="AO230" s="407">
        <v>0</v>
      </c>
      <c r="AP230" s="407">
        <v>0</v>
      </c>
      <c r="AQ230" s="407">
        <v>0</v>
      </c>
      <c r="AR230" s="407">
        <v>0</v>
      </c>
      <c r="AS230" s="407">
        <v>0</v>
      </c>
      <c r="AT230" s="407">
        <v>0</v>
      </c>
      <c r="AU230" s="407">
        <v>0</v>
      </c>
      <c r="AV230" s="407">
        <v>0</v>
      </c>
      <c r="AW230" s="407">
        <v>0</v>
      </c>
      <c r="AX230" s="407">
        <v>0</v>
      </c>
      <c r="AY230" s="407">
        <v>0</v>
      </c>
      <c r="AZ230" s="407">
        <v>0</v>
      </c>
      <c r="BA230" s="407"/>
      <c r="BB230" s="407">
        <v>0</v>
      </c>
      <c r="BC230" s="407">
        <v>0</v>
      </c>
      <c r="BD230" s="407">
        <v>0</v>
      </c>
      <c r="BE230" s="407">
        <v>0</v>
      </c>
      <c r="BF230" s="407">
        <v>0</v>
      </c>
      <c r="BG230" s="407">
        <v>526.06806466916021</v>
      </c>
      <c r="BH230" s="407">
        <v>0</v>
      </c>
      <c r="BI230" s="407">
        <v>231.46</v>
      </c>
      <c r="BJ230" s="407">
        <v>1011.67</v>
      </c>
      <c r="BK230" s="407">
        <v>15626.47</v>
      </c>
      <c r="BL230" s="407">
        <v>13</v>
      </c>
      <c r="BM230" s="407"/>
      <c r="BN230" s="407"/>
      <c r="BO230" s="407"/>
      <c r="BP230" s="407"/>
      <c r="BQ230" s="407">
        <v>1712.9613995999989</v>
      </c>
      <c r="BR230" s="407"/>
      <c r="BS230" s="407"/>
      <c r="BT230" s="407"/>
      <c r="BU230" s="407"/>
      <c r="BV230" s="407">
        <v>7722.9359986529644</v>
      </c>
      <c r="BW230" s="407"/>
      <c r="BX230" s="407"/>
      <c r="BY230" s="407"/>
      <c r="BZ230" s="407"/>
      <c r="CA230" s="407"/>
      <c r="CB230" s="407"/>
      <c r="CC230" s="407"/>
      <c r="CD230" s="407"/>
      <c r="CE230" s="407"/>
      <c r="CF230" s="407"/>
      <c r="CG230" s="407"/>
      <c r="CH230" s="407"/>
      <c r="CI230" s="407">
        <v>26834.425199999998</v>
      </c>
      <c r="CJ230" s="407">
        <v>-8600.507077000002</v>
      </c>
      <c r="CK230" s="407"/>
      <c r="CL230" s="407"/>
      <c r="CM230" s="407"/>
      <c r="CN230" s="407"/>
      <c r="CO230" s="407">
        <v>-10429.180500000002</v>
      </c>
      <c r="CP230" s="407">
        <v>1281.8326099999999</v>
      </c>
      <c r="CQ230" s="407">
        <v>31</v>
      </c>
      <c r="CR230" s="407">
        <v>805.12424266466769</v>
      </c>
      <c r="CS230" s="407">
        <v>0</v>
      </c>
      <c r="CT230" s="407">
        <v>0</v>
      </c>
      <c r="CU230" s="407">
        <v>0</v>
      </c>
      <c r="CV230" s="407">
        <v>0</v>
      </c>
      <c r="CW230" s="407">
        <v>0</v>
      </c>
      <c r="CX230" s="407">
        <v>0</v>
      </c>
      <c r="CY230" s="407">
        <v>0</v>
      </c>
      <c r="CZ230" s="407">
        <v>245.87014751405513</v>
      </c>
      <c r="DA230" s="407">
        <v>0</v>
      </c>
      <c r="DB230" s="407">
        <v>0</v>
      </c>
      <c r="DC230" s="407">
        <v>1426.9445610117591</v>
      </c>
      <c r="DD230" s="407">
        <v>0</v>
      </c>
      <c r="DE230" s="407">
        <v>0</v>
      </c>
      <c r="DF230" s="407">
        <v>0</v>
      </c>
      <c r="DG230" s="407">
        <v>104.30509083777395</v>
      </c>
      <c r="DH230" s="407">
        <v>0</v>
      </c>
      <c r="DI230" s="407">
        <v>-202.54161969908137</v>
      </c>
      <c r="DJ230" s="407"/>
      <c r="DK230" s="407">
        <v>0</v>
      </c>
      <c r="DL230" s="407">
        <v>0</v>
      </c>
      <c r="DM230" s="407">
        <v>0</v>
      </c>
      <c r="DN230" s="407">
        <v>0</v>
      </c>
      <c r="DO230" s="407">
        <v>-27.26277946652732</v>
      </c>
      <c r="DP230" s="407">
        <v>-6.1697858034546584</v>
      </c>
      <c r="DQ230" s="407">
        <v>0</v>
      </c>
      <c r="DR230" s="407">
        <v>-736.02137172985795</v>
      </c>
      <c r="DS230" s="407"/>
      <c r="DT230" s="407"/>
      <c r="DU230" s="407"/>
      <c r="DV230" s="407">
        <v>19483.948568097374</v>
      </c>
      <c r="DW230" s="407">
        <v>0</v>
      </c>
      <c r="DX230" s="407">
        <v>0</v>
      </c>
      <c r="DY230" s="407">
        <v>-10429.180499999999</v>
      </c>
      <c r="DZ230" s="407">
        <v>1281.8326099999995</v>
      </c>
      <c r="EA230" s="407">
        <v>0</v>
      </c>
      <c r="EB230" s="407">
        <v>0</v>
      </c>
      <c r="EC230" s="407">
        <v>-9952.446182458134</v>
      </c>
      <c r="ED230" s="407">
        <v>0</v>
      </c>
      <c r="EE230" s="407">
        <v>0</v>
      </c>
      <c r="EF230" s="407">
        <v>0</v>
      </c>
      <c r="EG230" s="407">
        <v>0</v>
      </c>
      <c r="EH230" s="407">
        <v>0</v>
      </c>
      <c r="EI230" s="407">
        <v>0</v>
      </c>
      <c r="EJ230" s="407">
        <v>0</v>
      </c>
      <c r="EK230" s="407">
        <v>0</v>
      </c>
      <c r="EL230" s="407">
        <v>0</v>
      </c>
      <c r="EM230" s="407">
        <v>0</v>
      </c>
      <c r="EN230" s="407">
        <v>0</v>
      </c>
      <c r="EO230" s="407">
        <v>0</v>
      </c>
      <c r="EP230" s="407">
        <v>1369.7550215638976</v>
      </c>
      <c r="EQ230" s="407">
        <v>0</v>
      </c>
      <c r="ER230" s="407">
        <v>0</v>
      </c>
      <c r="ES230" s="407">
        <v>0</v>
      </c>
      <c r="ET230" s="407">
        <v>0</v>
      </c>
      <c r="EU230" s="407">
        <v>0</v>
      </c>
      <c r="EV230" s="407">
        <v>246</v>
      </c>
      <c r="EW230" s="407">
        <v>0</v>
      </c>
      <c r="EX230" s="407">
        <v>0</v>
      </c>
      <c r="EY230" s="407">
        <v>0</v>
      </c>
      <c r="EZ230" s="407"/>
      <c r="FA230" s="407">
        <v>0</v>
      </c>
      <c r="FB230" s="407"/>
      <c r="FC230" s="407"/>
      <c r="FD230" s="407"/>
      <c r="FE230" s="407"/>
      <c r="FF230" s="407">
        <v>0</v>
      </c>
      <c r="FG230" s="407">
        <v>0</v>
      </c>
      <c r="FH230" s="407">
        <v>0</v>
      </c>
      <c r="FI230" s="407">
        <v>0</v>
      </c>
    </row>
    <row r="231" spans="1:165">
      <c r="A231" s="407">
        <v>242</v>
      </c>
      <c r="B231" s="407" t="s">
        <v>1090</v>
      </c>
      <c r="C231" s="407" t="s">
        <v>2317</v>
      </c>
      <c r="D231" s="407" t="s">
        <v>650</v>
      </c>
      <c r="E231" s="407" t="s">
        <v>1052</v>
      </c>
      <c r="F231" s="407" t="s">
        <v>2321</v>
      </c>
      <c r="G231" s="407" t="s">
        <v>97</v>
      </c>
      <c r="H231" s="407" t="s">
        <v>97</v>
      </c>
      <c r="I231" s="407" t="s">
        <v>1025</v>
      </c>
      <c r="J231" s="407" t="s">
        <v>2307</v>
      </c>
      <c r="K231" s="818">
        <v>44470</v>
      </c>
      <c r="L231" s="407">
        <v>708</v>
      </c>
      <c r="M231" s="407">
        <v>665.52</v>
      </c>
      <c r="N231" s="407">
        <v>32.670999999999999</v>
      </c>
      <c r="O231" s="407">
        <v>30.710740000000001</v>
      </c>
      <c r="P231" s="407">
        <v>32.670999999999999</v>
      </c>
      <c r="Q231" s="407">
        <v>30.710740000000001</v>
      </c>
      <c r="R231" s="407">
        <v>112.91</v>
      </c>
      <c r="S231" s="407">
        <v>95.29</v>
      </c>
      <c r="T231" s="407">
        <v>159.41</v>
      </c>
      <c r="U231" s="407">
        <v>79940.28</v>
      </c>
      <c r="V231" s="407">
        <v>8321.3037000000004</v>
      </c>
      <c r="W231" s="407">
        <v>88261.583699999988</v>
      </c>
      <c r="X231" s="407">
        <v>56582.046610000005</v>
      </c>
      <c r="Y231" s="407">
        <v>0</v>
      </c>
      <c r="Z231" s="407">
        <v>1761.4281507496646</v>
      </c>
      <c r="AA231" s="407">
        <v>0</v>
      </c>
      <c r="AB231" s="407">
        <v>0</v>
      </c>
      <c r="AC231" s="407">
        <v>0</v>
      </c>
      <c r="AD231" s="407">
        <v>17972.872804850485</v>
      </c>
      <c r="AE231" s="407">
        <v>61965.112641339554</v>
      </c>
      <c r="AF231" s="407">
        <v>5038.8717457339835</v>
      </c>
      <c r="AG231" s="407">
        <v>169.29286401631501</v>
      </c>
      <c r="AH231" s="407">
        <v>0</v>
      </c>
      <c r="AI231" s="407">
        <v>0</v>
      </c>
      <c r="AJ231" s="407">
        <v>0</v>
      </c>
      <c r="AK231" s="407">
        <v>0</v>
      </c>
      <c r="AL231" s="407">
        <v>312.85930436409615</v>
      </c>
      <c r="AM231" s="407"/>
      <c r="AN231" s="407">
        <v>35.079943382485588</v>
      </c>
      <c r="AO231" s="407">
        <v>0</v>
      </c>
      <c r="AP231" s="407">
        <v>0</v>
      </c>
      <c r="AQ231" s="407">
        <v>0</v>
      </c>
      <c r="AR231" s="407">
        <v>0</v>
      </c>
      <c r="AS231" s="407">
        <v>0</v>
      </c>
      <c r="AT231" s="407">
        <v>0</v>
      </c>
      <c r="AU231" s="407">
        <v>0</v>
      </c>
      <c r="AV231" s="407">
        <v>0</v>
      </c>
      <c r="AW231" s="407">
        <v>0</v>
      </c>
      <c r="AX231" s="407">
        <v>0</v>
      </c>
      <c r="AY231" s="407">
        <v>0</v>
      </c>
      <c r="AZ231" s="407">
        <v>0</v>
      </c>
      <c r="BA231" s="407"/>
      <c r="BB231" s="407">
        <v>0</v>
      </c>
      <c r="BC231" s="407">
        <v>0</v>
      </c>
      <c r="BD231" s="407">
        <v>0</v>
      </c>
      <c r="BE231" s="407">
        <v>0</v>
      </c>
      <c r="BF231" s="407">
        <v>0</v>
      </c>
      <c r="BG231" s="407">
        <v>169.55838518092318</v>
      </c>
      <c r="BH231" s="407">
        <v>0</v>
      </c>
      <c r="BI231" s="407">
        <v>0</v>
      </c>
      <c r="BJ231" s="407">
        <v>0</v>
      </c>
      <c r="BK231" s="407">
        <v>0</v>
      </c>
      <c r="BL231" s="407">
        <v>0</v>
      </c>
      <c r="BM231" s="407"/>
      <c r="BN231" s="407"/>
      <c r="BO231" s="407"/>
      <c r="BP231" s="407"/>
      <c r="BQ231" s="407">
        <v>3394.9227966000008</v>
      </c>
      <c r="BR231" s="407"/>
      <c r="BS231" s="407"/>
      <c r="BT231" s="407"/>
      <c r="BU231" s="407"/>
      <c r="BV231" s="407">
        <v>5208.4301309149068</v>
      </c>
      <c r="BW231" s="407"/>
      <c r="BX231" s="407"/>
      <c r="BY231" s="407"/>
      <c r="BZ231" s="407"/>
      <c r="CA231" s="407"/>
      <c r="CB231" s="407"/>
      <c r="CC231" s="407"/>
      <c r="CD231" s="407"/>
      <c r="CE231" s="407"/>
      <c r="CF231" s="407"/>
      <c r="CG231" s="407"/>
      <c r="CH231" s="407"/>
      <c r="CI231" s="407">
        <v>53186.918899999997</v>
      </c>
      <c r="CJ231" s="407">
        <v>-29778.99977799999</v>
      </c>
      <c r="CK231" s="407"/>
      <c r="CL231" s="407"/>
      <c r="CM231" s="407"/>
      <c r="CN231" s="407"/>
      <c r="CO231" s="407">
        <v>-32577.009459999997</v>
      </c>
      <c r="CP231" s="407">
        <v>897.47236999999996</v>
      </c>
      <c r="CQ231" s="407">
        <v>31</v>
      </c>
      <c r="CR231" s="407">
        <v>-23.380476451489812</v>
      </c>
      <c r="CS231" s="407">
        <v>0</v>
      </c>
      <c r="CT231" s="407">
        <v>0</v>
      </c>
      <c r="CU231" s="407">
        <v>0</v>
      </c>
      <c r="CV231" s="407">
        <v>0</v>
      </c>
      <c r="CW231" s="407">
        <v>0</v>
      </c>
      <c r="CX231" s="407">
        <v>0</v>
      </c>
      <c r="CY231" s="407">
        <v>0</v>
      </c>
      <c r="CZ231" s="407">
        <v>811.87030138765112</v>
      </c>
      <c r="DA231" s="407">
        <v>0</v>
      </c>
      <c r="DB231" s="407">
        <v>0</v>
      </c>
      <c r="DC231" s="407">
        <v>999.07219323265053</v>
      </c>
      <c r="DD231" s="407">
        <v>0</v>
      </c>
      <c r="DE231" s="407">
        <v>0</v>
      </c>
      <c r="DF231" s="407">
        <v>0</v>
      </c>
      <c r="DG231" s="407">
        <v>33.618848883603846</v>
      </c>
      <c r="DH231" s="407">
        <v>0</v>
      </c>
      <c r="DI231" s="407">
        <v>-123.37390252993146</v>
      </c>
      <c r="DJ231" s="407"/>
      <c r="DK231" s="407">
        <v>0</v>
      </c>
      <c r="DL231" s="407">
        <v>0</v>
      </c>
      <c r="DM231" s="407">
        <v>0</v>
      </c>
      <c r="DN231" s="407">
        <v>0</v>
      </c>
      <c r="DO231" s="407">
        <v>-19.087976939993439</v>
      </c>
      <c r="DP231" s="407">
        <v>-2.2352093022286184</v>
      </c>
      <c r="DQ231" s="407">
        <v>0</v>
      </c>
      <c r="DR231" s="407">
        <v>-1723.2447311832334</v>
      </c>
      <c r="DS231" s="407"/>
      <c r="DT231" s="407"/>
      <c r="DU231" s="407">
        <v>61965.112641339554</v>
      </c>
      <c r="DV231" s="407">
        <v>0</v>
      </c>
      <c r="DW231" s="407">
        <v>0</v>
      </c>
      <c r="DX231" s="407">
        <v>0</v>
      </c>
      <c r="DY231" s="407">
        <v>-32577.009459999987</v>
      </c>
      <c r="DZ231" s="407">
        <v>897.4723699999995</v>
      </c>
      <c r="EA231" s="407">
        <v>0</v>
      </c>
      <c r="EB231" s="407">
        <v>0</v>
      </c>
      <c r="EC231" s="407">
        <v>-31651.923458814021</v>
      </c>
      <c r="ED231" s="407">
        <v>0</v>
      </c>
      <c r="EE231" s="407">
        <v>0</v>
      </c>
      <c r="EF231" s="407">
        <v>0</v>
      </c>
      <c r="EG231" s="407">
        <v>0</v>
      </c>
      <c r="EH231" s="407">
        <v>0</v>
      </c>
      <c r="EI231" s="407">
        <v>0</v>
      </c>
      <c r="EJ231" s="407">
        <v>0</v>
      </c>
      <c r="EK231" s="407">
        <v>0</v>
      </c>
      <c r="EL231" s="407">
        <v>0</v>
      </c>
      <c r="EM231" s="407">
        <v>0</v>
      </c>
      <c r="EN231" s="407">
        <v>0</v>
      </c>
      <c r="EO231" s="407">
        <v>0</v>
      </c>
      <c r="EP231" s="407">
        <v>834.35702139333625</v>
      </c>
      <c r="EQ231" s="407">
        <v>0</v>
      </c>
      <c r="ER231" s="407">
        <v>0</v>
      </c>
      <c r="ES231" s="407">
        <v>0</v>
      </c>
      <c r="ET231" s="407">
        <v>0</v>
      </c>
      <c r="EU231" s="407">
        <v>0</v>
      </c>
      <c r="EV231" s="407">
        <v>246</v>
      </c>
      <c r="EW231" s="407">
        <v>0</v>
      </c>
      <c r="EX231" s="407">
        <v>0</v>
      </c>
      <c r="EY231" s="407">
        <v>0</v>
      </c>
      <c r="EZ231" s="407"/>
      <c r="FA231" s="407">
        <v>0</v>
      </c>
      <c r="FB231" s="407"/>
      <c r="FC231" s="407"/>
      <c r="FD231" s="407"/>
      <c r="FE231" s="407"/>
      <c r="FF231" s="407">
        <v>0</v>
      </c>
      <c r="FG231" s="407">
        <v>0</v>
      </c>
      <c r="FH231" s="407">
        <v>0</v>
      </c>
      <c r="FI231" s="407">
        <v>0</v>
      </c>
    </row>
    <row r="232" spans="1:165">
      <c r="A232" s="407">
        <v>243</v>
      </c>
      <c r="B232" s="407" t="s">
        <v>1090</v>
      </c>
      <c r="C232" s="407" t="s">
        <v>2317</v>
      </c>
      <c r="D232" s="407" t="s">
        <v>650</v>
      </c>
      <c r="E232" s="407" t="s">
        <v>1052</v>
      </c>
      <c r="F232" s="407" t="s">
        <v>2321</v>
      </c>
      <c r="G232" s="407" t="s">
        <v>97</v>
      </c>
      <c r="H232" s="407" t="s">
        <v>97</v>
      </c>
      <c r="I232" s="407" t="s">
        <v>2290</v>
      </c>
      <c r="J232" s="407" t="s">
        <v>2307</v>
      </c>
      <c r="K232" s="818">
        <v>44470</v>
      </c>
      <c r="L232" s="407">
        <v>718</v>
      </c>
      <c r="M232" s="407">
        <v>674.92</v>
      </c>
      <c r="N232" s="407">
        <v>364.58100000000002</v>
      </c>
      <c r="O232" s="407">
        <v>342.70614</v>
      </c>
      <c r="P232" s="407">
        <v>364.58100000000002</v>
      </c>
      <c r="Q232" s="407">
        <v>342.70614</v>
      </c>
      <c r="R232" s="407">
        <v>43.29</v>
      </c>
      <c r="S232" s="407">
        <v>95.29</v>
      </c>
      <c r="T232" s="407">
        <v>159.41</v>
      </c>
      <c r="U232" s="407">
        <v>31082.22</v>
      </c>
      <c r="V232" s="407">
        <v>92858.780700000003</v>
      </c>
      <c r="W232" s="407">
        <v>123941.0007</v>
      </c>
      <c r="X232" s="407">
        <v>125001.94471000001</v>
      </c>
      <c r="Y232" s="407">
        <v>0</v>
      </c>
      <c r="Z232" s="407">
        <v>19656.063072096462</v>
      </c>
      <c r="AA232" s="407">
        <v>0</v>
      </c>
      <c r="AB232" s="407">
        <v>0</v>
      </c>
      <c r="AC232" s="407">
        <v>0</v>
      </c>
      <c r="AD232" s="407">
        <v>16990.742779758486</v>
      </c>
      <c r="AE232" s="407">
        <v>14093.756340938808</v>
      </c>
      <c r="AF232" s="407">
        <v>56229.58892998199</v>
      </c>
      <c r="AG232" s="407">
        <v>1889.1665898176409</v>
      </c>
      <c r="AH232" s="407">
        <v>0</v>
      </c>
      <c r="AI232" s="407">
        <v>0</v>
      </c>
      <c r="AJ232" s="407">
        <v>0</v>
      </c>
      <c r="AK232" s="407">
        <v>0</v>
      </c>
      <c r="AL232" s="407">
        <v>3491.2478358289168</v>
      </c>
      <c r="AM232" s="407"/>
      <c r="AN232" s="407">
        <v>391.4627908031581</v>
      </c>
      <c r="AO232" s="407">
        <v>0</v>
      </c>
      <c r="AP232" s="407">
        <v>0</v>
      </c>
      <c r="AQ232" s="407">
        <v>0</v>
      </c>
      <c r="AR232" s="407">
        <v>0</v>
      </c>
      <c r="AS232" s="407">
        <v>0</v>
      </c>
      <c r="AT232" s="407">
        <v>0</v>
      </c>
      <c r="AU232" s="407">
        <v>0</v>
      </c>
      <c r="AV232" s="407">
        <v>0</v>
      </c>
      <c r="AW232" s="407">
        <v>0</v>
      </c>
      <c r="AX232" s="407">
        <v>0</v>
      </c>
      <c r="AY232" s="407">
        <v>0</v>
      </c>
      <c r="AZ232" s="407">
        <v>0</v>
      </c>
      <c r="BA232" s="407"/>
      <c r="BB232" s="407">
        <v>0</v>
      </c>
      <c r="BC232" s="407">
        <v>0</v>
      </c>
      <c r="BD232" s="407">
        <v>0</v>
      </c>
      <c r="BE232" s="407">
        <v>0</v>
      </c>
      <c r="BF232" s="407">
        <v>0</v>
      </c>
      <c r="BG232" s="407">
        <v>1892.1295836566424</v>
      </c>
      <c r="BH232" s="407">
        <v>0</v>
      </c>
      <c r="BI232" s="407">
        <v>0</v>
      </c>
      <c r="BJ232" s="407">
        <v>0</v>
      </c>
      <c r="BK232" s="407">
        <v>0</v>
      </c>
      <c r="BL232" s="407">
        <v>0</v>
      </c>
      <c r="BM232" s="407"/>
      <c r="BN232" s="407"/>
      <c r="BO232" s="407"/>
      <c r="BP232" s="407"/>
      <c r="BQ232" s="407">
        <v>7500.1166826000044</v>
      </c>
      <c r="BR232" s="407"/>
      <c r="BS232" s="407"/>
      <c r="BT232" s="407"/>
      <c r="BU232" s="407"/>
      <c r="BV232" s="407">
        <v>58121.718513638632</v>
      </c>
      <c r="BW232" s="407"/>
      <c r="BX232" s="407"/>
      <c r="BY232" s="407"/>
      <c r="BZ232" s="407"/>
      <c r="CA232" s="407"/>
      <c r="CB232" s="407"/>
      <c r="CC232" s="407"/>
      <c r="CD232" s="407"/>
      <c r="CE232" s="407"/>
      <c r="CF232" s="407"/>
      <c r="CG232" s="407"/>
      <c r="CH232" s="407"/>
      <c r="CI232" s="407">
        <v>117502.89689999999</v>
      </c>
      <c r="CJ232" s="407">
        <v>998.32624199999555</v>
      </c>
      <c r="CK232" s="407"/>
      <c r="CL232" s="407"/>
      <c r="CM232" s="407"/>
      <c r="CN232" s="407"/>
      <c r="CO232" s="407">
        <v>-8954.0960599999999</v>
      </c>
      <c r="CP232" s="407">
        <v>10015.040070000001</v>
      </c>
      <c r="CQ232" s="407">
        <v>31</v>
      </c>
      <c r="CR232" s="407">
        <v>8256.7796301331982</v>
      </c>
      <c r="CS232" s="407">
        <v>0</v>
      </c>
      <c r="CT232" s="407">
        <v>0</v>
      </c>
      <c r="CU232" s="407">
        <v>0</v>
      </c>
      <c r="CV232" s="407">
        <v>0</v>
      </c>
      <c r="CW232" s="407">
        <v>0</v>
      </c>
      <c r="CX232" s="407">
        <v>0</v>
      </c>
      <c r="CY232" s="407">
        <v>0</v>
      </c>
      <c r="CZ232" s="407">
        <v>767.5055407769396</v>
      </c>
      <c r="DA232" s="407">
        <v>0</v>
      </c>
      <c r="DB232" s="407">
        <v>0</v>
      </c>
      <c r="DC232" s="407">
        <v>11148.809013527374</v>
      </c>
      <c r="DD232" s="407">
        <v>0</v>
      </c>
      <c r="DE232" s="407">
        <v>0</v>
      </c>
      <c r="DF232" s="407">
        <v>0</v>
      </c>
      <c r="DG232" s="407">
        <v>375.15819977451474</v>
      </c>
      <c r="DH232" s="407">
        <v>0</v>
      </c>
      <c r="DI232" s="407">
        <v>-1376.7494340015583</v>
      </c>
      <c r="DJ232" s="407"/>
      <c r="DK232" s="407">
        <v>0</v>
      </c>
      <c r="DL232" s="407">
        <v>0</v>
      </c>
      <c r="DM232" s="407">
        <v>0</v>
      </c>
      <c r="DN232" s="407">
        <v>0</v>
      </c>
      <c r="DO232" s="407">
        <v>-213.00583761622693</v>
      </c>
      <c r="DP232" s="407">
        <v>-24.943063959346603</v>
      </c>
      <c r="DQ232" s="407">
        <v>0</v>
      </c>
      <c r="DR232" s="407">
        <v>-2419.9947883684736</v>
      </c>
      <c r="DS232" s="407"/>
      <c r="DT232" s="407"/>
      <c r="DU232" s="407">
        <v>14093.756340938808</v>
      </c>
      <c r="DV232" s="407">
        <v>0</v>
      </c>
      <c r="DW232" s="407">
        <v>0</v>
      </c>
      <c r="DX232" s="407">
        <v>0</v>
      </c>
      <c r="DY232" s="407">
        <v>-8954.0960600000035</v>
      </c>
      <c r="DZ232" s="407">
        <v>10015.040070000003</v>
      </c>
      <c r="EA232" s="407">
        <v>0</v>
      </c>
      <c r="EB232" s="407">
        <v>0</v>
      </c>
      <c r="EC232" s="407">
        <v>-7199.1234734391937</v>
      </c>
      <c r="ED232" s="407">
        <v>0</v>
      </c>
      <c r="EE232" s="407">
        <v>0</v>
      </c>
      <c r="EF232" s="407">
        <v>0</v>
      </c>
      <c r="EG232" s="407">
        <v>0</v>
      </c>
      <c r="EH232" s="407">
        <v>0</v>
      </c>
      <c r="EI232" s="407">
        <v>0</v>
      </c>
      <c r="EJ232" s="407">
        <v>0</v>
      </c>
      <c r="EK232" s="407">
        <v>0</v>
      </c>
      <c r="EL232" s="407">
        <v>0</v>
      </c>
      <c r="EM232" s="407">
        <v>0</v>
      </c>
      <c r="EN232" s="407">
        <v>0</v>
      </c>
      <c r="EO232" s="407">
        <v>0</v>
      </c>
      <c r="EP232" s="407">
        <v>9310.7256348628434</v>
      </c>
      <c r="EQ232" s="407">
        <v>0</v>
      </c>
      <c r="ER232" s="407">
        <v>0</v>
      </c>
      <c r="ES232" s="407">
        <v>0</v>
      </c>
      <c r="ET232" s="407">
        <v>0</v>
      </c>
      <c r="EU232" s="407">
        <v>0</v>
      </c>
      <c r="EV232" s="407">
        <v>246</v>
      </c>
      <c r="EW232" s="407">
        <v>0</v>
      </c>
      <c r="EX232" s="407">
        <v>0</v>
      </c>
      <c r="EY232" s="407">
        <v>0</v>
      </c>
      <c r="EZ232" s="407"/>
      <c r="FA232" s="407">
        <v>0</v>
      </c>
      <c r="FB232" s="407"/>
      <c r="FC232" s="407"/>
      <c r="FD232" s="407"/>
      <c r="FE232" s="407"/>
      <c r="FF232" s="407">
        <v>0</v>
      </c>
      <c r="FG232" s="407">
        <v>0</v>
      </c>
      <c r="FH232" s="407">
        <v>0</v>
      </c>
      <c r="FI232" s="407">
        <v>0</v>
      </c>
    </row>
    <row r="233" spans="1:165">
      <c r="A233" s="407">
        <v>244</v>
      </c>
      <c r="B233" s="407" t="s">
        <v>1090</v>
      </c>
      <c r="C233" s="407" t="s">
        <v>2317</v>
      </c>
      <c r="D233" s="407" t="s">
        <v>650</v>
      </c>
      <c r="E233" s="407" t="s">
        <v>1052</v>
      </c>
      <c r="F233" s="407" t="s">
        <v>2321</v>
      </c>
      <c r="G233" s="407" t="s">
        <v>97</v>
      </c>
      <c r="H233" s="407" t="s">
        <v>97</v>
      </c>
      <c r="I233" s="407" t="s">
        <v>97</v>
      </c>
      <c r="J233" s="407" t="s">
        <v>2307</v>
      </c>
      <c r="K233" s="818">
        <v>44470</v>
      </c>
      <c r="L233" s="407">
        <v>0</v>
      </c>
      <c r="M233" s="407">
        <v>0</v>
      </c>
      <c r="N233" s="407">
        <v>0</v>
      </c>
      <c r="O233" s="407">
        <v>0</v>
      </c>
      <c r="P233" s="407">
        <v>0</v>
      </c>
      <c r="Q233" s="407">
        <v>0</v>
      </c>
      <c r="R233" s="407"/>
      <c r="S233" s="407"/>
      <c r="T233" s="407"/>
      <c r="U233" s="407"/>
      <c r="V233" s="407"/>
      <c r="W233" s="407"/>
      <c r="X233" s="407"/>
      <c r="Y233" s="407"/>
      <c r="Z233" s="407"/>
      <c r="AA233" s="407">
        <v>0</v>
      </c>
      <c r="AB233" s="407"/>
      <c r="AC233" s="407"/>
      <c r="AD233" s="407"/>
      <c r="AE233" s="407"/>
      <c r="AF233" s="407"/>
      <c r="AG233" s="407"/>
      <c r="AH233" s="407"/>
      <c r="AI233" s="407"/>
      <c r="AJ233" s="407"/>
      <c r="AK233" s="407"/>
      <c r="AL233" s="407"/>
      <c r="AM233" s="407"/>
      <c r="AN233" s="407"/>
      <c r="AO233" s="407"/>
      <c r="AP233" s="407"/>
      <c r="AQ233" s="407"/>
      <c r="AR233" s="407"/>
      <c r="AS233" s="407"/>
      <c r="AT233" s="407"/>
      <c r="AU233" s="407"/>
      <c r="AV233" s="407"/>
      <c r="AW233" s="407"/>
      <c r="AX233" s="407"/>
      <c r="AY233" s="407"/>
      <c r="AZ233" s="407">
        <v>0</v>
      </c>
      <c r="BA233" s="407"/>
      <c r="BB233" s="407"/>
      <c r="BC233" s="407"/>
      <c r="BD233" s="407"/>
      <c r="BE233" s="407"/>
      <c r="BF233" s="407"/>
      <c r="BG233" s="407"/>
      <c r="BH233" s="407"/>
      <c r="BI233" s="407">
        <v>1551.08</v>
      </c>
      <c r="BJ233" s="407">
        <v>6777.58</v>
      </c>
      <c r="BK233" s="407">
        <v>101764.21</v>
      </c>
      <c r="BL233" s="407">
        <v>3</v>
      </c>
      <c r="BM233" s="407"/>
      <c r="BN233" s="407"/>
      <c r="BO233" s="407"/>
      <c r="BP233" s="407"/>
      <c r="BQ233" s="407"/>
      <c r="BR233" s="407"/>
      <c r="BS233" s="407"/>
      <c r="BT233" s="407"/>
      <c r="BU233" s="407"/>
      <c r="BV233" s="407"/>
      <c r="BW233" s="407"/>
      <c r="BX233" s="407"/>
      <c r="BY233" s="407"/>
      <c r="BZ233" s="407"/>
      <c r="CA233" s="407"/>
      <c r="CB233" s="407"/>
      <c r="CC233" s="407"/>
      <c r="CD233" s="407"/>
      <c r="CE233" s="407"/>
      <c r="CF233" s="407"/>
      <c r="CG233" s="407"/>
      <c r="CH233" s="407"/>
      <c r="CI233" s="407"/>
      <c r="CJ233" s="407">
        <v>-0.03</v>
      </c>
      <c r="CK233" s="407"/>
      <c r="CL233" s="407"/>
      <c r="CM233" s="407"/>
      <c r="CN233" s="407"/>
      <c r="CO233" s="407">
        <v>0</v>
      </c>
      <c r="CP233" s="407">
        <v>0</v>
      </c>
      <c r="CQ233" s="407">
        <v>31</v>
      </c>
      <c r="CR233" s="407"/>
      <c r="CS233" s="407"/>
      <c r="CT233" s="407"/>
      <c r="CU233" s="407"/>
      <c r="CV233" s="407"/>
      <c r="CW233" s="407"/>
      <c r="CX233" s="407"/>
      <c r="CY233" s="407"/>
      <c r="CZ233" s="407"/>
      <c r="DA233" s="407"/>
      <c r="DB233" s="407"/>
      <c r="DC233" s="407"/>
      <c r="DD233" s="407"/>
      <c r="DE233" s="407"/>
      <c r="DF233" s="407"/>
      <c r="DG233" s="407"/>
      <c r="DH233" s="407"/>
      <c r="DI233" s="407"/>
      <c r="DJ233" s="407"/>
      <c r="DK233" s="407">
        <v>0</v>
      </c>
      <c r="DL233" s="407"/>
      <c r="DM233" s="407"/>
      <c r="DN233" s="407"/>
      <c r="DO233" s="407"/>
      <c r="DP233" s="407"/>
      <c r="DQ233" s="407"/>
      <c r="DR233" s="407"/>
      <c r="DS233" s="407"/>
      <c r="DT233" s="407"/>
      <c r="DU233" s="407"/>
      <c r="DV233" s="407"/>
      <c r="DW233" s="407"/>
      <c r="DX233" s="407"/>
      <c r="DY233" s="407"/>
      <c r="DZ233" s="407"/>
      <c r="EA233" s="407"/>
      <c r="EB233" s="407"/>
      <c r="EC233" s="407"/>
      <c r="ED233" s="407"/>
      <c r="EE233" s="407"/>
      <c r="EF233" s="407"/>
      <c r="EG233" s="407"/>
      <c r="EH233" s="407"/>
      <c r="EI233" s="407"/>
      <c r="EJ233" s="407"/>
      <c r="EK233" s="407"/>
      <c r="EL233" s="407"/>
      <c r="EM233" s="407"/>
      <c r="EN233" s="407"/>
      <c r="EO233" s="407"/>
      <c r="EP233" s="407"/>
      <c r="EQ233" s="407"/>
      <c r="ER233" s="407"/>
      <c r="ES233" s="407"/>
      <c r="ET233" s="407"/>
      <c r="EU233" s="407"/>
      <c r="EV233" s="407">
        <v>246</v>
      </c>
      <c r="EW233" s="407"/>
      <c r="EX233" s="407"/>
      <c r="EY233" s="407"/>
      <c r="EZ233" s="407"/>
      <c r="FA233" s="407">
        <v>0</v>
      </c>
      <c r="FB233" s="407"/>
      <c r="FC233" s="407"/>
      <c r="FD233" s="407"/>
      <c r="FE233" s="407"/>
      <c r="FF233" s="407">
        <v>0</v>
      </c>
      <c r="FG233" s="407">
        <v>0</v>
      </c>
      <c r="FH233" s="407">
        <v>0</v>
      </c>
      <c r="FI233" s="407">
        <v>0</v>
      </c>
    </row>
    <row r="234" spans="1:165">
      <c r="A234" s="407">
        <v>245</v>
      </c>
      <c r="B234" s="407" t="s">
        <v>1090</v>
      </c>
      <c r="C234" s="407" t="s">
        <v>2306</v>
      </c>
      <c r="D234" s="407" t="s">
        <v>1219</v>
      </c>
      <c r="E234" s="407" t="s">
        <v>2322</v>
      </c>
      <c r="F234" s="407" t="s">
        <v>97</v>
      </c>
      <c r="G234" s="407" t="s">
        <v>97</v>
      </c>
      <c r="H234" s="407" t="s">
        <v>97</v>
      </c>
      <c r="I234" s="407" t="s">
        <v>97</v>
      </c>
      <c r="J234" s="407" t="s">
        <v>2307</v>
      </c>
      <c r="K234" s="818">
        <v>44470</v>
      </c>
      <c r="L234" s="407">
        <v>0</v>
      </c>
      <c r="M234" s="407">
        <v>0</v>
      </c>
      <c r="N234" s="407">
        <v>4.29</v>
      </c>
      <c r="O234" s="407">
        <v>4.29</v>
      </c>
      <c r="P234" s="407">
        <v>4.29</v>
      </c>
      <c r="Q234" s="407">
        <v>4.29</v>
      </c>
      <c r="R234" s="407"/>
      <c r="S234" s="407">
        <v>648.44000000000005</v>
      </c>
      <c r="T234" s="407">
        <v>159.41</v>
      </c>
      <c r="U234" s="407"/>
      <c r="V234" s="407">
        <v>3465.6765</v>
      </c>
      <c r="W234" s="407">
        <v>3465.6765</v>
      </c>
      <c r="X234" s="407">
        <v>2624.7078000000001</v>
      </c>
      <c r="Y234" s="407">
        <v>0</v>
      </c>
      <c r="Z234" s="407">
        <v>265.85237520272875</v>
      </c>
      <c r="AA234" s="407">
        <v>0</v>
      </c>
      <c r="AB234" s="407">
        <v>0</v>
      </c>
      <c r="AC234" s="407">
        <v>0</v>
      </c>
      <c r="AD234" s="407">
        <v>500.40458844911961</v>
      </c>
      <c r="AE234" s="407">
        <v>1791.2723004765603</v>
      </c>
      <c r="AF234" s="407">
        <v>661.64977469923758</v>
      </c>
      <c r="AG234" s="407">
        <v>22.229695651494946</v>
      </c>
      <c r="AH234" s="407">
        <v>0</v>
      </c>
      <c r="AI234" s="407">
        <v>0</v>
      </c>
      <c r="AJ234" s="407">
        <v>0</v>
      </c>
      <c r="AK234" s="407">
        <v>0</v>
      </c>
      <c r="AL234" s="407">
        <v>41.081277454683743</v>
      </c>
      <c r="AM234" s="407"/>
      <c r="AN234" s="407">
        <v>8.9021602976521645</v>
      </c>
      <c r="AO234" s="407">
        <v>0</v>
      </c>
      <c r="AP234" s="407">
        <v>0</v>
      </c>
      <c r="AQ234" s="407">
        <v>0</v>
      </c>
      <c r="AR234" s="407">
        <v>0</v>
      </c>
      <c r="AS234" s="407">
        <v>0</v>
      </c>
      <c r="AT234" s="407">
        <v>0</v>
      </c>
      <c r="AU234" s="407">
        <v>0</v>
      </c>
      <c r="AV234" s="407">
        <v>0</v>
      </c>
      <c r="AW234" s="407">
        <v>0</v>
      </c>
      <c r="AX234" s="407">
        <v>0</v>
      </c>
      <c r="AY234" s="407">
        <v>0</v>
      </c>
      <c r="AZ234" s="407">
        <v>0</v>
      </c>
      <c r="BA234" s="407"/>
      <c r="BB234" s="407">
        <v>0</v>
      </c>
      <c r="BC234" s="407">
        <v>0</v>
      </c>
      <c r="BD234" s="407">
        <v>0</v>
      </c>
      <c r="BE234" s="407">
        <v>0</v>
      </c>
      <c r="BF234" s="407">
        <v>0</v>
      </c>
      <c r="BG234" s="407">
        <v>48.36448572596484</v>
      </c>
      <c r="BH234" s="407">
        <v>0</v>
      </c>
      <c r="BI234" s="407">
        <v>22.02</v>
      </c>
      <c r="BJ234" s="407">
        <v>96.24</v>
      </c>
      <c r="BK234" s="407">
        <v>1436.62</v>
      </c>
      <c r="BL234" s="407">
        <v>5</v>
      </c>
      <c r="BM234" s="407"/>
      <c r="BN234" s="407"/>
      <c r="BO234" s="407"/>
      <c r="BP234" s="407"/>
      <c r="BQ234" s="407"/>
      <c r="BR234" s="407"/>
      <c r="BS234" s="407"/>
      <c r="BT234" s="407"/>
      <c r="BU234" s="407"/>
      <c r="BV234" s="407">
        <v>710.01426042520245</v>
      </c>
      <c r="BW234" s="407"/>
      <c r="BX234" s="407"/>
      <c r="BY234" s="407"/>
      <c r="BZ234" s="407"/>
      <c r="CA234" s="407"/>
      <c r="CB234" s="407"/>
      <c r="CC234" s="407"/>
      <c r="CD234" s="407"/>
      <c r="CE234" s="407"/>
      <c r="CF234" s="407"/>
      <c r="CG234" s="407"/>
      <c r="CH234" s="407"/>
      <c r="CI234" s="407">
        <v>2624.7078000000001</v>
      </c>
      <c r="CJ234" s="407">
        <v>-840.99870000000055</v>
      </c>
      <c r="CK234" s="407"/>
      <c r="CL234" s="407"/>
      <c r="CM234" s="407"/>
      <c r="CN234" s="407"/>
      <c r="CO234" s="407">
        <v>-958.81500000000028</v>
      </c>
      <c r="CP234" s="407">
        <v>117.8463</v>
      </c>
      <c r="CQ234" s="407">
        <v>31</v>
      </c>
      <c r="CR234" s="407">
        <v>74.019737287174621</v>
      </c>
      <c r="CS234" s="407">
        <v>0</v>
      </c>
      <c r="CT234" s="407">
        <v>0</v>
      </c>
      <c r="CU234" s="407">
        <v>0</v>
      </c>
      <c r="CV234" s="407">
        <v>0</v>
      </c>
      <c r="CW234" s="407">
        <v>0</v>
      </c>
      <c r="CX234" s="407">
        <v>0</v>
      </c>
      <c r="CY234" s="407">
        <v>0</v>
      </c>
      <c r="CZ234" s="407">
        <v>22.604267467486011</v>
      </c>
      <c r="DA234" s="407">
        <v>0</v>
      </c>
      <c r="DB234" s="407">
        <v>0</v>
      </c>
      <c r="DC234" s="407">
        <v>131.18728257378314</v>
      </c>
      <c r="DD234" s="407">
        <v>0</v>
      </c>
      <c r="DE234" s="407">
        <v>0</v>
      </c>
      <c r="DF234" s="407">
        <v>0</v>
      </c>
      <c r="DG234" s="407">
        <v>9.5893714440573987</v>
      </c>
      <c r="DH234" s="407">
        <v>0</v>
      </c>
      <c r="DI234" s="407">
        <v>-18.620824818572686</v>
      </c>
      <c r="DJ234" s="407"/>
      <c r="DK234" s="407">
        <v>0</v>
      </c>
      <c r="DL234" s="407">
        <v>0</v>
      </c>
      <c r="DM234" s="407">
        <v>0</v>
      </c>
      <c r="DN234" s="407">
        <v>0</v>
      </c>
      <c r="DO234" s="407">
        <v>-2.5064253029467096</v>
      </c>
      <c r="DP234" s="407">
        <v>-0.56722416254464036</v>
      </c>
      <c r="DQ234" s="407">
        <v>0</v>
      </c>
      <c r="DR234" s="407">
        <v>-67.666709914088059</v>
      </c>
      <c r="DS234" s="407"/>
      <c r="DT234" s="407"/>
      <c r="DU234" s="407"/>
      <c r="DV234" s="407">
        <v>1791.2723004765603</v>
      </c>
      <c r="DW234" s="407">
        <v>0</v>
      </c>
      <c r="DX234" s="407">
        <v>0</v>
      </c>
      <c r="DY234" s="407">
        <v>-958.81500000000005</v>
      </c>
      <c r="DZ234" s="407">
        <v>117.84630000000004</v>
      </c>
      <c r="EA234" s="407">
        <v>0</v>
      </c>
      <c r="EB234" s="407">
        <v>0</v>
      </c>
      <c r="EC234" s="407">
        <v>-914.98605153430753</v>
      </c>
      <c r="ED234" s="407">
        <v>0</v>
      </c>
      <c r="EE234" s="407">
        <v>0</v>
      </c>
      <c r="EF234" s="407">
        <v>0</v>
      </c>
      <c r="EG234" s="407">
        <v>0</v>
      </c>
      <c r="EH234" s="407">
        <v>0</v>
      </c>
      <c r="EI234" s="407">
        <v>0</v>
      </c>
      <c r="EJ234" s="407">
        <v>0</v>
      </c>
      <c r="EK234" s="407">
        <v>0</v>
      </c>
      <c r="EL234" s="407">
        <v>0</v>
      </c>
      <c r="EM234" s="407">
        <v>0</v>
      </c>
      <c r="EN234" s="407">
        <v>0</v>
      </c>
      <c r="EO234" s="407">
        <v>0</v>
      </c>
      <c r="EP234" s="407">
        <v>125.92951680151558</v>
      </c>
      <c r="EQ234" s="407">
        <v>0</v>
      </c>
      <c r="ER234" s="407">
        <v>0</v>
      </c>
      <c r="ES234" s="407">
        <v>0</v>
      </c>
      <c r="ET234" s="407">
        <v>0</v>
      </c>
      <c r="EU234" s="407">
        <v>0</v>
      </c>
      <c r="EV234" s="407">
        <v>246</v>
      </c>
      <c r="EW234" s="407">
        <v>0</v>
      </c>
      <c r="EX234" s="407">
        <v>0</v>
      </c>
      <c r="EY234" s="407">
        <v>0</v>
      </c>
      <c r="EZ234" s="407"/>
      <c r="FA234" s="407">
        <v>0</v>
      </c>
      <c r="FB234" s="407"/>
      <c r="FC234" s="407"/>
      <c r="FD234" s="407"/>
      <c r="FE234" s="407"/>
      <c r="FF234" s="407">
        <v>0</v>
      </c>
      <c r="FG234" s="407">
        <v>0</v>
      </c>
      <c r="FH234" s="407">
        <v>0</v>
      </c>
      <c r="FI234" s="407">
        <v>0</v>
      </c>
    </row>
    <row r="235" spans="1:165">
      <c r="A235" s="407">
        <v>246</v>
      </c>
      <c r="B235" s="407" t="s">
        <v>1090</v>
      </c>
      <c r="C235" s="407" t="s">
        <v>2306</v>
      </c>
      <c r="D235" s="407" t="s">
        <v>2315</v>
      </c>
      <c r="E235" s="407" t="s">
        <v>1026</v>
      </c>
      <c r="F235" s="407" t="s">
        <v>2323</v>
      </c>
      <c r="G235" s="407" t="s">
        <v>2324</v>
      </c>
      <c r="H235" s="407" t="s">
        <v>97</v>
      </c>
      <c r="I235" s="407" t="s">
        <v>97</v>
      </c>
      <c r="J235" s="407" t="s">
        <v>2307</v>
      </c>
      <c r="K235" s="818">
        <v>44470</v>
      </c>
      <c r="L235" s="407">
        <v>0</v>
      </c>
      <c r="M235" s="407">
        <v>0</v>
      </c>
      <c r="N235" s="407">
        <v>0</v>
      </c>
      <c r="O235" s="407">
        <v>0</v>
      </c>
      <c r="P235" s="407">
        <v>0</v>
      </c>
      <c r="Q235" s="407">
        <v>0</v>
      </c>
      <c r="R235" s="407"/>
      <c r="S235" s="407"/>
      <c r="T235" s="407"/>
      <c r="U235" s="407"/>
      <c r="V235" s="407"/>
      <c r="W235" s="407"/>
      <c r="X235" s="407"/>
      <c r="Y235" s="407"/>
      <c r="Z235" s="407"/>
      <c r="AA235" s="407">
        <v>0</v>
      </c>
      <c r="AB235" s="407"/>
      <c r="AC235" s="407"/>
      <c r="AD235" s="407"/>
      <c r="AE235" s="407"/>
      <c r="AF235" s="407"/>
      <c r="AG235" s="407"/>
      <c r="AH235" s="407"/>
      <c r="AI235" s="407"/>
      <c r="AJ235" s="407"/>
      <c r="AK235" s="407"/>
      <c r="AL235" s="407"/>
      <c r="AM235" s="407"/>
      <c r="AN235" s="407"/>
      <c r="AO235" s="407"/>
      <c r="AP235" s="407"/>
      <c r="AQ235" s="407"/>
      <c r="AR235" s="407"/>
      <c r="AS235" s="407"/>
      <c r="AT235" s="407"/>
      <c r="AU235" s="407"/>
      <c r="AV235" s="407"/>
      <c r="AW235" s="407"/>
      <c r="AX235" s="407"/>
      <c r="AY235" s="407"/>
      <c r="AZ235" s="407">
        <v>0</v>
      </c>
      <c r="BA235" s="407"/>
      <c r="BB235" s="407"/>
      <c r="BC235" s="407"/>
      <c r="BD235" s="407"/>
      <c r="BE235" s="407"/>
      <c r="BF235" s="407"/>
      <c r="BG235" s="407"/>
      <c r="BH235" s="407"/>
      <c r="BI235" s="407">
        <v>23.45</v>
      </c>
      <c r="BJ235" s="407">
        <v>103.24</v>
      </c>
      <c r="BK235" s="407">
        <v>412.21</v>
      </c>
      <c r="BL235" s="407">
        <v>41</v>
      </c>
      <c r="BM235" s="407"/>
      <c r="BN235" s="407"/>
      <c r="BO235" s="407"/>
      <c r="BP235" s="407"/>
      <c r="BQ235" s="407"/>
      <c r="BR235" s="407"/>
      <c r="BS235" s="407"/>
      <c r="BT235" s="407"/>
      <c r="BU235" s="407"/>
      <c r="BV235" s="407"/>
      <c r="BW235" s="407"/>
      <c r="BX235" s="407"/>
      <c r="BY235" s="407"/>
      <c r="BZ235" s="407"/>
      <c r="CA235" s="407"/>
      <c r="CB235" s="407"/>
      <c r="CC235" s="407"/>
      <c r="CD235" s="407"/>
      <c r="CE235" s="407"/>
      <c r="CF235" s="407"/>
      <c r="CG235" s="407"/>
      <c r="CH235" s="407"/>
      <c r="CI235" s="407"/>
      <c r="CJ235" s="407">
        <v>-0.03</v>
      </c>
      <c r="CK235" s="407"/>
      <c r="CL235" s="407"/>
      <c r="CM235" s="407"/>
      <c r="CN235" s="407"/>
      <c r="CO235" s="407">
        <v>0</v>
      </c>
      <c r="CP235" s="407">
        <v>0</v>
      </c>
      <c r="CQ235" s="407">
        <v>31</v>
      </c>
      <c r="CR235" s="407"/>
      <c r="CS235" s="407"/>
      <c r="CT235" s="407"/>
      <c r="CU235" s="407"/>
      <c r="CV235" s="407"/>
      <c r="CW235" s="407"/>
      <c r="CX235" s="407"/>
      <c r="CY235" s="407"/>
      <c r="CZ235" s="407"/>
      <c r="DA235" s="407"/>
      <c r="DB235" s="407"/>
      <c r="DC235" s="407"/>
      <c r="DD235" s="407"/>
      <c r="DE235" s="407"/>
      <c r="DF235" s="407"/>
      <c r="DG235" s="407"/>
      <c r="DH235" s="407"/>
      <c r="DI235" s="407"/>
      <c r="DJ235" s="407"/>
      <c r="DK235" s="407">
        <v>0</v>
      </c>
      <c r="DL235" s="407"/>
      <c r="DM235" s="407"/>
      <c r="DN235" s="407"/>
      <c r="DO235" s="407"/>
      <c r="DP235" s="407"/>
      <c r="DQ235" s="407"/>
      <c r="DR235" s="407"/>
      <c r="DS235" s="407"/>
      <c r="DT235" s="407"/>
      <c r="DU235" s="407"/>
      <c r="DV235" s="407"/>
      <c r="DW235" s="407"/>
      <c r="DX235" s="407"/>
      <c r="DY235" s="407"/>
      <c r="DZ235" s="407"/>
      <c r="EA235" s="407"/>
      <c r="EB235" s="407"/>
      <c r="EC235" s="407"/>
      <c r="ED235" s="407"/>
      <c r="EE235" s="407"/>
      <c r="EF235" s="407"/>
      <c r="EG235" s="407"/>
      <c r="EH235" s="407"/>
      <c r="EI235" s="407"/>
      <c r="EJ235" s="407"/>
      <c r="EK235" s="407"/>
      <c r="EL235" s="407"/>
      <c r="EM235" s="407"/>
      <c r="EN235" s="407"/>
      <c r="EO235" s="407"/>
      <c r="EP235" s="407"/>
      <c r="EQ235" s="407"/>
      <c r="ER235" s="407"/>
      <c r="ES235" s="407"/>
      <c r="ET235" s="407"/>
      <c r="EU235" s="407"/>
      <c r="EV235" s="407">
        <v>246</v>
      </c>
      <c r="EW235" s="407"/>
      <c r="EX235" s="407"/>
      <c r="EY235" s="407"/>
      <c r="EZ235" s="407"/>
      <c r="FA235" s="407">
        <v>0</v>
      </c>
      <c r="FB235" s="407"/>
      <c r="FC235" s="407"/>
      <c r="FD235" s="407"/>
      <c r="FE235" s="407"/>
      <c r="FF235" s="407">
        <v>0</v>
      </c>
      <c r="FG235" s="407">
        <v>0</v>
      </c>
      <c r="FH235" s="407">
        <v>0</v>
      </c>
      <c r="FI235" s="407">
        <v>0</v>
      </c>
    </row>
    <row r="236" spans="1:165">
      <c r="A236" s="407">
        <v>247</v>
      </c>
      <c r="B236" s="407" t="s">
        <v>2309</v>
      </c>
      <c r="C236" s="407" t="s">
        <v>2306</v>
      </c>
      <c r="D236" s="407" t="s">
        <v>2315</v>
      </c>
      <c r="E236" s="407" t="s">
        <v>1026</v>
      </c>
      <c r="F236" s="407" t="s">
        <v>2323</v>
      </c>
      <c r="G236" s="407" t="s">
        <v>2324</v>
      </c>
      <c r="H236" s="407" t="s">
        <v>97</v>
      </c>
      <c r="I236" s="407" t="s">
        <v>97</v>
      </c>
      <c r="J236" s="407" t="s">
        <v>2307</v>
      </c>
      <c r="K236" s="818">
        <v>44470</v>
      </c>
      <c r="L236" s="407">
        <v>0</v>
      </c>
      <c r="M236" s="407">
        <v>0</v>
      </c>
      <c r="N236" s="407">
        <v>0</v>
      </c>
      <c r="O236" s="407">
        <v>0</v>
      </c>
      <c r="P236" s="407">
        <v>0</v>
      </c>
      <c r="Q236" s="407">
        <v>0</v>
      </c>
      <c r="R236" s="407"/>
      <c r="S236" s="407"/>
      <c r="T236" s="407"/>
      <c r="U236" s="407"/>
      <c r="V236" s="407"/>
      <c r="W236" s="407"/>
      <c r="X236" s="407"/>
      <c r="Y236" s="407"/>
      <c r="Z236" s="407"/>
      <c r="AA236" s="407">
        <v>0</v>
      </c>
      <c r="AB236" s="407"/>
      <c r="AC236" s="407"/>
      <c r="AD236" s="407"/>
      <c r="AE236" s="407"/>
      <c r="AF236" s="407"/>
      <c r="AG236" s="407"/>
      <c r="AH236" s="407"/>
      <c r="AI236" s="407"/>
      <c r="AJ236" s="407"/>
      <c r="AK236" s="407"/>
      <c r="AL236" s="407"/>
      <c r="AM236" s="407"/>
      <c r="AN236" s="407"/>
      <c r="AO236" s="407"/>
      <c r="AP236" s="407"/>
      <c r="AQ236" s="407"/>
      <c r="AR236" s="407"/>
      <c r="AS236" s="407"/>
      <c r="AT236" s="407"/>
      <c r="AU236" s="407"/>
      <c r="AV236" s="407"/>
      <c r="AW236" s="407"/>
      <c r="AX236" s="407"/>
      <c r="AY236" s="407"/>
      <c r="AZ236" s="407">
        <v>0</v>
      </c>
      <c r="BA236" s="407"/>
      <c r="BB236" s="407"/>
      <c r="BC236" s="407"/>
      <c r="BD236" s="407"/>
      <c r="BE236" s="407"/>
      <c r="BF236" s="407"/>
      <c r="BG236" s="407"/>
      <c r="BH236" s="407"/>
      <c r="BI236" s="407">
        <v>0.74</v>
      </c>
      <c r="BJ236" s="407">
        <v>3.24</v>
      </c>
      <c r="BK236" s="407">
        <v>21.14</v>
      </c>
      <c r="BL236" s="407">
        <v>2</v>
      </c>
      <c r="BM236" s="407"/>
      <c r="BN236" s="407"/>
      <c r="BO236" s="407"/>
      <c r="BP236" s="407"/>
      <c r="BQ236" s="407"/>
      <c r="BR236" s="407"/>
      <c r="BS236" s="407"/>
      <c r="BT236" s="407"/>
      <c r="BU236" s="407"/>
      <c r="BV236" s="407"/>
      <c r="BW236" s="407"/>
      <c r="BX236" s="407"/>
      <c r="BY236" s="407"/>
      <c r="BZ236" s="407"/>
      <c r="CA236" s="407"/>
      <c r="CB236" s="407"/>
      <c r="CC236" s="407"/>
      <c r="CD236" s="407"/>
      <c r="CE236" s="407"/>
      <c r="CF236" s="407"/>
      <c r="CG236" s="407"/>
      <c r="CH236" s="407"/>
      <c r="CI236" s="407"/>
      <c r="CJ236" s="407">
        <v>-0.03</v>
      </c>
      <c r="CK236" s="407"/>
      <c r="CL236" s="407"/>
      <c r="CM236" s="407"/>
      <c r="CN236" s="407"/>
      <c r="CO236" s="407">
        <v>0</v>
      </c>
      <c r="CP236" s="407">
        <v>0</v>
      </c>
      <c r="CQ236" s="407">
        <v>31</v>
      </c>
      <c r="CR236" s="407"/>
      <c r="CS236" s="407"/>
      <c r="CT236" s="407"/>
      <c r="CU236" s="407"/>
      <c r="CV236" s="407"/>
      <c r="CW236" s="407"/>
      <c r="CX236" s="407"/>
      <c r="CY236" s="407"/>
      <c r="CZ236" s="407"/>
      <c r="DA236" s="407"/>
      <c r="DB236" s="407"/>
      <c r="DC236" s="407"/>
      <c r="DD236" s="407"/>
      <c r="DE236" s="407"/>
      <c r="DF236" s="407"/>
      <c r="DG236" s="407"/>
      <c r="DH236" s="407"/>
      <c r="DI236" s="407"/>
      <c r="DJ236" s="407"/>
      <c r="DK236" s="407">
        <v>0</v>
      </c>
      <c r="DL236" s="407"/>
      <c r="DM236" s="407"/>
      <c r="DN236" s="407"/>
      <c r="DO236" s="407"/>
      <c r="DP236" s="407"/>
      <c r="DQ236" s="407"/>
      <c r="DR236" s="407"/>
      <c r="DS236" s="407"/>
      <c r="DT236" s="407"/>
      <c r="DU236" s="407"/>
      <c r="DV236" s="407"/>
      <c r="DW236" s="407"/>
      <c r="DX236" s="407"/>
      <c r="DY236" s="407"/>
      <c r="DZ236" s="407"/>
      <c r="EA236" s="407"/>
      <c r="EB236" s="407"/>
      <c r="EC236" s="407"/>
      <c r="ED236" s="407"/>
      <c r="EE236" s="407"/>
      <c r="EF236" s="407"/>
      <c r="EG236" s="407"/>
      <c r="EH236" s="407"/>
      <c r="EI236" s="407"/>
      <c r="EJ236" s="407"/>
      <c r="EK236" s="407"/>
      <c r="EL236" s="407"/>
      <c r="EM236" s="407"/>
      <c r="EN236" s="407"/>
      <c r="EO236" s="407"/>
      <c r="EP236" s="407"/>
      <c r="EQ236" s="407"/>
      <c r="ER236" s="407"/>
      <c r="ES236" s="407"/>
      <c r="ET236" s="407"/>
      <c r="EU236" s="407"/>
      <c r="EV236" s="407">
        <v>246</v>
      </c>
      <c r="EW236" s="407"/>
      <c r="EX236" s="407"/>
      <c r="EY236" s="407"/>
      <c r="EZ236" s="407"/>
      <c r="FA236" s="407">
        <v>0</v>
      </c>
      <c r="FB236" s="407"/>
      <c r="FC236" s="407"/>
      <c r="FD236" s="407"/>
      <c r="FE236" s="407"/>
      <c r="FF236" s="407">
        <v>0</v>
      </c>
      <c r="FG236" s="407">
        <v>0</v>
      </c>
      <c r="FH236" s="407">
        <v>0</v>
      </c>
      <c r="FI236" s="407">
        <v>0</v>
      </c>
    </row>
    <row r="237" spans="1:165">
      <c r="A237" s="407">
        <v>248</v>
      </c>
      <c r="B237" s="407" t="s">
        <v>1090</v>
      </c>
      <c r="C237" s="407" t="s">
        <v>2306</v>
      </c>
      <c r="D237" s="407" t="s">
        <v>2315</v>
      </c>
      <c r="E237" s="407" t="s">
        <v>1026</v>
      </c>
      <c r="F237" s="407" t="s">
        <v>2323</v>
      </c>
      <c r="G237" s="407" t="s">
        <v>2324</v>
      </c>
      <c r="H237" s="407" t="s">
        <v>97</v>
      </c>
      <c r="I237" s="407" t="s">
        <v>97</v>
      </c>
      <c r="J237" s="407" t="s">
        <v>2307</v>
      </c>
      <c r="K237" s="818">
        <v>44470</v>
      </c>
      <c r="L237" s="407">
        <v>0</v>
      </c>
      <c r="M237" s="407">
        <v>0</v>
      </c>
      <c r="N237" s="407">
        <v>5.798</v>
      </c>
      <c r="O237" s="407">
        <v>5.798</v>
      </c>
      <c r="P237" s="407">
        <v>5.798</v>
      </c>
      <c r="Q237" s="407">
        <v>5.798</v>
      </c>
      <c r="R237" s="407"/>
      <c r="S237" s="407">
        <v>648.44000000000005</v>
      </c>
      <c r="T237" s="407">
        <v>159.41</v>
      </c>
      <c r="U237" s="407"/>
      <c r="V237" s="407">
        <v>4683.9143000000004</v>
      </c>
      <c r="W237" s="407">
        <v>4683.9143000000004</v>
      </c>
      <c r="X237" s="407">
        <v>3547.3323599999999</v>
      </c>
      <c r="Y237" s="407">
        <v>0</v>
      </c>
      <c r="Z237" s="407">
        <v>359.30351315277886</v>
      </c>
      <c r="AA237" s="407">
        <v>0</v>
      </c>
      <c r="AB237" s="407">
        <v>0</v>
      </c>
      <c r="AC237" s="407">
        <v>0</v>
      </c>
      <c r="AD237" s="407">
        <v>676.30438317668893</v>
      </c>
      <c r="AE237" s="407">
        <v>2420.9316545834727</v>
      </c>
      <c r="AF237" s="407">
        <v>894.22969550260598</v>
      </c>
      <c r="AG237" s="407">
        <v>30.043770486565897</v>
      </c>
      <c r="AH237" s="407">
        <v>0</v>
      </c>
      <c r="AI237" s="407">
        <v>0</v>
      </c>
      <c r="AJ237" s="407">
        <v>0</v>
      </c>
      <c r="AK237" s="407">
        <v>0</v>
      </c>
      <c r="AL237" s="407">
        <v>55.521968923602877</v>
      </c>
      <c r="AM237" s="407"/>
      <c r="AN237" s="407">
        <v>12.03140452349353</v>
      </c>
      <c r="AO237" s="407">
        <v>0</v>
      </c>
      <c r="AP237" s="407">
        <v>0</v>
      </c>
      <c r="AQ237" s="407">
        <v>0</v>
      </c>
      <c r="AR237" s="407">
        <v>0</v>
      </c>
      <c r="AS237" s="407">
        <v>0</v>
      </c>
      <c r="AT237" s="407">
        <v>0</v>
      </c>
      <c r="AU237" s="407">
        <v>0</v>
      </c>
      <c r="AV237" s="407">
        <v>0</v>
      </c>
      <c r="AW237" s="407">
        <v>0</v>
      </c>
      <c r="AX237" s="407">
        <v>0</v>
      </c>
      <c r="AY237" s="407">
        <v>0</v>
      </c>
      <c r="AZ237" s="407">
        <v>0</v>
      </c>
      <c r="BA237" s="407"/>
      <c r="BB237" s="407">
        <v>0</v>
      </c>
      <c r="BC237" s="407">
        <v>0</v>
      </c>
      <c r="BD237" s="407">
        <v>0</v>
      </c>
      <c r="BE237" s="407">
        <v>0</v>
      </c>
      <c r="BF237" s="407">
        <v>0</v>
      </c>
      <c r="BG237" s="407">
        <v>65.365335253879749</v>
      </c>
      <c r="BH237" s="407">
        <v>0</v>
      </c>
      <c r="BI237" s="407">
        <v>0</v>
      </c>
      <c r="BJ237" s="407">
        <v>0</v>
      </c>
      <c r="BK237" s="407">
        <v>0</v>
      </c>
      <c r="BL237" s="407">
        <v>0</v>
      </c>
      <c r="BM237" s="407"/>
      <c r="BN237" s="407"/>
      <c r="BO237" s="407"/>
      <c r="BP237" s="407"/>
      <c r="BQ237" s="407"/>
      <c r="BR237" s="407">
        <v>425.68916000000013</v>
      </c>
      <c r="BS237" s="407"/>
      <c r="BT237" s="407"/>
      <c r="BU237" s="407"/>
      <c r="BV237" s="407">
        <v>959.5950307564857</v>
      </c>
      <c r="BW237" s="407"/>
      <c r="BX237" s="407"/>
      <c r="BY237" s="407"/>
      <c r="BZ237" s="407"/>
      <c r="CA237" s="407"/>
      <c r="CB237" s="407"/>
      <c r="CC237" s="407"/>
      <c r="CD237" s="407"/>
      <c r="CE237" s="407"/>
      <c r="CF237" s="407"/>
      <c r="CG237" s="407"/>
      <c r="CH237" s="407"/>
      <c r="CI237" s="407">
        <v>3122.72</v>
      </c>
      <c r="CJ237" s="407">
        <v>-999.16618000000062</v>
      </c>
      <c r="CK237" s="407"/>
      <c r="CL237" s="407"/>
      <c r="CM237" s="407"/>
      <c r="CN237" s="407"/>
      <c r="CO237" s="407">
        <v>-1295.8530000000003</v>
      </c>
      <c r="CP237" s="407">
        <v>159.27106000000001</v>
      </c>
      <c r="CQ237" s="407">
        <v>31</v>
      </c>
      <c r="CR237" s="407">
        <v>100.03879645478719</v>
      </c>
      <c r="CS237" s="407">
        <v>0</v>
      </c>
      <c r="CT237" s="407">
        <v>0</v>
      </c>
      <c r="CU237" s="407">
        <v>0</v>
      </c>
      <c r="CV237" s="407">
        <v>0</v>
      </c>
      <c r="CW237" s="407">
        <v>0</v>
      </c>
      <c r="CX237" s="407">
        <v>0</v>
      </c>
      <c r="CY237" s="407">
        <v>0</v>
      </c>
      <c r="CZ237" s="407">
        <v>30.550009971208397</v>
      </c>
      <c r="DA237" s="407">
        <v>0</v>
      </c>
      <c r="DB237" s="407">
        <v>0</v>
      </c>
      <c r="DC237" s="407">
        <v>177.30160008456744</v>
      </c>
      <c r="DD237" s="407">
        <v>0</v>
      </c>
      <c r="DE237" s="407">
        <v>0</v>
      </c>
      <c r="DF237" s="407">
        <v>0</v>
      </c>
      <c r="DG237" s="407">
        <v>12.960180800150312</v>
      </c>
      <c r="DH237" s="407">
        <v>0</v>
      </c>
      <c r="DI237" s="407">
        <v>-25.166326876010373</v>
      </c>
      <c r="DJ237" s="407"/>
      <c r="DK237" s="407">
        <v>0</v>
      </c>
      <c r="DL237" s="407">
        <v>0</v>
      </c>
      <c r="DM237" s="407">
        <v>0</v>
      </c>
      <c r="DN237" s="407">
        <v>0</v>
      </c>
      <c r="DO237" s="407">
        <v>-3.3874717730734361</v>
      </c>
      <c r="DP237" s="407">
        <v>-0.76661204998457144</v>
      </c>
      <c r="DQ237" s="407">
        <v>0</v>
      </c>
      <c r="DR237" s="407">
        <v>-91.452583702070527</v>
      </c>
      <c r="DS237" s="407"/>
      <c r="DT237" s="407"/>
      <c r="DU237" s="407"/>
      <c r="DV237" s="407">
        <v>2420.9316545834727</v>
      </c>
      <c r="DW237" s="407">
        <v>0</v>
      </c>
      <c r="DX237" s="407">
        <v>0</v>
      </c>
      <c r="DY237" s="407">
        <v>-1295.8530000000005</v>
      </c>
      <c r="DZ237" s="407">
        <v>159.27106000000003</v>
      </c>
      <c r="EA237" s="407">
        <v>0</v>
      </c>
      <c r="EB237" s="407">
        <v>0</v>
      </c>
      <c r="EC237" s="407">
        <v>-1236.61751207364</v>
      </c>
      <c r="ED237" s="407">
        <v>0</v>
      </c>
      <c r="EE237" s="407">
        <v>0</v>
      </c>
      <c r="EF237" s="407">
        <v>0</v>
      </c>
      <c r="EG237" s="407">
        <v>0</v>
      </c>
      <c r="EH237" s="407">
        <v>0</v>
      </c>
      <c r="EI237" s="407">
        <v>0</v>
      </c>
      <c r="EJ237" s="407">
        <v>0</v>
      </c>
      <c r="EK237" s="407">
        <v>0</v>
      </c>
      <c r="EL237" s="407">
        <v>0</v>
      </c>
      <c r="EM237" s="407">
        <v>0</v>
      </c>
      <c r="EN237" s="407">
        <v>0</v>
      </c>
      <c r="EO237" s="407">
        <v>0</v>
      </c>
      <c r="EP237" s="407">
        <v>170.19564998023014</v>
      </c>
      <c r="EQ237" s="407">
        <v>0</v>
      </c>
      <c r="ER237" s="407">
        <v>0</v>
      </c>
      <c r="ES237" s="407">
        <v>0</v>
      </c>
      <c r="ET237" s="407">
        <v>0</v>
      </c>
      <c r="EU237" s="407">
        <v>0</v>
      </c>
      <c r="EV237" s="407">
        <v>246</v>
      </c>
      <c r="EW237" s="407">
        <v>0</v>
      </c>
      <c r="EX237" s="407">
        <v>0</v>
      </c>
      <c r="EY237" s="407">
        <v>0</v>
      </c>
      <c r="EZ237" s="407"/>
      <c r="FA237" s="407">
        <v>0</v>
      </c>
      <c r="FB237" s="407"/>
      <c r="FC237" s="407"/>
      <c r="FD237" s="407"/>
      <c r="FE237" s="407"/>
      <c r="FF237" s="407">
        <v>0</v>
      </c>
      <c r="FG237" s="407">
        <v>0</v>
      </c>
      <c r="FH237" s="407">
        <v>0</v>
      </c>
      <c r="FI237" s="407">
        <v>0</v>
      </c>
    </row>
    <row r="238" spans="1:165">
      <c r="A238" s="407">
        <v>249</v>
      </c>
      <c r="B238" s="407" t="s">
        <v>2309</v>
      </c>
      <c r="C238" s="407" t="s">
        <v>2306</v>
      </c>
      <c r="D238" s="407" t="s">
        <v>2315</v>
      </c>
      <c r="E238" s="407" t="s">
        <v>1026</v>
      </c>
      <c r="F238" s="407" t="s">
        <v>2323</v>
      </c>
      <c r="G238" s="407" t="s">
        <v>2324</v>
      </c>
      <c r="H238" s="407" t="s">
        <v>97</v>
      </c>
      <c r="I238" s="407" t="s">
        <v>97</v>
      </c>
      <c r="J238" s="407" t="s">
        <v>2307</v>
      </c>
      <c r="K238" s="818">
        <v>44470</v>
      </c>
      <c r="L238" s="407">
        <v>0</v>
      </c>
      <c r="M238" s="407">
        <v>0</v>
      </c>
      <c r="N238" s="407">
        <v>0.2</v>
      </c>
      <c r="O238" s="407">
        <v>0.2</v>
      </c>
      <c r="P238" s="407">
        <v>0.2</v>
      </c>
      <c r="Q238" s="407">
        <v>0.2</v>
      </c>
      <c r="R238" s="407"/>
      <c r="S238" s="407">
        <v>648.44000000000005</v>
      </c>
      <c r="T238" s="407">
        <v>159.41</v>
      </c>
      <c r="U238" s="407"/>
      <c r="V238" s="407">
        <v>161.57000000000002</v>
      </c>
      <c r="W238" s="407">
        <v>161.57000000000002</v>
      </c>
      <c r="X238" s="407">
        <v>122.364</v>
      </c>
      <c r="Y238" s="407">
        <v>0</v>
      </c>
      <c r="Z238" s="407">
        <v>12.394050126001341</v>
      </c>
      <c r="AA238" s="407">
        <v>0</v>
      </c>
      <c r="AB238" s="407">
        <v>0</v>
      </c>
      <c r="AC238" s="407">
        <v>0</v>
      </c>
      <c r="AD238" s="407">
        <v>23.328885242383201</v>
      </c>
      <c r="AE238" s="407">
        <v>83.509198157415412</v>
      </c>
      <c r="AF238" s="407">
        <v>30.846143342621801</v>
      </c>
      <c r="AG238" s="407">
        <v>1.0363494476221422</v>
      </c>
      <c r="AH238" s="407">
        <v>0</v>
      </c>
      <c r="AI238" s="407">
        <v>0</v>
      </c>
      <c r="AJ238" s="407">
        <v>0</v>
      </c>
      <c r="AK238" s="407">
        <v>0</v>
      </c>
      <c r="AL238" s="407">
        <v>1.9152110701484262</v>
      </c>
      <c r="AM238" s="407"/>
      <c r="AN238" s="407">
        <v>0.41501912809567199</v>
      </c>
      <c r="AO238" s="407">
        <v>0</v>
      </c>
      <c r="AP238" s="407">
        <v>0</v>
      </c>
      <c r="AQ238" s="407">
        <v>0</v>
      </c>
      <c r="AR238" s="407">
        <v>0</v>
      </c>
      <c r="AS238" s="407">
        <v>0</v>
      </c>
      <c r="AT238" s="407">
        <v>0</v>
      </c>
      <c r="AU238" s="407">
        <v>0</v>
      </c>
      <c r="AV238" s="407">
        <v>0</v>
      </c>
      <c r="AW238" s="407">
        <v>0</v>
      </c>
      <c r="AX238" s="407">
        <v>0</v>
      </c>
      <c r="AY238" s="407">
        <v>0</v>
      </c>
      <c r="AZ238" s="407">
        <v>0</v>
      </c>
      <c r="BA238" s="407"/>
      <c r="BB238" s="407">
        <v>0</v>
      </c>
      <c r="BC238" s="407">
        <v>0</v>
      </c>
      <c r="BD238" s="407">
        <v>0</v>
      </c>
      <c r="BE238" s="407">
        <v>0</v>
      </c>
      <c r="BF238" s="407">
        <v>0</v>
      </c>
      <c r="BG238" s="407">
        <v>2.25475457929906</v>
      </c>
      <c r="BH238" s="407">
        <v>0</v>
      </c>
      <c r="BI238" s="407">
        <v>0</v>
      </c>
      <c r="BJ238" s="407">
        <v>0</v>
      </c>
      <c r="BK238" s="407">
        <v>0</v>
      </c>
      <c r="BL238" s="407">
        <v>0</v>
      </c>
      <c r="BM238" s="407"/>
      <c r="BN238" s="407"/>
      <c r="BO238" s="407"/>
      <c r="BP238" s="407"/>
      <c r="BQ238" s="407"/>
      <c r="BR238" s="407">
        <v>14.684000000000005</v>
      </c>
      <c r="BS238" s="407"/>
      <c r="BT238" s="407"/>
      <c r="BU238" s="407"/>
      <c r="BV238" s="407">
        <v>33.100897921920861</v>
      </c>
      <c r="BW238" s="407"/>
      <c r="BX238" s="407"/>
      <c r="BY238" s="407"/>
      <c r="BZ238" s="407"/>
      <c r="CA238" s="407"/>
      <c r="CB238" s="407"/>
      <c r="CC238" s="407"/>
      <c r="CD238" s="407"/>
      <c r="CE238" s="407"/>
      <c r="CF238" s="407"/>
      <c r="CG238" s="407"/>
      <c r="CH238" s="407"/>
      <c r="CI238" s="407">
        <v>107.68</v>
      </c>
      <c r="CJ238" s="407">
        <v>-34.532000000000011</v>
      </c>
      <c r="CK238" s="407"/>
      <c r="CL238" s="407"/>
      <c r="CM238" s="407"/>
      <c r="CN238" s="407"/>
      <c r="CO238" s="407">
        <v>-44.700000000000017</v>
      </c>
      <c r="CP238" s="407">
        <v>5.4939999999999998</v>
      </c>
      <c r="CQ238" s="407">
        <v>31</v>
      </c>
      <c r="CR238" s="407">
        <v>3.4508036031316607</v>
      </c>
      <c r="CS238" s="407">
        <v>0</v>
      </c>
      <c r="CT238" s="407">
        <v>0</v>
      </c>
      <c r="CU238" s="407">
        <v>0</v>
      </c>
      <c r="CV238" s="407">
        <v>0</v>
      </c>
      <c r="CW238" s="407">
        <v>0</v>
      </c>
      <c r="CX238" s="407">
        <v>0</v>
      </c>
      <c r="CY238" s="407">
        <v>0</v>
      </c>
      <c r="CZ238" s="407">
        <v>1.0538120031461986</v>
      </c>
      <c r="DA238" s="407">
        <v>0</v>
      </c>
      <c r="DB238" s="407">
        <v>0</v>
      </c>
      <c r="DC238" s="407">
        <v>6.1159572295469999</v>
      </c>
      <c r="DD238" s="407">
        <v>0</v>
      </c>
      <c r="DE238" s="407">
        <v>0</v>
      </c>
      <c r="DF238" s="407">
        <v>0</v>
      </c>
      <c r="DG238" s="407">
        <v>0.44705694377890026</v>
      </c>
      <c r="DH238" s="407">
        <v>0</v>
      </c>
      <c r="DI238" s="407">
        <v>-0.86810372114558021</v>
      </c>
      <c r="DJ238" s="407"/>
      <c r="DK238" s="407">
        <v>0</v>
      </c>
      <c r="DL238" s="407">
        <v>0</v>
      </c>
      <c r="DM238" s="407">
        <v>0</v>
      </c>
      <c r="DN238" s="407">
        <v>0</v>
      </c>
      <c r="DO238" s="407">
        <v>-0.1168496644730399</v>
      </c>
      <c r="DP238" s="407">
        <v>-2.6444016901847944E-2</v>
      </c>
      <c r="DQ238" s="407">
        <v>0</v>
      </c>
      <c r="DR238" s="407">
        <v>-3.1546251708199562</v>
      </c>
      <c r="DS238" s="407"/>
      <c r="DT238" s="407"/>
      <c r="DU238" s="407"/>
      <c r="DV238" s="407">
        <v>83.509198157415412</v>
      </c>
      <c r="DW238" s="407">
        <v>0</v>
      </c>
      <c r="DX238" s="407">
        <v>0</v>
      </c>
      <c r="DY238" s="407">
        <v>-44.700000000000017</v>
      </c>
      <c r="DZ238" s="407">
        <v>5.4939999999999962</v>
      </c>
      <c r="EA238" s="407">
        <v>0</v>
      </c>
      <c r="EB238" s="407">
        <v>0</v>
      </c>
      <c r="EC238" s="407">
        <v>-42.656692379221809</v>
      </c>
      <c r="ED238" s="407">
        <v>0</v>
      </c>
      <c r="EE238" s="407">
        <v>0</v>
      </c>
      <c r="EF238" s="407">
        <v>0</v>
      </c>
      <c r="EG238" s="407">
        <v>0</v>
      </c>
      <c r="EH238" s="407">
        <v>0</v>
      </c>
      <c r="EI238" s="407">
        <v>0</v>
      </c>
      <c r="EJ238" s="407">
        <v>0</v>
      </c>
      <c r="EK238" s="407">
        <v>0</v>
      </c>
      <c r="EL238" s="407">
        <v>0</v>
      </c>
      <c r="EM238" s="407">
        <v>0</v>
      </c>
      <c r="EN238" s="407">
        <v>0</v>
      </c>
      <c r="EO238" s="407">
        <v>0</v>
      </c>
      <c r="EP238" s="407">
        <v>5.870839944126601</v>
      </c>
      <c r="EQ238" s="407">
        <v>0</v>
      </c>
      <c r="ER238" s="407">
        <v>0</v>
      </c>
      <c r="ES238" s="407">
        <v>0</v>
      </c>
      <c r="ET238" s="407">
        <v>0</v>
      </c>
      <c r="EU238" s="407">
        <v>0</v>
      </c>
      <c r="EV238" s="407">
        <v>246</v>
      </c>
      <c r="EW238" s="407">
        <v>0</v>
      </c>
      <c r="EX238" s="407">
        <v>0</v>
      </c>
      <c r="EY238" s="407">
        <v>0</v>
      </c>
      <c r="EZ238" s="407"/>
      <c r="FA238" s="407">
        <v>0</v>
      </c>
      <c r="FB238" s="407"/>
      <c r="FC238" s="407"/>
      <c r="FD238" s="407"/>
      <c r="FE238" s="407"/>
      <c r="FF238" s="407">
        <v>0</v>
      </c>
      <c r="FG238" s="407">
        <v>0</v>
      </c>
      <c r="FH238" s="407">
        <v>0</v>
      </c>
      <c r="FI238" s="407">
        <v>0</v>
      </c>
    </row>
    <row r="239" spans="1:165">
      <c r="A239" s="407">
        <v>250</v>
      </c>
      <c r="B239" s="407" t="s">
        <v>1090</v>
      </c>
      <c r="C239" s="407" t="s">
        <v>2306</v>
      </c>
      <c r="D239" s="407" t="s">
        <v>2315</v>
      </c>
      <c r="E239" s="407" t="s">
        <v>1026</v>
      </c>
      <c r="F239" s="407" t="s">
        <v>2323</v>
      </c>
      <c r="G239" s="407" t="s">
        <v>2325</v>
      </c>
      <c r="H239" s="407" t="s">
        <v>97</v>
      </c>
      <c r="I239" s="407" t="s">
        <v>97</v>
      </c>
      <c r="J239" s="407" t="s">
        <v>2307</v>
      </c>
      <c r="K239" s="818">
        <v>44470</v>
      </c>
      <c r="L239" s="407">
        <v>0</v>
      </c>
      <c r="M239" s="407">
        <v>0</v>
      </c>
      <c r="N239" s="407">
        <v>2.403</v>
      </c>
      <c r="O239" s="407">
        <v>0.96120000000000005</v>
      </c>
      <c r="P239" s="407">
        <v>2.403</v>
      </c>
      <c r="Q239" s="407">
        <v>0.96120000000000005</v>
      </c>
      <c r="R239" s="407"/>
      <c r="S239" s="407">
        <v>648.44000000000005</v>
      </c>
      <c r="T239" s="407">
        <v>159.41</v>
      </c>
      <c r="U239" s="407"/>
      <c r="V239" s="407">
        <v>1941.2635500000001</v>
      </c>
      <c r="W239" s="407">
        <v>1941.2635500000001</v>
      </c>
      <c r="X239" s="407">
        <v>1470.20346</v>
      </c>
      <c r="Y239" s="407">
        <v>0</v>
      </c>
      <c r="Z239" s="407">
        <v>148.91451226390612</v>
      </c>
      <c r="AA239" s="407">
        <v>0</v>
      </c>
      <c r="AB239" s="407">
        <v>0</v>
      </c>
      <c r="AC239" s="407">
        <v>0</v>
      </c>
      <c r="AD239" s="407">
        <v>280.29655618723416</v>
      </c>
      <c r="AE239" s="407">
        <v>1003.3630158613461</v>
      </c>
      <c r="AF239" s="407">
        <v>370.61641226160089</v>
      </c>
      <c r="AG239" s="407">
        <v>12.451738613180037</v>
      </c>
      <c r="AH239" s="407">
        <v>0</v>
      </c>
      <c r="AI239" s="407">
        <v>0</v>
      </c>
      <c r="AJ239" s="407">
        <v>0</v>
      </c>
      <c r="AK239" s="407">
        <v>0</v>
      </c>
      <c r="AL239" s="407">
        <v>23.01126100783334</v>
      </c>
      <c r="AM239" s="407"/>
      <c r="AN239" s="407">
        <v>4.986454824069499</v>
      </c>
      <c r="AO239" s="407">
        <v>0</v>
      </c>
      <c r="AP239" s="407">
        <v>0</v>
      </c>
      <c r="AQ239" s="407">
        <v>0</v>
      </c>
      <c r="AR239" s="407">
        <v>0</v>
      </c>
      <c r="AS239" s="407">
        <v>0</v>
      </c>
      <c r="AT239" s="407">
        <v>0</v>
      </c>
      <c r="AU239" s="407">
        <v>0</v>
      </c>
      <c r="AV239" s="407">
        <v>0</v>
      </c>
      <c r="AW239" s="407">
        <v>0</v>
      </c>
      <c r="AX239" s="407">
        <v>0</v>
      </c>
      <c r="AY239" s="407">
        <v>0</v>
      </c>
      <c r="AZ239" s="407">
        <v>0</v>
      </c>
      <c r="BA239" s="407"/>
      <c r="BB239" s="407">
        <v>0</v>
      </c>
      <c r="BC239" s="407">
        <v>0</v>
      </c>
      <c r="BD239" s="407">
        <v>0</v>
      </c>
      <c r="BE239" s="407">
        <v>0</v>
      </c>
      <c r="BF239" s="407">
        <v>0</v>
      </c>
      <c r="BG239" s="407">
        <v>27.090876270278208</v>
      </c>
      <c r="BH239" s="407">
        <v>0</v>
      </c>
      <c r="BI239" s="407">
        <v>0</v>
      </c>
      <c r="BJ239" s="407">
        <v>0</v>
      </c>
      <c r="BK239" s="407">
        <v>0</v>
      </c>
      <c r="BL239" s="407">
        <v>0</v>
      </c>
      <c r="BM239" s="407"/>
      <c r="BN239" s="407"/>
      <c r="BO239" s="407"/>
      <c r="BP239" s="407"/>
      <c r="BQ239" s="407"/>
      <c r="BR239" s="407"/>
      <c r="BS239" s="407">
        <v>952.69338000000016</v>
      </c>
      <c r="BT239" s="407"/>
      <c r="BU239" s="407"/>
      <c r="BV239" s="407">
        <v>397.7072885318791</v>
      </c>
      <c r="BW239" s="407"/>
      <c r="BX239" s="407"/>
      <c r="BY239" s="407"/>
      <c r="BZ239" s="407"/>
      <c r="CA239" s="407"/>
      <c r="CB239" s="407"/>
      <c r="CC239" s="407"/>
      <c r="CD239" s="407"/>
      <c r="CE239" s="407"/>
      <c r="CF239" s="407"/>
      <c r="CG239" s="407"/>
      <c r="CH239" s="407"/>
      <c r="CI239" s="407">
        <v>516.86399999999992</v>
      </c>
      <c r="CJ239" s="407">
        <v>-166.49269200000003</v>
      </c>
      <c r="CK239" s="407"/>
      <c r="CL239" s="407"/>
      <c r="CM239" s="407"/>
      <c r="CN239" s="407"/>
      <c r="CO239" s="407">
        <v>-537.07050000000015</v>
      </c>
      <c r="CP239" s="407">
        <v>66.010409999999993</v>
      </c>
      <c r="CQ239" s="407">
        <v>31</v>
      </c>
      <c r="CR239" s="407">
        <v>41.461405291627216</v>
      </c>
      <c r="CS239" s="407">
        <v>0</v>
      </c>
      <c r="CT239" s="407">
        <v>0</v>
      </c>
      <c r="CU239" s="407">
        <v>0</v>
      </c>
      <c r="CV239" s="407">
        <v>0</v>
      </c>
      <c r="CW239" s="407">
        <v>0</v>
      </c>
      <c r="CX239" s="407">
        <v>0</v>
      </c>
      <c r="CY239" s="407">
        <v>0</v>
      </c>
      <c r="CZ239" s="407">
        <v>12.661551217801559</v>
      </c>
      <c r="DA239" s="407">
        <v>0</v>
      </c>
      <c r="DB239" s="407">
        <v>0</v>
      </c>
      <c r="DC239" s="407">
        <v>73.48322611300722</v>
      </c>
      <c r="DD239" s="407">
        <v>0</v>
      </c>
      <c r="DE239" s="407">
        <v>0</v>
      </c>
      <c r="DF239" s="407">
        <v>0</v>
      </c>
      <c r="DG239" s="407">
        <v>5.3713891795034812</v>
      </c>
      <c r="DH239" s="407">
        <v>0</v>
      </c>
      <c r="DI239" s="407">
        <v>-10.430266209564167</v>
      </c>
      <c r="DJ239" s="407"/>
      <c r="DK239" s="407">
        <v>0</v>
      </c>
      <c r="DL239" s="407">
        <v>0</v>
      </c>
      <c r="DM239" s="407">
        <v>0</v>
      </c>
      <c r="DN239" s="407">
        <v>0</v>
      </c>
      <c r="DO239" s="407">
        <v>-1.4039487186435764</v>
      </c>
      <c r="DP239" s="407">
        <v>-0.31772486307570347</v>
      </c>
      <c r="DQ239" s="407">
        <v>0</v>
      </c>
      <c r="DR239" s="407">
        <v>-37.902821427401776</v>
      </c>
      <c r="DS239" s="407"/>
      <c r="DT239" s="407"/>
      <c r="DU239" s="407"/>
      <c r="DV239" s="407">
        <v>1003.3630158613461</v>
      </c>
      <c r="DW239" s="407">
        <v>0</v>
      </c>
      <c r="DX239" s="407">
        <v>0</v>
      </c>
      <c r="DY239" s="407">
        <v>-537.07050000000015</v>
      </c>
      <c r="DZ239" s="407">
        <v>66.010409999999979</v>
      </c>
      <c r="EA239" s="407">
        <v>0</v>
      </c>
      <c r="EB239" s="407">
        <v>0</v>
      </c>
      <c r="EC239" s="407">
        <v>-512.52015893634984</v>
      </c>
      <c r="ED239" s="407">
        <v>0</v>
      </c>
      <c r="EE239" s="407">
        <v>0</v>
      </c>
      <c r="EF239" s="407">
        <v>0</v>
      </c>
      <c r="EG239" s="407">
        <v>0</v>
      </c>
      <c r="EH239" s="407">
        <v>0</v>
      </c>
      <c r="EI239" s="407">
        <v>0</v>
      </c>
      <c r="EJ239" s="407">
        <v>0</v>
      </c>
      <c r="EK239" s="407">
        <v>0</v>
      </c>
      <c r="EL239" s="407">
        <v>0</v>
      </c>
      <c r="EM239" s="407">
        <v>0</v>
      </c>
      <c r="EN239" s="407">
        <v>0</v>
      </c>
      <c r="EO239" s="407">
        <v>0</v>
      </c>
      <c r="EP239" s="407">
        <v>70.5381419286811</v>
      </c>
      <c r="EQ239" s="407">
        <v>0</v>
      </c>
      <c r="ER239" s="407">
        <v>0</v>
      </c>
      <c r="ES239" s="407">
        <v>0</v>
      </c>
      <c r="ET239" s="407">
        <v>0</v>
      </c>
      <c r="EU239" s="407">
        <v>0</v>
      </c>
      <c r="EV239" s="407">
        <v>246</v>
      </c>
      <c r="EW239" s="407">
        <v>0</v>
      </c>
      <c r="EX239" s="407">
        <v>0</v>
      </c>
      <c r="EY239" s="407">
        <v>0</v>
      </c>
      <c r="EZ239" s="407"/>
      <c r="FA239" s="407">
        <v>0</v>
      </c>
      <c r="FB239" s="407"/>
      <c r="FC239" s="407"/>
      <c r="FD239" s="407"/>
      <c r="FE239" s="407"/>
      <c r="FF239" s="407">
        <v>0</v>
      </c>
      <c r="FG239" s="407">
        <v>0</v>
      </c>
      <c r="FH239" s="407">
        <v>0</v>
      </c>
      <c r="FI239" s="407">
        <v>0</v>
      </c>
    </row>
    <row r="240" spans="1:165">
      <c r="A240" s="407">
        <v>252</v>
      </c>
      <c r="B240" s="407" t="s">
        <v>1090</v>
      </c>
      <c r="C240" s="407" t="s">
        <v>2314</v>
      </c>
      <c r="D240" s="407" t="s">
        <v>650</v>
      </c>
      <c r="E240" s="407" t="s">
        <v>1026</v>
      </c>
      <c r="F240" s="407" t="s">
        <v>2323</v>
      </c>
      <c r="G240" s="407" t="s">
        <v>97</v>
      </c>
      <c r="H240" s="407" t="s">
        <v>97</v>
      </c>
      <c r="I240" s="407" t="s">
        <v>1025</v>
      </c>
      <c r="J240" s="407" t="s">
        <v>2307</v>
      </c>
      <c r="K240" s="818">
        <v>44470</v>
      </c>
      <c r="L240" s="407">
        <v>0</v>
      </c>
      <c r="M240" s="407">
        <v>0</v>
      </c>
      <c r="N240" s="407">
        <v>3.6760000000000002</v>
      </c>
      <c r="O240" s="407">
        <v>3.5289600000000001</v>
      </c>
      <c r="P240" s="407">
        <v>3.6760000000000002</v>
      </c>
      <c r="Q240" s="407">
        <v>3.5289600000000001</v>
      </c>
      <c r="R240" s="407"/>
      <c r="S240" s="407">
        <v>2810.7</v>
      </c>
      <c r="T240" s="407">
        <v>159.41</v>
      </c>
      <c r="U240" s="407"/>
      <c r="V240" s="407">
        <v>10918.12436</v>
      </c>
      <c r="W240" s="407">
        <v>10918.12436</v>
      </c>
      <c r="X240" s="407">
        <v>6953.8524399999997</v>
      </c>
      <c r="Y240" s="407">
        <v>0</v>
      </c>
      <c r="Z240" s="407">
        <v>198.18829794483693</v>
      </c>
      <c r="AA240" s="407">
        <v>0</v>
      </c>
      <c r="AB240" s="407">
        <v>0</v>
      </c>
      <c r="AC240" s="407">
        <v>0</v>
      </c>
      <c r="AD240" s="407">
        <v>2244.2553212894468</v>
      </c>
      <c r="AE240" s="407">
        <v>7737.5716114382585</v>
      </c>
      <c r="AF240" s="407">
        <v>566.95211463738872</v>
      </c>
      <c r="AG240" s="407">
        <v>19.048102847294974</v>
      </c>
      <c r="AH240" s="407">
        <v>0</v>
      </c>
      <c r="AI240" s="407">
        <v>0</v>
      </c>
      <c r="AJ240" s="407">
        <v>0</v>
      </c>
      <c r="AK240" s="407">
        <v>0</v>
      </c>
      <c r="AL240" s="407">
        <v>35.201579469328074</v>
      </c>
      <c r="AM240" s="407"/>
      <c r="AN240" s="407">
        <v>3.947043918888832</v>
      </c>
      <c r="AO240" s="407">
        <v>0</v>
      </c>
      <c r="AP240" s="407">
        <v>0</v>
      </c>
      <c r="AQ240" s="407">
        <v>0</v>
      </c>
      <c r="AR240" s="407">
        <v>0</v>
      </c>
      <c r="AS240" s="407">
        <v>0</v>
      </c>
      <c r="AT240" s="407">
        <v>0</v>
      </c>
      <c r="AU240" s="407">
        <v>0</v>
      </c>
      <c r="AV240" s="407">
        <v>0</v>
      </c>
      <c r="AW240" s="407">
        <v>0</v>
      </c>
      <c r="AX240" s="407">
        <v>0</v>
      </c>
      <c r="AY240" s="407">
        <v>0</v>
      </c>
      <c r="AZ240" s="407">
        <v>0</v>
      </c>
      <c r="BA240" s="407"/>
      <c r="BB240" s="407">
        <v>0</v>
      </c>
      <c r="BC240" s="407">
        <v>0</v>
      </c>
      <c r="BD240" s="407">
        <v>0</v>
      </c>
      <c r="BE240" s="407">
        <v>0</v>
      </c>
      <c r="BF240" s="407">
        <v>0</v>
      </c>
      <c r="BG240" s="407">
        <v>19.077978143462818</v>
      </c>
      <c r="BH240" s="407">
        <v>0</v>
      </c>
      <c r="BI240" s="407">
        <v>0</v>
      </c>
      <c r="BJ240" s="407">
        <v>0</v>
      </c>
      <c r="BK240" s="407">
        <v>0</v>
      </c>
      <c r="BL240" s="407">
        <v>0</v>
      </c>
      <c r="BM240" s="407"/>
      <c r="BN240" s="407"/>
      <c r="BO240" s="407"/>
      <c r="BP240" s="407"/>
      <c r="BQ240" s="407"/>
      <c r="BR240" s="407">
        <v>278.15409760000011</v>
      </c>
      <c r="BS240" s="407"/>
      <c r="BT240" s="407"/>
      <c r="BU240" s="407"/>
      <c r="BV240" s="407">
        <v>586.03009278085153</v>
      </c>
      <c r="BW240" s="407"/>
      <c r="BX240" s="407"/>
      <c r="BY240" s="407"/>
      <c r="BZ240" s="407"/>
      <c r="CA240" s="407"/>
      <c r="CB240" s="407"/>
      <c r="CC240" s="407"/>
      <c r="CD240" s="407"/>
      <c r="CE240" s="407"/>
      <c r="CF240" s="407"/>
      <c r="CG240" s="407"/>
      <c r="CH240" s="407"/>
      <c r="CI240" s="407">
        <v>6677.6656999999987</v>
      </c>
      <c r="CJ240" s="407">
        <v>-3803.7636856000017</v>
      </c>
      <c r="CK240" s="407"/>
      <c r="CL240" s="407"/>
      <c r="CM240" s="407"/>
      <c r="CN240" s="407"/>
      <c r="CO240" s="407">
        <v>-4065.2516399999995</v>
      </c>
      <c r="CP240" s="407">
        <v>100.97972</v>
      </c>
      <c r="CQ240" s="407">
        <v>31</v>
      </c>
      <c r="CR240" s="407">
        <v>-11.883026553403852</v>
      </c>
      <c r="CS240" s="407">
        <v>0</v>
      </c>
      <c r="CT240" s="407">
        <v>0</v>
      </c>
      <c r="CU240" s="407">
        <v>0</v>
      </c>
      <c r="CV240" s="407">
        <v>0</v>
      </c>
      <c r="CW240" s="407">
        <v>0</v>
      </c>
      <c r="CX240" s="407">
        <v>0</v>
      </c>
      <c r="CY240" s="407">
        <v>0</v>
      </c>
      <c r="CZ240" s="407">
        <v>101.37746279461453</v>
      </c>
      <c r="DA240" s="407">
        <v>0</v>
      </c>
      <c r="DB240" s="407">
        <v>0</v>
      </c>
      <c r="DC240" s="407">
        <v>112.41129387907381</v>
      </c>
      <c r="DD240" s="407">
        <v>0</v>
      </c>
      <c r="DE240" s="407">
        <v>0</v>
      </c>
      <c r="DF240" s="407">
        <v>0</v>
      </c>
      <c r="DG240" s="407">
        <v>3.7826478680214173</v>
      </c>
      <c r="DH240" s="407">
        <v>0</v>
      </c>
      <c r="DI240" s="407">
        <v>-13.881499363350628</v>
      </c>
      <c r="DJ240" s="407"/>
      <c r="DK240" s="407">
        <v>0</v>
      </c>
      <c r="DL240" s="407">
        <v>0</v>
      </c>
      <c r="DM240" s="407">
        <v>0</v>
      </c>
      <c r="DN240" s="407">
        <v>0</v>
      </c>
      <c r="DO240" s="407">
        <v>-2.1476968330144786</v>
      </c>
      <c r="DP240" s="407">
        <v>-0.25149610954646073</v>
      </c>
      <c r="DQ240" s="407">
        <v>0</v>
      </c>
      <c r="DR240" s="407">
        <v>-213.17373878920148</v>
      </c>
      <c r="DS240" s="407"/>
      <c r="DT240" s="407"/>
      <c r="DU240" s="407"/>
      <c r="DV240" s="407">
        <v>7737.5716114382585</v>
      </c>
      <c r="DW240" s="407">
        <v>0</v>
      </c>
      <c r="DX240" s="407">
        <v>0</v>
      </c>
      <c r="DY240" s="407">
        <v>-4065.2516400000004</v>
      </c>
      <c r="DZ240" s="407">
        <v>100.97971999999993</v>
      </c>
      <c r="EA240" s="407">
        <v>0</v>
      </c>
      <c r="EB240" s="407">
        <v>0</v>
      </c>
      <c r="EC240" s="407">
        <v>-3952.3695505871783</v>
      </c>
      <c r="ED240" s="407">
        <v>0</v>
      </c>
      <c r="EE240" s="407">
        <v>0</v>
      </c>
      <c r="EF240" s="407">
        <v>0</v>
      </c>
      <c r="EG240" s="407">
        <v>0</v>
      </c>
      <c r="EH240" s="407">
        <v>0</v>
      </c>
      <c r="EI240" s="407">
        <v>0</v>
      </c>
      <c r="EJ240" s="407">
        <v>0</v>
      </c>
      <c r="EK240" s="407">
        <v>0</v>
      </c>
      <c r="EL240" s="407">
        <v>0</v>
      </c>
      <c r="EM240" s="407">
        <v>0</v>
      </c>
      <c r="EN240" s="407">
        <v>0</v>
      </c>
      <c r="EO240" s="407">
        <v>0</v>
      </c>
      <c r="EP240" s="407">
        <v>93.878253210550767</v>
      </c>
      <c r="EQ240" s="407">
        <v>0</v>
      </c>
      <c r="ER240" s="407">
        <v>0</v>
      </c>
      <c r="ES240" s="407">
        <v>0</v>
      </c>
      <c r="ET240" s="407">
        <v>0</v>
      </c>
      <c r="EU240" s="407">
        <v>0</v>
      </c>
      <c r="EV240" s="407">
        <v>246</v>
      </c>
      <c r="EW240" s="407">
        <v>0</v>
      </c>
      <c r="EX240" s="407">
        <v>0</v>
      </c>
      <c r="EY240" s="407">
        <v>0</v>
      </c>
      <c r="EZ240" s="407"/>
      <c r="FA240" s="407">
        <v>0</v>
      </c>
      <c r="FB240" s="407"/>
      <c r="FC240" s="407"/>
      <c r="FD240" s="407"/>
      <c r="FE240" s="407"/>
      <c r="FF240" s="407">
        <v>0</v>
      </c>
      <c r="FG240" s="407">
        <v>0</v>
      </c>
      <c r="FH240" s="407">
        <v>0</v>
      </c>
      <c r="FI240" s="407">
        <v>0</v>
      </c>
    </row>
    <row r="241" spans="1:165">
      <c r="A241" s="407">
        <v>254</v>
      </c>
      <c r="B241" s="407" t="s">
        <v>1090</v>
      </c>
      <c r="C241" s="407" t="s">
        <v>2314</v>
      </c>
      <c r="D241" s="407" t="s">
        <v>650</v>
      </c>
      <c r="E241" s="407" t="s">
        <v>1026</v>
      </c>
      <c r="F241" s="407" t="s">
        <v>2323</v>
      </c>
      <c r="G241" s="407" t="s">
        <v>97</v>
      </c>
      <c r="H241" s="407" t="s">
        <v>97</v>
      </c>
      <c r="I241" s="407" t="s">
        <v>2290</v>
      </c>
      <c r="J241" s="407" t="s">
        <v>2307</v>
      </c>
      <c r="K241" s="818">
        <v>44470</v>
      </c>
      <c r="L241" s="407">
        <v>0</v>
      </c>
      <c r="M241" s="407">
        <v>0</v>
      </c>
      <c r="N241" s="407">
        <v>49.408999999999999</v>
      </c>
      <c r="O241" s="407">
        <v>47.432639999999999</v>
      </c>
      <c r="P241" s="407">
        <v>49.408999999999999</v>
      </c>
      <c r="Q241" s="407">
        <v>47.432639999999999</v>
      </c>
      <c r="R241" s="407"/>
      <c r="S241" s="407">
        <v>95.29</v>
      </c>
      <c r="T241" s="407">
        <v>159.41</v>
      </c>
      <c r="U241" s="407"/>
      <c r="V241" s="407">
        <v>12584.472299999999</v>
      </c>
      <c r="W241" s="407">
        <v>12584.472299999999</v>
      </c>
      <c r="X241" s="407">
        <v>13681.84619</v>
      </c>
      <c r="Y241" s="407">
        <v>0</v>
      </c>
      <c r="Z241" s="407">
        <v>2663.8426586388596</v>
      </c>
      <c r="AA241" s="407">
        <v>0</v>
      </c>
      <c r="AB241" s="407">
        <v>0</v>
      </c>
      <c r="AC241" s="407">
        <v>0</v>
      </c>
      <c r="AD241" s="407">
        <v>0</v>
      </c>
      <c r="AE241" s="407">
        <v>0</v>
      </c>
      <c r="AF241" s="407">
        <v>7620.3854820780016</v>
      </c>
      <c r="AG241" s="407">
        <v>256.02494928781209</v>
      </c>
      <c r="AH241" s="407">
        <v>0</v>
      </c>
      <c r="AI241" s="407">
        <v>0</v>
      </c>
      <c r="AJ241" s="407">
        <v>0</v>
      </c>
      <c r="AK241" s="407">
        <v>0</v>
      </c>
      <c r="AL241" s="407">
        <v>473.14331882481792</v>
      </c>
      <c r="AM241" s="407"/>
      <c r="AN241" s="407">
        <v>53.052092760712263</v>
      </c>
      <c r="AO241" s="407">
        <v>0</v>
      </c>
      <c r="AP241" s="407">
        <v>0</v>
      </c>
      <c r="AQ241" s="407">
        <v>0</v>
      </c>
      <c r="AR241" s="407">
        <v>0</v>
      </c>
      <c r="AS241" s="407">
        <v>0</v>
      </c>
      <c r="AT241" s="407">
        <v>0</v>
      </c>
      <c r="AU241" s="407">
        <v>0</v>
      </c>
      <c r="AV241" s="407">
        <v>0</v>
      </c>
      <c r="AW241" s="407">
        <v>0</v>
      </c>
      <c r="AX241" s="407">
        <v>0</v>
      </c>
      <c r="AY241" s="407">
        <v>0</v>
      </c>
      <c r="AZ241" s="407">
        <v>0</v>
      </c>
      <c r="BA241" s="407"/>
      <c r="BB241" s="407">
        <v>0</v>
      </c>
      <c r="BC241" s="407">
        <v>0</v>
      </c>
      <c r="BD241" s="407">
        <v>0</v>
      </c>
      <c r="BE241" s="407">
        <v>0</v>
      </c>
      <c r="BF241" s="407">
        <v>0</v>
      </c>
      <c r="BG241" s="407">
        <v>256.42650220085807</v>
      </c>
      <c r="BH241" s="407">
        <v>0</v>
      </c>
      <c r="BI241" s="407">
        <v>0</v>
      </c>
      <c r="BJ241" s="407">
        <v>0</v>
      </c>
      <c r="BK241" s="407">
        <v>0</v>
      </c>
      <c r="BL241" s="407">
        <v>0</v>
      </c>
      <c r="BM241" s="407"/>
      <c r="BN241" s="407"/>
      <c r="BO241" s="407"/>
      <c r="BP241" s="407"/>
      <c r="BQ241" s="407"/>
      <c r="BR241" s="407">
        <v>547.27384759999995</v>
      </c>
      <c r="BS241" s="407"/>
      <c r="BT241" s="407"/>
      <c r="BU241" s="407"/>
      <c r="BV241" s="407">
        <v>7876.8119842788601</v>
      </c>
      <c r="BW241" s="407"/>
      <c r="BX241" s="407"/>
      <c r="BY241" s="407"/>
      <c r="BZ241" s="407"/>
      <c r="CA241" s="407"/>
      <c r="CB241" s="407"/>
      <c r="CC241" s="407"/>
      <c r="CD241" s="407"/>
      <c r="CE241" s="407"/>
      <c r="CF241" s="407"/>
      <c r="CG241" s="407"/>
      <c r="CH241" s="407"/>
      <c r="CI241" s="407">
        <v>13133.8413</v>
      </c>
      <c r="CJ241" s="407">
        <v>1052.7178919999988</v>
      </c>
      <c r="CK241" s="407"/>
      <c r="CL241" s="407"/>
      <c r="CM241" s="407"/>
      <c r="CN241" s="407"/>
      <c r="CO241" s="407">
        <v>-259.89134000000024</v>
      </c>
      <c r="CP241" s="407">
        <v>1357.26523</v>
      </c>
      <c r="CQ241" s="407">
        <v>31</v>
      </c>
      <c r="CR241" s="407">
        <v>1097.2177185063028</v>
      </c>
      <c r="CS241" s="407">
        <v>0</v>
      </c>
      <c r="CT241" s="407">
        <v>0</v>
      </c>
      <c r="CU241" s="407">
        <v>0</v>
      </c>
      <c r="CV241" s="407">
        <v>0</v>
      </c>
      <c r="CW241" s="407">
        <v>0</v>
      </c>
      <c r="CX241" s="407">
        <v>0</v>
      </c>
      <c r="CY241" s="407">
        <v>0</v>
      </c>
      <c r="CZ241" s="407">
        <v>0</v>
      </c>
      <c r="DA241" s="407">
        <v>0</v>
      </c>
      <c r="DB241" s="407">
        <v>0</v>
      </c>
      <c r="DC241" s="407">
        <v>1510.91665377344</v>
      </c>
      <c r="DD241" s="407">
        <v>0</v>
      </c>
      <c r="DE241" s="407">
        <v>0</v>
      </c>
      <c r="DF241" s="407">
        <v>0</v>
      </c>
      <c r="DG241" s="407">
        <v>50.842450628691552</v>
      </c>
      <c r="DH241" s="407">
        <v>0</v>
      </c>
      <c r="DI241" s="407">
        <v>-186.58079489765805</v>
      </c>
      <c r="DJ241" s="407"/>
      <c r="DK241" s="407">
        <v>0</v>
      </c>
      <c r="DL241" s="407">
        <v>0</v>
      </c>
      <c r="DM241" s="407">
        <v>0</v>
      </c>
      <c r="DN241" s="407">
        <v>0</v>
      </c>
      <c r="DO241" s="407">
        <v>-28.867125359742147</v>
      </c>
      <c r="DP241" s="407">
        <v>-3.3803512721928897</v>
      </c>
      <c r="DQ241" s="407">
        <v>0</v>
      </c>
      <c r="DR241" s="407">
        <v>-245.713114366235</v>
      </c>
      <c r="DS241" s="407"/>
      <c r="DT241" s="407"/>
      <c r="DU241" s="407"/>
      <c r="DV241" s="407">
        <v>0</v>
      </c>
      <c r="DW241" s="407">
        <v>0</v>
      </c>
      <c r="DX241" s="407">
        <v>0</v>
      </c>
      <c r="DY241" s="407">
        <v>-259.89134000000013</v>
      </c>
      <c r="DZ241" s="407">
        <v>1357.2652300000009</v>
      </c>
      <c r="EA241" s="407">
        <v>0</v>
      </c>
      <c r="EB241" s="407">
        <v>0</v>
      </c>
      <c r="EC241" s="407">
        <v>0</v>
      </c>
      <c r="ED241" s="407">
        <v>0</v>
      </c>
      <c r="EE241" s="407">
        <v>0</v>
      </c>
      <c r="EF241" s="407">
        <v>0</v>
      </c>
      <c r="EG241" s="407">
        <v>0</v>
      </c>
      <c r="EH241" s="407">
        <v>0</v>
      </c>
      <c r="EI241" s="407">
        <v>0</v>
      </c>
      <c r="EJ241" s="407">
        <v>0</v>
      </c>
      <c r="EK241" s="407">
        <v>0</v>
      </c>
      <c r="EL241" s="407">
        <v>0</v>
      </c>
      <c r="EM241" s="407">
        <v>0</v>
      </c>
      <c r="EN241" s="407">
        <v>0</v>
      </c>
      <c r="EO241" s="407">
        <v>0</v>
      </c>
      <c r="EP241" s="407">
        <v>1261.8146389771771</v>
      </c>
      <c r="EQ241" s="407">
        <v>0</v>
      </c>
      <c r="ER241" s="407">
        <v>0</v>
      </c>
      <c r="ES241" s="407">
        <v>0</v>
      </c>
      <c r="ET241" s="407">
        <v>0</v>
      </c>
      <c r="EU241" s="407">
        <v>0</v>
      </c>
      <c r="EV241" s="407">
        <v>246</v>
      </c>
      <c r="EW241" s="407">
        <v>0</v>
      </c>
      <c r="EX241" s="407">
        <v>0</v>
      </c>
      <c r="EY241" s="407">
        <v>0</v>
      </c>
      <c r="EZ241" s="407"/>
      <c r="FA241" s="407">
        <v>0</v>
      </c>
      <c r="FB241" s="407"/>
      <c r="FC241" s="407"/>
      <c r="FD241" s="407"/>
      <c r="FE241" s="407"/>
      <c r="FF241" s="407">
        <v>0</v>
      </c>
      <c r="FG241" s="407">
        <v>0</v>
      </c>
      <c r="FH241" s="407">
        <v>0</v>
      </c>
      <c r="FI241" s="407">
        <v>0</v>
      </c>
    </row>
    <row r="242" spans="1:165">
      <c r="A242" s="407">
        <v>256</v>
      </c>
      <c r="B242" s="407" t="s">
        <v>1090</v>
      </c>
      <c r="C242" s="407" t="s">
        <v>2314</v>
      </c>
      <c r="D242" s="407" t="s">
        <v>650</v>
      </c>
      <c r="E242" s="407" t="s">
        <v>1026</v>
      </c>
      <c r="F242" s="407" t="s">
        <v>2323</v>
      </c>
      <c r="G242" s="407" t="s">
        <v>97</v>
      </c>
      <c r="H242" s="407" t="s">
        <v>97</v>
      </c>
      <c r="I242" s="407" t="s">
        <v>97</v>
      </c>
      <c r="J242" s="407" t="s">
        <v>2307</v>
      </c>
      <c r="K242" s="818">
        <v>44470</v>
      </c>
      <c r="L242" s="407">
        <v>3291</v>
      </c>
      <c r="M242" s="407">
        <v>3159.36</v>
      </c>
      <c r="N242" s="407">
        <v>0</v>
      </c>
      <c r="O242" s="407">
        <v>0</v>
      </c>
      <c r="P242" s="407">
        <v>0</v>
      </c>
      <c r="Q242" s="407">
        <v>0</v>
      </c>
      <c r="R242" s="407">
        <v>43.29</v>
      </c>
      <c r="S242" s="407"/>
      <c r="T242" s="407"/>
      <c r="U242" s="407">
        <v>142467.38999999998</v>
      </c>
      <c r="V242" s="407"/>
      <c r="W242" s="407">
        <v>142467.38999999998</v>
      </c>
      <c r="X242" s="407">
        <v>110215.59000000001</v>
      </c>
      <c r="Y242" s="407">
        <v>0</v>
      </c>
      <c r="Z242" s="407">
        <v>0</v>
      </c>
      <c r="AA242" s="407">
        <v>0</v>
      </c>
      <c r="AB242" s="407">
        <v>0</v>
      </c>
      <c r="AC242" s="407">
        <v>0</v>
      </c>
      <c r="AD242" s="407">
        <v>77878.181738419458</v>
      </c>
      <c r="AE242" s="407">
        <v>64599.654760486934</v>
      </c>
      <c r="AF242" s="407"/>
      <c r="AG242" s="407"/>
      <c r="AH242" s="407"/>
      <c r="AI242" s="407">
        <v>0</v>
      </c>
      <c r="AJ242" s="407">
        <v>0</v>
      </c>
      <c r="AK242" s="407">
        <v>0</v>
      </c>
      <c r="AL242" s="407">
        <v>0</v>
      </c>
      <c r="AM242" s="407"/>
      <c r="AN242" s="407">
        <v>0</v>
      </c>
      <c r="AO242" s="407">
        <v>0</v>
      </c>
      <c r="AP242" s="407">
        <v>0</v>
      </c>
      <c r="AQ242" s="407">
        <v>0</v>
      </c>
      <c r="AR242" s="407">
        <v>0</v>
      </c>
      <c r="AS242" s="407"/>
      <c r="AT242" s="407"/>
      <c r="AU242" s="407">
        <v>0</v>
      </c>
      <c r="AV242" s="407">
        <v>0</v>
      </c>
      <c r="AW242" s="407">
        <v>0</v>
      </c>
      <c r="AX242" s="407"/>
      <c r="AY242" s="407"/>
      <c r="AZ242" s="407">
        <v>0</v>
      </c>
      <c r="BA242" s="407"/>
      <c r="BB242" s="407">
        <v>0</v>
      </c>
      <c r="BC242" s="407">
        <v>0</v>
      </c>
      <c r="BD242" s="407">
        <v>0</v>
      </c>
      <c r="BE242" s="407">
        <v>0</v>
      </c>
      <c r="BF242" s="407"/>
      <c r="BG242" s="407">
        <v>0</v>
      </c>
      <c r="BH242" s="407">
        <v>0</v>
      </c>
      <c r="BI242" s="407">
        <v>666.68</v>
      </c>
      <c r="BJ242" s="407">
        <v>2914</v>
      </c>
      <c r="BK242" s="407">
        <v>276.08999999999997</v>
      </c>
      <c r="BL242" s="407">
        <v>41</v>
      </c>
      <c r="BM242" s="407"/>
      <c r="BN242" s="407"/>
      <c r="BO242" s="407"/>
      <c r="BP242" s="407"/>
      <c r="BQ242" s="407"/>
      <c r="BR242" s="407">
        <v>4408.6235999999963</v>
      </c>
      <c r="BS242" s="407"/>
      <c r="BT242" s="407"/>
      <c r="BU242" s="407"/>
      <c r="BV242" s="407">
        <v>0</v>
      </c>
      <c r="BW242" s="407"/>
      <c r="BX242" s="407"/>
      <c r="BY242" s="407"/>
      <c r="BZ242" s="407"/>
      <c r="CA242" s="407"/>
      <c r="CB242" s="407"/>
      <c r="CC242" s="407"/>
      <c r="CD242" s="407"/>
      <c r="CE242" s="407"/>
      <c r="CF242" s="407"/>
      <c r="CG242" s="407"/>
      <c r="CH242" s="407"/>
      <c r="CI242" s="407">
        <v>105806.9664</v>
      </c>
      <c r="CJ242" s="407">
        <v>-30961.758000000031</v>
      </c>
      <c r="CK242" s="407"/>
      <c r="CL242" s="407"/>
      <c r="CM242" s="407"/>
      <c r="CN242" s="407"/>
      <c r="CO242" s="407">
        <v>-32251.799999999992</v>
      </c>
      <c r="CP242" s="407">
        <v>0</v>
      </c>
      <c r="CQ242" s="407">
        <v>31</v>
      </c>
      <c r="CR242" s="407">
        <v>736.06553790144972</v>
      </c>
      <c r="CS242" s="407">
        <v>0</v>
      </c>
      <c r="CT242" s="407">
        <v>0</v>
      </c>
      <c r="CU242" s="407">
        <v>0</v>
      </c>
      <c r="CV242" s="407">
        <v>0</v>
      </c>
      <c r="CW242" s="407"/>
      <c r="CX242" s="407"/>
      <c r="CY242" s="407"/>
      <c r="CZ242" s="407">
        <v>3517.9118867645011</v>
      </c>
      <c r="DA242" s="407">
        <v>0</v>
      </c>
      <c r="DB242" s="407">
        <v>0</v>
      </c>
      <c r="DC242" s="407"/>
      <c r="DD242" s="407"/>
      <c r="DE242" s="407">
        <v>0</v>
      </c>
      <c r="DF242" s="407">
        <v>0</v>
      </c>
      <c r="DG242" s="407">
        <v>0</v>
      </c>
      <c r="DH242" s="407">
        <v>0</v>
      </c>
      <c r="DI242" s="407">
        <v>0</v>
      </c>
      <c r="DJ242" s="407"/>
      <c r="DK242" s="407">
        <v>0</v>
      </c>
      <c r="DL242" s="407">
        <v>0</v>
      </c>
      <c r="DM242" s="407"/>
      <c r="DN242" s="407">
        <v>0</v>
      </c>
      <c r="DO242" s="407">
        <v>0</v>
      </c>
      <c r="DP242" s="407">
        <v>0</v>
      </c>
      <c r="DQ242" s="407">
        <v>0</v>
      </c>
      <c r="DR242" s="407">
        <v>-2781.8463488630468</v>
      </c>
      <c r="DS242" s="407"/>
      <c r="DT242" s="407"/>
      <c r="DU242" s="407">
        <v>64599.654760486934</v>
      </c>
      <c r="DV242" s="407"/>
      <c r="DW242" s="407">
        <v>0</v>
      </c>
      <c r="DX242" s="407">
        <v>0</v>
      </c>
      <c r="DY242" s="407">
        <v>-32251.799999999974</v>
      </c>
      <c r="DZ242" s="407"/>
      <c r="EA242" s="407">
        <v>0</v>
      </c>
      <c r="EB242" s="407"/>
      <c r="EC242" s="407">
        <v>-32997.653692323656</v>
      </c>
      <c r="ED242" s="407"/>
      <c r="EE242" s="407">
        <v>0</v>
      </c>
      <c r="EF242" s="407">
        <v>0</v>
      </c>
      <c r="EG242" s="407"/>
      <c r="EH242" s="407">
        <v>0</v>
      </c>
      <c r="EI242" s="407">
        <v>0</v>
      </c>
      <c r="EJ242" s="407">
        <v>0</v>
      </c>
      <c r="EK242" s="407">
        <v>0</v>
      </c>
      <c r="EL242" s="407">
        <v>0</v>
      </c>
      <c r="EM242" s="407"/>
      <c r="EN242" s="407"/>
      <c r="EO242" s="407">
        <v>0</v>
      </c>
      <c r="EP242" s="407">
        <v>0</v>
      </c>
      <c r="EQ242" s="407"/>
      <c r="ER242" s="407">
        <v>0</v>
      </c>
      <c r="ES242" s="407"/>
      <c r="ET242" s="407">
        <v>0</v>
      </c>
      <c r="EU242" s="407"/>
      <c r="EV242" s="407">
        <v>246</v>
      </c>
      <c r="EW242" s="407"/>
      <c r="EX242" s="407"/>
      <c r="EY242" s="407"/>
      <c r="EZ242" s="407"/>
      <c r="FA242" s="407">
        <v>0</v>
      </c>
      <c r="FB242" s="407"/>
      <c r="FC242" s="407"/>
      <c r="FD242" s="407"/>
      <c r="FE242" s="407"/>
      <c r="FF242" s="407">
        <v>0</v>
      </c>
      <c r="FG242" s="407">
        <v>0</v>
      </c>
      <c r="FH242" s="407">
        <v>0</v>
      </c>
      <c r="FI242" s="407">
        <v>0</v>
      </c>
    </row>
    <row r="243" spans="1:165">
      <c r="A243" s="407">
        <v>257</v>
      </c>
      <c r="B243" s="407" t="s">
        <v>2309</v>
      </c>
      <c r="C243" s="407" t="s">
        <v>2314</v>
      </c>
      <c r="D243" s="407" t="s">
        <v>650</v>
      </c>
      <c r="E243" s="407" t="s">
        <v>1026</v>
      </c>
      <c r="F243" s="407" t="s">
        <v>2323</v>
      </c>
      <c r="G243" s="407" t="s">
        <v>97</v>
      </c>
      <c r="H243" s="407" t="s">
        <v>97</v>
      </c>
      <c r="I243" s="407" t="s">
        <v>97</v>
      </c>
      <c r="J243" s="407" t="s">
        <v>2307</v>
      </c>
      <c r="K243" s="818">
        <v>44470</v>
      </c>
      <c r="L243" s="407">
        <v>244</v>
      </c>
      <c r="M243" s="407">
        <v>234.24</v>
      </c>
      <c r="N243" s="407">
        <v>0</v>
      </c>
      <c r="O243" s="407">
        <v>0</v>
      </c>
      <c r="P243" s="407">
        <v>0</v>
      </c>
      <c r="Q243" s="407">
        <v>0</v>
      </c>
      <c r="R243" s="407">
        <v>43.29</v>
      </c>
      <c r="S243" s="407"/>
      <c r="T243" s="407"/>
      <c r="U243" s="407">
        <v>10562.76</v>
      </c>
      <c r="V243" s="407"/>
      <c r="W243" s="407">
        <v>10562.76</v>
      </c>
      <c r="X243" s="407">
        <v>8171.56</v>
      </c>
      <c r="Y243" s="407">
        <v>0</v>
      </c>
      <c r="Z243" s="407">
        <v>0</v>
      </c>
      <c r="AA243" s="407">
        <v>0</v>
      </c>
      <c r="AB243" s="407">
        <v>0</v>
      </c>
      <c r="AC243" s="407">
        <v>0</v>
      </c>
      <c r="AD243" s="407">
        <v>5774.0128666588726</v>
      </c>
      <c r="AE243" s="407">
        <v>4789.5216534666706</v>
      </c>
      <c r="AF243" s="407"/>
      <c r="AG243" s="407"/>
      <c r="AH243" s="407"/>
      <c r="AI243" s="407">
        <v>0</v>
      </c>
      <c r="AJ243" s="407">
        <v>0</v>
      </c>
      <c r="AK243" s="407">
        <v>0</v>
      </c>
      <c r="AL243" s="407">
        <v>0</v>
      </c>
      <c r="AM243" s="407"/>
      <c r="AN243" s="407">
        <v>0</v>
      </c>
      <c r="AO243" s="407">
        <v>0</v>
      </c>
      <c r="AP243" s="407">
        <v>0</v>
      </c>
      <c r="AQ243" s="407">
        <v>0</v>
      </c>
      <c r="AR243" s="407">
        <v>0</v>
      </c>
      <c r="AS243" s="407"/>
      <c r="AT243" s="407"/>
      <c r="AU243" s="407">
        <v>0</v>
      </c>
      <c r="AV243" s="407">
        <v>0</v>
      </c>
      <c r="AW243" s="407">
        <v>0</v>
      </c>
      <c r="AX243" s="407"/>
      <c r="AY243" s="407"/>
      <c r="AZ243" s="407">
        <v>0</v>
      </c>
      <c r="BA243" s="407"/>
      <c r="BB243" s="407">
        <v>0</v>
      </c>
      <c r="BC243" s="407">
        <v>0</v>
      </c>
      <c r="BD243" s="407">
        <v>0</v>
      </c>
      <c r="BE243" s="407">
        <v>0</v>
      </c>
      <c r="BF243" s="407"/>
      <c r="BG243" s="407">
        <v>0</v>
      </c>
      <c r="BH243" s="407">
        <v>0</v>
      </c>
      <c r="BI243" s="407">
        <v>81.260000000000005</v>
      </c>
      <c r="BJ243" s="407">
        <v>355.14</v>
      </c>
      <c r="BK243" s="407">
        <v>15.63</v>
      </c>
      <c r="BL243" s="407">
        <v>4</v>
      </c>
      <c r="BM243" s="407"/>
      <c r="BN243" s="407"/>
      <c r="BO243" s="407"/>
      <c r="BP243" s="407"/>
      <c r="BQ243" s="407"/>
      <c r="BR243" s="407">
        <v>326.8623999999997</v>
      </c>
      <c r="BS243" s="407"/>
      <c r="BT243" s="407"/>
      <c r="BU243" s="407"/>
      <c r="BV243" s="407">
        <v>0</v>
      </c>
      <c r="BW243" s="407"/>
      <c r="BX243" s="407"/>
      <c r="BY243" s="407"/>
      <c r="BZ243" s="407"/>
      <c r="CA243" s="407"/>
      <c r="CB243" s="407"/>
      <c r="CC243" s="407"/>
      <c r="CD243" s="407"/>
      <c r="CE243" s="407"/>
      <c r="CF243" s="407"/>
      <c r="CG243" s="407"/>
      <c r="CH243" s="407"/>
      <c r="CI243" s="407">
        <v>7844.6976000000004</v>
      </c>
      <c r="CJ243" s="407">
        <v>-2295.5820000000012</v>
      </c>
      <c r="CK243" s="407"/>
      <c r="CL243" s="407"/>
      <c r="CM243" s="407"/>
      <c r="CN243" s="407"/>
      <c r="CO243" s="407">
        <v>-2391.1999999999994</v>
      </c>
      <c r="CP243" s="407">
        <v>0</v>
      </c>
      <c r="CQ243" s="407">
        <v>31</v>
      </c>
      <c r="CR243" s="407">
        <v>54.573075432376754</v>
      </c>
      <c r="CS243" s="407">
        <v>0</v>
      </c>
      <c r="CT243" s="407">
        <v>0</v>
      </c>
      <c r="CU243" s="407">
        <v>0</v>
      </c>
      <c r="CV243" s="407">
        <v>0</v>
      </c>
      <c r="CW243" s="407"/>
      <c r="CX243" s="407"/>
      <c r="CY243" s="407"/>
      <c r="CZ243" s="407">
        <v>260.82360995762247</v>
      </c>
      <c r="DA243" s="407">
        <v>0</v>
      </c>
      <c r="DB243" s="407">
        <v>0</v>
      </c>
      <c r="DC243" s="407"/>
      <c r="DD243" s="407"/>
      <c r="DE243" s="407">
        <v>0</v>
      </c>
      <c r="DF243" s="407">
        <v>0</v>
      </c>
      <c r="DG243" s="407">
        <v>0</v>
      </c>
      <c r="DH243" s="407">
        <v>0</v>
      </c>
      <c r="DI243" s="407">
        <v>0</v>
      </c>
      <c r="DJ243" s="407"/>
      <c r="DK243" s="407">
        <v>0</v>
      </c>
      <c r="DL243" s="407">
        <v>0</v>
      </c>
      <c r="DM243" s="407"/>
      <c r="DN243" s="407">
        <v>0</v>
      </c>
      <c r="DO243" s="407">
        <v>0</v>
      </c>
      <c r="DP243" s="407">
        <v>0</v>
      </c>
      <c r="DQ243" s="407">
        <v>0</v>
      </c>
      <c r="DR243" s="407">
        <v>-206.25053452524566</v>
      </c>
      <c r="DS243" s="407"/>
      <c r="DT243" s="407"/>
      <c r="DU243" s="407">
        <v>4789.5216534666706</v>
      </c>
      <c r="DV243" s="407"/>
      <c r="DW243" s="407">
        <v>0</v>
      </c>
      <c r="DX243" s="407">
        <v>0</v>
      </c>
      <c r="DY243" s="407">
        <v>-2391.1999999999998</v>
      </c>
      <c r="DZ243" s="407"/>
      <c r="EA243" s="407">
        <v>0</v>
      </c>
      <c r="EB243" s="407"/>
      <c r="EC243" s="407">
        <v>-2446.4987848456317</v>
      </c>
      <c r="ED243" s="407"/>
      <c r="EE243" s="407">
        <v>0</v>
      </c>
      <c r="EF243" s="407">
        <v>0</v>
      </c>
      <c r="EG243" s="407"/>
      <c r="EH243" s="407">
        <v>0</v>
      </c>
      <c r="EI243" s="407">
        <v>0</v>
      </c>
      <c r="EJ243" s="407">
        <v>0</v>
      </c>
      <c r="EK243" s="407">
        <v>0</v>
      </c>
      <c r="EL243" s="407">
        <v>0</v>
      </c>
      <c r="EM243" s="407"/>
      <c r="EN243" s="407"/>
      <c r="EO243" s="407">
        <v>0</v>
      </c>
      <c r="EP243" s="407">
        <v>0</v>
      </c>
      <c r="EQ243" s="407"/>
      <c r="ER243" s="407">
        <v>0</v>
      </c>
      <c r="ES243" s="407"/>
      <c r="ET243" s="407">
        <v>0</v>
      </c>
      <c r="EU243" s="407"/>
      <c r="EV243" s="407">
        <v>246</v>
      </c>
      <c r="EW243" s="407"/>
      <c r="EX243" s="407"/>
      <c r="EY243" s="407"/>
      <c r="EZ243" s="407"/>
      <c r="FA243" s="407">
        <v>0</v>
      </c>
      <c r="FB243" s="407"/>
      <c r="FC243" s="407"/>
      <c r="FD243" s="407"/>
      <c r="FE243" s="407"/>
      <c r="FF243" s="407">
        <v>0</v>
      </c>
      <c r="FG243" s="407">
        <v>0</v>
      </c>
      <c r="FH243" s="407">
        <v>0</v>
      </c>
      <c r="FI243" s="407">
        <v>0</v>
      </c>
    </row>
    <row r="244" spans="1:165">
      <c r="A244" s="407">
        <v>258</v>
      </c>
      <c r="B244" s="407" t="s">
        <v>1090</v>
      </c>
      <c r="C244" s="407" t="s">
        <v>2314</v>
      </c>
      <c r="D244" s="407" t="s">
        <v>650</v>
      </c>
      <c r="E244" s="407" t="s">
        <v>1026</v>
      </c>
      <c r="F244" s="407" t="s">
        <v>2323</v>
      </c>
      <c r="G244" s="407" t="s">
        <v>2325</v>
      </c>
      <c r="H244" s="407" t="s">
        <v>97</v>
      </c>
      <c r="I244" s="407" t="s">
        <v>2290</v>
      </c>
      <c r="J244" s="407" t="s">
        <v>2307</v>
      </c>
      <c r="K244" s="818">
        <v>44470</v>
      </c>
      <c r="L244" s="407">
        <v>0</v>
      </c>
      <c r="M244" s="407">
        <v>0</v>
      </c>
      <c r="N244" s="407">
        <v>38.808999999999997</v>
      </c>
      <c r="O244" s="407">
        <v>11.6427</v>
      </c>
      <c r="P244" s="407">
        <v>38.808999999999997</v>
      </c>
      <c r="Q244" s="407">
        <v>11.6427</v>
      </c>
      <c r="R244" s="407"/>
      <c r="S244" s="407">
        <v>95.29</v>
      </c>
      <c r="T244" s="407">
        <v>159.41</v>
      </c>
      <c r="U244" s="407"/>
      <c r="V244" s="407">
        <v>9884.6522999999997</v>
      </c>
      <c r="W244" s="407">
        <v>9884.6522999999997</v>
      </c>
      <c r="X244" s="407">
        <v>10746.600189999999</v>
      </c>
      <c r="Y244" s="407">
        <v>0</v>
      </c>
      <c r="Z244" s="407">
        <v>2092.353007328938</v>
      </c>
      <c r="AA244" s="407">
        <v>0</v>
      </c>
      <c r="AB244" s="407">
        <v>0</v>
      </c>
      <c r="AC244" s="407">
        <v>0</v>
      </c>
      <c r="AD244" s="407">
        <v>0</v>
      </c>
      <c r="AE244" s="407">
        <v>0</v>
      </c>
      <c r="AF244" s="407">
        <v>5985.539884919046</v>
      </c>
      <c r="AG244" s="407">
        <v>201.09842856383855</v>
      </c>
      <c r="AH244" s="407">
        <v>0</v>
      </c>
      <c r="AI244" s="407">
        <v>0</v>
      </c>
      <c r="AJ244" s="407">
        <v>0</v>
      </c>
      <c r="AK244" s="407">
        <v>0</v>
      </c>
      <c r="AL244" s="407">
        <v>371.6371321069513</v>
      </c>
      <c r="AM244" s="407"/>
      <c r="AN244" s="407">
        <v>41.670518892316828</v>
      </c>
      <c r="AO244" s="407">
        <v>0</v>
      </c>
      <c r="AP244" s="407">
        <v>0</v>
      </c>
      <c r="AQ244" s="407">
        <v>0</v>
      </c>
      <c r="AR244" s="407">
        <v>0</v>
      </c>
      <c r="AS244" s="407">
        <v>0</v>
      </c>
      <c r="AT244" s="407">
        <v>0</v>
      </c>
      <c r="AU244" s="407">
        <v>0</v>
      </c>
      <c r="AV244" s="407">
        <v>0</v>
      </c>
      <c r="AW244" s="407">
        <v>0</v>
      </c>
      <c r="AX244" s="407">
        <v>0</v>
      </c>
      <c r="AY244" s="407">
        <v>0</v>
      </c>
      <c r="AZ244" s="407">
        <v>0</v>
      </c>
      <c r="BA244" s="407"/>
      <c r="BB244" s="407">
        <v>0</v>
      </c>
      <c r="BC244" s="407">
        <v>0</v>
      </c>
      <c r="BD244" s="407">
        <v>0</v>
      </c>
      <c r="BE244" s="407">
        <v>0</v>
      </c>
      <c r="BF244" s="407">
        <v>0</v>
      </c>
      <c r="BG244" s="407">
        <v>201.41383399609586</v>
      </c>
      <c r="BH244" s="407">
        <v>0</v>
      </c>
      <c r="BI244" s="407">
        <v>0</v>
      </c>
      <c r="BJ244" s="407">
        <v>0</v>
      </c>
      <c r="BK244" s="407">
        <v>0</v>
      </c>
      <c r="BL244" s="407">
        <v>0</v>
      </c>
      <c r="BM244" s="407"/>
      <c r="BN244" s="407"/>
      <c r="BO244" s="407"/>
      <c r="BP244" s="407"/>
      <c r="BQ244" s="407"/>
      <c r="BR244" s="407"/>
      <c r="BS244" s="407">
        <v>7522.6201329999994</v>
      </c>
      <c r="BT244" s="407"/>
      <c r="BU244" s="407"/>
      <c r="BV244" s="407">
        <v>6186.9537189151415</v>
      </c>
      <c r="BW244" s="407"/>
      <c r="BX244" s="407"/>
      <c r="BY244" s="407"/>
      <c r="BZ244" s="407"/>
      <c r="CA244" s="407"/>
      <c r="CB244" s="407"/>
      <c r="CC244" s="407"/>
      <c r="CD244" s="407"/>
      <c r="CE244" s="407"/>
      <c r="CF244" s="407"/>
      <c r="CG244" s="407"/>
      <c r="CH244" s="407"/>
      <c r="CI244" s="407">
        <v>3223.2323999999999</v>
      </c>
      <c r="CJ244" s="407">
        <v>257.80670999999984</v>
      </c>
      <c r="CK244" s="407"/>
      <c r="CL244" s="407"/>
      <c r="CM244" s="407"/>
      <c r="CN244" s="407"/>
      <c r="CO244" s="407">
        <v>-204.13534000000018</v>
      </c>
      <c r="CP244" s="407">
        <v>1066.08323</v>
      </c>
      <c r="CQ244" s="407">
        <v>31</v>
      </c>
      <c r="CR244" s="407">
        <v>861.82522288471955</v>
      </c>
      <c r="CS244" s="407">
        <v>0</v>
      </c>
      <c r="CT244" s="407">
        <v>0</v>
      </c>
      <c r="CU244" s="407">
        <v>0</v>
      </c>
      <c r="CV244" s="407">
        <v>0</v>
      </c>
      <c r="CW244" s="407">
        <v>0</v>
      </c>
      <c r="CX244" s="407">
        <v>0</v>
      </c>
      <c r="CY244" s="407">
        <v>0</v>
      </c>
      <c r="CZ244" s="407">
        <v>0</v>
      </c>
      <c r="DA244" s="407">
        <v>0</v>
      </c>
      <c r="DB244" s="407">
        <v>0</v>
      </c>
      <c r="DC244" s="407">
        <v>1186.7709206074478</v>
      </c>
      <c r="DD244" s="407">
        <v>0</v>
      </c>
      <c r="DE244" s="407">
        <v>0</v>
      </c>
      <c r="DF244" s="407">
        <v>0</v>
      </c>
      <c r="DG244" s="407">
        <v>39.934924132220658</v>
      </c>
      <c r="DH244" s="407">
        <v>0</v>
      </c>
      <c r="DI244" s="407">
        <v>-146.55253231563506</v>
      </c>
      <c r="DJ244" s="407"/>
      <c r="DK244" s="407">
        <v>0</v>
      </c>
      <c r="DL244" s="407">
        <v>0</v>
      </c>
      <c r="DM244" s="407">
        <v>0</v>
      </c>
      <c r="DN244" s="407">
        <v>0</v>
      </c>
      <c r="DO244" s="407">
        <v>-22.67409314267104</v>
      </c>
      <c r="DP244" s="407">
        <v>-2.6551448627281218</v>
      </c>
      <c r="DQ244" s="407">
        <v>0</v>
      </c>
      <c r="DR244" s="407">
        <v>-192.99885153391514</v>
      </c>
      <c r="DS244" s="407"/>
      <c r="DT244" s="407"/>
      <c r="DU244" s="407"/>
      <c r="DV244" s="407">
        <v>0</v>
      </c>
      <c r="DW244" s="407">
        <v>0</v>
      </c>
      <c r="DX244" s="407">
        <v>0</v>
      </c>
      <c r="DY244" s="407">
        <v>-204.13534000000027</v>
      </c>
      <c r="DZ244" s="407">
        <v>1066.0832300000002</v>
      </c>
      <c r="EA244" s="407">
        <v>0</v>
      </c>
      <c r="EB244" s="407">
        <v>0</v>
      </c>
      <c r="EC244" s="407">
        <v>0</v>
      </c>
      <c r="ED244" s="407">
        <v>0</v>
      </c>
      <c r="EE244" s="407">
        <v>0</v>
      </c>
      <c r="EF244" s="407">
        <v>0</v>
      </c>
      <c r="EG244" s="407">
        <v>0</v>
      </c>
      <c r="EH244" s="407">
        <v>0</v>
      </c>
      <c r="EI244" s="407">
        <v>0</v>
      </c>
      <c r="EJ244" s="407">
        <v>0</v>
      </c>
      <c r="EK244" s="407">
        <v>0</v>
      </c>
      <c r="EL244" s="407">
        <v>0</v>
      </c>
      <c r="EM244" s="407">
        <v>0</v>
      </c>
      <c r="EN244" s="407">
        <v>0</v>
      </c>
      <c r="EO244" s="407">
        <v>0</v>
      </c>
      <c r="EP244" s="407">
        <v>991.11020915349957</v>
      </c>
      <c r="EQ244" s="407">
        <v>0</v>
      </c>
      <c r="ER244" s="407">
        <v>0</v>
      </c>
      <c r="ES244" s="407">
        <v>0</v>
      </c>
      <c r="ET244" s="407">
        <v>0</v>
      </c>
      <c r="EU244" s="407">
        <v>0</v>
      </c>
      <c r="EV244" s="407">
        <v>246</v>
      </c>
      <c r="EW244" s="407">
        <v>0</v>
      </c>
      <c r="EX244" s="407">
        <v>0</v>
      </c>
      <c r="EY244" s="407">
        <v>0</v>
      </c>
      <c r="EZ244" s="407"/>
      <c r="FA244" s="407">
        <v>0</v>
      </c>
      <c r="FB244" s="407"/>
      <c r="FC244" s="407"/>
      <c r="FD244" s="407"/>
      <c r="FE244" s="407"/>
      <c r="FF244" s="407">
        <v>0</v>
      </c>
      <c r="FG244" s="407">
        <v>0</v>
      </c>
      <c r="FH244" s="407">
        <v>0</v>
      </c>
      <c r="FI244" s="407">
        <v>0</v>
      </c>
    </row>
    <row r="245" spans="1:165">
      <c r="A245" s="407">
        <v>260</v>
      </c>
      <c r="B245" s="407" t="s">
        <v>1090</v>
      </c>
      <c r="C245" s="407" t="s">
        <v>2306</v>
      </c>
      <c r="D245" s="407" t="s">
        <v>2315</v>
      </c>
      <c r="E245" s="407" t="s">
        <v>1026</v>
      </c>
      <c r="F245" s="407" t="s">
        <v>2326</v>
      </c>
      <c r="G245" s="407" t="s">
        <v>2324</v>
      </c>
      <c r="H245" s="407" t="s">
        <v>97</v>
      </c>
      <c r="I245" s="407" t="s">
        <v>97</v>
      </c>
      <c r="J245" s="407" t="s">
        <v>2307</v>
      </c>
      <c r="K245" s="818">
        <v>44470</v>
      </c>
      <c r="L245" s="407">
        <v>0</v>
      </c>
      <c r="M245" s="407">
        <v>0</v>
      </c>
      <c r="N245" s="407">
        <v>0</v>
      </c>
      <c r="O245" s="407">
        <v>0</v>
      </c>
      <c r="P245" s="407">
        <v>0</v>
      </c>
      <c r="Q245" s="407">
        <v>0</v>
      </c>
      <c r="R245" s="407"/>
      <c r="S245" s="407"/>
      <c r="T245" s="407"/>
      <c r="U245" s="407"/>
      <c r="V245" s="407"/>
      <c r="W245" s="407"/>
      <c r="X245" s="407"/>
      <c r="Y245" s="407"/>
      <c r="Z245" s="407"/>
      <c r="AA245" s="407">
        <v>0</v>
      </c>
      <c r="AB245" s="407"/>
      <c r="AC245" s="407"/>
      <c r="AD245" s="407"/>
      <c r="AE245" s="407"/>
      <c r="AF245" s="407"/>
      <c r="AG245" s="407"/>
      <c r="AH245" s="407"/>
      <c r="AI245" s="407"/>
      <c r="AJ245" s="407"/>
      <c r="AK245" s="407"/>
      <c r="AL245" s="407"/>
      <c r="AM245" s="407"/>
      <c r="AN245" s="407"/>
      <c r="AO245" s="407"/>
      <c r="AP245" s="407"/>
      <c r="AQ245" s="407"/>
      <c r="AR245" s="407"/>
      <c r="AS245" s="407"/>
      <c r="AT245" s="407"/>
      <c r="AU245" s="407"/>
      <c r="AV245" s="407"/>
      <c r="AW245" s="407"/>
      <c r="AX245" s="407"/>
      <c r="AY245" s="407"/>
      <c r="AZ245" s="407">
        <v>0</v>
      </c>
      <c r="BA245" s="407"/>
      <c r="BB245" s="407"/>
      <c r="BC245" s="407"/>
      <c r="BD245" s="407"/>
      <c r="BE245" s="407"/>
      <c r="BF245" s="407"/>
      <c r="BG245" s="407"/>
      <c r="BH245" s="407"/>
      <c r="BI245" s="407">
        <v>17.03</v>
      </c>
      <c r="BJ245" s="407">
        <v>74.510000000000005</v>
      </c>
      <c r="BK245" s="407">
        <v>52.85</v>
      </c>
      <c r="BL245" s="407">
        <v>5</v>
      </c>
      <c r="BM245" s="407"/>
      <c r="BN245" s="407"/>
      <c r="BO245" s="407"/>
      <c r="BP245" s="407"/>
      <c r="BQ245" s="407"/>
      <c r="BR245" s="407"/>
      <c r="BS245" s="407"/>
      <c r="BT245" s="407"/>
      <c r="BU245" s="407"/>
      <c r="BV245" s="407"/>
      <c r="BW245" s="407"/>
      <c r="BX245" s="407"/>
      <c r="BY245" s="407"/>
      <c r="BZ245" s="407"/>
      <c r="CA245" s="407"/>
      <c r="CB245" s="407"/>
      <c r="CC245" s="407"/>
      <c r="CD245" s="407"/>
      <c r="CE245" s="407"/>
      <c r="CF245" s="407"/>
      <c r="CG245" s="407"/>
      <c r="CH245" s="407"/>
      <c r="CI245" s="407"/>
      <c r="CJ245" s="407">
        <v>-0.03</v>
      </c>
      <c r="CK245" s="407"/>
      <c r="CL245" s="407"/>
      <c r="CM245" s="407"/>
      <c r="CN245" s="407"/>
      <c r="CO245" s="407">
        <v>0</v>
      </c>
      <c r="CP245" s="407">
        <v>0</v>
      </c>
      <c r="CQ245" s="407">
        <v>31</v>
      </c>
      <c r="CR245" s="407"/>
      <c r="CS245" s="407"/>
      <c r="CT245" s="407"/>
      <c r="CU245" s="407"/>
      <c r="CV245" s="407"/>
      <c r="CW245" s="407"/>
      <c r="CX245" s="407"/>
      <c r="CY245" s="407"/>
      <c r="CZ245" s="407"/>
      <c r="DA245" s="407"/>
      <c r="DB245" s="407"/>
      <c r="DC245" s="407"/>
      <c r="DD245" s="407"/>
      <c r="DE245" s="407"/>
      <c r="DF245" s="407"/>
      <c r="DG245" s="407"/>
      <c r="DH245" s="407"/>
      <c r="DI245" s="407"/>
      <c r="DJ245" s="407"/>
      <c r="DK245" s="407">
        <v>0</v>
      </c>
      <c r="DL245" s="407"/>
      <c r="DM245" s="407"/>
      <c r="DN245" s="407"/>
      <c r="DO245" s="407"/>
      <c r="DP245" s="407"/>
      <c r="DQ245" s="407"/>
      <c r="DR245" s="407"/>
      <c r="DS245" s="407"/>
      <c r="DT245" s="407"/>
      <c r="DU245" s="407"/>
      <c r="DV245" s="407"/>
      <c r="DW245" s="407"/>
      <c r="DX245" s="407"/>
      <c r="DY245" s="407"/>
      <c r="DZ245" s="407"/>
      <c r="EA245" s="407"/>
      <c r="EB245" s="407"/>
      <c r="EC245" s="407"/>
      <c r="ED245" s="407"/>
      <c r="EE245" s="407"/>
      <c r="EF245" s="407"/>
      <c r="EG245" s="407"/>
      <c r="EH245" s="407"/>
      <c r="EI245" s="407"/>
      <c r="EJ245" s="407"/>
      <c r="EK245" s="407"/>
      <c r="EL245" s="407"/>
      <c r="EM245" s="407"/>
      <c r="EN245" s="407"/>
      <c r="EO245" s="407"/>
      <c r="EP245" s="407"/>
      <c r="EQ245" s="407"/>
      <c r="ER245" s="407"/>
      <c r="ES245" s="407"/>
      <c r="ET245" s="407"/>
      <c r="EU245" s="407"/>
      <c r="EV245" s="407">
        <v>246</v>
      </c>
      <c r="EW245" s="407"/>
      <c r="EX245" s="407"/>
      <c r="EY245" s="407"/>
      <c r="EZ245" s="407"/>
      <c r="FA245" s="407">
        <v>0</v>
      </c>
      <c r="FB245" s="407"/>
      <c r="FC245" s="407"/>
      <c r="FD245" s="407"/>
      <c r="FE245" s="407"/>
      <c r="FF245" s="407">
        <v>0</v>
      </c>
      <c r="FG245" s="407">
        <v>0</v>
      </c>
      <c r="FH245" s="407">
        <v>0</v>
      </c>
      <c r="FI245" s="407">
        <v>0</v>
      </c>
    </row>
    <row r="246" spans="1:165">
      <c r="A246" s="407">
        <v>261</v>
      </c>
      <c r="B246" s="407" t="s">
        <v>1090</v>
      </c>
      <c r="C246" s="407" t="s">
        <v>2306</v>
      </c>
      <c r="D246" s="407" t="s">
        <v>2315</v>
      </c>
      <c r="E246" s="407" t="s">
        <v>1026</v>
      </c>
      <c r="F246" s="407" t="s">
        <v>2326</v>
      </c>
      <c r="G246" s="407" t="s">
        <v>2324</v>
      </c>
      <c r="H246" s="407" t="s">
        <v>97</v>
      </c>
      <c r="I246" s="407" t="s">
        <v>97</v>
      </c>
      <c r="J246" s="407" t="s">
        <v>2307</v>
      </c>
      <c r="K246" s="818">
        <v>44470</v>
      </c>
      <c r="L246" s="407">
        <v>0</v>
      </c>
      <c r="M246" s="407">
        <v>0</v>
      </c>
      <c r="N246" s="407">
        <v>3.2109999999999999</v>
      </c>
      <c r="O246" s="407">
        <v>3.2109999999999999</v>
      </c>
      <c r="P246" s="407">
        <v>3.2109999999999999</v>
      </c>
      <c r="Q246" s="407">
        <v>3.2109999999999999</v>
      </c>
      <c r="R246" s="407"/>
      <c r="S246" s="407">
        <v>648.44000000000005</v>
      </c>
      <c r="T246" s="407">
        <v>159.41</v>
      </c>
      <c r="U246" s="407"/>
      <c r="V246" s="407">
        <v>2594.0063500000001</v>
      </c>
      <c r="W246" s="407">
        <v>2594.0063500000001</v>
      </c>
      <c r="X246" s="407">
        <v>1964.55402</v>
      </c>
      <c r="Y246" s="407">
        <v>0</v>
      </c>
      <c r="Z246" s="407">
        <v>198.98647477295151</v>
      </c>
      <c r="AA246" s="407">
        <v>0</v>
      </c>
      <c r="AB246" s="407">
        <v>0</v>
      </c>
      <c r="AC246" s="407">
        <v>0</v>
      </c>
      <c r="AD246" s="407">
        <v>374.54525256646224</v>
      </c>
      <c r="AE246" s="407">
        <v>1340.7401764173042</v>
      </c>
      <c r="AF246" s="407">
        <v>495.23483136579296</v>
      </c>
      <c r="AG246" s="407">
        <v>16.63859038157349</v>
      </c>
      <c r="AH246" s="407">
        <v>0</v>
      </c>
      <c r="AI246" s="407">
        <v>0</v>
      </c>
      <c r="AJ246" s="407">
        <v>0</v>
      </c>
      <c r="AK246" s="407">
        <v>0</v>
      </c>
      <c r="AL246" s="407">
        <v>30.748713731232979</v>
      </c>
      <c r="AM246" s="407"/>
      <c r="AN246" s="407">
        <v>6.6631321015760134</v>
      </c>
      <c r="AO246" s="407">
        <v>0</v>
      </c>
      <c r="AP246" s="407">
        <v>0</v>
      </c>
      <c r="AQ246" s="407">
        <v>0</v>
      </c>
      <c r="AR246" s="407">
        <v>0</v>
      </c>
      <c r="AS246" s="407">
        <v>0</v>
      </c>
      <c r="AT246" s="407">
        <v>0</v>
      </c>
      <c r="AU246" s="407">
        <v>0</v>
      </c>
      <c r="AV246" s="407">
        <v>0</v>
      </c>
      <c r="AW246" s="407">
        <v>0</v>
      </c>
      <c r="AX246" s="407">
        <v>0</v>
      </c>
      <c r="AY246" s="407">
        <v>0</v>
      </c>
      <c r="AZ246" s="407">
        <v>0</v>
      </c>
      <c r="BA246" s="407"/>
      <c r="BB246" s="407">
        <v>0</v>
      </c>
      <c r="BC246" s="407">
        <v>0</v>
      </c>
      <c r="BD246" s="407">
        <v>0</v>
      </c>
      <c r="BE246" s="407">
        <v>0</v>
      </c>
      <c r="BF246" s="407">
        <v>0</v>
      </c>
      <c r="BG246" s="407">
        <v>36.200084770646406</v>
      </c>
      <c r="BH246" s="407">
        <v>0</v>
      </c>
      <c r="BI246" s="407">
        <v>0</v>
      </c>
      <c r="BJ246" s="407">
        <v>0</v>
      </c>
      <c r="BK246" s="407">
        <v>0</v>
      </c>
      <c r="BL246" s="407">
        <v>0</v>
      </c>
      <c r="BM246" s="407"/>
      <c r="BN246" s="407"/>
      <c r="BO246" s="407"/>
      <c r="BP246" s="407"/>
      <c r="BQ246" s="407"/>
      <c r="BR246" s="407">
        <v>235.75162000000006</v>
      </c>
      <c r="BS246" s="407"/>
      <c r="BT246" s="407"/>
      <c r="BU246" s="407"/>
      <c r="BV246" s="407">
        <v>531.43491613643937</v>
      </c>
      <c r="BW246" s="407"/>
      <c r="BX246" s="407"/>
      <c r="BY246" s="407"/>
      <c r="BZ246" s="407"/>
      <c r="CA246" s="407"/>
      <c r="CB246" s="407"/>
      <c r="CC246" s="407"/>
      <c r="CD246" s="407"/>
      <c r="CE246" s="407"/>
      <c r="CF246" s="407"/>
      <c r="CG246" s="407"/>
      <c r="CH246" s="407"/>
      <c r="CI246" s="407">
        <v>1728.2640000000001</v>
      </c>
      <c r="CJ246" s="407">
        <v>-554.49800999999979</v>
      </c>
      <c r="CK246" s="407"/>
      <c r="CL246" s="407"/>
      <c r="CM246" s="407"/>
      <c r="CN246" s="407"/>
      <c r="CO246" s="407">
        <v>-717.65850000000012</v>
      </c>
      <c r="CP246" s="407">
        <v>88.206169999999986</v>
      </c>
      <c r="CQ246" s="407">
        <v>31</v>
      </c>
      <c r="CR246" s="407">
        <v>55.40265184827922</v>
      </c>
      <c r="CS246" s="407">
        <v>0</v>
      </c>
      <c r="CT246" s="407">
        <v>0</v>
      </c>
      <c r="CU246" s="407">
        <v>0</v>
      </c>
      <c r="CV246" s="407">
        <v>0</v>
      </c>
      <c r="CW246" s="407">
        <v>0</v>
      </c>
      <c r="CX246" s="407">
        <v>0</v>
      </c>
      <c r="CY246" s="407">
        <v>0</v>
      </c>
      <c r="CZ246" s="407">
        <v>16.91895171051226</v>
      </c>
      <c r="DA246" s="407">
        <v>0</v>
      </c>
      <c r="DB246" s="407">
        <v>0</v>
      </c>
      <c r="DC246" s="407">
        <v>98.191693320377112</v>
      </c>
      <c r="DD246" s="407">
        <v>0</v>
      </c>
      <c r="DE246" s="407">
        <v>0</v>
      </c>
      <c r="DF246" s="407">
        <v>0</v>
      </c>
      <c r="DG246" s="407">
        <v>7.1774992323702378</v>
      </c>
      <c r="DH246" s="407">
        <v>0</v>
      </c>
      <c r="DI246" s="407">
        <v>-13.937405242992298</v>
      </c>
      <c r="DJ246" s="407"/>
      <c r="DK246" s="407">
        <v>0</v>
      </c>
      <c r="DL246" s="407">
        <v>0</v>
      </c>
      <c r="DM246" s="407">
        <v>0</v>
      </c>
      <c r="DN246" s="407">
        <v>0</v>
      </c>
      <c r="DO246" s="407">
        <v>-1.8760213631146563</v>
      </c>
      <c r="DP246" s="407">
        <v>-0.42455869135916924</v>
      </c>
      <c r="DQ246" s="407">
        <v>0</v>
      </c>
      <c r="DR246" s="407">
        <v>-50.647507117514394</v>
      </c>
      <c r="DS246" s="407"/>
      <c r="DT246" s="407"/>
      <c r="DU246" s="407"/>
      <c r="DV246" s="407">
        <v>1340.7401764173042</v>
      </c>
      <c r="DW246" s="407">
        <v>0</v>
      </c>
      <c r="DX246" s="407">
        <v>0</v>
      </c>
      <c r="DY246" s="407">
        <v>-717.6585</v>
      </c>
      <c r="DZ246" s="407">
        <v>88.206170000000043</v>
      </c>
      <c r="EA246" s="407">
        <v>0</v>
      </c>
      <c r="EB246" s="407">
        <v>0</v>
      </c>
      <c r="EC246" s="407">
        <v>-684.85319614840591</v>
      </c>
      <c r="ED246" s="407">
        <v>0</v>
      </c>
      <c r="EE246" s="407">
        <v>0</v>
      </c>
      <c r="EF246" s="407">
        <v>0</v>
      </c>
      <c r="EG246" s="407">
        <v>0</v>
      </c>
      <c r="EH246" s="407">
        <v>0</v>
      </c>
      <c r="EI246" s="407">
        <v>0</v>
      </c>
      <c r="EJ246" s="407">
        <v>0</v>
      </c>
      <c r="EK246" s="407">
        <v>0</v>
      </c>
      <c r="EL246" s="407">
        <v>0</v>
      </c>
      <c r="EM246" s="407">
        <v>0</v>
      </c>
      <c r="EN246" s="407">
        <v>0</v>
      </c>
      <c r="EO246" s="407">
        <v>0</v>
      </c>
      <c r="EP246" s="407">
        <v>94.256335302952564</v>
      </c>
      <c r="EQ246" s="407">
        <v>0</v>
      </c>
      <c r="ER246" s="407">
        <v>0</v>
      </c>
      <c r="ES246" s="407">
        <v>0</v>
      </c>
      <c r="ET246" s="407">
        <v>0</v>
      </c>
      <c r="EU246" s="407">
        <v>0</v>
      </c>
      <c r="EV246" s="407">
        <v>246</v>
      </c>
      <c r="EW246" s="407">
        <v>0</v>
      </c>
      <c r="EX246" s="407">
        <v>0</v>
      </c>
      <c r="EY246" s="407">
        <v>0</v>
      </c>
      <c r="EZ246" s="407"/>
      <c r="FA246" s="407">
        <v>0</v>
      </c>
      <c r="FB246" s="407"/>
      <c r="FC246" s="407"/>
      <c r="FD246" s="407"/>
      <c r="FE246" s="407"/>
      <c r="FF246" s="407">
        <v>0</v>
      </c>
      <c r="FG246" s="407">
        <v>0</v>
      </c>
      <c r="FH246" s="407">
        <v>0</v>
      </c>
      <c r="FI246" s="407">
        <v>0</v>
      </c>
    </row>
    <row r="247" spans="1:165">
      <c r="A247" s="407">
        <v>262</v>
      </c>
      <c r="B247" s="407" t="s">
        <v>1090</v>
      </c>
      <c r="C247" s="407" t="s">
        <v>2306</v>
      </c>
      <c r="D247" s="407" t="s">
        <v>2315</v>
      </c>
      <c r="E247" s="407" t="s">
        <v>1026</v>
      </c>
      <c r="F247" s="407" t="s">
        <v>2326</v>
      </c>
      <c r="G247" s="407" t="s">
        <v>2325</v>
      </c>
      <c r="H247" s="407" t="s">
        <v>97</v>
      </c>
      <c r="I247" s="407" t="s">
        <v>97</v>
      </c>
      <c r="J247" s="407" t="s">
        <v>2307</v>
      </c>
      <c r="K247" s="818">
        <v>44470</v>
      </c>
      <c r="L247" s="407">
        <v>0</v>
      </c>
      <c r="M247" s="407">
        <v>0</v>
      </c>
      <c r="N247" s="407">
        <v>5.0640000000000001</v>
      </c>
      <c r="O247" s="407">
        <v>2.0255999999999998</v>
      </c>
      <c r="P247" s="407">
        <v>5.0640000000000001</v>
      </c>
      <c r="Q247" s="407">
        <v>2.0255999999999998</v>
      </c>
      <c r="R247" s="407"/>
      <c r="S247" s="407">
        <v>648.44000000000005</v>
      </c>
      <c r="T247" s="407">
        <v>159.41</v>
      </c>
      <c r="U247" s="407"/>
      <c r="V247" s="407">
        <v>4090.9524000000001</v>
      </c>
      <c r="W247" s="407">
        <v>4090.9524000000001</v>
      </c>
      <c r="X247" s="407">
        <v>3098.25648</v>
      </c>
      <c r="Y247" s="407">
        <v>0</v>
      </c>
      <c r="Z247" s="407">
        <v>313.81734919035392</v>
      </c>
      <c r="AA247" s="407">
        <v>0</v>
      </c>
      <c r="AB247" s="407">
        <v>0</v>
      </c>
      <c r="AC247" s="407">
        <v>0</v>
      </c>
      <c r="AD247" s="407">
        <v>590.68737433714261</v>
      </c>
      <c r="AE247" s="407">
        <v>2114.4528973457582</v>
      </c>
      <c r="AF247" s="407">
        <v>781.02434943518392</v>
      </c>
      <c r="AG247" s="407">
        <v>26.240368013792637</v>
      </c>
      <c r="AH247" s="407">
        <v>0</v>
      </c>
      <c r="AI247" s="407">
        <v>0</v>
      </c>
      <c r="AJ247" s="407">
        <v>0</v>
      </c>
      <c r="AK247" s="407">
        <v>0</v>
      </c>
      <c r="AL247" s="407">
        <v>48.49314429615815</v>
      </c>
      <c r="AM247" s="407"/>
      <c r="AN247" s="407">
        <v>10.508284323382414</v>
      </c>
      <c r="AO247" s="407">
        <v>0</v>
      </c>
      <c r="AP247" s="407">
        <v>0</v>
      </c>
      <c r="AQ247" s="407">
        <v>0</v>
      </c>
      <c r="AR247" s="407">
        <v>0</v>
      </c>
      <c r="AS247" s="407">
        <v>0</v>
      </c>
      <c r="AT247" s="407">
        <v>0</v>
      </c>
      <c r="AU247" s="407">
        <v>0</v>
      </c>
      <c r="AV247" s="407">
        <v>0</v>
      </c>
      <c r="AW247" s="407">
        <v>0</v>
      </c>
      <c r="AX247" s="407">
        <v>0</v>
      </c>
      <c r="AY247" s="407">
        <v>0</v>
      </c>
      <c r="AZ247" s="407">
        <v>0</v>
      </c>
      <c r="BA247" s="407"/>
      <c r="BB247" s="407">
        <v>0</v>
      </c>
      <c r="BC247" s="407">
        <v>0</v>
      </c>
      <c r="BD247" s="407">
        <v>0</v>
      </c>
      <c r="BE247" s="407">
        <v>0</v>
      </c>
      <c r="BF247" s="407">
        <v>0</v>
      </c>
      <c r="BG247" s="407">
        <v>57.090385947852205</v>
      </c>
      <c r="BH247" s="407">
        <v>0</v>
      </c>
      <c r="BI247" s="407">
        <v>0</v>
      </c>
      <c r="BJ247" s="407">
        <v>0</v>
      </c>
      <c r="BK247" s="407">
        <v>0</v>
      </c>
      <c r="BL247" s="407">
        <v>0</v>
      </c>
      <c r="BM247" s="407"/>
      <c r="BN247" s="407"/>
      <c r="BO247" s="407"/>
      <c r="BP247" s="407"/>
      <c r="BQ247" s="407"/>
      <c r="BR247" s="407"/>
      <c r="BS247" s="407">
        <v>2007.67344</v>
      </c>
      <c r="BT247" s="407"/>
      <c r="BU247" s="407"/>
      <c r="BV247" s="407">
        <v>838.11473538303608</v>
      </c>
      <c r="BW247" s="407"/>
      <c r="BX247" s="407"/>
      <c r="BY247" s="407"/>
      <c r="BZ247" s="407"/>
      <c r="CA247" s="407"/>
      <c r="CB247" s="407"/>
      <c r="CC247" s="407"/>
      <c r="CD247" s="407"/>
      <c r="CE247" s="407"/>
      <c r="CF247" s="407"/>
      <c r="CG247" s="407"/>
      <c r="CH247" s="407"/>
      <c r="CI247" s="407">
        <v>1092.9519999999998</v>
      </c>
      <c r="CJ247" s="407">
        <v>-347.09729600000014</v>
      </c>
      <c r="CK247" s="407"/>
      <c r="CL247" s="407"/>
      <c r="CM247" s="407"/>
      <c r="CN247" s="407"/>
      <c r="CO247" s="407">
        <v>-1131.8040000000003</v>
      </c>
      <c r="CP247" s="407">
        <v>139.10808</v>
      </c>
      <c r="CQ247" s="407">
        <v>31</v>
      </c>
      <c r="CR247" s="407">
        <v>87.374347231294223</v>
      </c>
      <c r="CS247" s="407">
        <v>0</v>
      </c>
      <c r="CT247" s="407">
        <v>0</v>
      </c>
      <c r="CU247" s="407">
        <v>0</v>
      </c>
      <c r="CV247" s="407">
        <v>0</v>
      </c>
      <c r="CW247" s="407">
        <v>0</v>
      </c>
      <c r="CX247" s="407">
        <v>0</v>
      </c>
      <c r="CY247" s="407">
        <v>0</v>
      </c>
      <c r="CZ247" s="407">
        <v>26.682519919661786</v>
      </c>
      <c r="DA247" s="407">
        <v>0</v>
      </c>
      <c r="DB247" s="407">
        <v>0</v>
      </c>
      <c r="DC247" s="407">
        <v>154.85603705213009</v>
      </c>
      <c r="DD247" s="407">
        <v>0</v>
      </c>
      <c r="DE247" s="407">
        <v>0</v>
      </c>
      <c r="DF247" s="407">
        <v>0</v>
      </c>
      <c r="DG247" s="407">
        <v>11.319481816481748</v>
      </c>
      <c r="DH247" s="407">
        <v>0</v>
      </c>
      <c r="DI247" s="407">
        <v>-21.980386219406057</v>
      </c>
      <c r="DJ247" s="407"/>
      <c r="DK247" s="407">
        <v>0</v>
      </c>
      <c r="DL247" s="407">
        <v>0</v>
      </c>
      <c r="DM247" s="407">
        <v>0</v>
      </c>
      <c r="DN247" s="407">
        <v>0</v>
      </c>
      <c r="DO247" s="407">
        <v>-2.9586335044573744</v>
      </c>
      <c r="DP247" s="407">
        <v>-0.66956250795479022</v>
      </c>
      <c r="DQ247" s="407">
        <v>0</v>
      </c>
      <c r="DR247" s="407">
        <v>-79.87510932516129</v>
      </c>
      <c r="DS247" s="407"/>
      <c r="DT247" s="407"/>
      <c r="DU247" s="407"/>
      <c r="DV247" s="407">
        <v>2114.4528973457582</v>
      </c>
      <c r="DW247" s="407">
        <v>0</v>
      </c>
      <c r="DX247" s="407">
        <v>0</v>
      </c>
      <c r="DY247" s="407">
        <v>-1131.8040000000001</v>
      </c>
      <c r="DZ247" s="407">
        <v>139.10807999999997</v>
      </c>
      <c r="EA247" s="407">
        <v>0</v>
      </c>
      <c r="EB247" s="407">
        <v>0</v>
      </c>
      <c r="EC247" s="407">
        <v>-1080.0674510418962</v>
      </c>
      <c r="ED247" s="407">
        <v>0</v>
      </c>
      <c r="EE247" s="407">
        <v>0</v>
      </c>
      <c r="EF247" s="407">
        <v>0</v>
      </c>
      <c r="EG247" s="407">
        <v>0</v>
      </c>
      <c r="EH247" s="407">
        <v>0</v>
      </c>
      <c r="EI247" s="407">
        <v>0</v>
      </c>
      <c r="EJ247" s="407">
        <v>0</v>
      </c>
      <c r="EK247" s="407">
        <v>0</v>
      </c>
      <c r="EL247" s="407">
        <v>0</v>
      </c>
      <c r="EM247" s="407">
        <v>0</v>
      </c>
      <c r="EN247" s="407">
        <v>0</v>
      </c>
      <c r="EO247" s="407">
        <v>0</v>
      </c>
      <c r="EP247" s="407">
        <v>148.64966738528551</v>
      </c>
      <c r="EQ247" s="407">
        <v>0</v>
      </c>
      <c r="ER247" s="407">
        <v>0</v>
      </c>
      <c r="ES247" s="407">
        <v>0</v>
      </c>
      <c r="ET247" s="407">
        <v>0</v>
      </c>
      <c r="EU247" s="407">
        <v>0</v>
      </c>
      <c r="EV247" s="407">
        <v>246</v>
      </c>
      <c r="EW247" s="407">
        <v>0</v>
      </c>
      <c r="EX247" s="407">
        <v>0</v>
      </c>
      <c r="EY247" s="407">
        <v>0</v>
      </c>
      <c r="EZ247" s="407"/>
      <c r="FA247" s="407">
        <v>0</v>
      </c>
      <c r="FB247" s="407"/>
      <c r="FC247" s="407"/>
      <c r="FD247" s="407"/>
      <c r="FE247" s="407"/>
      <c r="FF247" s="407">
        <v>0</v>
      </c>
      <c r="FG247" s="407">
        <v>0</v>
      </c>
      <c r="FH247" s="407">
        <v>0</v>
      </c>
      <c r="FI247" s="407">
        <v>0</v>
      </c>
    </row>
    <row r="248" spans="1:165">
      <c r="A248" s="407">
        <v>263</v>
      </c>
      <c r="B248" s="407" t="s">
        <v>1090</v>
      </c>
      <c r="C248" s="407" t="s">
        <v>2306</v>
      </c>
      <c r="D248" s="407" t="s">
        <v>1218</v>
      </c>
      <c r="E248" s="407" t="s">
        <v>1021</v>
      </c>
      <c r="F248" s="407" t="s">
        <v>1021</v>
      </c>
      <c r="G248" s="407" t="s">
        <v>97</v>
      </c>
      <c r="H248" s="407" t="s">
        <v>97</v>
      </c>
      <c r="I248" s="407" t="s">
        <v>97</v>
      </c>
      <c r="J248" s="407" t="s">
        <v>2307</v>
      </c>
      <c r="K248" s="818">
        <v>44501</v>
      </c>
      <c r="L248" s="407">
        <v>0</v>
      </c>
      <c r="M248" s="407">
        <v>0</v>
      </c>
      <c r="N248" s="407">
        <v>1185.482</v>
      </c>
      <c r="O248" s="407">
        <v>1185.482</v>
      </c>
      <c r="P248" s="407">
        <v>1185.482</v>
      </c>
      <c r="Q248" s="407">
        <v>1185.482</v>
      </c>
      <c r="R248" s="407"/>
      <c r="S248" s="407">
        <v>648.44000000000005</v>
      </c>
      <c r="T248" s="407">
        <v>159.41</v>
      </c>
      <c r="U248" s="407"/>
      <c r="V248" s="407">
        <v>957691.63370000001</v>
      </c>
      <c r="W248" s="407">
        <v>957691.63370000001</v>
      </c>
      <c r="X248" s="407">
        <v>725301.59724000003</v>
      </c>
      <c r="Y248" s="407">
        <v>0</v>
      </c>
      <c r="Z248" s="407">
        <v>73464.616657361606</v>
      </c>
      <c r="AA248" s="407">
        <v>0</v>
      </c>
      <c r="AB248" s="407">
        <v>0</v>
      </c>
      <c r="AC248" s="407">
        <v>0</v>
      </c>
      <c r="AD248" s="407">
        <v>138279.86767455461</v>
      </c>
      <c r="AE248" s="407">
        <v>494993.25625024561</v>
      </c>
      <c r="AF248" s="407">
        <v>182837.73851048987</v>
      </c>
      <c r="AG248" s="407">
        <v>6142.8680793299609</v>
      </c>
      <c r="AH248" s="407">
        <v>0</v>
      </c>
      <c r="AI248" s="407">
        <v>0</v>
      </c>
      <c r="AJ248" s="407">
        <v>0</v>
      </c>
      <c r="AK248" s="407">
        <v>0</v>
      </c>
      <c r="AL248" s="407">
        <v>11352.241249308483</v>
      </c>
      <c r="AM248" s="407"/>
      <c r="AN248" s="407">
        <v>2459.9885300655669</v>
      </c>
      <c r="AO248" s="407">
        <v>0</v>
      </c>
      <c r="AP248" s="407">
        <v>0</v>
      </c>
      <c r="AQ248" s="407">
        <v>0</v>
      </c>
      <c r="AR248" s="407">
        <v>0</v>
      </c>
      <c r="AS248" s="407">
        <v>0</v>
      </c>
      <c r="AT248" s="407">
        <v>0</v>
      </c>
      <c r="AU248" s="407">
        <v>0</v>
      </c>
      <c r="AV248" s="407">
        <v>0</v>
      </c>
      <c r="AW248" s="407">
        <v>0</v>
      </c>
      <c r="AX248" s="407">
        <v>0</v>
      </c>
      <c r="AY248" s="407">
        <v>0</v>
      </c>
      <c r="AZ248" s="407">
        <v>0</v>
      </c>
      <c r="BA248" s="407"/>
      <c r="BB248" s="407">
        <v>0</v>
      </c>
      <c r="BC248" s="407">
        <v>0</v>
      </c>
      <c r="BD248" s="407">
        <v>0</v>
      </c>
      <c r="BE248" s="407">
        <v>0</v>
      </c>
      <c r="BF248" s="407">
        <v>0</v>
      </c>
      <c r="BG248" s="407">
        <v>13364.854840883041</v>
      </c>
      <c r="BH248" s="407">
        <v>0</v>
      </c>
      <c r="BI248" s="407">
        <v>6025.14</v>
      </c>
      <c r="BJ248" s="407">
        <v>27135.47</v>
      </c>
      <c r="BK248" s="407">
        <v>390628.64</v>
      </c>
      <c r="BL248" s="407">
        <v>7244</v>
      </c>
      <c r="BM248" s="407"/>
      <c r="BN248" s="407"/>
      <c r="BO248" s="407"/>
      <c r="BP248" s="407"/>
      <c r="BQ248" s="407"/>
      <c r="BR248" s="407"/>
      <c r="BS248" s="407"/>
      <c r="BT248" s="407"/>
      <c r="BU248" s="407"/>
      <c r="BV248" s="407">
        <v>196202.59335137293</v>
      </c>
      <c r="BW248" s="407"/>
      <c r="BX248" s="407"/>
      <c r="BY248" s="407"/>
      <c r="BZ248" s="407"/>
      <c r="CA248" s="407"/>
      <c r="CB248" s="407"/>
      <c r="CC248" s="407"/>
      <c r="CD248" s="407"/>
      <c r="CE248" s="407"/>
      <c r="CF248" s="407"/>
      <c r="CG248" s="407"/>
      <c r="CH248" s="407"/>
      <c r="CI248" s="407">
        <v>725300.37360000005</v>
      </c>
      <c r="CJ248" s="407">
        <v>-232391.29009999998</v>
      </c>
      <c r="CK248" s="407"/>
      <c r="CL248" s="407"/>
      <c r="CM248" s="407"/>
      <c r="CN248" s="407"/>
      <c r="CO248" s="407">
        <v>-264955.22700000007</v>
      </c>
      <c r="CP248" s="407">
        <v>32565.19054</v>
      </c>
      <c r="CQ248" s="407">
        <v>30</v>
      </c>
      <c r="CR248" s="407">
        <v>20454.32778523874</v>
      </c>
      <c r="CS248" s="407">
        <v>0</v>
      </c>
      <c r="CT248" s="407">
        <v>0</v>
      </c>
      <c r="CU248" s="407">
        <v>0</v>
      </c>
      <c r="CV248" s="407">
        <v>0</v>
      </c>
      <c r="CW248" s="407">
        <v>0</v>
      </c>
      <c r="CX248" s="407">
        <v>0</v>
      </c>
      <c r="CY248" s="407">
        <v>0</v>
      </c>
      <c r="CZ248" s="407">
        <v>6246.375805568794</v>
      </c>
      <c r="DA248" s="407">
        <v>0</v>
      </c>
      <c r="DB248" s="407">
        <v>0</v>
      </c>
      <c r="DC248" s="407">
        <v>36251.786041989195</v>
      </c>
      <c r="DD248" s="407">
        <v>0</v>
      </c>
      <c r="DE248" s="407">
        <v>0</v>
      </c>
      <c r="DF248" s="407">
        <v>0</v>
      </c>
      <c r="DG248" s="407">
        <v>2649.8897991244885</v>
      </c>
      <c r="DH248" s="407">
        <v>0</v>
      </c>
      <c r="DI248" s="407">
        <v>-5145.6066777555243</v>
      </c>
      <c r="DJ248" s="407"/>
      <c r="DK248" s="407">
        <v>0</v>
      </c>
      <c r="DL248" s="407">
        <v>0</v>
      </c>
      <c r="DM248" s="407">
        <v>0</v>
      </c>
      <c r="DN248" s="407">
        <v>0</v>
      </c>
      <c r="DO248" s="407">
        <v>-692.61586969414202</v>
      </c>
      <c r="DP248" s="407">
        <v>-156.74453022418265</v>
      </c>
      <c r="DQ248" s="407">
        <v>0</v>
      </c>
      <c r="DR248" s="407">
        <v>-18698.756783769917</v>
      </c>
      <c r="DS248" s="407"/>
      <c r="DT248" s="407"/>
      <c r="DU248" s="407"/>
      <c r="DV248" s="407">
        <v>494993.25625024561</v>
      </c>
      <c r="DW248" s="407">
        <v>0</v>
      </c>
      <c r="DX248" s="407">
        <v>0</v>
      </c>
      <c r="DY248" s="407">
        <v>-264955.22700000001</v>
      </c>
      <c r="DZ248" s="407">
        <v>32565.190539999981</v>
      </c>
      <c r="EA248" s="407">
        <v>0</v>
      </c>
      <c r="EB248" s="407">
        <v>0</v>
      </c>
      <c r="EC248" s="407">
        <v>-252843.70497552308</v>
      </c>
      <c r="ED248" s="407">
        <v>0</v>
      </c>
      <c r="EE248" s="407">
        <v>0</v>
      </c>
      <c r="EF248" s="407">
        <v>0</v>
      </c>
      <c r="EG248" s="407">
        <v>0</v>
      </c>
      <c r="EH248" s="407">
        <v>0</v>
      </c>
      <c r="EI248" s="407">
        <v>0</v>
      </c>
      <c r="EJ248" s="407">
        <v>0</v>
      </c>
      <c r="EK248" s="407">
        <v>0</v>
      </c>
      <c r="EL248" s="407">
        <v>0</v>
      </c>
      <c r="EM248" s="407">
        <v>0</v>
      </c>
      <c r="EN248" s="407">
        <v>0</v>
      </c>
      <c r="EO248" s="407">
        <v>0</v>
      </c>
      <c r="EP248" s="407">
        <v>34798.87539321545</v>
      </c>
      <c r="EQ248" s="407">
        <v>0</v>
      </c>
      <c r="ER248" s="407">
        <v>0</v>
      </c>
      <c r="ES248" s="407">
        <v>0</v>
      </c>
      <c r="ET248" s="407">
        <v>0</v>
      </c>
      <c r="EU248" s="407">
        <v>0</v>
      </c>
      <c r="EV248" s="407">
        <v>246</v>
      </c>
      <c r="EW248" s="407">
        <v>0</v>
      </c>
      <c r="EX248" s="407">
        <v>0</v>
      </c>
      <c r="EY248" s="407">
        <v>0</v>
      </c>
      <c r="EZ248" s="407"/>
      <c r="FA248" s="407">
        <v>0</v>
      </c>
      <c r="FB248" s="407"/>
      <c r="FC248" s="407"/>
      <c r="FD248" s="407"/>
      <c r="FE248" s="407"/>
      <c r="FF248" s="407">
        <v>0</v>
      </c>
      <c r="FG248" s="407">
        <v>0</v>
      </c>
      <c r="FH248" s="407">
        <v>0</v>
      </c>
      <c r="FI248" s="407">
        <v>0</v>
      </c>
    </row>
    <row r="249" spans="1:165">
      <c r="A249" s="407">
        <v>264</v>
      </c>
      <c r="B249" s="407" t="s">
        <v>2308</v>
      </c>
      <c r="C249" s="407" t="s">
        <v>2306</v>
      </c>
      <c r="D249" s="407" t="s">
        <v>1218</v>
      </c>
      <c r="E249" s="407" t="s">
        <v>1021</v>
      </c>
      <c r="F249" s="407" t="s">
        <v>1021</v>
      </c>
      <c r="G249" s="407" t="s">
        <v>97</v>
      </c>
      <c r="H249" s="407" t="s">
        <v>97</v>
      </c>
      <c r="I249" s="407" t="s">
        <v>97</v>
      </c>
      <c r="J249" s="407" t="s">
        <v>2307</v>
      </c>
      <c r="K249" s="818">
        <v>44501</v>
      </c>
      <c r="L249" s="407">
        <v>0</v>
      </c>
      <c r="M249" s="407">
        <v>0</v>
      </c>
      <c r="N249" s="407">
        <v>-1.2E-2</v>
      </c>
      <c r="O249" s="407">
        <v>-1.2E-2</v>
      </c>
      <c r="P249" s="407">
        <v>-1.2E-2</v>
      </c>
      <c r="Q249" s="407">
        <v>-1.2E-2</v>
      </c>
      <c r="R249" s="407"/>
      <c r="S249" s="407">
        <v>648.44000000000005</v>
      </c>
      <c r="T249" s="407">
        <v>159.41</v>
      </c>
      <c r="U249" s="407"/>
      <c r="V249" s="407">
        <v>-9.6942000000000004</v>
      </c>
      <c r="W249" s="407">
        <v>-9.6942000000000004</v>
      </c>
      <c r="X249" s="407">
        <v>-7.3418400000000004</v>
      </c>
      <c r="Y249" s="407">
        <v>0</v>
      </c>
      <c r="Z249" s="407">
        <v>-0.7436430075600805</v>
      </c>
      <c r="AA249" s="407">
        <v>0</v>
      </c>
      <c r="AB249" s="407">
        <v>0</v>
      </c>
      <c r="AC249" s="407">
        <v>0</v>
      </c>
      <c r="AD249" s="407">
        <v>-1.3997331145429921</v>
      </c>
      <c r="AE249" s="407">
        <v>-5.0105518894449244</v>
      </c>
      <c r="AF249" s="407">
        <v>-1.8507686005573079</v>
      </c>
      <c r="AG249" s="407">
        <v>-6.2180966857328525E-2</v>
      </c>
      <c r="AH249" s="407">
        <v>0</v>
      </c>
      <c r="AI249" s="407">
        <v>0</v>
      </c>
      <c r="AJ249" s="407">
        <v>0</v>
      </c>
      <c r="AK249" s="407">
        <v>0</v>
      </c>
      <c r="AL249" s="407">
        <v>-0.11491266420890557</v>
      </c>
      <c r="AM249" s="407"/>
      <c r="AN249" s="407">
        <v>-2.4901147685740317E-2</v>
      </c>
      <c r="AO249" s="407">
        <v>0</v>
      </c>
      <c r="AP249" s="407">
        <v>0</v>
      </c>
      <c r="AQ249" s="407">
        <v>0</v>
      </c>
      <c r="AR249" s="407">
        <v>0</v>
      </c>
      <c r="AS249" s="407">
        <v>0</v>
      </c>
      <c r="AT249" s="407">
        <v>0</v>
      </c>
      <c r="AU249" s="407">
        <v>0</v>
      </c>
      <c r="AV249" s="407">
        <v>0</v>
      </c>
      <c r="AW249" s="407">
        <v>0</v>
      </c>
      <c r="AX249" s="407">
        <v>0</v>
      </c>
      <c r="AY249" s="407">
        <v>0</v>
      </c>
      <c r="AZ249" s="407">
        <v>0</v>
      </c>
      <c r="BA249" s="407"/>
      <c r="BB249" s="407">
        <v>0</v>
      </c>
      <c r="BC249" s="407">
        <v>0</v>
      </c>
      <c r="BD249" s="407">
        <v>0</v>
      </c>
      <c r="BE249" s="407">
        <v>0</v>
      </c>
      <c r="BF249" s="407">
        <v>0</v>
      </c>
      <c r="BG249" s="407">
        <v>-0.13528527475794361</v>
      </c>
      <c r="BH249" s="407">
        <v>0</v>
      </c>
      <c r="BI249" s="407">
        <v>-0.11</v>
      </c>
      <c r="BJ249" s="407">
        <v>-0.51</v>
      </c>
      <c r="BK249" s="407">
        <v>-15.48</v>
      </c>
      <c r="BL249" s="407">
        <v>0</v>
      </c>
      <c r="BM249" s="407"/>
      <c r="BN249" s="407"/>
      <c r="BO249" s="407"/>
      <c r="BP249" s="407"/>
      <c r="BQ249" s="407"/>
      <c r="BR249" s="407"/>
      <c r="BS249" s="407"/>
      <c r="BT249" s="407"/>
      <c r="BU249" s="407"/>
      <c r="BV249" s="407">
        <v>-1.9860538753152515</v>
      </c>
      <c r="BW249" s="407"/>
      <c r="BX249" s="407"/>
      <c r="BY249" s="407"/>
      <c r="BZ249" s="407"/>
      <c r="CA249" s="407"/>
      <c r="CB249" s="407"/>
      <c r="CC249" s="407"/>
      <c r="CD249" s="407"/>
      <c r="CE249" s="407"/>
      <c r="CF249" s="407"/>
      <c r="CG249" s="407"/>
      <c r="CH249" s="407"/>
      <c r="CI249" s="407">
        <v>-6.1181999999999999</v>
      </c>
      <c r="CJ249" s="407">
        <v>3.5460000000000012</v>
      </c>
      <c r="CK249" s="407"/>
      <c r="CL249" s="407"/>
      <c r="CM249" s="407"/>
      <c r="CN249" s="407"/>
      <c r="CO249" s="407">
        <v>2.6820000000000008</v>
      </c>
      <c r="CP249" s="407">
        <v>-0.32963999999999999</v>
      </c>
      <c r="CQ249" s="407">
        <v>30</v>
      </c>
      <c r="CR249" s="407">
        <v>-0.20704821618789992</v>
      </c>
      <c r="CS249" s="407">
        <v>0</v>
      </c>
      <c r="CT249" s="407">
        <v>0</v>
      </c>
      <c r="CU249" s="407">
        <v>0</v>
      </c>
      <c r="CV249" s="407">
        <v>0</v>
      </c>
      <c r="CW249" s="407">
        <v>0</v>
      </c>
      <c r="CX249" s="407">
        <v>0</v>
      </c>
      <c r="CY249" s="407">
        <v>0</v>
      </c>
      <c r="CZ249" s="407">
        <v>-6.3228720188772014E-2</v>
      </c>
      <c r="DA249" s="407">
        <v>0</v>
      </c>
      <c r="DB249" s="407">
        <v>0</v>
      </c>
      <c r="DC249" s="407">
        <v>-0.36695743377282009</v>
      </c>
      <c r="DD249" s="407">
        <v>0</v>
      </c>
      <c r="DE249" s="407">
        <v>0</v>
      </c>
      <c r="DF249" s="407">
        <v>0</v>
      </c>
      <c r="DG249" s="407">
        <v>-2.6823416626733987E-2</v>
      </c>
      <c r="DH249" s="407">
        <v>0</v>
      </c>
      <c r="DI249" s="407">
        <v>5.208622326873491E-2</v>
      </c>
      <c r="DJ249" s="407"/>
      <c r="DK249" s="407">
        <v>0</v>
      </c>
      <c r="DL249" s="407">
        <v>0</v>
      </c>
      <c r="DM249" s="407">
        <v>0</v>
      </c>
      <c r="DN249" s="407">
        <v>0</v>
      </c>
      <c r="DO249" s="407">
        <v>7.0109798683823943E-3</v>
      </c>
      <c r="DP249" s="407">
        <v>1.5866410141108754E-3</v>
      </c>
      <c r="DQ249" s="407">
        <v>0</v>
      </c>
      <c r="DR249" s="407">
        <v>0.18927751024919737</v>
      </c>
      <c r="DS249" s="407"/>
      <c r="DT249" s="407"/>
      <c r="DU249" s="407"/>
      <c r="DV249" s="407">
        <v>-5.0105518894449244</v>
      </c>
      <c r="DW249" s="407">
        <v>0</v>
      </c>
      <c r="DX249" s="407">
        <v>0</v>
      </c>
      <c r="DY249" s="407">
        <v>2.6820000000000004</v>
      </c>
      <c r="DZ249" s="407">
        <v>-0.32964000000000016</v>
      </c>
      <c r="EA249" s="407">
        <v>0</v>
      </c>
      <c r="EB249" s="407">
        <v>0</v>
      </c>
      <c r="EC249" s="407">
        <v>2.5594015427533083</v>
      </c>
      <c r="ED249" s="407">
        <v>0</v>
      </c>
      <c r="EE249" s="407">
        <v>0</v>
      </c>
      <c r="EF249" s="407">
        <v>0</v>
      </c>
      <c r="EG249" s="407">
        <v>0</v>
      </c>
      <c r="EH249" s="407">
        <v>0</v>
      </c>
      <c r="EI249" s="407">
        <v>0</v>
      </c>
      <c r="EJ249" s="407">
        <v>0</v>
      </c>
      <c r="EK249" s="407">
        <v>0</v>
      </c>
      <c r="EL249" s="407">
        <v>0</v>
      </c>
      <c r="EM249" s="407">
        <v>0</v>
      </c>
      <c r="EN249" s="407">
        <v>0</v>
      </c>
      <c r="EO249" s="407">
        <v>0</v>
      </c>
      <c r="EP249" s="407">
        <v>-0.35225039664759605</v>
      </c>
      <c r="EQ249" s="407">
        <v>0</v>
      </c>
      <c r="ER249" s="407">
        <v>0</v>
      </c>
      <c r="ES249" s="407">
        <v>0</v>
      </c>
      <c r="ET249" s="407">
        <v>0</v>
      </c>
      <c r="EU249" s="407">
        <v>0</v>
      </c>
      <c r="EV249" s="407">
        <v>246</v>
      </c>
      <c r="EW249" s="407">
        <v>0</v>
      </c>
      <c r="EX249" s="407">
        <v>0</v>
      </c>
      <c r="EY249" s="407">
        <v>0</v>
      </c>
      <c r="EZ249" s="407"/>
      <c r="FA249" s="407">
        <v>0</v>
      </c>
      <c r="FB249" s="407"/>
      <c r="FC249" s="407"/>
      <c r="FD249" s="407"/>
      <c r="FE249" s="407"/>
      <c r="FF249" s="407">
        <v>0</v>
      </c>
      <c r="FG249" s="407">
        <v>0</v>
      </c>
      <c r="FH249" s="407">
        <v>0</v>
      </c>
      <c r="FI249" s="407">
        <v>0</v>
      </c>
    </row>
    <row r="250" spans="1:165">
      <c r="A250" s="407">
        <v>265</v>
      </c>
      <c r="B250" s="407" t="s">
        <v>2309</v>
      </c>
      <c r="C250" s="407" t="s">
        <v>2306</v>
      </c>
      <c r="D250" s="407" t="s">
        <v>1218</v>
      </c>
      <c r="E250" s="407" t="s">
        <v>1021</v>
      </c>
      <c r="F250" s="407" t="s">
        <v>1021</v>
      </c>
      <c r="G250" s="407" t="s">
        <v>97</v>
      </c>
      <c r="H250" s="407" t="s">
        <v>97</v>
      </c>
      <c r="I250" s="407" t="s">
        <v>97</v>
      </c>
      <c r="J250" s="407" t="s">
        <v>2307</v>
      </c>
      <c r="K250" s="818">
        <v>44501</v>
      </c>
      <c r="L250" s="407">
        <v>0</v>
      </c>
      <c r="M250" s="407">
        <v>0</v>
      </c>
      <c r="N250" s="407">
        <v>15.622999999999999</v>
      </c>
      <c r="O250" s="407">
        <v>15.622999999999999</v>
      </c>
      <c r="P250" s="407">
        <v>15.622999999999999</v>
      </c>
      <c r="Q250" s="407">
        <v>15.622999999999999</v>
      </c>
      <c r="R250" s="407"/>
      <c r="S250" s="407">
        <v>648.44000000000005</v>
      </c>
      <c r="T250" s="407">
        <v>159.41</v>
      </c>
      <c r="U250" s="407"/>
      <c r="V250" s="407">
        <v>12621.04055</v>
      </c>
      <c r="W250" s="407">
        <v>12621.04055</v>
      </c>
      <c r="X250" s="407">
        <v>9558.4638599999998</v>
      </c>
      <c r="Y250" s="407">
        <v>0</v>
      </c>
      <c r="Z250" s="407">
        <v>968.16122559259463</v>
      </c>
      <c r="AA250" s="407">
        <v>0</v>
      </c>
      <c r="AB250" s="407">
        <v>0</v>
      </c>
      <c r="AC250" s="407">
        <v>0</v>
      </c>
      <c r="AD250" s="407">
        <v>1822.3358707087637</v>
      </c>
      <c r="AE250" s="407">
        <v>6523.3210140665042</v>
      </c>
      <c r="AF250" s="407">
        <v>2409.5464872089015</v>
      </c>
      <c r="AG250" s="407">
        <v>80.95443710100362</v>
      </c>
      <c r="AH250" s="407">
        <v>0</v>
      </c>
      <c r="AI250" s="407">
        <v>0</v>
      </c>
      <c r="AJ250" s="407">
        <v>0</v>
      </c>
      <c r="AK250" s="407">
        <v>0</v>
      </c>
      <c r="AL250" s="407">
        <v>149.60671274464431</v>
      </c>
      <c r="AM250" s="407"/>
      <c r="AN250" s="407">
        <v>32.419219191193413</v>
      </c>
      <c r="AO250" s="407">
        <v>0</v>
      </c>
      <c r="AP250" s="407">
        <v>0</v>
      </c>
      <c r="AQ250" s="407">
        <v>0</v>
      </c>
      <c r="AR250" s="407">
        <v>0</v>
      </c>
      <c r="AS250" s="407">
        <v>0</v>
      </c>
      <c r="AT250" s="407">
        <v>0</v>
      </c>
      <c r="AU250" s="407">
        <v>0</v>
      </c>
      <c r="AV250" s="407">
        <v>0</v>
      </c>
      <c r="AW250" s="407">
        <v>0</v>
      </c>
      <c r="AX250" s="407">
        <v>0</v>
      </c>
      <c r="AY250" s="407">
        <v>0</v>
      </c>
      <c r="AZ250" s="407">
        <v>0</v>
      </c>
      <c r="BA250" s="407"/>
      <c r="BB250" s="407">
        <v>0</v>
      </c>
      <c r="BC250" s="407">
        <v>0</v>
      </c>
      <c r="BD250" s="407">
        <v>0</v>
      </c>
      <c r="BE250" s="407">
        <v>0</v>
      </c>
      <c r="BF250" s="407">
        <v>0</v>
      </c>
      <c r="BG250" s="407">
        <v>176.13015396194606</v>
      </c>
      <c r="BH250" s="407">
        <v>0</v>
      </c>
      <c r="BI250" s="407">
        <v>79.27</v>
      </c>
      <c r="BJ250" s="407">
        <v>358.81</v>
      </c>
      <c r="BK250" s="407">
        <v>16783.259999999998</v>
      </c>
      <c r="BL250" s="407">
        <v>200</v>
      </c>
      <c r="BM250" s="407"/>
      <c r="BN250" s="407"/>
      <c r="BO250" s="407"/>
      <c r="BP250" s="407"/>
      <c r="BQ250" s="407"/>
      <c r="BR250" s="407"/>
      <c r="BS250" s="407"/>
      <c r="BT250" s="407"/>
      <c r="BU250" s="407"/>
      <c r="BV250" s="407">
        <v>2585.6766411708477</v>
      </c>
      <c r="BW250" s="407"/>
      <c r="BX250" s="407"/>
      <c r="BY250" s="407"/>
      <c r="BZ250" s="407"/>
      <c r="CA250" s="407"/>
      <c r="CB250" s="407"/>
      <c r="CC250" s="407"/>
      <c r="CD250" s="407"/>
      <c r="CE250" s="407"/>
      <c r="CF250" s="407"/>
      <c r="CG250" s="407"/>
      <c r="CH250" s="407"/>
      <c r="CI250" s="407">
        <v>9556.6283999999996</v>
      </c>
      <c r="CJ250" s="407">
        <v>-3064.4421500000008</v>
      </c>
      <c r="CK250" s="407"/>
      <c r="CL250" s="407"/>
      <c r="CM250" s="407"/>
      <c r="CN250" s="407"/>
      <c r="CO250" s="407">
        <v>-3491.7405000000008</v>
      </c>
      <c r="CP250" s="407">
        <v>429.16380999999996</v>
      </c>
      <c r="CQ250" s="407">
        <v>30</v>
      </c>
      <c r="CR250" s="407">
        <v>269.55952345862988</v>
      </c>
      <c r="CS250" s="407">
        <v>0</v>
      </c>
      <c r="CT250" s="407">
        <v>0</v>
      </c>
      <c r="CU250" s="407">
        <v>0</v>
      </c>
      <c r="CV250" s="407">
        <v>0</v>
      </c>
      <c r="CW250" s="407">
        <v>0</v>
      </c>
      <c r="CX250" s="407">
        <v>0</v>
      </c>
      <c r="CY250" s="407">
        <v>0</v>
      </c>
      <c r="CZ250" s="407">
        <v>82.318524625765349</v>
      </c>
      <c r="DA250" s="407">
        <v>0</v>
      </c>
      <c r="DB250" s="407">
        <v>0</v>
      </c>
      <c r="DC250" s="407">
        <v>477.74799898606398</v>
      </c>
      <c r="DD250" s="407">
        <v>0</v>
      </c>
      <c r="DE250" s="407">
        <v>0</v>
      </c>
      <c r="DF250" s="407">
        <v>0</v>
      </c>
      <c r="DG250" s="407">
        <v>34.921853163288773</v>
      </c>
      <c r="DH250" s="407">
        <v>0</v>
      </c>
      <c r="DI250" s="407">
        <v>-67.811922177286988</v>
      </c>
      <c r="DJ250" s="407"/>
      <c r="DK250" s="407">
        <v>0</v>
      </c>
      <c r="DL250" s="407">
        <v>0</v>
      </c>
      <c r="DM250" s="407">
        <v>0</v>
      </c>
      <c r="DN250" s="407">
        <v>0</v>
      </c>
      <c r="DO250" s="407">
        <v>-9.1277115403115374</v>
      </c>
      <c r="DP250" s="407">
        <v>-2.0656743802878523</v>
      </c>
      <c r="DQ250" s="407">
        <v>0</v>
      </c>
      <c r="DR250" s="407">
        <v>-246.42354521860085</v>
      </c>
      <c r="DS250" s="407"/>
      <c r="DT250" s="407"/>
      <c r="DU250" s="407"/>
      <c r="DV250" s="407">
        <v>6523.3210140665042</v>
      </c>
      <c r="DW250" s="407">
        <v>0</v>
      </c>
      <c r="DX250" s="407">
        <v>0</v>
      </c>
      <c r="DY250" s="407">
        <v>-3491.7405000000008</v>
      </c>
      <c r="DZ250" s="407">
        <v>429.16380999999956</v>
      </c>
      <c r="EA250" s="407">
        <v>0</v>
      </c>
      <c r="EB250" s="407">
        <v>0</v>
      </c>
      <c r="EC250" s="407">
        <v>-3332.1275252029109</v>
      </c>
      <c r="ED250" s="407">
        <v>0</v>
      </c>
      <c r="EE250" s="407">
        <v>0</v>
      </c>
      <c r="EF250" s="407">
        <v>0</v>
      </c>
      <c r="EG250" s="407">
        <v>0</v>
      </c>
      <c r="EH250" s="407">
        <v>0</v>
      </c>
      <c r="EI250" s="407">
        <v>0</v>
      </c>
      <c r="EJ250" s="407">
        <v>0</v>
      </c>
      <c r="EK250" s="407">
        <v>0</v>
      </c>
      <c r="EL250" s="407">
        <v>0</v>
      </c>
      <c r="EM250" s="407">
        <v>0</v>
      </c>
      <c r="EN250" s="407">
        <v>0</v>
      </c>
      <c r="EO250" s="407">
        <v>0</v>
      </c>
      <c r="EP250" s="407">
        <v>458.60066223544936</v>
      </c>
      <c r="EQ250" s="407">
        <v>0</v>
      </c>
      <c r="ER250" s="407">
        <v>0</v>
      </c>
      <c r="ES250" s="407">
        <v>0</v>
      </c>
      <c r="ET250" s="407">
        <v>0</v>
      </c>
      <c r="EU250" s="407">
        <v>0</v>
      </c>
      <c r="EV250" s="407">
        <v>246</v>
      </c>
      <c r="EW250" s="407">
        <v>0</v>
      </c>
      <c r="EX250" s="407">
        <v>0</v>
      </c>
      <c r="EY250" s="407">
        <v>0</v>
      </c>
      <c r="EZ250" s="407"/>
      <c r="FA250" s="407">
        <v>0</v>
      </c>
      <c r="FB250" s="407"/>
      <c r="FC250" s="407"/>
      <c r="FD250" s="407"/>
      <c r="FE250" s="407"/>
      <c r="FF250" s="407">
        <v>0</v>
      </c>
      <c r="FG250" s="407">
        <v>0</v>
      </c>
      <c r="FH250" s="407">
        <v>0</v>
      </c>
      <c r="FI250" s="407">
        <v>0</v>
      </c>
    </row>
    <row r="251" spans="1:165">
      <c r="A251" s="407">
        <v>266</v>
      </c>
      <c r="B251" s="407" t="s">
        <v>1090</v>
      </c>
      <c r="C251" s="407" t="s">
        <v>2306</v>
      </c>
      <c r="D251" s="407" t="s">
        <v>1218</v>
      </c>
      <c r="E251" s="407" t="s">
        <v>1021</v>
      </c>
      <c r="F251" s="407" t="s">
        <v>2310</v>
      </c>
      <c r="G251" s="407" t="s">
        <v>97</v>
      </c>
      <c r="H251" s="407" t="s">
        <v>97</v>
      </c>
      <c r="I251" s="407" t="s">
        <v>97</v>
      </c>
      <c r="J251" s="407" t="s">
        <v>2307</v>
      </c>
      <c r="K251" s="818">
        <v>44501</v>
      </c>
      <c r="L251" s="407">
        <v>0</v>
      </c>
      <c r="M251" s="407">
        <v>0</v>
      </c>
      <c r="N251" s="407">
        <v>20.190000000000001</v>
      </c>
      <c r="O251" s="407">
        <v>20.190000000000001</v>
      </c>
      <c r="P251" s="407">
        <v>20.190000000000001</v>
      </c>
      <c r="Q251" s="407">
        <v>20.190000000000001</v>
      </c>
      <c r="R251" s="407"/>
      <c r="S251" s="407">
        <v>547.54</v>
      </c>
      <c r="T251" s="407">
        <v>159.41</v>
      </c>
      <c r="U251" s="407"/>
      <c r="V251" s="407">
        <v>14273.3205</v>
      </c>
      <c r="W251" s="407">
        <v>14273.3205</v>
      </c>
      <c r="X251" s="407">
        <v>10454.7858</v>
      </c>
      <c r="Y251" s="407">
        <v>0</v>
      </c>
      <c r="Z251" s="407">
        <v>0</v>
      </c>
      <c r="AA251" s="407">
        <v>0</v>
      </c>
      <c r="AB251" s="407">
        <v>0</v>
      </c>
      <c r="AC251" s="407">
        <v>0</v>
      </c>
      <c r="AD251" s="407">
        <v>2355.0509652185842</v>
      </c>
      <c r="AE251" s="407">
        <v>8430.2535539910859</v>
      </c>
      <c r="AF251" s="407">
        <v>3113.9181704376706</v>
      </c>
      <c r="AG251" s="407">
        <v>104.61947673745524</v>
      </c>
      <c r="AH251" s="407">
        <v>0</v>
      </c>
      <c r="AI251" s="407">
        <v>0</v>
      </c>
      <c r="AJ251" s="407">
        <v>0</v>
      </c>
      <c r="AK251" s="407">
        <v>0</v>
      </c>
      <c r="AL251" s="407">
        <v>0</v>
      </c>
      <c r="AM251" s="407"/>
      <c r="AN251" s="407">
        <v>41.896180981258084</v>
      </c>
      <c r="AO251" s="407">
        <v>0</v>
      </c>
      <c r="AP251" s="407">
        <v>0</v>
      </c>
      <c r="AQ251" s="407">
        <v>0</v>
      </c>
      <c r="AR251" s="407">
        <v>0</v>
      </c>
      <c r="AS251" s="407">
        <v>0</v>
      </c>
      <c r="AT251" s="407">
        <v>0</v>
      </c>
      <c r="AU251" s="407">
        <v>0</v>
      </c>
      <c r="AV251" s="407">
        <v>0</v>
      </c>
      <c r="AW251" s="407">
        <v>0</v>
      </c>
      <c r="AX251" s="407">
        <v>0</v>
      </c>
      <c r="AY251" s="407">
        <v>0</v>
      </c>
      <c r="AZ251" s="407">
        <v>0</v>
      </c>
      <c r="BA251" s="407"/>
      <c r="BB251" s="407">
        <v>0</v>
      </c>
      <c r="BC251" s="407">
        <v>0</v>
      </c>
      <c r="BD251" s="407">
        <v>0</v>
      </c>
      <c r="BE251" s="407">
        <v>0</v>
      </c>
      <c r="BF251" s="407">
        <v>0</v>
      </c>
      <c r="BG251" s="407">
        <v>227.61747478024012</v>
      </c>
      <c r="BH251" s="407">
        <v>0</v>
      </c>
      <c r="BI251" s="407">
        <v>24.72</v>
      </c>
      <c r="BJ251" s="407">
        <v>101.55</v>
      </c>
      <c r="BK251" s="407">
        <v>1465.96</v>
      </c>
      <c r="BL251" s="407">
        <v>23</v>
      </c>
      <c r="BM251" s="407"/>
      <c r="BN251" s="407"/>
      <c r="BO251" s="407"/>
      <c r="BP251" s="407"/>
      <c r="BQ251" s="407"/>
      <c r="BR251" s="407"/>
      <c r="BS251" s="407"/>
      <c r="BT251" s="407">
        <v>6795.5502000000006</v>
      </c>
      <c r="BU251" s="407"/>
      <c r="BV251" s="407">
        <v>3341.5356452179108</v>
      </c>
      <c r="BW251" s="407"/>
      <c r="BX251" s="407"/>
      <c r="BY251" s="407"/>
      <c r="BZ251" s="407"/>
      <c r="CA251" s="407"/>
      <c r="CB251" s="407"/>
      <c r="CC251" s="407"/>
      <c r="CD251" s="407"/>
      <c r="CE251" s="407"/>
      <c r="CF251" s="407"/>
      <c r="CG251" s="407"/>
      <c r="CH251" s="407"/>
      <c r="CI251" s="407">
        <v>3659.2356</v>
      </c>
      <c r="CJ251" s="407">
        <v>-1336.4061000000011</v>
      </c>
      <c r="CK251" s="407"/>
      <c r="CL251" s="407"/>
      <c r="CM251" s="407"/>
      <c r="CN251" s="407"/>
      <c r="CO251" s="407">
        <v>-4373.1539999999995</v>
      </c>
      <c r="CP251" s="407">
        <v>554.61930000000007</v>
      </c>
      <c r="CQ251" s="407">
        <v>30</v>
      </c>
      <c r="CR251" s="407">
        <v>487.56515345528624</v>
      </c>
      <c r="CS251" s="407">
        <v>0</v>
      </c>
      <c r="CT251" s="407">
        <v>0</v>
      </c>
      <c r="CU251" s="407">
        <v>0</v>
      </c>
      <c r="CV251" s="407">
        <v>0</v>
      </c>
      <c r="CW251" s="407">
        <v>0</v>
      </c>
      <c r="CX251" s="407">
        <v>0</v>
      </c>
      <c r="CY251" s="407">
        <v>0</v>
      </c>
      <c r="CZ251" s="407">
        <v>106.38232171760865</v>
      </c>
      <c r="DA251" s="407">
        <v>0</v>
      </c>
      <c r="DB251" s="407">
        <v>0</v>
      </c>
      <c r="DC251" s="407">
        <v>617.40588232277014</v>
      </c>
      <c r="DD251" s="407">
        <v>0</v>
      </c>
      <c r="DE251" s="407">
        <v>0</v>
      </c>
      <c r="DF251" s="407">
        <v>0</v>
      </c>
      <c r="DG251" s="407">
        <v>45.130398474479989</v>
      </c>
      <c r="DH251" s="407">
        <v>0</v>
      </c>
      <c r="DI251" s="407">
        <v>0</v>
      </c>
      <c r="DJ251" s="407"/>
      <c r="DK251" s="407">
        <v>0</v>
      </c>
      <c r="DL251" s="407">
        <v>0</v>
      </c>
      <c r="DM251" s="407">
        <v>0</v>
      </c>
      <c r="DN251" s="407">
        <v>0</v>
      </c>
      <c r="DO251" s="407">
        <v>0</v>
      </c>
      <c r="DP251" s="407">
        <v>-2.6695235062415463</v>
      </c>
      <c r="DQ251" s="407">
        <v>0</v>
      </c>
      <c r="DR251" s="407">
        <v>-278.68392555333082</v>
      </c>
      <c r="DS251" s="407"/>
      <c r="DT251" s="407"/>
      <c r="DU251" s="407"/>
      <c r="DV251" s="407">
        <v>8430.2535539910859</v>
      </c>
      <c r="DW251" s="407">
        <v>0</v>
      </c>
      <c r="DX251" s="407">
        <v>0</v>
      </c>
      <c r="DY251" s="407">
        <v>-4373.1539999999995</v>
      </c>
      <c r="DZ251" s="407">
        <v>554.61929999999984</v>
      </c>
      <c r="EA251" s="407">
        <v>0</v>
      </c>
      <c r="EB251" s="407">
        <v>0</v>
      </c>
      <c r="EC251" s="407">
        <v>-4306.1930956824417</v>
      </c>
      <c r="ED251" s="407">
        <v>0</v>
      </c>
      <c r="EE251" s="407">
        <v>0</v>
      </c>
      <c r="EF251" s="407">
        <v>0</v>
      </c>
      <c r="EG251" s="407">
        <v>0</v>
      </c>
      <c r="EH251" s="407">
        <v>0</v>
      </c>
      <c r="EI251" s="407">
        <v>0</v>
      </c>
      <c r="EJ251" s="407">
        <v>0</v>
      </c>
      <c r="EK251" s="407">
        <v>0</v>
      </c>
      <c r="EL251" s="407">
        <v>0</v>
      </c>
      <c r="EM251" s="407">
        <v>0</v>
      </c>
      <c r="EN251" s="407">
        <v>0</v>
      </c>
      <c r="EO251" s="407">
        <v>0</v>
      </c>
      <c r="EP251" s="407">
        <v>0</v>
      </c>
      <c r="EQ251" s="407">
        <v>0</v>
      </c>
      <c r="ER251" s="407">
        <v>0</v>
      </c>
      <c r="ES251" s="407">
        <v>0</v>
      </c>
      <c r="ET251" s="407">
        <v>0</v>
      </c>
      <c r="EU251" s="407">
        <v>0</v>
      </c>
      <c r="EV251" s="407">
        <v>246</v>
      </c>
      <c r="EW251" s="407">
        <v>0</v>
      </c>
      <c r="EX251" s="407">
        <v>0</v>
      </c>
      <c r="EY251" s="407">
        <v>0</v>
      </c>
      <c r="EZ251" s="407"/>
      <c r="FA251" s="407">
        <v>0</v>
      </c>
      <c r="FB251" s="407"/>
      <c r="FC251" s="407"/>
      <c r="FD251" s="407"/>
      <c r="FE251" s="407"/>
      <c r="FF251" s="407">
        <v>0</v>
      </c>
      <c r="FG251" s="407">
        <v>0</v>
      </c>
      <c r="FH251" s="407">
        <v>0</v>
      </c>
      <c r="FI251" s="407">
        <v>0</v>
      </c>
    </row>
    <row r="252" spans="1:165">
      <c r="A252" s="407">
        <v>267</v>
      </c>
      <c r="B252" s="407" t="s">
        <v>2309</v>
      </c>
      <c r="C252" s="407" t="s">
        <v>2306</v>
      </c>
      <c r="D252" s="407" t="s">
        <v>1218</v>
      </c>
      <c r="E252" s="407" t="s">
        <v>1021</v>
      </c>
      <c r="F252" s="407" t="s">
        <v>2310</v>
      </c>
      <c r="G252" s="407" t="s">
        <v>97</v>
      </c>
      <c r="H252" s="407" t="s">
        <v>97</v>
      </c>
      <c r="I252" s="407" t="s">
        <v>97</v>
      </c>
      <c r="J252" s="407" t="s">
        <v>2307</v>
      </c>
      <c r="K252" s="818">
        <v>44501</v>
      </c>
      <c r="L252" s="407">
        <v>0</v>
      </c>
      <c r="M252" s="407">
        <v>0</v>
      </c>
      <c r="N252" s="407">
        <v>0</v>
      </c>
      <c r="O252" s="407">
        <v>0</v>
      </c>
      <c r="P252" s="407">
        <v>0</v>
      </c>
      <c r="Q252" s="407">
        <v>0</v>
      </c>
      <c r="R252" s="407"/>
      <c r="S252" s="407"/>
      <c r="T252" s="407"/>
      <c r="U252" s="407"/>
      <c r="V252" s="407"/>
      <c r="W252" s="407"/>
      <c r="X252" s="407"/>
      <c r="Y252" s="407"/>
      <c r="Z252" s="407"/>
      <c r="AA252" s="407">
        <v>0</v>
      </c>
      <c r="AB252" s="407"/>
      <c r="AC252" s="407"/>
      <c r="AD252" s="407"/>
      <c r="AE252" s="407"/>
      <c r="AF252" s="407"/>
      <c r="AG252" s="407"/>
      <c r="AH252" s="407"/>
      <c r="AI252" s="407"/>
      <c r="AJ252" s="407"/>
      <c r="AK252" s="407"/>
      <c r="AL252" s="407"/>
      <c r="AM252" s="407"/>
      <c r="AN252" s="407"/>
      <c r="AO252" s="407"/>
      <c r="AP252" s="407"/>
      <c r="AQ252" s="407"/>
      <c r="AR252" s="407"/>
      <c r="AS252" s="407"/>
      <c r="AT252" s="407"/>
      <c r="AU252" s="407"/>
      <c r="AV252" s="407"/>
      <c r="AW252" s="407"/>
      <c r="AX252" s="407"/>
      <c r="AY252" s="407"/>
      <c r="AZ252" s="407">
        <v>0</v>
      </c>
      <c r="BA252" s="407"/>
      <c r="BB252" s="407"/>
      <c r="BC252" s="407"/>
      <c r="BD252" s="407"/>
      <c r="BE252" s="407"/>
      <c r="BF252" s="407"/>
      <c r="BG252" s="407"/>
      <c r="BH252" s="407"/>
      <c r="BI252" s="407">
        <v>0</v>
      </c>
      <c r="BJ252" s="407">
        <v>0</v>
      </c>
      <c r="BK252" s="407">
        <v>1.48</v>
      </c>
      <c r="BL252" s="407">
        <v>0</v>
      </c>
      <c r="BM252" s="407"/>
      <c r="BN252" s="407"/>
      <c r="BO252" s="407"/>
      <c r="BP252" s="407"/>
      <c r="BQ252" s="407"/>
      <c r="BR252" s="407"/>
      <c r="BS252" s="407"/>
      <c r="BT252" s="407"/>
      <c r="BU252" s="407"/>
      <c r="BV252" s="407"/>
      <c r="BW252" s="407"/>
      <c r="BX252" s="407"/>
      <c r="BY252" s="407"/>
      <c r="BZ252" s="407"/>
      <c r="CA252" s="407"/>
      <c r="CB252" s="407"/>
      <c r="CC252" s="407"/>
      <c r="CD252" s="407"/>
      <c r="CE252" s="407"/>
      <c r="CF252" s="407"/>
      <c r="CG252" s="407"/>
      <c r="CH252" s="407"/>
      <c r="CI252" s="407"/>
      <c r="CJ252" s="407">
        <v>-0.03</v>
      </c>
      <c r="CK252" s="407"/>
      <c r="CL252" s="407"/>
      <c r="CM252" s="407"/>
      <c r="CN252" s="407"/>
      <c r="CO252" s="407">
        <v>0</v>
      </c>
      <c r="CP252" s="407">
        <v>0</v>
      </c>
      <c r="CQ252" s="407">
        <v>30</v>
      </c>
      <c r="CR252" s="407"/>
      <c r="CS252" s="407"/>
      <c r="CT252" s="407"/>
      <c r="CU252" s="407"/>
      <c r="CV252" s="407"/>
      <c r="CW252" s="407"/>
      <c r="CX252" s="407"/>
      <c r="CY252" s="407"/>
      <c r="CZ252" s="407"/>
      <c r="DA252" s="407"/>
      <c r="DB252" s="407"/>
      <c r="DC252" s="407"/>
      <c r="DD252" s="407"/>
      <c r="DE252" s="407"/>
      <c r="DF252" s="407"/>
      <c r="DG252" s="407"/>
      <c r="DH252" s="407"/>
      <c r="DI252" s="407"/>
      <c r="DJ252" s="407"/>
      <c r="DK252" s="407">
        <v>0</v>
      </c>
      <c r="DL252" s="407"/>
      <c r="DM252" s="407"/>
      <c r="DN252" s="407"/>
      <c r="DO252" s="407"/>
      <c r="DP252" s="407"/>
      <c r="DQ252" s="407"/>
      <c r="DR252" s="407"/>
      <c r="DS252" s="407"/>
      <c r="DT252" s="407"/>
      <c r="DU252" s="407"/>
      <c r="DV252" s="407"/>
      <c r="DW252" s="407"/>
      <c r="DX252" s="407"/>
      <c r="DY252" s="407"/>
      <c r="DZ252" s="407"/>
      <c r="EA252" s="407"/>
      <c r="EB252" s="407"/>
      <c r="EC252" s="407"/>
      <c r="ED252" s="407"/>
      <c r="EE252" s="407"/>
      <c r="EF252" s="407"/>
      <c r="EG252" s="407"/>
      <c r="EH252" s="407"/>
      <c r="EI252" s="407"/>
      <c r="EJ252" s="407"/>
      <c r="EK252" s="407"/>
      <c r="EL252" s="407"/>
      <c r="EM252" s="407"/>
      <c r="EN252" s="407"/>
      <c r="EO252" s="407"/>
      <c r="EP252" s="407"/>
      <c r="EQ252" s="407"/>
      <c r="ER252" s="407"/>
      <c r="ES252" s="407"/>
      <c r="ET252" s="407"/>
      <c r="EU252" s="407"/>
      <c r="EV252" s="407">
        <v>246</v>
      </c>
      <c r="EW252" s="407"/>
      <c r="EX252" s="407"/>
      <c r="EY252" s="407"/>
      <c r="EZ252" s="407"/>
      <c r="FA252" s="407">
        <v>0</v>
      </c>
      <c r="FB252" s="407"/>
      <c r="FC252" s="407"/>
      <c r="FD252" s="407"/>
      <c r="FE252" s="407"/>
      <c r="FF252" s="407">
        <v>0</v>
      </c>
      <c r="FG252" s="407">
        <v>0</v>
      </c>
      <c r="FH252" s="407">
        <v>0</v>
      </c>
      <c r="FI252" s="407">
        <v>0</v>
      </c>
    </row>
    <row r="253" spans="1:165">
      <c r="A253" s="407">
        <v>268</v>
      </c>
      <c r="B253" s="407" t="s">
        <v>1090</v>
      </c>
      <c r="C253" s="407" t="s">
        <v>2306</v>
      </c>
      <c r="D253" s="407" t="s">
        <v>1218</v>
      </c>
      <c r="E253" s="407" t="s">
        <v>1021</v>
      </c>
      <c r="F253" s="407" t="s">
        <v>2311</v>
      </c>
      <c r="G253" s="407" t="s">
        <v>97</v>
      </c>
      <c r="H253" s="407" t="s">
        <v>97</v>
      </c>
      <c r="I253" s="407" t="s">
        <v>97</v>
      </c>
      <c r="J253" s="407" t="s">
        <v>2307</v>
      </c>
      <c r="K253" s="818">
        <v>44501</v>
      </c>
      <c r="L253" s="407">
        <v>0</v>
      </c>
      <c r="M253" s="407">
        <v>0</v>
      </c>
      <c r="N253" s="407">
        <v>40.936999999999998</v>
      </c>
      <c r="O253" s="407">
        <v>40.936999999999998</v>
      </c>
      <c r="P253" s="407">
        <v>40.936999999999998</v>
      </c>
      <c r="Q253" s="407">
        <v>40.936999999999998</v>
      </c>
      <c r="R253" s="407"/>
      <c r="S253" s="407">
        <v>547.54</v>
      </c>
      <c r="T253" s="407">
        <v>159.41</v>
      </c>
      <c r="U253" s="407"/>
      <c r="V253" s="407">
        <v>28940.412149999996</v>
      </c>
      <c r="W253" s="407">
        <v>28940.412149999996</v>
      </c>
      <c r="X253" s="407">
        <v>21197.997339999998</v>
      </c>
      <c r="Y253" s="407">
        <v>0</v>
      </c>
      <c r="Z253" s="407">
        <v>0</v>
      </c>
      <c r="AA253" s="407">
        <v>0</v>
      </c>
      <c r="AB253" s="407">
        <v>0</v>
      </c>
      <c r="AC253" s="407">
        <v>0</v>
      </c>
      <c r="AD253" s="407">
        <v>4775.0728758372052</v>
      </c>
      <c r="AE253" s="407">
        <v>17093.080224850572</v>
      </c>
      <c r="AF253" s="407">
        <v>6313.7428500845426</v>
      </c>
      <c r="AG253" s="407">
        <v>212.12518668653814</v>
      </c>
      <c r="AH253" s="407">
        <v>0</v>
      </c>
      <c r="AI253" s="407">
        <v>0</v>
      </c>
      <c r="AJ253" s="407">
        <v>0</v>
      </c>
      <c r="AK253" s="407">
        <v>0</v>
      </c>
      <c r="AL253" s="407">
        <v>0</v>
      </c>
      <c r="AM253" s="407"/>
      <c r="AN253" s="407">
        <v>84.948190234262611</v>
      </c>
      <c r="AO253" s="407">
        <v>0</v>
      </c>
      <c r="AP253" s="407">
        <v>0</v>
      </c>
      <c r="AQ253" s="407">
        <v>0</v>
      </c>
      <c r="AR253" s="407">
        <v>0</v>
      </c>
      <c r="AS253" s="407">
        <v>0</v>
      </c>
      <c r="AT253" s="407">
        <v>0</v>
      </c>
      <c r="AU253" s="407">
        <v>0</v>
      </c>
      <c r="AV253" s="407">
        <v>0</v>
      </c>
      <c r="AW253" s="407">
        <v>0</v>
      </c>
      <c r="AX253" s="407">
        <v>0</v>
      </c>
      <c r="AY253" s="407">
        <v>0</v>
      </c>
      <c r="AZ253" s="407">
        <v>0</v>
      </c>
      <c r="BA253" s="407"/>
      <c r="BB253" s="407">
        <v>0</v>
      </c>
      <c r="BC253" s="407">
        <v>0</v>
      </c>
      <c r="BD253" s="407">
        <v>0</v>
      </c>
      <c r="BE253" s="407">
        <v>0</v>
      </c>
      <c r="BF253" s="407">
        <v>0</v>
      </c>
      <c r="BG253" s="407">
        <v>461.51444106382809</v>
      </c>
      <c r="BH253" s="407">
        <v>0</v>
      </c>
      <c r="BI253" s="407">
        <v>86.75</v>
      </c>
      <c r="BJ253" s="407">
        <v>391.92</v>
      </c>
      <c r="BK253" s="407">
        <v>5688.49</v>
      </c>
      <c r="BL253" s="407">
        <v>167</v>
      </c>
      <c r="BM253" s="407"/>
      <c r="BN253" s="407"/>
      <c r="BO253" s="407"/>
      <c r="BP253" s="407"/>
      <c r="BQ253" s="407"/>
      <c r="BR253" s="407"/>
      <c r="BS253" s="407"/>
      <c r="BT253" s="407">
        <v>8479.2808099999984</v>
      </c>
      <c r="BU253" s="407"/>
      <c r="BV253" s="407">
        <v>6775.2572911483703</v>
      </c>
      <c r="BW253" s="407"/>
      <c r="BX253" s="407"/>
      <c r="BY253" s="407"/>
      <c r="BZ253" s="407"/>
      <c r="CA253" s="407"/>
      <c r="CB253" s="407"/>
      <c r="CC253" s="407"/>
      <c r="CD253" s="407"/>
      <c r="CE253" s="407"/>
      <c r="CF253" s="407"/>
      <c r="CG253" s="407"/>
      <c r="CH253" s="407"/>
      <c r="CI253" s="407">
        <v>12719.648599999999</v>
      </c>
      <c r="CJ253" s="407">
        <v>-4644.6286899999996</v>
      </c>
      <c r="CK253" s="407"/>
      <c r="CL253" s="407"/>
      <c r="CM253" s="407"/>
      <c r="CN253" s="407"/>
      <c r="CO253" s="407">
        <v>-8866.9541999999983</v>
      </c>
      <c r="CP253" s="407">
        <v>1124.5393899999999</v>
      </c>
      <c r="CQ253" s="407">
        <v>30</v>
      </c>
      <c r="CR253" s="407">
        <v>988.58121282808497</v>
      </c>
      <c r="CS253" s="407">
        <v>0</v>
      </c>
      <c r="CT253" s="407">
        <v>0</v>
      </c>
      <c r="CU253" s="407">
        <v>0</v>
      </c>
      <c r="CV253" s="407">
        <v>0</v>
      </c>
      <c r="CW253" s="407">
        <v>0</v>
      </c>
      <c r="CX253" s="407">
        <v>0</v>
      </c>
      <c r="CY253" s="407">
        <v>0</v>
      </c>
      <c r="CZ253" s="407">
        <v>215.69950986397998</v>
      </c>
      <c r="DA253" s="407">
        <v>0</v>
      </c>
      <c r="DB253" s="407">
        <v>0</v>
      </c>
      <c r="DC253" s="407">
        <v>1251.8447055298275</v>
      </c>
      <c r="DD253" s="407">
        <v>0</v>
      </c>
      <c r="DE253" s="407">
        <v>0</v>
      </c>
      <c r="DF253" s="407">
        <v>0</v>
      </c>
      <c r="DG253" s="407">
        <v>91.505850537384106</v>
      </c>
      <c r="DH253" s="407">
        <v>0</v>
      </c>
      <c r="DI253" s="407">
        <v>0</v>
      </c>
      <c r="DJ253" s="407"/>
      <c r="DK253" s="407">
        <v>0</v>
      </c>
      <c r="DL253" s="407">
        <v>0</v>
      </c>
      <c r="DM253" s="407">
        <v>0</v>
      </c>
      <c r="DN253" s="407">
        <v>0</v>
      </c>
      <c r="DO253" s="407">
        <v>0</v>
      </c>
      <c r="DP253" s="407">
        <v>-5.4126935995547569</v>
      </c>
      <c r="DQ253" s="407">
        <v>0</v>
      </c>
      <c r="DR253" s="407">
        <v>-565.0561595035515</v>
      </c>
      <c r="DS253" s="407"/>
      <c r="DT253" s="407"/>
      <c r="DU253" s="407"/>
      <c r="DV253" s="407">
        <v>17093.080224850572</v>
      </c>
      <c r="DW253" s="407">
        <v>0</v>
      </c>
      <c r="DX253" s="407">
        <v>0</v>
      </c>
      <c r="DY253" s="407">
        <v>-8866.9541999999983</v>
      </c>
      <c r="DZ253" s="407">
        <v>1124.5393899999999</v>
      </c>
      <c r="EA253" s="407">
        <v>0</v>
      </c>
      <c r="EB253" s="407">
        <v>0</v>
      </c>
      <c r="EC253" s="407">
        <v>-8731.1850796410145</v>
      </c>
      <c r="ED253" s="407">
        <v>0</v>
      </c>
      <c r="EE253" s="407">
        <v>0</v>
      </c>
      <c r="EF253" s="407">
        <v>0</v>
      </c>
      <c r="EG253" s="407">
        <v>0</v>
      </c>
      <c r="EH253" s="407">
        <v>0</v>
      </c>
      <c r="EI253" s="407">
        <v>0</v>
      </c>
      <c r="EJ253" s="407">
        <v>0</v>
      </c>
      <c r="EK253" s="407">
        <v>0</v>
      </c>
      <c r="EL253" s="407">
        <v>0</v>
      </c>
      <c r="EM253" s="407">
        <v>0</v>
      </c>
      <c r="EN253" s="407">
        <v>0</v>
      </c>
      <c r="EO253" s="407">
        <v>0</v>
      </c>
      <c r="EP253" s="407">
        <v>0</v>
      </c>
      <c r="EQ253" s="407">
        <v>0</v>
      </c>
      <c r="ER253" s="407">
        <v>0</v>
      </c>
      <c r="ES253" s="407">
        <v>0</v>
      </c>
      <c r="ET253" s="407">
        <v>0</v>
      </c>
      <c r="EU253" s="407">
        <v>0</v>
      </c>
      <c r="EV253" s="407">
        <v>246</v>
      </c>
      <c r="EW253" s="407">
        <v>0</v>
      </c>
      <c r="EX253" s="407">
        <v>0</v>
      </c>
      <c r="EY253" s="407">
        <v>0</v>
      </c>
      <c r="EZ253" s="407"/>
      <c r="FA253" s="407">
        <v>0</v>
      </c>
      <c r="FB253" s="407"/>
      <c r="FC253" s="407"/>
      <c r="FD253" s="407"/>
      <c r="FE253" s="407"/>
      <c r="FF253" s="407">
        <v>0</v>
      </c>
      <c r="FG253" s="407">
        <v>0</v>
      </c>
      <c r="FH253" s="407">
        <v>0</v>
      </c>
      <c r="FI253" s="407">
        <v>0</v>
      </c>
    </row>
    <row r="254" spans="1:165">
      <c r="A254" s="407">
        <v>269</v>
      </c>
      <c r="B254" s="407" t="s">
        <v>2309</v>
      </c>
      <c r="C254" s="407" t="s">
        <v>2306</v>
      </c>
      <c r="D254" s="407" t="s">
        <v>1218</v>
      </c>
      <c r="E254" s="407" t="s">
        <v>1021</v>
      </c>
      <c r="F254" s="407" t="s">
        <v>2311</v>
      </c>
      <c r="G254" s="407" t="s">
        <v>97</v>
      </c>
      <c r="H254" s="407" t="s">
        <v>97</v>
      </c>
      <c r="I254" s="407" t="s">
        <v>97</v>
      </c>
      <c r="J254" s="407" t="s">
        <v>2307</v>
      </c>
      <c r="K254" s="818">
        <v>44501</v>
      </c>
      <c r="L254" s="407">
        <v>0</v>
      </c>
      <c r="M254" s="407">
        <v>0</v>
      </c>
      <c r="N254" s="407">
        <v>0</v>
      </c>
      <c r="O254" s="407">
        <v>0</v>
      </c>
      <c r="P254" s="407">
        <v>0</v>
      </c>
      <c r="Q254" s="407">
        <v>0</v>
      </c>
      <c r="R254" s="407"/>
      <c r="S254" s="407"/>
      <c r="T254" s="407"/>
      <c r="U254" s="407"/>
      <c r="V254" s="407"/>
      <c r="W254" s="407"/>
      <c r="X254" s="407"/>
      <c r="Y254" s="407"/>
      <c r="Z254" s="407"/>
      <c r="AA254" s="407">
        <v>0</v>
      </c>
      <c r="AB254" s="407"/>
      <c r="AC254" s="407"/>
      <c r="AD254" s="407"/>
      <c r="AE254" s="407"/>
      <c r="AF254" s="407"/>
      <c r="AG254" s="407"/>
      <c r="AH254" s="407"/>
      <c r="AI254" s="407"/>
      <c r="AJ254" s="407"/>
      <c r="AK254" s="407"/>
      <c r="AL254" s="407"/>
      <c r="AM254" s="407"/>
      <c r="AN254" s="407"/>
      <c r="AO254" s="407"/>
      <c r="AP254" s="407"/>
      <c r="AQ254" s="407"/>
      <c r="AR254" s="407"/>
      <c r="AS254" s="407"/>
      <c r="AT254" s="407"/>
      <c r="AU254" s="407"/>
      <c r="AV254" s="407"/>
      <c r="AW254" s="407"/>
      <c r="AX254" s="407"/>
      <c r="AY254" s="407"/>
      <c r="AZ254" s="407">
        <v>0</v>
      </c>
      <c r="BA254" s="407"/>
      <c r="BB254" s="407"/>
      <c r="BC254" s="407"/>
      <c r="BD254" s="407"/>
      <c r="BE254" s="407"/>
      <c r="BF254" s="407"/>
      <c r="BG254" s="407"/>
      <c r="BH254" s="407"/>
      <c r="BI254" s="407">
        <v>0</v>
      </c>
      <c r="BJ254" s="407">
        <v>0</v>
      </c>
      <c r="BK254" s="407">
        <v>5.95</v>
      </c>
      <c r="BL254" s="407">
        <v>0</v>
      </c>
      <c r="BM254" s="407"/>
      <c r="BN254" s="407"/>
      <c r="BO254" s="407"/>
      <c r="BP254" s="407"/>
      <c r="BQ254" s="407"/>
      <c r="BR254" s="407"/>
      <c r="BS254" s="407"/>
      <c r="BT254" s="407"/>
      <c r="BU254" s="407"/>
      <c r="BV254" s="407"/>
      <c r="BW254" s="407"/>
      <c r="BX254" s="407"/>
      <c r="BY254" s="407"/>
      <c r="BZ254" s="407"/>
      <c r="CA254" s="407"/>
      <c r="CB254" s="407"/>
      <c r="CC254" s="407"/>
      <c r="CD254" s="407"/>
      <c r="CE254" s="407"/>
      <c r="CF254" s="407"/>
      <c r="CG254" s="407"/>
      <c r="CH254" s="407"/>
      <c r="CI254" s="407"/>
      <c r="CJ254" s="407">
        <v>-0.03</v>
      </c>
      <c r="CK254" s="407"/>
      <c r="CL254" s="407"/>
      <c r="CM254" s="407"/>
      <c r="CN254" s="407"/>
      <c r="CO254" s="407">
        <v>0</v>
      </c>
      <c r="CP254" s="407">
        <v>0</v>
      </c>
      <c r="CQ254" s="407">
        <v>30</v>
      </c>
      <c r="CR254" s="407"/>
      <c r="CS254" s="407"/>
      <c r="CT254" s="407"/>
      <c r="CU254" s="407"/>
      <c r="CV254" s="407"/>
      <c r="CW254" s="407"/>
      <c r="CX254" s="407"/>
      <c r="CY254" s="407"/>
      <c r="CZ254" s="407"/>
      <c r="DA254" s="407"/>
      <c r="DB254" s="407"/>
      <c r="DC254" s="407"/>
      <c r="DD254" s="407"/>
      <c r="DE254" s="407"/>
      <c r="DF254" s="407"/>
      <c r="DG254" s="407"/>
      <c r="DH254" s="407"/>
      <c r="DI254" s="407"/>
      <c r="DJ254" s="407"/>
      <c r="DK254" s="407">
        <v>0</v>
      </c>
      <c r="DL254" s="407"/>
      <c r="DM254" s="407"/>
      <c r="DN254" s="407"/>
      <c r="DO254" s="407"/>
      <c r="DP254" s="407"/>
      <c r="DQ254" s="407"/>
      <c r="DR254" s="407"/>
      <c r="DS254" s="407"/>
      <c r="DT254" s="407"/>
      <c r="DU254" s="407"/>
      <c r="DV254" s="407"/>
      <c r="DW254" s="407"/>
      <c r="DX254" s="407"/>
      <c r="DY254" s="407"/>
      <c r="DZ254" s="407"/>
      <c r="EA254" s="407"/>
      <c r="EB254" s="407"/>
      <c r="EC254" s="407"/>
      <c r="ED254" s="407"/>
      <c r="EE254" s="407"/>
      <c r="EF254" s="407"/>
      <c r="EG254" s="407"/>
      <c r="EH254" s="407"/>
      <c r="EI254" s="407"/>
      <c r="EJ254" s="407"/>
      <c r="EK254" s="407"/>
      <c r="EL254" s="407"/>
      <c r="EM254" s="407"/>
      <c r="EN254" s="407"/>
      <c r="EO254" s="407"/>
      <c r="EP254" s="407"/>
      <c r="EQ254" s="407"/>
      <c r="ER254" s="407"/>
      <c r="ES254" s="407"/>
      <c r="ET254" s="407"/>
      <c r="EU254" s="407"/>
      <c r="EV254" s="407">
        <v>246</v>
      </c>
      <c r="EW254" s="407"/>
      <c r="EX254" s="407"/>
      <c r="EY254" s="407"/>
      <c r="EZ254" s="407"/>
      <c r="FA254" s="407">
        <v>0</v>
      </c>
      <c r="FB254" s="407"/>
      <c r="FC254" s="407"/>
      <c r="FD254" s="407"/>
      <c r="FE254" s="407"/>
      <c r="FF254" s="407">
        <v>0</v>
      </c>
      <c r="FG254" s="407">
        <v>0</v>
      </c>
      <c r="FH254" s="407">
        <v>0</v>
      </c>
      <c r="FI254" s="407">
        <v>0</v>
      </c>
    </row>
    <row r="255" spans="1:165">
      <c r="A255" s="407">
        <v>270</v>
      </c>
      <c r="B255" s="407" t="s">
        <v>1090</v>
      </c>
      <c r="C255" s="407" t="s">
        <v>2306</v>
      </c>
      <c r="D255" s="407" t="s">
        <v>1218</v>
      </c>
      <c r="E255" s="407" t="s">
        <v>1021</v>
      </c>
      <c r="F255" s="407" t="s">
        <v>2312</v>
      </c>
      <c r="G255" s="407" t="s">
        <v>97</v>
      </c>
      <c r="H255" s="407" t="s">
        <v>97</v>
      </c>
      <c r="I255" s="407" t="s">
        <v>97</v>
      </c>
      <c r="J255" s="407" t="s">
        <v>2307</v>
      </c>
      <c r="K255" s="818">
        <v>44501</v>
      </c>
      <c r="L255" s="407">
        <v>0</v>
      </c>
      <c r="M255" s="407">
        <v>0</v>
      </c>
      <c r="N255" s="407">
        <v>31.596</v>
      </c>
      <c r="O255" s="407">
        <v>31.596</v>
      </c>
      <c r="P255" s="407">
        <v>31.596</v>
      </c>
      <c r="Q255" s="407">
        <v>31.596</v>
      </c>
      <c r="R255" s="407"/>
      <c r="S255" s="407">
        <v>547.54</v>
      </c>
      <c r="T255" s="407">
        <v>159.41</v>
      </c>
      <c r="U255" s="407"/>
      <c r="V255" s="407">
        <v>22336.792199999996</v>
      </c>
      <c r="W255" s="407">
        <v>22336.792199999996</v>
      </c>
      <c r="X255" s="407">
        <v>16361.040720000001</v>
      </c>
      <c r="Y255" s="407">
        <v>0</v>
      </c>
      <c r="Z255" s="407">
        <v>0</v>
      </c>
      <c r="AA255" s="407">
        <v>0</v>
      </c>
      <c r="AB255" s="407">
        <v>0</v>
      </c>
      <c r="AC255" s="407">
        <v>0</v>
      </c>
      <c r="AD255" s="407">
        <v>3685.4972905916979</v>
      </c>
      <c r="AE255" s="407">
        <v>13192.783124908485</v>
      </c>
      <c r="AF255" s="407">
        <v>4873.0737252673916</v>
      </c>
      <c r="AG255" s="407">
        <v>163.722485735346</v>
      </c>
      <c r="AH255" s="407">
        <v>0</v>
      </c>
      <c r="AI255" s="407">
        <v>0</v>
      </c>
      <c r="AJ255" s="407">
        <v>0</v>
      </c>
      <c r="AK255" s="407">
        <v>0</v>
      </c>
      <c r="AL255" s="407">
        <v>0</v>
      </c>
      <c r="AM255" s="407"/>
      <c r="AN255" s="407">
        <v>65.564721856554257</v>
      </c>
      <c r="AO255" s="407">
        <v>0</v>
      </c>
      <c r="AP255" s="407">
        <v>0</v>
      </c>
      <c r="AQ255" s="407">
        <v>0</v>
      </c>
      <c r="AR255" s="407">
        <v>0</v>
      </c>
      <c r="AS255" s="407">
        <v>0</v>
      </c>
      <c r="AT255" s="407">
        <v>0</v>
      </c>
      <c r="AU255" s="407">
        <v>0</v>
      </c>
      <c r="AV255" s="407">
        <v>0</v>
      </c>
      <c r="AW255" s="407">
        <v>0</v>
      </c>
      <c r="AX255" s="407">
        <v>0</v>
      </c>
      <c r="AY255" s="407">
        <v>0</v>
      </c>
      <c r="AZ255" s="407">
        <v>0</v>
      </c>
      <c r="BA255" s="407"/>
      <c r="BB255" s="407">
        <v>0</v>
      </c>
      <c r="BC255" s="407">
        <v>0</v>
      </c>
      <c r="BD255" s="407">
        <v>0</v>
      </c>
      <c r="BE255" s="407">
        <v>0</v>
      </c>
      <c r="BF255" s="407">
        <v>0</v>
      </c>
      <c r="BG255" s="407">
        <v>356.20612843766548</v>
      </c>
      <c r="BH255" s="407">
        <v>0</v>
      </c>
      <c r="BI255" s="407">
        <v>114.2</v>
      </c>
      <c r="BJ255" s="407">
        <v>528.41</v>
      </c>
      <c r="BK255" s="407">
        <v>7651.41</v>
      </c>
      <c r="BL255" s="407">
        <v>392</v>
      </c>
      <c r="BM255" s="407"/>
      <c r="BN255" s="407"/>
      <c r="BO255" s="407"/>
      <c r="BP255" s="407"/>
      <c r="BQ255" s="407"/>
      <c r="BR255" s="407"/>
      <c r="BS255" s="407"/>
      <c r="BT255" s="407">
        <v>1636.3568400000008</v>
      </c>
      <c r="BU255" s="407"/>
      <c r="BV255" s="407">
        <v>5229.2798537050567</v>
      </c>
      <c r="BW255" s="407"/>
      <c r="BX255" s="407"/>
      <c r="BY255" s="407"/>
      <c r="BZ255" s="407"/>
      <c r="CA255" s="407"/>
      <c r="CB255" s="407"/>
      <c r="CC255" s="407"/>
      <c r="CD255" s="407"/>
      <c r="CE255" s="407"/>
      <c r="CF255" s="407"/>
      <c r="CG255" s="407"/>
      <c r="CH255" s="407"/>
      <c r="CI255" s="407">
        <v>14726.547999999999</v>
      </c>
      <c r="CJ255" s="407">
        <v>-5376.7529600000016</v>
      </c>
      <c r="CK255" s="407"/>
      <c r="CL255" s="407"/>
      <c r="CM255" s="407"/>
      <c r="CN255" s="407"/>
      <c r="CO255" s="407">
        <v>-6843.6935999999987</v>
      </c>
      <c r="CP255" s="407">
        <v>867.94211999999993</v>
      </c>
      <c r="CQ255" s="407">
        <v>30</v>
      </c>
      <c r="CR255" s="407">
        <v>763.00686421858518</v>
      </c>
      <c r="CS255" s="407">
        <v>0</v>
      </c>
      <c r="CT255" s="407">
        <v>0</v>
      </c>
      <c r="CU255" s="407">
        <v>0</v>
      </c>
      <c r="CV255" s="407">
        <v>0</v>
      </c>
      <c r="CW255" s="407">
        <v>0</v>
      </c>
      <c r="CX255" s="407">
        <v>0</v>
      </c>
      <c r="CY255" s="407">
        <v>0</v>
      </c>
      <c r="CZ255" s="407">
        <v>166.48122025703651</v>
      </c>
      <c r="DA255" s="407">
        <v>0</v>
      </c>
      <c r="DB255" s="407">
        <v>0</v>
      </c>
      <c r="DC255" s="407">
        <v>966.1989231238349</v>
      </c>
      <c r="DD255" s="407">
        <v>0</v>
      </c>
      <c r="DE255" s="407">
        <v>0</v>
      </c>
      <c r="DF255" s="407">
        <v>0</v>
      </c>
      <c r="DG255" s="407">
        <v>70.626055978190607</v>
      </c>
      <c r="DH255" s="407">
        <v>0</v>
      </c>
      <c r="DI255" s="407">
        <v>0</v>
      </c>
      <c r="DJ255" s="407"/>
      <c r="DK255" s="407">
        <v>0</v>
      </c>
      <c r="DL255" s="407">
        <v>0</v>
      </c>
      <c r="DM255" s="407">
        <v>0</v>
      </c>
      <c r="DN255" s="407">
        <v>0</v>
      </c>
      <c r="DO255" s="407">
        <v>0</v>
      </c>
      <c r="DP255" s="407">
        <v>-4.1776257901539395</v>
      </c>
      <c r="DQ255" s="407">
        <v>0</v>
      </c>
      <c r="DR255" s="407">
        <v>-436.12170935032395</v>
      </c>
      <c r="DS255" s="407"/>
      <c r="DT255" s="407"/>
      <c r="DU255" s="407"/>
      <c r="DV255" s="407">
        <v>13192.783124908485</v>
      </c>
      <c r="DW255" s="407">
        <v>0</v>
      </c>
      <c r="DX255" s="407">
        <v>0</v>
      </c>
      <c r="DY255" s="407">
        <v>-6843.6935999999969</v>
      </c>
      <c r="DZ255" s="407">
        <v>867.9421199999997</v>
      </c>
      <c r="EA255" s="407">
        <v>0</v>
      </c>
      <c r="EB255" s="407">
        <v>0</v>
      </c>
      <c r="EC255" s="407">
        <v>-6738.904262069459</v>
      </c>
      <c r="ED255" s="407">
        <v>0</v>
      </c>
      <c r="EE255" s="407">
        <v>0</v>
      </c>
      <c r="EF255" s="407">
        <v>0</v>
      </c>
      <c r="EG255" s="407">
        <v>0</v>
      </c>
      <c r="EH255" s="407">
        <v>0</v>
      </c>
      <c r="EI255" s="407">
        <v>0</v>
      </c>
      <c r="EJ255" s="407">
        <v>0</v>
      </c>
      <c r="EK255" s="407">
        <v>0</v>
      </c>
      <c r="EL255" s="407">
        <v>0</v>
      </c>
      <c r="EM255" s="407">
        <v>0</v>
      </c>
      <c r="EN255" s="407">
        <v>0</v>
      </c>
      <c r="EO255" s="407">
        <v>0</v>
      </c>
      <c r="EP255" s="407">
        <v>0</v>
      </c>
      <c r="EQ255" s="407">
        <v>0</v>
      </c>
      <c r="ER255" s="407">
        <v>0</v>
      </c>
      <c r="ES255" s="407">
        <v>0</v>
      </c>
      <c r="ET255" s="407">
        <v>0</v>
      </c>
      <c r="EU255" s="407">
        <v>0</v>
      </c>
      <c r="EV255" s="407">
        <v>246</v>
      </c>
      <c r="EW255" s="407">
        <v>0</v>
      </c>
      <c r="EX255" s="407">
        <v>0</v>
      </c>
      <c r="EY255" s="407">
        <v>0</v>
      </c>
      <c r="EZ255" s="407"/>
      <c r="FA255" s="407">
        <v>0</v>
      </c>
      <c r="FB255" s="407"/>
      <c r="FC255" s="407"/>
      <c r="FD255" s="407"/>
      <c r="FE255" s="407"/>
      <c r="FF255" s="407">
        <v>0</v>
      </c>
      <c r="FG255" s="407">
        <v>0</v>
      </c>
      <c r="FH255" s="407">
        <v>0</v>
      </c>
      <c r="FI255" s="407">
        <v>0</v>
      </c>
    </row>
    <row r="256" spans="1:165">
      <c r="A256" s="407">
        <v>271</v>
      </c>
      <c r="B256" s="407" t="s">
        <v>2309</v>
      </c>
      <c r="C256" s="407" t="s">
        <v>2306</v>
      </c>
      <c r="D256" s="407" t="s">
        <v>1218</v>
      </c>
      <c r="E256" s="407" t="s">
        <v>1021</v>
      </c>
      <c r="F256" s="407" t="s">
        <v>2312</v>
      </c>
      <c r="G256" s="407" t="s">
        <v>97</v>
      </c>
      <c r="H256" s="407" t="s">
        <v>97</v>
      </c>
      <c r="I256" s="407" t="s">
        <v>97</v>
      </c>
      <c r="J256" s="407" t="s">
        <v>2307</v>
      </c>
      <c r="K256" s="818">
        <v>44501</v>
      </c>
      <c r="L256" s="407">
        <v>0</v>
      </c>
      <c r="M256" s="407">
        <v>0</v>
      </c>
      <c r="N256" s="407">
        <v>0</v>
      </c>
      <c r="O256" s="407">
        <v>0</v>
      </c>
      <c r="P256" s="407">
        <v>0</v>
      </c>
      <c r="Q256" s="407">
        <v>0</v>
      </c>
      <c r="R256" s="407"/>
      <c r="S256" s="407"/>
      <c r="T256" s="407"/>
      <c r="U256" s="407"/>
      <c r="V256" s="407"/>
      <c r="W256" s="407"/>
      <c r="X256" s="407"/>
      <c r="Y256" s="407"/>
      <c r="Z256" s="407"/>
      <c r="AA256" s="407">
        <v>0</v>
      </c>
      <c r="AB256" s="407"/>
      <c r="AC256" s="407"/>
      <c r="AD256" s="407"/>
      <c r="AE256" s="407"/>
      <c r="AF256" s="407"/>
      <c r="AG256" s="407"/>
      <c r="AH256" s="407"/>
      <c r="AI256" s="407"/>
      <c r="AJ256" s="407"/>
      <c r="AK256" s="407"/>
      <c r="AL256" s="407"/>
      <c r="AM256" s="407"/>
      <c r="AN256" s="407"/>
      <c r="AO256" s="407"/>
      <c r="AP256" s="407"/>
      <c r="AQ256" s="407"/>
      <c r="AR256" s="407"/>
      <c r="AS256" s="407"/>
      <c r="AT256" s="407"/>
      <c r="AU256" s="407"/>
      <c r="AV256" s="407"/>
      <c r="AW256" s="407"/>
      <c r="AX256" s="407"/>
      <c r="AY256" s="407"/>
      <c r="AZ256" s="407">
        <v>0</v>
      </c>
      <c r="BA256" s="407"/>
      <c r="BB256" s="407"/>
      <c r="BC256" s="407"/>
      <c r="BD256" s="407"/>
      <c r="BE256" s="407"/>
      <c r="BF256" s="407"/>
      <c r="BG256" s="407"/>
      <c r="BH256" s="407"/>
      <c r="BI256" s="407">
        <v>0</v>
      </c>
      <c r="BJ256" s="407">
        <v>0</v>
      </c>
      <c r="BK256" s="407">
        <v>15.32</v>
      </c>
      <c r="BL256" s="407">
        <v>0</v>
      </c>
      <c r="BM256" s="407"/>
      <c r="BN256" s="407"/>
      <c r="BO256" s="407"/>
      <c r="BP256" s="407"/>
      <c r="BQ256" s="407"/>
      <c r="BR256" s="407"/>
      <c r="BS256" s="407"/>
      <c r="BT256" s="407"/>
      <c r="BU256" s="407"/>
      <c r="BV256" s="407"/>
      <c r="BW256" s="407"/>
      <c r="BX256" s="407"/>
      <c r="BY256" s="407"/>
      <c r="BZ256" s="407"/>
      <c r="CA256" s="407"/>
      <c r="CB256" s="407"/>
      <c r="CC256" s="407"/>
      <c r="CD256" s="407"/>
      <c r="CE256" s="407"/>
      <c r="CF256" s="407"/>
      <c r="CG256" s="407"/>
      <c r="CH256" s="407"/>
      <c r="CI256" s="407"/>
      <c r="CJ256" s="407">
        <v>-0.03</v>
      </c>
      <c r="CK256" s="407"/>
      <c r="CL256" s="407"/>
      <c r="CM256" s="407"/>
      <c r="CN256" s="407"/>
      <c r="CO256" s="407">
        <v>0</v>
      </c>
      <c r="CP256" s="407">
        <v>0</v>
      </c>
      <c r="CQ256" s="407">
        <v>30</v>
      </c>
      <c r="CR256" s="407"/>
      <c r="CS256" s="407"/>
      <c r="CT256" s="407"/>
      <c r="CU256" s="407"/>
      <c r="CV256" s="407"/>
      <c r="CW256" s="407"/>
      <c r="CX256" s="407"/>
      <c r="CY256" s="407"/>
      <c r="CZ256" s="407"/>
      <c r="DA256" s="407"/>
      <c r="DB256" s="407"/>
      <c r="DC256" s="407"/>
      <c r="DD256" s="407"/>
      <c r="DE256" s="407"/>
      <c r="DF256" s="407"/>
      <c r="DG256" s="407"/>
      <c r="DH256" s="407"/>
      <c r="DI256" s="407"/>
      <c r="DJ256" s="407"/>
      <c r="DK256" s="407">
        <v>0</v>
      </c>
      <c r="DL256" s="407"/>
      <c r="DM256" s="407"/>
      <c r="DN256" s="407"/>
      <c r="DO256" s="407"/>
      <c r="DP256" s="407"/>
      <c r="DQ256" s="407"/>
      <c r="DR256" s="407"/>
      <c r="DS256" s="407"/>
      <c r="DT256" s="407"/>
      <c r="DU256" s="407"/>
      <c r="DV256" s="407"/>
      <c r="DW256" s="407"/>
      <c r="DX256" s="407"/>
      <c r="DY256" s="407"/>
      <c r="DZ256" s="407"/>
      <c r="EA256" s="407"/>
      <c r="EB256" s="407"/>
      <c r="EC256" s="407"/>
      <c r="ED256" s="407"/>
      <c r="EE256" s="407"/>
      <c r="EF256" s="407"/>
      <c r="EG256" s="407"/>
      <c r="EH256" s="407"/>
      <c r="EI256" s="407"/>
      <c r="EJ256" s="407"/>
      <c r="EK256" s="407"/>
      <c r="EL256" s="407"/>
      <c r="EM256" s="407"/>
      <c r="EN256" s="407"/>
      <c r="EO256" s="407"/>
      <c r="EP256" s="407"/>
      <c r="EQ256" s="407"/>
      <c r="ER256" s="407"/>
      <c r="ES256" s="407"/>
      <c r="ET256" s="407"/>
      <c r="EU256" s="407"/>
      <c r="EV256" s="407">
        <v>246</v>
      </c>
      <c r="EW256" s="407"/>
      <c r="EX256" s="407"/>
      <c r="EY256" s="407"/>
      <c r="EZ256" s="407"/>
      <c r="FA256" s="407">
        <v>0</v>
      </c>
      <c r="FB256" s="407"/>
      <c r="FC256" s="407"/>
      <c r="FD256" s="407"/>
      <c r="FE256" s="407"/>
      <c r="FF256" s="407">
        <v>0</v>
      </c>
      <c r="FG256" s="407">
        <v>0</v>
      </c>
      <c r="FH256" s="407">
        <v>0</v>
      </c>
      <c r="FI256" s="407">
        <v>0</v>
      </c>
    </row>
    <row r="257" spans="1:165">
      <c r="A257" s="407">
        <v>272</v>
      </c>
      <c r="B257" s="407" t="s">
        <v>1090</v>
      </c>
      <c r="C257" s="407" t="s">
        <v>2306</v>
      </c>
      <c r="D257" s="407" t="s">
        <v>1218</v>
      </c>
      <c r="E257" s="407" t="s">
        <v>1021</v>
      </c>
      <c r="F257" s="407" t="s">
        <v>2313</v>
      </c>
      <c r="G257" s="407" t="s">
        <v>97</v>
      </c>
      <c r="H257" s="407" t="s">
        <v>97</v>
      </c>
      <c r="I257" s="407" t="s">
        <v>97</v>
      </c>
      <c r="J257" s="407" t="s">
        <v>2307</v>
      </c>
      <c r="K257" s="818">
        <v>44501</v>
      </c>
      <c r="L257" s="407">
        <v>0</v>
      </c>
      <c r="M257" s="407">
        <v>0</v>
      </c>
      <c r="N257" s="407">
        <v>4.5330000000000004</v>
      </c>
      <c r="O257" s="407">
        <v>4.5330000000000004</v>
      </c>
      <c r="P257" s="407">
        <v>4.5330000000000004</v>
      </c>
      <c r="Q257" s="407">
        <v>4.5330000000000004</v>
      </c>
      <c r="R257" s="407"/>
      <c r="S257" s="407">
        <v>547.54</v>
      </c>
      <c r="T257" s="407">
        <v>159.41</v>
      </c>
      <c r="U257" s="407"/>
      <c r="V257" s="407">
        <v>3204.6043500000005</v>
      </c>
      <c r="W257" s="407">
        <v>3204.6043500000005</v>
      </c>
      <c r="X257" s="407">
        <v>2347.2780600000001</v>
      </c>
      <c r="Y257" s="407">
        <v>0</v>
      </c>
      <c r="Z257" s="407">
        <v>0</v>
      </c>
      <c r="AA257" s="407">
        <v>0</v>
      </c>
      <c r="AB257" s="407">
        <v>0</v>
      </c>
      <c r="AC257" s="407">
        <v>0</v>
      </c>
      <c r="AD257" s="407">
        <v>528.74918401861521</v>
      </c>
      <c r="AE257" s="407">
        <v>1892.7359762378203</v>
      </c>
      <c r="AF257" s="407">
        <v>699.12783886052307</v>
      </c>
      <c r="AG257" s="407">
        <v>23.488860230355851</v>
      </c>
      <c r="AH257" s="407">
        <v>0</v>
      </c>
      <c r="AI257" s="407">
        <v>0</v>
      </c>
      <c r="AJ257" s="407">
        <v>0</v>
      </c>
      <c r="AK257" s="407">
        <v>0</v>
      </c>
      <c r="AL257" s="407">
        <v>0</v>
      </c>
      <c r="AM257" s="407"/>
      <c r="AN257" s="407">
        <v>9.4064085382884066</v>
      </c>
      <c r="AO257" s="407">
        <v>0</v>
      </c>
      <c r="AP257" s="407">
        <v>0</v>
      </c>
      <c r="AQ257" s="407">
        <v>0</v>
      </c>
      <c r="AR257" s="407">
        <v>0</v>
      </c>
      <c r="AS257" s="407">
        <v>0</v>
      </c>
      <c r="AT257" s="407">
        <v>0</v>
      </c>
      <c r="AU257" s="407">
        <v>0</v>
      </c>
      <c r="AV257" s="407">
        <v>0</v>
      </c>
      <c r="AW257" s="407">
        <v>0</v>
      </c>
      <c r="AX257" s="407">
        <v>0</v>
      </c>
      <c r="AY257" s="407">
        <v>0</v>
      </c>
      <c r="AZ257" s="407">
        <v>0</v>
      </c>
      <c r="BA257" s="407"/>
      <c r="BB257" s="407">
        <v>0</v>
      </c>
      <c r="BC257" s="407">
        <v>0</v>
      </c>
      <c r="BD257" s="407">
        <v>0</v>
      </c>
      <c r="BE257" s="407">
        <v>0</v>
      </c>
      <c r="BF257" s="407">
        <v>0</v>
      </c>
      <c r="BG257" s="407">
        <v>51.104012539813198</v>
      </c>
      <c r="BH257" s="407">
        <v>0</v>
      </c>
      <c r="BI257" s="407">
        <v>23.34</v>
      </c>
      <c r="BJ257" s="407">
        <v>108.55</v>
      </c>
      <c r="BK257" s="407">
        <v>1572.93</v>
      </c>
      <c r="BL257" s="407">
        <v>91</v>
      </c>
      <c r="BM257" s="407"/>
      <c r="BN257" s="407"/>
      <c r="BO257" s="407"/>
      <c r="BP257" s="407"/>
      <c r="BQ257" s="407"/>
      <c r="BR257" s="407"/>
      <c r="BS257" s="407"/>
      <c r="BT257" s="407"/>
      <c r="BU257" s="407"/>
      <c r="BV257" s="407">
        <v>750.23185140033627</v>
      </c>
      <c r="BW257" s="407"/>
      <c r="BX257" s="407"/>
      <c r="BY257" s="407"/>
      <c r="BZ257" s="407"/>
      <c r="CA257" s="407"/>
      <c r="CB257" s="407"/>
      <c r="CC257" s="407"/>
      <c r="CD257" s="407"/>
      <c r="CE257" s="407"/>
      <c r="CF257" s="407"/>
      <c r="CG257" s="407"/>
      <c r="CH257" s="407"/>
      <c r="CI257" s="407">
        <v>2345.7246</v>
      </c>
      <c r="CJ257" s="407">
        <v>-858.90975000000117</v>
      </c>
      <c r="CK257" s="407"/>
      <c r="CL257" s="407"/>
      <c r="CM257" s="407"/>
      <c r="CN257" s="407"/>
      <c r="CO257" s="407">
        <v>-981.84779999999989</v>
      </c>
      <c r="CP257" s="407">
        <v>124.52151000000001</v>
      </c>
      <c r="CQ257" s="407">
        <v>30</v>
      </c>
      <c r="CR257" s="407">
        <v>109.46670830177391</v>
      </c>
      <c r="CS257" s="407">
        <v>0</v>
      </c>
      <c r="CT257" s="407">
        <v>0</v>
      </c>
      <c r="CU257" s="407">
        <v>0</v>
      </c>
      <c r="CV257" s="407">
        <v>0</v>
      </c>
      <c r="CW257" s="407">
        <v>0</v>
      </c>
      <c r="CX257" s="407">
        <v>0</v>
      </c>
      <c r="CY257" s="407">
        <v>0</v>
      </c>
      <c r="CZ257" s="407">
        <v>23.884649051308656</v>
      </c>
      <c r="DA257" s="407">
        <v>0</v>
      </c>
      <c r="DB257" s="407">
        <v>0</v>
      </c>
      <c r="DC257" s="407">
        <v>138.61817060768283</v>
      </c>
      <c r="DD257" s="407">
        <v>0</v>
      </c>
      <c r="DE257" s="407">
        <v>0</v>
      </c>
      <c r="DF257" s="407">
        <v>0</v>
      </c>
      <c r="DG257" s="407">
        <v>10.132545630748773</v>
      </c>
      <c r="DH257" s="407">
        <v>0</v>
      </c>
      <c r="DI257" s="407">
        <v>0</v>
      </c>
      <c r="DJ257" s="407"/>
      <c r="DK257" s="407">
        <v>0</v>
      </c>
      <c r="DL257" s="407">
        <v>0</v>
      </c>
      <c r="DM257" s="407">
        <v>0</v>
      </c>
      <c r="DN257" s="407">
        <v>0</v>
      </c>
      <c r="DO257" s="407">
        <v>0</v>
      </c>
      <c r="DP257" s="407">
        <v>-0.5993536430803843</v>
      </c>
      <c r="DQ257" s="407">
        <v>0</v>
      </c>
      <c r="DR257" s="407">
        <v>-62.569303344886023</v>
      </c>
      <c r="DS257" s="407"/>
      <c r="DT257" s="407"/>
      <c r="DU257" s="407"/>
      <c r="DV257" s="407">
        <v>1892.7359762378203</v>
      </c>
      <c r="DW257" s="407">
        <v>0</v>
      </c>
      <c r="DX257" s="407">
        <v>0</v>
      </c>
      <c r="DY257" s="407">
        <v>-981.84780000000023</v>
      </c>
      <c r="DZ257" s="407">
        <v>124.52151000000003</v>
      </c>
      <c r="EA257" s="407">
        <v>0</v>
      </c>
      <c r="EB257" s="407">
        <v>0</v>
      </c>
      <c r="EC257" s="407">
        <v>-966.8139327750622</v>
      </c>
      <c r="ED257" s="407">
        <v>0</v>
      </c>
      <c r="EE257" s="407">
        <v>0</v>
      </c>
      <c r="EF257" s="407">
        <v>0</v>
      </c>
      <c r="EG257" s="407">
        <v>0</v>
      </c>
      <c r="EH257" s="407">
        <v>0</v>
      </c>
      <c r="EI257" s="407">
        <v>0</v>
      </c>
      <c r="EJ257" s="407">
        <v>0</v>
      </c>
      <c r="EK257" s="407">
        <v>0</v>
      </c>
      <c r="EL257" s="407">
        <v>0</v>
      </c>
      <c r="EM257" s="407">
        <v>0</v>
      </c>
      <c r="EN257" s="407">
        <v>0</v>
      </c>
      <c r="EO257" s="407">
        <v>0</v>
      </c>
      <c r="EP257" s="407">
        <v>0</v>
      </c>
      <c r="EQ257" s="407">
        <v>0</v>
      </c>
      <c r="ER257" s="407">
        <v>0</v>
      </c>
      <c r="ES257" s="407">
        <v>0</v>
      </c>
      <c r="ET257" s="407">
        <v>0</v>
      </c>
      <c r="EU257" s="407">
        <v>0</v>
      </c>
      <c r="EV257" s="407">
        <v>246</v>
      </c>
      <c r="EW257" s="407">
        <v>0</v>
      </c>
      <c r="EX257" s="407">
        <v>0</v>
      </c>
      <c r="EY257" s="407">
        <v>0</v>
      </c>
      <c r="EZ257" s="407"/>
      <c r="FA257" s="407">
        <v>0</v>
      </c>
      <c r="FB257" s="407"/>
      <c r="FC257" s="407"/>
      <c r="FD257" s="407"/>
      <c r="FE257" s="407"/>
      <c r="FF257" s="407">
        <v>0</v>
      </c>
      <c r="FG257" s="407">
        <v>0</v>
      </c>
      <c r="FH257" s="407">
        <v>0</v>
      </c>
      <c r="FI257" s="407">
        <v>0</v>
      </c>
    </row>
    <row r="258" spans="1:165">
      <c r="A258" s="407">
        <v>273</v>
      </c>
      <c r="B258" s="407" t="s">
        <v>2309</v>
      </c>
      <c r="C258" s="407" t="s">
        <v>2306</v>
      </c>
      <c r="D258" s="407" t="s">
        <v>1218</v>
      </c>
      <c r="E258" s="407" t="s">
        <v>1021</v>
      </c>
      <c r="F258" s="407" t="s">
        <v>2313</v>
      </c>
      <c r="G258" s="407" t="s">
        <v>97</v>
      </c>
      <c r="H258" s="407" t="s">
        <v>97</v>
      </c>
      <c r="I258" s="407" t="s">
        <v>97</v>
      </c>
      <c r="J258" s="407" t="s">
        <v>2307</v>
      </c>
      <c r="K258" s="818">
        <v>44501</v>
      </c>
      <c r="L258" s="407">
        <v>0</v>
      </c>
      <c r="M258" s="407">
        <v>0</v>
      </c>
      <c r="N258" s="407">
        <v>0</v>
      </c>
      <c r="O258" s="407">
        <v>0</v>
      </c>
      <c r="P258" s="407">
        <v>0</v>
      </c>
      <c r="Q258" s="407">
        <v>0</v>
      </c>
      <c r="R258" s="407"/>
      <c r="S258" s="407"/>
      <c r="T258" s="407"/>
      <c r="U258" s="407"/>
      <c r="V258" s="407"/>
      <c r="W258" s="407"/>
      <c r="X258" s="407"/>
      <c r="Y258" s="407"/>
      <c r="Z258" s="407"/>
      <c r="AA258" s="407">
        <v>0</v>
      </c>
      <c r="AB258" s="407"/>
      <c r="AC258" s="407"/>
      <c r="AD258" s="407"/>
      <c r="AE258" s="407"/>
      <c r="AF258" s="407"/>
      <c r="AG258" s="407"/>
      <c r="AH258" s="407"/>
      <c r="AI258" s="407"/>
      <c r="AJ258" s="407"/>
      <c r="AK258" s="407"/>
      <c r="AL258" s="407"/>
      <c r="AM258" s="407"/>
      <c r="AN258" s="407"/>
      <c r="AO258" s="407"/>
      <c r="AP258" s="407"/>
      <c r="AQ258" s="407"/>
      <c r="AR258" s="407"/>
      <c r="AS258" s="407"/>
      <c r="AT258" s="407"/>
      <c r="AU258" s="407"/>
      <c r="AV258" s="407"/>
      <c r="AW258" s="407"/>
      <c r="AX258" s="407"/>
      <c r="AY258" s="407"/>
      <c r="AZ258" s="407">
        <v>0</v>
      </c>
      <c r="BA258" s="407"/>
      <c r="BB258" s="407"/>
      <c r="BC258" s="407"/>
      <c r="BD258" s="407"/>
      <c r="BE258" s="407"/>
      <c r="BF258" s="407"/>
      <c r="BG258" s="407"/>
      <c r="BH258" s="407"/>
      <c r="BI258" s="407">
        <v>0</v>
      </c>
      <c r="BJ258" s="407">
        <v>0</v>
      </c>
      <c r="BK258" s="407">
        <v>1.2</v>
      </c>
      <c r="BL258" s="407">
        <v>1</v>
      </c>
      <c r="BM258" s="407"/>
      <c r="BN258" s="407"/>
      <c r="BO258" s="407"/>
      <c r="BP258" s="407"/>
      <c r="BQ258" s="407"/>
      <c r="BR258" s="407"/>
      <c r="BS258" s="407"/>
      <c r="BT258" s="407"/>
      <c r="BU258" s="407"/>
      <c r="BV258" s="407"/>
      <c r="BW258" s="407"/>
      <c r="BX258" s="407"/>
      <c r="BY258" s="407"/>
      <c r="BZ258" s="407"/>
      <c r="CA258" s="407"/>
      <c r="CB258" s="407"/>
      <c r="CC258" s="407"/>
      <c r="CD258" s="407"/>
      <c r="CE258" s="407"/>
      <c r="CF258" s="407"/>
      <c r="CG258" s="407"/>
      <c r="CH258" s="407"/>
      <c r="CI258" s="407"/>
      <c r="CJ258" s="407">
        <v>-0.03</v>
      </c>
      <c r="CK258" s="407"/>
      <c r="CL258" s="407"/>
      <c r="CM258" s="407"/>
      <c r="CN258" s="407"/>
      <c r="CO258" s="407">
        <v>0</v>
      </c>
      <c r="CP258" s="407">
        <v>0</v>
      </c>
      <c r="CQ258" s="407">
        <v>30</v>
      </c>
      <c r="CR258" s="407"/>
      <c r="CS258" s="407"/>
      <c r="CT258" s="407"/>
      <c r="CU258" s="407"/>
      <c r="CV258" s="407"/>
      <c r="CW258" s="407"/>
      <c r="CX258" s="407"/>
      <c r="CY258" s="407"/>
      <c r="CZ258" s="407"/>
      <c r="DA258" s="407"/>
      <c r="DB258" s="407"/>
      <c r="DC258" s="407"/>
      <c r="DD258" s="407"/>
      <c r="DE258" s="407"/>
      <c r="DF258" s="407"/>
      <c r="DG258" s="407"/>
      <c r="DH258" s="407"/>
      <c r="DI258" s="407"/>
      <c r="DJ258" s="407"/>
      <c r="DK258" s="407">
        <v>0</v>
      </c>
      <c r="DL258" s="407"/>
      <c r="DM258" s="407"/>
      <c r="DN258" s="407"/>
      <c r="DO258" s="407"/>
      <c r="DP258" s="407"/>
      <c r="DQ258" s="407"/>
      <c r="DR258" s="407"/>
      <c r="DS258" s="407"/>
      <c r="DT258" s="407"/>
      <c r="DU258" s="407"/>
      <c r="DV258" s="407"/>
      <c r="DW258" s="407"/>
      <c r="DX258" s="407"/>
      <c r="DY258" s="407"/>
      <c r="DZ258" s="407"/>
      <c r="EA258" s="407"/>
      <c r="EB258" s="407"/>
      <c r="EC258" s="407"/>
      <c r="ED258" s="407"/>
      <c r="EE258" s="407"/>
      <c r="EF258" s="407"/>
      <c r="EG258" s="407"/>
      <c r="EH258" s="407"/>
      <c r="EI258" s="407"/>
      <c r="EJ258" s="407"/>
      <c r="EK258" s="407"/>
      <c r="EL258" s="407"/>
      <c r="EM258" s="407"/>
      <c r="EN258" s="407"/>
      <c r="EO258" s="407"/>
      <c r="EP258" s="407"/>
      <c r="EQ258" s="407"/>
      <c r="ER258" s="407"/>
      <c r="ES258" s="407"/>
      <c r="ET258" s="407"/>
      <c r="EU258" s="407"/>
      <c r="EV258" s="407">
        <v>246</v>
      </c>
      <c r="EW258" s="407"/>
      <c r="EX258" s="407"/>
      <c r="EY258" s="407"/>
      <c r="EZ258" s="407"/>
      <c r="FA258" s="407">
        <v>0</v>
      </c>
      <c r="FB258" s="407"/>
      <c r="FC258" s="407"/>
      <c r="FD258" s="407"/>
      <c r="FE258" s="407"/>
      <c r="FF258" s="407">
        <v>0</v>
      </c>
      <c r="FG258" s="407">
        <v>0</v>
      </c>
      <c r="FH258" s="407">
        <v>0</v>
      </c>
      <c r="FI258" s="407">
        <v>0</v>
      </c>
    </row>
    <row r="259" spans="1:165">
      <c r="A259" s="407">
        <v>274</v>
      </c>
      <c r="B259" s="407" t="s">
        <v>1090</v>
      </c>
      <c r="C259" s="407" t="s">
        <v>2306</v>
      </c>
      <c r="D259" s="407" t="s">
        <v>1219</v>
      </c>
      <c r="E259" s="407" t="s">
        <v>1022</v>
      </c>
      <c r="F259" s="407" t="s">
        <v>97</v>
      </c>
      <c r="G259" s="407" t="s">
        <v>97</v>
      </c>
      <c r="H259" s="407" t="s">
        <v>97</v>
      </c>
      <c r="I259" s="407" t="s">
        <v>97</v>
      </c>
      <c r="J259" s="407" t="s">
        <v>2307</v>
      </c>
      <c r="K259" s="818">
        <v>44501</v>
      </c>
      <c r="L259" s="407">
        <v>0</v>
      </c>
      <c r="M259" s="407">
        <v>0</v>
      </c>
      <c r="N259" s="407">
        <v>91.197999999999993</v>
      </c>
      <c r="O259" s="407">
        <v>91.197999999999993</v>
      </c>
      <c r="P259" s="407">
        <v>91.197999999999993</v>
      </c>
      <c r="Q259" s="407">
        <v>91.197999999999993</v>
      </c>
      <c r="R259" s="407"/>
      <c r="S259" s="407">
        <v>648.44000000000005</v>
      </c>
      <c r="T259" s="407">
        <v>159.41</v>
      </c>
      <c r="U259" s="407"/>
      <c r="V259" s="407">
        <v>73674.304300000003</v>
      </c>
      <c r="W259" s="407">
        <v>73674.304300000003</v>
      </c>
      <c r="X259" s="407">
        <v>55796.76036</v>
      </c>
      <c r="Y259" s="407">
        <v>0</v>
      </c>
      <c r="Z259" s="407">
        <v>5651.5629169553513</v>
      </c>
      <c r="AA259" s="407">
        <v>0</v>
      </c>
      <c r="AB259" s="407">
        <v>0</v>
      </c>
      <c r="AC259" s="407">
        <v>0</v>
      </c>
      <c r="AD259" s="407">
        <v>10637.738381674315</v>
      </c>
      <c r="AE259" s="407">
        <v>38079.359267799846</v>
      </c>
      <c r="AF259" s="407">
        <v>14065.532902802113</v>
      </c>
      <c r="AG259" s="407">
        <v>472.5649846212205</v>
      </c>
      <c r="AH259" s="407">
        <v>0</v>
      </c>
      <c r="AI259" s="407">
        <v>0</v>
      </c>
      <c r="AJ259" s="407">
        <v>0</v>
      </c>
      <c r="AK259" s="407">
        <v>0</v>
      </c>
      <c r="AL259" s="407">
        <v>873.31709587698072</v>
      </c>
      <c r="AM259" s="407"/>
      <c r="AN259" s="407">
        <v>189.24457222034545</v>
      </c>
      <c r="AO259" s="407">
        <v>0</v>
      </c>
      <c r="AP259" s="407">
        <v>0</v>
      </c>
      <c r="AQ259" s="407">
        <v>0</v>
      </c>
      <c r="AR259" s="407">
        <v>0</v>
      </c>
      <c r="AS259" s="407">
        <v>0</v>
      </c>
      <c r="AT259" s="407">
        <v>0</v>
      </c>
      <c r="AU259" s="407">
        <v>0</v>
      </c>
      <c r="AV259" s="407">
        <v>0</v>
      </c>
      <c r="AW259" s="407">
        <v>0</v>
      </c>
      <c r="AX259" s="407">
        <v>0</v>
      </c>
      <c r="AY259" s="407">
        <v>0</v>
      </c>
      <c r="AZ259" s="407">
        <v>0</v>
      </c>
      <c r="BA259" s="407"/>
      <c r="BB259" s="407">
        <v>0</v>
      </c>
      <c r="BC259" s="407">
        <v>0</v>
      </c>
      <c r="BD259" s="407">
        <v>0</v>
      </c>
      <c r="BE259" s="407">
        <v>0</v>
      </c>
      <c r="BF259" s="407">
        <v>0</v>
      </c>
      <c r="BG259" s="407">
        <v>1028.1455406145783</v>
      </c>
      <c r="BH259" s="407">
        <v>0</v>
      </c>
      <c r="BI259" s="407">
        <v>394.96</v>
      </c>
      <c r="BJ259" s="407">
        <v>1770.64</v>
      </c>
      <c r="BK259" s="407">
        <v>15041.36</v>
      </c>
      <c r="BL259" s="407">
        <v>88</v>
      </c>
      <c r="BM259" s="407"/>
      <c r="BN259" s="407"/>
      <c r="BO259" s="407"/>
      <c r="BP259" s="407"/>
      <c r="BQ259" s="407"/>
      <c r="BR259" s="407"/>
      <c r="BS259" s="407"/>
      <c r="BT259" s="407"/>
      <c r="BU259" s="407"/>
      <c r="BV259" s="407">
        <v>15093.678443416691</v>
      </c>
      <c r="BW259" s="407"/>
      <c r="BX259" s="407"/>
      <c r="BY259" s="407"/>
      <c r="BZ259" s="407"/>
      <c r="CA259" s="407"/>
      <c r="CB259" s="407"/>
      <c r="CC259" s="407"/>
      <c r="CD259" s="407"/>
      <c r="CE259" s="407"/>
      <c r="CF259" s="407"/>
      <c r="CG259" s="407"/>
      <c r="CH259" s="407"/>
      <c r="CI259" s="407">
        <v>55797.983999999997</v>
      </c>
      <c r="CJ259" s="407">
        <v>-17876.350300000006</v>
      </c>
      <c r="CK259" s="407"/>
      <c r="CL259" s="407"/>
      <c r="CM259" s="407"/>
      <c r="CN259" s="407"/>
      <c r="CO259" s="407">
        <v>-20382.753000000004</v>
      </c>
      <c r="CP259" s="407">
        <v>2505.2090599999997</v>
      </c>
      <c r="CQ259" s="407">
        <v>30</v>
      </c>
      <c r="CR259" s="407">
        <v>1573.5319349920101</v>
      </c>
      <c r="CS259" s="407">
        <v>0</v>
      </c>
      <c r="CT259" s="407">
        <v>0</v>
      </c>
      <c r="CU259" s="407">
        <v>0</v>
      </c>
      <c r="CV259" s="407">
        <v>0</v>
      </c>
      <c r="CW259" s="407">
        <v>0</v>
      </c>
      <c r="CX259" s="407">
        <v>0</v>
      </c>
      <c r="CY259" s="407">
        <v>0</v>
      </c>
      <c r="CZ259" s="407">
        <v>480.52773531463572</v>
      </c>
      <c r="DA259" s="407">
        <v>0</v>
      </c>
      <c r="DB259" s="407">
        <v>0</v>
      </c>
      <c r="DC259" s="407">
        <v>2788.8153371011376</v>
      </c>
      <c r="DD259" s="407">
        <v>0</v>
      </c>
      <c r="DE259" s="407">
        <v>0</v>
      </c>
      <c r="DF259" s="407">
        <v>0</v>
      </c>
      <c r="DG259" s="407">
        <v>203.85349579374065</v>
      </c>
      <c r="DH259" s="407">
        <v>0</v>
      </c>
      <c r="DI259" s="407">
        <v>-395.84661580517331</v>
      </c>
      <c r="DJ259" s="407"/>
      <c r="DK259" s="407">
        <v>0</v>
      </c>
      <c r="DL259" s="407">
        <v>0</v>
      </c>
      <c r="DM259" s="407">
        <v>0</v>
      </c>
      <c r="DN259" s="407">
        <v>0</v>
      </c>
      <c r="DO259" s="407">
        <v>-53.282278503061434</v>
      </c>
      <c r="DP259" s="407">
        <v>-12.058207267073669</v>
      </c>
      <c r="DQ259" s="407">
        <v>0</v>
      </c>
      <c r="DR259" s="407">
        <v>-1438.4775316421915</v>
      </c>
      <c r="DS259" s="407"/>
      <c r="DT259" s="407"/>
      <c r="DU259" s="407"/>
      <c r="DV259" s="407">
        <v>38079.359267799846</v>
      </c>
      <c r="DW259" s="407">
        <v>0</v>
      </c>
      <c r="DX259" s="407">
        <v>0</v>
      </c>
      <c r="DY259" s="407">
        <v>-20382.753000000004</v>
      </c>
      <c r="DZ259" s="407">
        <v>2505.209060000001</v>
      </c>
      <c r="EA259" s="407">
        <v>0</v>
      </c>
      <c r="EB259" s="407">
        <v>0</v>
      </c>
      <c r="EC259" s="407">
        <v>-19451.025158001346</v>
      </c>
      <c r="ED259" s="407">
        <v>0</v>
      </c>
      <c r="EE259" s="407">
        <v>0</v>
      </c>
      <c r="EF259" s="407">
        <v>0</v>
      </c>
      <c r="EG259" s="407">
        <v>0</v>
      </c>
      <c r="EH259" s="407">
        <v>0</v>
      </c>
      <c r="EI259" s="407">
        <v>0</v>
      </c>
      <c r="EJ259" s="407">
        <v>0</v>
      </c>
      <c r="EK259" s="407">
        <v>0</v>
      </c>
      <c r="EL259" s="407">
        <v>0</v>
      </c>
      <c r="EM259" s="407">
        <v>0</v>
      </c>
      <c r="EN259" s="407">
        <v>0</v>
      </c>
      <c r="EO259" s="407">
        <v>0</v>
      </c>
      <c r="EP259" s="407">
        <v>2677.0443061222882</v>
      </c>
      <c r="EQ259" s="407">
        <v>0</v>
      </c>
      <c r="ER259" s="407">
        <v>0</v>
      </c>
      <c r="ES259" s="407">
        <v>0</v>
      </c>
      <c r="ET259" s="407">
        <v>0</v>
      </c>
      <c r="EU259" s="407">
        <v>0</v>
      </c>
      <c r="EV259" s="407">
        <v>246</v>
      </c>
      <c r="EW259" s="407">
        <v>0</v>
      </c>
      <c r="EX259" s="407">
        <v>0</v>
      </c>
      <c r="EY259" s="407">
        <v>0</v>
      </c>
      <c r="EZ259" s="407"/>
      <c r="FA259" s="407">
        <v>0</v>
      </c>
      <c r="FB259" s="407"/>
      <c r="FC259" s="407"/>
      <c r="FD259" s="407"/>
      <c r="FE259" s="407"/>
      <c r="FF259" s="407">
        <v>0</v>
      </c>
      <c r="FG259" s="407">
        <v>0</v>
      </c>
      <c r="FH259" s="407">
        <v>0</v>
      </c>
      <c r="FI259" s="407">
        <v>0</v>
      </c>
    </row>
    <row r="260" spans="1:165">
      <c r="A260" s="407">
        <v>275</v>
      </c>
      <c r="B260" s="407" t="s">
        <v>2309</v>
      </c>
      <c r="C260" s="407" t="s">
        <v>2306</v>
      </c>
      <c r="D260" s="407" t="s">
        <v>1219</v>
      </c>
      <c r="E260" s="407" t="s">
        <v>1022</v>
      </c>
      <c r="F260" s="407" t="s">
        <v>97</v>
      </c>
      <c r="G260" s="407" t="s">
        <v>97</v>
      </c>
      <c r="H260" s="407" t="s">
        <v>97</v>
      </c>
      <c r="I260" s="407" t="s">
        <v>97</v>
      </c>
      <c r="J260" s="407" t="s">
        <v>2307</v>
      </c>
      <c r="K260" s="818">
        <v>44501</v>
      </c>
      <c r="L260" s="407">
        <v>0</v>
      </c>
      <c r="M260" s="407">
        <v>0</v>
      </c>
      <c r="N260" s="407">
        <v>4.4119999999999999</v>
      </c>
      <c r="O260" s="407">
        <v>4.4119999999999999</v>
      </c>
      <c r="P260" s="407">
        <v>4.4119999999999999</v>
      </c>
      <c r="Q260" s="407">
        <v>4.4119999999999999</v>
      </c>
      <c r="R260" s="407"/>
      <c r="S260" s="407">
        <v>648.44000000000005</v>
      </c>
      <c r="T260" s="407">
        <v>159.41</v>
      </c>
      <c r="U260" s="407"/>
      <c r="V260" s="407">
        <v>3564.2341999999999</v>
      </c>
      <c r="W260" s="407">
        <v>3564.2341999999999</v>
      </c>
      <c r="X260" s="407">
        <v>2699.3498399999999</v>
      </c>
      <c r="Y260" s="407">
        <v>0</v>
      </c>
      <c r="Z260" s="407">
        <v>273.41274577958956</v>
      </c>
      <c r="AA260" s="407">
        <v>0</v>
      </c>
      <c r="AB260" s="407">
        <v>0</v>
      </c>
      <c r="AC260" s="407">
        <v>0</v>
      </c>
      <c r="AD260" s="407">
        <v>514.63520844697337</v>
      </c>
      <c r="AE260" s="407">
        <v>1842.2129113525837</v>
      </c>
      <c r="AF260" s="407">
        <v>680.46592213823681</v>
      </c>
      <c r="AG260" s="407">
        <v>22.861868814544454</v>
      </c>
      <c r="AH260" s="407">
        <v>0</v>
      </c>
      <c r="AI260" s="407">
        <v>0</v>
      </c>
      <c r="AJ260" s="407">
        <v>0</v>
      </c>
      <c r="AK260" s="407">
        <v>0</v>
      </c>
      <c r="AL260" s="407">
        <v>42.249556207474278</v>
      </c>
      <c r="AM260" s="407"/>
      <c r="AN260" s="407">
        <v>9.1553219657905238</v>
      </c>
      <c r="AO260" s="407">
        <v>0</v>
      </c>
      <c r="AP260" s="407">
        <v>0</v>
      </c>
      <c r="AQ260" s="407">
        <v>0</v>
      </c>
      <c r="AR260" s="407">
        <v>0</v>
      </c>
      <c r="AS260" s="407">
        <v>0</v>
      </c>
      <c r="AT260" s="407">
        <v>0</v>
      </c>
      <c r="AU260" s="407">
        <v>0</v>
      </c>
      <c r="AV260" s="407">
        <v>0</v>
      </c>
      <c r="AW260" s="407">
        <v>0</v>
      </c>
      <c r="AX260" s="407">
        <v>0</v>
      </c>
      <c r="AY260" s="407">
        <v>0</v>
      </c>
      <c r="AZ260" s="407">
        <v>0</v>
      </c>
      <c r="BA260" s="407"/>
      <c r="BB260" s="407">
        <v>0</v>
      </c>
      <c r="BC260" s="407">
        <v>0</v>
      </c>
      <c r="BD260" s="407">
        <v>0</v>
      </c>
      <c r="BE260" s="407">
        <v>0</v>
      </c>
      <c r="BF260" s="407">
        <v>0</v>
      </c>
      <c r="BG260" s="407">
        <v>49.739886019337263</v>
      </c>
      <c r="BH260" s="407">
        <v>0</v>
      </c>
      <c r="BI260" s="407">
        <v>19.05</v>
      </c>
      <c r="BJ260" s="407">
        <v>85.65</v>
      </c>
      <c r="BK260" s="407">
        <v>3154.96</v>
      </c>
      <c r="BL260" s="407">
        <v>18</v>
      </c>
      <c r="BM260" s="407"/>
      <c r="BN260" s="407"/>
      <c r="BO260" s="407"/>
      <c r="BP260" s="407"/>
      <c r="BQ260" s="407"/>
      <c r="BR260" s="407"/>
      <c r="BS260" s="407"/>
      <c r="BT260" s="407"/>
      <c r="BU260" s="407"/>
      <c r="BV260" s="407">
        <v>730.2058081575741</v>
      </c>
      <c r="BW260" s="407"/>
      <c r="BX260" s="407"/>
      <c r="BY260" s="407"/>
      <c r="BZ260" s="407"/>
      <c r="CA260" s="407"/>
      <c r="CB260" s="407"/>
      <c r="CC260" s="407"/>
      <c r="CD260" s="407"/>
      <c r="CE260" s="407"/>
      <c r="CF260" s="407"/>
      <c r="CG260" s="407"/>
      <c r="CH260" s="407"/>
      <c r="CI260" s="407">
        <v>2698.1262000000002</v>
      </c>
      <c r="CJ260" s="407">
        <v>-866.13800000000037</v>
      </c>
      <c r="CK260" s="407"/>
      <c r="CL260" s="407"/>
      <c r="CM260" s="407"/>
      <c r="CN260" s="407"/>
      <c r="CO260" s="407">
        <v>-986.08200000000022</v>
      </c>
      <c r="CP260" s="407">
        <v>121.19763999999999</v>
      </c>
      <c r="CQ260" s="407">
        <v>30</v>
      </c>
      <c r="CR260" s="407">
        <v>76.124727485085032</v>
      </c>
      <c r="CS260" s="407">
        <v>0</v>
      </c>
      <c r="CT260" s="407">
        <v>0</v>
      </c>
      <c r="CU260" s="407">
        <v>0</v>
      </c>
      <c r="CV260" s="407">
        <v>0</v>
      </c>
      <c r="CW260" s="407">
        <v>0</v>
      </c>
      <c r="CX260" s="407">
        <v>0</v>
      </c>
      <c r="CY260" s="407">
        <v>0</v>
      </c>
      <c r="CZ260" s="407">
        <v>23.247092789405201</v>
      </c>
      <c r="DA260" s="407">
        <v>0</v>
      </c>
      <c r="DB260" s="407">
        <v>0</v>
      </c>
      <c r="DC260" s="407">
        <v>134.91801648380692</v>
      </c>
      <c r="DD260" s="407">
        <v>0</v>
      </c>
      <c r="DE260" s="407">
        <v>0</v>
      </c>
      <c r="DF260" s="407">
        <v>0</v>
      </c>
      <c r="DG260" s="407">
        <v>9.862076179762532</v>
      </c>
      <c r="DH260" s="407">
        <v>0</v>
      </c>
      <c r="DI260" s="407">
        <v>-19.150368088471481</v>
      </c>
      <c r="DJ260" s="407"/>
      <c r="DK260" s="407">
        <v>0</v>
      </c>
      <c r="DL260" s="407">
        <v>0</v>
      </c>
      <c r="DM260" s="407">
        <v>0</v>
      </c>
      <c r="DN260" s="407">
        <v>0</v>
      </c>
      <c r="DO260" s="407">
        <v>-2.5777035982752636</v>
      </c>
      <c r="DP260" s="407">
        <v>-0.5833550128547671</v>
      </c>
      <c r="DQ260" s="407">
        <v>0</v>
      </c>
      <c r="DR260" s="407">
        <v>-69.591031268288233</v>
      </c>
      <c r="DS260" s="407"/>
      <c r="DT260" s="407"/>
      <c r="DU260" s="407"/>
      <c r="DV260" s="407">
        <v>1842.2129113525837</v>
      </c>
      <c r="DW260" s="407">
        <v>0</v>
      </c>
      <c r="DX260" s="407">
        <v>0</v>
      </c>
      <c r="DY260" s="407">
        <v>-986.08200000000011</v>
      </c>
      <c r="DZ260" s="407">
        <v>121.19763999999998</v>
      </c>
      <c r="EA260" s="407">
        <v>0</v>
      </c>
      <c r="EB260" s="407">
        <v>0</v>
      </c>
      <c r="EC260" s="407">
        <v>-941.00663388563282</v>
      </c>
      <c r="ED260" s="407">
        <v>0</v>
      </c>
      <c r="EE260" s="407">
        <v>0</v>
      </c>
      <c r="EF260" s="407">
        <v>0</v>
      </c>
      <c r="EG260" s="407">
        <v>0</v>
      </c>
      <c r="EH260" s="407">
        <v>0</v>
      </c>
      <c r="EI260" s="407">
        <v>0</v>
      </c>
      <c r="EJ260" s="407">
        <v>0</v>
      </c>
      <c r="EK260" s="407">
        <v>0</v>
      </c>
      <c r="EL260" s="407">
        <v>0</v>
      </c>
      <c r="EM260" s="407">
        <v>0</v>
      </c>
      <c r="EN260" s="407">
        <v>0</v>
      </c>
      <c r="EO260" s="407">
        <v>0</v>
      </c>
      <c r="EP260" s="407">
        <v>129.5107291674328</v>
      </c>
      <c r="EQ260" s="407">
        <v>0</v>
      </c>
      <c r="ER260" s="407">
        <v>0</v>
      </c>
      <c r="ES260" s="407">
        <v>0</v>
      </c>
      <c r="ET260" s="407">
        <v>0</v>
      </c>
      <c r="EU260" s="407">
        <v>0</v>
      </c>
      <c r="EV260" s="407">
        <v>246</v>
      </c>
      <c r="EW260" s="407">
        <v>0</v>
      </c>
      <c r="EX260" s="407">
        <v>0</v>
      </c>
      <c r="EY260" s="407">
        <v>0</v>
      </c>
      <c r="EZ260" s="407"/>
      <c r="FA260" s="407">
        <v>0</v>
      </c>
      <c r="FB260" s="407"/>
      <c r="FC260" s="407"/>
      <c r="FD260" s="407"/>
      <c r="FE260" s="407"/>
      <c r="FF260" s="407">
        <v>0</v>
      </c>
      <c r="FG260" s="407">
        <v>0</v>
      </c>
      <c r="FH260" s="407">
        <v>0</v>
      </c>
      <c r="FI260" s="407">
        <v>0</v>
      </c>
    </row>
    <row r="261" spans="1:165">
      <c r="A261" s="407">
        <v>276</v>
      </c>
      <c r="B261" s="407" t="s">
        <v>1090</v>
      </c>
      <c r="C261" s="407" t="s">
        <v>2314</v>
      </c>
      <c r="D261" s="407" t="s">
        <v>650</v>
      </c>
      <c r="E261" s="407" t="s">
        <v>1022</v>
      </c>
      <c r="F261" s="407" t="s">
        <v>97</v>
      </c>
      <c r="G261" s="407" t="s">
        <v>97</v>
      </c>
      <c r="H261" s="407" t="s">
        <v>97</v>
      </c>
      <c r="I261" s="407" t="s">
        <v>1025</v>
      </c>
      <c r="J261" s="407" t="s">
        <v>2307</v>
      </c>
      <c r="K261" s="818">
        <v>44501</v>
      </c>
      <c r="L261" s="407">
        <v>0</v>
      </c>
      <c r="M261" s="407">
        <v>0</v>
      </c>
      <c r="N261" s="407">
        <v>15.426</v>
      </c>
      <c r="O261" s="407">
        <v>15.426</v>
      </c>
      <c r="P261" s="407">
        <v>15.426</v>
      </c>
      <c r="Q261" s="407">
        <v>15.426</v>
      </c>
      <c r="R261" s="407"/>
      <c r="S261" s="407">
        <v>2810.7</v>
      </c>
      <c r="T261" s="407">
        <v>159.41</v>
      </c>
      <c r="U261" s="407"/>
      <c r="V261" s="407">
        <v>45816.916859999998</v>
      </c>
      <c r="W261" s="407">
        <v>45816.916859999998</v>
      </c>
      <c r="X261" s="407">
        <v>29181.209940000001</v>
      </c>
      <c r="Y261" s="407">
        <v>0</v>
      </c>
      <c r="Z261" s="407">
        <v>831.67918501008</v>
      </c>
      <c r="AA261" s="407">
        <v>0</v>
      </c>
      <c r="AB261" s="407">
        <v>0</v>
      </c>
      <c r="AC261" s="407">
        <v>0</v>
      </c>
      <c r="AD261" s="407">
        <v>9417.8135435829718</v>
      </c>
      <c r="AE261" s="407">
        <v>32470.016234506686</v>
      </c>
      <c r="AF261" s="407">
        <v>2379.1630360164195</v>
      </c>
      <c r="AG261" s="407">
        <v>79.933632895095812</v>
      </c>
      <c r="AH261" s="407">
        <v>0</v>
      </c>
      <c r="AI261" s="407">
        <v>0</v>
      </c>
      <c r="AJ261" s="407">
        <v>0</v>
      </c>
      <c r="AK261" s="407">
        <v>0</v>
      </c>
      <c r="AL261" s="407">
        <v>147.72022984054811</v>
      </c>
      <c r="AM261" s="407"/>
      <c r="AN261" s="407">
        <v>16.56341117866679</v>
      </c>
      <c r="AO261" s="407">
        <v>0</v>
      </c>
      <c r="AP261" s="407">
        <v>0</v>
      </c>
      <c r="AQ261" s="407">
        <v>0</v>
      </c>
      <c r="AR261" s="407">
        <v>0</v>
      </c>
      <c r="AS261" s="407">
        <v>0</v>
      </c>
      <c r="AT261" s="407">
        <v>0</v>
      </c>
      <c r="AU261" s="407">
        <v>0</v>
      </c>
      <c r="AV261" s="407">
        <v>0</v>
      </c>
      <c r="AW261" s="407">
        <v>0</v>
      </c>
      <c r="AX261" s="407">
        <v>0</v>
      </c>
      <c r="AY261" s="407">
        <v>0</v>
      </c>
      <c r="AZ261" s="407">
        <v>0</v>
      </c>
      <c r="BA261" s="407"/>
      <c r="BB261" s="407">
        <v>0</v>
      </c>
      <c r="BC261" s="407">
        <v>0</v>
      </c>
      <c r="BD261" s="407">
        <v>0</v>
      </c>
      <c r="BE261" s="407">
        <v>0</v>
      </c>
      <c r="BF261" s="407">
        <v>0</v>
      </c>
      <c r="BG261" s="407">
        <v>80.059001861005825</v>
      </c>
      <c r="BH261" s="407">
        <v>0</v>
      </c>
      <c r="BI261" s="407">
        <v>0</v>
      </c>
      <c r="BJ261" s="407">
        <v>0</v>
      </c>
      <c r="BK261" s="407">
        <v>0</v>
      </c>
      <c r="BL261" s="407">
        <v>0</v>
      </c>
      <c r="BM261" s="407"/>
      <c r="BN261" s="407"/>
      <c r="BO261" s="407"/>
      <c r="BP261" s="407"/>
      <c r="BQ261" s="407"/>
      <c r="BR261" s="407"/>
      <c r="BS261" s="407"/>
      <c r="BT261" s="407"/>
      <c r="BU261" s="407"/>
      <c r="BV261" s="407">
        <v>2459.2220378774255</v>
      </c>
      <c r="BW261" s="407"/>
      <c r="BX261" s="407"/>
      <c r="BY261" s="407"/>
      <c r="BZ261" s="407"/>
      <c r="CA261" s="407"/>
      <c r="CB261" s="407"/>
      <c r="CC261" s="407"/>
      <c r="CD261" s="407"/>
      <c r="CE261" s="407"/>
      <c r="CF261" s="407"/>
      <c r="CG261" s="407"/>
      <c r="CH261" s="407"/>
      <c r="CI261" s="407">
        <v>29188.776700000002</v>
      </c>
      <c r="CJ261" s="407">
        <v>-16628.170160000001</v>
      </c>
      <c r="CK261" s="407"/>
      <c r="CL261" s="407"/>
      <c r="CM261" s="407"/>
      <c r="CN261" s="407"/>
      <c r="CO261" s="407">
        <v>-17059.459139999999</v>
      </c>
      <c r="CP261" s="407">
        <v>423.75221999999997</v>
      </c>
      <c r="CQ261" s="407">
        <v>30</v>
      </c>
      <c r="CR261" s="407">
        <v>-49.866041243962172</v>
      </c>
      <c r="CS261" s="407">
        <v>0</v>
      </c>
      <c r="CT261" s="407">
        <v>0</v>
      </c>
      <c r="CU261" s="407">
        <v>0</v>
      </c>
      <c r="CV261" s="407">
        <v>0</v>
      </c>
      <c r="CW261" s="407">
        <v>0</v>
      </c>
      <c r="CX261" s="407">
        <v>0</v>
      </c>
      <c r="CY261" s="407">
        <v>0</v>
      </c>
      <c r="CZ261" s="407">
        <v>425.42131149883608</v>
      </c>
      <c r="DA261" s="407">
        <v>0</v>
      </c>
      <c r="DB261" s="407">
        <v>0</v>
      </c>
      <c r="DC261" s="407">
        <v>471.72378111495982</v>
      </c>
      <c r="DD261" s="407">
        <v>0</v>
      </c>
      <c r="DE261" s="407">
        <v>0</v>
      </c>
      <c r="DF261" s="407">
        <v>0</v>
      </c>
      <c r="DG261" s="407">
        <v>15.873538088166043</v>
      </c>
      <c r="DH261" s="407">
        <v>0</v>
      </c>
      <c r="DI261" s="407">
        <v>-58.252450810404412</v>
      </c>
      <c r="DJ261" s="407"/>
      <c r="DK261" s="407">
        <v>0</v>
      </c>
      <c r="DL261" s="407">
        <v>0</v>
      </c>
      <c r="DM261" s="407">
        <v>0</v>
      </c>
      <c r="DN261" s="407">
        <v>0</v>
      </c>
      <c r="DO261" s="407">
        <v>-9.0126146208055786</v>
      </c>
      <c r="DP261" s="407">
        <v>-1.0553805728682537</v>
      </c>
      <c r="DQ261" s="407">
        <v>0</v>
      </c>
      <c r="DR261" s="407">
        <v>-894.56422594184494</v>
      </c>
      <c r="DS261" s="407"/>
      <c r="DT261" s="407"/>
      <c r="DU261" s="407"/>
      <c r="DV261" s="407">
        <v>32470.016234506686</v>
      </c>
      <c r="DW261" s="407">
        <v>0</v>
      </c>
      <c r="DX261" s="407">
        <v>0</v>
      </c>
      <c r="DY261" s="407">
        <v>-17059.459139999995</v>
      </c>
      <c r="DZ261" s="407">
        <v>423.75221999999985</v>
      </c>
      <c r="EA261" s="407">
        <v>0</v>
      </c>
      <c r="EB261" s="407">
        <v>0</v>
      </c>
      <c r="EC261" s="407">
        <v>-16585.759708203976</v>
      </c>
      <c r="ED261" s="407">
        <v>0</v>
      </c>
      <c r="EE261" s="407">
        <v>0</v>
      </c>
      <c r="EF261" s="407">
        <v>0</v>
      </c>
      <c r="EG261" s="407">
        <v>0</v>
      </c>
      <c r="EH261" s="407">
        <v>0</v>
      </c>
      <c r="EI261" s="407">
        <v>0</v>
      </c>
      <c r="EJ261" s="407">
        <v>0</v>
      </c>
      <c r="EK261" s="407">
        <v>0</v>
      </c>
      <c r="EL261" s="407">
        <v>0</v>
      </c>
      <c r="EM261" s="407">
        <v>0</v>
      </c>
      <c r="EN261" s="407">
        <v>0</v>
      </c>
      <c r="EO261" s="407">
        <v>0</v>
      </c>
      <c r="EP261" s="407">
        <v>393.95155985472149</v>
      </c>
      <c r="EQ261" s="407">
        <v>0</v>
      </c>
      <c r="ER261" s="407">
        <v>0</v>
      </c>
      <c r="ES261" s="407">
        <v>0</v>
      </c>
      <c r="ET261" s="407">
        <v>0</v>
      </c>
      <c r="EU261" s="407">
        <v>0</v>
      </c>
      <c r="EV261" s="407">
        <v>246</v>
      </c>
      <c r="EW261" s="407">
        <v>0</v>
      </c>
      <c r="EX261" s="407">
        <v>0</v>
      </c>
      <c r="EY261" s="407">
        <v>0</v>
      </c>
      <c r="EZ261" s="407"/>
      <c r="FA261" s="407">
        <v>0</v>
      </c>
      <c r="FB261" s="407"/>
      <c r="FC261" s="407"/>
      <c r="FD261" s="407"/>
      <c r="FE261" s="407"/>
      <c r="FF261" s="407">
        <v>0</v>
      </c>
      <c r="FG261" s="407">
        <v>0</v>
      </c>
      <c r="FH261" s="407">
        <v>0</v>
      </c>
      <c r="FI261" s="407">
        <v>0</v>
      </c>
    </row>
    <row r="262" spans="1:165">
      <c r="A262" s="407">
        <v>277</v>
      </c>
      <c r="B262" s="407" t="s">
        <v>1090</v>
      </c>
      <c r="C262" s="407" t="s">
        <v>2314</v>
      </c>
      <c r="D262" s="407" t="s">
        <v>650</v>
      </c>
      <c r="E262" s="407" t="s">
        <v>1022</v>
      </c>
      <c r="F262" s="407" t="s">
        <v>97</v>
      </c>
      <c r="G262" s="407" t="s">
        <v>97</v>
      </c>
      <c r="H262" s="407" t="s">
        <v>97</v>
      </c>
      <c r="I262" s="407" t="s">
        <v>2290</v>
      </c>
      <c r="J262" s="407" t="s">
        <v>2307</v>
      </c>
      <c r="K262" s="818">
        <v>44501</v>
      </c>
      <c r="L262" s="407">
        <v>0</v>
      </c>
      <c r="M262" s="407">
        <v>0</v>
      </c>
      <c r="N262" s="407">
        <v>510.29599999999999</v>
      </c>
      <c r="O262" s="407">
        <v>510.29599999999999</v>
      </c>
      <c r="P262" s="407">
        <v>510.29599999999999</v>
      </c>
      <c r="Q262" s="407">
        <v>510.29599999999999</v>
      </c>
      <c r="R262" s="407"/>
      <c r="S262" s="407">
        <v>95.29</v>
      </c>
      <c r="T262" s="407">
        <v>159.41</v>
      </c>
      <c r="U262" s="407"/>
      <c r="V262" s="407">
        <v>129972.3912</v>
      </c>
      <c r="W262" s="407">
        <v>129972.3912</v>
      </c>
      <c r="X262" s="407">
        <v>141306.06536000001</v>
      </c>
      <c r="Y262" s="407">
        <v>0</v>
      </c>
      <c r="Z262" s="407">
        <v>27512.158783476196</v>
      </c>
      <c r="AA262" s="407">
        <v>0</v>
      </c>
      <c r="AB262" s="407">
        <v>0</v>
      </c>
      <c r="AC262" s="407">
        <v>0</v>
      </c>
      <c r="AD262" s="407">
        <v>0</v>
      </c>
      <c r="AE262" s="407">
        <v>0</v>
      </c>
      <c r="AF262" s="407">
        <v>78703.317815832663</v>
      </c>
      <c r="AG262" s="407">
        <v>2644.2248886189432</v>
      </c>
      <c r="AH262" s="407">
        <v>0</v>
      </c>
      <c r="AI262" s="407">
        <v>0</v>
      </c>
      <c r="AJ262" s="407">
        <v>0</v>
      </c>
      <c r="AK262" s="407">
        <v>0</v>
      </c>
      <c r="AL262" s="407">
        <v>4886.6227412623066</v>
      </c>
      <c r="AM262" s="407"/>
      <c r="AN262" s="407">
        <v>547.92185082516187</v>
      </c>
      <c r="AO262" s="407">
        <v>0</v>
      </c>
      <c r="AP262" s="407">
        <v>0</v>
      </c>
      <c r="AQ262" s="407">
        <v>0</v>
      </c>
      <c r="AR262" s="407">
        <v>0</v>
      </c>
      <c r="AS262" s="407">
        <v>0</v>
      </c>
      <c r="AT262" s="407">
        <v>0</v>
      </c>
      <c r="AU262" s="407">
        <v>0</v>
      </c>
      <c r="AV262" s="407">
        <v>0</v>
      </c>
      <c r="AW262" s="407">
        <v>0</v>
      </c>
      <c r="AX262" s="407">
        <v>0</v>
      </c>
      <c r="AY262" s="407">
        <v>0</v>
      </c>
      <c r="AZ262" s="407">
        <v>0</v>
      </c>
      <c r="BA262" s="407"/>
      <c r="BB262" s="407">
        <v>0</v>
      </c>
      <c r="BC262" s="407">
        <v>0</v>
      </c>
      <c r="BD262" s="407">
        <v>0</v>
      </c>
      <c r="BE262" s="407">
        <v>0</v>
      </c>
      <c r="BF262" s="407">
        <v>0</v>
      </c>
      <c r="BG262" s="407">
        <v>2648.3721258695596</v>
      </c>
      <c r="BH262" s="407">
        <v>0</v>
      </c>
      <c r="BI262" s="407">
        <v>0</v>
      </c>
      <c r="BJ262" s="407">
        <v>0</v>
      </c>
      <c r="BK262" s="407">
        <v>0</v>
      </c>
      <c r="BL262" s="407">
        <v>0</v>
      </c>
      <c r="BM262" s="407"/>
      <c r="BN262" s="407"/>
      <c r="BO262" s="407"/>
      <c r="BP262" s="407"/>
      <c r="BQ262" s="407"/>
      <c r="BR262" s="407"/>
      <c r="BS262" s="407"/>
      <c r="BT262" s="407"/>
      <c r="BU262" s="407"/>
      <c r="BV262" s="407">
        <v>81351.689941702221</v>
      </c>
      <c r="BW262" s="407"/>
      <c r="BX262" s="407"/>
      <c r="BY262" s="407"/>
      <c r="BZ262" s="407"/>
      <c r="CA262" s="407"/>
      <c r="CB262" s="407"/>
      <c r="CC262" s="407"/>
      <c r="CD262" s="407"/>
      <c r="CE262" s="407"/>
      <c r="CF262" s="407"/>
      <c r="CG262" s="407"/>
      <c r="CH262" s="407"/>
      <c r="CI262" s="407">
        <v>141307.17300000001</v>
      </c>
      <c r="CJ262" s="407">
        <v>11334.751800000013</v>
      </c>
      <c r="CK262" s="407"/>
      <c r="CL262" s="407"/>
      <c r="CM262" s="407"/>
      <c r="CN262" s="407"/>
      <c r="CO262" s="407">
        <v>-2684.1569600000025</v>
      </c>
      <c r="CP262" s="407">
        <v>14017.831119999999</v>
      </c>
      <c r="CQ262" s="407">
        <v>30</v>
      </c>
      <c r="CR262" s="407">
        <v>11332.061221293523</v>
      </c>
      <c r="CS262" s="407">
        <v>0</v>
      </c>
      <c r="CT262" s="407">
        <v>0</v>
      </c>
      <c r="CU262" s="407">
        <v>0</v>
      </c>
      <c r="CV262" s="407">
        <v>0</v>
      </c>
      <c r="CW262" s="407">
        <v>0</v>
      </c>
      <c r="CX262" s="407">
        <v>0</v>
      </c>
      <c r="CY262" s="407">
        <v>0</v>
      </c>
      <c r="CZ262" s="407">
        <v>0</v>
      </c>
      <c r="DA262" s="407">
        <v>0</v>
      </c>
      <c r="DB262" s="407">
        <v>0</v>
      </c>
      <c r="DC262" s="407">
        <v>15604.742552044583</v>
      </c>
      <c r="DD262" s="407">
        <v>0</v>
      </c>
      <c r="DE262" s="407">
        <v>0</v>
      </c>
      <c r="DF262" s="407">
        <v>0</v>
      </c>
      <c r="DG262" s="407">
        <v>525.10067368331283</v>
      </c>
      <c r="DH262" s="407">
        <v>0</v>
      </c>
      <c r="DI262" s="407">
        <v>-1927.0058757128318</v>
      </c>
      <c r="DJ262" s="407"/>
      <c r="DK262" s="407">
        <v>0</v>
      </c>
      <c r="DL262" s="407">
        <v>0</v>
      </c>
      <c r="DM262" s="407">
        <v>0</v>
      </c>
      <c r="DN262" s="407">
        <v>0</v>
      </c>
      <c r="DO262" s="407">
        <v>-298.13958190967242</v>
      </c>
      <c r="DP262" s="407">
        <v>-34.912257540021869</v>
      </c>
      <c r="DQ262" s="407">
        <v>0</v>
      </c>
      <c r="DR262" s="407">
        <v>-2537.7242892718382</v>
      </c>
      <c r="DS262" s="407"/>
      <c r="DT262" s="407"/>
      <c r="DU262" s="407"/>
      <c r="DV262" s="407">
        <v>0</v>
      </c>
      <c r="DW262" s="407">
        <v>0</v>
      </c>
      <c r="DX262" s="407">
        <v>0</v>
      </c>
      <c r="DY262" s="407">
        <v>-2684.1569600000075</v>
      </c>
      <c r="DZ262" s="407">
        <v>14017.831120000003</v>
      </c>
      <c r="EA262" s="407">
        <v>0</v>
      </c>
      <c r="EB262" s="407">
        <v>0</v>
      </c>
      <c r="EC262" s="407">
        <v>0</v>
      </c>
      <c r="ED262" s="407">
        <v>0</v>
      </c>
      <c r="EE262" s="407">
        <v>0</v>
      </c>
      <c r="EF262" s="407">
        <v>0</v>
      </c>
      <c r="EG262" s="407">
        <v>0</v>
      </c>
      <c r="EH262" s="407">
        <v>0</v>
      </c>
      <c r="EI262" s="407">
        <v>0</v>
      </c>
      <c r="EJ262" s="407">
        <v>0</v>
      </c>
      <c r="EK262" s="407">
        <v>0</v>
      </c>
      <c r="EL262" s="407">
        <v>0</v>
      </c>
      <c r="EM262" s="407">
        <v>0</v>
      </c>
      <c r="EN262" s="407">
        <v>0</v>
      </c>
      <c r="EO262" s="407">
        <v>0</v>
      </c>
      <c r="EP262" s="407">
        <v>13032.017709556914</v>
      </c>
      <c r="EQ262" s="407">
        <v>0</v>
      </c>
      <c r="ER262" s="407">
        <v>0</v>
      </c>
      <c r="ES262" s="407">
        <v>0</v>
      </c>
      <c r="ET262" s="407">
        <v>0</v>
      </c>
      <c r="EU262" s="407">
        <v>0</v>
      </c>
      <c r="EV262" s="407">
        <v>246</v>
      </c>
      <c r="EW262" s="407">
        <v>0</v>
      </c>
      <c r="EX262" s="407">
        <v>0</v>
      </c>
      <c r="EY262" s="407">
        <v>0</v>
      </c>
      <c r="EZ262" s="407"/>
      <c r="FA262" s="407">
        <v>0</v>
      </c>
      <c r="FB262" s="407"/>
      <c r="FC262" s="407"/>
      <c r="FD262" s="407"/>
      <c r="FE262" s="407"/>
      <c r="FF262" s="407">
        <v>0</v>
      </c>
      <c r="FG262" s="407">
        <v>0</v>
      </c>
      <c r="FH262" s="407">
        <v>0</v>
      </c>
      <c r="FI262" s="407">
        <v>0</v>
      </c>
    </row>
    <row r="263" spans="1:165">
      <c r="A263" s="407">
        <v>278</v>
      </c>
      <c r="B263" s="407" t="s">
        <v>1090</v>
      </c>
      <c r="C263" s="407" t="s">
        <v>2314</v>
      </c>
      <c r="D263" s="407" t="s">
        <v>650</v>
      </c>
      <c r="E263" s="407" t="s">
        <v>1022</v>
      </c>
      <c r="F263" s="407" t="s">
        <v>97</v>
      </c>
      <c r="G263" s="407" t="s">
        <v>97</v>
      </c>
      <c r="H263" s="407" t="s">
        <v>97</v>
      </c>
      <c r="I263" s="407" t="s">
        <v>97</v>
      </c>
      <c r="J263" s="407" t="s">
        <v>2307</v>
      </c>
      <c r="K263" s="818">
        <v>44501</v>
      </c>
      <c r="L263" s="407">
        <v>2124</v>
      </c>
      <c r="M263" s="407">
        <v>2124</v>
      </c>
      <c r="N263" s="407">
        <v>0</v>
      </c>
      <c r="O263" s="407">
        <v>0</v>
      </c>
      <c r="P263" s="407">
        <v>0</v>
      </c>
      <c r="Q263" s="407">
        <v>0</v>
      </c>
      <c r="R263" s="407">
        <v>43.29</v>
      </c>
      <c r="S263" s="407"/>
      <c r="T263" s="407"/>
      <c r="U263" s="407">
        <v>91947.959999999992</v>
      </c>
      <c r="V263" s="407"/>
      <c r="W263" s="407">
        <v>91947.959999999992</v>
      </c>
      <c r="X263" s="407">
        <v>71132.760000000009</v>
      </c>
      <c r="Y263" s="407">
        <v>0</v>
      </c>
      <c r="Z263" s="407">
        <v>0</v>
      </c>
      <c r="AA263" s="407">
        <v>0</v>
      </c>
      <c r="AB263" s="407">
        <v>0</v>
      </c>
      <c r="AC263" s="407">
        <v>0</v>
      </c>
      <c r="AD263" s="407">
        <v>50262.308724522314</v>
      </c>
      <c r="AE263" s="407">
        <v>41692.393409685275</v>
      </c>
      <c r="AF263" s="407"/>
      <c r="AG263" s="407"/>
      <c r="AH263" s="407"/>
      <c r="AI263" s="407">
        <v>0</v>
      </c>
      <c r="AJ263" s="407">
        <v>0</v>
      </c>
      <c r="AK263" s="407">
        <v>0</v>
      </c>
      <c r="AL263" s="407">
        <v>0</v>
      </c>
      <c r="AM263" s="407"/>
      <c r="AN263" s="407">
        <v>0</v>
      </c>
      <c r="AO263" s="407">
        <v>0</v>
      </c>
      <c r="AP263" s="407">
        <v>0</v>
      </c>
      <c r="AQ263" s="407">
        <v>0</v>
      </c>
      <c r="AR263" s="407">
        <v>0</v>
      </c>
      <c r="AS263" s="407"/>
      <c r="AT263" s="407"/>
      <c r="AU263" s="407">
        <v>0</v>
      </c>
      <c r="AV263" s="407">
        <v>0</v>
      </c>
      <c r="AW263" s="407">
        <v>0</v>
      </c>
      <c r="AX263" s="407"/>
      <c r="AY263" s="407"/>
      <c r="AZ263" s="407">
        <v>0</v>
      </c>
      <c r="BA263" s="407"/>
      <c r="BB263" s="407">
        <v>0</v>
      </c>
      <c r="BC263" s="407">
        <v>0</v>
      </c>
      <c r="BD263" s="407">
        <v>0</v>
      </c>
      <c r="BE263" s="407">
        <v>0</v>
      </c>
      <c r="BF263" s="407"/>
      <c r="BG263" s="407">
        <v>0</v>
      </c>
      <c r="BH263" s="407">
        <v>0</v>
      </c>
      <c r="BI263" s="407">
        <v>1827.95</v>
      </c>
      <c r="BJ263" s="407">
        <v>8186.25</v>
      </c>
      <c r="BK263" s="407">
        <v>68828.039999999994</v>
      </c>
      <c r="BL263" s="407">
        <v>13</v>
      </c>
      <c r="BM263" s="407"/>
      <c r="BN263" s="407"/>
      <c r="BO263" s="407"/>
      <c r="BP263" s="407"/>
      <c r="BQ263" s="407"/>
      <c r="BR263" s="407"/>
      <c r="BS263" s="407"/>
      <c r="BT263" s="407"/>
      <c r="BU263" s="407"/>
      <c r="BV263" s="407">
        <v>0</v>
      </c>
      <c r="BW263" s="407"/>
      <c r="BX263" s="407"/>
      <c r="BY263" s="407"/>
      <c r="BZ263" s="407"/>
      <c r="CA263" s="407"/>
      <c r="CB263" s="407"/>
      <c r="CC263" s="407"/>
      <c r="CD263" s="407"/>
      <c r="CE263" s="407"/>
      <c r="CF263" s="407"/>
      <c r="CG263" s="407"/>
      <c r="CH263" s="407"/>
      <c r="CI263" s="407">
        <v>71132.760000000009</v>
      </c>
      <c r="CJ263" s="407">
        <v>-20815.229999999967</v>
      </c>
      <c r="CK263" s="407"/>
      <c r="CL263" s="407"/>
      <c r="CM263" s="407"/>
      <c r="CN263" s="407"/>
      <c r="CO263" s="407">
        <v>-20815.199999999993</v>
      </c>
      <c r="CP263" s="407">
        <v>0</v>
      </c>
      <c r="CQ263" s="407">
        <v>30</v>
      </c>
      <c r="CR263" s="407">
        <v>475.0541484359419</v>
      </c>
      <c r="CS263" s="407">
        <v>0</v>
      </c>
      <c r="CT263" s="407">
        <v>0</v>
      </c>
      <c r="CU263" s="407">
        <v>0</v>
      </c>
      <c r="CV263" s="407">
        <v>0</v>
      </c>
      <c r="CW263" s="407"/>
      <c r="CX263" s="407"/>
      <c r="CY263" s="407"/>
      <c r="CZ263" s="407">
        <v>2270.4481456966896</v>
      </c>
      <c r="DA263" s="407">
        <v>0</v>
      </c>
      <c r="DB263" s="407">
        <v>0</v>
      </c>
      <c r="DC263" s="407"/>
      <c r="DD263" s="407"/>
      <c r="DE263" s="407">
        <v>0</v>
      </c>
      <c r="DF263" s="407">
        <v>0</v>
      </c>
      <c r="DG263" s="407">
        <v>0</v>
      </c>
      <c r="DH263" s="407">
        <v>0</v>
      </c>
      <c r="DI263" s="407">
        <v>0</v>
      </c>
      <c r="DJ263" s="407"/>
      <c r="DK263" s="407">
        <v>0</v>
      </c>
      <c r="DL263" s="407">
        <v>0</v>
      </c>
      <c r="DM263" s="407"/>
      <c r="DN263" s="407">
        <v>0</v>
      </c>
      <c r="DO263" s="407">
        <v>0</v>
      </c>
      <c r="DP263" s="407">
        <v>0</v>
      </c>
      <c r="DQ263" s="407">
        <v>0</v>
      </c>
      <c r="DR263" s="407">
        <v>-1795.393997260745</v>
      </c>
      <c r="DS263" s="407"/>
      <c r="DT263" s="407"/>
      <c r="DU263" s="407">
        <v>41692.393409685275</v>
      </c>
      <c r="DV263" s="407"/>
      <c r="DW263" s="407">
        <v>0</v>
      </c>
      <c r="DX263" s="407">
        <v>0</v>
      </c>
      <c r="DY263" s="407">
        <v>-20815.199999999983</v>
      </c>
      <c r="DZ263" s="407"/>
      <c r="EA263" s="407">
        <v>0</v>
      </c>
      <c r="EB263" s="407"/>
      <c r="EC263" s="407">
        <v>-21296.571389393939</v>
      </c>
      <c r="ED263" s="407"/>
      <c r="EE263" s="407">
        <v>0</v>
      </c>
      <c r="EF263" s="407">
        <v>0</v>
      </c>
      <c r="EG263" s="407"/>
      <c r="EH263" s="407">
        <v>0</v>
      </c>
      <c r="EI263" s="407">
        <v>0</v>
      </c>
      <c r="EJ263" s="407">
        <v>0</v>
      </c>
      <c r="EK263" s="407">
        <v>0</v>
      </c>
      <c r="EL263" s="407">
        <v>0</v>
      </c>
      <c r="EM263" s="407"/>
      <c r="EN263" s="407"/>
      <c r="EO263" s="407">
        <v>0</v>
      </c>
      <c r="EP263" s="407">
        <v>0</v>
      </c>
      <c r="EQ263" s="407"/>
      <c r="ER263" s="407">
        <v>0</v>
      </c>
      <c r="ES263" s="407"/>
      <c r="ET263" s="407">
        <v>0</v>
      </c>
      <c r="EU263" s="407"/>
      <c r="EV263" s="407">
        <v>246</v>
      </c>
      <c r="EW263" s="407"/>
      <c r="EX263" s="407"/>
      <c r="EY263" s="407"/>
      <c r="EZ263" s="407"/>
      <c r="FA263" s="407">
        <v>0</v>
      </c>
      <c r="FB263" s="407"/>
      <c r="FC263" s="407"/>
      <c r="FD263" s="407"/>
      <c r="FE263" s="407"/>
      <c r="FF263" s="407">
        <v>0</v>
      </c>
      <c r="FG263" s="407">
        <v>0</v>
      </c>
      <c r="FH263" s="407">
        <v>0</v>
      </c>
      <c r="FI263" s="407">
        <v>0</v>
      </c>
    </row>
    <row r="264" spans="1:165">
      <c r="A264" s="407">
        <v>279</v>
      </c>
      <c r="B264" s="407" t="s">
        <v>1090</v>
      </c>
      <c r="C264" s="407" t="s">
        <v>2306</v>
      </c>
      <c r="D264" s="407" t="s">
        <v>1219</v>
      </c>
      <c r="E264" s="407" t="s">
        <v>1049</v>
      </c>
      <c r="F264" s="407" t="s">
        <v>97</v>
      </c>
      <c r="G264" s="407" t="s">
        <v>97</v>
      </c>
      <c r="H264" s="407" t="s">
        <v>97</v>
      </c>
      <c r="I264" s="407" t="s">
        <v>97</v>
      </c>
      <c r="J264" s="407" t="s">
        <v>2307</v>
      </c>
      <c r="K264" s="818">
        <v>44501</v>
      </c>
      <c r="L264" s="407">
        <v>0</v>
      </c>
      <c r="M264" s="407">
        <v>0</v>
      </c>
      <c r="N264" s="407">
        <v>632.22400000000005</v>
      </c>
      <c r="O264" s="407">
        <v>632.22400000000005</v>
      </c>
      <c r="P264" s="407">
        <v>632.22400000000005</v>
      </c>
      <c r="Q264" s="407">
        <v>632.22400000000005</v>
      </c>
      <c r="R264" s="407"/>
      <c r="S264" s="407">
        <v>648.44000000000005</v>
      </c>
      <c r="T264" s="407">
        <v>159.41</v>
      </c>
      <c r="U264" s="407"/>
      <c r="V264" s="407">
        <v>510742.15840000007</v>
      </c>
      <c r="W264" s="407">
        <v>510742.15840000007</v>
      </c>
      <c r="X264" s="407">
        <v>386807.28768000001</v>
      </c>
      <c r="Y264" s="407">
        <v>0</v>
      </c>
      <c r="Z264" s="407">
        <v>39179.079734305364</v>
      </c>
      <c r="AA264" s="407">
        <v>0</v>
      </c>
      <c r="AB264" s="407">
        <v>0</v>
      </c>
      <c r="AC264" s="407">
        <v>0</v>
      </c>
      <c r="AD264" s="407">
        <v>73745.405717402391</v>
      </c>
      <c r="AE264" s="407">
        <v>263982.59647936898</v>
      </c>
      <c r="AF264" s="407">
        <v>97508.360643228618</v>
      </c>
      <c r="AG264" s="407">
        <v>3276.024965867306</v>
      </c>
      <c r="AH264" s="407">
        <v>0</v>
      </c>
      <c r="AI264" s="407">
        <v>0</v>
      </c>
      <c r="AJ264" s="407">
        <v>0</v>
      </c>
      <c r="AK264" s="407">
        <v>0</v>
      </c>
      <c r="AL264" s="407">
        <v>6054.2120180675929</v>
      </c>
      <c r="AM264" s="407"/>
      <c r="AN264" s="407">
        <v>1311.9252662057906</v>
      </c>
      <c r="AO264" s="407">
        <v>0</v>
      </c>
      <c r="AP264" s="407">
        <v>0</v>
      </c>
      <c r="AQ264" s="407">
        <v>0</v>
      </c>
      <c r="AR264" s="407">
        <v>0</v>
      </c>
      <c r="AS264" s="407">
        <v>0</v>
      </c>
      <c r="AT264" s="407">
        <v>0</v>
      </c>
      <c r="AU264" s="407">
        <v>0</v>
      </c>
      <c r="AV264" s="407">
        <v>0</v>
      </c>
      <c r="AW264" s="407">
        <v>0</v>
      </c>
      <c r="AX264" s="407">
        <v>0</v>
      </c>
      <c r="AY264" s="407">
        <v>0</v>
      </c>
      <c r="AZ264" s="407">
        <v>0</v>
      </c>
      <c r="BA264" s="407"/>
      <c r="BB264" s="407">
        <v>0</v>
      </c>
      <c r="BC264" s="407">
        <v>0</v>
      </c>
      <c r="BD264" s="407">
        <v>0</v>
      </c>
      <c r="BE264" s="407">
        <v>0</v>
      </c>
      <c r="BF264" s="407">
        <v>0</v>
      </c>
      <c r="BG264" s="407">
        <v>7127.549795713845</v>
      </c>
      <c r="BH264" s="407">
        <v>0</v>
      </c>
      <c r="BI264" s="407">
        <v>3241.82</v>
      </c>
      <c r="BJ264" s="407">
        <v>14548.12</v>
      </c>
      <c r="BK264" s="407">
        <v>211859.15</v>
      </c>
      <c r="BL264" s="407">
        <v>1435</v>
      </c>
      <c r="BM264" s="407"/>
      <c r="BN264" s="407"/>
      <c r="BO264" s="407"/>
      <c r="BP264" s="407"/>
      <c r="BQ264" s="407"/>
      <c r="BR264" s="407"/>
      <c r="BS264" s="407"/>
      <c r="BT264" s="407"/>
      <c r="BU264" s="407"/>
      <c r="BV264" s="407">
        <v>104635.91043894246</v>
      </c>
      <c r="BW264" s="407"/>
      <c r="BX264" s="407"/>
      <c r="BY264" s="407"/>
      <c r="BZ264" s="407"/>
      <c r="CA264" s="407"/>
      <c r="CB264" s="407"/>
      <c r="CC264" s="407"/>
      <c r="CD264" s="407"/>
      <c r="CE264" s="407"/>
      <c r="CF264" s="407"/>
      <c r="CG264" s="407"/>
      <c r="CH264" s="407"/>
      <c r="CI264" s="407">
        <v>386804.84040000004</v>
      </c>
      <c r="CJ264" s="407">
        <v>-123937.34800000006</v>
      </c>
      <c r="CK264" s="407"/>
      <c r="CL264" s="407"/>
      <c r="CM264" s="407"/>
      <c r="CN264" s="407"/>
      <c r="CO264" s="407">
        <v>-141302.06400000004</v>
      </c>
      <c r="CP264" s="407">
        <v>17367.19328</v>
      </c>
      <c r="CQ264" s="407">
        <v>30</v>
      </c>
      <c r="CR264" s="407">
        <v>10908.404285931581</v>
      </c>
      <c r="CS264" s="407">
        <v>0</v>
      </c>
      <c r="CT264" s="407">
        <v>0</v>
      </c>
      <c r="CU264" s="407">
        <v>0</v>
      </c>
      <c r="CV264" s="407">
        <v>0</v>
      </c>
      <c r="CW264" s="407">
        <v>0</v>
      </c>
      <c r="CX264" s="407">
        <v>0</v>
      </c>
      <c r="CY264" s="407">
        <v>0</v>
      </c>
      <c r="CZ264" s="407">
        <v>3331.2261993855063</v>
      </c>
      <c r="DA264" s="407">
        <v>0</v>
      </c>
      <c r="DB264" s="407">
        <v>0</v>
      </c>
      <c r="DC264" s="407">
        <v>19333.274717465625</v>
      </c>
      <c r="DD264" s="407">
        <v>0</v>
      </c>
      <c r="DE264" s="407">
        <v>0</v>
      </c>
      <c r="DF264" s="407">
        <v>0</v>
      </c>
      <c r="DG264" s="407">
        <v>1413.2006461183573</v>
      </c>
      <c r="DH264" s="407">
        <v>0</v>
      </c>
      <c r="DI264" s="407">
        <v>-2744.180034987723</v>
      </c>
      <c r="DJ264" s="407"/>
      <c r="DK264" s="407">
        <v>0</v>
      </c>
      <c r="DL264" s="407">
        <v>0</v>
      </c>
      <c r="DM264" s="407">
        <v>0</v>
      </c>
      <c r="DN264" s="407">
        <v>0</v>
      </c>
      <c r="DO264" s="407">
        <v>-369.37581135901564</v>
      </c>
      <c r="DP264" s="407">
        <v>-83.592710708769573</v>
      </c>
      <c r="DQ264" s="407">
        <v>0</v>
      </c>
      <c r="DR264" s="407">
        <v>-9972.1487199823787</v>
      </c>
      <c r="DS264" s="407"/>
      <c r="DT264" s="407"/>
      <c r="DU264" s="407"/>
      <c r="DV264" s="407">
        <v>263982.59647936898</v>
      </c>
      <c r="DW264" s="407">
        <v>0</v>
      </c>
      <c r="DX264" s="407">
        <v>0</v>
      </c>
      <c r="DY264" s="407">
        <v>-141302.06400000007</v>
      </c>
      <c r="DZ264" s="407">
        <v>17367.193280000007</v>
      </c>
      <c r="EA264" s="407">
        <v>0</v>
      </c>
      <c r="EB264" s="407">
        <v>0</v>
      </c>
      <c r="EC264" s="407">
        <v>-134842.92341380561</v>
      </c>
      <c r="ED264" s="407">
        <v>0</v>
      </c>
      <c r="EE264" s="407">
        <v>0</v>
      </c>
      <c r="EF264" s="407">
        <v>0</v>
      </c>
      <c r="EG264" s="407">
        <v>0</v>
      </c>
      <c r="EH264" s="407">
        <v>0</v>
      </c>
      <c r="EI264" s="407">
        <v>0</v>
      </c>
      <c r="EJ264" s="407">
        <v>0</v>
      </c>
      <c r="EK264" s="407">
        <v>0</v>
      </c>
      <c r="EL264" s="407">
        <v>0</v>
      </c>
      <c r="EM264" s="407">
        <v>0</v>
      </c>
      <c r="EN264" s="407">
        <v>0</v>
      </c>
      <c r="EO264" s="407">
        <v>0</v>
      </c>
      <c r="EP264" s="407">
        <v>18558.429564177481</v>
      </c>
      <c r="EQ264" s="407">
        <v>0</v>
      </c>
      <c r="ER264" s="407">
        <v>0</v>
      </c>
      <c r="ES264" s="407">
        <v>0</v>
      </c>
      <c r="ET264" s="407">
        <v>0</v>
      </c>
      <c r="EU264" s="407">
        <v>0</v>
      </c>
      <c r="EV264" s="407">
        <v>246</v>
      </c>
      <c r="EW264" s="407">
        <v>0</v>
      </c>
      <c r="EX264" s="407">
        <v>0</v>
      </c>
      <c r="EY264" s="407">
        <v>0</v>
      </c>
      <c r="EZ264" s="407"/>
      <c r="FA264" s="407">
        <v>0</v>
      </c>
      <c r="FB264" s="407"/>
      <c r="FC264" s="407"/>
      <c r="FD264" s="407"/>
      <c r="FE264" s="407"/>
      <c r="FF264" s="407">
        <v>0</v>
      </c>
      <c r="FG264" s="407">
        <v>0</v>
      </c>
      <c r="FH264" s="407">
        <v>0</v>
      </c>
      <c r="FI264" s="407">
        <v>0</v>
      </c>
    </row>
    <row r="265" spans="1:165">
      <c r="A265" s="407">
        <v>280</v>
      </c>
      <c r="B265" s="407" t="s">
        <v>2309</v>
      </c>
      <c r="C265" s="407" t="s">
        <v>2306</v>
      </c>
      <c r="D265" s="407" t="s">
        <v>1219</v>
      </c>
      <c r="E265" s="407" t="s">
        <v>1049</v>
      </c>
      <c r="F265" s="407" t="s">
        <v>97</v>
      </c>
      <c r="G265" s="407" t="s">
        <v>97</v>
      </c>
      <c r="H265" s="407" t="s">
        <v>97</v>
      </c>
      <c r="I265" s="407" t="s">
        <v>97</v>
      </c>
      <c r="J265" s="407" t="s">
        <v>2307</v>
      </c>
      <c r="K265" s="818">
        <v>44501</v>
      </c>
      <c r="L265" s="407">
        <v>0</v>
      </c>
      <c r="M265" s="407">
        <v>0</v>
      </c>
      <c r="N265" s="407">
        <v>49.58</v>
      </c>
      <c r="O265" s="407">
        <v>49.58</v>
      </c>
      <c r="P265" s="407">
        <v>49.58</v>
      </c>
      <c r="Q265" s="407">
        <v>49.58</v>
      </c>
      <c r="R265" s="407"/>
      <c r="S265" s="407">
        <v>648.44000000000005</v>
      </c>
      <c r="T265" s="407">
        <v>159.41</v>
      </c>
      <c r="U265" s="407"/>
      <c r="V265" s="407">
        <v>40053.203000000001</v>
      </c>
      <c r="W265" s="407">
        <v>40053.203000000001</v>
      </c>
      <c r="X265" s="407">
        <v>30334.035599999999</v>
      </c>
      <c r="Y265" s="407">
        <v>0</v>
      </c>
      <c r="Z265" s="407">
        <v>3072.4850262357322</v>
      </c>
      <c r="AA265" s="407">
        <v>0</v>
      </c>
      <c r="AB265" s="407">
        <v>0</v>
      </c>
      <c r="AC265" s="407">
        <v>0</v>
      </c>
      <c r="AD265" s="407">
        <v>5783.2306515867949</v>
      </c>
      <c r="AE265" s="407">
        <v>20701.930223223277</v>
      </c>
      <c r="AF265" s="407">
        <v>7646.7589346359437</v>
      </c>
      <c r="AG265" s="407">
        <v>256.91102806552902</v>
      </c>
      <c r="AH265" s="407">
        <v>0</v>
      </c>
      <c r="AI265" s="407">
        <v>0</v>
      </c>
      <c r="AJ265" s="407">
        <v>0</v>
      </c>
      <c r="AK265" s="407">
        <v>0</v>
      </c>
      <c r="AL265" s="407">
        <v>474.78082428979479</v>
      </c>
      <c r="AM265" s="407"/>
      <c r="AN265" s="407">
        <v>102.88324185491707</v>
      </c>
      <c r="AO265" s="407">
        <v>0</v>
      </c>
      <c r="AP265" s="407">
        <v>0</v>
      </c>
      <c r="AQ265" s="407">
        <v>0</v>
      </c>
      <c r="AR265" s="407">
        <v>0</v>
      </c>
      <c r="AS265" s="407">
        <v>0</v>
      </c>
      <c r="AT265" s="407">
        <v>0</v>
      </c>
      <c r="AU265" s="407">
        <v>0</v>
      </c>
      <c r="AV265" s="407">
        <v>0</v>
      </c>
      <c r="AW265" s="407">
        <v>0</v>
      </c>
      <c r="AX265" s="407">
        <v>0</v>
      </c>
      <c r="AY265" s="407">
        <v>0</v>
      </c>
      <c r="AZ265" s="407">
        <v>0</v>
      </c>
      <c r="BA265" s="407"/>
      <c r="BB265" s="407">
        <v>0</v>
      </c>
      <c r="BC265" s="407">
        <v>0</v>
      </c>
      <c r="BD265" s="407">
        <v>0</v>
      </c>
      <c r="BE265" s="407">
        <v>0</v>
      </c>
      <c r="BF265" s="407">
        <v>0</v>
      </c>
      <c r="BG265" s="407">
        <v>558.95366020823701</v>
      </c>
      <c r="BH265" s="407">
        <v>0</v>
      </c>
      <c r="BI265" s="407">
        <v>254.24</v>
      </c>
      <c r="BJ265" s="407">
        <v>1140.8499999999999</v>
      </c>
      <c r="BK265" s="407">
        <v>36584.32</v>
      </c>
      <c r="BL265" s="407">
        <v>121</v>
      </c>
      <c r="BM265" s="407"/>
      <c r="BN265" s="407"/>
      <c r="BO265" s="407"/>
      <c r="BP265" s="407"/>
      <c r="BQ265" s="407"/>
      <c r="BR265" s="407"/>
      <c r="BS265" s="407"/>
      <c r="BT265" s="407"/>
      <c r="BU265" s="407"/>
      <c r="BV265" s="407">
        <v>8205.7125948441808</v>
      </c>
      <c r="BW265" s="407"/>
      <c r="BX265" s="407"/>
      <c r="BY265" s="407"/>
      <c r="BZ265" s="407"/>
      <c r="CA265" s="407"/>
      <c r="CB265" s="407"/>
      <c r="CC265" s="407"/>
      <c r="CD265" s="407"/>
      <c r="CE265" s="407"/>
      <c r="CF265" s="407"/>
      <c r="CG265" s="407"/>
      <c r="CH265" s="407"/>
      <c r="CI265" s="407">
        <v>30334.035599999999</v>
      </c>
      <c r="CJ265" s="407">
        <v>-9719.1974000000009</v>
      </c>
      <c r="CK265" s="407"/>
      <c r="CL265" s="407"/>
      <c r="CM265" s="407"/>
      <c r="CN265" s="407"/>
      <c r="CO265" s="407">
        <v>-11081.130000000003</v>
      </c>
      <c r="CP265" s="407">
        <v>1361.9625999999998</v>
      </c>
      <c r="CQ265" s="407">
        <v>30</v>
      </c>
      <c r="CR265" s="407">
        <v>855.45421321634058</v>
      </c>
      <c r="CS265" s="407">
        <v>0</v>
      </c>
      <c r="CT265" s="407">
        <v>0</v>
      </c>
      <c r="CU265" s="407">
        <v>0</v>
      </c>
      <c r="CV265" s="407">
        <v>0</v>
      </c>
      <c r="CW265" s="407">
        <v>0</v>
      </c>
      <c r="CX265" s="407">
        <v>0</v>
      </c>
      <c r="CY265" s="407">
        <v>0</v>
      </c>
      <c r="CZ265" s="407">
        <v>261.23999557994284</v>
      </c>
      <c r="DA265" s="407">
        <v>0</v>
      </c>
      <c r="DB265" s="407">
        <v>0</v>
      </c>
      <c r="DC265" s="407">
        <v>1516.145797204701</v>
      </c>
      <c r="DD265" s="407">
        <v>0</v>
      </c>
      <c r="DE265" s="407">
        <v>0</v>
      </c>
      <c r="DF265" s="407">
        <v>0</v>
      </c>
      <c r="DG265" s="407">
        <v>110.82541636278927</v>
      </c>
      <c r="DH265" s="407">
        <v>0</v>
      </c>
      <c r="DI265" s="407">
        <v>-215.20291247198929</v>
      </c>
      <c r="DJ265" s="407"/>
      <c r="DK265" s="407">
        <v>0</v>
      </c>
      <c r="DL265" s="407">
        <v>0</v>
      </c>
      <c r="DM265" s="407">
        <v>0</v>
      </c>
      <c r="DN265" s="407">
        <v>0</v>
      </c>
      <c r="DO265" s="407">
        <v>-28.967031822866602</v>
      </c>
      <c r="DP265" s="407">
        <v>-6.5554717899681094</v>
      </c>
      <c r="DQ265" s="407">
        <v>0</v>
      </c>
      <c r="DR265" s="407">
        <v>-782.03157984626705</v>
      </c>
      <c r="DS265" s="407"/>
      <c r="DT265" s="407"/>
      <c r="DU265" s="407"/>
      <c r="DV265" s="407">
        <v>20701.930223223277</v>
      </c>
      <c r="DW265" s="407">
        <v>0</v>
      </c>
      <c r="DX265" s="407">
        <v>0</v>
      </c>
      <c r="DY265" s="407">
        <v>-11081.130000000001</v>
      </c>
      <c r="DZ265" s="407">
        <v>1361.9625999999998</v>
      </c>
      <c r="EA265" s="407">
        <v>0</v>
      </c>
      <c r="EB265" s="407">
        <v>0</v>
      </c>
      <c r="EC265" s="407">
        <v>-10574.594040809083</v>
      </c>
      <c r="ED265" s="407">
        <v>0</v>
      </c>
      <c r="EE265" s="407">
        <v>0</v>
      </c>
      <c r="EF265" s="407">
        <v>0</v>
      </c>
      <c r="EG265" s="407">
        <v>0</v>
      </c>
      <c r="EH265" s="407">
        <v>0</v>
      </c>
      <c r="EI265" s="407">
        <v>0</v>
      </c>
      <c r="EJ265" s="407">
        <v>0</v>
      </c>
      <c r="EK265" s="407">
        <v>0</v>
      </c>
      <c r="EL265" s="407">
        <v>0</v>
      </c>
      <c r="EM265" s="407">
        <v>0</v>
      </c>
      <c r="EN265" s="407">
        <v>0</v>
      </c>
      <c r="EO265" s="407">
        <v>0</v>
      </c>
      <c r="EP265" s="407">
        <v>1455.3812221489841</v>
      </c>
      <c r="EQ265" s="407">
        <v>0</v>
      </c>
      <c r="ER265" s="407">
        <v>0</v>
      </c>
      <c r="ES265" s="407">
        <v>0</v>
      </c>
      <c r="ET265" s="407">
        <v>0</v>
      </c>
      <c r="EU265" s="407">
        <v>0</v>
      </c>
      <c r="EV265" s="407">
        <v>246</v>
      </c>
      <c r="EW265" s="407">
        <v>0</v>
      </c>
      <c r="EX265" s="407">
        <v>0</v>
      </c>
      <c r="EY265" s="407">
        <v>0</v>
      </c>
      <c r="EZ265" s="407"/>
      <c r="FA265" s="407">
        <v>0</v>
      </c>
      <c r="FB265" s="407"/>
      <c r="FC265" s="407"/>
      <c r="FD265" s="407"/>
      <c r="FE265" s="407"/>
      <c r="FF265" s="407">
        <v>0</v>
      </c>
      <c r="FG265" s="407">
        <v>0</v>
      </c>
      <c r="FH265" s="407">
        <v>0</v>
      </c>
      <c r="FI265" s="407">
        <v>0</v>
      </c>
    </row>
    <row r="266" spans="1:165">
      <c r="A266" s="407">
        <v>281</v>
      </c>
      <c r="B266" s="407" t="s">
        <v>1090</v>
      </c>
      <c r="C266" s="407" t="s">
        <v>2314</v>
      </c>
      <c r="D266" s="407" t="s">
        <v>650</v>
      </c>
      <c r="E266" s="407" t="s">
        <v>1049</v>
      </c>
      <c r="F266" s="407" t="s">
        <v>97</v>
      </c>
      <c r="G266" s="407" t="s">
        <v>97</v>
      </c>
      <c r="H266" s="407" t="s">
        <v>97</v>
      </c>
      <c r="I266" s="407" t="s">
        <v>1025</v>
      </c>
      <c r="J266" s="407" t="s">
        <v>2307</v>
      </c>
      <c r="K266" s="818">
        <v>44501</v>
      </c>
      <c r="L266" s="407">
        <v>0</v>
      </c>
      <c r="M266" s="407">
        <v>0</v>
      </c>
      <c r="N266" s="407">
        <v>11.448</v>
      </c>
      <c r="O266" s="407">
        <v>11.448</v>
      </c>
      <c r="P266" s="407">
        <v>11.448</v>
      </c>
      <c r="Q266" s="407">
        <v>11.448</v>
      </c>
      <c r="R266" s="407"/>
      <c r="S266" s="407">
        <v>2810.7</v>
      </c>
      <c r="T266" s="407">
        <v>159.41</v>
      </c>
      <c r="U266" s="407"/>
      <c r="V266" s="407">
        <v>34001.819279999996</v>
      </c>
      <c r="W266" s="407">
        <v>34001.819279999996</v>
      </c>
      <c r="X266" s="407">
        <v>21656.06712</v>
      </c>
      <c r="Y266" s="407">
        <v>0</v>
      </c>
      <c r="Z266" s="407">
        <v>617.2088234147152</v>
      </c>
      <c r="AA266" s="407">
        <v>0</v>
      </c>
      <c r="AB266" s="407">
        <v>0</v>
      </c>
      <c r="AC266" s="407">
        <v>0</v>
      </c>
      <c r="AD266" s="407">
        <v>6989.1825130907473</v>
      </c>
      <c r="AE266" s="407">
        <v>24096.768174032964</v>
      </c>
      <c r="AF266" s="407">
        <v>1765.6332449316717</v>
      </c>
      <c r="AG266" s="407">
        <v>59.320642381891417</v>
      </c>
      <c r="AH266" s="407">
        <v>0</v>
      </c>
      <c r="AI266" s="407">
        <v>0</v>
      </c>
      <c r="AJ266" s="407">
        <v>0</v>
      </c>
      <c r="AK266" s="407">
        <v>0</v>
      </c>
      <c r="AL266" s="407">
        <v>109.62668165529591</v>
      </c>
      <c r="AM266" s="407"/>
      <c r="AN266" s="407">
        <v>12.292099777867069</v>
      </c>
      <c r="AO266" s="407">
        <v>0</v>
      </c>
      <c r="AP266" s="407">
        <v>0</v>
      </c>
      <c r="AQ266" s="407">
        <v>0</v>
      </c>
      <c r="AR266" s="407">
        <v>0</v>
      </c>
      <c r="AS266" s="407">
        <v>0</v>
      </c>
      <c r="AT266" s="407">
        <v>0</v>
      </c>
      <c r="AU266" s="407">
        <v>0</v>
      </c>
      <c r="AV266" s="407">
        <v>0</v>
      </c>
      <c r="AW266" s="407">
        <v>0</v>
      </c>
      <c r="AX266" s="407">
        <v>0</v>
      </c>
      <c r="AY266" s="407">
        <v>0</v>
      </c>
      <c r="AZ266" s="407">
        <v>0</v>
      </c>
      <c r="BA266" s="407"/>
      <c r="BB266" s="407">
        <v>0</v>
      </c>
      <c r="BC266" s="407">
        <v>0</v>
      </c>
      <c r="BD266" s="407">
        <v>0</v>
      </c>
      <c r="BE266" s="407">
        <v>0</v>
      </c>
      <c r="BF266" s="407">
        <v>0</v>
      </c>
      <c r="BG266" s="407">
        <v>59.41368166114318</v>
      </c>
      <c r="BH266" s="407">
        <v>0</v>
      </c>
      <c r="BI266" s="407">
        <v>0</v>
      </c>
      <c r="BJ266" s="407">
        <v>0</v>
      </c>
      <c r="BK266" s="407">
        <v>0</v>
      </c>
      <c r="BL266" s="407">
        <v>0</v>
      </c>
      <c r="BM266" s="407"/>
      <c r="BN266" s="407"/>
      <c r="BO266" s="407"/>
      <c r="BP266" s="407"/>
      <c r="BQ266" s="407"/>
      <c r="BR266" s="407"/>
      <c r="BS266" s="407"/>
      <c r="BT266" s="407"/>
      <c r="BU266" s="407"/>
      <c r="BV266" s="407">
        <v>1825.0469265928148</v>
      </c>
      <c r="BW266" s="407"/>
      <c r="BX266" s="407"/>
      <c r="BY266" s="407"/>
      <c r="BZ266" s="407"/>
      <c r="CA266" s="407"/>
      <c r="CB266" s="407"/>
      <c r="CC266" s="407"/>
      <c r="CD266" s="407"/>
      <c r="CE266" s="407"/>
      <c r="CF266" s="407"/>
      <c r="CG266" s="407"/>
      <c r="CH266" s="407"/>
      <c r="CI266" s="407">
        <v>21659.8505</v>
      </c>
      <c r="CJ266" s="407">
        <v>-12341.998779999994</v>
      </c>
      <c r="CK266" s="407"/>
      <c r="CL266" s="407"/>
      <c r="CM266" s="407"/>
      <c r="CN266" s="407"/>
      <c r="CO266" s="407">
        <v>-12660.228719999999</v>
      </c>
      <c r="CP266" s="407">
        <v>314.47656000000001</v>
      </c>
      <c r="CQ266" s="407">
        <v>30</v>
      </c>
      <c r="CR266" s="407">
        <v>-37.006770398085791</v>
      </c>
      <c r="CS266" s="407">
        <v>0</v>
      </c>
      <c r="CT266" s="407">
        <v>0</v>
      </c>
      <c r="CU266" s="407">
        <v>0</v>
      </c>
      <c r="CV266" s="407">
        <v>0</v>
      </c>
      <c r="CW266" s="407">
        <v>0</v>
      </c>
      <c r="CX266" s="407">
        <v>0</v>
      </c>
      <c r="CY266" s="407">
        <v>0</v>
      </c>
      <c r="CZ266" s="407">
        <v>315.71523233752578</v>
      </c>
      <c r="DA266" s="407">
        <v>0</v>
      </c>
      <c r="DB266" s="407">
        <v>0</v>
      </c>
      <c r="DC266" s="407">
        <v>350.07739181927059</v>
      </c>
      <c r="DD266" s="407">
        <v>0</v>
      </c>
      <c r="DE266" s="407">
        <v>0</v>
      </c>
      <c r="DF266" s="407">
        <v>0</v>
      </c>
      <c r="DG266" s="407">
        <v>11.78012861618857</v>
      </c>
      <c r="DH266" s="407">
        <v>0</v>
      </c>
      <c r="DI266" s="407">
        <v>-43.230523588584788</v>
      </c>
      <c r="DJ266" s="407"/>
      <c r="DK266" s="407">
        <v>0</v>
      </c>
      <c r="DL266" s="407">
        <v>0</v>
      </c>
      <c r="DM266" s="407">
        <v>0</v>
      </c>
      <c r="DN266" s="407">
        <v>0</v>
      </c>
      <c r="DO266" s="407">
        <v>-6.6884747944368002</v>
      </c>
      <c r="DP266" s="407">
        <v>-0.78322292222194712</v>
      </c>
      <c r="DQ266" s="407">
        <v>0</v>
      </c>
      <c r="DR266" s="407">
        <v>-663.87730186582667</v>
      </c>
      <c r="DS266" s="407"/>
      <c r="DT266" s="407"/>
      <c r="DU266" s="407"/>
      <c r="DV266" s="407">
        <v>24096.768174032964</v>
      </c>
      <c r="DW266" s="407">
        <v>0</v>
      </c>
      <c r="DX266" s="407">
        <v>0</v>
      </c>
      <c r="DY266" s="407">
        <v>-12660.228719999999</v>
      </c>
      <c r="DZ266" s="407">
        <v>314.47655999999984</v>
      </c>
      <c r="EA266" s="407">
        <v>0</v>
      </c>
      <c r="EB266" s="407">
        <v>0</v>
      </c>
      <c r="EC266" s="407">
        <v>-12308.685151012516</v>
      </c>
      <c r="ED266" s="407">
        <v>0</v>
      </c>
      <c r="EE266" s="407">
        <v>0</v>
      </c>
      <c r="EF266" s="407">
        <v>0</v>
      </c>
      <c r="EG266" s="407">
        <v>0</v>
      </c>
      <c r="EH266" s="407">
        <v>0</v>
      </c>
      <c r="EI266" s="407">
        <v>0</v>
      </c>
      <c r="EJ266" s="407">
        <v>0</v>
      </c>
      <c r="EK266" s="407">
        <v>0</v>
      </c>
      <c r="EL266" s="407">
        <v>0</v>
      </c>
      <c r="EM266" s="407">
        <v>0</v>
      </c>
      <c r="EN266" s="407">
        <v>0</v>
      </c>
      <c r="EO266" s="407">
        <v>0</v>
      </c>
      <c r="EP266" s="407">
        <v>292.36078420957159</v>
      </c>
      <c r="EQ266" s="407">
        <v>0</v>
      </c>
      <c r="ER266" s="407">
        <v>0</v>
      </c>
      <c r="ES266" s="407">
        <v>0</v>
      </c>
      <c r="ET266" s="407">
        <v>0</v>
      </c>
      <c r="EU266" s="407">
        <v>0</v>
      </c>
      <c r="EV266" s="407">
        <v>246</v>
      </c>
      <c r="EW266" s="407">
        <v>0</v>
      </c>
      <c r="EX266" s="407">
        <v>0</v>
      </c>
      <c r="EY266" s="407">
        <v>0</v>
      </c>
      <c r="EZ266" s="407"/>
      <c r="FA266" s="407">
        <v>0</v>
      </c>
      <c r="FB266" s="407"/>
      <c r="FC266" s="407"/>
      <c r="FD266" s="407"/>
      <c r="FE266" s="407"/>
      <c r="FF266" s="407">
        <v>0</v>
      </c>
      <c r="FG266" s="407">
        <v>0</v>
      </c>
      <c r="FH266" s="407">
        <v>0</v>
      </c>
      <c r="FI266" s="407">
        <v>0</v>
      </c>
    </row>
    <row r="267" spans="1:165">
      <c r="A267" s="407">
        <v>282</v>
      </c>
      <c r="B267" s="407" t="s">
        <v>2309</v>
      </c>
      <c r="C267" s="407" t="s">
        <v>2314</v>
      </c>
      <c r="D267" s="407" t="s">
        <v>650</v>
      </c>
      <c r="E267" s="407" t="s">
        <v>1049</v>
      </c>
      <c r="F267" s="407" t="s">
        <v>97</v>
      </c>
      <c r="G267" s="407" t="s">
        <v>97</v>
      </c>
      <c r="H267" s="407" t="s">
        <v>97</v>
      </c>
      <c r="I267" s="407" t="s">
        <v>1025</v>
      </c>
      <c r="J267" s="407" t="s">
        <v>2307</v>
      </c>
      <c r="K267" s="818">
        <v>44501</v>
      </c>
      <c r="L267" s="407">
        <v>0</v>
      </c>
      <c r="M267" s="407">
        <v>0</v>
      </c>
      <c r="N267" s="407">
        <v>4.1070000000000002</v>
      </c>
      <c r="O267" s="407">
        <v>4.1070000000000002</v>
      </c>
      <c r="P267" s="407">
        <v>4.1070000000000002</v>
      </c>
      <c r="Q267" s="407">
        <v>4.1070000000000002</v>
      </c>
      <c r="R267" s="407"/>
      <c r="S267" s="407">
        <v>2810.7</v>
      </c>
      <c r="T267" s="407">
        <v>159.41</v>
      </c>
      <c r="U267" s="407"/>
      <c r="V267" s="407">
        <v>12198.241769999999</v>
      </c>
      <c r="W267" s="407">
        <v>12198.241769999999</v>
      </c>
      <c r="X267" s="407">
        <v>7769.17083</v>
      </c>
      <c r="Y267" s="407">
        <v>0</v>
      </c>
      <c r="Z267" s="407">
        <v>221.42528282357051</v>
      </c>
      <c r="AA267" s="407">
        <v>0</v>
      </c>
      <c r="AB267" s="407">
        <v>0</v>
      </c>
      <c r="AC267" s="407">
        <v>0</v>
      </c>
      <c r="AD267" s="407">
        <v>2507.3875420391073</v>
      </c>
      <c r="AE267" s="407">
        <v>8644.7787291014483</v>
      </c>
      <c r="AF267" s="407">
        <v>633.42555354073863</v>
      </c>
      <c r="AG267" s="407">
        <v>21.281435906920688</v>
      </c>
      <c r="AH267" s="407">
        <v>0</v>
      </c>
      <c r="AI267" s="407">
        <v>0</v>
      </c>
      <c r="AJ267" s="407">
        <v>0</v>
      </c>
      <c r="AK267" s="407">
        <v>0</v>
      </c>
      <c r="AL267" s="407">
        <v>39.32885932549793</v>
      </c>
      <c r="AM267" s="407"/>
      <c r="AN267" s="407">
        <v>4.4098230073113251</v>
      </c>
      <c r="AO267" s="407">
        <v>0</v>
      </c>
      <c r="AP267" s="407">
        <v>0</v>
      </c>
      <c r="AQ267" s="407">
        <v>0</v>
      </c>
      <c r="AR267" s="407">
        <v>0</v>
      </c>
      <c r="AS267" s="407">
        <v>0</v>
      </c>
      <c r="AT267" s="407">
        <v>0</v>
      </c>
      <c r="AU267" s="407">
        <v>0</v>
      </c>
      <c r="AV267" s="407">
        <v>0</v>
      </c>
      <c r="AW267" s="407">
        <v>0</v>
      </c>
      <c r="AX267" s="407">
        <v>0</v>
      </c>
      <c r="AY267" s="407">
        <v>0</v>
      </c>
      <c r="AZ267" s="407">
        <v>0</v>
      </c>
      <c r="BA267" s="407"/>
      <c r="BB267" s="407">
        <v>0</v>
      </c>
      <c r="BC267" s="407">
        <v>0</v>
      </c>
      <c r="BD267" s="407">
        <v>0</v>
      </c>
      <c r="BE267" s="407">
        <v>0</v>
      </c>
      <c r="BF267" s="407">
        <v>0</v>
      </c>
      <c r="BG267" s="407">
        <v>21.314813992165885</v>
      </c>
      <c r="BH267" s="407">
        <v>0</v>
      </c>
      <c r="BI267" s="407">
        <v>0</v>
      </c>
      <c r="BJ267" s="407">
        <v>0</v>
      </c>
      <c r="BK267" s="407">
        <v>0</v>
      </c>
      <c r="BL267" s="407">
        <v>0</v>
      </c>
      <c r="BM267" s="407"/>
      <c r="BN267" s="407"/>
      <c r="BO267" s="407"/>
      <c r="BP267" s="407"/>
      <c r="BQ267" s="407"/>
      <c r="BR267" s="407"/>
      <c r="BS267" s="407"/>
      <c r="BT267" s="407"/>
      <c r="BU267" s="407"/>
      <c r="BV267" s="407">
        <v>654.74036753290454</v>
      </c>
      <c r="BW267" s="407"/>
      <c r="BX267" s="407"/>
      <c r="BY267" s="407"/>
      <c r="BZ267" s="407"/>
      <c r="CA267" s="407"/>
      <c r="CB267" s="407"/>
      <c r="CC267" s="407"/>
      <c r="CD267" s="407"/>
      <c r="CE267" s="407"/>
      <c r="CF267" s="407"/>
      <c r="CG267" s="407"/>
      <c r="CH267" s="407"/>
      <c r="CI267" s="407">
        <v>7774.8459000000003</v>
      </c>
      <c r="CJ267" s="407">
        <v>-4423.4258699999991</v>
      </c>
      <c r="CK267" s="407"/>
      <c r="CL267" s="407"/>
      <c r="CM267" s="407"/>
      <c r="CN267" s="407"/>
      <c r="CO267" s="407">
        <v>-4541.89023</v>
      </c>
      <c r="CP267" s="407">
        <v>112.81929</v>
      </c>
      <c r="CQ267" s="407">
        <v>30</v>
      </c>
      <c r="CR267" s="407">
        <v>-13.276275858223016</v>
      </c>
      <c r="CS267" s="407">
        <v>0</v>
      </c>
      <c r="CT267" s="407">
        <v>0</v>
      </c>
      <c r="CU267" s="407">
        <v>0</v>
      </c>
      <c r="CV267" s="407">
        <v>0</v>
      </c>
      <c r="CW267" s="407">
        <v>0</v>
      </c>
      <c r="CX267" s="407">
        <v>0</v>
      </c>
      <c r="CY267" s="407">
        <v>0</v>
      </c>
      <c r="CZ267" s="407">
        <v>113.26366694708395</v>
      </c>
      <c r="DA267" s="407">
        <v>0</v>
      </c>
      <c r="DB267" s="407">
        <v>0</v>
      </c>
      <c r="DC267" s="407">
        <v>125.59118170874774</v>
      </c>
      <c r="DD267" s="407">
        <v>0</v>
      </c>
      <c r="DE267" s="407">
        <v>0</v>
      </c>
      <c r="DF267" s="407">
        <v>0</v>
      </c>
      <c r="DG267" s="407">
        <v>4.2261520114156568</v>
      </c>
      <c r="DH267" s="407">
        <v>0</v>
      </c>
      <c r="DI267" s="407">
        <v>-15.50906362494041</v>
      </c>
      <c r="DJ267" s="407"/>
      <c r="DK267" s="407">
        <v>0</v>
      </c>
      <c r="DL267" s="407">
        <v>0</v>
      </c>
      <c r="DM267" s="407">
        <v>0</v>
      </c>
      <c r="DN267" s="407">
        <v>0</v>
      </c>
      <c r="DO267" s="407">
        <v>-2.3995078599538715</v>
      </c>
      <c r="DP267" s="407">
        <v>-0.28098327581809368</v>
      </c>
      <c r="DQ267" s="407">
        <v>0</v>
      </c>
      <c r="DR267" s="407">
        <v>-238.16772176475803</v>
      </c>
      <c r="DS267" s="407"/>
      <c r="DT267" s="407"/>
      <c r="DU267" s="407"/>
      <c r="DV267" s="407">
        <v>8644.7787291014483</v>
      </c>
      <c r="DW267" s="407">
        <v>0</v>
      </c>
      <c r="DX267" s="407">
        <v>0</v>
      </c>
      <c r="DY267" s="407">
        <v>-4541.8902299999991</v>
      </c>
      <c r="DZ267" s="407">
        <v>112.81929000000002</v>
      </c>
      <c r="EA267" s="407">
        <v>0</v>
      </c>
      <c r="EB267" s="407">
        <v>0</v>
      </c>
      <c r="EC267" s="407">
        <v>-4415.7730533899721</v>
      </c>
      <c r="ED267" s="407">
        <v>0</v>
      </c>
      <c r="EE267" s="407">
        <v>0</v>
      </c>
      <c r="EF267" s="407">
        <v>0</v>
      </c>
      <c r="EG267" s="407">
        <v>0</v>
      </c>
      <c r="EH267" s="407">
        <v>0</v>
      </c>
      <c r="EI267" s="407">
        <v>0</v>
      </c>
      <c r="EJ267" s="407">
        <v>0</v>
      </c>
      <c r="EK267" s="407">
        <v>0</v>
      </c>
      <c r="EL267" s="407">
        <v>0</v>
      </c>
      <c r="EM267" s="407">
        <v>0</v>
      </c>
      <c r="EN267" s="407">
        <v>0</v>
      </c>
      <c r="EO267" s="407">
        <v>0</v>
      </c>
      <c r="EP267" s="407">
        <v>104.88519747979653</v>
      </c>
      <c r="EQ267" s="407">
        <v>0</v>
      </c>
      <c r="ER267" s="407">
        <v>0</v>
      </c>
      <c r="ES267" s="407">
        <v>0</v>
      </c>
      <c r="ET267" s="407">
        <v>0</v>
      </c>
      <c r="EU267" s="407">
        <v>0</v>
      </c>
      <c r="EV267" s="407">
        <v>246</v>
      </c>
      <c r="EW267" s="407">
        <v>0</v>
      </c>
      <c r="EX267" s="407">
        <v>0</v>
      </c>
      <c r="EY267" s="407">
        <v>0</v>
      </c>
      <c r="EZ267" s="407"/>
      <c r="FA267" s="407">
        <v>0</v>
      </c>
      <c r="FB267" s="407"/>
      <c r="FC267" s="407"/>
      <c r="FD267" s="407"/>
      <c r="FE267" s="407"/>
      <c r="FF267" s="407">
        <v>0</v>
      </c>
      <c r="FG267" s="407">
        <v>0</v>
      </c>
      <c r="FH267" s="407">
        <v>0</v>
      </c>
      <c r="FI267" s="407">
        <v>0</v>
      </c>
    </row>
    <row r="268" spans="1:165">
      <c r="A268" s="407">
        <v>283</v>
      </c>
      <c r="B268" s="407" t="s">
        <v>1090</v>
      </c>
      <c r="C268" s="407" t="s">
        <v>2314</v>
      </c>
      <c r="D268" s="407" t="s">
        <v>650</v>
      </c>
      <c r="E268" s="407" t="s">
        <v>1049</v>
      </c>
      <c r="F268" s="407" t="s">
        <v>97</v>
      </c>
      <c r="G268" s="407" t="s">
        <v>97</v>
      </c>
      <c r="H268" s="407" t="s">
        <v>97</v>
      </c>
      <c r="I268" s="407" t="s">
        <v>2290</v>
      </c>
      <c r="J268" s="407" t="s">
        <v>2307</v>
      </c>
      <c r="K268" s="818">
        <v>44501</v>
      </c>
      <c r="L268" s="407">
        <v>0</v>
      </c>
      <c r="M268" s="407">
        <v>0</v>
      </c>
      <c r="N268" s="407">
        <v>183.267</v>
      </c>
      <c r="O268" s="407">
        <v>183.267</v>
      </c>
      <c r="P268" s="407">
        <v>183.267</v>
      </c>
      <c r="Q268" s="407">
        <v>183.267</v>
      </c>
      <c r="R268" s="407"/>
      <c r="S268" s="407">
        <v>95.29</v>
      </c>
      <c r="T268" s="407">
        <v>159.41</v>
      </c>
      <c r="U268" s="407"/>
      <c r="V268" s="407">
        <v>46678.104900000006</v>
      </c>
      <c r="W268" s="407">
        <v>46678.104900000006</v>
      </c>
      <c r="X268" s="407">
        <v>50748.464970000001</v>
      </c>
      <c r="Y268" s="407">
        <v>0</v>
      </c>
      <c r="Z268" s="407">
        <v>9880.6786723222049</v>
      </c>
      <c r="AA268" s="407">
        <v>0</v>
      </c>
      <c r="AB268" s="407">
        <v>0</v>
      </c>
      <c r="AC268" s="407">
        <v>0</v>
      </c>
      <c r="AD268" s="407">
        <v>0</v>
      </c>
      <c r="AE268" s="407">
        <v>0</v>
      </c>
      <c r="AF268" s="407">
        <v>28265.400759861346</v>
      </c>
      <c r="AG268" s="407">
        <v>949.64327108683551</v>
      </c>
      <c r="AH268" s="407">
        <v>0</v>
      </c>
      <c r="AI268" s="407">
        <v>0</v>
      </c>
      <c r="AJ268" s="407">
        <v>0</v>
      </c>
      <c r="AK268" s="407">
        <v>0</v>
      </c>
      <c r="AL268" s="407">
        <v>1754.9749359644579</v>
      </c>
      <c r="AM268" s="407"/>
      <c r="AN268" s="407">
        <v>196.77989605087038</v>
      </c>
      <c r="AO268" s="407">
        <v>0</v>
      </c>
      <c r="AP268" s="407">
        <v>0</v>
      </c>
      <c r="AQ268" s="407">
        <v>0</v>
      </c>
      <c r="AR268" s="407">
        <v>0</v>
      </c>
      <c r="AS268" s="407">
        <v>0</v>
      </c>
      <c r="AT268" s="407">
        <v>0</v>
      </c>
      <c r="AU268" s="407">
        <v>0</v>
      </c>
      <c r="AV268" s="407">
        <v>0</v>
      </c>
      <c r="AW268" s="407">
        <v>0</v>
      </c>
      <c r="AX268" s="407">
        <v>0</v>
      </c>
      <c r="AY268" s="407">
        <v>0</v>
      </c>
      <c r="AZ268" s="407">
        <v>0</v>
      </c>
      <c r="BA268" s="407"/>
      <c r="BB268" s="407">
        <v>0</v>
      </c>
      <c r="BC268" s="407">
        <v>0</v>
      </c>
      <c r="BD268" s="407">
        <v>0</v>
      </c>
      <c r="BE268" s="407">
        <v>0</v>
      </c>
      <c r="BF268" s="407">
        <v>0</v>
      </c>
      <c r="BG268" s="407">
        <v>951.13270413982593</v>
      </c>
      <c r="BH268" s="407">
        <v>0</v>
      </c>
      <c r="BI268" s="407">
        <v>0</v>
      </c>
      <c r="BJ268" s="407">
        <v>0</v>
      </c>
      <c r="BK268" s="407">
        <v>0</v>
      </c>
      <c r="BL268" s="407">
        <v>0</v>
      </c>
      <c r="BM268" s="407"/>
      <c r="BN268" s="407"/>
      <c r="BO268" s="407"/>
      <c r="BP268" s="407"/>
      <c r="BQ268" s="407"/>
      <c r="BR268" s="407"/>
      <c r="BS268" s="407"/>
      <c r="BT268" s="407"/>
      <c r="BU268" s="407"/>
      <c r="BV268" s="407">
        <v>29216.533464001172</v>
      </c>
      <c r="BW268" s="407"/>
      <c r="BX268" s="407"/>
      <c r="BY268" s="407"/>
      <c r="BZ268" s="407"/>
      <c r="CA268" s="407"/>
      <c r="CB268" s="407"/>
      <c r="CC268" s="407"/>
      <c r="CD268" s="407"/>
      <c r="CE268" s="407"/>
      <c r="CF268" s="407"/>
      <c r="CG268" s="407"/>
      <c r="CH268" s="407"/>
      <c r="CI268" s="407">
        <v>50749.295700000002</v>
      </c>
      <c r="CJ268" s="407">
        <v>4071.1608000000051</v>
      </c>
      <c r="CK268" s="407"/>
      <c r="CL268" s="407"/>
      <c r="CM268" s="407"/>
      <c r="CN268" s="407"/>
      <c r="CO268" s="407">
        <v>-963.98442000000091</v>
      </c>
      <c r="CP268" s="407">
        <v>5034.3444899999995</v>
      </c>
      <c r="CQ268" s="407">
        <v>30</v>
      </c>
      <c r="CR268" s="407">
        <v>4069.7808014227121</v>
      </c>
      <c r="CS268" s="407">
        <v>0</v>
      </c>
      <c r="CT268" s="407">
        <v>0</v>
      </c>
      <c r="CU268" s="407">
        <v>0</v>
      </c>
      <c r="CV268" s="407">
        <v>0</v>
      </c>
      <c r="CW268" s="407">
        <v>0</v>
      </c>
      <c r="CX268" s="407">
        <v>0</v>
      </c>
      <c r="CY268" s="407">
        <v>0</v>
      </c>
      <c r="CZ268" s="407">
        <v>0</v>
      </c>
      <c r="DA268" s="407">
        <v>0</v>
      </c>
      <c r="DB268" s="407">
        <v>0</v>
      </c>
      <c r="DC268" s="407">
        <v>5604.2656679369466</v>
      </c>
      <c r="DD268" s="407">
        <v>0</v>
      </c>
      <c r="DE268" s="407">
        <v>0</v>
      </c>
      <c r="DF268" s="407">
        <v>0</v>
      </c>
      <c r="DG268" s="407">
        <v>188.58393004044626</v>
      </c>
      <c r="DH268" s="407">
        <v>0</v>
      </c>
      <c r="DI268" s="407">
        <v>-692.0622262848683</v>
      </c>
      <c r="DJ268" s="407"/>
      <c r="DK268" s="407">
        <v>0</v>
      </c>
      <c r="DL268" s="407">
        <v>0</v>
      </c>
      <c r="DM268" s="407">
        <v>0</v>
      </c>
      <c r="DN268" s="407">
        <v>0</v>
      </c>
      <c r="DO268" s="407">
        <v>-107.07343729490299</v>
      </c>
      <c r="DP268" s="407">
        <v>-12.53833990975275</v>
      </c>
      <c r="DQ268" s="407">
        <v>0</v>
      </c>
      <c r="DR268" s="407">
        <v>-911.39479306516603</v>
      </c>
      <c r="DS268" s="407"/>
      <c r="DT268" s="407"/>
      <c r="DU268" s="407"/>
      <c r="DV268" s="407">
        <v>0</v>
      </c>
      <c r="DW268" s="407">
        <v>0</v>
      </c>
      <c r="DX268" s="407">
        <v>0</v>
      </c>
      <c r="DY268" s="407">
        <v>-963.98442000000432</v>
      </c>
      <c r="DZ268" s="407">
        <v>5034.3444899999995</v>
      </c>
      <c r="EA268" s="407">
        <v>0</v>
      </c>
      <c r="EB268" s="407">
        <v>0</v>
      </c>
      <c r="EC268" s="407">
        <v>0</v>
      </c>
      <c r="ED268" s="407">
        <v>0</v>
      </c>
      <c r="EE268" s="407">
        <v>0</v>
      </c>
      <c r="EF268" s="407">
        <v>0</v>
      </c>
      <c r="EG268" s="407">
        <v>0</v>
      </c>
      <c r="EH268" s="407">
        <v>0</v>
      </c>
      <c r="EI268" s="407">
        <v>0</v>
      </c>
      <c r="EJ268" s="407">
        <v>0</v>
      </c>
      <c r="EK268" s="407">
        <v>0</v>
      </c>
      <c r="EL268" s="407">
        <v>0</v>
      </c>
      <c r="EM268" s="407">
        <v>0</v>
      </c>
      <c r="EN268" s="407">
        <v>0</v>
      </c>
      <c r="EO268" s="407">
        <v>0</v>
      </c>
      <c r="EP268" s="407">
        <v>4680.3008245750834</v>
      </c>
      <c r="EQ268" s="407">
        <v>0</v>
      </c>
      <c r="ER268" s="407">
        <v>0</v>
      </c>
      <c r="ES268" s="407">
        <v>0</v>
      </c>
      <c r="ET268" s="407">
        <v>0</v>
      </c>
      <c r="EU268" s="407">
        <v>0</v>
      </c>
      <c r="EV268" s="407">
        <v>246</v>
      </c>
      <c r="EW268" s="407">
        <v>0</v>
      </c>
      <c r="EX268" s="407">
        <v>0</v>
      </c>
      <c r="EY268" s="407">
        <v>0</v>
      </c>
      <c r="EZ268" s="407"/>
      <c r="FA268" s="407">
        <v>0</v>
      </c>
      <c r="FB268" s="407"/>
      <c r="FC268" s="407"/>
      <c r="FD268" s="407"/>
      <c r="FE268" s="407"/>
      <c r="FF268" s="407">
        <v>0</v>
      </c>
      <c r="FG268" s="407">
        <v>0</v>
      </c>
      <c r="FH268" s="407">
        <v>0</v>
      </c>
      <c r="FI268" s="407">
        <v>0</v>
      </c>
    </row>
    <row r="269" spans="1:165">
      <c r="A269" s="407">
        <v>284</v>
      </c>
      <c r="B269" s="407" t="s">
        <v>2309</v>
      </c>
      <c r="C269" s="407" t="s">
        <v>2314</v>
      </c>
      <c r="D269" s="407" t="s">
        <v>650</v>
      </c>
      <c r="E269" s="407" t="s">
        <v>1049</v>
      </c>
      <c r="F269" s="407" t="s">
        <v>97</v>
      </c>
      <c r="G269" s="407" t="s">
        <v>97</v>
      </c>
      <c r="H269" s="407" t="s">
        <v>97</v>
      </c>
      <c r="I269" s="407" t="s">
        <v>2290</v>
      </c>
      <c r="J269" s="407" t="s">
        <v>2307</v>
      </c>
      <c r="K269" s="818">
        <v>44501</v>
      </c>
      <c r="L269" s="407">
        <v>0</v>
      </c>
      <c r="M269" s="407">
        <v>0</v>
      </c>
      <c r="N269" s="407">
        <v>35.341000000000001</v>
      </c>
      <c r="O269" s="407">
        <v>35.341000000000001</v>
      </c>
      <c r="P269" s="407">
        <v>35.341000000000001</v>
      </c>
      <c r="Q269" s="407">
        <v>35.341000000000001</v>
      </c>
      <c r="R269" s="407"/>
      <c r="S269" s="407">
        <v>95.29</v>
      </c>
      <c r="T269" s="407">
        <v>159.41</v>
      </c>
      <c r="U269" s="407"/>
      <c r="V269" s="407">
        <v>9001.3526999999995</v>
      </c>
      <c r="W269" s="407">
        <v>9001.3526999999995</v>
      </c>
      <c r="X269" s="407">
        <v>9786.2763099999993</v>
      </c>
      <c r="Y269" s="407">
        <v>0</v>
      </c>
      <c r="Z269" s="407">
        <v>1905.3788459381071</v>
      </c>
      <c r="AA269" s="407">
        <v>0</v>
      </c>
      <c r="AB269" s="407">
        <v>0</v>
      </c>
      <c r="AC269" s="407">
        <v>0</v>
      </c>
      <c r="AD269" s="407">
        <v>0</v>
      </c>
      <c r="AE269" s="407">
        <v>0</v>
      </c>
      <c r="AF269" s="407">
        <v>5450.6677593579852</v>
      </c>
      <c r="AG269" s="407">
        <v>183.12812914207063</v>
      </c>
      <c r="AH269" s="407">
        <v>0</v>
      </c>
      <c r="AI269" s="407">
        <v>0</v>
      </c>
      <c r="AJ269" s="407">
        <v>0</v>
      </c>
      <c r="AK269" s="407">
        <v>0</v>
      </c>
      <c r="AL269" s="407">
        <v>338.42737215057764</v>
      </c>
      <c r="AM269" s="407"/>
      <c r="AN269" s="407">
        <v>37.946811517260663</v>
      </c>
      <c r="AO269" s="407">
        <v>0</v>
      </c>
      <c r="AP269" s="407">
        <v>0</v>
      </c>
      <c r="AQ269" s="407">
        <v>0</v>
      </c>
      <c r="AR269" s="407">
        <v>0</v>
      </c>
      <c r="AS269" s="407">
        <v>0</v>
      </c>
      <c r="AT269" s="407">
        <v>0</v>
      </c>
      <c r="AU269" s="407">
        <v>0</v>
      </c>
      <c r="AV269" s="407">
        <v>0</v>
      </c>
      <c r="AW269" s="407">
        <v>0</v>
      </c>
      <c r="AX269" s="407">
        <v>0</v>
      </c>
      <c r="AY269" s="407">
        <v>0</v>
      </c>
      <c r="AZ269" s="407">
        <v>0</v>
      </c>
      <c r="BA269" s="407"/>
      <c r="BB269" s="407">
        <v>0</v>
      </c>
      <c r="BC269" s="407">
        <v>0</v>
      </c>
      <c r="BD269" s="407">
        <v>0</v>
      </c>
      <c r="BE269" s="407">
        <v>0</v>
      </c>
      <c r="BF269" s="407">
        <v>0</v>
      </c>
      <c r="BG269" s="407">
        <v>183.41534971929255</v>
      </c>
      <c r="BH269" s="407">
        <v>0</v>
      </c>
      <c r="BI269" s="407">
        <v>0</v>
      </c>
      <c r="BJ269" s="407">
        <v>0</v>
      </c>
      <c r="BK269" s="407">
        <v>0</v>
      </c>
      <c r="BL269" s="407">
        <v>0</v>
      </c>
      <c r="BM269" s="407"/>
      <c r="BN269" s="407"/>
      <c r="BO269" s="407"/>
      <c r="BP269" s="407"/>
      <c r="BQ269" s="407"/>
      <c r="BR269" s="407"/>
      <c r="BS269" s="407"/>
      <c r="BT269" s="407"/>
      <c r="BU269" s="407"/>
      <c r="BV269" s="407">
        <v>5634.0831090772781</v>
      </c>
      <c r="BW269" s="407"/>
      <c r="BX269" s="407"/>
      <c r="BY269" s="407"/>
      <c r="BZ269" s="407"/>
      <c r="CA269" s="407"/>
      <c r="CB269" s="407"/>
      <c r="CC269" s="407"/>
      <c r="CD269" s="407"/>
      <c r="CE269" s="407"/>
      <c r="CF269" s="407"/>
      <c r="CG269" s="407"/>
      <c r="CH269" s="407"/>
      <c r="CI269" s="407">
        <v>9785.9994000000006</v>
      </c>
      <c r="CJ269" s="407">
        <v>784.61670000000049</v>
      </c>
      <c r="CK269" s="407"/>
      <c r="CL269" s="407"/>
      <c r="CM269" s="407"/>
      <c r="CN269" s="407"/>
      <c r="CO269" s="407">
        <v>-185.89366000000018</v>
      </c>
      <c r="CP269" s="407">
        <v>970.81727000000001</v>
      </c>
      <c r="CQ269" s="407">
        <v>30</v>
      </c>
      <c r="CR269" s="407">
        <v>784.81190450588474</v>
      </c>
      <c r="CS269" s="407">
        <v>0</v>
      </c>
      <c r="CT269" s="407">
        <v>0</v>
      </c>
      <c r="CU269" s="407">
        <v>0</v>
      </c>
      <c r="CV269" s="407">
        <v>0</v>
      </c>
      <c r="CW269" s="407">
        <v>0</v>
      </c>
      <c r="CX269" s="407">
        <v>0</v>
      </c>
      <c r="CY269" s="407">
        <v>0</v>
      </c>
      <c r="CZ269" s="407">
        <v>0</v>
      </c>
      <c r="DA269" s="407">
        <v>0</v>
      </c>
      <c r="DB269" s="407">
        <v>0</v>
      </c>
      <c r="DC269" s="407">
        <v>1080.7202222471024</v>
      </c>
      <c r="DD269" s="407">
        <v>0</v>
      </c>
      <c r="DE269" s="407">
        <v>0</v>
      </c>
      <c r="DF269" s="407">
        <v>0</v>
      </c>
      <c r="DG269" s="407">
        <v>36.366310746394163</v>
      </c>
      <c r="DH269" s="407">
        <v>0</v>
      </c>
      <c r="DI269" s="407">
        <v>-133.45649319917698</v>
      </c>
      <c r="DJ269" s="407"/>
      <c r="DK269" s="407">
        <v>0</v>
      </c>
      <c r="DL269" s="407">
        <v>0</v>
      </c>
      <c r="DM269" s="407">
        <v>0</v>
      </c>
      <c r="DN269" s="407">
        <v>0</v>
      </c>
      <c r="DO269" s="407">
        <v>-20.647919960708521</v>
      </c>
      <c r="DP269" s="407">
        <v>-2.4178792185749316</v>
      </c>
      <c r="DQ269" s="407">
        <v>0</v>
      </c>
      <c r="DR269" s="407">
        <v>-175.7523361091524</v>
      </c>
      <c r="DS269" s="407"/>
      <c r="DT269" s="407"/>
      <c r="DU269" s="407"/>
      <c r="DV269" s="407">
        <v>0</v>
      </c>
      <c r="DW269" s="407">
        <v>0</v>
      </c>
      <c r="DX269" s="407">
        <v>0</v>
      </c>
      <c r="DY269" s="407">
        <v>-185.89366000000018</v>
      </c>
      <c r="DZ269" s="407">
        <v>970.81726999999955</v>
      </c>
      <c r="EA269" s="407">
        <v>0</v>
      </c>
      <c r="EB269" s="407">
        <v>0</v>
      </c>
      <c r="EC269" s="407">
        <v>0</v>
      </c>
      <c r="ED269" s="407">
        <v>0</v>
      </c>
      <c r="EE269" s="407">
        <v>0</v>
      </c>
      <c r="EF269" s="407">
        <v>0</v>
      </c>
      <c r="EG269" s="407">
        <v>0</v>
      </c>
      <c r="EH269" s="407">
        <v>0</v>
      </c>
      <c r="EI269" s="407">
        <v>0</v>
      </c>
      <c r="EJ269" s="407">
        <v>0</v>
      </c>
      <c r="EK269" s="407">
        <v>0</v>
      </c>
      <c r="EL269" s="407">
        <v>0</v>
      </c>
      <c r="EM269" s="407">
        <v>0</v>
      </c>
      <c r="EN269" s="407">
        <v>0</v>
      </c>
      <c r="EO269" s="407">
        <v>0</v>
      </c>
      <c r="EP269" s="407">
        <v>902.54389192439464</v>
      </c>
      <c r="EQ269" s="407">
        <v>0</v>
      </c>
      <c r="ER269" s="407">
        <v>0</v>
      </c>
      <c r="ES269" s="407">
        <v>0</v>
      </c>
      <c r="ET269" s="407">
        <v>0</v>
      </c>
      <c r="EU269" s="407">
        <v>0</v>
      </c>
      <c r="EV269" s="407">
        <v>246</v>
      </c>
      <c r="EW269" s="407">
        <v>0</v>
      </c>
      <c r="EX269" s="407">
        <v>0</v>
      </c>
      <c r="EY269" s="407">
        <v>0</v>
      </c>
      <c r="EZ269" s="407"/>
      <c r="FA269" s="407">
        <v>0</v>
      </c>
      <c r="FB269" s="407"/>
      <c r="FC269" s="407"/>
      <c r="FD269" s="407"/>
      <c r="FE269" s="407"/>
      <c r="FF269" s="407">
        <v>0</v>
      </c>
      <c r="FG269" s="407">
        <v>0</v>
      </c>
      <c r="FH269" s="407">
        <v>0</v>
      </c>
      <c r="FI269" s="407">
        <v>0</v>
      </c>
    </row>
    <row r="270" spans="1:165">
      <c r="A270" s="407">
        <v>285</v>
      </c>
      <c r="B270" s="407" t="s">
        <v>1090</v>
      </c>
      <c r="C270" s="407" t="s">
        <v>2314</v>
      </c>
      <c r="D270" s="407" t="s">
        <v>650</v>
      </c>
      <c r="E270" s="407" t="s">
        <v>1049</v>
      </c>
      <c r="F270" s="407" t="s">
        <v>97</v>
      </c>
      <c r="G270" s="407" t="s">
        <v>97</v>
      </c>
      <c r="H270" s="407" t="s">
        <v>97</v>
      </c>
      <c r="I270" s="407" t="s">
        <v>97</v>
      </c>
      <c r="J270" s="407" t="s">
        <v>2307</v>
      </c>
      <c r="K270" s="818">
        <v>44501</v>
      </c>
      <c r="L270" s="407">
        <v>1526</v>
      </c>
      <c r="M270" s="407">
        <v>1526</v>
      </c>
      <c r="N270" s="407">
        <v>0</v>
      </c>
      <c r="O270" s="407">
        <v>0</v>
      </c>
      <c r="P270" s="407">
        <v>0</v>
      </c>
      <c r="Q270" s="407">
        <v>0</v>
      </c>
      <c r="R270" s="407">
        <v>43.29</v>
      </c>
      <c r="S270" s="407"/>
      <c r="T270" s="407"/>
      <c r="U270" s="407">
        <v>66060.539999999994</v>
      </c>
      <c r="V270" s="407"/>
      <c r="W270" s="407">
        <v>66060.539999999994</v>
      </c>
      <c r="X270" s="407">
        <v>51105.740000000005</v>
      </c>
      <c r="Y270" s="407">
        <v>0</v>
      </c>
      <c r="Z270" s="407">
        <v>0</v>
      </c>
      <c r="AA270" s="407">
        <v>0</v>
      </c>
      <c r="AB270" s="407">
        <v>0</v>
      </c>
      <c r="AC270" s="407">
        <v>0</v>
      </c>
      <c r="AD270" s="407">
        <v>36111.244403776393</v>
      </c>
      <c r="AE270" s="407">
        <v>29954.139521271059</v>
      </c>
      <c r="AF270" s="407"/>
      <c r="AG270" s="407"/>
      <c r="AH270" s="407"/>
      <c r="AI270" s="407">
        <v>0</v>
      </c>
      <c r="AJ270" s="407">
        <v>0</v>
      </c>
      <c r="AK270" s="407">
        <v>0</v>
      </c>
      <c r="AL270" s="407">
        <v>0</v>
      </c>
      <c r="AM270" s="407"/>
      <c r="AN270" s="407">
        <v>0</v>
      </c>
      <c r="AO270" s="407">
        <v>0</v>
      </c>
      <c r="AP270" s="407">
        <v>0</v>
      </c>
      <c r="AQ270" s="407">
        <v>0</v>
      </c>
      <c r="AR270" s="407">
        <v>0</v>
      </c>
      <c r="AS270" s="407"/>
      <c r="AT270" s="407"/>
      <c r="AU270" s="407">
        <v>0</v>
      </c>
      <c r="AV270" s="407">
        <v>0</v>
      </c>
      <c r="AW270" s="407">
        <v>0</v>
      </c>
      <c r="AX270" s="407"/>
      <c r="AY270" s="407"/>
      <c r="AZ270" s="407">
        <v>0</v>
      </c>
      <c r="BA270" s="407"/>
      <c r="BB270" s="407">
        <v>0</v>
      </c>
      <c r="BC270" s="407">
        <v>0</v>
      </c>
      <c r="BD270" s="407">
        <v>0</v>
      </c>
      <c r="BE270" s="407">
        <v>0</v>
      </c>
      <c r="BF270" s="407"/>
      <c r="BG270" s="407">
        <v>0</v>
      </c>
      <c r="BH270" s="407">
        <v>0</v>
      </c>
      <c r="BI270" s="407">
        <v>1087.3699999999999</v>
      </c>
      <c r="BJ270" s="407">
        <v>4869.78</v>
      </c>
      <c r="BK270" s="407">
        <v>68899.11</v>
      </c>
      <c r="BL270" s="407">
        <v>12</v>
      </c>
      <c r="BM270" s="407"/>
      <c r="BN270" s="407"/>
      <c r="BO270" s="407"/>
      <c r="BP270" s="407"/>
      <c r="BQ270" s="407"/>
      <c r="BR270" s="407"/>
      <c r="BS270" s="407"/>
      <c r="BT270" s="407"/>
      <c r="BU270" s="407"/>
      <c r="BV270" s="407">
        <v>0</v>
      </c>
      <c r="BW270" s="407"/>
      <c r="BX270" s="407"/>
      <c r="BY270" s="407"/>
      <c r="BZ270" s="407"/>
      <c r="CA270" s="407"/>
      <c r="CB270" s="407"/>
      <c r="CC270" s="407"/>
      <c r="CD270" s="407"/>
      <c r="CE270" s="407"/>
      <c r="CF270" s="407"/>
      <c r="CG270" s="407"/>
      <c r="CH270" s="407"/>
      <c r="CI270" s="407">
        <v>51105.740000000005</v>
      </c>
      <c r="CJ270" s="407">
        <v>-14954.829999999973</v>
      </c>
      <c r="CK270" s="407"/>
      <c r="CL270" s="407"/>
      <c r="CM270" s="407"/>
      <c r="CN270" s="407"/>
      <c r="CO270" s="407">
        <v>-14954.799999999996</v>
      </c>
      <c r="CP270" s="407">
        <v>0</v>
      </c>
      <c r="CQ270" s="407">
        <v>30</v>
      </c>
      <c r="CR270" s="407">
        <v>341.3053815975727</v>
      </c>
      <c r="CS270" s="407">
        <v>0</v>
      </c>
      <c r="CT270" s="407">
        <v>0</v>
      </c>
      <c r="CU270" s="407">
        <v>0</v>
      </c>
      <c r="CV270" s="407">
        <v>0</v>
      </c>
      <c r="CW270" s="407"/>
      <c r="CX270" s="407"/>
      <c r="CY270" s="407"/>
      <c r="CZ270" s="407">
        <v>1631.2165114562813</v>
      </c>
      <c r="DA270" s="407">
        <v>0</v>
      </c>
      <c r="DB270" s="407">
        <v>0</v>
      </c>
      <c r="DC270" s="407"/>
      <c r="DD270" s="407"/>
      <c r="DE270" s="407">
        <v>0</v>
      </c>
      <c r="DF270" s="407">
        <v>0</v>
      </c>
      <c r="DG270" s="407">
        <v>0</v>
      </c>
      <c r="DH270" s="407">
        <v>0</v>
      </c>
      <c r="DI270" s="407">
        <v>0</v>
      </c>
      <c r="DJ270" s="407"/>
      <c r="DK270" s="407">
        <v>0</v>
      </c>
      <c r="DL270" s="407">
        <v>0</v>
      </c>
      <c r="DM270" s="407"/>
      <c r="DN270" s="407">
        <v>0</v>
      </c>
      <c r="DO270" s="407">
        <v>0</v>
      </c>
      <c r="DP270" s="407">
        <v>0</v>
      </c>
      <c r="DQ270" s="407">
        <v>0</v>
      </c>
      <c r="DR270" s="407">
        <v>-1289.9111298587086</v>
      </c>
      <c r="DS270" s="407"/>
      <c r="DT270" s="407"/>
      <c r="DU270" s="407">
        <v>29954.139521271059</v>
      </c>
      <c r="DV270" s="407"/>
      <c r="DW270" s="407">
        <v>0</v>
      </c>
      <c r="DX270" s="407">
        <v>0</v>
      </c>
      <c r="DY270" s="407">
        <v>-14954.799999999988</v>
      </c>
      <c r="DZ270" s="407"/>
      <c r="EA270" s="407">
        <v>0</v>
      </c>
      <c r="EB270" s="407"/>
      <c r="EC270" s="407">
        <v>-15300.644039649316</v>
      </c>
      <c r="ED270" s="407"/>
      <c r="EE270" s="407">
        <v>0</v>
      </c>
      <c r="EF270" s="407">
        <v>0</v>
      </c>
      <c r="EG270" s="407"/>
      <c r="EH270" s="407">
        <v>0</v>
      </c>
      <c r="EI270" s="407">
        <v>0</v>
      </c>
      <c r="EJ270" s="407">
        <v>0</v>
      </c>
      <c r="EK270" s="407">
        <v>0</v>
      </c>
      <c r="EL270" s="407">
        <v>0</v>
      </c>
      <c r="EM270" s="407"/>
      <c r="EN270" s="407"/>
      <c r="EO270" s="407">
        <v>0</v>
      </c>
      <c r="EP270" s="407">
        <v>0</v>
      </c>
      <c r="EQ270" s="407"/>
      <c r="ER270" s="407">
        <v>0</v>
      </c>
      <c r="ES270" s="407"/>
      <c r="ET270" s="407">
        <v>0</v>
      </c>
      <c r="EU270" s="407"/>
      <c r="EV270" s="407">
        <v>246</v>
      </c>
      <c r="EW270" s="407"/>
      <c r="EX270" s="407"/>
      <c r="EY270" s="407"/>
      <c r="EZ270" s="407"/>
      <c r="FA270" s="407">
        <v>0</v>
      </c>
      <c r="FB270" s="407"/>
      <c r="FC270" s="407"/>
      <c r="FD270" s="407"/>
      <c r="FE270" s="407"/>
      <c r="FF270" s="407">
        <v>0</v>
      </c>
      <c r="FG270" s="407">
        <v>0</v>
      </c>
      <c r="FH270" s="407">
        <v>0</v>
      </c>
      <c r="FI270" s="407">
        <v>0</v>
      </c>
    </row>
    <row r="271" spans="1:165">
      <c r="A271" s="407">
        <v>286</v>
      </c>
      <c r="B271" s="407" t="s">
        <v>2309</v>
      </c>
      <c r="C271" s="407" t="s">
        <v>2314</v>
      </c>
      <c r="D271" s="407" t="s">
        <v>650</v>
      </c>
      <c r="E271" s="407" t="s">
        <v>1049</v>
      </c>
      <c r="F271" s="407" t="s">
        <v>97</v>
      </c>
      <c r="G271" s="407" t="s">
        <v>97</v>
      </c>
      <c r="H271" s="407" t="s">
        <v>97</v>
      </c>
      <c r="I271" s="407" t="s">
        <v>97</v>
      </c>
      <c r="J271" s="407" t="s">
        <v>2307</v>
      </c>
      <c r="K271" s="818">
        <v>44501</v>
      </c>
      <c r="L271" s="407">
        <v>961</v>
      </c>
      <c r="M271" s="407">
        <v>961</v>
      </c>
      <c r="N271" s="407">
        <v>0</v>
      </c>
      <c r="O271" s="407">
        <v>0</v>
      </c>
      <c r="P271" s="407">
        <v>0</v>
      </c>
      <c r="Q271" s="407">
        <v>0</v>
      </c>
      <c r="R271" s="407">
        <v>43.29</v>
      </c>
      <c r="S271" s="407"/>
      <c r="T271" s="407"/>
      <c r="U271" s="407">
        <v>41601.69</v>
      </c>
      <c r="V271" s="407"/>
      <c r="W271" s="407">
        <v>41601.69</v>
      </c>
      <c r="X271" s="407">
        <v>32183.890000000003</v>
      </c>
      <c r="Y271" s="407">
        <v>0</v>
      </c>
      <c r="Z271" s="407">
        <v>0</v>
      </c>
      <c r="AA271" s="407">
        <v>0</v>
      </c>
      <c r="AB271" s="407">
        <v>0</v>
      </c>
      <c r="AC271" s="407">
        <v>0</v>
      </c>
      <c r="AD271" s="407">
        <v>22741.09165925892</v>
      </c>
      <c r="AE271" s="407">
        <v>18863.648807301106</v>
      </c>
      <c r="AF271" s="407"/>
      <c r="AG271" s="407"/>
      <c r="AH271" s="407"/>
      <c r="AI271" s="407">
        <v>0</v>
      </c>
      <c r="AJ271" s="407">
        <v>0</v>
      </c>
      <c r="AK271" s="407">
        <v>0</v>
      </c>
      <c r="AL271" s="407">
        <v>0</v>
      </c>
      <c r="AM271" s="407"/>
      <c r="AN271" s="407">
        <v>0</v>
      </c>
      <c r="AO271" s="407">
        <v>0</v>
      </c>
      <c r="AP271" s="407">
        <v>0</v>
      </c>
      <c r="AQ271" s="407">
        <v>0</v>
      </c>
      <c r="AR271" s="407">
        <v>0</v>
      </c>
      <c r="AS271" s="407"/>
      <c r="AT271" s="407"/>
      <c r="AU271" s="407">
        <v>0</v>
      </c>
      <c r="AV271" s="407">
        <v>0</v>
      </c>
      <c r="AW271" s="407">
        <v>0</v>
      </c>
      <c r="AX271" s="407"/>
      <c r="AY271" s="407"/>
      <c r="AZ271" s="407">
        <v>0</v>
      </c>
      <c r="BA271" s="407"/>
      <c r="BB271" s="407">
        <v>0</v>
      </c>
      <c r="BC271" s="407">
        <v>0</v>
      </c>
      <c r="BD271" s="407">
        <v>0</v>
      </c>
      <c r="BE271" s="407">
        <v>0</v>
      </c>
      <c r="BF271" s="407"/>
      <c r="BG271" s="407">
        <v>0</v>
      </c>
      <c r="BH271" s="407">
        <v>0</v>
      </c>
      <c r="BI271" s="407">
        <v>386.99</v>
      </c>
      <c r="BJ271" s="407">
        <v>1733.11</v>
      </c>
      <c r="BK271" s="407">
        <v>26483.32</v>
      </c>
      <c r="BL271" s="407">
        <v>6</v>
      </c>
      <c r="BM271" s="407"/>
      <c r="BN271" s="407"/>
      <c r="BO271" s="407"/>
      <c r="BP271" s="407"/>
      <c r="BQ271" s="407"/>
      <c r="BR271" s="407"/>
      <c r="BS271" s="407"/>
      <c r="BT271" s="407"/>
      <c r="BU271" s="407"/>
      <c r="BV271" s="407">
        <v>0</v>
      </c>
      <c r="BW271" s="407"/>
      <c r="BX271" s="407"/>
      <c r="BY271" s="407"/>
      <c r="BZ271" s="407"/>
      <c r="CA271" s="407"/>
      <c r="CB271" s="407"/>
      <c r="CC271" s="407"/>
      <c r="CD271" s="407"/>
      <c r="CE271" s="407"/>
      <c r="CF271" s="407"/>
      <c r="CG271" s="407"/>
      <c r="CH271" s="407"/>
      <c r="CI271" s="407">
        <v>32183.890000000003</v>
      </c>
      <c r="CJ271" s="407">
        <v>-9417.8300000000054</v>
      </c>
      <c r="CK271" s="407"/>
      <c r="CL271" s="407"/>
      <c r="CM271" s="407"/>
      <c r="CN271" s="407"/>
      <c r="CO271" s="407">
        <v>-9417.7999999999975</v>
      </c>
      <c r="CP271" s="407">
        <v>0</v>
      </c>
      <c r="CQ271" s="407">
        <v>30</v>
      </c>
      <c r="CR271" s="407">
        <v>214.93739955129058</v>
      </c>
      <c r="CS271" s="407">
        <v>0</v>
      </c>
      <c r="CT271" s="407">
        <v>0</v>
      </c>
      <c r="CU271" s="407">
        <v>0</v>
      </c>
      <c r="CV271" s="407">
        <v>0</v>
      </c>
      <c r="CW271" s="407"/>
      <c r="CX271" s="407"/>
      <c r="CY271" s="407"/>
      <c r="CZ271" s="407">
        <v>1027.2602015134253</v>
      </c>
      <c r="DA271" s="407">
        <v>0</v>
      </c>
      <c r="DB271" s="407">
        <v>0</v>
      </c>
      <c r="DC271" s="407"/>
      <c r="DD271" s="407"/>
      <c r="DE271" s="407">
        <v>0</v>
      </c>
      <c r="DF271" s="407">
        <v>0</v>
      </c>
      <c r="DG271" s="407">
        <v>0</v>
      </c>
      <c r="DH271" s="407">
        <v>0</v>
      </c>
      <c r="DI271" s="407">
        <v>0</v>
      </c>
      <c r="DJ271" s="407"/>
      <c r="DK271" s="407">
        <v>0</v>
      </c>
      <c r="DL271" s="407">
        <v>0</v>
      </c>
      <c r="DM271" s="407"/>
      <c r="DN271" s="407">
        <v>0</v>
      </c>
      <c r="DO271" s="407">
        <v>0</v>
      </c>
      <c r="DP271" s="407">
        <v>0</v>
      </c>
      <c r="DQ271" s="407">
        <v>0</v>
      </c>
      <c r="DR271" s="407">
        <v>-812.3228019621356</v>
      </c>
      <c r="DS271" s="407"/>
      <c r="DT271" s="407"/>
      <c r="DU271" s="407">
        <v>18863.648807301106</v>
      </c>
      <c r="DV271" s="407"/>
      <c r="DW271" s="407">
        <v>0</v>
      </c>
      <c r="DX271" s="407">
        <v>0</v>
      </c>
      <c r="DY271" s="407">
        <v>-9417.7999999999993</v>
      </c>
      <c r="DZ271" s="407"/>
      <c r="EA271" s="407">
        <v>0</v>
      </c>
      <c r="EB271" s="407"/>
      <c r="EC271" s="407">
        <v>-9635.5956239207026</v>
      </c>
      <c r="ED271" s="407"/>
      <c r="EE271" s="407">
        <v>0</v>
      </c>
      <c r="EF271" s="407">
        <v>0</v>
      </c>
      <c r="EG271" s="407"/>
      <c r="EH271" s="407">
        <v>0</v>
      </c>
      <c r="EI271" s="407">
        <v>0</v>
      </c>
      <c r="EJ271" s="407">
        <v>0</v>
      </c>
      <c r="EK271" s="407">
        <v>0</v>
      </c>
      <c r="EL271" s="407">
        <v>0</v>
      </c>
      <c r="EM271" s="407"/>
      <c r="EN271" s="407"/>
      <c r="EO271" s="407">
        <v>0</v>
      </c>
      <c r="EP271" s="407">
        <v>0</v>
      </c>
      <c r="EQ271" s="407"/>
      <c r="ER271" s="407">
        <v>0</v>
      </c>
      <c r="ES271" s="407"/>
      <c r="ET271" s="407">
        <v>0</v>
      </c>
      <c r="EU271" s="407"/>
      <c r="EV271" s="407">
        <v>246</v>
      </c>
      <c r="EW271" s="407"/>
      <c r="EX271" s="407"/>
      <c r="EY271" s="407"/>
      <c r="EZ271" s="407"/>
      <c r="FA271" s="407">
        <v>0</v>
      </c>
      <c r="FB271" s="407"/>
      <c r="FC271" s="407"/>
      <c r="FD271" s="407"/>
      <c r="FE271" s="407"/>
      <c r="FF271" s="407">
        <v>0</v>
      </c>
      <c r="FG271" s="407">
        <v>0</v>
      </c>
      <c r="FH271" s="407">
        <v>0</v>
      </c>
      <c r="FI271" s="407">
        <v>0</v>
      </c>
    </row>
    <row r="272" spans="1:165">
      <c r="A272" s="407">
        <v>287</v>
      </c>
      <c r="B272" s="407" t="s">
        <v>2309</v>
      </c>
      <c r="C272" s="407" t="s">
        <v>2314</v>
      </c>
      <c r="D272" s="407" t="s">
        <v>650</v>
      </c>
      <c r="E272" s="407" t="s">
        <v>1049</v>
      </c>
      <c r="F272" s="407" t="s">
        <v>97</v>
      </c>
      <c r="G272" s="407" t="s">
        <v>97</v>
      </c>
      <c r="H272" s="407" t="s">
        <v>97</v>
      </c>
      <c r="I272" s="407" t="s">
        <v>97</v>
      </c>
      <c r="J272" s="407" t="s">
        <v>2307</v>
      </c>
      <c r="K272" s="818">
        <v>44501</v>
      </c>
      <c r="L272" s="407">
        <v>0</v>
      </c>
      <c r="M272" s="407">
        <v>0</v>
      </c>
      <c r="N272" s="407">
        <v>0</v>
      </c>
      <c r="O272" s="407">
        <v>0</v>
      </c>
      <c r="P272" s="407">
        <v>0</v>
      </c>
      <c r="Q272" s="407">
        <v>0</v>
      </c>
      <c r="R272" s="407"/>
      <c r="S272" s="407"/>
      <c r="T272" s="407"/>
      <c r="U272" s="407"/>
      <c r="V272" s="407"/>
      <c r="W272" s="407"/>
      <c r="X272" s="407"/>
      <c r="Y272" s="407"/>
      <c r="Z272" s="407"/>
      <c r="AA272" s="407">
        <v>0</v>
      </c>
      <c r="AB272" s="407"/>
      <c r="AC272" s="407"/>
      <c r="AD272" s="407"/>
      <c r="AE272" s="407"/>
      <c r="AF272" s="407"/>
      <c r="AG272" s="407"/>
      <c r="AH272" s="407"/>
      <c r="AI272" s="407"/>
      <c r="AJ272" s="407"/>
      <c r="AK272" s="407"/>
      <c r="AL272" s="407"/>
      <c r="AM272" s="407"/>
      <c r="AN272" s="407"/>
      <c r="AO272" s="407"/>
      <c r="AP272" s="407"/>
      <c r="AQ272" s="407"/>
      <c r="AR272" s="407"/>
      <c r="AS272" s="407"/>
      <c r="AT272" s="407"/>
      <c r="AU272" s="407"/>
      <c r="AV272" s="407"/>
      <c r="AW272" s="407"/>
      <c r="AX272" s="407"/>
      <c r="AY272" s="407"/>
      <c r="AZ272" s="407">
        <v>0</v>
      </c>
      <c r="BA272" s="407"/>
      <c r="BB272" s="407"/>
      <c r="BC272" s="407"/>
      <c r="BD272" s="407"/>
      <c r="BE272" s="407"/>
      <c r="BF272" s="407"/>
      <c r="BG272" s="407"/>
      <c r="BH272" s="407"/>
      <c r="BI272" s="407">
        <v>-102.43</v>
      </c>
      <c r="BJ272" s="407">
        <v>-447.57</v>
      </c>
      <c r="BK272" s="407">
        <v>-6680.15</v>
      </c>
      <c r="BL272" s="407">
        <v>2</v>
      </c>
      <c r="BM272" s="407"/>
      <c r="BN272" s="407"/>
      <c r="BO272" s="407"/>
      <c r="BP272" s="407"/>
      <c r="BQ272" s="407"/>
      <c r="BR272" s="407"/>
      <c r="BS272" s="407"/>
      <c r="BT272" s="407"/>
      <c r="BU272" s="407"/>
      <c r="BV272" s="407"/>
      <c r="BW272" s="407"/>
      <c r="BX272" s="407"/>
      <c r="BY272" s="407"/>
      <c r="BZ272" s="407"/>
      <c r="CA272" s="407"/>
      <c r="CB272" s="407"/>
      <c r="CC272" s="407"/>
      <c r="CD272" s="407"/>
      <c r="CE272" s="407"/>
      <c r="CF272" s="407"/>
      <c r="CG272" s="407"/>
      <c r="CH272" s="407"/>
      <c r="CI272" s="407"/>
      <c r="CJ272" s="407">
        <v>-0.03</v>
      </c>
      <c r="CK272" s="407"/>
      <c r="CL272" s="407"/>
      <c r="CM272" s="407"/>
      <c r="CN272" s="407"/>
      <c r="CO272" s="407">
        <v>0</v>
      </c>
      <c r="CP272" s="407">
        <v>0</v>
      </c>
      <c r="CQ272" s="407">
        <v>30</v>
      </c>
      <c r="CR272" s="407"/>
      <c r="CS272" s="407"/>
      <c r="CT272" s="407"/>
      <c r="CU272" s="407"/>
      <c r="CV272" s="407"/>
      <c r="CW272" s="407"/>
      <c r="CX272" s="407"/>
      <c r="CY272" s="407"/>
      <c r="CZ272" s="407"/>
      <c r="DA272" s="407"/>
      <c r="DB272" s="407"/>
      <c r="DC272" s="407"/>
      <c r="DD272" s="407"/>
      <c r="DE272" s="407"/>
      <c r="DF272" s="407"/>
      <c r="DG272" s="407"/>
      <c r="DH272" s="407"/>
      <c r="DI272" s="407"/>
      <c r="DJ272" s="407"/>
      <c r="DK272" s="407">
        <v>0</v>
      </c>
      <c r="DL272" s="407"/>
      <c r="DM272" s="407"/>
      <c r="DN272" s="407"/>
      <c r="DO272" s="407"/>
      <c r="DP272" s="407"/>
      <c r="DQ272" s="407"/>
      <c r="DR272" s="407"/>
      <c r="DS272" s="407"/>
      <c r="DT272" s="407"/>
      <c r="DU272" s="407"/>
      <c r="DV272" s="407"/>
      <c r="DW272" s="407"/>
      <c r="DX272" s="407"/>
      <c r="DY272" s="407"/>
      <c r="DZ272" s="407"/>
      <c r="EA272" s="407"/>
      <c r="EB272" s="407"/>
      <c r="EC272" s="407"/>
      <c r="ED272" s="407"/>
      <c r="EE272" s="407"/>
      <c r="EF272" s="407"/>
      <c r="EG272" s="407"/>
      <c r="EH272" s="407"/>
      <c r="EI272" s="407"/>
      <c r="EJ272" s="407"/>
      <c r="EK272" s="407"/>
      <c r="EL272" s="407"/>
      <c r="EM272" s="407"/>
      <c r="EN272" s="407"/>
      <c r="EO272" s="407"/>
      <c r="EP272" s="407"/>
      <c r="EQ272" s="407"/>
      <c r="ER272" s="407"/>
      <c r="ES272" s="407"/>
      <c r="ET272" s="407"/>
      <c r="EU272" s="407"/>
      <c r="EV272" s="407">
        <v>246</v>
      </c>
      <c r="EW272" s="407"/>
      <c r="EX272" s="407"/>
      <c r="EY272" s="407"/>
      <c r="EZ272" s="407"/>
      <c r="FA272" s="407">
        <v>0</v>
      </c>
      <c r="FB272" s="407"/>
      <c r="FC272" s="407"/>
      <c r="FD272" s="407"/>
      <c r="FE272" s="407"/>
      <c r="FF272" s="407">
        <v>0</v>
      </c>
      <c r="FG272" s="407">
        <v>0</v>
      </c>
      <c r="FH272" s="407">
        <v>0</v>
      </c>
      <c r="FI272" s="407">
        <v>0</v>
      </c>
    </row>
    <row r="273" spans="1:165">
      <c r="A273" s="407">
        <v>288</v>
      </c>
      <c r="B273" s="407" t="s">
        <v>1090</v>
      </c>
      <c r="C273" s="407" t="s">
        <v>2306</v>
      </c>
      <c r="D273" s="407" t="s">
        <v>2315</v>
      </c>
      <c r="E273" s="407" t="s">
        <v>1026</v>
      </c>
      <c r="F273" s="407" t="s">
        <v>97</v>
      </c>
      <c r="G273" s="407" t="s">
        <v>97</v>
      </c>
      <c r="H273" s="407" t="s">
        <v>97</v>
      </c>
      <c r="I273" s="407" t="s">
        <v>97</v>
      </c>
      <c r="J273" s="407" t="s">
        <v>2307</v>
      </c>
      <c r="K273" s="818">
        <v>44501</v>
      </c>
      <c r="L273" s="407">
        <v>0</v>
      </c>
      <c r="M273" s="407">
        <v>0</v>
      </c>
      <c r="N273" s="407">
        <v>4131.5640000000003</v>
      </c>
      <c r="O273" s="407">
        <v>4131.5640000000003</v>
      </c>
      <c r="P273" s="407">
        <v>4131.5640000000003</v>
      </c>
      <c r="Q273" s="407">
        <v>4131.5640000000003</v>
      </c>
      <c r="R273" s="407"/>
      <c r="S273" s="407">
        <v>648.44000000000005</v>
      </c>
      <c r="T273" s="407">
        <v>159.41</v>
      </c>
      <c r="U273" s="407"/>
      <c r="V273" s="407">
        <v>3337683.9774000007</v>
      </c>
      <c r="W273" s="407">
        <v>3337683.9774000007</v>
      </c>
      <c r="X273" s="407">
        <v>2527773.4864800004</v>
      </c>
      <c r="Y273" s="407">
        <v>0</v>
      </c>
      <c r="Z273" s="407">
        <v>256034.05657391303</v>
      </c>
      <c r="AA273" s="407">
        <v>0</v>
      </c>
      <c r="AB273" s="407">
        <v>0</v>
      </c>
      <c r="AC273" s="407">
        <v>0</v>
      </c>
      <c r="AD273" s="407">
        <v>481923.91213780857</v>
      </c>
      <c r="AE273" s="407">
        <v>1725117.9838802193</v>
      </c>
      <c r="AF273" s="407">
        <v>637214.07686607947</v>
      </c>
      <c r="AG273" s="407">
        <v>21408.72034607764</v>
      </c>
      <c r="AH273" s="407">
        <v>0</v>
      </c>
      <c r="AI273" s="407">
        <v>0</v>
      </c>
      <c r="AJ273" s="407">
        <v>0</v>
      </c>
      <c r="AK273" s="407">
        <v>0</v>
      </c>
      <c r="AL273" s="407">
        <v>39564.085549133561</v>
      </c>
      <c r="AM273" s="407"/>
      <c r="AN273" s="407">
        <v>8573.390444757335</v>
      </c>
      <c r="AO273" s="407">
        <v>0</v>
      </c>
      <c r="AP273" s="407">
        <v>0</v>
      </c>
      <c r="AQ273" s="407">
        <v>0</v>
      </c>
      <c r="AR273" s="407">
        <v>0</v>
      </c>
      <c r="AS273" s="407">
        <v>0</v>
      </c>
      <c r="AT273" s="407">
        <v>0</v>
      </c>
      <c r="AU273" s="407">
        <v>0</v>
      </c>
      <c r="AV273" s="407">
        <v>0</v>
      </c>
      <c r="AW273" s="407">
        <v>0</v>
      </c>
      <c r="AX273" s="407">
        <v>0</v>
      </c>
      <c r="AY273" s="407">
        <v>0</v>
      </c>
      <c r="AZ273" s="407">
        <v>0</v>
      </c>
      <c r="BA273" s="407"/>
      <c r="BB273" s="407">
        <v>0</v>
      </c>
      <c r="BC273" s="407">
        <v>0</v>
      </c>
      <c r="BD273" s="407">
        <v>0</v>
      </c>
      <c r="BE273" s="407">
        <v>0</v>
      </c>
      <c r="BF273" s="407">
        <v>0</v>
      </c>
      <c r="BG273" s="407">
        <v>46578.314243335713</v>
      </c>
      <c r="BH273" s="407">
        <v>0</v>
      </c>
      <c r="BI273" s="407">
        <v>14350.89</v>
      </c>
      <c r="BJ273" s="407">
        <v>64548.41</v>
      </c>
      <c r="BK273" s="407">
        <v>244234</v>
      </c>
      <c r="BL273" s="407">
        <v>13977</v>
      </c>
      <c r="BM273" s="407"/>
      <c r="BN273" s="407"/>
      <c r="BO273" s="407"/>
      <c r="BP273" s="407"/>
      <c r="BQ273" s="407"/>
      <c r="BR273" s="407">
        <v>303339.42888000014</v>
      </c>
      <c r="BS273" s="407"/>
      <c r="BT273" s="407"/>
      <c r="BU273" s="407"/>
      <c r="BV273" s="407">
        <v>683792.39110941521</v>
      </c>
      <c r="BW273" s="407"/>
      <c r="BX273" s="407"/>
      <c r="BY273" s="407"/>
      <c r="BZ273" s="407"/>
      <c r="CA273" s="407"/>
      <c r="CB273" s="407"/>
      <c r="CC273" s="407"/>
      <c r="CD273" s="407"/>
      <c r="CE273" s="407"/>
      <c r="CF273" s="407"/>
      <c r="CG273" s="407"/>
      <c r="CH273" s="407"/>
      <c r="CI273" s="407">
        <v>2224431.9040000001</v>
      </c>
      <c r="CJ273" s="407">
        <v>-712738.28923999984</v>
      </c>
      <c r="CK273" s="407"/>
      <c r="CL273" s="407"/>
      <c r="CM273" s="407"/>
      <c r="CN273" s="407"/>
      <c r="CO273" s="407">
        <v>-923404.55400000035</v>
      </c>
      <c r="CP273" s="407">
        <v>113494.06308000001</v>
      </c>
      <c r="CQ273" s="407">
        <v>30</v>
      </c>
      <c r="CR273" s="407">
        <v>71286.079688845435</v>
      </c>
      <c r="CS273" s="407">
        <v>0</v>
      </c>
      <c r="CT273" s="407">
        <v>0</v>
      </c>
      <c r="CU273" s="407">
        <v>0</v>
      </c>
      <c r="CV273" s="407">
        <v>0</v>
      </c>
      <c r="CW273" s="407">
        <v>0</v>
      </c>
      <c r="CX273" s="407">
        <v>0</v>
      </c>
      <c r="CY273" s="407">
        <v>0</v>
      </c>
      <c r="CZ273" s="407">
        <v>21769.458674833586</v>
      </c>
      <c r="DA273" s="407">
        <v>0</v>
      </c>
      <c r="DB273" s="407">
        <v>0</v>
      </c>
      <c r="DC273" s="407">
        <v>126342.34357568063</v>
      </c>
      <c r="DD273" s="407">
        <v>0</v>
      </c>
      <c r="DE273" s="407">
        <v>0</v>
      </c>
      <c r="DF273" s="407">
        <v>0</v>
      </c>
      <c r="DG273" s="407">
        <v>9235.2218743346311</v>
      </c>
      <c r="DH273" s="407">
        <v>0</v>
      </c>
      <c r="DI273" s="407">
        <v>-17933.130412755592</v>
      </c>
      <c r="DJ273" s="407"/>
      <c r="DK273" s="407">
        <v>0</v>
      </c>
      <c r="DL273" s="407">
        <v>0</v>
      </c>
      <c r="DM273" s="407">
        <v>0</v>
      </c>
      <c r="DN273" s="407">
        <v>0</v>
      </c>
      <c r="DO273" s="407">
        <v>-2413.8593357444552</v>
      </c>
      <c r="DP273" s="407">
        <v>-546.27574123533304</v>
      </c>
      <c r="DQ273" s="407">
        <v>0</v>
      </c>
      <c r="DR273" s="407">
        <v>-65167.678946267908</v>
      </c>
      <c r="DS273" s="407"/>
      <c r="DT273" s="407"/>
      <c r="DU273" s="407"/>
      <c r="DV273" s="407">
        <v>1725117.9838802193</v>
      </c>
      <c r="DW273" s="407">
        <v>0</v>
      </c>
      <c r="DX273" s="407">
        <v>0</v>
      </c>
      <c r="DY273" s="407">
        <v>-923404.55400000047</v>
      </c>
      <c r="DZ273" s="407">
        <v>113494.06307999999</v>
      </c>
      <c r="EA273" s="407">
        <v>0</v>
      </c>
      <c r="EB273" s="407">
        <v>0</v>
      </c>
      <c r="EC273" s="407">
        <v>-881194.27296533587</v>
      </c>
      <c r="ED273" s="407">
        <v>0</v>
      </c>
      <c r="EE273" s="407">
        <v>0</v>
      </c>
      <c r="EF273" s="407">
        <v>0</v>
      </c>
      <c r="EG273" s="407">
        <v>0</v>
      </c>
      <c r="EH273" s="407">
        <v>0</v>
      </c>
      <c r="EI273" s="407">
        <v>0</v>
      </c>
      <c r="EJ273" s="407">
        <v>0</v>
      </c>
      <c r="EK273" s="407">
        <v>0</v>
      </c>
      <c r="EL273" s="407">
        <v>0</v>
      </c>
      <c r="EM273" s="407">
        <v>0</v>
      </c>
      <c r="EN273" s="407">
        <v>0</v>
      </c>
      <c r="EO273" s="407">
        <v>0</v>
      </c>
      <c r="EP273" s="407">
        <v>121278.75481457738</v>
      </c>
      <c r="EQ273" s="407">
        <v>0</v>
      </c>
      <c r="ER273" s="407">
        <v>0</v>
      </c>
      <c r="ES273" s="407">
        <v>0</v>
      </c>
      <c r="ET273" s="407">
        <v>0</v>
      </c>
      <c r="EU273" s="407">
        <v>0</v>
      </c>
      <c r="EV273" s="407">
        <v>246</v>
      </c>
      <c r="EW273" s="407">
        <v>0</v>
      </c>
      <c r="EX273" s="407">
        <v>0</v>
      </c>
      <c r="EY273" s="407">
        <v>0</v>
      </c>
      <c r="EZ273" s="407"/>
      <c r="FA273" s="407">
        <v>0</v>
      </c>
      <c r="FB273" s="407"/>
      <c r="FC273" s="407"/>
      <c r="FD273" s="407"/>
      <c r="FE273" s="407"/>
      <c r="FF273" s="407">
        <v>0</v>
      </c>
      <c r="FG273" s="407">
        <v>0</v>
      </c>
      <c r="FH273" s="407">
        <v>0</v>
      </c>
      <c r="FI273" s="407">
        <v>0</v>
      </c>
    </row>
    <row r="274" spans="1:165">
      <c r="A274" s="407">
        <v>289</v>
      </c>
      <c r="B274" s="407" t="s">
        <v>2308</v>
      </c>
      <c r="C274" s="407" t="s">
        <v>2306</v>
      </c>
      <c r="D274" s="407" t="s">
        <v>2315</v>
      </c>
      <c r="E274" s="407" t="s">
        <v>1026</v>
      </c>
      <c r="F274" s="407" t="s">
        <v>97</v>
      </c>
      <c r="G274" s="407" t="s">
        <v>97</v>
      </c>
      <c r="H274" s="407" t="s">
        <v>97</v>
      </c>
      <c r="I274" s="407" t="s">
        <v>97</v>
      </c>
      <c r="J274" s="407" t="s">
        <v>2307</v>
      </c>
      <c r="K274" s="818">
        <v>44501</v>
      </c>
      <c r="L274" s="407">
        <v>0</v>
      </c>
      <c r="M274" s="407">
        <v>0</v>
      </c>
      <c r="N274" s="407">
        <v>-2.036</v>
      </c>
      <c r="O274" s="407">
        <v>-2.036</v>
      </c>
      <c r="P274" s="407">
        <v>-2.036</v>
      </c>
      <c r="Q274" s="407">
        <v>-2.036</v>
      </c>
      <c r="R274" s="407"/>
      <c r="S274" s="407">
        <v>648.44000000000005</v>
      </c>
      <c r="T274" s="407">
        <v>159.41</v>
      </c>
      <c r="U274" s="407"/>
      <c r="V274" s="407">
        <v>-1644.7826</v>
      </c>
      <c r="W274" s="407">
        <v>-1644.7826</v>
      </c>
      <c r="X274" s="407">
        <v>-1245.66552</v>
      </c>
      <c r="Y274" s="407">
        <v>0</v>
      </c>
      <c r="Z274" s="407">
        <v>-126.17143028269365</v>
      </c>
      <c r="AA274" s="407">
        <v>0</v>
      </c>
      <c r="AB274" s="407">
        <v>0</v>
      </c>
      <c r="AC274" s="407">
        <v>0</v>
      </c>
      <c r="AD274" s="407">
        <v>-237.48805176746097</v>
      </c>
      <c r="AE274" s="407">
        <v>-850.12363724248883</v>
      </c>
      <c r="AF274" s="407">
        <v>-314.01373922788991</v>
      </c>
      <c r="AG274" s="407">
        <v>-10.550037376793407</v>
      </c>
      <c r="AH274" s="407">
        <v>0</v>
      </c>
      <c r="AI274" s="407">
        <v>0</v>
      </c>
      <c r="AJ274" s="407">
        <v>0</v>
      </c>
      <c r="AK274" s="407">
        <v>0</v>
      </c>
      <c r="AL274" s="407">
        <v>-19.496848694110977</v>
      </c>
      <c r="AM274" s="407"/>
      <c r="AN274" s="407">
        <v>-4.2248947240139403</v>
      </c>
      <c r="AO274" s="407">
        <v>0</v>
      </c>
      <c r="AP274" s="407">
        <v>0</v>
      </c>
      <c r="AQ274" s="407">
        <v>0</v>
      </c>
      <c r="AR274" s="407">
        <v>0</v>
      </c>
      <c r="AS274" s="407">
        <v>0</v>
      </c>
      <c r="AT274" s="407">
        <v>0</v>
      </c>
      <c r="AU274" s="407">
        <v>0</v>
      </c>
      <c r="AV274" s="407">
        <v>0</v>
      </c>
      <c r="AW274" s="407">
        <v>0</v>
      </c>
      <c r="AX274" s="407">
        <v>0</v>
      </c>
      <c r="AY274" s="407">
        <v>0</v>
      </c>
      <c r="AZ274" s="407">
        <v>0</v>
      </c>
      <c r="BA274" s="407"/>
      <c r="BB274" s="407">
        <v>0</v>
      </c>
      <c r="BC274" s="407">
        <v>0</v>
      </c>
      <c r="BD274" s="407">
        <v>0</v>
      </c>
      <c r="BE274" s="407">
        <v>0</v>
      </c>
      <c r="BF274" s="407">
        <v>0</v>
      </c>
      <c r="BG274" s="407">
        <v>-22.953401617264433</v>
      </c>
      <c r="BH274" s="407">
        <v>0</v>
      </c>
      <c r="BI274" s="407">
        <v>-5.96</v>
      </c>
      <c r="BJ274" s="407">
        <v>-26.46</v>
      </c>
      <c r="BK274" s="407">
        <v>-47.43</v>
      </c>
      <c r="BL274" s="407">
        <v>0</v>
      </c>
      <c r="BM274" s="407"/>
      <c r="BN274" s="407"/>
      <c r="BO274" s="407"/>
      <c r="BP274" s="407"/>
      <c r="BQ274" s="407"/>
      <c r="BR274" s="407">
        <v>-149.48312000000004</v>
      </c>
      <c r="BS274" s="407"/>
      <c r="BT274" s="407"/>
      <c r="BU274" s="407"/>
      <c r="BV274" s="407">
        <v>-336.96714084515435</v>
      </c>
      <c r="BW274" s="407"/>
      <c r="BX274" s="407"/>
      <c r="BY274" s="407"/>
      <c r="BZ274" s="407"/>
      <c r="CA274" s="407"/>
      <c r="CB274" s="407"/>
      <c r="CC274" s="407"/>
      <c r="CD274" s="407"/>
      <c r="CE274" s="407"/>
      <c r="CF274" s="407"/>
      <c r="CG274" s="407"/>
      <c r="CH274" s="407"/>
      <c r="CI274" s="407">
        <v>-1098.336</v>
      </c>
      <c r="CJ274" s="407">
        <v>349.04675999999995</v>
      </c>
      <c r="CK274" s="407"/>
      <c r="CL274" s="407"/>
      <c r="CM274" s="407"/>
      <c r="CN274" s="407"/>
      <c r="CO274" s="407">
        <v>455.04600000000011</v>
      </c>
      <c r="CP274" s="407">
        <v>-55.928919999999998</v>
      </c>
      <c r="CQ274" s="407">
        <v>30</v>
      </c>
      <c r="CR274" s="407">
        <v>-35.129180679880619</v>
      </c>
      <c r="CS274" s="407">
        <v>0</v>
      </c>
      <c r="CT274" s="407">
        <v>0</v>
      </c>
      <c r="CU274" s="407">
        <v>0</v>
      </c>
      <c r="CV274" s="407">
        <v>0</v>
      </c>
      <c r="CW274" s="407">
        <v>0</v>
      </c>
      <c r="CX274" s="407">
        <v>0</v>
      </c>
      <c r="CY274" s="407">
        <v>0</v>
      </c>
      <c r="CZ274" s="407">
        <v>-10.727806192028311</v>
      </c>
      <c r="DA274" s="407">
        <v>0</v>
      </c>
      <c r="DB274" s="407">
        <v>0</v>
      </c>
      <c r="DC274" s="407">
        <v>-62.260444596788489</v>
      </c>
      <c r="DD274" s="407">
        <v>0</v>
      </c>
      <c r="DE274" s="407">
        <v>0</v>
      </c>
      <c r="DF274" s="407">
        <v>0</v>
      </c>
      <c r="DG274" s="407">
        <v>-4.5510396876691992</v>
      </c>
      <c r="DH274" s="407">
        <v>0</v>
      </c>
      <c r="DI274" s="407">
        <v>8.8372958812620084</v>
      </c>
      <c r="DJ274" s="407"/>
      <c r="DK274" s="407">
        <v>0</v>
      </c>
      <c r="DL274" s="407">
        <v>0</v>
      </c>
      <c r="DM274" s="407">
        <v>0</v>
      </c>
      <c r="DN274" s="407">
        <v>0</v>
      </c>
      <c r="DO274" s="407">
        <v>1.1895295843355456</v>
      </c>
      <c r="DP274" s="407">
        <v>0.26920009206081197</v>
      </c>
      <c r="DQ274" s="407">
        <v>0</v>
      </c>
      <c r="DR274" s="407">
        <v>32.11408423894715</v>
      </c>
      <c r="DS274" s="407"/>
      <c r="DT274" s="407"/>
      <c r="DU274" s="407"/>
      <c r="DV274" s="407">
        <v>-850.12363724248883</v>
      </c>
      <c r="DW274" s="407">
        <v>0</v>
      </c>
      <c r="DX274" s="407">
        <v>0</v>
      </c>
      <c r="DY274" s="407">
        <v>455.04600000000005</v>
      </c>
      <c r="DZ274" s="407">
        <v>-55.928920000000005</v>
      </c>
      <c r="EA274" s="407">
        <v>0</v>
      </c>
      <c r="EB274" s="407">
        <v>0</v>
      </c>
      <c r="EC274" s="407">
        <v>434.24512842047795</v>
      </c>
      <c r="ED274" s="407">
        <v>0</v>
      </c>
      <c r="EE274" s="407">
        <v>0</v>
      </c>
      <c r="EF274" s="407">
        <v>0</v>
      </c>
      <c r="EG274" s="407">
        <v>0</v>
      </c>
      <c r="EH274" s="407">
        <v>0</v>
      </c>
      <c r="EI274" s="407">
        <v>0</v>
      </c>
      <c r="EJ274" s="407">
        <v>0</v>
      </c>
      <c r="EK274" s="407">
        <v>0</v>
      </c>
      <c r="EL274" s="407">
        <v>0</v>
      </c>
      <c r="EM274" s="407">
        <v>0</v>
      </c>
      <c r="EN274" s="407">
        <v>0</v>
      </c>
      <c r="EO274" s="407">
        <v>0</v>
      </c>
      <c r="EP274" s="407">
        <v>-59.76515063120879</v>
      </c>
      <c r="EQ274" s="407">
        <v>0</v>
      </c>
      <c r="ER274" s="407">
        <v>0</v>
      </c>
      <c r="ES274" s="407">
        <v>0</v>
      </c>
      <c r="ET274" s="407">
        <v>0</v>
      </c>
      <c r="EU274" s="407">
        <v>0</v>
      </c>
      <c r="EV274" s="407">
        <v>246</v>
      </c>
      <c r="EW274" s="407">
        <v>0</v>
      </c>
      <c r="EX274" s="407">
        <v>0</v>
      </c>
      <c r="EY274" s="407">
        <v>0</v>
      </c>
      <c r="EZ274" s="407"/>
      <c r="FA274" s="407">
        <v>0</v>
      </c>
      <c r="FB274" s="407"/>
      <c r="FC274" s="407"/>
      <c r="FD274" s="407"/>
      <c r="FE274" s="407"/>
      <c r="FF274" s="407">
        <v>0</v>
      </c>
      <c r="FG274" s="407">
        <v>0</v>
      </c>
      <c r="FH274" s="407">
        <v>0</v>
      </c>
      <c r="FI274" s="407">
        <v>0</v>
      </c>
    </row>
    <row r="275" spans="1:165">
      <c r="A275" s="407">
        <v>290</v>
      </c>
      <c r="B275" s="407" t="s">
        <v>2309</v>
      </c>
      <c r="C275" s="407" t="s">
        <v>2306</v>
      </c>
      <c r="D275" s="407" t="s">
        <v>2315</v>
      </c>
      <c r="E275" s="407" t="s">
        <v>1026</v>
      </c>
      <c r="F275" s="407" t="s">
        <v>97</v>
      </c>
      <c r="G275" s="407" t="s">
        <v>97</v>
      </c>
      <c r="H275" s="407" t="s">
        <v>97</v>
      </c>
      <c r="I275" s="407" t="s">
        <v>97</v>
      </c>
      <c r="J275" s="407" t="s">
        <v>2307</v>
      </c>
      <c r="K275" s="818">
        <v>44501</v>
      </c>
      <c r="L275" s="407">
        <v>0</v>
      </c>
      <c r="M275" s="407">
        <v>0</v>
      </c>
      <c r="N275" s="407">
        <v>48.057000000000002</v>
      </c>
      <c r="O275" s="407">
        <v>48.057000000000002</v>
      </c>
      <c r="P275" s="407">
        <v>48.057000000000002</v>
      </c>
      <c r="Q275" s="407">
        <v>48.057000000000002</v>
      </c>
      <c r="R275" s="407"/>
      <c r="S275" s="407">
        <v>648.44000000000005</v>
      </c>
      <c r="T275" s="407">
        <v>159.41</v>
      </c>
      <c r="U275" s="407"/>
      <c r="V275" s="407">
        <v>38822.847450000001</v>
      </c>
      <c r="W275" s="407">
        <v>38822.847450000001</v>
      </c>
      <c r="X275" s="407">
        <v>29402.23374</v>
      </c>
      <c r="Y275" s="407">
        <v>0</v>
      </c>
      <c r="Z275" s="407">
        <v>2978.1043345262324</v>
      </c>
      <c r="AA275" s="407">
        <v>0</v>
      </c>
      <c r="AB275" s="407">
        <v>0</v>
      </c>
      <c r="AC275" s="407">
        <v>0</v>
      </c>
      <c r="AD275" s="407">
        <v>5605.5811904660477</v>
      </c>
      <c r="AE275" s="407">
        <v>20066.007679254562</v>
      </c>
      <c r="AF275" s="407">
        <v>7411.8655530818787</v>
      </c>
      <c r="AG275" s="407">
        <v>249.01922702188642</v>
      </c>
      <c r="AH275" s="407">
        <v>0</v>
      </c>
      <c r="AI275" s="407">
        <v>0</v>
      </c>
      <c r="AJ275" s="407">
        <v>0</v>
      </c>
      <c r="AK275" s="407">
        <v>0</v>
      </c>
      <c r="AL275" s="407">
        <v>460.19649199061462</v>
      </c>
      <c r="AM275" s="407"/>
      <c r="AN275" s="407">
        <v>99.722871194468539</v>
      </c>
      <c r="AO275" s="407">
        <v>0</v>
      </c>
      <c r="AP275" s="407">
        <v>0</v>
      </c>
      <c r="AQ275" s="407">
        <v>0</v>
      </c>
      <c r="AR275" s="407">
        <v>0</v>
      </c>
      <c r="AS275" s="407">
        <v>0</v>
      </c>
      <c r="AT275" s="407">
        <v>0</v>
      </c>
      <c r="AU275" s="407">
        <v>0</v>
      </c>
      <c r="AV275" s="407">
        <v>0</v>
      </c>
      <c r="AW275" s="407">
        <v>0</v>
      </c>
      <c r="AX275" s="407">
        <v>0</v>
      </c>
      <c r="AY275" s="407">
        <v>0</v>
      </c>
      <c r="AZ275" s="407">
        <v>0</v>
      </c>
      <c r="BA275" s="407"/>
      <c r="BB275" s="407">
        <v>0</v>
      </c>
      <c r="BC275" s="407">
        <v>0</v>
      </c>
      <c r="BD275" s="407">
        <v>0</v>
      </c>
      <c r="BE275" s="407">
        <v>0</v>
      </c>
      <c r="BF275" s="407">
        <v>0</v>
      </c>
      <c r="BG275" s="407">
        <v>541.78370408687465</v>
      </c>
      <c r="BH275" s="407">
        <v>0</v>
      </c>
      <c r="BI275" s="407">
        <v>170.79</v>
      </c>
      <c r="BJ275" s="407">
        <v>771.44</v>
      </c>
      <c r="BK275" s="407">
        <v>4273</v>
      </c>
      <c r="BL275" s="407">
        <v>309</v>
      </c>
      <c r="BM275" s="407"/>
      <c r="BN275" s="407"/>
      <c r="BO275" s="407"/>
      <c r="BP275" s="407"/>
      <c r="BQ275" s="407"/>
      <c r="BR275" s="407">
        <v>3528.3449400000009</v>
      </c>
      <c r="BS275" s="407"/>
      <c r="BT275" s="407"/>
      <c r="BU275" s="407"/>
      <c r="BV275" s="407">
        <v>7953.6492571687531</v>
      </c>
      <c r="BW275" s="407"/>
      <c r="BX275" s="407"/>
      <c r="BY275" s="407"/>
      <c r="BZ275" s="407"/>
      <c r="CA275" s="407"/>
      <c r="CB275" s="407"/>
      <c r="CC275" s="407"/>
      <c r="CD275" s="407"/>
      <c r="CE275" s="407"/>
      <c r="CF275" s="407"/>
      <c r="CG275" s="407"/>
      <c r="CH275" s="407"/>
      <c r="CI275" s="407">
        <v>25875.504000000001</v>
      </c>
      <c r="CJ275" s="407">
        <v>-8288.7278700000024</v>
      </c>
      <c r="CK275" s="407"/>
      <c r="CL275" s="407"/>
      <c r="CM275" s="407"/>
      <c r="CN275" s="407"/>
      <c r="CO275" s="407">
        <v>-10740.739500000003</v>
      </c>
      <c r="CP275" s="407">
        <v>1320.1257900000001</v>
      </c>
      <c r="CQ275" s="407">
        <v>30</v>
      </c>
      <c r="CR275" s="407">
        <v>829.17634377849754</v>
      </c>
      <c r="CS275" s="407">
        <v>0</v>
      </c>
      <c r="CT275" s="407">
        <v>0</v>
      </c>
      <c r="CU275" s="407">
        <v>0</v>
      </c>
      <c r="CV275" s="407">
        <v>0</v>
      </c>
      <c r="CW275" s="407">
        <v>0</v>
      </c>
      <c r="CX275" s="407">
        <v>0</v>
      </c>
      <c r="CY275" s="407">
        <v>0</v>
      </c>
      <c r="CZ275" s="407">
        <v>253.21521717598444</v>
      </c>
      <c r="DA275" s="407">
        <v>0</v>
      </c>
      <c r="DB275" s="407">
        <v>0</v>
      </c>
      <c r="DC275" s="407">
        <v>1469.5727829017023</v>
      </c>
      <c r="DD275" s="407">
        <v>0</v>
      </c>
      <c r="DE275" s="407">
        <v>0</v>
      </c>
      <c r="DF275" s="407">
        <v>0</v>
      </c>
      <c r="DG275" s="407">
        <v>107.42107773591295</v>
      </c>
      <c r="DH275" s="407">
        <v>0</v>
      </c>
      <c r="DI275" s="407">
        <v>-208.59230263546578</v>
      </c>
      <c r="DJ275" s="407"/>
      <c r="DK275" s="407">
        <v>0</v>
      </c>
      <c r="DL275" s="407">
        <v>0</v>
      </c>
      <c r="DM275" s="407">
        <v>0</v>
      </c>
      <c r="DN275" s="407">
        <v>0</v>
      </c>
      <c r="DO275" s="407">
        <v>-28.077221627904464</v>
      </c>
      <c r="DP275" s="407">
        <v>-6.3541006012605408</v>
      </c>
      <c r="DQ275" s="407">
        <v>0</v>
      </c>
      <c r="DR275" s="407">
        <v>-758.00910917047315</v>
      </c>
      <c r="DS275" s="407"/>
      <c r="DT275" s="407"/>
      <c r="DU275" s="407"/>
      <c r="DV275" s="407">
        <v>20066.007679254562</v>
      </c>
      <c r="DW275" s="407">
        <v>0</v>
      </c>
      <c r="DX275" s="407">
        <v>0</v>
      </c>
      <c r="DY275" s="407">
        <v>-10740.739500000003</v>
      </c>
      <c r="DZ275" s="407">
        <v>1320.1257899999991</v>
      </c>
      <c r="EA275" s="407">
        <v>0</v>
      </c>
      <c r="EB275" s="407">
        <v>0</v>
      </c>
      <c r="EC275" s="407">
        <v>-10249.763328341312</v>
      </c>
      <c r="ED275" s="407">
        <v>0</v>
      </c>
      <c r="EE275" s="407">
        <v>0</v>
      </c>
      <c r="EF275" s="407">
        <v>0</v>
      </c>
      <c r="EG275" s="407">
        <v>0</v>
      </c>
      <c r="EH275" s="407">
        <v>0</v>
      </c>
      <c r="EI275" s="407">
        <v>0</v>
      </c>
      <c r="EJ275" s="407">
        <v>0</v>
      </c>
      <c r="EK275" s="407">
        <v>0</v>
      </c>
      <c r="EL275" s="407">
        <v>0</v>
      </c>
      <c r="EM275" s="407">
        <v>0</v>
      </c>
      <c r="EN275" s="407">
        <v>0</v>
      </c>
      <c r="EO275" s="407">
        <v>0</v>
      </c>
      <c r="EP275" s="407">
        <v>1410.6747759744603</v>
      </c>
      <c r="EQ275" s="407">
        <v>0</v>
      </c>
      <c r="ER275" s="407">
        <v>0</v>
      </c>
      <c r="ES275" s="407">
        <v>0</v>
      </c>
      <c r="ET275" s="407">
        <v>0</v>
      </c>
      <c r="EU275" s="407">
        <v>0</v>
      </c>
      <c r="EV275" s="407">
        <v>246</v>
      </c>
      <c r="EW275" s="407">
        <v>0</v>
      </c>
      <c r="EX275" s="407">
        <v>0</v>
      </c>
      <c r="EY275" s="407">
        <v>0</v>
      </c>
      <c r="EZ275" s="407"/>
      <c r="FA275" s="407">
        <v>0</v>
      </c>
      <c r="FB275" s="407"/>
      <c r="FC275" s="407"/>
      <c r="FD275" s="407"/>
      <c r="FE275" s="407"/>
      <c r="FF275" s="407">
        <v>0</v>
      </c>
      <c r="FG275" s="407">
        <v>0</v>
      </c>
      <c r="FH275" s="407">
        <v>0</v>
      </c>
      <c r="FI275" s="407">
        <v>0</v>
      </c>
    </row>
    <row r="276" spans="1:165">
      <c r="A276" s="407">
        <v>291</v>
      </c>
      <c r="B276" s="407" t="s">
        <v>1090</v>
      </c>
      <c r="C276" s="407" t="s">
        <v>2314</v>
      </c>
      <c r="D276" s="407" t="s">
        <v>650</v>
      </c>
      <c r="E276" s="407" t="s">
        <v>1026</v>
      </c>
      <c r="F276" s="407" t="s">
        <v>97</v>
      </c>
      <c r="G276" s="407" t="s">
        <v>97</v>
      </c>
      <c r="H276" s="407" t="s">
        <v>97</v>
      </c>
      <c r="I276" s="407" t="s">
        <v>1025</v>
      </c>
      <c r="J276" s="407" t="s">
        <v>2307</v>
      </c>
      <c r="K276" s="818">
        <v>44501</v>
      </c>
      <c r="L276" s="407">
        <v>0</v>
      </c>
      <c r="M276" s="407">
        <v>0</v>
      </c>
      <c r="N276" s="407">
        <v>32.825000000000003</v>
      </c>
      <c r="O276" s="407">
        <v>31.512</v>
      </c>
      <c r="P276" s="407">
        <v>32.825000000000003</v>
      </c>
      <c r="Q276" s="407">
        <v>31.512</v>
      </c>
      <c r="R276" s="407"/>
      <c r="S276" s="407">
        <v>2810.7</v>
      </c>
      <c r="T276" s="407">
        <v>159.41</v>
      </c>
      <c r="U276" s="407"/>
      <c r="V276" s="407">
        <v>97493.860750000007</v>
      </c>
      <c r="W276" s="407">
        <v>97493.860750000007</v>
      </c>
      <c r="X276" s="407">
        <v>62094.724250000007</v>
      </c>
      <c r="Y276" s="407">
        <v>0</v>
      </c>
      <c r="Z276" s="407">
        <v>1769.7309249290729</v>
      </c>
      <c r="AA276" s="407">
        <v>0</v>
      </c>
      <c r="AB276" s="407">
        <v>0</v>
      </c>
      <c r="AC276" s="407">
        <v>0</v>
      </c>
      <c r="AD276" s="407">
        <v>20040.174352917871</v>
      </c>
      <c r="AE276" s="407">
        <v>69092.978276784779</v>
      </c>
      <c r="AF276" s="407">
        <v>5062.6232761078027</v>
      </c>
      <c r="AG276" s="407">
        <v>170.09085309098407</v>
      </c>
      <c r="AH276" s="407">
        <v>0</v>
      </c>
      <c r="AI276" s="407">
        <v>0</v>
      </c>
      <c r="AJ276" s="407">
        <v>0</v>
      </c>
      <c r="AK276" s="407">
        <v>0</v>
      </c>
      <c r="AL276" s="407">
        <v>314.33401688811045</v>
      </c>
      <c r="AM276" s="407"/>
      <c r="AN276" s="407">
        <v>35.245298323592465</v>
      </c>
      <c r="AO276" s="407">
        <v>0</v>
      </c>
      <c r="AP276" s="407">
        <v>0</v>
      </c>
      <c r="AQ276" s="407">
        <v>0</v>
      </c>
      <c r="AR276" s="407">
        <v>0</v>
      </c>
      <c r="AS276" s="407">
        <v>0</v>
      </c>
      <c r="AT276" s="407">
        <v>0</v>
      </c>
      <c r="AU276" s="407">
        <v>0</v>
      </c>
      <c r="AV276" s="407">
        <v>0</v>
      </c>
      <c r="AW276" s="407">
        <v>0</v>
      </c>
      <c r="AX276" s="407">
        <v>0</v>
      </c>
      <c r="AY276" s="407">
        <v>0</v>
      </c>
      <c r="AZ276" s="407">
        <v>0</v>
      </c>
      <c r="BA276" s="407"/>
      <c r="BB276" s="407">
        <v>0</v>
      </c>
      <c r="BC276" s="407">
        <v>0</v>
      </c>
      <c r="BD276" s="407">
        <v>0</v>
      </c>
      <c r="BE276" s="407">
        <v>0</v>
      </c>
      <c r="BF276" s="407">
        <v>0</v>
      </c>
      <c r="BG276" s="407">
        <v>170.35762583219994</v>
      </c>
      <c r="BH276" s="407">
        <v>0</v>
      </c>
      <c r="BI276" s="407">
        <v>0</v>
      </c>
      <c r="BJ276" s="407">
        <v>0</v>
      </c>
      <c r="BK276" s="407">
        <v>0</v>
      </c>
      <c r="BL276" s="407">
        <v>0</v>
      </c>
      <c r="BM276" s="407"/>
      <c r="BN276" s="407"/>
      <c r="BO276" s="407"/>
      <c r="BP276" s="407"/>
      <c r="BQ276" s="407"/>
      <c r="BR276" s="407">
        <v>2483.7889700000042</v>
      </c>
      <c r="BS276" s="407"/>
      <c r="BT276" s="407"/>
      <c r="BU276" s="407"/>
      <c r="BV276" s="407">
        <v>5232.9809019400027</v>
      </c>
      <c r="BW276" s="407"/>
      <c r="BX276" s="407"/>
      <c r="BY276" s="407"/>
      <c r="BZ276" s="407"/>
      <c r="CA276" s="407"/>
      <c r="CB276" s="407"/>
      <c r="CC276" s="407"/>
      <c r="CD276" s="407"/>
      <c r="CE276" s="407"/>
      <c r="CF276" s="407"/>
      <c r="CG276" s="407"/>
      <c r="CH276" s="407"/>
      <c r="CI276" s="407">
        <v>59607.151899999997</v>
      </c>
      <c r="CJ276" s="407">
        <v>-33986.984419999979</v>
      </c>
      <c r="CK276" s="407"/>
      <c r="CL276" s="407"/>
      <c r="CM276" s="407"/>
      <c r="CN276" s="407"/>
      <c r="CO276" s="407">
        <v>-36300.839249999997</v>
      </c>
      <c r="CP276" s="407">
        <v>901.70275000000004</v>
      </c>
      <c r="CQ276" s="407">
        <v>30</v>
      </c>
      <c r="CR276" s="407">
        <v>-106.10999635894404</v>
      </c>
      <c r="CS276" s="407">
        <v>0</v>
      </c>
      <c r="CT276" s="407">
        <v>0</v>
      </c>
      <c r="CU276" s="407">
        <v>0</v>
      </c>
      <c r="CV276" s="407">
        <v>0</v>
      </c>
      <c r="CW276" s="407">
        <v>0</v>
      </c>
      <c r="CX276" s="407">
        <v>0</v>
      </c>
      <c r="CY276" s="407">
        <v>0</v>
      </c>
      <c r="CZ276" s="407">
        <v>905.25441138009046</v>
      </c>
      <c r="DA276" s="407">
        <v>0</v>
      </c>
      <c r="DB276" s="407">
        <v>0</v>
      </c>
      <c r="DC276" s="407">
        <v>1003.7814802994017</v>
      </c>
      <c r="DD276" s="407">
        <v>0</v>
      </c>
      <c r="DE276" s="407">
        <v>0</v>
      </c>
      <c r="DF276" s="407">
        <v>0</v>
      </c>
      <c r="DG276" s="407">
        <v>33.777316721382761</v>
      </c>
      <c r="DH276" s="407">
        <v>0</v>
      </c>
      <c r="DI276" s="407">
        <v>-123.95544521272677</v>
      </c>
      <c r="DJ276" s="407"/>
      <c r="DK276" s="407">
        <v>0</v>
      </c>
      <c r="DL276" s="407">
        <v>0</v>
      </c>
      <c r="DM276" s="407">
        <v>0</v>
      </c>
      <c r="DN276" s="407">
        <v>0</v>
      </c>
      <c r="DO276" s="407">
        <v>-19.177951181637695</v>
      </c>
      <c r="DP276" s="407">
        <v>-2.2457453198755601</v>
      </c>
      <c r="DQ276" s="407">
        <v>0</v>
      </c>
      <c r="DR276" s="407">
        <v>-1903.5440630455766</v>
      </c>
      <c r="DS276" s="407"/>
      <c r="DT276" s="407"/>
      <c r="DU276" s="407"/>
      <c r="DV276" s="407">
        <v>69092.978276784779</v>
      </c>
      <c r="DW276" s="407">
        <v>0</v>
      </c>
      <c r="DX276" s="407">
        <v>0</v>
      </c>
      <c r="DY276" s="407">
        <v>-36300.839250000005</v>
      </c>
      <c r="DZ276" s="407">
        <v>901.70274999999947</v>
      </c>
      <c r="EA276" s="407">
        <v>0</v>
      </c>
      <c r="EB276" s="407">
        <v>0</v>
      </c>
      <c r="EC276" s="407">
        <v>-35292.853780746496</v>
      </c>
      <c r="ED276" s="407">
        <v>0</v>
      </c>
      <c r="EE276" s="407">
        <v>0</v>
      </c>
      <c r="EF276" s="407">
        <v>0</v>
      </c>
      <c r="EG276" s="407">
        <v>0</v>
      </c>
      <c r="EH276" s="407">
        <v>0</v>
      </c>
      <c r="EI276" s="407">
        <v>0</v>
      </c>
      <c r="EJ276" s="407">
        <v>0</v>
      </c>
      <c r="EK276" s="407">
        <v>0</v>
      </c>
      <c r="EL276" s="407">
        <v>0</v>
      </c>
      <c r="EM276" s="407">
        <v>0</v>
      </c>
      <c r="EN276" s="407">
        <v>0</v>
      </c>
      <c r="EO276" s="407">
        <v>0</v>
      </c>
      <c r="EP276" s="407">
        <v>838.28989707190681</v>
      </c>
      <c r="EQ276" s="407">
        <v>0</v>
      </c>
      <c r="ER276" s="407">
        <v>0</v>
      </c>
      <c r="ES276" s="407">
        <v>0</v>
      </c>
      <c r="ET276" s="407">
        <v>0</v>
      </c>
      <c r="EU276" s="407">
        <v>0</v>
      </c>
      <c r="EV276" s="407">
        <v>246</v>
      </c>
      <c r="EW276" s="407">
        <v>0</v>
      </c>
      <c r="EX276" s="407">
        <v>0</v>
      </c>
      <c r="EY276" s="407">
        <v>0</v>
      </c>
      <c r="EZ276" s="407"/>
      <c r="FA276" s="407">
        <v>0</v>
      </c>
      <c r="FB276" s="407"/>
      <c r="FC276" s="407"/>
      <c r="FD276" s="407"/>
      <c r="FE276" s="407"/>
      <c r="FF276" s="407">
        <v>0</v>
      </c>
      <c r="FG276" s="407">
        <v>0</v>
      </c>
      <c r="FH276" s="407">
        <v>0</v>
      </c>
      <c r="FI276" s="407">
        <v>0</v>
      </c>
    </row>
    <row r="277" spans="1:165">
      <c r="A277" s="407">
        <v>292</v>
      </c>
      <c r="B277" s="407" t="s">
        <v>2309</v>
      </c>
      <c r="C277" s="407" t="s">
        <v>2314</v>
      </c>
      <c r="D277" s="407" t="s">
        <v>650</v>
      </c>
      <c r="E277" s="407" t="s">
        <v>1026</v>
      </c>
      <c r="F277" s="407" t="s">
        <v>97</v>
      </c>
      <c r="G277" s="407" t="s">
        <v>97</v>
      </c>
      <c r="H277" s="407" t="s">
        <v>97</v>
      </c>
      <c r="I277" s="407" t="s">
        <v>1025</v>
      </c>
      <c r="J277" s="407" t="s">
        <v>2307</v>
      </c>
      <c r="K277" s="818">
        <v>44501</v>
      </c>
      <c r="L277" s="407">
        <v>0</v>
      </c>
      <c r="M277" s="407">
        <v>0</v>
      </c>
      <c r="N277" s="407">
        <v>2.1840000000000002</v>
      </c>
      <c r="O277" s="407">
        <v>2.0966399999999998</v>
      </c>
      <c r="P277" s="407">
        <v>2.1840000000000002</v>
      </c>
      <c r="Q277" s="407">
        <v>2.0966399999999998</v>
      </c>
      <c r="R277" s="407"/>
      <c r="S277" s="407">
        <v>2810.7</v>
      </c>
      <c r="T277" s="407">
        <v>159.41</v>
      </c>
      <c r="U277" s="407"/>
      <c r="V277" s="407">
        <v>6486.7202399999996</v>
      </c>
      <c r="W277" s="407">
        <v>6486.7202399999996</v>
      </c>
      <c r="X277" s="407">
        <v>4131.4509600000001</v>
      </c>
      <c r="Y277" s="407">
        <v>0</v>
      </c>
      <c r="Z277" s="407">
        <v>117.74843381706307</v>
      </c>
      <c r="AA277" s="407">
        <v>0</v>
      </c>
      <c r="AB277" s="407">
        <v>0</v>
      </c>
      <c r="AC277" s="407">
        <v>0</v>
      </c>
      <c r="AD277" s="407">
        <v>1333.3660559565158</v>
      </c>
      <c r="AE277" s="407">
        <v>4597.0773665345914</v>
      </c>
      <c r="AF277" s="407">
        <v>336.83988530143006</v>
      </c>
      <c r="AG277" s="407">
        <v>11.316935968033793</v>
      </c>
      <c r="AH277" s="407">
        <v>0</v>
      </c>
      <c r="AI277" s="407">
        <v>0</v>
      </c>
      <c r="AJ277" s="407">
        <v>0</v>
      </c>
      <c r="AK277" s="407">
        <v>0</v>
      </c>
      <c r="AL277" s="407">
        <v>20.914104886020816</v>
      </c>
      <c r="AM277" s="407"/>
      <c r="AN277" s="407">
        <v>2.3450337102429839</v>
      </c>
      <c r="AO277" s="407">
        <v>0</v>
      </c>
      <c r="AP277" s="407">
        <v>0</v>
      </c>
      <c r="AQ277" s="407">
        <v>0</v>
      </c>
      <c r="AR277" s="407">
        <v>0</v>
      </c>
      <c r="AS277" s="407">
        <v>0</v>
      </c>
      <c r="AT277" s="407">
        <v>0</v>
      </c>
      <c r="AU277" s="407">
        <v>0</v>
      </c>
      <c r="AV277" s="407">
        <v>0</v>
      </c>
      <c r="AW277" s="407">
        <v>0</v>
      </c>
      <c r="AX277" s="407">
        <v>0</v>
      </c>
      <c r="AY277" s="407">
        <v>0</v>
      </c>
      <c r="AZ277" s="407">
        <v>0</v>
      </c>
      <c r="BA277" s="407"/>
      <c r="BB277" s="407">
        <v>0</v>
      </c>
      <c r="BC277" s="407">
        <v>0</v>
      </c>
      <c r="BD277" s="407">
        <v>0</v>
      </c>
      <c r="BE277" s="407">
        <v>0</v>
      </c>
      <c r="BF277" s="407">
        <v>0</v>
      </c>
      <c r="BG277" s="407">
        <v>11.33468559992459</v>
      </c>
      <c r="BH277" s="407">
        <v>0</v>
      </c>
      <c r="BI277" s="407">
        <v>0</v>
      </c>
      <c r="BJ277" s="407">
        <v>0</v>
      </c>
      <c r="BK277" s="407">
        <v>0</v>
      </c>
      <c r="BL277" s="407">
        <v>0</v>
      </c>
      <c r="BM277" s="407"/>
      <c r="BN277" s="407"/>
      <c r="BO277" s="407"/>
      <c r="BP277" s="407"/>
      <c r="BQ277" s="407"/>
      <c r="BR277" s="407">
        <v>165.2580384000006</v>
      </c>
      <c r="BS277" s="407"/>
      <c r="BT277" s="407"/>
      <c r="BU277" s="407"/>
      <c r="BV277" s="407">
        <v>348.17457090135463</v>
      </c>
      <c r="BW277" s="407"/>
      <c r="BX277" s="407"/>
      <c r="BY277" s="407"/>
      <c r="BZ277" s="407"/>
      <c r="CA277" s="407"/>
      <c r="CB277" s="407"/>
      <c r="CC277" s="407"/>
      <c r="CD277" s="407"/>
      <c r="CE277" s="407"/>
      <c r="CF277" s="407"/>
      <c r="CG277" s="407"/>
      <c r="CH277" s="407"/>
      <c r="CI277" s="407">
        <v>3972.549</v>
      </c>
      <c r="CJ277" s="407">
        <v>-2254.7324303999994</v>
      </c>
      <c r="CK277" s="407"/>
      <c r="CL277" s="407"/>
      <c r="CM277" s="407"/>
      <c r="CN277" s="407"/>
      <c r="CO277" s="407">
        <v>-2415.2637599999998</v>
      </c>
      <c r="CP277" s="407">
        <v>59.994480000000003</v>
      </c>
      <c r="CQ277" s="407">
        <v>30</v>
      </c>
      <c r="CR277" s="407">
        <v>-7.0599918369512125</v>
      </c>
      <c r="CS277" s="407">
        <v>0</v>
      </c>
      <c r="CT277" s="407">
        <v>0</v>
      </c>
      <c r="CU277" s="407">
        <v>0</v>
      </c>
      <c r="CV277" s="407">
        <v>0</v>
      </c>
      <c r="CW277" s="407">
        <v>0</v>
      </c>
      <c r="CX277" s="407">
        <v>0</v>
      </c>
      <c r="CY277" s="407">
        <v>0</v>
      </c>
      <c r="CZ277" s="407">
        <v>60.230788559150596</v>
      </c>
      <c r="DA277" s="407">
        <v>0</v>
      </c>
      <c r="DB277" s="407">
        <v>0</v>
      </c>
      <c r="DC277" s="407">
        <v>66.786252946653235</v>
      </c>
      <c r="DD277" s="407">
        <v>0</v>
      </c>
      <c r="DE277" s="407">
        <v>0</v>
      </c>
      <c r="DF277" s="407">
        <v>0</v>
      </c>
      <c r="DG277" s="407">
        <v>2.2473620630464577</v>
      </c>
      <c r="DH277" s="407">
        <v>0</v>
      </c>
      <c r="DI277" s="407">
        <v>-8.247332592371535</v>
      </c>
      <c r="DJ277" s="407"/>
      <c r="DK277" s="407">
        <v>0</v>
      </c>
      <c r="DL277" s="407">
        <v>0</v>
      </c>
      <c r="DM277" s="407">
        <v>0</v>
      </c>
      <c r="DN277" s="407">
        <v>0</v>
      </c>
      <c r="DO277" s="407">
        <v>-1.2759983360455962</v>
      </c>
      <c r="DP277" s="407">
        <v>-0.14941988662934413</v>
      </c>
      <c r="DQ277" s="407">
        <v>0</v>
      </c>
      <c r="DR277" s="407">
        <v>-126.65164459075518</v>
      </c>
      <c r="DS277" s="407"/>
      <c r="DT277" s="407"/>
      <c r="DU277" s="407"/>
      <c r="DV277" s="407">
        <v>4597.0773665345914</v>
      </c>
      <c r="DW277" s="407">
        <v>0</v>
      </c>
      <c r="DX277" s="407">
        <v>0</v>
      </c>
      <c r="DY277" s="407">
        <v>-2415.2637599999998</v>
      </c>
      <c r="DZ277" s="407">
        <v>59.99448000000001</v>
      </c>
      <c r="EA277" s="407">
        <v>0</v>
      </c>
      <c r="EB277" s="407">
        <v>0</v>
      </c>
      <c r="EC277" s="407">
        <v>-2348.1977961051139</v>
      </c>
      <c r="ED277" s="407">
        <v>0</v>
      </c>
      <c r="EE277" s="407">
        <v>0</v>
      </c>
      <c r="EF277" s="407">
        <v>0</v>
      </c>
      <c r="EG277" s="407">
        <v>0</v>
      </c>
      <c r="EH277" s="407">
        <v>0</v>
      </c>
      <c r="EI277" s="407">
        <v>0</v>
      </c>
      <c r="EJ277" s="407">
        <v>0</v>
      </c>
      <c r="EK277" s="407">
        <v>0</v>
      </c>
      <c r="EL277" s="407">
        <v>0</v>
      </c>
      <c r="EM277" s="407">
        <v>0</v>
      </c>
      <c r="EN277" s="407">
        <v>0</v>
      </c>
      <c r="EO277" s="407">
        <v>0</v>
      </c>
      <c r="EP277" s="407">
        <v>55.775327805180332</v>
      </c>
      <c r="EQ277" s="407">
        <v>0</v>
      </c>
      <c r="ER277" s="407">
        <v>0</v>
      </c>
      <c r="ES277" s="407">
        <v>0</v>
      </c>
      <c r="ET277" s="407">
        <v>0</v>
      </c>
      <c r="EU277" s="407">
        <v>0</v>
      </c>
      <c r="EV277" s="407">
        <v>246</v>
      </c>
      <c r="EW277" s="407">
        <v>0</v>
      </c>
      <c r="EX277" s="407">
        <v>0</v>
      </c>
      <c r="EY277" s="407">
        <v>0</v>
      </c>
      <c r="EZ277" s="407"/>
      <c r="FA277" s="407">
        <v>0</v>
      </c>
      <c r="FB277" s="407"/>
      <c r="FC277" s="407"/>
      <c r="FD277" s="407"/>
      <c r="FE277" s="407"/>
      <c r="FF277" s="407">
        <v>0</v>
      </c>
      <c r="FG277" s="407">
        <v>0</v>
      </c>
      <c r="FH277" s="407">
        <v>0</v>
      </c>
      <c r="FI277" s="407">
        <v>0</v>
      </c>
    </row>
    <row r="278" spans="1:165">
      <c r="A278" s="407">
        <v>293</v>
      </c>
      <c r="B278" s="407" t="s">
        <v>1090</v>
      </c>
      <c r="C278" s="407" t="s">
        <v>2314</v>
      </c>
      <c r="D278" s="407" t="s">
        <v>650</v>
      </c>
      <c r="E278" s="407" t="s">
        <v>1026</v>
      </c>
      <c r="F278" s="407" t="s">
        <v>97</v>
      </c>
      <c r="G278" s="407" t="s">
        <v>97</v>
      </c>
      <c r="H278" s="407" t="s">
        <v>97</v>
      </c>
      <c r="I278" s="407" t="s">
        <v>2290</v>
      </c>
      <c r="J278" s="407" t="s">
        <v>2307</v>
      </c>
      <c r="K278" s="818">
        <v>44501</v>
      </c>
      <c r="L278" s="407">
        <v>0</v>
      </c>
      <c r="M278" s="407">
        <v>0</v>
      </c>
      <c r="N278" s="407">
        <v>725.73</v>
      </c>
      <c r="O278" s="407">
        <v>696.70079999999996</v>
      </c>
      <c r="P278" s="407">
        <v>725.73</v>
      </c>
      <c r="Q278" s="407">
        <v>696.70079999999996</v>
      </c>
      <c r="R278" s="407"/>
      <c r="S278" s="407">
        <v>95.29</v>
      </c>
      <c r="T278" s="407">
        <v>159.41</v>
      </c>
      <c r="U278" s="407"/>
      <c r="V278" s="407">
        <v>184843.43100000001</v>
      </c>
      <c r="W278" s="407">
        <v>184843.43100000001</v>
      </c>
      <c r="X278" s="407">
        <v>200961.89430000001</v>
      </c>
      <c r="Y278" s="407">
        <v>0</v>
      </c>
      <c r="Z278" s="407">
        <v>39127.09289105182</v>
      </c>
      <c r="AA278" s="407">
        <v>0</v>
      </c>
      <c r="AB278" s="407">
        <v>0</v>
      </c>
      <c r="AC278" s="407">
        <v>0</v>
      </c>
      <c r="AD278" s="407">
        <v>0</v>
      </c>
      <c r="AE278" s="407">
        <v>0</v>
      </c>
      <c r="AF278" s="407">
        <v>111929.85804020459</v>
      </c>
      <c r="AG278" s="407">
        <v>3760.549423114086</v>
      </c>
      <c r="AH278" s="407">
        <v>0</v>
      </c>
      <c r="AI278" s="407">
        <v>0</v>
      </c>
      <c r="AJ278" s="407">
        <v>0</v>
      </c>
      <c r="AK278" s="407">
        <v>0</v>
      </c>
      <c r="AL278" s="407">
        <v>6949.630649694087</v>
      </c>
      <c r="AM278" s="407"/>
      <c r="AN278" s="407">
        <v>779.24052863307725</v>
      </c>
      <c r="AO278" s="407">
        <v>0</v>
      </c>
      <c r="AP278" s="407">
        <v>0</v>
      </c>
      <c r="AQ278" s="407">
        <v>0</v>
      </c>
      <c r="AR278" s="407">
        <v>0</v>
      </c>
      <c r="AS278" s="407">
        <v>0</v>
      </c>
      <c r="AT278" s="407">
        <v>0</v>
      </c>
      <c r="AU278" s="407">
        <v>0</v>
      </c>
      <c r="AV278" s="407">
        <v>0</v>
      </c>
      <c r="AW278" s="407">
        <v>0</v>
      </c>
      <c r="AX278" s="407">
        <v>0</v>
      </c>
      <c r="AY278" s="407">
        <v>0</v>
      </c>
      <c r="AZ278" s="407">
        <v>0</v>
      </c>
      <c r="BA278" s="407"/>
      <c r="BB278" s="407">
        <v>0</v>
      </c>
      <c r="BC278" s="407">
        <v>0</v>
      </c>
      <c r="BD278" s="407">
        <v>0</v>
      </c>
      <c r="BE278" s="407">
        <v>0</v>
      </c>
      <c r="BF278" s="407">
        <v>0</v>
      </c>
      <c r="BG278" s="407">
        <v>3766.4475185134033</v>
      </c>
      <c r="BH278" s="407">
        <v>0</v>
      </c>
      <c r="BI278" s="407">
        <v>0</v>
      </c>
      <c r="BJ278" s="407">
        <v>0</v>
      </c>
      <c r="BK278" s="407">
        <v>0</v>
      </c>
      <c r="BL278" s="407">
        <v>0</v>
      </c>
      <c r="BM278" s="407"/>
      <c r="BN278" s="407"/>
      <c r="BO278" s="407"/>
      <c r="BP278" s="407"/>
      <c r="BQ278" s="407"/>
      <c r="BR278" s="407">
        <v>8038.4757720000161</v>
      </c>
      <c r="BS278" s="407"/>
      <c r="BT278" s="407"/>
      <c r="BU278" s="407"/>
      <c r="BV278" s="407">
        <v>115696.305558718</v>
      </c>
      <c r="BW278" s="407"/>
      <c r="BX278" s="407"/>
      <c r="BY278" s="407"/>
      <c r="BZ278" s="407"/>
      <c r="CA278" s="407"/>
      <c r="CB278" s="407"/>
      <c r="CC278" s="407"/>
      <c r="CD278" s="407"/>
      <c r="CE278" s="407"/>
      <c r="CF278" s="407"/>
      <c r="CG278" s="407"/>
      <c r="CH278" s="407"/>
      <c r="CI278" s="407">
        <v>192923.19700000001</v>
      </c>
      <c r="CJ278" s="407">
        <v>15473.473240000021</v>
      </c>
      <c r="CK278" s="407"/>
      <c r="CL278" s="407"/>
      <c r="CM278" s="407"/>
      <c r="CN278" s="407"/>
      <c r="CO278" s="407">
        <v>-3817.3398000000038</v>
      </c>
      <c r="CP278" s="407">
        <v>19935.803100000001</v>
      </c>
      <c r="CQ278" s="407">
        <v>30</v>
      </c>
      <c r="CR278" s="407">
        <v>16116.169419570913</v>
      </c>
      <c r="CS278" s="407">
        <v>0</v>
      </c>
      <c r="CT278" s="407">
        <v>0</v>
      </c>
      <c r="CU278" s="407">
        <v>0</v>
      </c>
      <c r="CV278" s="407">
        <v>0</v>
      </c>
      <c r="CW278" s="407">
        <v>0</v>
      </c>
      <c r="CX278" s="407">
        <v>0</v>
      </c>
      <c r="CY278" s="407">
        <v>0</v>
      </c>
      <c r="CZ278" s="407">
        <v>0</v>
      </c>
      <c r="DA278" s="407">
        <v>0</v>
      </c>
      <c r="DB278" s="407">
        <v>0</v>
      </c>
      <c r="DC278" s="407">
        <v>22192.668200995715</v>
      </c>
      <c r="DD278" s="407">
        <v>0</v>
      </c>
      <c r="DE278" s="407">
        <v>0</v>
      </c>
      <c r="DF278" s="407">
        <v>0</v>
      </c>
      <c r="DG278" s="407">
        <v>746.78483059281371</v>
      </c>
      <c r="DH278" s="407">
        <v>0</v>
      </c>
      <c r="DI278" s="407">
        <v>-2740.5387739293874</v>
      </c>
      <c r="DJ278" s="407"/>
      <c r="DK278" s="407">
        <v>0</v>
      </c>
      <c r="DL278" s="407">
        <v>0</v>
      </c>
      <c r="DM278" s="407">
        <v>0</v>
      </c>
      <c r="DN278" s="407">
        <v>0</v>
      </c>
      <c r="DO278" s="407">
        <v>-424.00653499009695</v>
      </c>
      <c r="DP278" s="407">
        <v>-49.651325239704192</v>
      </c>
      <c r="DQ278" s="407">
        <v>0</v>
      </c>
      <c r="DR278" s="407">
        <v>-3609.086977858442</v>
      </c>
      <c r="DS278" s="407"/>
      <c r="DT278" s="407"/>
      <c r="DU278" s="407"/>
      <c r="DV278" s="407">
        <v>0</v>
      </c>
      <c r="DW278" s="407">
        <v>0</v>
      </c>
      <c r="DX278" s="407">
        <v>0</v>
      </c>
      <c r="DY278" s="407">
        <v>-3817.3398000000016</v>
      </c>
      <c r="DZ278" s="407">
        <v>19935.803100000005</v>
      </c>
      <c r="EA278" s="407">
        <v>0</v>
      </c>
      <c r="EB278" s="407">
        <v>0</v>
      </c>
      <c r="EC278" s="407">
        <v>0</v>
      </c>
      <c r="ED278" s="407">
        <v>0</v>
      </c>
      <c r="EE278" s="407">
        <v>0</v>
      </c>
      <c r="EF278" s="407">
        <v>0</v>
      </c>
      <c r="EG278" s="407">
        <v>0</v>
      </c>
      <c r="EH278" s="407">
        <v>0</v>
      </c>
      <c r="EI278" s="407">
        <v>0</v>
      </c>
      <c r="EJ278" s="407">
        <v>0</v>
      </c>
      <c r="EK278" s="407">
        <v>0</v>
      </c>
      <c r="EL278" s="407">
        <v>0</v>
      </c>
      <c r="EM278" s="407">
        <v>0</v>
      </c>
      <c r="EN278" s="407">
        <v>0</v>
      </c>
      <c r="EO278" s="407">
        <v>0</v>
      </c>
      <c r="EP278" s="407">
        <v>18533.80432603183</v>
      </c>
      <c r="EQ278" s="407">
        <v>0</v>
      </c>
      <c r="ER278" s="407">
        <v>0</v>
      </c>
      <c r="ES278" s="407">
        <v>0</v>
      </c>
      <c r="ET278" s="407">
        <v>0</v>
      </c>
      <c r="EU278" s="407">
        <v>0</v>
      </c>
      <c r="EV278" s="407">
        <v>246</v>
      </c>
      <c r="EW278" s="407">
        <v>0</v>
      </c>
      <c r="EX278" s="407">
        <v>0</v>
      </c>
      <c r="EY278" s="407">
        <v>0</v>
      </c>
      <c r="EZ278" s="407"/>
      <c r="FA278" s="407">
        <v>0</v>
      </c>
      <c r="FB278" s="407"/>
      <c r="FC278" s="407"/>
      <c r="FD278" s="407"/>
      <c r="FE278" s="407"/>
      <c r="FF278" s="407">
        <v>0</v>
      </c>
      <c r="FG278" s="407">
        <v>0</v>
      </c>
      <c r="FH278" s="407">
        <v>0</v>
      </c>
      <c r="FI278" s="407">
        <v>0</v>
      </c>
    </row>
    <row r="279" spans="1:165">
      <c r="A279" s="407">
        <v>294</v>
      </c>
      <c r="B279" s="407" t="s">
        <v>2309</v>
      </c>
      <c r="C279" s="407" t="s">
        <v>2314</v>
      </c>
      <c r="D279" s="407" t="s">
        <v>650</v>
      </c>
      <c r="E279" s="407" t="s">
        <v>1026</v>
      </c>
      <c r="F279" s="407" t="s">
        <v>97</v>
      </c>
      <c r="G279" s="407" t="s">
        <v>97</v>
      </c>
      <c r="H279" s="407" t="s">
        <v>97</v>
      </c>
      <c r="I279" s="407" t="s">
        <v>2290</v>
      </c>
      <c r="J279" s="407" t="s">
        <v>2307</v>
      </c>
      <c r="K279" s="818">
        <v>44501</v>
      </c>
      <c r="L279" s="407">
        <v>0</v>
      </c>
      <c r="M279" s="407">
        <v>0</v>
      </c>
      <c r="N279" s="407">
        <v>32.582999999999998</v>
      </c>
      <c r="O279" s="407">
        <v>31.279679999999999</v>
      </c>
      <c r="P279" s="407">
        <v>32.582999999999998</v>
      </c>
      <c r="Q279" s="407">
        <v>31.279679999999999</v>
      </c>
      <c r="R279" s="407"/>
      <c r="S279" s="407">
        <v>95.29</v>
      </c>
      <c r="T279" s="407">
        <v>159.41</v>
      </c>
      <c r="U279" s="407"/>
      <c r="V279" s="407">
        <v>8298.8901000000005</v>
      </c>
      <c r="W279" s="407">
        <v>8298.8901000000005</v>
      </c>
      <c r="X279" s="407">
        <v>9022.5585300000002</v>
      </c>
      <c r="Y279" s="407">
        <v>0</v>
      </c>
      <c r="Z279" s="407">
        <v>1756.6837083614312</v>
      </c>
      <c r="AA279" s="407">
        <v>0</v>
      </c>
      <c r="AB279" s="407">
        <v>0</v>
      </c>
      <c r="AC279" s="407">
        <v>0</v>
      </c>
      <c r="AD279" s="407">
        <v>0</v>
      </c>
      <c r="AE279" s="407">
        <v>0</v>
      </c>
      <c r="AF279" s="407">
        <v>5025.2994426632304</v>
      </c>
      <c r="AG279" s="407">
        <v>168.83687025936126</v>
      </c>
      <c r="AH279" s="407">
        <v>0</v>
      </c>
      <c r="AI279" s="407">
        <v>0</v>
      </c>
      <c r="AJ279" s="407">
        <v>0</v>
      </c>
      <c r="AK279" s="407">
        <v>0</v>
      </c>
      <c r="AL279" s="407">
        <v>312.01661149323081</v>
      </c>
      <c r="AM279" s="407"/>
      <c r="AN279" s="407">
        <v>34.985454844710226</v>
      </c>
      <c r="AO279" s="407">
        <v>0</v>
      </c>
      <c r="AP279" s="407">
        <v>0</v>
      </c>
      <c r="AQ279" s="407">
        <v>0</v>
      </c>
      <c r="AR279" s="407">
        <v>0</v>
      </c>
      <c r="AS279" s="407">
        <v>0</v>
      </c>
      <c r="AT279" s="407">
        <v>0</v>
      </c>
      <c r="AU279" s="407">
        <v>0</v>
      </c>
      <c r="AV279" s="407">
        <v>0</v>
      </c>
      <c r="AW279" s="407">
        <v>0</v>
      </c>
      <c r="AX279" s="407">
        <v>0</v>
      </c>
      <c r="AY279" s="407">
        <v>0</v>
      </c>
      <c r="AZ279" s="407">
        <v>0</v>
      </c>
      <c r="BA279" s="407"/>
      <c r="BB279" s="407">
        <v>0</v>
      </c>
      <c r="BC279" s="407">
        <v>0</v>
      </c>
      <c r="BD279" s="407">
        <v>0</v>
      </c>
      <c r="BE279" s="407">
        <v>0</v>
      </c>
      <c r="BF279" s="407">
        <v>0</v>
      </c>
      <c r="BG279" s="407">
        <v>169.10167623733648</v>
      </c>
      <c r="BH279" s="407">
        <v>0</v>
      </c>
      <c r="BI279" s="407">
        <v>0</v>
      </c>
      <c r="BJ279" s="407">
        <v>0</v>
      </c>
      <c r="BK279" s="407">
        <v>0</v>
      </c>
      <c r="BL279" s="407">
        <v>0</v>
      </c>
      <c r="BM279" s="407"/>
      <c r="BN279" s="407"/>
      <c r="BO279" s="407"/>
      <c r="BP279" s="407"/>
      <c r="BQ279" s="407"/>
      <c r="BR279" s="407">
        <v>360.9023411999998</v>
      </c>
      <c r="BS279" s="407"/>
      <c r="BT279" s="407"/>
      <c r="BU279" s="407"/>
      <c r="BV279" s="407">
        <v>5194.4011189005669</v>
      </c>
      <c r="BW279" s="407"/>
      <c r="BX279" s="407"/>
      <c r="BY279" s="407"/>
      <c r="BZ279" s="407"/>
      <c r="CA279" s="407"/>
      <c r="CB279" s="407"/>
      <c r="CC279" s="407"/>
      <c r="CD279" s="407"/>
      <c r="CE279" s="407"/>
      <c r="CF279" s="407"/>
      <c r="CG279" s="407"/>
      <c r="CH279" s="407"/>
      <c r="CI279" s="407">
        <v>8661.7448000000004</v>
      </c>
      <c r="CJ279" s="407">
        <v>694.78030399999989</v>
      </c>
      <c r="CK279" s="407"/>
      <c r="CL279" s="407"/>
      <c r="CM279" s="407"/>
      <c r="CN279" s="407"/>
      <c r="CO279" s="407">
        <v>-171.38658000000015</v>
      </c>
      <c r="CP279" s="407">
        <v>895.05500999999992</v>
      </c>
      <c r="CQ279" s="407">
        <v>30</v>
      </c>
      <c r="CR279" s="407">
        <v>723.5654419658531</v>
      </c>
      <c r="CS279" s="407">
        <v>0</v>
      </c>
      <c r="CT279" s="407">
        <v>0</v>
      </c>
      <c r="CU279" s="407">
        <v>0</v>
      </c>
      <c r="CV279" s="407">
        <v>0</v>
      </c>
      <c r="CW279" s="407">
        <v>0</v>
      </c>
      <c r="CX279" s="407">
        <v>0</v>
      </c>
      <c r="CY279" s="407">
        <v>0</v>
      </c>
      <c r="CZ279" s="407">
        <v>0</v>
      </c>
      <c r="DA279" s="407">
        <v>0</v>
      </c>
      <c r="DB279" s="407">
        <v>0</v>
      </c>
      <c r="DC279" s="407">
        <v>996.38117205164963</v>
      </c>
      <c r="DD279" s="407">
        <v>0</v>
      </c>
      <c r="DE279" s="407">
        <v>0</v>
      </c>
      <c r="DF279" s="407">
        <v>0</v>
      </c>
      <c r="DG279" s="407">
        <v>33.528295833444474</v>
      </c>
      <c r="DH279" s="407">
        <v>0</v>
      </c>
      <c r="DI279" s="407">
        <v>-123.04159242547689</v>
      </c>
      <c r="DJ279" s="407"/>
      <c r="DK279" s="407">
        <v>0</v>
      </c>
      <c r="DL279" s="407">
        <v>0</v>
      </c>
      <c r="DM279" s="407">
        <v>0</v>
      </c>
      <c r="DN279" s="407">
        <v>0</v>
      </c>
      <c r="DO279" s="407">
        <v>-19.036563087625268</v>
      </c>
      <c r="DP279" s="407">
        <v>-2.2291887207160812</v>
      </c>
      <c r="DQ279" s="407">
        <v>0</v>
      </c>
      <c r="DR279" s="407">
        <v>-162.03668168542237</v>
      </c>
      <c r="DS279" s="407"/>
      <c r="DT279" s="407"/>
      <c r="DU279" s="407"/>
      <c r="DV279" s="407">
        <v>0</v>
      </c>
      <c r="DW279" s="407">
        <v>0</v>
      </c>
      <c r="DX279" s="407">
        <v>0</v>
      </c>
      <c r="DY279" s="407">
        <v>-171.38657999999987</v>
      </c>
      <c r="DZ279" s="407">
        <v>895.05501000000004</v>
      </c>
      <c r="EA279" s="407">
        <v>0</v>
      </c>
      <c r="EB279" s="407">
        <v>0</v>
      </c>
      <c r="EC279" s="407">
        <v>0</v>
      </c>
      <c r="ED279" s="407">
        <v>0</v>
      </c>
      <c r="EE279" s="407">
        <v>0</v>
      </c>
      <c r="EF279" s="407">
        <v>0</v>
      </c>
      <c r="EG279" s="407">
        <v>0</v>
      </c>
      <c r="EH279" s="407">
        <v>0</v>
      </c>
      <c r="EI279" s="407">
        <v>0</v>
      </c>
      <c r="EJ279" s="407">
        <v>0</v>
      </c>
      <c r="EK279" s="407">
        <v>0</v>
      </c>
      <c r="EL279" s="407">
        <v>0</v>
      </c>
      <c r="EM279" s="407">
        <v>0</v>
      </c>
      <c r="EN279" s="407">
        <v>0</v>
      </c>
      <c r="EO279" s="407">
        <v>0</v>
      </c>
      <c r="EP279" s="407">
        <v>832.10966386272457</v>
      </c>
      <c r="EQ279" s="407">
        <v>0</v>
      </c>
      <c r="ER279" s="407">
        <v>0</v>
      </c>
      <c r="ES279" s="407">
        <v>0</v>
      </c>
      <c r="ET279" s="407">
        <v>0</v>
      </c>
      <c r="EU279" s="407">
        <v>0</v>
      </c>
      <c r="EV279" s="407">
        <v>246</v>
      </c>
      <c r="EW279" s="407">
        <v>0</v>
      </c>
      <c r="EX279" s="407">
        <v>0</v>
      </c>
      <c r="EY279" s="407">
        <v>0</v>
      </c>
      <c r="EZ279" s="407"/>
      <c r="FA279" s="407">
        <v>0</v>
      </c>
      <c r="FB279" s="407"/>
      <c r="FC279" s="407"/>
      <c r="FD279" s="407"/>
      <c r="FE279" s="407"/>
      <c r="FF279" s="407">
        <v>0</v>
      </c>
      <c r="FG279" s="407">
        <v>0</v>
      </c>
      <c r="FH279" s="407">
        <v>0</v>
      </c>
      <c r="FI279" s="407">
        <v>0</v>
      </c>
    </row>
    <row r="280" spans="1:165">
      <c r="A280" s="407">
        <v>295</v>
      </c>
      <c r="B280" s="407" t="s">
        <v>1090</v>
      </c>
      <c r="C280" s="407" t="s">
        <v>2314</v>
      </c>
      <c r="D280" s="407" t="s">
        <v>650</v>
      </c>
      <c r="E280" s="407" t="s">
        <v>1026</v>
      </c>
      <c r="F280" s="407" t="s">
        <v>97</v>
      </c>
      <c r="G280" s="407" t="s">
        <v>97</v>
      </c>
      <c r="H280" s="407" t="s">
        <v>97</v>
      </c>
      <c r="I280" s="407" t="s">
        <v>97</v>
      </c>
      <c r="J280" s="407" t="s">
        <v>2307</v>
      </c>
      <c r="K280" s="818">
        <v>44501</v>
      </c>
      <c r="L280" s="407">
        <v>3349</v>
      </c>
      <c r="M280" s="407">
        <v>3215.04</v>
      </c>
      <c r="N280" s="407">
        <v>0</v>
      </c>
      <c r="O280" s="407">
        <v>0</v>
      </c>
      <c r="P280" s="407">
        <v>0</v>
      </c>
      <c r="Q280" s="407">
        <v>0</v>
      </c>
      <c r="R280" s="407">
        <v>43.29</v>
      </c>
      <c r="S280" s="407"/>
      <c r="T280" s="407"/>
      <c r="U280" s="407">
        <v>144978.21</v>
      </c>
      <c r="V280" s="407"/>
      <c r="W280" s="407">
        <v>144978.21</v>
      </c>
      <c r="X280" s="407">
        <v>112158.01000000001</v>
      </c>
      <c r="Y280" s="407">
        <v>0</v>
      </c>
      <c r="Z280" s="407">
        <v>0</v>
      </c>
      <c r="AA280" s="407">
        <v>0</v>
      </c>
      <c r="AB280" s="407">
        <v>0</v>
      </c>
      <c r="AC280" s="407">
        <v>0</v>
      </c>
      <c r="AD280" s="407">
        <v>79250.692993608871</v>
      </c>
      <c r="AE280" s="407">
        <v>65738.147612540488</v>
      </c>
      <c r="AF280" s="407"/>
      <c r="AG280" s="407"/>
      <c r="AH280" s="407"/>
      <c r="AI280" s="407">
        <v>0</v>
      </c>
      <c r="AJ280" s="407">
        <v>0</v>
      </c>
      <c r="AK280" s="407">
        <v>0</v>
      </c>
      <c r="AL280" s="407">
        <v>0</v>
      </c>
      <c r="AM280" s="407"/>
      <c r="AN280" s="407">
        <v>0</v>
      </c>
      <c r="AO280" s="407">
        <v>0</v>
      </c>
      <c r="AP280" s="407">
        <v>0</v>
      </c>
      <c r="AQ280" s="407">
        <v>0</v>
      </c>
      <c r="AR280" s="407">
        <v>0</v>
      </c>
      <c r="AS280" s="407"/>
      <c r="AT280" s="407"/>
      <c r="AU280" s="407">
        <v>0</v>
      </c>
      <c r="AV280" s="407">
        <v>0</v>
      </c>
      <c r="AW280" s="407">
        <v>0</v>
      </c>
      <c r="AX280" s="407"/>
      <c r="AY280" s="407"/>
      <c r="AZ280" s="407">
        <v>0</v>
      </c>
      <c r="BA280" s="407"/>
      <c r="BB280" s="407">
        <v>0</v>
      </c>
      <c r="BC280" s="407">
        <v>0</v>
      </c>
      <c r="BD280" s="407">
        <v>0</v>
      </c>
      <c r="BE280" s="407">
        <v>0</v>
      </c>
      <c r="BF280" s="407"/>
      <c r="BG280" s="407">
        <v>0</v>
      </c>
      <c r="BH280" s="407">
        <v>0</v>
      </c>
      <c r="BI280" s="407">
        <v>2240.88</v>
      </c>
      <c r="BJ280" s="407">
        <v>10035.69</v>
      </c>
      <c r="BK280" s="407">
        <v>159.77000000000001</v>
      </c>
      <c r="BL280" s="407">
        <v>23</v>
      </c>
      <c r="BM280" s="407"/>
      <c r="BN280" s="407"/>
      <c r="BO280" s="407"/>
      <c r="BP280" s="407"/>
      <c r="BQ280" s="407"/>
      <c r="BR280" s="407">
        <v>4486.3204000000014</v>
      </c>
      <c r="BS280" s="407"/>
      <c r="BT280" s="407"/>
      <c r="BU280" s="407"/>
      <c r="BV280" s="407">
        <v>0</v>
      </c>
      <c r="BW280" s="407"/>
      <c r="BX280" s="407"/>
      <c r="BY280" s="407"/>
      <c r="BZ280" s="407"/>
      <c r="CA280" s="407"/>
      <c r="CB280" s="407"/>
      <c r="CC280" s="407"/>
      <c r="CD280" s="407"/>
      <c r="CE280" s="407"/>
      <c r="CF280" s="407"/>
      <c r="CG280" s="407"/>
      <c r="CH280" s="407"/>
      <c r="CI280" s="407">
        <v>107671.68960000001</v>
      </c>
      <c r="CJ280" s="407">
        <v>-31507.42200000002</v>
      </c>
      <c r="CK280" s="407"/>
      <c r="CL280" s="407"/>
      <c r="CM280" s="407"/>
      <c r="CN280" s="407"/>
      <c r="CO280" s="407">
        <v>-32820.19999999999</v>
      </c>
      <c r="CP280" s="407">
        <v>0</v>
      </c>
      <c r="CQ280" s="407">
        <v>30</v>
      </c>
      <c r="CR280" s="407">
        <v>749.0378263238963</v>
      </c>
      <c r="CS280" s="407">
        <v>0</v>
      </c>
      <c r="CT280" s="407">
        <v>0</v>
      </c>
      <c r="CU280" s="407">
        <v>0</v>
      </c>
      <c r="CV280" s="407">
        <v>0</v>
      </c>
      <c r="CW280" s="407"/>
      <c r="CX280" s="407"/>
      <c r="CY280" s="407"/>
      <c r="CZ280" s="407">
        <v>3579.9109415904823</v>
      </c>
      <c r="DA280" s="407">
        <v>0</v>
      </c>
      <c r="DB280" s="407">
        <v>0</v>
      </c>
      <c r="DC280" s="407"/>
      <c r="DD280" s="407"/>
      <c r="DE280" s="407">
        <v>0</v>
      </c>
      <c r="DF280" s="407">
        <v>0</v>
      </c>
      <c r="DG280" s="407">
        <v>0</v>
      </c>
      <c r="DH280" s="407">
        <v>0</v>
      </c>
      <c r="DI280" s="407">
        <v>0</v>
      </c>
      <c r="DJ280" s="407"/>
      <c r="DK280" s="407">
        <v>0</v>
      </c>
      <c r="DL280" s="407">
        <v>0</v>
      </c>
      <c r="DM280" s="407"/>
      <c r="DN280" s="407">
        <v>0</v>
      </c>
      <c r="DO280" s="407">
        <v>0</v>
      </c>
      <c r="DP280" s="407">
        <v>0</v>
      </c>
      <c r="DQ280" s="407">
        <v>0</v>
      </c>
      <c r="DR280" s="407">
        <v>-2830.8731152665891</v>
      </c>
      <c r="DS280" s="407"/>
      <c r="DT280" s="407"/>
      <c r="DU280" s="407">
        <v>65738.147612540488</v>
      </c>
      <c r="DV280" s="407"/>
      <c r="DW280" s="407">
        <v>0</v>
      </c>
      <c r="DX280" s="407">
        <v>0</v>
      </c>
      <c r="DY280" s="407">
        <v>-32820.199999999983</v>
      </c>
      <c r="DZ280" s="407"/>
      <c r="EA280" s="407">
        <v>0</v>
      </c>
      <c r="EB280" s="407"/>
      <c r="EC280" s="407">
        <v>-33579.198485442706</v>
      </c>
      <c r="ED280" s="407"/>
      <c r="EE280" s="407">
        <v>0</v>
      </c>
      <c r="EF280" s="407">
        <v>0</v>
      </c>
      <c r="EG280" s="407"/>
      <c r="EH280" s="407">
        <v>0</v>
      </c>
      <c r="EI280" s="407">
        <v>0</v>
      </c>
      <c r="EJ280" s="407">
        <v>0</v>
      </c>
      <c r="EK280" s="407">
        <v>0</v>
      </c>
      <c r="EL280" s="407">
        <v>0</v>
      </c>
      <c r="EM280" s="407"/>
      <c r="EN280" s="407"/>
      <c r="EO280" s="407">
        <v>0</v>
      </c>
      <c r="EP280" s="407">
        <v>0</v>
      </c>
      <c r="EQ280" s="407"/>
      <c r="ER280" s="407">
        <v>0</v>
      </c>
      <c r="ES280" s="407"/>
      <c r="ET280" s="407">
        <v>0</v>
      </c>
      <c r="EU280" s="407"/>
      <c r="EV280" s="407">
        <v>246</v>
      </c>
      <c r="EW280" s="407"/>
      <c r="EX280" s="407"/>
      <c r="EY280" s="407"/>
      <c r="EZ280" s="407"/>
      <c r="FA280" s="407">
        <v>0</v>
      </c>
      <c r="FB280" s="407"/>
      <c r="FC280" s="407"/>
      <c r="FD280" s="407"/>
      <c r="FE280" s="407"/>
      <c r="FF280" s="407">
        <v>0</v>
      </c>
      <c r="FG280" s="407">
        <v>0</v>
      </c>
      <c r="FH280" s="407">
        <v>0</v>
      </c>
      <c r="FI280" s="407">
        <v>0</v>
      </c>
    </row>
    <row r="281" spans="1:165">
      <c r="A281" s="407">
        <v>296</v>
      </c>
      <c r="B281" s="407" t="s">
        <v>2309</v>
      </c>
      <c r="C281" s="407" t="s">
        <v>2314</v>
      </c>
      <c r="D281" s="407" t="s">
        <v>650</v>
      </c>
      <c r="E281" s="407" t="s">
        <v>1026</v>
      </c>
      <c r="F281" s="407" t="s">
        <v>97</v>
      </c>
      <c r="G281" s="407" t="s">
        <v>97</v>
      </c>
      <c r="H281" s="407" t="s">
        <v>97</v>
      </c>
      <c r="I281" s="407" t="s">
        <v>97</v>
      </c>
      <c r="J281" s="407" t="s">
        <v>2307</v>
      </c>
      <c r="K281" s="818">
        <v>44501</v>
      </c>
      <c r="L281" s="407">
        <v>364</v>
      </c>
      <c r="M281" s="407">
        <v>349.44</v>
      </c>
      <c r="N281" s="407">
        <v>0</v>
      </c>
      <c r="O281" s="407">
        <v>0</v>
      </c>
      <c r="P281" s="407">
        <v>0</v>
      </c>
      <c r="Q281" s="407">
        <v>0</v>
      </c>
      <c r="R281" s="407">
        <v>43.29</v>
      </c>
      <c r="S281" s="407"/>
      <c r="T281" s="407"/>
      <c r="U281" s="407">
        <v>15757.56</v>
      </c>
      <c r="V281" s="407"/>
      <c r="W281" s="407">
        <v>15757.56</v>
      </c>
      <c r="X281" s="407">
        <v>12190.36</v>
      </c>
      <c r="Y281" s="407">
        <v>0</v>
      </c>
      <c r="Z281" s="407">
        <v>0</v>
      </c>
      <c r="AA281" s="407">
        <v>0</v>
      </c>
      <c r="AB281" s="407">
        <v>0</v>
      </c>
      <c r="AC281" s="407">
        <v>0</v>
      </c>
      <c r="AD281" s="407">
        <v>8613.6913256714324</v>
      </c>
      <c r="AE281" s="407">
        <v>7145.0241059912623</v>
      </c>
      <c r="AF281" s="407"/>
      <c r="AG281" s="407"/>
      <c r="AH281" s="407"/>
      <c r="AI281" s="407">
        <v>0</v>
      </c>
      <c r="AJ281" s="407">
        <v>0</v>
      </c>
      <c r="AK281" s="407">
        <v>0</v>
      </c>
      <c r="AL281" s="407">
        <v>0</v>
      </c>
      <c r="AM281" s="407"/>
      <c r="AN281" s="407">
        <v>0</v>
      </c>
      <c r="AO281" s="407">
        <v>0</v>
      </c>
      <c r="AP281" s="407">
        <v>0</v>
      </c>
      <c r="AQ281" s="407">
        <v>0</v>
      </c>
      <c r="AR281" s="407">
        <v>0</v>
      </c>
      <c r="AS281" s="407"/>
      <c r="AT281" s="407"/>
      <c r="AU281" s="407">
        <v>0</v>
      </c>
      <c r="AV281" s="407">
        <v>0</v>
      </c>
      <c r="AW281" s="407">
        <v>0</v>
      </c>
      <c r="AX281" s="407"/>
      <c r="AY281" s="407"/>
      <c r="AZ281" s="407">
        <v>0</v>
      </c>
      <c r="BA281" s="407"/>
      <c r="BB281" s="407">
        <v>0</v>
      </c>
      <c r="BC281" s="407">
        <v>0</v>
      </c>
      <c r="BD281" s="407">
        <v>0</v>
      </c>
      <c r="BE281" s="407">
        <v>0</v>
      </c>
      <c r="BF281" s="407"/>
      <c r="BG281" s="407">
        <v>0</v>
      </c>
      <c r="BH281" s="407">
        <v>0</v>
      </c>
      <c r="BI281" s="407">
        <v>147.94999999999999</v>
      </c>
      <c r="BJ281" s="407">
        <v>662.61</v>
      </c>
      <c r="BK281" s="407">
        <v>19.86</v>
      </c>
      <c r="BL281" s="407">
        <v>3</v>
      </c>
      <c r="BM281" s="407"/>
      <c r="BN281" s="407"/>
      <c r="BO281" s="407"/>
      <c r="BP281" s="407"/>
      <c r="BQ281" s="407"/>
      <c r="BR281" s="407">
        <v>487.6144000000001</v>
      </c>
      <c r="BS281" s="407"/>
      <c r="BT281" s="407"/>
      <c r="BU281" s="407"/>
      <c r="BV281" s="407">
        <v>0</v>
      </c>
      <c r="BW281" s="407"/>
      <c r="BX281" s="407"/>
      <c r="BY281" s="407"/>
      <c r="BZ281" s="407"/>
      <c r="CA281" s="407"/>
      <c r="CB281" s="407"/>
      <c r="CC281" s="407"/>
      <c r="CD281" s="407"/>
      <c r="CE281" s="407"/>
      <c r="CF281" s="407"/>
      <c r="CG281" s="407"/>
      <c r="CH281" s="407"/>
      <c r="CI281" s="407">
        <v>11702.7456</v>
      </c>
      <c r="CJ281" s="407">
        <v>-3424.5419999999995</v>
      </c>
      <c r="CK281" s="407"/>
      <c r="CL281" s="407"/>
      <c r="CM281" s="407"/>
      <c r="CN281" s="407"/>
      <c r="CO281" s="407">
        <v>-3567.1999999999989</v>
      </c>
      <c r="CP281" s="407">
        <v>0</v>
      </c>
      <c r="CQ281" s="407">
        <v>30</v>
      </c>
      <c r="CR281" s="407">
        <v>81.412292858136425</v>
      </c>
      <c r="CS281" s="407">
        <v>0</v>
      </c>
      <c r="CT281" s="407">
        <v>0</v>
      </c>
      <c r="CU281" s="407">
        <v>0</v>
      </c>
      <c r="CV281" s="407">
        <v>0</v>
      </c>
      <c r="CW281" s="407"/>
      <c r="CX281" s="407"/>
      <c r="CY281" s="407"/>
      <c r="CZ281" s="407">
        <v>389.09751649415921</v>
      </c>
      <c r="DA281" s="407">
        <v>0</v>
      </c>
      <c r="DB281" s="407">
        <v>0</v>
      </c>
      <c r="DC281" s="407"/>
      <c r="DD281" s="407"/>
      <c r="DE281" s="407">
        <v>0</v>
      </c>
      <c r="DF281" s="407">
        <v>0</v>
      </c>
      <c r="DG281" s="407">
        <v>0</v>
      </c>
      <c r="DH281" s="407">
        <v>0</v>
      </c>
      <c r="DI281" s="407">
        <v>0</v>
      </c>
      <c r="DJ281" s="407"/>
      <c r="DK281" s="407">
        <v>0</v>
      </c>
      <c r="DL281" s="407">
        <v>0</v>
      </c>
      <c r="DM281" s="407"/>
      <c r="DN281" s="407">
        <v>0</v>
      </c>
      <c r="DO281" s="407">
        <v>0</v>
      </c>
      <c r="DP281" s="407">
        <v>0</v>
      </c>
      <c r="DQ281" s="407">
        <v>0</v>
      </c>
      <c r="DR281" s="407">
        <v>-307.68522363602222</v>
      </c>
      <c r="DS281" s="407"/>
      <c r="DT281" s="407"/>
      <c r="DU281" s="407">
        <v>7145.0241059912623</v>
      </c>
      <c r="DV281" s="407"/>
      <c r="DW281" s="407">
        <v>0</v>
      </c>
      <c r="DX281" s="407">
        <v>0</v>
      </c>
      <c r="DY281" s="407">
        <v>-3567.1999999999989</v>
      </c>
      <c r="DZ281" s="407"/>
      <c r="EA281" s="407">
        <v>0</v>
      </c>
      <c r="EB281" s="407"/>
      <c r="EC281" s="407">
        <v>-3649.6949085402043</v>
      </c>
      <c r="ED281" s="407"/>
      <c r="EE281" s="407">
        <v>0</v>
      </c>
      <c r="EF281" s="407">
        <v>0</v>
      </c>
      <c r="EG281" s="407"/>
      <c r="EH281" s="407">
        <v>0</v>
      </c>
      <c r="EI281" s="407">
        <v>0</v>
      </c>
      <c r="EJ281" s="407">
        <v>0</v>
      </c>
      <c r="EK281" s="407">
        <v>0</v>
      </c>
      <c r="EL281" s="407">
        <v>0</v>
      </c>
      <c r="EM281" s="407"/>
      <c r="EN281" s="407"/>
      <c r="EO281" s="407">
        <v>0</v>
      </c>
      <c r="EP281" s="407">
        <v>0</v>
      </c>
      <c r="EQ281" s="407"/>
      <c r="ER281" s="407">
        <v>0</v>
      </c>
      <c r="ES281" s="407"/>
      <c r="ET281" s="407">
        <v>0</v>
      </c>
      <c r="EU281" s="407"/>
      <c r="EV281" s="407">
        <v>246</v>
      </c>
      <c r="EW281" s="407"/>
      <c r="EX281" s="407"/>
      <c r="EY281" s="407"/>
      <c r="EZ281" s="407"/>
      <c r="FA281" s="407">
        <v>0</v>
      </c>
      <c r="FB281" s="407"/>
      <c r="FC281" s="407"/>
      <c r="FD281" s="407"/>
      <c r="FE281" s="407"/>
      <c r="FF281" s="407">
        <v>0</v>
      </c>
      <c r="FG281" s="407">
        <v>0</v>
      </c>
      <c r="FH281" s="407">
        <v>0</v>
      </c>
      <c r="FI281" s="407">
        <v>0</v>
      </c>
    </row>
    <row r="282" spans="1:165">
      <c r="A282" s="407">
        <v>297</v>
      </c>
      <c r="B282" s="407" t="s">
        <v>1090</v>
      </c>
      <c r="C282" s="407" t="s">
        <v>2306</v>
      </c>
      <c r="D282" s="407" t="s">
        <v>1219</v>
      </c>
      <c r="E282" s="407" t="s">
        <v>2316</v>
      </c>
      <c r="F282" s="407" t="s">
        <v>97</v>
      </c>
      <c r="G282" s="407" t="s">
        <v>97</v>
      </c>
      <c r="H282" s="407" t="s">
        <v>97</v>
      </c>
      <c r="I282" s="407" t="s">
        <v>97</v>
      </c>
      <c r="J282" s="407" t="s">
        <v>2307</v>
      </c>
      <c r="K282" s="818">
        <v>44501</v>
      </c>
      <c r="L282" s="407">
        <v>0</v>
      </c>
      <c r="M282" s="407">
        <v>0</v>
      </c>
      <c r="N282" s="407">
        <v>262.00700000000001</v>
      </c>
      <c r="O282" s="407">
        <v>262.00700000000001</v>
      </c>
      <c r="P282" s="407">
        <v>262.00700000000001</v>
      </c>
      <c r="Q282" s="407">
        <v>262.00700000000001</v>
      </c>
      <c r="R282" s="407"/>
      <c r="S282" s="407">
        <v>648.44000000000005</v>
      </c>
      <c r="T282" s="407">
        <v>159.41</v>
      </c>
      <c r="U282" s="407"/>
      <c r="V282" s="407">
        <v>211662.35495000001</v>
      </c>
      <c r="W282" s="407">
        <v>211662.35495000001</v>
      </c>
      <c r="X282" s="407">
        <v>160301.12274000002</v>
      </c>
      <c r="Y282" s="407">
        <v>0</v>
      </c>
      <c r="Z282" s="407">
        <v>16236.639456816167</v>
      </c>
      <c r="AA282" s="407">
        <v>0</v>
      </c>
      <c r="AB282" s="407">
        <v>0</v>
      </c>
      <c r="AC282" s="407">
        <v>0</v>
      </c>
      <c r="AD282" s="407">
        <v>30561.656178505476</v>
      </c>
      <c r="AE282" s="407">
        <v>109399.9724081497</v>
      </c>
      <c r="AF282" s="407">
        <v>40409.527393851546</v>
      </c>
      <c r="AG282" s="407">
        <v>1357.654048615673</v>
      </c>
      <c r="AH282" s="407">
        <v>0</v>
      </c>
      <c r="AI282" s="407">
        <v>0</v>
      </c>
      <c r="AJ282" s="407">
        <v>0</v>
      </c>
      <c r="AK282" s="407">
        <v>0</v>
      </c>
      <c r="AL282" s="407">
        <v>2508.9935342818935</v>
      </c>
      <c r="AM282" s="407"/>
      <c r="AN282" s="407">
        <v>543.68958347481362</v>
      </c>
      <c r="AO282" s="407">
        <v>0</v>
      </c>
      <c r="AP282" s="407">
        <v>0</v>
      </c>
      <c r="AQ282" s="407">
        <v>0</v>
      </c>
      <c r="AR282" s="407">
        <v>0</v>
      </c>
      <c r="AS282" s="407">
        <v>0</v>
      </c>
      <c r="AT282" s="407">
        <v>0</v>
      </c>
      <c r="AU282" s="407">
        <v>0</v>
      </c>
      <c r="AV282" s="407">
        <v>0</v>
      </c>
      <c r="AW282" s="407">
        <v>0</v>
      </c>
      <c r="AX282" s="407">
        <v>0</v>
      </c>
      <c r="AY282" s="407">
        <v>0</v>
      </c>
      <c r="AZ282" s="407">
        <v>0</v>
      </c>
      <c r="BA282" s="407"/>
      <c r="BB282" s="407">
        <v>0</v>
      </c>
      <c r="BC282" s="407">
        <v>0</v>
      </c>
      <c r="BD282" s="407">
        <v>0</v>
      </c>
      <c r="BE282" s="407">
        <v>0</v>
      </c>
      <c r="BF282" s="407">
        <v>0</v>
      </c>
      <c r="BG282" s="407">
        <v>2953.8074152920444</v>
      </c>
      <c r="BH282" s="407">
        <v>0</v>
      </c>
      <c r="BI282" s="407">
        <v>1315.1</v>
      </c>
      <c r="BJ282" s="407">
        <v>5897.2</v>
      </c>
      <c r="BK282" s="407">
        <v>81559.62</v>
      </c>
      <c r="BL282" s="407">
        <v>358</v>
      </c>
      <c r="BM282" s="407"/>
      <c r="BN282" s="407"/>
      <c r="BO282" s="407"/>
      <c r="BP282" s="407"/>
      <c r="BQ282" s="407"/>
      <c r="BR282" s="407"/>
      <c r="BS282" s="407"/>
      <c r="BT282" s="407"/>
      <c r="BU282" s="407"/>
      <c r="BV282" s="407">
        <v>43363.334809143591</v>
      </c>
      <c r="BW282" s="407"/>
      <c r="BX282" s="407"/>
      <c r="BY282" s="407"/>
      <c r="BZ282" s="407"/>
      <c r="CA282" s="407"/>
      <c r="CB282" s="407"/>
      <c r="CC282" s="407"/>
      <c r="CD282" s="407"/>
      <c r="CE282" s="407"/>
      <c r="CF282" s="407"/>
      <c r="CG282" s="407"/>
      <c r="CH282" s="407"/>
      <c r="CI282" s="407">
        <v>160302.95819999999</v>
      </c>
      <c r="CJ282" s="407">
        <v>-51359.426750000042</v>
      </c>
      <c r="CK282" s="407"/>
      <c r="CL282" s="407"/>
      <c r="CM282" s="407"/>
      <c r="CN282" s="407"/>
      <c r="CO282" s="407">
        <v>-58558.564500000015</v>
      </c>
      <c r="CP282" s="407">
        <v>7197.3322900000003</v>
      </c>
      <c r="CQ282" s="407">
        <v>30</v>
      </c>
      <c r="CR282" s="407">
        <v>4520.6734982286289</v>
      </c>
      <c r="CS282" s="407">
        <v>0</v>
      </c>
      <c r="CT282" s="407">
        <v>0</v>
      </c>
      <c r="CU282" s="407">
        <v>0</v>
      </c>
      <c r="CV282" s="407">
        <v>0</v>
      </c>
      <c r="CW282" s="407">
        <v>0</v>
      </c>
      <c r="CX282" s="407">
        <v>0</v>
      </c>
      <c r="CY282" s="407">
        <v>0</v>
      </c>
      <c r="CZ282" s="407">
        <v>1380.5306075416302</v>
      </c>
      <c r="DA282" s="407">
        <v>0</v>
      </c>
      <c r="DB282" s="407">
        <v>0</v>
      </c>
      <c r="DC282" s="407">
        <v>8012.1180292096105</v>
      </c>
      <c r="DD282" s="407">
        <v>0</v>
      </c>
      <c r="DE282" s="407">
        <v>0</v>
      </c>
      <c r="DF282" s="407">
        <v>0</v>
      </c>
      <c r="DG282" s="407">
        <v>585.6602433433909</v>
      </c>
      <c r="DH282" s="407">
        <v>0</v>
      </c>
      <c r="DI282" s="407">
        <v>-1137.2462583309498</v>
      </c>
      <c r="DJ282" s="407"/>
      <c r="DK282" s="407">
        <v>0</v>
      </c>
      <c r="DL282" s="407">
        <v>0</v>
      </c>
      <c r="DM282" s="407">
        <v>0</v>
      </c>
      <c r="DN282" s="407">
        <v>0</v>
      </c>
      <c r="DO282" s="407">
        <v>-153.07715019793886</v>
      </c>
      <c r="DP282" s="407">
        <v>-34.64258768201239</v>
      </c>
      <c r="DQ282" s="407">
        <v>0</v>
      </c>
      <c r="DR282" s="407">
        <v>-4132.669385655121</v>
      </c>
      <c r="DS282" s="407"/>
      <c r="DT282" s="407"/>
      <c r="DU282" s="407"/>
      <c r="DV282" s="407">
        <v>109399.9724081497</v>
      </c>
      <c r="DW282" s="407">
        <v>0</v>
      </c>
      <c r="DX282" s="407">
        <v>0</v>
      </c>
      <c r="DY282" s="407">
        <v>-58558.564500000008</v>
      </c>
      <c r="DZ282" s="407">
        <v>7197.3322899999985</v>
      </c>
      <c r="EA282" s="407">
        <v>0</v>
      </c>
      <c r="EB282" s="407">
        <v>0</v>
      </c>
      <c r="EC282" s="407">
        <v>-55881.760001013841</v>
      </c>
      <c r="ED282" s="407">
        <v>0</v>
      </c>
      <c r="EE282" s="407">
        <v>0</v>
      </c>
      <c r="EF282" s="407">
        <v>0</v>
      </c>
      <c r="EG282" s="407">
        <v>0</v>
      </c>
      <c r="EH282" s="407">
        <v>0</v>
      </c>
      <c r="EI282" s="407">
        <v>0</v>
      </c>
      <c r="EJ282" s="407">
        <v>0</v>
      </c>
      <c r="EK282" s="407">
        <v>0</v>
      </c>
      <c r="EL282" s="407">
        <v>0</v>
      </c>
      <c r="EM282" s="407">
        <v>0</v>
      </c>
      <c r="EN282" s="407">
        <v>0</v>
      </c>
      <c r="EO282" s="407">
        <v>0</v>
      </c>
      <c r="EP282" s="407">
        <v>7691.0058062038906</v>
      </c>
      <c r="EQ282" s="407">
        <v>0</v>
      </c>
      <c r="ER282" s="407">
        <v>0</v>
      </c>
      <c r="ES282" s="407">
        <v>0</v>
      </c>
      <c r="ET282" s="407">
        <v>0</v>
      </c>
      <c r="EU282" s="407">
        <v>0</v>
      </c>
      <c r="EV282" s="407">
        <v>246</v>
      </c>
      <c r="EW282" s="407">
        <v>0</v>
      </c>
      <c r="EX282" s="407">
        <v>0</v>
      </c>
      <c r="EY282" s="407">
        <v>0</v>
      </c>
      <c r="EZ282" s="407"/>
      <c r="FA282" s="407">
        <v>0</v>
      </c>
      <c r="FB282" s="407"/>
      <c r="FC282" s="407"/>
      <c r="FD282" s="407"/>
      <c r="FE282" s="407"/>
      <c r="FF282" s="407">
        <v>0</v>
      </c>
      <c r="FG282" s="407">
        <v>0</v>
      </c>
      <c r="FH282" s="407">
        <v>0</v>
      </c>
      <c r="FI282" s="407">
        <v>0</v>
      </c>
    </row>
    <row r="283" spans="1:165">
      <c r="A283" s="407">
        <v>298</v>
      </c>
      <c r="B283" s="407" t="s">
        <v>1090</v>
      </c>
      <c r="C283" s="407" t="s">
        <v>2317</v>
      </c>
      <c r="D283" s="407" t="s">
        <v>650</v>
      </c>
      <c r="E283" s="407" t="s">
        <v>2316</v>
      </c>
      <c r="F283" s="407" t="s">
        <v>97</v>
      </c>
      <c r="G283" s="407" t="s">
        <v>97</v>
      </c>
      <c r="H283" s="407" t="s">
        <v>97</v>
      </c>
      <c r="I283" s="407" t="s">
        <v>1025</v>
      </c>
      <c r="J283" s="407" t="s">
        <v>2307</v>
      </c>
      <c r="K283" s="818">
        <v>44501</v>
      </c>
      <c r="L283" s="407">
        <v>200</v>
      </c>
      <c r="M283" s="407">
        <v>200</v>
      </c>
      <c r="N283" s="407">
        <v>2.1749999999999998</v>
      </c>
      <c r="O283" s="407">
        <v>2.1749999999999998</v>
      </c>
      <c r="P283" s="407">
        <v>2.1749999999999998</v>
      </c>
      <c r="Q283" s="407">
        <v>2.1749999999999998</v>
      </c>
      <c r="R283" s="407">
        <v>112.91</v>
      </c>
      <c r="S283" s="407">
        <v>95.29</v>
      </c>
      <c r="T283" s="407">
        <v>159.41</v>
      </c>
      <c r="U283" s="407">
        <v>22582</v>
      </c>
      <c r="V283" s="407">
        <v>553.97249999999997</v>
      </c>
      <c r="W283" s="407">
        <v>23135.9725</v>
      </c>
      <c r="X283" s="407">
        <v>14030.27925</v>
      </c>
      <c r="Y283" s="407">
        <v>0</v>
      </c>
      <c r="Z283" s="407">
        <v>117.2632067546301</v>
      </c>
      <c r="AA283" s="407">
        <v>0</v>
      </c>
      <c r="AB283" s="407">
        <v>0</v>
      </c>
      <c r="AC283" s="407">
        <v>0</v>
      </c>
      <c r="AD283" s="407">
        <v>5077.0827132346003</v>
      </c>
      <c r="AE283" s="407">
        <v>17504.269107723037</v>
      </c>
      <c r="AF283" s="407">
        <v>335.451808851012</v>
      </c>
      <c r="AG283" s="407">
        <v>11.270300242890794</v>
      </c>
      <c r="AH283" s="407">
        <v>0</v>
      </c>
      <c r="AI283" s="407">
        <v>0</v>
      </c>
      <c r="AJ283" s="407">
        <v>0</v>
      </c>
      <c r="AK283" s="407">
        <v>0</v>
      </c>
      <c r="AL283" s="407">
        <v>20.827920387864133</v>
      </c>
      <c r="AM283" s="407"/>
      <c r="AN283" s="407">
        <v>2.3353701097886854</v>
      </c>
      <c r="AO283" s="407">
        <v>0</v>
      </c>
      <c r="AP283" s="407">
        <v>0</v>
      </c>
      <c r="AQ283" s="407">
        <v>0</v>
      </c>
      <c r="AR283" s="407">
        <v>0</v>
      </c>
      <c r="AS283" s="407">
        <v>0</v>
      </c>
      <c r="AT283" s="407">
        <v>0</v>
      </c>
      <c r="AU283" s="407">
        <v>0</v>
      </c>
      <c r="AV283" s="407">
        <v>0</v>
      </c>
      <c r="AW283" s="407">
        <v>0</v>
      </c>
      <c r="AX283" s="407">
        <v>0</v>
      </c>
      <c r="AY283" s="407">
        <v>0</v>
      </c>
      <c r="AZ283" s="407">
        <v>0</v>
      </c>
      <c r="BA283" s="407"/>
      <c r="BB283" s="407">
        <v>0</v>
      </c>
      <c r="BC283" s="407">
        <v>0</v>
      </c>
      <c r="BD283" s="407">
        <v>0</v>
      </c>
      <c r="BE283" s="407">
        <v>0</v>
      </c>
      <c r="BF283" s="407">
        <v>0</v>
      </c>
      <c r="BG283" s="407">
        <v>11.28797673069413</v>
      </c>
      <c r="BH283" s="407">
        <v>0</v>
      </c>
      <c r="BI283" s="407">
        <v>0</v>
      </c>
      <c r="BJ283" s="407">
        <v>0</v>
      </c>
      <c r="BK283" s="407">
        <v>0</v>
      </c>
      <c r="BL283" s="407">
        <v>0</v>
      </c>
      <c r="BM283" s="407"/>
      <c r="BN283" s="407"/>
      <c r="BO283" s="407"/>
      <c r="BP283" s="407"/>
      <c r="BQ283" s="407"/>
      <c r="BR283" s="407"/>
      <c r="BS283" s="407"/>
      <c r="BT283" s="407"/>
      <c r="BU283" s="407"/>
      <c r="BV283" s="407">
        <v>346.73978558170614</v>
      </c>
      <c r="BW283" s="407"/>
      <c r="BX283" s="407"/>
      <c r="BY283" s="407"/>
      <c r="BZ283" s="407"/>
      <c r="CA283" s="407"/>
      <c r="CB283" s="407"/>
      <c r="CC283" s="407"/>
      <c r="CD283" s="407"/>
      <c r="CE283" s="407"/>
      <c r="CF283" s="407"/>
      <c r="CG283" s="407"/>
      <c r="CH283" s="407"/>
      <c r="CI283" s="407">
        <v>14031.6638</v>
      </c>
      <c r="CJ283" s="407">
        <v>-9104.3386999999948</v>
      </c>
      <c r="CK283" s="407"/>
      <c r="CL283" s="407"/>
      <c r="CM283" s="407"/>
      <c r="CN283" s="407"/>
      <c r="CO283" s="407">
        <v>-9165.4405000000006</v>
      </c>
      <c r="CP283" s="407">
        <v>59.747249999999994</v>
      </c>
      <c r="CQ283" s="407">
        <v>30</v>
      </c>
      <c r="CR283" s="407">
        <v>-163.25383100948875</v>
      </c>
      <c r="CS283" s="407">
        <v>0</v>
      </c>
      <c r="CT283" s="407">
        <v>0</v>
      </c>
      <c r="CU283" s="407">
        <v>0</v>
      </c>
      <c r="CV283" s="407">
        <v>0</v>
      </c>
      <c r="CW283" s="407">
        <v>0</v>
      </c>
      <c r="CX283" s="407">
        <v>0</v>
      </c>
      <c r="CY283" s="407">
        <v>0</v>
      </c>
      <c r="CZ283" s="407">
        <v>229.34189304735992</v>
      </c>
      <c r="DA283" s="407">
        <v>0</v>
      </c>
      <c r="DB283" s="407">
        <v>0</v>
      </c>
      <c r="DC283" s="407">
        <v>66.511034871323659</v>
      </c>
      <c r="DD283" s="407">
        <v>0</v>
      </c>
      <c r="DE283" s="407">
        <v>0</v>
      </c>
      <c r="DF283" s="407">
        <v>0</v>
      </c>
      <c r="DG283" s="407">
        <v>2.2381009556437927</v>
      </c>
      <c r="DH283" s="407">
        <v>0</v>
      </c>
      <c r="DI283" s="407">
        <v>-8.2133463316886832</v>
      </c>
      <c r="DJ283" s="407"/>
      <c r="DK283" s="407">
        <v>0</v>
      </c>
      <c r="DL283" s="407">
        <v>0</v>
      </c>
      <c r="DM283" s="407">
        <v>0</v>
      </c>
      <c r="DN283" s="407">
        <v>0</v>
      </c>
      <c r="DO283" s="407">
        <v>-1.2707401011443089</v>
      </c>
      <c r="DP283" s="407">
        <v>-0.14880414533828912</v>
      </c>
      <c r="DQ283" s="407">
        <v>0</v>
      </c>
      <c r="DR283" s="407">
        <v>-451.7119693056444</v>
      </c>
      <c r="DS283" s="407"/>
      <c r="DT283" s="407"/>
      <c r="DU283" s="407">
        <v>17504.269107723037</v>
      </c>
      <c r="DV283" s="407">
        <v>0</v>
      </c>
      <c r="DW283" s="407">
        <v>0</v>
      </c>
      <c r="DX283" s="407">
        <v>0</v>
      </c>
      <c r="DY283" s="407">
        <v>-9165.4405000000006</v>
      </c>
      <c r="DZ283" s="407">
        <v>59.747249999999951</v>
      </c>
      <c r="EA283" s="407">
        <v>0</v>
      </c>
      <c r="EB283" s="407">
        <v>0</v>
      </c>
      <c r="EC283" s="407">
        <v>-8941.2213160491574</v>
      </c>
      <c r="ED283" s="407">
        <v>0</v>
      </c>
      <c r="EE283" s="407">
        <v>0</v>
      </c>
      <c r="EF283" s="407">
        <v>0</v>
      </c>
      <c r="EG283" s="407">
        <v>0</v>
      </c>
      <c r="EH283" s="407">
        <v>0</v>
      </c>
      <c r="EI283" s="407">
        <v>0</v>
      </c>
      <c r="EJ283" s="407">
        <v>0</v>
      </c>
      <c r="EK283" s="407">
        <v>0</v>
      </c>
      <c r="EL283" s="407">
        <v>0</v>
      </c>
      <c r="EM283" s="407">
        <v>0</v>
      </c>
      <c r="EN283" s="407">
        <v>0</v>
      </c>
      <c r="EO283" s="407">
        <v>0</v>
      </c>
      <c r="EP283" s="407">
        <v>55.545484421367767</v>
      </c>
      <c r="EQ283" s="407">
        <v>0</v>
      </c>
      <c r="ER283" s="407">
        <v>0</v>
      </c>
      <c r="ES283" s="407">
        <v>0</v>
      </c>
      <c r="ET283" s="407">
        <v>0</v>
      </c>
      <c r="EU283" s="407">
        <v>0</v>
      </c>
      <c r="EV283" s="407">
        <v>246</v>
      </c>
      <c r="EW283" s="407">
        <v>0</v>
      </c>
      <c r="EX283" s="407">
        <v>0</v>
      </c>
      <c r="EY283" s="407">
        <v>0</v>
      </c>
      <c r="EZ283" s="407"/>
      <c r="FA283" s="407">
        <v>0</v>
      </c>
      <c r="FB283" s="407"/>
      <c r="FC283" s="407"/>
      <c r="FD283" s="407"/>
      <c r="FE283" s="407"/>
      <c r="FF283" s="407">
        <v>0</v>
      </c>
      <c r="FG283" s="407">
        <v>0</v>
      </c>
      <c r="FH283" s="407">
        <v>0</v>
      </c>
      <c r="FI283" s="407">
        <v>0</v>
      </c>
    </row>
    <row r="284" spans="1:165">
      <c r="A284" s="407">
        <v>299</v>
      </c>
      <c r="B284" s="407" t="s">
        <v>1090</v>
      </c>
      <c r="C284" s="407" t="s">
        <v>2317</v>
      </c>
      <c r="D284" s="407" t="s">
        <v>650</v>
      </c>
      <c r="E284" s="407" t="s">
        <v>2316</v>
      </c>
      <c r="F284" s="407" t="s">
        <v>97</v>
      </c>
      <c r="G284" s="407" t="s">
        <v>97</v>
      </c>
      <c r="H284" s="407" t="s">
        <v>97</v>
      </c>
      <c r="I284" s="407" t="s">
        <v>2290</v>
      </c>
      <c r="J284" s="407" t="s">
        <v>2307</v>
      </c>
      <c r="K284" s="818">
        <v>44501</v>
      </c>
      <c r="L284" s="407">
        <v>230</v>
      </c>
      <c r="M284" s="407">
        <v>230</v>
      </c>
      <c r="N284" s="407">
        <v>21.748999999999999</v>
      </c>
      <c r="O284" s="407">
        <v>21.748999999999999</v>
      </c>
      <c r="P284" s="407">
        <v>21.748999999999999</v>
      </c>
      <c r="Q284" s="407">
        <v>21.748999999999999</v>
      </c>
      <c r="R284" s="407">
        <v>43.29</v>
      </c>
      <c r="S284" s="407">
        <v>95.29</v>
      </c>
      <c r="T284" s="407">
        <v>159.41</v>
      </c>
      <c r="U284" s="407">
        <v>9956.6999999999989</v>
      </c>
      <c r="V284" s="407">
        <v>5539.4703</v>
      </c>
      <c r="W284" s="407">
        <v>15496.170299999998</v>
      </c>
      <c r="X284" s="407">
        <v>13725.215590000002</v>
      </c>
      <c r="Y284" s="407">
        <v>0</v>
      </c>
      <c r="Z284" s="407">
        <v>1172.578153428253</v>
      </c>
      <c r="AA284" s="407">
        <v>0</v>
      </c>
      <c r="AB284" s="407">
        <v>0</v>
      </c>
      <c r="AC284" s="407">
        <v>0</v>
      </c>
      <c r="AD284" s="407">
        <v>5442.71704644074</v>
      </c>
      <c r="AE284" s="407">
        <v>4514.7130340054682</v>
      </c>
      <c r="AF284" s="407">
        <v>3354.3638577934071</v>
      </c>
      <c r="AG284" s="407">
        <v>112.69782068166984</v>
      </c>
      <c r="AH284" s="407">
        <v>0</v>
      </c>
      <c r="AI284" s="407">
        <v>0</v>
      </c>
      <c r="AJ284" s="407">
        <v>0</v>
      </c>
      <c r="AK284" s="407">
        <v>0</v>
      </c>
      <c r="AL284" s="407">
        <v>208.26962782329059</v>
      </c>
      <c r="AM284" s="407"/>
      <c r="AN284" s="407">
        <v>23.352627364503046</v>
      </c>
      <c r="AO284" s="407">
        <v>0</v>
      </c>
      <c r="AP284" s="407">
        <v>0</v>
      </c>
      <c r="AQ284" s="407">
        <v>0</v>
      </c>
      <c r="AR284" s="407">
        <v>0</v>
      </c>
      <c r="AS284" s="407">
        <v>0</v>
      </c>
      <c r="AT284" s="407">
        <v>0</v>
      </c>
      <c r="AU284" s="407">
        <v>0</v>
      </c>
      <c r="AV284" s="407">
        <v>0</v>
      </c>
      <c r="AW284" s="407">
        <v>0</v>
      </c>
      <c r="AX284" s="407">
        <v>0</v>
      </c>
      <c r="AY284" s="407">
        <v>0</v>
      </c>
      <c r="AZ284" s="407">
        <v>0</v>
      </c>
      <c r="BA284" s="407"/>
      <c r="BB284" s="407">
        <v>0</v>
      </c>
      <c r="BC284" s="407">
        <v>0</v>
      </c>
      <c r="BD284" s="407">
        <v>0</v>
      </c>
      <c r="BE284" s="407">
        <v>0</v>
      </c>
      <c r="BF284" s="407">
        <v>0</v>
      </c>
      <c r="BG284" s="407">
        <v>112.87457743258237</v>
      </c>
      <c r="BH284" s="407">
        <v>0</v>
      </c>
      <c r="BI284" s="407">
        <v>0</v>
      </c>
      <c r="BJ284" s="407">
        <v>0</v>
      </c>
      <c r="BK284" s="407">
        <v>0</v>
      </c>
      <c r="BL284" s="407">
        <v>0</v>
      </c>
      <c r="BM284" s="407"/>
      <c r="BN284" s="407"/>
      <c r="BO284" s="407"/>
      <c r="BP284" s="407"/>
      <c r="BQ284" s="407"/>
      <c r="BR284" s="407"/>
      <c r="BS284" s="407"/>
      <c r="BT284" s="407"/>
      <c r="BU284" s="407"/>
      <c r="BV284" s="407">
        <v>3467.2384352259896</v>
      </c>
      <c r="BW284" s="407"/>
      <c r="BX284" s="407"/>
      <c r="BY284" s="407"/>
      <c r="BZ284" s="407"/>
      <c r="CA284" s="407"/>
      <c r="CB284" s="407"/>
      <c r="CC284" s="407"/>
      <c r="CD284" s="407"/>
      <c r="CE284" s="407"/>
      <c r="CF284" s="407"/>
      <c r="CG284" s="407"/>
      <c r="CH284" s="407"/>
      <c r="CI284" s="407">
        <v>13725.4925</v>
      </c>
      <c r="CJ284" s="407">
        <v>-1770.7077999999983</v>
      </c>
      <c r="CK284" s="407"/>
      <c r="CL284" s="407"/>
      <c r="CM284" s="407"/>
      <c r="CN284" s="407"/>
      <c r="CO284" s="407">
        <v>-2368.3997399999998</v>
      </c>
      <c r="CP284" s="407">
        <v>597.44502999999997</v>
      </c>
      <c r="CQ284" s="407">
        <v>30</v>
      </c>
      <c r="CR284" s="407">
        <v>534.41837936859702</v>
      </c>
      <c r="CS284" s="407">
        <v>0</v>
      </c>
      <c r="CT284" s="407">
        <v>0</v>
      </c>
      <c r="CU284" s="407">
        <v>0</v>
      </c>
      <c r="CV284" s="407">
        <v>0</v>
      </c>
      <c r="CW284" s="407">
        <v>0</v>
      </c>
      <c r="CX284" s="407">
        <v>0</v>
      </c>
      <c r="CY284" s="407">
        <v>0</v>
      </c>
      <c r="CZ284" s="407">
        <v>245.85832086169376</v>
      </c>
      <c r="DA284" s="407">
        <v>0</v>
      </c>
      <c r="DB284" s="407">
        <v>0</v>
      </c>
      <c r="DC284" s="407">
        <v>665.07976892708894</v>
      </c>
      <c r="DD284" s="407">
        <v>0</v>
      </c>
      <c r="DE284" s="407">
        <v>0</v>
      </c>
      <c r="DF284" s="407">
        <v>0</v>
      </c>
      <c r="DG284" s="407">
        <v>22.379980544504278</v>
      </c>
      <c r="DH284" s="407">
        <v>0</v>
      </c>
      <c r="DI284" s="407">
        <v>-82.129687065699954</v>
      </c>
      <c r="DJ284" s="407"/>
      <c r="DK284" s="407">
        <v>0</v>
      </c>
      <c r="DL284" s="407">
        <v>0</v>
      </c>
      <c r="DM284" s="407">
        <v>0</v>
      </c>
      <c r="DN284" s="407">
        <v>0</v>
      </c>
      <c r="DO284" s="407">
        <v>-12.706816763120742</v>
      </c>
      <c r="DP284" s="407">
        <v>-1.4879730376838864</v>
      </c>
      <c r="DQ284" s="407">
        <v>0</v>
      </c>
      <c r="DR284" s="407">
        <v>-302.57521409818253</v>
      </c>
      <c r="DS284" s="407"/>
      <c r="DT284" s="407"/>
      <c r="DU284" s="407">
        <v>4514.7130340054682</v>
      </c>
      <c r="DV284" s="407">
        <v>0</v>
      </c>
      <c r="DW284" s="407">
        <v>0</v>
      </c>
      <c r="DX284" s="407">
        <v>0</v>
      </c>
      <c r="DY284" s="407">
        <v>-2368.3997399999971</v>
      </c>
      <c r="DZ284" s="407">
        <v>597.44502999999986</v>
      </c>
      <c r="EA284" s="407">
        <v>0</v>
      </c>
      <c r="EB284" s="407">
        <v>0</v>
      </c>
      <c r="EC284" s="407">
        <v>-2306.1259037479317</v>
      </c>
      <c r="ED284" s="407">
        <v>0</v>
      </c>
      <c r="EE284" s="407">
        <v>0</v>
      </c>
      <c r="EF284" s="407">
        <v>0</v>
      </c>
      <c r="EG284" s="407">
        <v>0</v>
      </c>
      <c r="EH284" s="407">
        <v>0</v>
      </c>
      <c r="EI284" s="407">
        <v>0</v>
      </c>
      <c r="EJ284" s="407">
        <v>0</v>
      </c>
      <c r="EK284" s="407">
        <v>0</v>
      </c>
      <c r="EL284" s="407">
        <v>0</v>
      </c>
      <c r="EM284" s="407">
        <v>0</v>
      </c>
      <c r="EN284" s="407">
        <v>0</v>
      </c>
      <c r="EO284" s="407">
        <v>0</v>
      </c>
      <c r="EP284" s="407">
        <v>555.42930605992069</v>
      </c>
      <c r="EQ284" s="407">
        <v>0</v>
      </c>
      <c r="ER284" s="407">
        <v>0</v>
      </c>
      <c r="ES284" s="407">
        <v>0</v>
      </c>
      <c r="ET284" s="407">
        <v>0</v>
      </c>
      <c r="EU284" s="407">
        <v>0</v>
      </c>
      <c r="EV284" s="407">
        <v>246</v>
      </c>
      <c r="EW284" s="407">
        <v>0</v>
      </c>
      <c r="EX284" s="407">
        <v>0</v>
      </c>
      <c r="EY284" s="407">
        <v>0</v>
      </c>
      <c r="EZ284" s="407"/>
      <c r="FA284" s="407">
        <v>0</v>
      </c>
      <c r="FB284" s="407"/>
      <c r="FC284" s="407"/>
      <c r="FD284" s="407"/>
      <c r="FE284" s="407"/>
      <c r="FF284" s="407">
        <v>0</v>
      </c>
      <c r="FG284" s="407">
        <v>0</v>
      </c>
      <c r="FH284" s="407">
        <v>0</v>
      </c>
      <c r="FI284" s="407">
        <v>0</v>
      </c>
    </row>
    <row r="285" spans="1:165">
      <c r="A285" s="407">
        <v>300</v>
      </c>
      <c r="B285" s="407" t="s">
        <v>1090</v>
      </c>
      <c r="C285" s="407" t="s">
        <v>2317</v>
      </c>
      <c r="D285" s="407" t="s">
        <v>650</v>
      </c>
      <c r="E285" s="407" t="s">
        <v>2316</v>
      </c>
      <c r="F285" s="407" t="s">
        <v>97</v>
      </c>
      <c r="G285" s="407" t="s">
        <v>97</v>
      </c>
      <c r="H285" s="407" t="s">
        <v>97</v>
      </c>
      <c r="I285" s="407" t="s">
        <v>97</v>
      </c>
      <c r="J285" s="407" t="s">
        <v>2307</v>
      </c>
      <c r="K285" s="818">
        <v>44501</v>
      </c>
      <c r="L285" s="407">
        <v>0</v>
      </c>
      <c r="M285" s="407">
        <v>0</v>
      </c>
      <c r="N285" s="407">
        <v>0</v>
      </c>
      <c r="O285" s="407">
        <v>0</v>
      </c>
      <c r="P285" s="407">
        <v>0</v>
      </c>
      <c r="Q285" s="407">
        <v>0</v>
      </c>
      <c r="R285" s="407"/>
      <c r="S285" s="407"/>
      <c r="T285" s="407"/>
      <c r="U285" s="407"/>
      <c r="V285" s="407"/>
      <c r="W285" s="407"/>
      <c r="X285" s="407"/>
      <c r="Y285" s="407"/>
      <c r="Z285" s="407"/>
      <c r="AA285" s="407">
        <v>0</v>
      </c>
      <c r="AB285" s="407"/>
      <c r="AC285" s="407"/>
      <c r="AD285" s="407"/>
      <c r="AE285" s="407"/>
      <c r="AF285" s="407"/>
      <c r="AG285" s="407"/>
      <c r="AH285" s="407"/>
      <c r="AI285" s="407"/>
      <c r="AJ285" s="407"/>
      <c r="AK285" s="407"/>
      <c r="AL285" s="407"/>
      <c r="AM285" s="407"/>
      <c r="AN285" s="407"/>
      <c r="AO285" s="407"/>
      <c r="AP285" s="407"/>
      <c r="AQ285" s="407"/>
      <c r="AR285" s="407"/>
      <c r="AS285" s="407"/>
      <c r="AT285" s="407"/>
      <c r="AU285" s="407"/>
      <c r="AV285" s="407"/>
      <c r="AW285" s="407"/>
      <c r="AX285" s="407"/>
      <c r="AY285" s="407"/>
      <c r="AZ285" s="407">
        <v>0</v>
      </c>
      <c r="BA285" s="407"/>
      <c r="BB285" s="407"/>
      <c r="BC285" s="407"/>
      <c r="BD285" s="407"/>
      <c r="BE285" s="407"/>
      <c r="BF285" s="407"/>
      <c r="BG285" s="407"/>
      <c r="BH285" s="407"/>
      <c r="BI285" s="407">
        <v>182.24</v>
      </c>
      <c r="BJ285" s="407">
        <v>816.13</v>
      </c>
      <c r="BK285" s="407">
        <v>7466.71</v>
      </c>
      <c r="BL285" s="407">
        <v>1</v>
      </c>
      <c r="BM285" s="407"/>
      <c r="BN285" s="407"/>
      <c r="BO285" s="407"/>
      <c r="BP285" s="407"/>
      <c r="BQ285" s="407"/>
      <c r="BR285" s="407"/>
      <c r="BS285" s="407"/>
      <c r="BT285" s="407"/>
      <c r="BU285" s="407"/>
      <c r="BV285" s="407"/>
      <c r="BW285" s="407"/>
      <c r="BX285" s="407"/>
      <c r="BY285" s="407"/>
      <c r="BZ285" s="407"/>
      <c r="CA285" s="407"/>
      <c r="CB285" s="407"/>
      <c r="CC285" s="407"/>
      <c r="CD285" s="407"/>
      <c r="CE285" s="407"/>
      <c r="CF285" s="407"/>
      <c r="CG285" s="407"/>
      <c r="CH285" s="407"/>
      <c r="CI285" s="407"/>
      <c r="CJ285" s="407">
        <v>-0.03</v>
      </c>
      <c r="CK285" s="407"/>
      <c r="CL285" s="407"/>
      <c r="CM285" s="407"/>
      <c r="CN285" s="407"/>
      <c r="CO285" s="407">
        <v>0</v>
      </c>
      <c r="CP285" s="407">
        <v>0</v>
      </c>
      <c r="CQ285" s="407">
        <v>30</v>
      </c>
      <c r="CR285" s="407"/>
      <c r="CS285" s="407"/>
      <c r="CT285" s="407"/>
      <c r="CU285" s="407"/>
      <c r="CV285" s="407"/>
      <c r="CW285" s="407"/>
      <c r="CX285" s="407"/>
      <c r="CY285" s="407"/>
      <c r="CZ285" s="407"/>
      <c r="DA285" s="407"/>
      <c r="DB285" s="407"/>
      <c r="DC285" s="407"/>
      <c r="DD285" s="407"/>
      <c r="DE285" s="407"/>
      <c r="DF285" s="407"/>
      <c r="DG285" s="407"/>
      <c r="DH285" s="407"/>
      <c r="DI285" s="407"/>
      <c r="DJ285" s="407"/>
      <c r="DK285" s="407">
        <v>0</v>
      </c>
      <c r="DL285" s="407"/>
      <c r="DM285" s="407"/>
      <c r="DN285" s="407"/>
      <c r="DO285" s="407"/>
      <c r="DP285" s="407"/>
      <c r="DQ285" s="407"/>
      <c r="DR285" s="407"/>
      <c r="DS285" s="407"/>
      <c r="DT285" s="407"/>
      <c r="DU285" s="407"/>
      <c r="DV285" s="407"/>
      <c r="DW285" s="407"/>
      <c r="DX285" s="407"/>
      <c r="DY285" s="407"/>
      <c r="DZ285" s="407"/>
      <c r="EA285" s="407"/>
      <c r="EB285" s="407"/>
      <c r="EC285" s="407"/>
      <c r="ED285" s="407"/>
      <c r="EE285" s="407"/>
      <c r="EF285" s="407"/>
      <c r="EG285" s="407"/>
      <c r="EH285" s="407"/>
      <c r="EI285" s="407"/>
      <c r="EJ285" s="407"/>
      <c r="EK285" s="407"/>
      <c r="EL285" s="407"/>
      <c r="EM285" s="407"/>
      <c r="EN285" s="407"/>
      <c r="EO285" s="407"/>
      <c r="EP285" s="407"/>
      <c r="EQ285" s="407"/>
      <c r="ER285" s="407"/>
      <c r="ES285" s="407"/>
      <c r="ET285" s="407"/>
      <c r="EU285" s="407"/>
      <c r="EV285" s="407">
        <v>246</v>
      </c>
      <c r="EW285" s="407"/>
      <c r="EX285" s="407"/>
      <c r="EY285" s="407"/>
      <c r="EZ285" s="407"/>
      <c r="FA285" s="407">
        <v>0</v>
      </c>
      <c r="FB285" s="407"/>
      <c r="FC285" s="407"/>
      <c r="FD285" s="407"/>
      <c r="FE285" s="407"/>
      <c r="FF285" s="407">
        <v>0</v>
      </c>
      <c r="FG285" s="407">
        <v>0</v>
      </c>
      <c r="FH285" s="407">
        <v>0</v>
      </c>
      <c r="FI285" s="407">
        <v>0</v>
      </c>
    </row>
    <row r="286" spans="1:165">
      <c r="A286" s="407">
        <v>301</v>
      </c>
      <c r="B286" s="407" t="s">
        <v>1090</v>
      </c>
      <c r="C286" s="407" t="s">
        <v>2314</v>
      </c>
      <c r="D286" s="407" t="s">
        <v>650</v>
      </c>
      <c r="E286" s="407" t="s">
        <v>2316</v>
      </c>
      <c r="F286" s="407" t="s">
        <v>97</v>
      </c>
      <c r="G286" s="407" t="s">
        <v>97</v>
      </c>
      <c r="H286" s="407" t="s">
        <v>97</v>
      </c>
      <c r="I286" s="407" t="s">
        <v>1025</v>
      </c>
      <c r="J286" s="407" t="s">
        <v>2307</v>
      </c>
      <c r="K286" s="818">
        <v>44501</v>
      </c>
      <c r="L286" s="407">
        <v>0</v>
      </c>
      <c r="M286" s="407">
        <v>0</v>
      </c>
      <c r="N286" s="407">
        <v>0.55900000000000005</v>
      </c>
      <c r="O286" s="407">
        <v>0.55900000000000005</v>
      </c>
      <c r="P286" s="407">
        <v>0.55900000000000005</v>
      </c>
      <c r="Q286" s="407">
        <v>0.55900000000000005</v>
      </c>
      <c r="R286" s="407"/>
      <c r="S286" s="407">
        <v>2810.7</v>
      </c>
      <c r="T286" s="407">
        <v>159.41</v>
      </c>
      <c r="U286" s="407"/>
      <c r="V286" s="407">
        <v>1660.2914900000001</v>
      </c>
      <c r="W286" s="407">
        <v>1660.2914900000001</v>
      </c>
      <c r="X286" s="407">
        <v>1057.4547100000002</v>
      </c>
      <c r="Y286" s="407">
        <v>0</v>
      </c>
      <c r="Z286" s="407">
        <v>30.137991988891145</v>
      </c>
      <c r="AA286" s="407">
        <v>0</v>
      </c>
      <c r="AB286" s="407">
        <v>0</v>
      </c>
      <c r="AC286" s="407">
        <v>0</v>
      </c>
      <c r="AD286" s="407">
        <v>341.27821670315581</v>
      </c>
      <c r="AE286" s="407">
        <v>1176.6328973868299</v>
      </c>
      <c r="AF286" s="407">
        <v>86.214970642627932</v>
      </c>
      <c r="AG286" s="407">
        <v>2.8965967061038875</v>
      </c>
      <c r="AH286" s="407">
        <v>0</v>
      </c>
      <c r="AI286" s="407">
        <v>0</v>
      </c>
      <c r="AJ286" s="407">
        <v>0</v>
      </c>
      <c r="AK286" s="407">
        <v>0</v>
      </c>
      <c r="AL286" s="407">
        <v>5.3530149410648518</v>
      </c>
      <c r="AM286" s="407"/>
      <c r="AN286" s="407">
        <v>0.60021696155028759</v>
      </c>
      <c r="AO286" s="407">
        <v>0</v>
      </c>
      <c r="AP286" s="407">
        <v>0</v>
      </c>
      <c r="AQ286" s="407">
        <v>0</v>
      </c>
      <c r="AR286" s="407">
        <v>0</v>
      </c>
      <c r="AS286" s="407">
        <v>0</v>
      </c>
      <c r="AT286" s="407">
        <v>0</v>
      </c>
      <c r="AU286" s="407">
        <v>0</v>
      </c>
      <c r="AV286" s="407">
        <v>0</v>
      </c>
      <c r="AW286" s="407">
        <v>0</v>
      </c>
      <c r="AX286" s="407">
        <v>0</v>
      </c>
      <c r="AY286" s="407">
        <v>0</v>
      </c>
      <c r="AZ286" s="407">
        <v>0</v>
      </c>
      <c r="BA286" s="407"/>
      <c r="BB286" s="407">
        <v>0</v>
      </c>
      <c r="BC286" s="407">
        <v>0</v>
      </c>
      <c r="BD286" s="407">
        <v>0</v>
      </c>
      <c r="BE286" s="407">
        <v>0</v>
      </c>
      <c r="BF286" s="407">
        <v>0</v>
      </c>
      <c r="BG286" s="407">
        <v>2.9011397666473653</v>
      </c>
      <c r="BH286" s="407">
        <v>0</v>
      </c>
      <c r="BI286" s="407">
        <v>0</v>
      </c>
      <c r="BJ286" s="407">
        <v>0</v>
      </c>
      <c r="BK286" s="407">
        <v>0</v>
      </c>
      <c r="BL286" s="407">
        <v>0</v>
      </c>
      <c r="BM286" s="407"/>
      <c r="BN286" s="407"/>
      <c r="BO286" s="407"/>
      <c r="BP286" s="407"/>
      <c r="BQ286" s="407"/>
      <c r="BR286" s="407"/>
      <c r="BS286" s="407"/>
      <c r="BT286" s="407"/>
      <c r="BU286" s="407"/>
      <c r="BV286" s="407">
        <v>89.116110409275294</v>
      </c>
      <c r="BW286" s="407"/>
      <c r="BX286" s="407"/>
      <c r="BY286" s="407"/>
      <c r="BZ286" s="407"/>
      <c r="CA286" s="407"/>
      <c r="CB286" s="407"/>
      <c r="CC286" s="407"/>
      <c r="CD286" s="407"/>
      <c r="CE286" s="407"/>
      <c r="CF286" s="407"/>
      <c r="CG286" s="407"/>
      <c r="CH286" s="407"/>
      <c r="CI286" s="407">
        <v>1059.3464000000001</v>
      </c>
      <c r="CJ286" s="407">
        <v>-600.97508999999991</v>
      </c>
      <c r="CK286" s="407"/>
      <c r="CL286" s="407"/>
      <c r="CM286" s="407"/>
      <c r="CN286" s="407"/>
      <c r="CO286" s="407">
        <v>-618.19250999999997</v>
      </c>
      <c r="CP286" s="407">
        <v>15.355730000000001</v>
      </c>
      <c r="CQ286" s="407">
        <v>30</v>
      </c>
      <c r="CR286" s="407">
        <v>-1.8070217201721448</v>
      </c>
      <c r="CS286" s="407">
        <v>0</v>
      </c>
      <c r="CT286" s="407">
        <v>0</v>
      </c>
      <c r="CU286" s="407">
        <v>0</v>
      </c>
      <c r="CV286" s="407">
        <v>0</v>
      </c>
      <c r="CW286" s="407">
        <v>0</v>
      </c>
      <c r="CX286" s="407">
        <v>0</v>
      </c>
      <c r="CY286" s="407">
        <v>0</v>
      </c>
      <c r="CZ286" s="407">
        <v>15.416213738354031</v>
      </c>
      <c r="DA286" s="407">
        <v>0</v>
      </c>
      <c r="DB286" s="407">
        <v>0</v>
      </c>
      <c r="DC286" s="407">
        <v>17.094100456583874</v>
      </c>
      <c r="DD286" s="407">
        <v>0</v>
      </c>
      <c r="DE286" s="407">
        <v>0</v>
      </c>
      <c r="DF286" s="407">
        <v>0</v>
      </c>
      <c r="DG286" s="407">
        <v>0.5752176708987955</v>
      </c>
      <c r="DH286" s="407">
        <v>0</v>
      </c>
      <c r="DI286" s="407">
        <v>-2.1109244135236658</v>
      </c>
      <c r="DJ286" s="407"/>
      <c r="DK286" s="407">
        <v>0</v>
      </c>
      <c r="DL286" s="407">
        <v>0</v>
      </c>
      <c r="DM286" s="407">
        <v>0</v>
      </c>
      <c r="DN286" s="407">
        <v>0</v>
      </c>
      <c r="DO286" s="407">
        <v>-0.32659481220214737</v>
      </c>
      <c r="DP286" s="407">
        <v>-3.8244375744415526E-2</v>
      </c>
      <c r="DQ286" s="407">
        <v>0</v>
      </c>
      <c r="DR286" s="407">
        <v>-32.416789984538532</v>
      </c>
      <c r="DS286" s="407"/>
      <c r="DT286" s="407"/>
      <c r="DU286" s="407"/>
      <c r="DV286" s="407">
        <v>1176.6328973868299</v>
      </c>
      <c r="DW286" s="407">
        <v>0</v>
      </c>
      <c r="DX286" s="407">
        <v>0</v>
      </c>
      <c r="DY286" s="407">
        <v>-618.19250999999986</v>
      </c>
      <c r="DZ286" s="407">
        <v>15.355730000000008</v>
      </c>
      <c r="EA286" s="407">
        <v>0</v>
      </c>
      <c r="EB286" s="407">
        <v>0</v>
      </c>
      <c r="EC286" s="407">
        <v>-601.02681686023732</v>
      </c>
      <c r="ED286" s="407">
        <v>0</v>
      </c>
      <c r="EE286" s="407">
        <v>0</v>
      </c>
      <c r="EF286" s="407">
        <v>0</v>
      </c>
      <c r="EG286" s="407">
        <v>0</v>
      </c>
      <c r="EH286" s="407">
        <v>0</v>
      </c>
      <c r="EI286" s="407">
        <v>0</v>
      </c>
      <c r="EJ286" s="407">
        <v>0</v>
      </c>
      <c r="EK286" s="407">
        <v>0</v>
      </c>
      <c r="EL286" s="407">
        <v>0</v>
      </c>
      <c r="EM286" s="407">
        <v>0</v>
      </c>
      <c r="EN286" s="407">
        <v>0</v>
      </c>
      <c r="EO286" s="407">
        <v>0</v>
      </c>
      <c r="EP286" s="407">
        <v>14.275827950135442</v>
      </c>
      <c r="EQ286" s="407">
        <v>0</v>
      </c>
      <c r="ER286" s="407">
        <v>0</v>
      </c>
      <c r="ES286" s="407">
        <v>0</v>
      </c>
      <c r="ET286" s="407">
        <v>0</v>
      </c>
      <c r="EU286" s="407">
        <v>0</v>
      </c>
      <c r="EV286" s="407">
        <v>246</v>
      </c>
      <c r="EW286" s="407">
        <v>0</v>
      </c>
      <c r="EX286" s="407">
        <v>0</v>
      </c>
      <c r="EY286" s="407">
        <v>0</v>
      </c>
      <c r="EZ286" s="407"/>
      <c r="FA286" s="407">
        <v>0</v>
      </c>
      <c r="FB286" s="407"/>
      <c r="FC286" s="407"/>
      <c r="FD286" s="407"/>
      <c r="FE286" s="407"/>
      <c r="FF286" s="407">
        <v>0</v>
      </c>
      <c r="FG286" s="407">
        <v>0</v>
      </c>
      <c r="FH286" s="407">
        <v>0</v>
      </c>
      <c r="FI286" s="407">
        <v>0</v>
      </c>
    </row>
    <row r="287" spans="1:165">
      <c r="A287" s="407">
        <v>302</v>
      </c>
      <c r="B287" s="407" t="s">
        <v>1090</v>
      </c>
      <c r="C287" s="407" t="s">
        <v>2314</v>
      </c>
      <c r="D287" s="407" t="s">
        <v>650</v>
      </c>
      <c r="E287" s="407" t="s">
        <v>2316</v>
      </c>
      <c r="F287" s="407" t="s">
        <v>97</v>
      </c>
      <c r="G287" s="407" t="s">
        <v>97</v>
      </c>
      <c r="H287" s="407" t="s">
        <v>97</v>
      </c>
      <c r="I287" s="407" t="s">
        <v>2290</v>
      </c>
      <c r="J287" s="407" t="s">
        <v>2307</v>
      </c>
      <c r="K287" s="818">
        <v>44501</v>
      </c>
      <c r="L287" s="407">
        <v>0</v>
      </c>
      <c r="M287" s="407">
        <v>0</v>
      </c>
      <c r="N287" s="407">
        <v>6.359</v>
      </c>
      <c r="O287" s="407">
        <v>6.359</v>
      </c>
      <c r="P287" s="407">
        <v>6.359</v>
      </c>
      <c r="Q287" s="407">
        <v>6.359</v>
      </c>
      <c r="R287" s="407"/>
      <c r="S287" s="407">
        <v>95.29</v>
      </c>
      <c r="T287" s="407">
        <v>159.41</v>
      </c>
      <c r="U287" s="407"/>
      <c r="V287" s="407">
        <v>1619.6372999999999</v>
      </c>
      <c r="W287" s="407">
        <v>1619.6372999999999</v>
      </c>
      <c r="X287" s="407">
        <v>1760.8706899999997</v>
      </c>
      <c r="Y287" s="407">
        <v>0</v>
      </c>
      <c r="Z287" s="407">
        <v>342.83987666790478</v>
      </c>
      <c r="AA287" s="407">
        <v>0</v>
      </c>
      <c r="AB287" s="407">
        <v>0</v>
      </c>
      <c r="AC287" s="407">
        <v>0</v>
      </c>
      <c r="AD287" s="407">
        <v>0</v>
      </c>
      <c r="AE287" s="407">
        <v>0</v>
      </c>
      <c r="AF287" s="407">
        <v>980.75312757866004</v>
      </c>
      <c r="AG287" s="407">
        <v>32.950730687146006</v>
      </c>
      <c r="AH287" s="407">
        <v>0</v>
      </c>
      <c r="AI287" s="407">
        <v>0</v>
      </c>
      <c r="AJ287" s="407">
        <v>0</v>
      </c>
      <c r="AK287" s="407">
        <v>0</v>
      </c>
      <c r="AL287" s="407">
        <v>60.89413597536921</v>
      </c>
      <c r="AM287" s="407"/>
      <c r="AN287" s="407">
        <v>6.8278705876534493</v>
      </c>
      <c r="AO287" s="407">
        <v>0</v>
      </c>
      <c r="AP287" s="407">
        <v>0</v>
      </c>
      <c r="AQ287" s="407">
        <v>0</v>
      </c>
      <c r="AR287" s="407">
        <v>0</v>
      </c>
      <c r="AS287" s="407">
        <v>0</v>
      </c>
      <c r="AT287" s="407">
        <v>0</v>
      </c>
      <c r="AU287" s="407">
        <v>0</v>
      </c>
      <c r="AV287" s="407">
        <v>0</v>
      </c>
      <c r="AW287" s="407">
        <v>0</v>
      </c>
      <c r="AX287" s="407">
        <v>0</v>
      </c>
      <c r="AY287" s="407">
        <v>0</v>
      </c>
      <c r="AZ287" s="407">
        <v>0</v>
      </c>
      <c r="BA287" s="407"/>
      <c r="BB287" s="407">
        <v>0</v>
      </c>
      <c r="BC287" s="407">
        <v>0</v>
      </c>
      <c r="BD287" s="407">
        <v>0</v>
      </c>
      <c r="BE287" s="407">
        <v>0</v>
      </c>
      <c r="BF287" s="407">
        <v>0</v>
      </c>
      <c r="BG287" s="407">
        <v>33.002411048498381</v>
      </c>
      <c r="BH287" s="407">
        <v>0</v>
      </c>
      <c r="BI287" s="407">
        <v>0</v>
      </c>
      <c r="BJ287" s="407">
        <v>0</v>
      </c>
      <c r="BK287" s="407">
        <v>0</v>
      </c>
      <c r="BL287" s="407">
        <v>0</v>
      </c>
      <c r="BM287" s="407"/>
      <c r="BN287" s="407"/>
      <c r="BO287" s="407"/>
      <c r="BP287" s="407"/>
      <c r="BQ287" s="407"/>
      <c r="BR287" s="407"/>
      <c r="BS287" s="407"/>
      <c r="BT287" s="407"/>
      <c r="BU287" s="407"/>
      <c r="BV287" s="407">
        <v>1013.7555386271584</v>
      </c>
      <c r="BW287" s="407"/>
      <c r="BX287" s="407"/>
      <c r="BY287" s="407"/>
      <c r="BZ287" s="407"/>
      <c r="CA287" s="407"/>
      <c r="CB287" s="407"/>
      <c r="CC287" s="407"/>
      <c r="CD287" s="407"/>
      <c r="CE287" s="407"/>
      <c r="CF287" s="407"/>
      <c r="CG287" s="407"/>
      <c r="CH287" s="407"/>
      <c r="CI287" s="407">
        <v>1761.1476000000002</v>
      </c>
      <c r="CJ287" s="407">
        <v>141.4803000000004</v>
      </c>
      <c r="CK287" s="407"/>
      <c r="CL287" s="407"/>
      <c r="CM287" s="407"/>
      <c r="CN287" s="407"/>
      <c r="CO287" s="407">
        <v>-33.44834000000003</v>
      </c>
      <c r="CP287" s="407">
        <v>174.68172999999999</v>
      </c>
      <c r="CQ287" s="407">
        <v>30</v>
      </c>
      <c r="CR287" s="407">
        <v>141.21329053374052</v>
      </c>
      <c r="CS287" s="407">
        <v>0</v>
      </c>
      <c r="CT287" s="407">
        <v>0</v>
      </c>
      <c r="CU287" s="407">
        <v>0</v>
      </c>
      <c r="CV287" s="407">
        <v>0</v>
      </c>
      <c r="CW287" s="407">
        <v>0</v>
      </c>
      <c r="CX287" s="407">
        <v>0</v>
      </c>
      <c r="CY287" s="407">
        <v>0</v>
      </c>
      <c r="CZ287" s="407">
        <v>0</v>
      </c>
      <c r="DA287" s="407">
        <v>0</v>
      </c>
      <c r="DB287" s="407">
        <v>0</v>
      </c>
      <c r="DC287" s="407">
        <v>194.45686011344696</v>
      </c>
      <c r="DD287" s="407">
        <v>0</v>
      </c>
      <c r="DE287" s="407">
        <v>0</v>
      </c>
      <c r="DF287" s="407">
        <v>0</v>
      </c>
      <c r="DG287" s="407">
        <v>6.5434868859489086</v>
      </c>
      <c r="DH287" s="407">
        <v>0</v>
      </c>
      <c r="DI287" s="407">
        <v>-24.013181298026836</v>
      </c>
      <c r="DJ287" s="407"/>
      <c r="DK287" s="407">
        <v>0</v>
      </c>
      <c r="DL287" s="407">
        <v>0</v>
      </c>
      <c r="DM287" s="407">
        <v>0</v>
      </c>
      <c r="DN287" s="407">
        <v>0</v>
      </c>
      <c r="DO287" s="407">
        <v>-3.715235081920305</v>
      </c>
      <c r="DP287" s="407">
        <v>-0.43505542997985369</v>
      </c>
      <c r="DQ287" s="407">
        <v>0</v>
      </c>
      <c r="DR287" s="407">
        <v>-31.623584655728479</v>
      </c>
      <c r="DS287" s="407"/>
      <c r="DT287" s="407"/>
      <c r="DU287" s="407"/>
      <c r="DV287" s="407">
        <v>0</v>
      </c>
      <c r="DW287" s="407">
        <v>0</v>
      </c>
      <c r="DX287" s="407">
        <v>0</v>
      </c>
      <c r="DY287" s="407">
        <v>-33.44834000000003</v>
      </c>
      <c r="DZ287" s="407">
        <v>174.6817299999999</v>
      </c>
      <c r="EA287" s="407">
        <v>0</v>
      </c>
      <c r="EB287" s="407">
        <v>0</v>
      </c>
      <c r="EC287" s="407">
        <v>0</v>
      </c>
      <c r="ED287" s="407">
        <v>0</v>
      </c>
      <c r="EE287" s="407">
        <v>0</v>
      </c>
      <c r="EF287" s="407">
        <v>0</v>
      </c>
      <c r="EG287" s="407">
        <v>0</v>
      </c>
      <c r="EH287" s="407">
        <v>0</v>
      </c>
      <c r="EI287" s="407">
        <v>0</v>
      </c>
      <c r="EJ287" s="407">
        <v>0</v>
      </c>
      <c r="EK287" s="407">
        <v>0</v>
      </c>
      <c r="EL287" s="407">
        <v>0</v>
      </c>
      <c r="EM287" s="407">
        <v>0</v>
      </c>
      <c r="EN287" s="407">
        <v>0</v>
      </c>
      <c r="EO287" s="407">
        <v>0</v>
      </c>
      <c r="EP287" s="407">
        <v>162.39711974044948</v>
      </c>
      <c r="EQ287" s="407">
        <v>0</v>
      </c>
      <c r="ER287" s="407">
        <v>0</v>
      </c>
      <c r="ES287" s="407">
        <v>0</v>
      </c>
      <c r="ET287" s="407">
        <v>0</v>
      </c>
      <c r="EU287" s="407">
        <v>0</v>
      </c>
      <c r="EV287" s="407">
        <v>246</v>
      </c>
      <c r="EW287" s="407">
        <v>0</v>
      </c>
      <c r="EX287" s="407">
        <v>0</v>
      </c>
      <c r="EY287" s="407">
        <v>0</v>
      </c>
      <c r="EZ287" s="407"/>
      <c r="FA287" s="407">
        <v>0</v>
      </c>
      <c r="FB287" s="407"/>
      <c r="FC287" s="407"/>
      <c r="FD287" s="407"/>
      <c r="FE287" s="407"/>
      <c r="FF287" s="407">
        <v>0</v>
      </c>
      <c r="FG287" s="407">
        <v>0</v>
      </c>
      <c r="FH287" s="407">
        <v>0</v>
      </c>
      <c r="FI287" s="407">
        <v>0</v>
      </c>
    </row>
    <row r="288" spans="1:165">
      <c r="A288" s="407">
        <v>303</v>
      </c>
      <c r="B288" s="407" t="s">
        <v>1090</v>
      </c>
      <c r="C288" s="407" t="s">
        <v>2314</v>
      </c>
      <c r="D288" s="407" t="s">
        <v>650</v>
      </c>
      <c r="E288" s="407" t="s">
        <v>2316</v>
      </c>
      <c r="F288" s="407" t="s">
        <v>97</v>
      </c>
      <c r="G288" s="407" t="s">
        <v>97</v>
      </c>
      <c r="H288" s="407" t="s">
        <v>97</v>
      </c>
      <c r="I288" s="407" t="s">
        <v>97</v>
      </c>
      <c r="J288" s="407" t="s">
        <v>2307</v>
      </c>
      <c r="K288" s="818">
        <v>44501</v>
      </c>
      <c r="L288" s="407">
        <v>60</v>
      </c>
      <c r="M288" s="407">
        <v>60</v>
      </c>
      <c r="N288" s="407">
        <v>0</v>
      </c>
      <c r="O288" s="407">
        <v>0</v>
      </c>
      <c r="P288" s="407">
        <v>0</v>
      </c>
      <c r="Q288" s="407">
        <v>0</v>
      </c>
      <c r="R288" s="407">
        <v>43.29</v>
      </c>
      <c r="S288" s="407"/>
      <c r="T288" s="407"/>
      <c r="U288" s="407">
        <v>2597.4</v>
      </c>
      <c r="V288" s="407"/>
      <c r="W288" s="407">
        <v>2597.4</v>
      </c>
      <c r="X288" s="407">
        <v>2009.4</v>
      </c>
      <c r="Y288" s="407">
        <v>0</v>
      </c>
      <c r="Z288" s="407">
        <v>0</v>
      </c>
      <c r="AA288" s="407">
        <v>0</v>
      </c>
      <c r="AB288" s="407">
        <v>0</v>
      </c>
      <c r="AC288" s="407">
        <v>0</v>
      </c>
      <c r="AD288" s="407">
        <v>1419.8392295062802</v>
      </c>
      <c r="AE288" s="407">
        <v>1177.7512262622959</v>
      </c>
      <c r="AF288" s="407"/>
      <c r="AG288" s="407"/>
      <c r="AH288" s="407"/>
      <c r="AI288" s="407">
        <v>0</v>
      </c>
      <c r="AJ288" s="407">
        <v>0</v>
      </c>
      <c r="AK288" s="407">
        <v>0</v>
      </c>
      <c r="AL288" s="407">
        <v>0</v>
      </c>
      <c r="AM288" s="407"/>
      <c r="AN288" s="407">
        <v>0</v>
      </c>
      <c r="AO288" s="407">
        <v>0</v>
      </c>
      <c r="AP288" s="407">
        <v>0</v>
      </c>
      <c r="AQ288" s="407">
        <v>0</v>
      </c>
      <c r="AR288" s="407">
        <v>0</v>
      </c>
      <c r="AS288" s="407"/>
      <c r="AT288" s="407"/>
      <c r="AU288" s="407">
        <v>0</v>
      </c>
      <c r="AV288" s="407">
        <v>0</v>
      </c>
      <c r="AW288" s="407">
        <v>0</v>
      </c>
      <c r="AX288" s="407"/>
      <c r="AY288" s="407"/>
      <c r="AZ288" s="407">
        <v>0</v>
      </c>
      <c r="BA288" s="407"/>
      <c r="BB288" s="407">
        <v>0</v>
      </c>
      <c r="BC288" s="407">
        <v>0</v>
      </c>
      <c r="BD288" s="407">
        <v>0</v>
      </c>
      <c r="BE288" s="407">
        <v>0</v>
      </c>
      <c r="BF288" s="407"/>
      <c r="BG288" s="407">
        <v>0</v>
      </c>
      <c r="BH288" s="407">
        <v>0</v>
      </c>
      <c r="BI288" s="407">
        <v>32.159999999999997</v>
      </c>
      <c r="BJ288" s="407">
        <v>144.01</v>
      </c>
      <c r="BK288" s="407">
        <v>0</v>
      </c>
      <c r="BL288" s="407">
        <v>1</v>
      </c>
      <c r="BM288" s="407"/>
      <c r="BN288" s="407"/>
      <c r="BO288" s="407"/>
      <c r="BP288" s="407"/>
      <c r="BQ288" s="407"/>
      <c r="BR288" s="407"/>
      <c r="BS288" s="407"/>
      <c r="BT288" s="407"/>
      <c r="BU288" s="407"/>
      <c r="BV288" s="407">
        <v>0</v>
      </c>
      <c r="BW288" s="407"/>
      <c r="BX288" s="407"/>
      <c r="BY288" s="407"/>
      <c r="BZ288" s="407"/>
      <c r="CA288" s="407"/>
      <c r="CB288" s="407"/>
      <c r="CC288" s="407"/>
      <c r="CD288" s="407"/>
      <c r="CE288" s="407"/>
      <c r="CF288" s="407"/>
      <c r="CG288" s="407"/>
      <c r="CH288" s="407"/>
      <c r="CI288" s="407">
        <v>2009.4</v>
      </c>
      <c r="CJ288" s="407">
        <v>-588.03000000000065</v>
      </c>
      <c r="CK288" s="407"/>
      <c r="CL288" s="407"/>
      <c r="CM288" s="407"/>
      <c r="CN288" s="407"/>
      <c r="CO288" s="407">
        <v>-587.99999999999977</v>
      </c>
      <c r="CP288" s="407">
        <v>0</v>
      </c>
      <c r="CQ288" s="407">
        <v>30</v>
      </c>
      <c r="CR288" s="407">
        <v>13.419608712879608</v>
      </c>
      <c r="CS288" s="407">
        <v>0</v>
      </c>
      <c r="CT288" s="407">
        <v>0</v>
      </c>
      <c r="CU288" s="407">
        <v>0</v>
      </c>
      <c r="CV288" s="407">
        <v>0</v>
      </c>
      <c r="CW288" s="407"/>
      <c r="CX288" s="407"/>
      <c r="CY288" s="407"/>
      <c r="CZ288" s="407">
        <v>64.136953268267916</v>
      </c>
      <c r="DA288" s="407">
        <v>0</v>
      </c>
      <c r="DB288" s="407">
        <v>0</v>
      </c>
      <c r="DC288" s="407"/>
      <c r="DD288" s="407"/>
      <c r="DE288" s="407">
        <v>0</v>
      </c>
      <c r="DF288" s="407">
        <v>0</v>
      </c>
      <c r="DG288" s="407">
        <v>0</v>
      </c>
      <c r="DH288" s="407">
        <v>0</v>
      </c>
      <c r="DI288" s="407">
        <v>0</v>
      </c>
      <c r="DJ288" s="407"/>
      <c r="DK288" s="407">
        <v>0</v>
      </c>
      <c r="DL288" s="407">
        <v>0</v>
      </c>
      <c r="DM288" s="407"/>
      <c r="DN288" s="407">
        <v>0</v>
      </c>
      <c r="DO288" s="407">
        <v>0</v>
      </c>
      <c r="DP288" s="407">
        <v>0</v>
      </c>
      <c r="DQ288" s="407">
        <v>0</v>
      </c>
      <c r="DR288" s="407">
        <v>-50.71734455538828</v>
      </c>
      <c r="DS288" s="407"/>
      <c r="DT288" s="407"/>
      <c r="DU288" s="407">
        <v>1177.7512262622959</v>
      </c>
      <c r="DV288" s="407"/>
      <c r="DW288" s="407">
        <v>0</v>
      </c>
      <c r="DX288" s="407">
        <v>0</v>
      </c>
      <c r="DY288" s="407">
        <v>-588</v>
      </c>
      <c r="DZ288" s="407"/>
      <c r="EA288" s="407">
        <v>0</v>
      </c>
      <c r="EB288" s="407"/>
      <c r="EC288" s="407">
        <v>-601.59806184728632</v>
      </c>
      <c r="ED288" s="407"/>
      <c r="EE288" s="407">
        <v>0</v>
      </c>
      <c r="EF288" s="407">
        <v>0</v>
      </c>
      <c r="EG288" s="407"/>
      <c r="EH288" s="407">
        <v>0</v>
      </c>
      <c r="EI288" s="407">
        <v>0</v>
      </c>
      <c r="EJ288" s="407">
        <v>0</v>
      </c>
      <c r="EK288" s="407">
        <v>0</v>
      </c>
      <c r="EL288" s="407">
        <v>0</v>
      </c>
      <c r="EM288" s="407"/>
      <c r="EN288" s="407"/>
      <c r="EO288" s="407">
        <v>0</v>
      </c>
      <c r="EP288" s="407">
        <v>0</v>
      </c>
      <c r="EQ288" s="407"/>
      <c r="ER288" s="407">
        <v>0</v>
      </c>
      <c r="ES288" s="407"/>
      <c r="ET288" s="407">
        <v>0</v>
      </c>
      <c r="EU288" s="407"/>
      <c r="EV288" s="407">
        <v>246</v>
      </c>
      <c r="EW288" s="407"/>
      <c r="EX288" s="407"/>
      <c r="EY288" s="407"/>
      <c r="EZ288" s="407"/>
      <c r="FA288" s="407">
        <v>0</v>
      </c>
      <c r="FB288" s="407"/>
      <c r="FC288" s="407"/>
      <c r="FD288" s="407"/>
      <c r="FE288" s="407"/>
      <c r="FF288" s="407">
        <v>0</v>
      </c>
      <c r="FG288" s="407">
        <v>0</v>
      </c>
      <c r="FH288" s="407">
        <v>0</v>
      </c>
      <c r="FI288" s="407">
        <v>0</v>
      </c>
    </row>
    <row r="289" spans="1:165">
      <c r="A289" s="407">
        <v>304</v>
      </c>
      <c r="B289" s="407" t="s">
        <v>1090</v>
      </c>
      <c r="C289" s="407" t="s">
        <v>2306</v>
      </c>
      <c r="D289" s="407" t="s">
        <v>2318</v>
      </c>
      <c r="E289" s="407" t="s">
        <v>2319</v>
      </c>
      <c r="F289" s="407" t="s">
        <v>2320</v>
      </c>
      <c r="G289" s="407" t="s">
        <v>97</v>
      </c>
      <c r="H289" s="407" t="s">
        <v>97</v>
      </c>
      <c r="I289" s="407" t="s">
        <v>97</v>
      </c>
      <c r="J289" s="407" t="s">
        <v>2307</v>
      </c>
      <c r="K289" s="818">
        <v>44501</v>
      </c>
      <c r="L289" s="407">
        <v>0</v>
      </c>
      <c r="M289" s="407">
        <v>0</v>
      </c>
      <c r="N289" s="407">
        <v>518.08600000000001</v>
      </c>
      <c r="O289" s="407">
        <v>518.08600000000001</v>
      </c>
      <c r="P289" s="407">
        <v>518.08600000000001</v>
      </c>
      <c r="Q289" s="407">
        <v>518.08600000000001</v>
      </c>
      <c r="R289" s="407"/>
      <c r="S289" s="407">
        <v>356.64</v>
      </c>
      <c r="T289" s="407">
        <v>87.68</v>
      </c>
      <c r="U289" s="407"/>
      <c r="V289" s="407">
        <v>230195.97152000002</v>
      </c>
      <c r="W289" s="407">
        <v>230195.97152000002</v>
      </c>
      <c r="X289" s="407">
        <v>174335.93900000001</v>
      </c>
      <c r="Y289" s="407">
        <v>0</v>
      </c>
      <c r="Z289" s="407">
        <v>17658.255597343716</v>
      </c>
      <c r="AA289" s="407">
        <v>0</v>
      </c>
      <c r="AB289" s="407">
        <v>0</v>
      </c>
      <c r="AC289" s="407">
        <v>0</v>
      </c>
      <c r="AD289" s="407">
        <v>33237.51430913464</v>
      </c>
      <c r="AE289" s="407">
        <v>118978.60270060229</v>
      </c>
      <c r="AF289" s="407">
        <v>43947.626304465208</v>
      </c>
      <c r="AG289" s="407">
        <v>1476.5248847821038</v>
      </c>
      <c r="AH289" s="407">
        <v>0</v>
      </c>
      <c r="AI289" s="407">
        <v>0</v>
      </c>
      <c r="AJ289" s="407">
        <v>0</v>
      </c>
      <c r="AK289" s="407">
        <v>0</v>
      </c>
      <c r="AL289" s="407">
        <v>2728.6711168445222</v>
      </c>
      <c r="AM289" s="407"/>
      <c r="AN289" s="407">
        <v>591.29289999608045</v>
      </c>
      <c r="AO289" s="407">
        <v>0</v>
      </c>
      <c r="AP289" s="407">
        <v>0</v>
      </c>
      <c r="AQ289" s="407">
        <v>0</v>
      </c>
      <c r="AR289" s="407">
        <v>0</v>
      </c>
      <c r="AS289" s="407">
        <v>0</v>
      </c>
      <c r="AT289" s="407">
        <v>0</v>
      </c>
      <c r="AU289" s="407">
        <v>0</v>
      </c>
      <c r="AV289" s="407">
        <v>0</v>
      </c>
      <c r="AW289" s="407">
        <v>0</v>
      </c>
      <c r="AX289" s="407">
        <v>0</v>
      </c>
      <c r="AY289" s="407">
        <v>0</v>
      </c>
      <c r="AZ289" s="407">
        <v>0</v>
      </c>
      <c r="BA289" s="407"/>
      <c r="BB289" s="407">
        <v>0</v>
      </c>
      <c r="BC289" s="407">
        <v>0</v>
      </c>
      <c r="BD289" s="407">
        <v>0</v>
      </c>
      <c r="BE289" s="407">
        <v>0</v>
      </c>
      <c r="BF289" s="407">
        <v>0</v>
      </c>
      <c r="BG289" s="407">
        <v>3212.4311476695234</v>
      </c>
      <c r="BH289" s="407">
        <v>0</v>
      </c>
      <c r="BI289" s="407">
        <v>1471.49</v>
      </c>
      <c r="BJ289" s="407">
        <v>6591.12</v>
      </c>
      <c r="BK289" s="407">
        <v>63991.26</v>
      </c>
      <c r="BL289" s="407">
        <v>62</v>
      </c>
      <c r="BM289" s="407"/>
      <c r="BN289" s="407"/>
      <c r="BO289" s="407"/>
      <c r="BP289" s="407"/>
      <c r="BQ289" s="407"/>
      <c r="BR289" s="407"/>
      <c r="BS289" s="407"/>
      <c r="BT289" s="407"/>
      <c r="BU289" s="407"/>
      <c r="BV289" s="407">
        <v>47160.05745213473</v>
      </c>
      <c r="BW289" s="407"/>
      <c r="BX289" s="407"/>
      <c r="BY289" s="407"/>
      <c r="BZ289" s="407"/>
      <c r="CA289" s="407"/>
      <c r="CB289" s="407"/>
      <c r="CC289" s="407"/>
      <c r="CD289" s="407"/>
      <c r="CE289" s="407"/>
      <c r="CF289" s="407"/>
      <c r="CG289" s="407"/>
      <c r="CH289" s="407"/>
      <c r="CI289" s="407">
        <v>174337.285</v>
      </c>
      <c r="CJ289" s="407">
        <v>-55858.716520000045</v>
      </c>
      <c r="CK289" s="407"/>
      <c r="CL289" s="407"/>
      <c r="CM289" s="407"/>
      <c r="CN289" s="407"/>
      <c r="CO289" s="407">
        <v>-63683.131119999998</v>
      </c>
      <c r="CP289" s="407">
        <v>7823.0985999999975</v>
      </c>
      <c r="CQ289" s="407">
        <v>30</v>
      </c>
      <c r="CR289" s="407">
        <v>4916.4858477132075</v>
      </c>
      <c r="CS289" s="407">
        <v>0</v>
      </c>
      <c r="CT289" s="407">
        <v>0</v>
      </c>
      <c r="CU289" s="407">
        <v>0</v>
      </c>
      <c r="CV289" s="407">
        <v>0</v>
      </c>
      <c r="CW289" s="407">
        <v>0</v>
      </c>
      <c r="CX289" s="407">
        <v>0</v>
      </c>
      <c r="CY289" s="407">
        <v>0</v>
      </c>
      <c r="CZ289" s="407">
        <v>1501.4044250205334</v>
      </c>
      <c r="DA289" s="407">
        <v>0</v>
      </c>
      <c r="DB289" s="407">
        <v>0</v>
      </c>
      <c r="DC289" s="407">
        <v>8713.6274973744657</v>
      </c>
      <c r="DD289" s="407">
        <v>0</v>
      </c>
      <c r="DE289" s="407">
        <v>0</v>
      </c>
      <c r="DF289" s="407">
        <v>0</v>
      </c>
      <c r="DG289" s="407">
        <v>636.93834538024385</v>
      </c>
      <c r="DH289" s="407">
        <v>0</v>
      </c>
      <c r="DI289" s="407">
        <v>-1236.8190573019565</v>
      </c>
      <c r="DJ289" s="407"/>
      <c r="DK289" s="407">
        <v>0</v>
      </c>
      <c r="DL289" s="407">
        <v>0</v>
      </c>
      <c r="DM289" s="407">
        <v>0</v>
      </c>
      <c r="DN289" s="407">
        <v>0</v>
      </c>
      <c r="DO289" s="407">
        <v>-166.47998198749337</v>
      </c>
      <c r="DP289" s="407">
        <v>-37.675756086683919</v>
      </c>
      <c r="DQ289" s="407">
        <v>0</v>
      </c>
      <c r="DR289" s="407">
        <v>-4494.5096246859221</v>
      </c>
      <c r="DS289" s="407"/>
      <c r="DT289" s="407"/>
      <c r="DU289" s="407"/>
      <c r="DV289" s="407">
        <v>118978.60270060229</v>
      </c>
      <c r="DW289" s="407">
        <v>0</v>
      </c>
      <c r="DX289" s="407">
        <v>0</v>
      </c>
      <c r="DY289" s="407">
        <v>-63683.131120000005</v>
      </c>
      <c r="DZ289" s="407">
        <v>7823.0985999999975</v>
      </c>
      <c r="EA289" s="407">
        <v>0</v>
      </c>
      <c r="EB289" s="407">
        <v>0</v>
      </c>
      <c r="EC289" s="407">
        <v>-60774.546601948656</v>
      </c>
      <c r="ED289" s="407">
        <v>0</v>
      </c>
      <c r="EE289" s="407">
        <v>0</v>
      </c>
      <c r="EF289" s="407">
        <v>0</v>
      </c>
      <c r="EG289" s="407">
        <v>0</v>
      </c>
      <c r="EH289" s="407">
        <v>0</v>
      </c>
      <c r="EI289" s="407">
        <v>0</v>
      </c>
      <c r="EJ289" s="407">
        <v>0</v>
      </c>
      <c r="EK289" s="407">
        <v>0</v>
      </c>
      <c r="EL289" s="407">
        <v>0</v>
      </c>
      <c r="EM289" s="407">
        <v>0</v>
      </c>
      <c r="EN289" s="407">
        <v>0</v>
      </c>
      <c r="EO289" s="407">
        <v>0</v>
      </c>
      <c r="EP289" s="407">
        <v>8364.3999540551013</v>
      </c>
      <c r="EQ289" s="407">
        <v>0</v>
      </c>
      <c r="ER289" s="407">
        <v>0</v>
      </c>
      <c r="ES289" s="407">
        <v>0</v>
      </c>
      <c r="ET289" s="407">
        <v>0</v>
      </c>
      <c r="EU289" s="407">
        <v>0</v>
      </c>
      <c r="EV289" s="407">
        <v>246</v>
      </c>
      <c r="EW289" s="407">
        <v>0</v>
      </c>
      <c r="EX289" s="407">
        <v>0</v>
      </c>
      <c r="EY289" s="407">
        <v>0</v>
      </c>
      <c r="EZ289" s="407"/>
      <c r="FA289" s="407">
        <v>0</v>
      </c>
      <c r="FB289" s="407"/>
      <c r="FC289" s="407"/>
      <c r="FD289" s="407"/>
      <c r="FE289" s="407"/>
      <c r="FF289" s="407">
        <v>0</v>
      </c>
      <c r="FG289" s="407">
        <v>0</v>
      </c>
      <c r="FH289" s="407">
        <v>0</v>
      </c>
      <c r="FI289" s="407">
        <v>0</v>
      </c>
    </row>
    <row r="290" spans="1:165">
      <c r="A290" s="407">
        <v>305</v>
      </c>
      <c r="B290" s="407" t="s">
        <v>1090</v>
      </c>
      <c r="C290" s="407" t="s">
        <v>2306</v>
      </c>
      <c r="D290" s="407" t="s">
        <v>1219</v>
      </c>
      <c r="E290" s="407" t="s">
        <v>1052</v>
      </c>
      <c r="F290" s="407" t="s">
        <v>2321</v>
      </c>
      <c r="G290" s="407" t="s">
        <v>97</v>
      </c>
      <c r="H290" s="407" t="s">
        <v>97</v>
      </c>
      <c r="I290" s="407" t="s">
        <v>97</v>
      </c>
      <c r="J290" s="407" t="s">
        <v>2307</v>
      </c>
      <c r="K290" s="818">
        <v>44501</v>
      </c>
      <c r="L290" s="407">
        <v>0</v>
      </c>
      <c r="M290" s="407">
        <v>0</v>
      </c>
      <c r="N290" s="407">
        <v>47.77</v>
      </c>
      <c r="O290" s="407">
        <v>44.903799999999997</v>
      </c>
      <c r="P290" s="407">
        <v>47.77</v>
      </c>
      <c r="Q290" s="407">
        <v>44.903799999999997</v>
      </c>
      <c r="R290" s="407"/>
      <c r="S290" s="407">
        <v>648.44000000000005</v>
      </c>
      <c r="T290" s="407">
        <v>159.41</v>
      </c>
      <c r="U290" s="407"/>
      <c r="V290" s="407">
        <v>38590.994500000001</v>
      </c>
      <c r="W290" s="407">
        <v>38590.994500000001</v>
      </c>
      <c r="X290" s="407">
        <v>29226.6414</v>
      </c>
      <c r="Y290" s="407">
        <v>0</v>
      </c>
      <c r="Z290" s="407">
        <v>2960.3188725954205</v>
      </c>
      <c r="AA290" s="407">
        <v>0</v>
      </c>
      <c r="AB290" s="407">
        <v>0</v>
      </c>
      <c r="AC290" s="407">
        <v>0</v>
      </c>
      <c r="AD290" s="407">
        <v>5572.1042401432278</v>
      </c>
      <c r="AE290" s="407">
        <v>19946.171979898671</v>
      </c>
      <c r="AF290" s="407">
        <v>7367.6013373852165</v>
      </c>
      <c r="AG290" s="407">
        <v>247.53206556454865</v>
      </c>
      <c r="AH290" s="407">
        <v>0</v>
      </c>
      <c r="AI290" s="407">
        <v>0</v>
      </c>
      <c r="AJ290" s="407">
        <v>0</v>
      </c>
      <c r="AK290" s="407">
        <v>0</v>
      </c>
      <c r="AL290" s="407">
        <v>457.44816410495162</v>
      </c>
      <c r="AM290" s="407"/>
      <c r="AN290" s="407">
        <v>99.127318745651252</v>
      </c>
      <c r="AO290" s="407">
        <v>0</v>
      </c>
      <c r="AP290" s="407">
        <v>0</v>
      </c>
      <c r="AQ290" s="407">
        <v>0</v>
      </c>
      <c r="AR290" s="407">
        <v>0</v>
      </c>
      <c r="AS290" s="407">
        <v>0</v>
      </c>
      <c r="AT290" s="407">
        <v>0</v>
      </c>
      <c r="AU290" s="407">
        <v>0</v>
      </c>
      <c r="AV290" s="407">
        <v>0</v>
      </c>
      <c r="AW290" s="407">
        <v>0</v>
      </c>
      <c r="AX290" s="407">
        <v>0</v>
      </c>
      <c r="AY290" s="407">
        <v>0</v>
      </c>
      <c r="AZ290" s="407">
        <v>0</v>
      </c>
      <c r="BA290" s="407"/>
      <c r="BB290" s="407">
        <v>0</v>
      </c>
      <c r="BC290" s="407">
        <v>0</v>
      </c>
      <c r="BD290" s="407">
        <v>0</v>
      </c>
      <c r="BE290" s="407">
        <v>0</v>
      </c>
      <c r="BF290" s="407">
        <v>0</v>
      </c>
      <c r="BG290" s="407">
        <v>538.54813126558054</v>
      </c>
      <c r="BH290" s="407">
        <v>0</v>
      </c>
      <c r="BI290" s="407">
        <v>237.14</v>
      </c>
      <c r="BJ290" s="407">
        <v>1062.23</v>
      </c>
      <c r="BK290" s="407">
        <v>16008.99</v>
      </c>
      <c r="BL290" s="407">
        <v>13</v>
      </c>
      <c r="BM290" s="407"/>
      <c r="BN290" s="407"/>
      <c r="BO290" s="407"/>
      <c r="BP290" s="407"/>
      <c r="BQ290" s="407">
        <v>1753.5984840000037</v>
      </c>
      <c r="BR290" s="407"/>
      <c r="BS290" s="407"/>
      <c r="BT290" s="407"/>
      <c r="BU290" s="407"/>
      <c r="BV290" s="407">
        <v>7906.1494686507967</v>
      </c>
      <c r="BW290" s="407"/>
      <c r="BX290" s="407"/>
      <c r="BY290" s="407"/>
      <c r="BZ290" s="407"/>
      <c r="CA290" s="407"/>
      <c r="CB290" s="407"/>
      <c r="CC290" s="407"/>
      <c r="CD290" s="407"/>
      <c r="CE290" s="407"/>
      <c r="CF290" s="407"/>
      <c r="CG290" s="407"/>
      <c r="CH290" s="407"/>
      <c r="CI290" s="407">
        <v>27470.718000000001</v>
      </c>
      <c r="CJ290" s="407">
        <v>-8804.846829999995</v>
      </c>
      <c r="CK290" s="407"/>
      <c r="CL290" s="407"/>
      <c r="CM290" s="407"/>
      <c r="CN290" s="407"/>
      <c r="CO290" s="407">
        <v>-10676.595000000003</v>
      </c>
      <c r="CP290" s="407">
        <v>1312.2419</v>
      </c>
      <c r="CQ290" s="407">
        <v>30</v>
      </c>
      <c r="CR290" s="407">
        <v>824.22444060799899</v>
      </c>
      <c r="CS290" s="407">
        <v>0</v>
      </c>
      <c r="CT290" s="407">
        <v>0</v>
      </c>
      <c r="CU290" s="407">
        <v>0</v>
      </c>
      <c r="CV290" s="407">
        <v>0</v>
      </c>
      <c r="CW290" s="407">
        <v>0</v>
      </c>
      <c r="CX290" s="407">
        <v>0</v>
      </c>
      <c r="CY290" s="407">
        <v>0</v>
      </c>
      <c r="CZ290" s="407">
        <v>251.70299695146969</v>
      </c>
      <c r="DA290" s="407">
        <v>0</v>
      </c>
      <c r="DB290" s="407">
        <v>0</v>
      </c>
      <c r="DC290" s="407">
        <v>1460.7963842773024</v>
      </c>
      <c r="DD290" s="407">
        <v>0</v>
      </c>
      <c r="DE290" s="407">
        <v>0</v>
      </c>
      <c r="DF290" s="407">
        <v>0</v>
      </c>
      <c r="DG290" s="407">
        <v>106.77955102159024</v>
      </c>
      <c r="DH290" s="407">
        <v>0</v>
      </c>
      <c r="DI290" s="407">
        <v>-207.34657379562213</v>
      </c>
      <c r="DJ290" s="407"/>
      <c r="DK290" s="407">
        <v>0</v>
      </c>
      <c r="DL290" s="407">
        <v>0</v>
      </c>
      <c r="DM290" s="407">
        <v>0</v>
      </c>
      <c r="DN290" s="407">
        <v>0</v>
      </c>
      <c r="DO290" s="407">
        <v>-27.909542359385625</v>
      </c>
      <c r="DP290" s="407">
        <v>-6.3161534370063777</v>
      </c>
      <c r="DQ290" s="407">
        <v>0</v>
      </c>
      <c r="DR290" s="407">
        <v>-753.48222205034654</v>
      </c>
      <c r="DS290" s="407"/>
      <c r="DT290" s="407"/>
      <c r="DU290" s="407"/>
      <c r="DV290" s="407">
        <v>19946.171979898671</v>
      </c>
      <c r="DW290" s="407">
        <v>0</v>
      </c>
      <c r="DX290" s="407">
        <v>0</v>
      </c>
      <c r="DY290" s="407">
        <v>-10676.595000000005</v>
      </c>
      <c r="DZ290" s="407">
        <v>1312.2419000000009</v>
      </c>
      <c r="EA290" s="407">
        <v>0</v>
      </c>
      <c r="EB290" s="407">
        <v>0</v>
      </c>
      <c r="EC290" s="407">
        <v>-10188.550974777128</v>
      </c>
      <c r="ED290" s="407">
        <v>0</v>
      </c>
      <c r="EE290" s="407">
        <v>0</v>
      </c>
      <c r="EF290" s="407">
        <v>0</v>
      </c>
      <c r="EG290" s="407">
        <v>0</v>
      </c>
      <c r="EH290" s="407">
        <v>0</v>
      </c>
      <c r="EI290" s="407">
        <v>0</v>
      </c>
      <c r="EJ290" s="407">
        <v>0</v>
      </c>
      <c r="EK290" s="407">
        <v>0</v>
      </c>
      <c r="EL290" s="407">
        <v>0</v>
      </c>
      <c r="EM290" s="407">
        <v>0</v>
      </c>
      <c r="EN290" s="407">
        <v>0</v>
      </c>
      <c r="EO290" s="407">
        <v>0</v>
      </c>
      <c r="EP290" s="407">
        <v>1402.2501206546385</v>
      </c>
      <c r="EQ290" s="407">
        <v>0</v>
      </c>
      <c r="ER290" s="407">
        <v>0</v>
      </c>
      <c r="ES290" s="407">
        <v>0</v>
      </c>
      <c r="ET290" s="407">
        <v>0</v>
      </c>
      <c r="EU290" s="407">
        <v>0</v>
      </c>
      <c r="EV290" s="407">
        <v>246</v>
      </c>
      <c r="EW290" s="407">
        <v>0</v>
      </c>
      <c r="EX290" s="407">
        <v>0</v>
      </c>
      <c r="EY290" s="407">
        <v>0</v>
      </c>
      <c r="EZ290" s="407"/>
      <c r="FA290" s="407">
        <v>0</v>
      </c>
      <c r="FB290" s="407"/>
      <c r="FC290" s="407"/>
      <c r="FD290" s="407"/>
      <c r="FE290" s="407"/>
      <c r="FF290" s="407">
        <v>0</v>
      </c>
      <c r="FG290" s="407">
        <v>0</v>
      </c>
      <c r="FH290" s="407">
        <v>0</v>
      </c>
      <c r="FI290" s="407">
        <v>0</v>
      </c>
    </row>
    <row r="291" spans="1:165">
      <c r="A291" s="407">
        <v>306</v>
      </c>
      <c r="B291" s="407" t="s">
        <v>1090</v>
      </c>
      <c r="C291" s="407" t="s">
        <v>2317</v>
      </c>
      <c r="D291" s="407" t="s">
        <v>650</v>
      </c>
      <c r="E291" s="407" t="s">
        <v>1052</v>
      </c>
      <c r="F291" s="407" t="s">
        <v>2321</v>
      </c>
      <c r="G291" s="407" t="s">
        <v>97</v>
      </c>
      <c r="H291" s="407" t="s">
        <v>97</v>
      </c>
      <c r="I291" s="407" t="s">
        <v>1025</v>
      </c>
      <c r="J291" s="407" t="s">
        <v>2307</v>
      </c>
      <c r="K291" s="818">
        <v>44501</v>
      </c>
      <c r="L291" s="407">
        <v>708</v>
      </c>
      <c r="M291" s="407">
        <v>665.52</v>
      </c>
      <c r="N291" s="407">
        <v>32.155000000000001</v>
      </c>
      <c r="O291" s="407">
        <v>30.2257</v>
      </c>
      <c r="P291" s="407">
        <v>32.155000000000001</v>
      </c>
      <c r="Q291" s="407">
        <v>30.2257</v>
      </c>
      <c r="R291" s="407">
        <v>112.91</v>
      </c>
      <c r="S291" s="407">
        <v>95.29</v>
      </c>
      <c r="T291" s="407">
        <v>159.41</v>
      </c>
      <c r="U291" s="407">
        <v>79940.28</v>
      </c>
      <c r="V291" s="407">
        <v>8189.8785000000007</v>
      </c>
      <c r="W291" s="407">
        <v>88130.158500000005</v>
      </c>
      <c r="X291" s="407">
        <v>56439.161050000002</v>
      </c>
      <c r="Y291" s="407">
        <v>0</v>
      </c>
      <c r="Z291" s="407">
        <v>1733.608465836842</v>
      </c>
      <c r="AA291" s="407">
        <v>0</v>
      </c>
      <c r="AB291" s="407">
        <v>0</v>
      </c>
      <c r="AC291" s="407">
        <v>0</v>
      </c>
      <c r="AD291" s="407">
        <v>17972.872804850485</v>
      </c>
      <c r="AE291" s="407">
        <v>61965.112641339554</v>
      </c>
      <c r="AF291" s="407">
        <v>4959.2886959100197</v>
      </c>
      <c r="AG291" s="407">
        <v>166.6190824414499</v>
      </c>
      <c r="AH291" s="407">
        <v>0</v>
      </c>
      <c r="AI291" s="407">
        <v>0</v>
      </c>
      <c r="AJ291" s="407">
        <v>0</v>
      </c>
      <c r="AK291" s="407">
        <v>0</v>
      </c>
      <c r="AL291" s="407">
        <v>307.91805980311324</v>
      </c>
      <c r="AM291" s="407"/>
      <c r="AN291" s="407">
        <v>34.525896956439169</v>
      </c>
      <c r="AO291" s="407">
        <v>0</v>
      </c>
      <c r="AP291" s="407">
        <v>0</v>
      </c>
      <c r="AQ291" s="407">
        <v>0</v>
      </c>
      <c r="AR291" s="407">
        <v>0</v>
      </c>
      <c r="AS291" s="407">
        <v>0</v>
      </c>
      <c r="AT291" s="407">
        <v>0</v>
      </c>
      <c r="AU291" s="407">
        <v>0</v>
      </c>
      <c r="AV291" s="407">
        <v>0</v>
      </c>
      <c r="AW291" s="407">
        <v>0</v>
      </c>
      <c r="AX291" s="407">
        <v>0</v>
      </c>
      <c r="AY291" s="407">
        <v>0</v>
      </c>
      <c r="AZ291" s="407">
        <v>0</v>
      </c>
      <c r="BA291" s="407"/>
      <c r="BB291" s="407">
        <v>0</v>
      </c>
      <c r="BC291" s="407">
        <v>0</v>
      </c>
      <c r="BD291" s="407">
        <v>0</v>
      </c>
      <c r="BE291" s="407">
        <v>0</v>
      </c>
      <c r="BF291" s="407">
        <v>0</v>
      </c>
      <c r="BG291" s="407">
        <v>166.88041001171024</v>
      </c>
      <c r="BH291" s="407">
        <v>0</v>
      </c>
      <c r="BI291" s="407">
        <v>0</v>
      </c>
      <c r="BJ291" s="407">
        <v>0</v>
      </c>
      <c r="BK291" s="407">
        <v>0</v>
      </c>
      <c r="BL291" s="407">
        <v>0</v>
      </c>
      <c r="BM291" s="407"/>
      <c r="BN291" s="407"/>
      <c r="BO291" s="407"/>
      <c r="BP291" s="407"/>
      <c r="BQ291" s="407">
        <v>3386.3496630000018</v>
      </c>
      <c r="BR291" s="407"/>
      <c r="BS291" s="407"/>
      <c r="BT291" s="407"/>
      <c r="BU291" s="407"/>
      <c r="BV291" s="407">
        <v>5126.1691059217301</v>
      </c>
      <c r="BW291" s="407"/>
      <c r="BX291" s="407"/>
      <c r="BY291" s="407"/>
      <c r="BZ291" s="407"/>
      <c r="CA291" s="407"/>
      <c r="CB291" s="407"/>
      <c r="CC291" s="407"/>
      <c r="CD291" s="407"/>
      <c r="CE291" s="407"/>
      <c r="CF291" s="407"/>
      <c r="CG291" s="407"/>
      <c r="CH291" s="407"/>
      <c r="CI291" s="407">
        <v>53054.002099999998</v>
      </c>
      <c r="CJ291" s="407">
        <v>-29788.376889999985</v>
      </c>
      <c r="CK291" s="407"/>
      <c r="CL291" s="407"/>
      <c r="CM291" s="407"/>
      <c r="CN291" s="407"/>
      <c r="CO291" s="407">
        <v>-32574.295299999998</v>
      </c>
      <c r="CP291" s="407">
        <v>883.29785000000004</v>
      </c>
      <c r="CQ291" s="407">
        <v>30</v>
      </c>
      <c r="CR291" s="407">
        <v>-34.839205483625847</v>
      </c>
      <c r="CS291" s="407">
        <v>0</v>
      </c>
      <c r="CT291" s="407">
        <v>0</v>
      </c>
      <c r="CU291" s="407">
        <v>0</v>
      </c>
      <c r="CV291" s="407">
        <v>0</v>
      </c>
      <c r="CW291" s="407">
        <v>0</v>
      </c>
      <c r="CX291" s="407">
        <v>0</v>
      </c>
      <c r="CY291" s="407">
        <v>0</v>
      </c>
      <c r="CZ291" s="407">
        <v>811.87030138765112</v>
      </c>
      <c r="DA291" s="407">
        <v>0</v>
      </c>
      <c r="DB291" s="407">
        <v>0</v>
      </c>
      <c r="DC291" s="407">
        <v>983.29302358041969</v>
      </c>
      <c r="DD291" s="407">
        <v>0</v>
      </c>
      <c r="DE291" s="407">
        <v>0</v>
      </c>
      <c r="DF291" s="407">
        <v>0</v>
      </c>
      <c r="DG291" s="407">
        <v>33.087878725851112</v>
      </c>
      <c r="DH291" s="407">
        <v>0</v>
      </c>
      <c r="DI291" s="407">
        <v>-121.42535691744797</v>
      </c>
      <c r="DJ291" s="407"/>
      <c r="DK291" s="407">
        <v>0</v>
      </c>
      <c r="DL291" s="407">
        <v>0</v>
      </c>
      <c r="DM291" s="407">
        <v>0</v>
      </c>
      <c r="DN291" s="407">
        <v>0</v>
      </c>
      <c r="DO291" s="407">
        <v>-18.78650480565301</v>
      </c>
      <c r="DP291" s="407">
        <v>-2.1999068015414665</v>
      </c>
      <c r="DQ291" s="407">
        <v>0</v>
      </c>
      <c r="DR291" s="407">
        <v>-1720.6786406529054</v>
      </c>
      <c r="DS291" s="407"/>
      <c r="DT291" s="407"/>
      <c r="DU291" s="407">
        <v>61965.112641339554</v>
      </c>
      <c r="DV291" s="407">
        <v>0</v>
      </c>
      <c r="DW291" s="407">
        <v>0</v>
      </c>
      <c r="DX291" s="407">
        <v>0</v>
      </c>
      <c r="DY291" s="407">
        <v>-32574.295299999998</v>
      </c>
      <c r="DZ291" s="407">
        <v>883.29784999999993</v>
      </c>
      <c r="EA291" s="407">
        <v>0</v>
      </c>
      <c r="EB291" s="407">
        <v>0</v>
      </c>
      <c r="EC291" s="407">
        <v>-31651.923458814021</v>
      </c>
      <c r="ED291" s="407">
        <v>0</v>
      </c>
      <c r="EE291" s="407">
        <v>0</v>
      </c>
      <c r="EF291" s="407">
        <v>0</v>
      </c>
      <c r="EG291" s="407">
        <v>0</v>
      </c>
      <c r="EH291" s="407">
        <v>0</v>
      </c>
      <c r="EI291" s="407">
        <v>0</v>
      </c>
      <c r="EJ291" s="407">
        <v>0</v>
      </c>
      <c r="EK291" s="407">
        <v>0</v>
      </c>
      <c r="EL291" s="407">
        <v>0</v>
      </c>
      <c r="EM291" s="407">
        <v>0</v>
      </c>
      <c r="EN291" s="407">
        <v>0</v>
      </c>
      <c r="EO291" s="407">
        <v>0</v>
      </c>
      <c r="EP291" s="407">
        <v>821.1793340547498</v>
      </c>
      <c r="EQ291" s="407">
        <v>0</v>
      </c>
      <c r="ER291" s="407">
        <v>0</v>
      </c>
      <c r="ES291" s="407">
        <v>0</v>
      </c>
      <c r="ET291" s="407">
        <v>0</v>
      </c>
      <c r="EU291" s="407">
        <v>0</v>
      </c>
      <c r="EV291" s="407">
        <v>246</v>
      </c>
      <c r="EW291" s="407">
        <v>0</v>
      </c>
      <c r="EX291" s="407">
        <v>0</v>
      </c>
      <c r="EY291" s="407">
        <v>0</v>
      </c>
      <c r="EZ291" s="407"/>
      <c r="FA291" s="407">
        <v>0</v>
      </c>
      <c r="FB291" s="407"/>
      <c r="FC291" s="407"/>
      <c r="FD291" s="407"/>
      <c r="FE291" s="407"/>
      <c r="FF291" s="407">
        <v>0</v>
      </c>
      <c r="FG291" s="407">
        <v>0</v>
      </c>
      <c r="FH291" s="407">
        <v>0</v>
      </c>
      <c r="FI291" s="407">
        <v>0</v>
      </c>
    </row>
    <row r="292" spans="1:165">
      <c r="A292" s="407">
        <v>307</v>
      </c>
      <c r="B292" s="407" t="s">
        <v>1090</v>
      </c>
      <c r="C292" s="407" t="s">
        <v>2317</v>
      </c>
      <c r="D292" s="407" t="s">
        <v>650</v>
      </c>
      <c r="E292" s="407" t="s">
        <v>1052</v>
      </c>
      <c r="F292" s="407" t="s">
        <v>2321</v>
      </c>
      <c r="G292" s="407" t="s">
        <v>97</v>
      </c>
      <c r="H292" s="407" t="s">
        <v>97</v>
      </c>
      <c r="I292" s="407" t="s">
        <v>2290</v>
      </c>
      <c r="J292" s="407" t="s">
        <v>2307</v>
      </c>
      <c r="K292" s="818">
        <v>44501</v>
      </c>
      <c r="L292" s="407">
        <v>718</v>
      </c>
      <c r="M292" s="407">
        <v>674.92</v>
      </c>
      <c r="N292" s="407">
        <v>359.661</v>
      </c>
      <c r="O292" s="407">
        <v>338.08134000000001</v>
      </c>
      <c r="P292" s="407">
        <v>359.661</v>
      </c>
      <c r="Q292" s="407">
        <v>338.08134000000001</v>
      </c>
      <c r="R292" s="407">
        <v>43.29</v>
      </c>
      <c r="S292" s="407">
        <v>95.29</v>
      </c>
      <c r="T292" s="407">
        <v>159.41</v>
      </c>
      <c r="U292" s="407">
        <v>31082.22</v>
      </c>
      <c r="V292" s="407">
        <v>91605.656700000007</v>
      </c>
      <c r="W292" s="407">
        <v>122687.87670000001</v>
      </c>
      <c r="X292" s="407">
        <v>123639.54751</v>
      </c>
      <c r="Y292" s="407">
        <v>0</v>
      </c>
      <c r="Z292" s="407">
        <v>19390.80561129978</v>
      </c>
      <c r="AA292" s="407">
        <v>0</v>
      </c>
      <c r="AB292" s="407">
        <v>0</v>
      </c>
      <c r="AC292" s="407">
        <v>0</v>
      </c>
      <c r="AD292" s="407">
        <v>16990.742779758486</v>
      </c>
      <c r="AE292" s="407">
        <v>14093.756340938808</v>
      </c>
      <c r="AF292" s="407">
        <v>55470.773803753495</v>
      </c>
      <c r="AG292" s="407">
        <v>1863.6723934061363</v>
      </c>
      <c r="AH292" s="407">
        <v>0</v>
      </c>
      <c r="AI292" s="407">
        <v>0</v>
      </c>
      <c r="AJ292" s="407">
        <v>0</v>
      </c>
      <c r="AK292" s="407">
        <v>0</v>
      </c>
      <c r="AL292" s="407">
        <v>3444.1336435032654</v>
      </c>
      <c r="AM292" s="407"/>
      <c r="AN292" s="407">
        <v>386.18002255480849</v>
      </c>
      <c r="AO292" s="407">
        <v>0</v>
      </c>
      <c r="AP292" s="407">
        <v>0</v>
      </c>
      <c r="AQ292" s="407">
        <v>0</v>
      </c>
      <c r="AR292" s="407">
        <v>0</v>
      </c>
      <c r="AS292" s="407">
        <v>0</v>
      </c>
      <c r="AT292" s="407">
        <v>0</v>
      </c>
      <c r="AU292" s="407">
        <v>0</v>
      </c>
      <c r="AV292" s="407">
        <v>0</v>
      </c>
      <c r="AW292" s="407">
        <v>0</v>
      </c>
      <c r="AX292" s="407">
        <v>0</v>
      </c>
      <c r="AY292" s="407">
        <v>0</v>
      </c>
      <c r="AZ292" s="407">
        <v>0</v>
      </c>
      <c r="BA292" s="407"/>
      <c r="BB292" s="407">
        <v>0</v>
      </c>
      <c r="BC292" s="407">
        <v>0</v>
      </c>
      <c r="BD292" s="407">
        <v>0</v>
      </c>
      <c r="BE292" s="407">
        <v>0</v>
      </c>
      <c r="BF292" s="407">
        <v>0</v>
      </c>
      <c r="BG292" s="407">
        <v>1866.5954018106584</v>
      </c>
      <c r="BH292" s="407">
        <v>0</v>
      </c>
      <c r="BI292" s="407">
        <v>0</v>
      </c>
      <c r="BJ292" s="407">
        <v>0</v>
      </c>
      <c r="BK292" s="407">
        <v>0</v>
      </c>
      <c r="BL292" s="407">
        <v>0</v>
      </c>
      <c r="BM292" s="407"/>
      <c r="BN292" s="407"/>
      <c r="BO292" s="407"/>
      <c r="BP292" s="407"/>
      <c r="BQ292" s="407">
        <v>7418.3728505999989</v>
      </c>
      <c r="BR292" s="407"/>
      <c r="BS292" s="407"/>
      <c r="BT292" s="407"/>
      <c r="BU292" s="407"/>
      <c r="BV292" s="407">
        <v>57337.369205564151</v>
      </c>
      <c r="BW292" s="407"/>
      <c r="BX292" s="407"/>
      <c r="BY292" s="407"/>
      <c r="BZ292" s="407"/>
      <c r="CA292" s="407"/>
      <c r="CB292" s="407"/>
      <c r="CC292" s="407"/>
      <c r="CD292" s="407"/>
      <c r="CE292" s="407"/>
      <c r="CF292" s="407"/>
      <c r="CG292" s="407"/>
      <c r="CH292" s="407"/>
      <c r="CI292" s="407">
        <v>116220.80359999998</v>
      </c>
      <c r="CJ292" s="407">
        <v>894.16950199998973</v>
      </c>
      <c r="CK292" s="407"/>
      <c r="CL292" s="407"/>
      <c r="CM292" s="407"/>
      <c r="CN292" s="407"/>
      <c r="CO292" s="407">
        <v>-8928.2168600000005</v>
      </c>
      <c r="CP292" s="407">
        <v>9879.8876700000001</v>
      </c>
      <c r="CQ292" s="407">
        <v>30</v>
      </c>
      <c r="CR292" s="407">
        <v>8147.5219812220603</v>
      </c>
      <c r="CS292" s="407">
        <v>0</v>
      </c>
      <c r="CT292" s="407">
        <v>0</v>
      </c>
      <c r="CU292" s="407">
        <v>0</v>
      </c>
      <c r="CV292" s="407">
        <v>0</v>
      </c>
      <c r="CW292" s="407">
        <v>0</v>
      </c>
      <c r="CX292" s="407">
        <v>0</v>
      </c>
      <c r="CY292" s="407">
        <v>0</v>
      </c>
      <c r="CZ292" s="407">
        <v>767.5055407769396</v>
      </c>
      <c r="DA292" s="407">
        <v>0</v>
      </c>
      <c r="DB292" s="407">
        <v>0</v>
      </c>
      <c r="DC292" s="407">
        <v>10998.356465680517</v>
      </c>
      <c r="DD292" s="407">
        <v>0</v>
      </c>
      <c r="DE292" s="407">
        <v>0</v>
      </c>
      <c r="DF292" s="407">
        <v>0</v>
      </c>
      <c r="DG292" s="407">
        <v>370.09546106105859</v>
      </c>
      <c r="DH292" s="407">
        <v>0</v>
      </c>
      <c r="DI292" s="407">
        <v>-1358.1702781616004</v>
      </c>
      <c r="DJ292" s="407"/>
      <c r="DK292" s="407">
        <v>0</v>
      </c>
      <c r="DL292" s="407">
        <v>0</v>
      </c>
      <c r="DM292" s="407">
        <v>0</v>
      </c>
      <c r="DN292" s="407">
        <v>0</v>
      </c>
      <c r="DO292" s="407">
        <v>-210.13133587019001</v>
      </c>
      <c r="DP292" s="407">
        <v>-24.606458720236503</v>
      </c>
      <c r="DQ292" s="407">
        <v>0</v>
      </c>
      <c r="DR292" s="407">
        <v>-2395.5274135444156</v>
      </c>
      <c r="DS292" s="407"/>
      <c r="DT292" s="407"/>
      <c r="DU292" s="407">
        <v>14093.756340938808</v>
      </c>
      <c r="DV292" s="407">
        <v>0</v>
      </c>
      <c r="DW292" s="407">
        <v>0</v>
      </c>
      <c r="DX292" s="407">
        <v>0</v>
      </c>
      <c r="DY292" s="407">
        <v>-8928.2168600000077</v>
      </c>
      <c r="DZ292" s="407">
        <v>9879.8876699999964</v>
      </c>
      <c r="EA292" s="407">
        <v>0</v>
      </c>
      <c r="EB292" s="407">
        <v>0</v>
      </c>
      <c r="EC292" s="407">
        <v>-7199.1234734391937</v>
      </c>
      <c r="ED292" s="407">
        <v>0</v>
      </c>
      <c r="EE292" s="407">
        <v>0</v>
      </c>
      <c r="EF292" s="407">
        <v>0</v>
      </c>
      <c r="EG292" s="407">
        <v>0</v>
      </c>
      <c r="EH292" s="407">
        <v>0</v>
      </c>
      <c r="EI292" s="407">
        <v>0</v>
      </c>
      <c r="EJ292" s="407">
        <v>0</v>
      </c>
      <c r="EK292" s="407">
        <v>0</v>
      </c>
      <c r="EL292" s="407">
        <v>0</v>
      </c>
      <c r="EM292" s="407">
        <v>0</v>
      </c>
      <c r="EN292" s="407">
        <v>0</v>
      </c>
      <c r="EO292" s="407">
        <v>0</v>
      </c>
      <c r="EP292" s="407">
        <v>9185.0779183786453</v>
      </c>
      <c r="EQ292" s="407">
        <v>0</v>
      </c>
      <c r="ER292" s="407">
        <v>0</v>
      </c>
      <c r="ES292" s="407">
        <v>0</v>
      </c>
      <c r="ET292" s="407">
        <v>0</v>
      </c>
      <c r="EU292" s="407">
        <v>0</v>
      </c>
      <c r="EV292" s="407">
        <v>246</v>
      </c>
      <c r="EW292" s="407">
        <v>0</v>
      </c>
      <c r="EX292" s="407">
        <v>0</v>
      </c>
      <c r="EY292" s="407">
        <v>0</v>
      </c>
      <c r="EZ292" s="407"/>
      <c r="FA292" s="407">
        <v>0</v>
      </c>
      <c r="FB292" s="407"/>
      <c r="FC292" s="407"/>
      <c r="FD292" s="407"/>
      <c r="FE292" s="407"/>
      <c r="FF292" s="407">
        <v>0</v>
      </c>
      <c r="FG292" s="407">
        <v>0</v>
      </c>
      <c r="FH292" s="407">
        <v>0</v>
      </c>
      <c r="FI292" s="407">
        <v>0</v>
      </c>
    </row>
    <row r="293" spans="1:165">
      <c r="A293" s="407">
        <v>308</v>
      </c>
      <c r="B293" s="407" t="s">
        <v>1090</v>
      </c>
      <c r="C293" s="407" t="s">
        <v>2317</v>
      </c>
      <c r="D293" s="407" t="s">
        <v>650</v>
      </c>
      <c r="E293" s="407" t="s">
        <v>1052</v>
      </c>
      <c r="F293" s="407" t="s">
        <v>2321</v>
      </c>
      <c r="G293" s="407" t="s">
        <v>97</v>
      </c>
      <c r="H293" s="407" t="s">
        <v>97</v>
      </c>
      <c r="I293" s="407" t="s">
        <v>97</v>
      </c>
      <c r="J293" s="407" t="s">
        <v>2307</v>
      </c>
      <c r="K293" s="818">
        <v>44501</v>
      </c>
      <c r="L293" s="407">
        <v>0</v>
      </c>
      <c r="M293" s="407">
        <v>0</v>
      </c>
      <c r="N293" s="407">
        <v>0</v>
      </c>
      <c r="O293" s="407">
        <v>0</v>
      </c>
      <c r="P293" s="407">
        <v>0</v>
      </c>
      <c r="Q293" s="407">
        <v>0</v>
      </c>
      <c r="R293" s="407"/>
      <c r="S293" s="407"/>
      <c r="T293" s="407"/>
      <c r="U293" s="407"/>
      <c r="V293" s="407"/>
      <c r="W293" s="407"/>
      <c r="X293" s="407"/>
      <c r="Y293" s="407"/>
      <c r="Z293" s="407"/>
      <c r="AA293" s="407">
        <v>0</v>
      </c>
      <c r="AB293" s="407"/>
      <c r="AC293" s="407"/>
      <c r="AD293" s="407"/>
      <c r="AE293" s="407"/>
      <c r="AF293" s="407"/>
      <c r="AG293" s="407"/>
      <c r="AH293" s="407"/>
      <c r="AI293" s="407"/>
      <c r="AJ293" s="407"/>
      <c r="AK293" s="407"/>
      <c r="AL293" s="407"/>
      <c r="AM293" s="407"/>
      <c r="AN293" s="407"/>
      <c r="AO293" s="407"/>
      <c r="AP293" s="407"/>
      <c r="AQ293" s="407"/>
      <c r="AR293" s="407"/>
      <c r="AS293" s="407"/>
      <c r="AT293" s="407"/>
      <c r="AU293" s="407"/>
      <c r="AV293" s="407"/>
      <c r="AW293" s="407"/>
      <c r="AX293" s="407"/>
      <c r="AY293" s="407"/>
      <c r="AZ293" s="407">
        <v>0</v>
      </c>
      <c r="BA293" s="407"/>
      <c r="BB293" s="407"/>
      <c r="BC293" s="407"/>
      <c r="BD293" s="407"/>
      <c r="BE293" s="407"/>
      <c r="BF293" s="407"/>
      <c r="BG293" s="407"/>
      <c r="BH293" s="407"/>
      <c r="BI293" s="407">
        <v>1541.29</v>
      </c>
      <c r="BJ293" s="407">
        <v>6902.31</v>
      </c>
      <c r="BK293" s="407">
        <v>101707.16</v>
      </c>
      <c r="BL293" s="407">
        <v>3</v>
      </c>
      <c r="BM293" s="407"/>
      <c r="BN293" s="407"/>
      <c r="BO293" s="407"/>
      <c r="BP293" s="407"/>
      <c r="BQ293" s="407"/>
      <c r="BR293" s="407"/>
      <c r="BS293" s="407"/>
      <c r="BT293" s="407"/>
      <c r="BU293" s="407"/>
      <c r="BV293" s="407"/>
      <c r="BW293" s="407"/>
      <c r="BX293" s="407"/>
      <c r="BY293" s="407"/>
      <c r="BZ293" s="407"/>
      <c r="CA293" s="407"/>
      <c r="CB293" s="407"/>
      <c r="CC293" s="407"/>
      <c r="CD293" s="407"/>
      <c r="CE293" s="407"/>
      <c r="CF293" s="407"/>
      <c r="CG293" s="407"/>
      <c r="CH293" s="407"/>
      <c r="CI293" s="407"/>
      <c r="CJ293" s="407">
        <v>-0.03</v>
      </c>
      <c r="CK293" s="407"/>
      <c r="CL293" s="407"/>
      <c r="CM293" s="407"/>
      <c r="CN293" s="407"/>
      <c r="CO293" s="407">
        <v>0</v>
      </c>
      <c r="CP293" s="407">
        <v>0</v>
      </c>
      <c r="CQ293" s="407">
        <v>30</v>
      </c>
      <c r="CR293" s="407"/>
      <c r="CS293" s="407"/>
      <c r="CT293" s="407"/>
      <c r="CU293" s="407"/>
      <c r="CV293" s="407"/>
      <c r="CW293" s="407"/>
      <c r="CX293" s="407"/>
      <c r="CY293" s="407"/>
      <c r="CZ293" s="407"/>
      <c r="DA293" s="407"/>
      <c r="DB293" s="407"/>
      <c r="DC293" s="407"/>
      <c r="DD293" s="407"/>
      <c r="DE293" s="407"/>
      <c r="DF293" s="407"/>
      <c r="DG293" s="407"/>
      <c r="DH293" s="407"/>
      <c r="DI293" s="407"/>
      <c r="DJ293" s="407"/>
      <c r="DK293" s="407">
        <v>0</v>
      </c>
      <c r="DL293" s="407"/>
      <c r="DM293" s="407"/>
      <c r="DN293" s="407"/>
      <c r="DO293" s="407"/>
      <c r="DP293" s="407"/>
      <c r="DQ293" s="407"/>
      <c r="DR293" s="407"/>
      <c r="DS293" s="407"/>
      <c r="DT293" s="407"/>
      <c r="DU293" s="407"/>
      <c r="DV293" s="407"/>
      <c r="DW293" s="407"/>
      <c r="DX293" s="407"/>
      <c r="DY293" s="407"/>
      <c r="DZ293" s="407"/>
      <c r="EA293" s="407"/>
      <c r="EB293" s="407"/>
      <c r="EC293" s="407"/>
      <c r="ED293" s="407"/>
      <c r="EE293" s="407"/>
      <c r="EF293" s="407"/>
      <c r="EG293" s="407"/>
      <c r="EH293" s="407"/>
      <c r="EI293" s="407"/>
      <c r="EJ293" s="407"/>
      <c r="EK293" s="407"/>
      <c r="EL293" s="407"/>
      <c r="EM293" s="407"/>
      <c r="EN293" s="407"/>
      <c r="EO293" s="407"/>
      <c r="EP293" s="407"/>
      <c r="EQ293" s="407"/>
      <c r="ER293" s="407"/>
      <c r="ES293" s="407"/>
      <c r="ET293" s="407"/>
      <c r="EU293" s="407"/>
      <c r="EV293" s="407">
        <v>246</v>
      </c>
      <c r="EW293" s="407"/>
      <c r="EX293" s="407"/>
      <c r="EY293" s="407"/>
      <c r="EZ293" s="407"/>
      <c r="FA293" s="407">
        <v>0</v>
      </c>
      <c r="FB293" s="407"/>
      <c r="FC293" s="407"/>
      <c r="FD293" s="407"/>
      <c r="FE293" s="407"/>
      <c r="FF293" s="407">
        <v>0</v>
      </c>
      <c r="FG293" s="407">
        <v>0</v>
      </c>
      <c r="FH293" s="407">
        <v>0</v>
      </c>
      <c r="FI293" s="407">
        <v>0</v>
      </c>
    </row>
    <row r="294" spans="1:165">
      <c r="A294" s="407">
        <v>309</v>
      </c>
      <c r="B294" s="407" t="s">
        <v>1090</v>
      </c>
      <c r="C294" s="407" t="s">
        <v>2306</v>
      </c>
      <c r="D294" s="407" t="s">
        <v>1219</v>
      </c>
      <c r="E294" s="407" t="s">
        <v>2322</v>
      </c>
      <c r="F294" s="407" t="s">
        <v>97</v>
      </c>
      <c r="G294" s="407" t="s">
        <v>97</v>
      </c>
      <c r="H294" s="407" t="s">
        <v>97</v>
      </c>
      <c r="I294" s="407" t="s">
        <v>97</v>
      </c>
      <c r="J294" s="407" t="s">
        <v>2307</v>
      </c>
      <c r="K294" s="818">
        <v>44501</v>
      </c>
      <c r="L294" s="407">
        <v>0</v>
      </c>
      <c r="M294" s="407">
        <v>0</v>
      </c>
      <c r="N294" s="407">
        <v>4.2930000000000001</v>
      </c>
      <c r="O294" s="407">
        <v>4.2930000000000001</v>
      </c>
      <c r="P294" s="407">
        <v>4.2930000000000001</v>
      </c>
      <c r="Q294" s="407">
        <v>4.2930000000000001</v>
      </c>
      <c r="R294" s="407"/>
      <c r="S294" s="407">
        <v>648.44000000000005</v>
      </c>
      <c r="T294" s="407">
        <v>159.41</v>
      </c>
      <c r="U294" s="407"/>
      <c r="V294" s="407">
        <v>3468.1000500000005</v>
      </c>
      <c r="W294" s="407">
        <v>3468.1000500000005</v>
      </c>
      <c r="X294" s="407">
        <v>2626.5432600000004</v>
      </c>
      <c r="Y294" s="407">
        <v>0</v>
      </c>
      <c r="Z294" s="407">
        <v>266.0382859546188</v>
      </c>
      <c r="AA294" s="407">
        <v>0</v>
      </c>
      <c r="AB294" s="407">
        <v>0</v>
      </c>
      <c r="AC294" s="407">
        <v>0</v>
      </c>
      <c r="AD294" s="407">
        <v>500.75452172775539</v>
      </c>
      <c r="AE294" s="407">
        <v>1792.5249384489216</v>
      </c>
      <c r="AF294" s="407">
        <v>662.11246684937691</v>
      </c>
      <c r="AG294" s="407">
        <v>22.245240893209282</v>
      </c>
      <c r="AH294" s="407">
        <v>0</v>
      </c>
      <c r="AI294" s="407">
        <v>0</v>
      </c>
      <c r="AJ294" s="407">
        <v>0</v>
      </c>
      <c r="AK294" s="407">
        <v>0</v>
      </c>
      <c r="AL294" s="407">
        <v>41.110005620735969</v>
      </c>
      <c r="AM294" s="407"/>
      <c r="AN294" s="407">
        <v>8.9083855845735993</v>
      </c>
      <c r="AO294" s="407">
        <v>0</v>
      </c>
      <c r="AP294" s="407">
        <v>0</v>
      </c>
      <c r="AQ294" s="407">
        <v>0</v>
      </c>
      <c r="AR294" s="407">
        <v>0</v>
      </c>
      <c r="AS294" s="407">
        <v>0</v>
      </c>
      <c r="AT294" s="407">
        <v>0</v>
      </c>
      <c r="AU294" s="407">
        <v>0</v>
      </c>
      <c r="AV294" s="407">
        <v>0</v>
      </c>
      <c r="AW294" s="407">
        <v>0</v>
      </c>
      <c r="AX294" s="407">
        <v>0</v>
      </c>
      <c r="AY294" s="407">
        <v>0</v>
      </c>
      <c r="AZ294" s="407">
        <v>0</v>
      </c>
      <c r="BA294" s="407"/>
      <c r="BB294" s="407">
        <v>0</v>
      </c>
      <c r="BC294" s="407">
        <v>0</v>
      </c>
      <c r="BD294" s="407">
        <v>0</v>
      </c>
      <c r="BE294" s="407">
        <v>0</v>
      </c>
      <c r="BF294" s="407">
        <v>0</v>
      </c>
      <c r="BG294" s="407">
        <v>48.398307044654324</v>
      </c>
      <c r="BH294" s="407">
        <v>0</v>
      </c>
      <c r="BI294" s="407">
        <v>22.05</v>
      </c>
      <c r="BJ294" s="407">
        <v>98.79</v>
      </c>
      <c r="BK294" s="407">
        <v>1438.68</v>
      </c>
      <c r="BL294" s="407">
        <v>5</v>
      </c>
      <c r="BM294" s="407"/>
      <c r="BN294" s="407"/>
      <c r="BO294" s="407"/>
      <c r="BP294" s="407"/>
      <c r="BQ294" s="407"/>
      <c r="BR294" s="407"/>
      <c r="BS294" s="407"/>
      <c r="BT294" s="407"/>
      <c r="BU294" s="407"/>
      <c r="BV294" s="407">
        <v>710.51077389403122</v>
      </c>
      <c r="BW294" s="407"/>
      <c r="BX294" s="407"/>
      <c r="BY294" s="407"/>
      <c r="BZ294" s="407"/>
      <c r="CA294" s="407"/>
      <c r="CB294" s="407"/>
      <c r="CC294" s="407"/>
      <c r="CD294" s="407"/>
      <c r="CE294" s="407"/>
      <c r="CF294" s="407"/>
      <c r="CG294" s="407"/>
      <c r="CH294" s="407"/>
      <c r="CI294" s="407">
        <v>2624.7078000000001</v>
      </c>
      <c r="CJ294" s="407">
        <v>-843.42225000000099</v>
      </c>
      <c r="CK294" s="407"/>
      <c r="CL294" s="407"/>
      <c r="CM294" s="407"/>
      <c r="CN294" s="407"/>
      <c r="CO294" s="407">
        <v>-959.48550000000023</v>
      </c>
      <c r="CP294" s="407">
        <v>117.92871</v>
      </c>
      <c r="CQ294" s="407">
        <v>30</v>
      </c>
      <c r="CR294" s="407">
        <v>74.071499341221624</v>
      </c>
      <c r="CS294" s="407">
        <v>0</v>
      </c>
      <c r="CT294" s="407">
        <v>0</v>
      </c>
      <c r="CU294" s="407">
        <v>0</v>
      </c>
      <c r="CV294" s="407">
        <v>0</v>
      </c>
      <c r="CW294" s="407">
        <v>0</v>
      </c>
      <c r="CX294" s="407">
        <v>0</v>
      </c>
      <c r="CY294" s="407">
        <v>0</v>
      </c>
      <c r="CZ294" s="407">
        <v>22.620074647533158</v>
      </c>
      <c r="DA294" s="407">
        <v>0</v>
      </c>
      <c r="DB294" s="407">
        <v>0</v>
      </c>
      <c r="DC294" s="407">
        <v>131.27902193222644</v>
      </c>
      <c r="DD294" s="407">
        <v>0</v>
      </c>
      <c r="DE294" s="407">
        <v>0</v>
      </c>
      <c r="DF294" s="407">
        <v>0</v>
      </c>
      <c r="DG294" s="407">
        <v>9.5960772982140909</v>
      </c>
      <c r="DH294" s="407">
        <v>0</v>
      </c>
      <c r="DI294" s="407">
        <v>-18.63384637438989</v>
      </c>
      <c r="DJ294" s="407"/>
      <c r="DK294" s="407">
        <v>0</v>
      </c>
      <c r="DL294" s="407">
        <v>0</v>
      </c>
      <c r="DM294" s="407">
        <v>0</v>
      </c>
      <c r="DN294" s="407">
        <v>0</v>
      </c>
      <c r="DO294" s="407">
        <v>-2.5081780479138018</v>
      </c>
      <c r="DP294" s="407">
        <v>-0.56762082279816717</v>
      </c>
      <c r="DQ294" s="407">
        <v>0</v>
      </c>
      <c r="DR294" s="407">
        <v>-67.714029291650363</v>
      </c>
      <c r="DS294" s="407"/>
      <c r="DT294" s="407"/>
      <c r="DU294" s="407"/>
      <c r="DV294" s="407">
        <v>1792.5249384489216</v>
      </c>
      <c r="DW294" s="407">
        <v>0</v>
      </c>
      <c r="DX294" s="407">
        <v>0</v>
      </c>
      <c r="DY294" s="407">
        <v>-959.48550000000023</v>
      </c>
      <c r="DZ294" s="407">
        <v>117.92871000000002</v>
      </c>
      <c r="EA294" s="407">
        <v>0</v>
      </c>
      <c r="EB294" s="407">
        <v>0</v>
      </c>
      <c r="EC294" s="407">
        <v>-915.62590191999584</v>
      </c>
      <c r="ED294" s="407">
        <v>0</v>
      </c>
      <c r="EE294" s="407">
        <v>0</v>
      </c>
      <c r="EF294" s="407">
        <v>0</v>
      </c>
      <c r="EG294" s="407">
        <v>0</v>
      </c>
      <c r="EH294" s="407">
        <v>0</v>
      </c>
      <c r="EI294" s="407">
        <v>0</v>
      </c>
      <c r="EJ294" s="407">
        <v>0</v>
      </c>
      <c r="EK294" s="407">
        <v>0</v>
      </c>
      <c r="EL294" s="407">
        <v>0</v>
      </c>
      <c r="EM294" s="407">
        <v>0</v>
      </c>
      <c r="EN294" s="407">
        <v>0</v>
      </c>
      <c r="EO294" s="407">
        <v>0</v>
      </c>
      <c r="EP294" s="407">
        <v>126.01757940067748</v>
      </c>
      <c r="EQ294" s="407">
        <v>0</v>
      </c>
      <c r="ER294" s="407">
        <v>0</v>
      </c>
      <c r="ES294" s="407">
        <v>0</v>
      </c>
      <c r="ET294" s="407">
        <v>0</v>
      </c>
      <c r="EU294" s="407">
        <v>0</v>
      </c>
      <c r="EV294" s="407">
        <v>246</v>
      </c>
      <c r="EW294" s="407">
        <v>0</v>
      </c>
      <c r="EX294" s="407">
        <v>0</v>
      </c>
      <c r="EY294" s="407">
        <v>0</v>
      </c>
      <c r="EZ294" s="407"/>
      <c r="FA294" s="407">
        <v>0</v>
      </c>
      <c r="FB294" s="407"/>
      <c r="FC294" s="407"/>
      <c r="FD294" s="407"/>
      <c r="FE294" s="407"/>
      <c r="FF294" s="407">
        <v>0</v>
      </c>
      <c r="FG294" s="407">
        <v>0</v>
      </c>
      <c r="FH294" s="407">
        <v>0</v>
      </c>
      <c r="FI294" s="407">
        <v>0</v>
      </c>
    </row>
    <row r="295" spans="1:165">
      <c r="A295" s="407">
        <v>310</v>
      </c>
      <c r="B295" s="407" t="s">
        <v>1090</v>
      </c>
      <c r="C295" s="407" t="s">
        <v>2306</v>
      </c>
      <c r="D295" s="407" t="s">
        <v>2315</v>
      </c>
      <c r="E295" s="407" t="s">
        <v>1026</v>
      </c>
      <c r="F295" s="407" t="s">
        <v>2323</v>
      </c>
      <c r="G295" s="407" t="s">
        <v>2324</v>
      </c>
      <c r="H295" s="407" t="s">
        <v>97</v>
      </c>
      <c r="I295" s="407" t="s">
        <v>97</v>
      </c>
      <c r="J295" s="407" t="s">
        <v>2307</v>
      </c>
      <c r="K295" s="818">
        <v>44501</v>
      </c>
      <c r="L295" s="407">
        <v>0</v>
      </c>
      <c r="M295" s="407">
        <v>0</v>
      </c>
      <c r="N295" s="407">
        <v>0</v>
      </c>
      <c r="O295" s="407">
        <v>0</v>
      </c>
      <c r="P295" s="407">
        <v>0</v>
      </c>
      <c r="Q295" s="407">
        <v>0</v>
      </c>
      <c r="R295" s="407"/>
      <c r="S295" s="407"/>
      <c r="T295" s="407"/>
      <c r="U295" s="407"/>
      <c r="V295" s="407"/>
      <c r="W295" s="407"/>
      <c r="X295" s="407"/>
      <c r="Y295" s="407"/>
      <c r="Z295" s="407"/>
      <c r="AA295" s="407">
        <v>0</v>
      </c>
      <c r="AB295" s="407"/>
      <c r="AC295" s="407"/>
      <c r="AD295" s="407"/>
      <c r="AE295" s="407"/>
      <c r="AF295" s="407"/>
      <c r="AG295" s="407"/>
      <c r="AH295" s="407"/>
      <c r="AI295" s="407"/>
      <c r="AJ295" s="407"/>
      <c r="AK295" s="407"/>
      <c r="AL295" s="407"/>
      <c r="AM295" s="407"/>
      <c r="AN295" s="407"/>
      <c r="AO295" s="407"/>
      <c r="AP295" s="407"/>
      <c r="AQ295" s="407"/>
      <c r="AR295" s="407"/>
      <c r="AS295" s="407"/>
      <c r="AT295" s="407"/>
      <c r="AU295" s="407"/>
      <c r="AV295" s="407"/>
      <c r="AW295" s="407"/>
      <c r="AX295" s="407"/>
      <c r="AY295" s="407"/>
      <c r="AZ295" s="407">
        <v>0</v>
      </c>
      <c r="BA295" s="407"/>
      <c r="BB295" s="407"/>
      <c r="BC295" s="407"/>
      <c r="BD295" s="407"/>
      <c r="BE295" s="407"/>
      <c r="BF295" s="407"/>
      <c r="BG295" s="407"/>
      <c r="BH295" s="407"/>
      <c r="BI295" s="407">
        <v>236.47</v>
      </c>
      <c r="BJ295" s="407">
        <v>1059.6500000000001</v>
      </c>
      <c r="BK295" s="407">
        <v>391.25</v>
      </c>
      <c r="BL295" s="407">
        <v>39</v>
      </c>
      <c r="BM295" s="407"/>
      <c r="BN295" s="407"/>
      <c r="BO295" s="407"/>
      <c r="BP295" s="407"/>
      <c r="BQ295" s="407"/>
      <c r="BR295" s="407"/>
      <c r="BS295" s="407"/>
      <c r="BT295" s="407"/>
      <c r="BU295" s="407"/>
      <c r="BV295" s="407"/>
      <c r="BW295" s="407"/>
      <c r="BX295" s="407"/>
      <c r="BY295" s="407"/>
      <c r="BZ295" s="407"/>
      <c r="CA295" s="407"/>
      <c r="CB295" s="407"/>
      <c r="CC295" s="407"/>
      <c r="CD295" s="407"/>
      <c r="CE295" s="407"/>
      <c r="CF295" s="407"/>
      <c r="CG295" s="407"/>
      <c r="CH295" s="407"/>
      <c r="CI295" s="407"/>
      <c r="CJ295" s="407">
        <v>-0.03</v>
      </c>
      <c r="CK295" s="407"/>
      <c r="CL295" s="407"/>
      <c r="CM295" s="407"/>
      <c r="CN295" s="407"/>
      <c r="CO295" s="407">
        <v>0</v>
      </c>
      <c r="CP295" s="407">
        <v>0</v>
      </c>
      <c r="CQ295" s="407">
        <v>30</v>
      </c>
      <c r="CR295" s="407"/>
      <c r="CS295" s="407"/>
      <c r="CT295" s="407"/>
      <c r="CU295" s="407"/>
      <c r="CV295" s="407"/>
      <c r="CW295" s="407"/>
      <c r="CX295" s="407"/>
      <c r="CY295" s="407"/>
      <c r="CZ295" s="407"/>
      <c r="DA295" s="407"/>
      <c r="DB295" s="407"/>
      <c r="DC295" s="407"/>
      <c r="DD295" s="407"/>
      <c r="DE295" s="407"/>
      <c r="DF295" s="407"/>
      <c r="DG295" s="407"/>
      <c r="DH295" s="407"/>
      <c r="DI295" s="407"/>
      <c r="DJ295" s="407"/>
      <c r="DK295" s="407">
        <v>0</v>
      </c>
      <c r="DL295" s="407"/>
      <c r="DM295" s="407"/>
      <c r="DN295" s="407"/>
      <c r="DO295" s="407"/>
      <c r="DP295" s="407"/>
      <c r="DQ295" s="407"/>
      <c r="DR295" s="407"/>
      <c r="DS295" s="407"/>
      <c r="DT295" s="407"/>
      <c r="DU295" s="407"/>
      <c r="DV295" s="407"/>
      <c r="DW295" s="407"/>
      <c r="DX295" s="407"/>
      <c r="DY295" s="407"/>
      <c r="DZ295" s="407"/>
      <c r="EA295" s="407"/>
      <c r="EB295" s="407"/>
      <c r="EC295" s="407"/>
      <c r="ED295" s="407"/>
      <c r="EE295" s="407"/>
      <c r="EF295" s="407"/>
      <c r="EG295" s="407"/>
      <c r="EH295" s="407"/>
      <c r="EI295" s="407"/>
      <c r="EJ295" s="407"/>
      <c r="EK295" s="407"/>
      <c r="EL295" s="407"/>
      <c r="EM295" s="407"/>
      <c r="EN295" s="407"/>
      <c r="EO295" s="407"/>
      <c r="EP295" s="407"/>
      <c r="EQ295" s="407"/>
      <c r="ER295" s="407"/>
      <c r="ES295" s="407"/>
      <c r="ET295" s="407"/>
      <c r="EU295" s="407"/>
      <c r="EV295" s="407">
        <v>246</v>
      </c>
      <c r="EW295" s="407"/>
      <c r="EX295" s="407"/>
      <c r="EY295" s="407"/>
      <c r="EZ295" s="407"/>
      <c r="FA295" s="407">
        <v>0</v>
      </c>
      <c r="FB295" s="407"/>
      <c r="FC295" s="407"/>
      <c r="FD295" s="407"/>
      <c r="FE295" s="407"/>
      <c r="FF295" s="407">
        <v>0</v>
      </c>
      <c r="FG295" s="407">
        <v>0</v>
      </c>
      <c r="FH295" s="407">
        <v>0</v>
      </c>
      <c r="FI295" s="407">
        <v>0</v>
      </c>
    </row>
    <row r="296" spans="1:165">
      <c r="A296" s="407">
        <v>311</v>
      </c>
      <c r="B296" s="407" t="s">
        <v>2309</v>
      </c>
      <c r="C296" s="407" t="s">
        <v>2306</v>
      </c>
      <c r="D296" s="407" t="s">
        <v>2315</v>
      </c>
      <c r="E296" s="407" t="s">
        <v>1026</v>
      </c>
      <c r="F296" s="407" t="s">
        <v>2323</v>
      </c>
      <c r="G296" s="407" t="s">
        <v>2324</v>
      </c>
      <c r="H296" s="407" t="s">
        <v>97</v>
      </c>
      <c r="I296" s="407" t="s">
        <v>97</v>
      </c>
      <c r="J296" s="407" t="s">
        <v>2307</v>
      </c>
      <c r="K296" s="818">
        <v>44501</v>
      </c>
      <c r="L296" s="407">
        <v>0</v>
      </c>
      <c r="M296" s="407">
        <v>0</v>
      </c>
      <c r="N296" s="407">
        <v>0</v>
      </c>
      <c r="O296" s="407">
        <v>0</v>
      </c>
      <c r="P296" s="407">
        <v>0</v>
      </c>
      <c r="Q296" s="407">
        <v>0</v>
      </c>
      <c r="R296" s="407"/>
      <c r="S296" s="407"/>
      <c r="T296" s="407"/>
      <c r="U296" s="407"/>
      <c r="V296" s="407"/>
      <c r="W296" s="407"/>
      <c r="X296" s="407"/>
      <c r="Y296" s="407"/>
      <c r="Z296" s="407"/>
      <c r="AA296" s="407">
        <v>0</v>
      </c>
      <c r="AB296" s="407"/>
      <c r="AC296" s="407"/>
      <c r="AD296" s="407"/>
      <c r="AE296" s="407"/>
      <c r="AF296" s="407"/>
      <c r="AG296" s="407"/>
      <c r="AH296" s="407"/>
      <c r="AI296" s="407"/>
      <c r="AJ296" s="407"/>
      <c r="AK296" s="407"/>
      <c r="AL296" s="407"/>
      <c r="AM296" s="407"/>
      <c r="AN296" s="407"/>
      <c r="AO296" s="407"/>
      <c r="AP296" s="407"/>
      <c r="AQ296" s="407"/>
      <c r="AR296" s="407"/>
      <c r="AS296" s="407"/>
      <c r="AT296" s="407"/>
      <c r="AU296" s="407"/>
      <c r="AV296" s="407"/>
      <c r="AW296" s="407"/>
      <c r="AX296" s="407"/>
      <c r="AY296" s="407"/>
      <c r="AZ296" s="407">
        <v>0</v>
      </c>
      <c r="BA296" s="407"/>
      <c r="BB296" s="407"/>
      <c r="BC296" s="407"/>
      <c r="BD296" s="407"/>
      <c r="BE296" s="407"/>
      <c r="BF296" s="407"/>
      <c r="BG296" s="407"/>
      <c r="BH296" s="407"/>
      <c r="BI296" s="407">
        <v>36.24</v>
      </c>
      <c r="BJ296" s="407">
        <v>162.35</v>
      </c>
      <c r="BK296" s="407">
        <v>39.39</v>
      </c>
      <c r="BL296" s="407">
        <v>4</v>
      </c>
      <c r="BM296" s="407"/>
      <c r="BN296" s="407"/>
      <c r="BO296" s="407"/>
      <c r="BP296" s="407"/>
      <c r="BQ296" s="407"/>
      <c r="BR296" s="407"/>
      <c r="BS296" s="407"/>
      <c r="BT296" s="407"/>
      <c r="BU296" s="407"/>
      <c r="BV296" s="407"/>
      <c r="BW296" s="407"/>
      <c r="BX296" s="407"/>
      <c r="BY296" s="407"/>
      <c r="BZ296" s="407"/>
      <c r="CA296" s="407"/>
      <c r="CB296" s="407"/>
      <c r="CC296" s="407"/>
      <c r="CD296" s="407"/>
      <c r="CE296" s="407"/>
      <c r="CF296" s="407"/>
      <c r="CG296" s="407"/>
      <c r="CH296" s="407"/>
      <c r="CI296" s="407"/>
      <c r="CJ296" s="407">
        <v>-0.03</v>
      </c>
      <c r="CK296" s="407"/>
      <c r="CL296" s="407"/>
      <c r="CM296" s="407"/>
      <c r="CN296" s="407"/>
      <c r="CO296" s="407">
        <v>0</v>
      </c>
      <c r="CP296" s="407">
        <v>0</v>
      </c>
      <c r="CQ296" s="407">
        <v>30</v>
      </c>
      <c r="CR296" s="407"/>
      <c r="CS296" s="407"/>
      <c r="CT296" s="407"/>
      <c r="CU296" s="407"/>
      <c r="CV296" s="407"/>
      <c r="CW296" s="407"/>
      <c r="CX296" s="407"/>
      <c r="CY296" s="407"/>
      <c r="CZ296" s="407"/>
      <c r="DA296" s="407"/>
      <c r="DB296" s="407"/>
      <c r="DC296" s="407"/>
      <c r="DD296" s="407"/>
      <c r="DE296" s="407"/>
      <c r="DF296" s="407"/>
      <c r="DG296" s="407"/>
      <c r="DH296" s="407"/>
      <c r="DI296" s="407"/>
      <c r="DJ296" s="407"/>
      <c r="DK296" s="407">
        <v>0</v>
      </c>
      <c r="DL296" s="407"/>
      <c r="DM296" s="407"/>
      <c r="DN296" s="407"/>
      <c r="DO296" s="407"/>
      <c r="DP296" s="407"/>
      <c r="DQ296" s="407"/>
      <c r="DR296" s="407"/>
      <c r="DS296" s="407"/>
      <c r="DT296" s="407"/>
      <c r="DU296" s="407"/>
      <c r="DV296" s="407"/>
      <c r="DW296" s="407"/>
      <c r="DX296" s="407"/>
      <c r="DY296" s="407"/>
      <c r="DZ296" s="407"/>
      <c r="EA296" s="407"/>
      <c r="EB296" s="407"/>
      <c r="EC296" s="407"/>
      <c r="ED296" s="407"/>
      <c r="EE296" s="407"/>
      <c r="EF296" s="407"/>
      <c r="EG296" s="407"/>
      <c r="EH296" s="407"/>
      <c r="EI296" s="407"/>
      <c r="EJ296" s="407"/>
      <c r="EK296" s="407"/>
      <c r="EL296" s="407"/>
      <c r="EM296" s="407"/>
      <c r="EN296" s="407"/>
      <c r="EO296" s="407"/>
      <c r="EP296" s="407"/>
      <c r="EQ296" s="407"/>
      <c r="ER296" s="407"/>
      <c r="ES296" s="407"/>
      <c r="ET296" s="407"/>
      <c r="EU296" s="407"/>
      <c r="EV296" s="407">
        <v>246</v>
      </c>
      <c r="EW296" s="407"/>
      <c r="EX296" s="407"/>
      <c r="EY296" s="407"/>
      <c r="EZ296" s="407"/>
      <c r="FA296" s="407">
        <v>0</v>
      </c>
      <c r="FB296" s="407"/>
      <c r="FC296" s="407"/>
      <c r="FD296" s="407"/>
      <c r="FE296" s="407"/>
      <c r="FF296" s="407">
        <v>0</v>
      </c>
      <c r="FG296" s="407">
        <v>0</v>
      </c>
      <c r="FH296" s="407">
        <v>0</v>
      </c>
      <c r="FI296" s="407">
        <v>0</v>
      </c>
    </row>
    <row r="297" spans="1:165">
      <c r="A297" s="407">
        <v>312</v>
      </c>
      <c r="B297" s="407" t="s">
        <v>1090</v>
      </c>
      <c r="C297" s="407" t="s">
        <v>2306</v>
      </c>
      <c r="D297" s="407" t="s">
        <v>2315</v>
      </c>
      <c r="E297" s="407" t="s">
        <v>1026</v>
      </c>
      <c r="F297" s="407" t="s">
        <v>2323</v>
      </c>
      <c r="G297" s="407" t="s">
        <v>2324</v>
      </c>
      <c r="H297" s="407" t="s">
        <v>97</v>
      </c>
      <c r="I297" s="407" t="s">
        <v>97</v>
      </c>
      <c r="J297" s="407" t="s">
        <v>2307</v>
      </c>
      <c r="K297" s="818">
        <v>44501</v>
      </c>
      <c r="L297" s="407">
        <v>0</v>
      </c>
      <c r="M297" s="407">
        <v>0</v>
      </c>
      <c r="N297" s="407">
        <v>54.189</v>
      </c>
      <c r="O297" s="407">
        <v>54.189</v>
      </c>
      <c r="P297" s="407">
        <v>54.189</v>
      </c>
      <c r="Q297" s="407">
        <v>54.189</v>
      </c>
      <c r="R297" s="407"/>
      <c r="S297" s="407">
        <v>648.44000000000005</v>
      </c>
      <c r="T297" s="407">
        <v>159.41</v>
      </c>
      <c r="U297" s="407"/>
      <c r="V297" s="407">
        <v>43776.583650000008</v>
      </c>
      <c r="W297" s="407">
        <v>43776.583650000008</v>
      </c>
      <c r="X297" s="407">
        <v>33153.913979999998</v>
      </c>
      <c r="Y297" s="407">
        <v>0</v>
      </c>
      <c r="Z297" s="407">
        <v>3358.105911389433</v>
      </c>
      <c r="AA297" s="407">
        <v>0</v>
      </c>
      <c r="AB297" s="407">
        <v>0</v>
      </c>
      <c r="AC297" s="407">
        <v>0</v>
      </c>
      <c r="AD297" s="407">
        <v>6320.8448119975164</v>
      </c>
      <c r="AE297" s="407">
        <v>22626.399694760916</v>
      </c>
      <c r="AF297" s="407">
        <v>8357.6083079666623</v>
      </c>
      <c r="AG297" s="407">
        <v>280.7937010859813</v>
      </c>
      <c r="AH297" s="407">
        <v>0</v>
      </c>
      <c r="AI297" s="407">
        <v>0</v>
      </c>
      <c r="AJ297" s="407">
        <v>0</v>
      </c>
      <c r="AK297" s="407">
        <v>0</v>
      </c>
      <c r="AL297" s="407">
        <v>518.91686340136528</v>
      </c>
      <c r="AM297" s="407"/>
      <c r="AN297" s="407">
        <v>112.44735766188184</v>
      </c>
      <c r="AO297" s="407">
        <v>0</v>
      </c>
      <c r="AP297" s="407">
        <v>0</v>
      </c>
      <c r="AQ297" s="407">
        <v>0</v>
      </c>
      <c r="AR297" s="407">
        <v>0</v>
      </c>
      <c r="AS297" s="407">
        <v>0</v>
      </c>
      <c r="AT297" s="407">
        <v>0</v>
      </c>
      <c r="AU297" s="407">
        <v>0</v>
      </c>
      <c r="AV297" s="407">
        <v>0</v>
      </c>
      <c r="AW297" s="407">
        <v>0</v>
      </c>
      <c r="AX297" s="407">
        <v>0</v>
      </c>
      <c r="AY297" s="407">
        <v>0</v>
      </c>
      <c r="AZ297" s="407">
        <v>0</v>
      </c>
      <c r="BA297" s="407"/>
      <c r="BB297" s="407">
        <v>0</v>
      </c>
      <c r="BC297" s="407">
        <v>0</v>
      </c>
      <c r="BD297" s="407">
        <v>0</v>
      </c>
      <c r="BE297" s="407">
        <v>0</v>
      </c>
      <c r="BF297" s="407">
        <v>0</v>
      </c>
      <c r="BG297" s="407">
        <v>610.91447948818382</v>
      </c>
      <c r="BH297" s="407">
        <v>0</v>
      </c>
      <c r="BI297" s="407">
        <v>0</v>
      </c>
      <c r="BJ297" s="407">
        <v>0</v>
      </c>
      <c r="BK297" s="407">
        <v>0</v>
      </c>
      <c r="BL297" s="407">
        <v>0</v>
      </c>
      <c r="BM297" s="407"/>
      <c r="BN297" s="407"/>
      <c r="BO297" s="407"/>
      <c r="BP297" s="407"/>
      <c r="BQ297" s="407"/>
      <c r="BR297" s="407">
        <v>3978.5563800000009</v>
      </c>
      <c r="BS297" s="407"/>
      <c r="BT297" s="407"/>
      <c r="BU297" s="407"/>
      <c r="BV297" s="407">
        <v>8968.5227874548455</v>
      </c>
      <c r="BW297" s="407"/>
      <c r="BX297" s="407"/>
      <c r="BY297" s="407"/>
      <c r="BZ297" s="407"/>
      <c r="CA297" s="407"/>
      <c r="CB297" s="407"/>
      <c r="CC297" s="407"/>
      <c r="CD297" s="407"/>
      <c r="CE297" s="407"/>
      <c r="CF297" s="407"/>
      <c r="CG297" s="407"/>
      <c r="CH297" s="407"/>
      <c r="CI297" s="407">
        <v>29175.895999999993</v>
      </c>
      <c r="CJ297" s="407">
        <v>-9347.6359900000025</v>
      </c>
      <c r="CK297" s="407"/>
      <c r="CL297" s="407"/>
      <c r="CM297" s="407"/>
      <c r="CN297" s="407"/>
      <c r="CO297" s="407">
        <v>-12111.241500000004</v>
      </c>
      <c r="CP297" s="407">
        <v>1488.5718299999999</v>
      </c>
      <c r="CQ297" s="407">
        <v>30</v>
      </c>
      <c r="CR297" s="407">
        <v>934.9779822505152</v>
      </c>
      <c r="CS297" s="407">
        <v>0</v>
      </c>
      <c r="CT297" s="407">
        <v>0</v>
      </c>
      <c r="CU297" s="407">
        <v>0</v>
      </c>
      <c r="CV297" s="407">
        <v>0</v>
      </c>
      <c r="CW297" s="407">
        <v>0</v>
      </c>
      <c r="CX297" s="407">
        <v>0</v>
      </c>
      <c r="CY297" s="407">
        <v>0</v>
      </c>
      <c r="CZ297" s="407">
        <v>285.52509319244655</v>
      </c>
      <c r="DA297" s="407">
        <v>0</v>
      </c>
      <c r="DB297" s="407">
        <v>0</v>
      </c>
      <c r="DC297" s="407">
        <v>1657.0880315596132</v>
      </c>
      <c r="DD297" s="407">
        <v>0</v>
      </c>
      <c r="DE297" s="407">
        <v>0</v>
      </c>
      <c r="DF297" s="407">
        <v>0</v>
      </c>
      <c r="DG297" s="407">
        <v>121.12784363217406</v>
      </c>
      <c r="DH297" s="407">
        <v>0</v>
      </c>
      <c r="DI297" s="407">
        <v>-235.2083627257889</v>
      </c>
      <c r="DJ297" s="407"/>
      <c r="DK297" s="407">
        <v>0</v>
      </c>
      <c r="DL297" s="407">
        <v>0</v>
      </c>
      <c r="DM297" s="407">
        <v>0</v>
      </c>
      <c r="DN297" s="407">
        <v>0</v>
      </c>
      <c r="DO297" s="407">
        <v>-31.659832340647768</v>
      </c>
      <c r="DP297" s="407">
        <v>-7.1648741594711964</v>
      </c>
      <c r="DQ297" s="407">
        <v>0</v>
      </c>
      <c r="DR297" s="407">
        <v>-854.72991690781294</v>
      </c>
      <c r="DS297" s="407"/>
      <c r="DT297" s="407"/>
      <c r="DU297" s="407"/>
      <c r="DV297" s="407">
        <v>22626.399694760916</v>
      </c>
      <c r="DW297" s="407">
        <v>0</v>
      </c>
      <c r="DX297" s="407">
        <v>0</v>
      </c>
      <c r="DY297" s="407">
        <v>-12111.241500000007</v>
      </c>
      <c r="DZ297" s="407">
        <v>1488.571829999999</v>
      </c>
      <c r="EA297" s="407">
        <v>0</v>
      </c>
      <c r="EB297" s="407">
        <v>0</v>
      </c>
      <c r="EC297" s="407">
        <v>-11557.617516688249</v>
      </c>
      <c r="ED297" s="407">
        <v>0</v>
      </c>
      <c r="EE297" s="407">
        <v>0</v>
      </c>
      <c r="EF297" s="407">
        <v>0</v>
      </c>
      <c r="EG297" s="407">
        <v>0</v>
      </c>
      <c r="EH297" s="407">
        <v>0</v>
      </c>
      <c r="EI297" s="407">
        <v>0</v>
      </c>
      <c r="EJ297" s="407">
        <v>0</v>
      </c>
      <c r="EK297" s="407">
        <v>0</v>
      </c>
      <c r="EL297" s="407">
        <v>0</v>
      </c>
      <c r="EM297" s="407">
        <v>0</v>
      </c>
      <c r="EN297" s="407">
        <v>0</v>
      </c>
      <c r="EO297" s="407">
        <v>0</v>
      </c>
      <c r="EP297" s="407">
        <v>1590.6747286613818</v>
      </c>
      <c r="EQ297" s="407">
        <v>0</v>
      </c>
      <c r="ER297" s="407">
        <v>0</v>
      </c>
      <c r="ES297" s="407">
        <v>0</v>
      </c>
      <c r="ET297" s="407">
        <v>0</v>
      </c>
      <c r="EU297" s="407">
        <v>0</v>
      </c>
      <c r="EV297" s="407">
        <v>246</v>
      </c>
      <c r="EW297" s="407">
        <v>0</v>
      </c>
      <c r="EX297" s="407">
        <v>0</v>
      </c>
      <c r="EY297" s="407">
        <v>0</v>
      </c>
      <c r="EZ297" s="407"/>
      <c r="FA297" s="407">
        <v>0</v>
      </c>
      <c r="FB297" s="407"/>
      <c r="FC297" s="407"/>
      <c r="FD297" s="407"/>
      <c r="FE297" s="407"/>
      <c r="FF297" s="407">
        <v>0</v>
      </c>
      <c r="FG297" s="407">
        <v>0</v>
      </c>
      <c r="FH297" s="407">
        <v>0</v>
      </c>
      <c r="FI297" s="407">
        <v>0</v>
      </c>
    </row>
    <row r="298" spans="1:165">
      <c r="A298" s="407">
        <v>313</v>
      </c>
      <c r="B298" s="407" t="s">
        <v>2309</v>
      </c>
      <c r="C298" s="407" t="s">
        <v>2306</v>
      </c>
      <c r="D298" s="407" t="s">
        <v>2315</v>
      </c>
      <c r="E298" s="407" t="s">
        <v>1026</v>
      </c>
      <c r="F298" s="407" t="s">
        <v>2323</v>
      </c>
      <c r="G298" s="407" t="s">
        <v>2324</v>
      </c>
      <c r="H298" s="407" t="s">
        <v>97</v>
      </c>
      <c r="I298" s="407" t="s">
        <v>97</v>
      </c>
      <c r="J298" s="407" t="s">
        <v>2307</v>
      </c>
      <c r="K298" s="818">
        <v>44501</v>
      </c>
      <c r="L298" s="407">
        <v>0</v>
      </c>
      <c r="M298" s="407">
        <v>0</v>
      </c>
      <c r="N298" s="407">
        <v>7.2460000000000004</v>
      </c>
      <c r="O298" s="407">
        <v>7.2460000000000004</v>
      </c>
      <c r="P298" s="407">
        <v>7.2460000000000004</v>
      </c>
      <c r="Q298" s="407">
        <v>7.2460000000000004</v>
      </c>
      <c r="R298" s="407"/>
      <c r="S298" s="407">
        <v>648.44000000000005</v>
      </c>
      <c r="T298" s="407">
        <v>159.41</v>
      </c>
      <c r="U298" s="407"/>
      <c r="V298" s="407">
        <v>5853.6811000000007</v>
      </c>
      <c r="W298" s="407">
        <v>5853.6811000000007</v>
      </c>
      <c r="X298" s="407">
        <v>4433.2477200000003</v>
      </c>
      <c r="Y298" s="407">
        <v>0</v>
      </c>
      <c r="Z298" s="407">
        <v>449.03643606502862</v>
      </c>
      <c r="AA298" s="407">
        <v>0</v>
      </c>
      <c r="AB298" s="407">
        <v>0</v>
      </c>
      <c r="AC298" s="407">
        <v>0</v>
      </c>
      <c r="AD298" s="407">
        <v>845.20551233154333</v>
      </c>
      <c r="AE298" s="407">
        <v>3025.5382492431604</v>
      </c>
      <c r="AF298" s="407">
        <v>1117.5557733031878</v>
      </c>
      <c r="AG298" s="407">
        <v>37.546940487350213</v>
      </c>
      <c r="AH298" s="407">
        <v>0</v>
      </c>
      <c r="AI298" s="407">
        <v>0</v>
      </c>
      <c r="AJ298" s="407">
        <v>0</v>
      </c>
      <c r="AK298" s="407">
        <v>0</v>
      </c>
      <c r="AL298" s="407">
        <v>69.388097071477489</v>
      </c>
      <c r="AM298" s="407"/>
      <c r="AN298" s="407">
        <v>15.036143010906196</v>
      </c>
      <c r="AO298" s="407">
        <v>0</v>
      </c>
      <c r="AP298" s="407">
        <v>0</v>
      </c>
      <c r="AQ298" s="407">
        <v>0</v>
      </c>
      <c r="AR298" s="407">
        <v>0</v>
      </c>
      <c r="AS298" s="407">
        <v>0</v>
      </c>
      <c r="AT298" s="407">
        <v>0</v>
      </c>
      <c r="AU298" s="407">
        <v>0</v>
      </c>
      <c r="AV298" s="407">
        <v>0</v>
      </c>
      <c r="AW298" s="407">
        <v>0</v>
      </c>
      <c r="AX298" s="407">
        <v>0</v>
      </c>
      <c r="AY298" s="407">
        <v>0</v>
      </c>
      <c r="AZ298" s="407">
        <v>0</v>
      </c>
      <c r="BA298" s="407"/>
      <c r="BB298" s="407">
        <v>0</v>
      </c>
      <c r="BC298" s="407">
        <v>0</v>
      </c>
      <c r="BD298" s="407">
        <v>0</v>
      </c>
      <c r="BE298" s="407">
        <v>0</v>
      </c>
      <c r="BF298" s="407">
        <v>0</v>
      </c>
      <c r="BG298" s="407">
        <v>81.689758408004948</v>
      </c>
      <c r="BH298" s="407">
        <v>0</v>
      </c>
      <c r="BI298" s="407">
        <v>0</v>
      </c>
      <c r="BJ298" s="407">
        <v>0</v>
      </c>
      <c r="BK298" s="407">
        <v>0</v>
      </c>
      <c r="BL298" s="407">
        <v>0</v>
      </c>
      <c r="BM298" s="407"/>
      <c r="BN298" s="407"/>
      <c r="BO298" s="407"/>
      <c r="BP298" s="407"/>
      <c r="BQ298" s="407"/>
      <c r="BR298" s="407">
        <v>532.00132000000008</v>
      </c>
      <c r="BS298" s="407"/>
      <c r="BT298" s="407"/>
      <c r="BU298" s="407"/>
      <c r="BV298" s="407">
        <v>1199.2455317111928</v>
      </c>
      <c r="BW298" s="407"/>
      <c r="BX298" s="407"/>
      <c r="BY298" s="407"/>
      <c r="BZ298" s="407"/>
      <c r="CA298" s="407"/>
      <c r="CB298" s="407"/>
      <c r="CC298" s="407"/>
      <c r="CD298" s="407"/>
      <c r="CE298" s="407"/>
      <c r="CF298" s="407"/>
      <c r="CG298" s="407"/>
      <c r="CH298" s="407"/>
      <c r="CI298" s="407">
        <v>3903.3999999999996</v>
      </c>
      <c r="CJ298" s="407">
        <v>-1247.8838600000017</v>
      </c>
      <c r="CK298" s="407"/>
      <c r="CL298" s="407"/>
      <c r="CM298" s="407"/>
      <c r="CN298" s="407"/>
      <c r="CO298" s="407">
        <v>-1619.4810000000004</v>
      </c>
      <c r="CP298" s="407">
        <v>199.04761999999999</v>
      </c>
      <c r="CQ298" s="407">
        <v>30</v>
      </c>
      <c r="CR298" s="407">
        <v>125.02261454146037</v>
      </c>
      <c r="CS298" s="407">
        <v>0</v>
      </c>
      <c r="CT298" s="407">
        <v>0</v>
      </c>
      <c r="CU298" s="407">
        <v>0</v>
      </c>
      <c r="CV298" s="407">
        <v>0</v>
      </c>
      <c r="CW298" s="407">
        <v>0</v>
      </c>
      <c r="CX298" s="407">
        <v>0</v>
      </c>
      <c r="CY298" s="407">
        <v>0</v>
      </c>
      <c r="CZ298" s="407">
        <v>38.179608873986922</v>
      </c>
      <c r="DA298" s="407">
        <v>0</v>
      </c>
      <c r="DB298" s="407">
        <v>0</v>
      </c>
      <c r="DC298" s="407">
        <v>221.58113042648779</v>
      </c>
      <c r="DD298" s="407">
        <v>0</v>
      </c>
      <c r="DE298" s="407">
        <v>0</v>
      </c>
      <c r="DF298" s="407">
        <v>0</v>
      </c>
      <c r="DG298" s="407">
        <v>16.196873073109543</v>
      </c>
      <c r="DH298" s="407">
        <v>0</v>
      </c>
      <c r="DI298" s="407">
        <v>-31.451397817104407</v>
      </c>
      <c r="DJ298" s="407"/>
      <c r="DK298" s="407">
        <v>0</v>
      </c>
      <c r="DL298" s="407">
        <v>0</v>
      </c>
      <c r="DM298" s="407">
        <v>0</v>
      </c>
      <c r="DN298" s="407">
        <v>0</v>
      </c>
      <c r="DO298" s="407">
        <v>-4.2334633438582472</v>
      </c>
      <c r="DP298" s="407">
        <v>-0.95806673235395223</v>
      </c>
      <c r="DQ298" s="407">
        <v>0</v>
      </c>
      <c r="DR298" s="407">
        <v>-114.292069938807</v>
      </c>
      <c r="DS298" s="407"/>
      <c r="DT298" s="407"/>
      <c r="DU298" s="407"/>
      <c r="DV298" s="407">
        <v>3025.5382492431604</v>
      </c>
      <c r="DW298" s="407">
        <v>0</v>
      </c>
      <c r="DX298" s="407">
        <v>0</v>
      </c>
      <c r="DY298" s="407">
        <v>-1619.4810000000007</v>
      </c>
      <c r="DZ298" s="407">
        <v>199.04762000000005</v>
      </c>
      <c r="EA298" s="407">
        <v>0</v>
      </c>
      <c r="EB298" s="407">
        <v>0</v>
      </c>
      <c r="EC298" s="407">
        <v>-1545.4519648992061</v>
      </c>
      <c r="ED298" s="407">
        <v>0</v>
      </c>
      <c r="EE298" s="407">
        <v>0</v>
      </c>
      <c r="EF298" s="407">
        <v>0</v>
      </c>
      <c r="EG298" s="407">
        <v>0</v>
      </c>
      <c r="EH298" s="407">
        <v>0</v>
      </c>
      <c r="EI298" s="407">
        <v>0</v>
      </c>
      <c r="EJ298" s="407">
        <v>0</v>
      </c>
      <c r="EK298" s="407">
        <v>0</v>
      </c>
      <c r="EL298" s="407">
        <v>0</v>
      </c>
      <c r="EM298" s="407">
        <v>0</v>
      </c>
      <c r="EN298" s="407">
        <v>0</v>
      </c>
      <c r="EO298" s="407">
        <v>0</v>
      </c>
      <c r="EP298" s="407">
        <v>212.70053117570674</v>
      </c>
      <c r="EQ298" s="407">
        <v>0</v>
      </c>
      <c r="ER298" s="407">
        <v>0</v>
      </c>
      <c r="ES298" s="407">
        <v>0</v>
      </c>
      <c r="ET298" s="407">
        <v>0</v>
      </c>
      <c r="EU298" s="407">
        <v>0</v>
      </c>
      <c r="EV298" s="407">
        <v>246</v>
      </c>
      <c r="EW298" s="407">
        <v>0</v>
      </c>
      <c r="EX298" s="407">
        <v>0</v>
      </c>
      <c r="EY298" s="407">
        <v>0</v>
      </c>
      <c r="EZ298" s="407"/>
      <c r="FA298" s="407">
        <v>0</v>
      </c>
      <c r="FB298" s="407"/>
      <c r="FC298" s="407"/>
      <c r="FD298" s="407"/>
      <c r="FE298" s="407"/>
      <c r="FF298" s="407">
        <v>0</v>
      </c>
      <c r="FG298" s="407">
        <v>0</v>
      </c>
      <c r="FH298" s="407">
        <v>0</v>
      </c>
      <c r="FI298" s="407">
        <v>0</v>
      </c>
    </row>
    <row r="299" spans="1:165">
      <c r="A299" s="407">
        <v>314</v>
      </c>
      <c r="B299" s="407" t="s">
        <v>1090</v>
      </c>
      <c r="C299" s="407" t="s">
        <v>2306</v>
      </c>
      <c r="D299" s="407" t="s">
        <v>2315</v>
      </c>
      <c r="E299" s="407" t="s">
        <v>1026</v>
      </c>
      <c r="F299" s="407" t="s">
        <v>2323</v>
      </c>
      <c r="G299" s="407" t="s">
        <v>2325</v>
      </c>
      <c r="H299" s="407" t="s">
        <v>97</v>
      </c>
      <c r="I299" s="407" t="s">
        <v>97</v>
      </c>
      <c r="J299" s="407" t="s">
        <v>2307</v>
      </c>
      <c r="K299" s="818">
        <v>44501</v>
      </c>
      <c r="L299" s="407">
        <v>0</v>
      </c>
      <c r="M299" s="407">
        <v>0</v>
      </c>
      <c r="N299" s="407">
        <v>47.34</v>
      </c>
      <c r="O299" s="407">
        <v>18.936</v>
      </c>
      <c r="P299" s="407">
        <v>47.34</v>
      </c>
      <c r="Q299" s="407">
        <v>18.936</v>
      </c>
      <c r="R299" s="407"/>
      <c r="S299" s="407">
        <v>648.44000000000005</v>
      </c>
      <c r="T299" s="407">
        <v>159.41</v>
      </c>
      <c r="U299" s="407"/>
      <c r="V299" s="407">
        <v>38243.619000000006</v>
      </c>
      <c r="W299" s="407">
        <v>38243.619000000006</v>
      </c>
      <c r="X299" s="407">
        <v>28963.558800000003</v>
      </c>
      <c r="Y299" s="407">
        <v>0</v>
      </c>
      <c r="Z299" s="407">
        <v>2933.6716648245174</v>
      </c>
      <c r="AA299" s="407">
        <v>0</v>
      </c>
      <c r="AB299" s="407">
        <v>0</v>
      </c>
      <c r="AC299" s="407">
        <v>0</v>
      </c>
      <c r="AD299" s="407">
        <v>5521.9471368721033</v>
      </c>
      <c r="AE299" s="407">
        <v>19766.627203860229</v>
      </c>
      <c r="AF299" s="407">
        <v>7301.2821291985802</v>
      </c>
      <c r="AG299" s="407">
        <v>245.30391425216104</v>
      </c>
      <c r="AH299" s="407">
        <v>0</v>
      </c>
      <c r="AI299" s="407">
        <v>0</v>
      </c>
      <c r="AJ299" s="407">
        <v>0</v>
      </c>
      <c r="AK299" s="407">
        <v>0</v>
      </c>
      <c r="AL299" s="407">
        <v>453.33046030413249</v>
      </c>
      <c r="AM299" s="407"/>
      <c r="AN299" s="407">
        <v>98.23502762024556</v>
      </c>
      <c r="AO299" s="407">
        <v>0</v>
      </c>
      <c r="AP299" s="407">
        <v>0</v>
      </c>
      <c r="AQ299" s="407">
        <v>0</v>
      </c>
      <c r="AR299" s="407">
        <v>0</v>
      </c>
      <c r="AS299" s="407">
        <v>0</v>
      </c>
      <c r="AT299" s="407">
        <v>0</v>
      </c>
      <c r="AU299" s="407">
        <v>0</v>
      </c>
      <c r="AV299" s="407">
        <v>0</v>
      </c>
      <c r="AW299" s="407">
        <v>0</v>
      </c>
      <c r="AX299" s="407">
        <v>0</v>
      </c>
      <c r="AY299" s="407">
        <v>0</v>
      </c>
      <c r="AZ299" s="407">
        <v>0</v>
      </c>
      <c r="BA299" s="407"/>
      <c r="BB299" s="407">
        <v>0</v>
      </c>
      <c r="BC299" s="407">
        <v>0</v>
      </c>
      <c r="BD299" s="407">
        <v>0</v>
      </c>
      <c r="BE299" s="407">
        <v>0</v>
      </c>
      <c r="BF299" s="407">
        <v>0</v>
      </c>
      <c r="BG299" s="407">
        <v>533.70040892008751</v>
      </c>
      <c r="BH299" s="407">
        <v>0</v>
      </c>
      <c r="BI299" s="407">
        <v>0</v>
      </c>
      <c r="BJ299" s="407">
        <v>0</v>
      </c>
      <c r="BK299" s="407">
        <v>0</v>
      </c>
      <c r="BL299" s="407">
        <v>0</v>
      </c>
      <c r="BM299" s="407"/>
      <c r="BN299" s="407"/>
      <c r="BO299" s="407"/>
      <c r="BP299" s="407"/>
      <c r="BQ299" s="407"/>
      <c r="BR299" s="407"/>
      <c r="BS299" s="407">
        <v>18768.416400000002</v>
      </c>
      <c r="BT299" s="407"/>
      <c r="BU299" s="407"/>
      <c r="BV299" s="407">
        <v>7834.9825381186674</v>
      </c>
      <c r="BW299" s="407"/>
      <c r="BX299" s="407"/>
      <c r="BY299" s="407"/>
      <c r="BZ299" s="407"/>
      <c r="CA299" s="407"/>
      <c r="CB299" s="407"/>
      <c r="CC299" s="407"/>
      <c r="CD299" s="407"/>
      <c r="CE299" s="407"/>
      <c r="CF299" s="407"/>
      <c r="CG299" s="407"/>
      <c r="CH299" s="407"/>
      <c r="CI299" s="407">
        <v>10197.296</v>
      </c>
      <c r="CJ299" s="407">
        <v>-3264.5257600000004</v>
      </c>
      <c r="CK299" s="407"/>
      <c r="CL299" s="407"/>
      <c r="CM299" s="407"/>
      <c r="CN299" s="407"/>
      <c r="CO299" s="407">
        <v>-10580.490000000003</v>
      </c>
      <c r="CP299" s="407">
        <v>1300.4298000000001</v>
      </c>
      <c r="CQ299" s="407">
        <v>30</v>
      </c>
      <c r="CR299" s="407">
        <v>816.80521286126896</v>
      </c>
      <c r="CS299" s="407">
        <v>0</v>
      </c>
      <c r="CT299" s="407">
        <v>0</v>
      </c>
      <c r="CU299" s="407">
        <v>0</v>
      </c>
      <c r="CV299" s="407">
        <v>0</v>
      </c>
      <c r="CW299" s="407">
        <v>0</v>
      </c>
      <c r="CX299" s="407">
        <v>0</v>
      </c>
      <c r="CY299" s="407">
        <v>0</v>
      </c>
      <c r="CZ299" s="407">
        <v>249.437301144706</v>
      </c>
      <c r="DA299" s="407">
        <v>0</v>
      </c>
      <c r="DB299" s="407">
        <v>0</v>
      </c>
      <c r="DC299" s="407">
        <v>1447.6470762337758</v>
      </c>
      <c r="DD299" s="407">
        <v>0</v>
      </c>
      <c r="DE299" s="407">
        <v>0</v>
      </c>
      <c r="DF299" s="407">
        <v>0</v>
      </c>
      <c r="DG299" s="407">
        <v>105.81837859246571</v>
      </c>
      <c r="DH299" s="407">
        <v>0</v>
      </c>
      <c r="DI299" s="407">
        <v>-205.48015079515881</v>
      </c>
      <c r="DJ299" s="407"/>
      <c r="DK299" s="407">
        <v>0</v>
      </c>
      <c r="DL299" s="407">
        <v>0</v>
      </c>
      <c r="DM299" s="407">
        <v>0</v>
      </c>
      <c r="DN299" s="407">
        <v>0</v>
      </c>
      <c r="DO299" s="407">
        <v>-27.658315580768544</v>
      </c>
      <c r="DP299" s="407">
        <v>-6.2592988006674091</v>
      </c>
      <c r="DQ299" s="407">
        <v>0</v>
      </c>
      <c r="DR299" s="407">
        <v>-746.69977793308362</v>
      </c>
      <c r="DS299" s="407"/>
      <c r="DT299" s="407"/>
      <c r="DU299" s="407"/>
      <c r="DV299" s="407">
        <v>19766.627203860229</v>
      </c>
      <c r="DW299" s="407">
        <v>0</v>
      </c>
      <c r="DX299" s="407">
        <v>0</v>
      </c>
      <c r="DY299" s="407">
        <v>-10580.490000000002</v>
      </c>
      <c r="DZ299" s="407">
        <v>1300.4297999999999</v>
      </c>
      <c r="EA299" s="407">
        <v>0</v>
      </c>
      <c r="EB299" s="407">
        <v>0</v>
      </c>
      <c r="EC299" s="407">
        <v>-10096.839086161803</v>
      </c>
      <c r="ED299" s="407">
        <v>0</v>
      </c>
      <c r="EE299" s="407">
        <v>0</v>
      </c>
      <c r="EF299" s="407">
        <v>0</v>
      </c>
      <c r="EG299" s="407">
        <v>0</v>
      </c>
      <c r="EH299" s="407">
        <v>0</v>
      </c>
      <c r="EI299" s="407">
        <v>0</v>
      </c>
      <c r="EJ299" s="407">
        <v>0</v>
      </c>
      <c r="EK299" s="407">
        <v>0</v>
      </c>
      <c r="EL299" s="407">
        <v>0</v>
      </c>
      <c r="EM299" s="407">
        <v>0</v>
      </c>
      <c r="EN299" s="407">
        <v>0</v>
      </c>
      <c r="EO299" s="407">
        <v>0</v>
      </c>
      <c r="EP299" s="407">
        <v>1389.6278147747664</v>
      </c>
      <c r="EQ299" s="407">
        <v>0</v>
      </c>
      <c r="ER299" s="407">
        <v>0</v>
      </c>
      <c r="ES299" s="407">
        <v>0</v>
      </c>
      <c r="ET299" s="407">
        <v>0</v>
      </c>
      <c r="EU299" s="407">
        <v>0</v>
      </c>
      <c r="EV299" s="407">
        <v>246</v>
      </c>
      <c r="EW299" s="407">
        <v>0</v>
      </c>
      <c r="EX299" s="407">
        <v>0</v>
      </c>
      <c r="EY299" s="407">
        <v>0</v>
      </c>
      <c r="EZ299" s="407"/>
      <c r="FA299" s="407">
        <v>0</v>
      </c>
      <c r="FB299" s="407"/>
      <c r="FC299" s="407"/>
      <c r="FD299" s="407"/>
      <c r="FE299" s="407"/>
      <c r="FF299" s="407">
        <v>0</v>
      </c>
      <c r="FG299" s="407">
        <v>0</v>
      </c>
      <c r="FH299" s="407">
        <v>0</v>
      </c>
      <c r="FI299" s="407">
        <v>0</v>
      </c>
    </row>
    <row r="300" spans="1:165">
      <c r="A300" s="407">
        <v>315</v>
      </c>
      <c r="B300" s="407" t="s">
        <v>2309</v>
      </c>
      <c r="C300" s="407" t="s">
        <v>2306</v>
      </c>
      <c r="D300" s="407" t="s">
        <v>2315</v>
      </c>
      <c r="E300" s="407" t="s">
        <v>1026</v>
      </c>
      <c r="F300" s="407" t="s">
        <v>2323</v>
      </c>
      <c r="G300" s="407" t="s">
        <v>2325</v>
      </c>
      <c r="H300" s="407" t="s">
        <v>97</v>
      </c>
      <c r="I300" s="407" t="s">
        <v>97</v>
      </c>
      <c r="J300" s="407" t="s">
        <v>2307</v>
      </c>
      <c r="K300" s="818">
        <v>44501</v>
      </c>
      <c r="L300" s="407">
        <v>0</v>
      </c>
      <c r="M300" s="407">
        <v>0</v>
      </c>
      <c r="N300" s="407">
        <v>9.9770000000000003</v>
      </c>
      <c r="O300" s="407">
        <v>3.9908000000000001</v>
      </c>
      <c r="P300" s="407">
        <v>9.9770000000000003</v>
      </c>
      <c r="Q300" s="407">
        <v>3.9908000000000001</v>
      </c>
      <c r="R300" s="407"/>
      <c r="S300" s="407">
        <v>648.44000000000005</v>
      </c>
      <c r="T300" s="407">
        <v>159.41</v>
      </c>
      <c r="U300" s="407"/>
      <c r="V300" s="407">
        <v>8059.9194500000012</v>
      </c>
      <c r="W300" s="407">
        <v>8059.9194500000012</v>
      </c>
      <c r="X300" s="407">
        <v>6104.1281399999998</v>
      </c>
      <c r="Y300" s="407">
        <v>0</v>
      </c>
      <c r="Z300" s="407">
        <v>618.27719053557689</v>
      </c>
      <c r="AA300" s="407">
        <v>0</v>
      </c>
      <c r="AB300" s="407">
        <v>0</v>
      </c>
      <c r="AC300" s="407">
        <v>0</v>
      </c>
      <c r="AD300" s="407">
        <v>1163.7614403162859</v>
      </c>
      <c r="AE300" s="407">
        <v>4165.8563500826676</v>
      </c>
      <c r="AF300" s="407">
        <v>1538.7598606466884</v>
      </c>
      <c r="AG300" s="407">
        <v>51.698292194630561</v>
      </c>
      <c r="AH300" s="407">
        <v>0</v>
      </c>
      <c r="AI300" s="407">
        <v>0</v>
      </c>
      <c r="AJ300" s="407">
        <v>0</v>
      </c>
      <c r="AK300" s="407">
        <v>0</v>
      </c>
      <c r="AL300" s="407">
        <v>95.540304234354238</v>
      </c>
      <c r="AM300" s="407"/>
      <c r="AN300" s="407">
        <v>20.703229205052597</v>
      </c>
      <c r="AO300" s="407">
        <v>0</v>
      </c>
      <c r="AP300" s="407">
        <v>0</v>
      </c>
      <c r="AQ300" s="407">
        <v>0</v>
      </c>
      <c r="AR300" s="407">
        <v>0</v>
      </c>
      <c r="AS300" s="407">
        <v>0</v>
      </c>
      <c r="AT300" s="407">
        <v>0</v>
      </c>
      <c r="AU300" s="407">
        <v>0</v>
      </c>
      <c r="AV300" s="407">
        <v>0</v>
      </c>
      <c r="AW300" s="407">
        <v>0</v>
      </c>
      <c r="AX300" s="407">
        <v>0</v>
      </c>
      <c r="AY300" s="407">
        <v>0</v>
      </c>
      <c r="AZ300" s="407">
        <v>0</v>
      </c>
      <c r="BA300" s="407"/>
      <c r="BB300" s="407">
        <v>0</v>
      </c>
      <c r="BC300" s="407">
        <v>0</v>
      </c>
      <c r="BD300" s="407">
        <v>0</v>
      </c>
      <c r="BE300" s="407">
        <v>0</v>
      </c>
      <c r="BF300" s="407">
        <v>0</v>
      </c>
      <c r="BG300" s="407">
        <v>112.47843218833361</v>
      </c>
      <c r="BH300" s="407">
        <v>0</v>
      </c>
      <c r="BI300" s="407">
        <v>0</v>
      </c>
      <c r="BJ300" s="407">
        <v>0</v>
      </c>
      <c r="BK300" s="407">
        <v>0</v>
      </c>
      <c r="BL300" s="407">
        <v>0</v>
      </c>
      <c r="BM300" s="407"/>
      <c r="BN300" s="407"/>
      <c r="BO300" s="407"/>
      <c r="BP300" s="407"/>
      <c r="BQ300" s="407"/>
      <c r="BR300" s="407"/>
      <c r="BS300" s="407">
        <v>3955.4814200000001</v>
      </c>
      <c r="BT300" s="407"/>
      <c r="BU300" s="407"/>
      <c r="BV300" s="407">
        <v>1651.2382928350221</v>
      </c>
      <c r="BW300" s="407"/>
      <c r="BX300" s="407"/>
      <c r="BY300" s="407"/>
      <c r="BZ300" s="407"/>
      <c r="CA300" s="407"/>
      <c r="CB300" s="407"/>
      <c r="CC300" s="407"/>
      <c r="CD300" s="407"/>
      <c r="CE300" s="407"/>
      <c r="CF300" s="407"/>
      <c r="CG300" s="407"/>
      <c r="CH300" s="407"/>
      <c r="CI300" s="407">
        <v>2148.2159999999999</v>
      </c>
      <c r="CJ300" s="407">
        <v>-688.9136280000007</v>
      </c>
      <c r="CK300" s="407"/>
      <c r="CL300" s="407"/>
      <c r="CM300" s="407"/>
      <c r="CN300" s="407"/>
      <c r="CO300" s="407">
        <v>-2229.8595000000005</v>
      </c>
      <c r="CP300" s="407">
        <v>274.06819000000002</v>
      </c>
      <c r="CQ300" s="407">
        <v>30</v>
      </c>
      <c r="CR300" s="407">
        <v>172.14333774222405</v>
      </c>
      <c r="CS300" s="407">
        <v>0</v>
      </c>
      <c r="CT300" s="407">
        <v>0</v>
      </c>
      <c r="CU300" s="407">
        <v>0</v>
      </c>
      <c r="CV300" s="407">
        <v>0</v>
      </c>
      <c r="CW300" s="407">
        <v>0</v>
      </c>
      <c r="CX300" s="407">
        <v>0</v>
      </c>
      <c r="CY300" s="407">
        <v>0</v>
      </c>
      <c r="CZ300" s="407">
        <v>52.5694117769483</v>
      </c>
      <c r="DA300" s="407">
        <v>0</v>
      </c>
      <c r="DB300" s="407">
        <v>0</v>
      </c>
      <c r="DC300" s="407">
        <v>305.09452639595224</v>
      </c>
      <c r="DD300" s="407">
        <v>0</v>
      </c>
      <c r="DE300" s="407">
        <v>0</v>
      </c>
      <c r="DF300" s="407">
        <v>0</v>
      </c>
      <c r="DG300" s="407">
        <v>22.301435640410432</v>
      </c>
      <c r="DH300" s="407">
        <v>0</v>
      </c>
      <c r="DI300" s="407">
        <v>-43.305354129347279</v>
      </c>
      <c r="DJ300" s="407"/>
      <c r="DK300" s="407">
        <v>0</v>
      </c>
      <c r="DL300" s="407">
        <v>0</v>
      </c>
      <c r="DM300" s="407">
        <v>0</v>
      </c>
      <c r="DN300" s="407">
        <v>0</v>
      </c>
      <c r="DO300" s="407">
        <v>-5.8290455122375988</v>
      </c>
      <c r="DP300" s="407">
        <v>-1.3191597831486881</v>
      </c>
      <c r="DQ300" s="407">
        <v>0</v>
      </c>
      <c r="DR300" s="407">
        <v>-157.36847664635351</v>
      </c>
      <c r="DS300" s="407"/>
      <c r="DT300" s="407"/>
      <c r="DU300" s="407"/>
      <c r="DV300" s="407">
        <v>4165.8563500826676</v>
      </c>
      <c r="DW300" s="407">
        <v>0</v>
      </c>
      <c r="DX300" s="407">
        <v>0</v>
      </c>
      <c r="DY300" s="407">
        <v>-2229.8595000000014</v>
      </c>
      <c r="DZ300" s="407">
        <v>274.06819000000019</v>
      </c>
      <c r="EA300" s="407">
        <v>0</v>
      </c>
      <c r="EB300" s="407">
        <v>0</v>
      </c>
      <c r="EC300" s="407">
        <v>-2127.9290993374798</v>
      </c>
      <c r="ED300" s="407">
        <v>0</v>
      </c>
      <c r="EE300" s="407">
        <v>0</v>
      </c>
      <c r="EF300" s="407">
        <v>0</v>
      </c>
      <c r="EG300" s="407">
        <v>0</v>
      </c>
      <c r="EH300" s="407">
        <v>0</v>
      </c>
      <c r="EI300" s="407">
        <v>0</v>
      </c>
      <c r="EJ300" s="407">
        <v>0</v>
      </c>
      <c r="EK300" s="407">
        <v>0</v>
      </c>
      <c r="EL300" s="407">
        <v>0</v>
      </c>
      <c r="EM300" s="407">
        <v>0</v>
      </c>
      <c r="EN300" s="407">
        <v>0</v>
      </c>
      <c r="EO300" s="407">
        <v>0</v>
      </c>
      <c r="EP300" s="407">
        <v>292.86685061275546</v>
      </c>
      <c r="EQ300" s="407">
        <v>0</v>
      </c>
      <c r="ER300" s="407">
        <v>0</v>
      </c>
      <c r="ES300" s="407">
        <v>0</v>
      </c>
      <c r="ET300" s="407">
        <v>0</v>
      </c>
      <c r="EU300" s="407">
        <v>0</v>
      </c>
      <c r="EV300" s="407">
        <v>246</v>
      </c>
      <c r="EW300" s="407">
        <v>0</v>
      </c>
      <c r="EX300" s="407">
        <v>0</v>
      </c>
      <c r="EY300" s="407">
        <v>0</v>
      </c>
      <c r="EZ300" s="407"/>
      <c r="FA300" s="407">
        <v>0</v>
      </c>
      <c r="FB300" s="407"/>
      <c r="FC300" s="407"/>
      <c r="FD300" s="407"/>
      <c r="FE300" s="407"/>
      <c r="FF300" s="407">
        <v>0</v>
      </c>
      <c r="FG300" s="407">
        <v>0</v>
      </c>
      <c r="FH300" s="407">
        <v>0</v>
      </c>
      <c r="FI300" s="407">
        <v>0</v>
      </c>
    </row>
    <row r="301" spans="1:165">
      <c r="A301" s="407">
        <v>316</v>
      </c>
      <c r="B301" s="407" t="s">
        <v>1090</v>
      </c>
      <c r="C301" s="407" t="s">
        <v>2314</v>
      </c>
      <c r="D301" s="407" t="s">
        <v>650</v>
      </c>
      <c r="E301" s="407" t="s">
        <v>1026</v>
      </c>
      <c r="F301" s="407" t="s">
        <v>2323</v>
      </c>
      <c r="G301" s="407" t="s">
        <v>97</v>
      </c>
      <c r="H301" s="407" t="s">
        <v>97</v>
      </c>
      <c r="I301" s="407" t="s">
        <v>1025</v>
      </c>
      <c r="J301" s="407" t="s">
        <v>2307</v>
      </c>
      <c r="K301" s="818">
        <v>44501</v>
      </c>
      <c r="L301" s="407">
        <v>0</v>
      </c>
      <c r="M301" s="407">
        <v>0</v>
      </c>
      <c r="N301" s="407">
        <v>12.651999999999999</v>
      </c>
      <c r="O301" s="407">
        <v>12.14592</v>
      </c>
      <c r="P301" s="407">
        <v>12.651999999999999</v>
      </c>
      <c r="Q301" s="407">
        <v>12.14592</v>
      </c>
      <c r="R301" s="407"/>
      <c r="S301" s="407">
        <v>2810.7</v>
      </c>
      <c r="T301" s="407">
        <v>159.41</v>
      </c>
      <c r="U301" s="407"/>
      <c r="V301" s="407">
        <v>37577.831719999995</v>
      </c>
      <c r="W301" s="407">
        <v>37577.831719999995</v>
      </c>
      <c r="X301" s="407">
        <v>23933.66188</v>
      </c>
      <c r="Y301" s="407">
        <v>0</v>
      </c>
      <c r="Z301" s="407">
        <v>682.12142154463447</v>
      </c>
      <c r="AA301" s="407">
        <v>0</v>
      </c>
      <c r="AB301" s="407">
        <v>0</v>
      </c>
      <c r="AC301" s="407">
        <v>0</v>
      </c>
      <c r="AD301" s="407">
        <v>7724.243287528313</v>
      </c>
      <c r="AE301" s="407">
        <v>26631.054414558443</v>
      </c>
      <c r="AF301" s="407">
        <v>1951.3270278542548</v>
      </c>
      <c r="AG301" s="407">
        <v>65.55946605657671</v>
      </c>
      <c r="AH301" s="407">
        <v>0</v>
      </c>
      <c r="AI301" s="407">
        <v>0</v>
      </c>
      <c r="AJ301" s="407">
        <v>0</v>
      </c>
      <c r="AK301" s="407">
        <v>0</v>
      </c>
      <c r="AL301" s="407">
        <v>121.15625229758943</v>
      </c>
      <c r="AM301" s="407"/>
      <c r="AN301" s="407">
        <v>13.584874771975379</v>
      </c>
      <c r="AO301" s="407">
        <v>0</v>
      </c>
      <c r="AP301" s="407">
        <v>0</v>
      </c>
      <c r="AQ301" s="407">
        <v>0</v>
      </c>
      <c r="AR301" s="407">
        <v>0</v>
      </c>
      <c r="AS301" s="407">
        <v>0</v>
      </c>
      <c r="AT301" s="407">
        <v>0</v>
      </c>
      <c r="AU301" s="407">
        <v>0</v>
      </c>
      <c r="AV301" s="407">
        <v>0</v>
      </c>
      <c r="AW301" s="407">
        <v>0</v>
      </c>
      <c r="AX301" s="407">
        <v>0</v>
      </c>
      <c r="AY301" s="407">
        <v>0</v>
      </c>
      <c r="AZ301" s="407">
        <v>0</v>
      </c>
      <c r="BA301" s="407"/>
      <c r="BB301" s="407">
        <v>0</v>
      </c>
      <c r="BC301" s="407">
        <v>0</v>
      </c>
      <c r="BD301" s="407">
        <v>0</v>
      </c>
      <c r="BE301" s="407">
        <v>0</v>
      </c>
      <c r="BF301" s="407">
        <v>0</v>
      </c>
      <c r="BG301" s="407">
        <v>65.662290389306733</v>
      </c>
      <c r="BH301" s="407">
        <v>0</v>
      </c>
      <c r="BI301" s="407">
        <v>0</v>
      </c>
      <c r="BJ301" s="407">
        <v>0</v>
      </c>
      <c r="BK301" s="407">
        <v>0</v>
      </c>
      <c r="BL301" s="407">
        <v>0</v>
      </c>
      <c r="BM301" s="407"/>
      <c r="BN301" s="407"/>
      <c r="BO301" s="407"/>
      <c r="BP301" s="407"/>
      <c r="BQ301" s="407"/>
      <c r="BR301" s="407">
        <v>957.34647519999794</v>
      </c>
      <c r="BS301" s="407"/>
      <c r="BT301" s="407"/>
      <c r="BU301" s="407"/>
      <c r="BV301" s="407">
        <v>2016.9893182435615</v>
      </c>
      <c r="BW301" s="407"/>
      <c r="BX301" s="407"/>
      <c r="BY301" s="407"/>
      <c r="BZ301" s="407"/>
      <c r="CA301" s="407"/>
      <c r="CB301" s="407"/>
      <c r="CC301" s="407"/>
      <c r="CD301" s="407"/>
      <c r="CE301" s="407"/>
      <c r="CF301" s="407"/>
      <c r="CG301" s="407"/>
      <c r="CH301" s="407"/>
      <c r="CI301" s="407">
        <v>22984.033500000001</v>
      </c>
      <c r="CJ301" s="407">
        <v>-13090.7149512</v>
      </c>
      <c r="CK301" s="407"/>
      <c r="CL301" s="407"/>
      <c r="CM301" s="407"/>
      <c r="CN301" s="407"/>
      <c r="CO301" s="407">
        <v>-13991.720279999998</v>
      </c>
      <c r="CP301" s="407">
        <v>347.55043999999998</v>
      </c>
      <c r="CQ301" s="407">
        <v>30</v>
      </c>
      <c r="CR301" s="407">
        <v>-40.898817179993785</v>
      </c>
      <c r="CS301" s="407">
        <v>0</v>
      </c>
      <c r="CT301" s="407">
        <v>0</v>
      </c>
      <c r="CU301" s="407">
        <v>0</v>
      </c>
      <c r="CV301" s="407">
        <v>0</v>
      </c>
      <c r="CW301" s="407">
        <v>0</v>
      </c>
      <c r="CX301" s="407">
        <v>0</v>
      </c>
      <c r="CY301" s="407">
        <v>0</v>
      </c>
      <c r="CZ301" s="407">
        <v>348.91938500474953</v>
      </c>
      <c r="DA301" s="407">
        <v>0</v>
      </c>
      <c r="DB301" s="407">
        <v>0</v>
      </c>
      <c r="DC301" s="407">
        <v>386.89545434114348</v>
      </c>
      <c r="DD301" s="407">
        <v>0</v>
      </c>
      <c r="DE301" s="407">
        <v>0</v>
      </c>
      <c r="DF301" s="407">
        <v>0</v>
      </c>
      <c r="DG301" s="407">
        <v>13.019058984278274</v>
      </c>
      <c r="DH301" s="407">
        <v>0</v>
      </c>
      <c r="DI301" s="407">
        <v>-47.777130017712693</v>
      </c>
      <c r="DJ301" s="407"/>
      <c r="DK301" s="407">
        <v>0</v>
      </c>
      <c r="DL301" s="407">
        <v>0</v>
      </c>
      <c r="DM301" s="407">
        <v>0</v>
      </c>
      <c r="DN301" s="407">
        <v>0</v>
      </c>
      <c r="DO301" s="407">
        <v>-7.3919097745645104</v>
      </c>
      <c r="DP301" s="407">
        <v>-0.86559542382530275</v>
      </c>
      <c r="DQ301" s="407">
        <v>0</v>
      </c>
      <c r="DR301" s="407">
        <v>-733.6980802940634</v>
      </c>
      <c r="DS301" s="407"/>
      <c r="DT301" s="407"/>
      <c r="DU301" s="407"/>
      <c r="DV301" s="407">
        <v>26631.054414558443</v>
      </c>
      <c r="DW301" s="407">
        <v>0</v>
      </c>
      <c r="DX301" s="407">
        <v>0</v>
      </c>
      <c r="DY301" s="407">
        <v>-13991.720279999994</v>
      </c>
      <c r="DZ301" s="407">
        <v>347.55043999999975</v>
      </c>
      <c r="EA301" s="407">
        <v>0</v>
      </c>
      <c r="EB301" s="407">
        <v>0</v>
      </c>
      <c r="EC301" s="407">
        <v>-13603.204448865336</v>
      </c>
      <c r="ED301" s="407">
        <v>0</v>
      </c>
      <c r="EE301" s="407">
        <v>0</v>
      </c>
      <c r="EF301" s="407">
        <v>0</v>
      </c>
      <c r="EG301" s="407">
        <v>0</v>
      </c>
      <c r="EH301" s="407">
        <v>0</v>
      </c>
      <c r="EI301" s="407">
        <v>0</v>
      </c>
      <c r="EJ301" s="407">
        <v>0</v>
      </c>
      <c r="EK301" s="407">
        <v>0</v>
      </c>
      <c r="EL301" s="407">
        <v>0</v>
      </c>
      <c r="EM301" s="407">
        <v>0</v>
      </c>
      <c r="EN301" s="407">
        <v>0</v>
      </c>
      <c r="EO301" s="407">
        <v>0</v>
      </c>
      <c r="EP301" s="407">
        <v>323.10872133294021</v>
      </c>
      <c r="EQ301" s="407">
        <v>0</v>
      </c>
      <c r="ER301" s="407">
        <v>0</v>
      </c>
      <c r="ES301" s="407">
        <v>0</v>
      </c>
      <c r="ET301" s="407">
        <v>0</v>
      </c>
      <c r="EU301" s="407">
        <v>0</v>
      </c>
      <c r="EV301" s="407">
        <v>246</v>
      </c>
      <c r="EW301" s="407">
        <v>0</v>
      </c>
      <c r="EX301" s="407">
        <v>0</v>
      </c>
      <c r="EY301" s="407">
        <v>0</v>
      </c>
      <c r="EZ301" s="407"/>
      <c r="FA301" s="407">
        <v>0</v>
      </c>
      <c r="FB301" s="407"/>
      <c r="FC301" s="407"/>
      <c r="FD301" s="407"/>
      <c r="FE301" s="407"/>
      <c r="FF301" s="407">
        <v>0</v>
      </c>
      <c r="FG301" s="407">
        <v>0</v>
      </c>
      <c r="FH301" s="407">
        <v>0</v>
      </c>
      <c r="FI301" s="407">
        <v>0</v>
      </c>
    </row>
    <row r="302" spans="1:165">
      <c r="A302" s="407">
        <v>317</v>
      </c>
      <c r="B302" s="407" t="s">
        <v>2309</v>
      </c>
      <c r="C302" s="407" t="s">
        <v>2314</v>
      </c>
      <c r="D302" s="407" t="s">
        <v>650</v>
      </c>
      <c r="E302" s="407" t="s">
        <v>1026</v>
      </c>
      <c r="F302" s="407" t="s">
        <v>2323</v>
      </c>
      <c r="G302" s="407" t="s">
        <v>97</v>
      </c>
      <c r="H302" s="407" t="s">
        <v>97</v>
      </c>
      <c r="I302" s="407" t="s">
        <v>1025</v>
      </c>
      <c r="J302" s="407" t="s">
        <v>2307</v>
      </c>
      <c r="K302" s="818">
        <v>44501</v>
      </c>
      <c r="L302" s="407">
        <v>0</v>
      </c>
      <c r="M302" s="407">
        <v>0</v>
      </c>
      <c r="N302" s="407">
        <v>1.583</v>
      </c>
      <c r="O302" s="407">
        <v>1.5196799999999999</v>
      </c>
      <c r="P302" s="407">
        <v>1.583</v>
      </c>
      <c r="Q302" s="407">
        <v>1.5196799999999999</v>
      </c>
      <c r="R302" s="407"/>
      <c r="S302" s="407">
        <v>2810.7</v>
      </c>
      <c r="T302" s="407">
        <v>159.41</v>
      </c>
      <c r="U302" s="407"/>
      <c r="V302" s="407">
        <v>4701.6841299999996</v>
      </c>
      <c r="W302" s="407">
        <v>4701.6841299999996</v>
      </c>
      <c r="X302" s="407">
        <v>2994.5452700000001</v>
      </c>
      <c r="Y302" s="407">
        <v>0</v>
      </c>
      <c r="Z302" s="407">
        <v>85.346048870151478</v>
      </c>
      <c r="AA302" s="407">
        <v>0</v>
      </c>
      <c r="AB302" s="407">
        <v>0</v>
      </c>
      <c r="AC302" s="407">
        <v>0</v>
      </c>
      <c r="AD302" s="407">
        <v>966.44618433111918</v>
      </c>
      <c r="AE302" s="407">
        <v>3332.0391351759417</v>
      </c>
      <c r="AF302" s="407">
        <v>244.14722455685151</v>
      </c>
      <c r="AG302" s="407">
        <v>8.2027058779292545</v>
      </c>
      <c r="AH302" s="407">
        <v>0</v>
      </c>
      <c r="AI302" s="407">
        <v>0</v>
      </c>
      <c r="AJ302" s="407">
        <v>0</v>
      </c>
      <c r="AK302" s="407">
        <v>0</v>
      </c>
      <c r="AL302" s="407">
        <v>15.158895620224792</v>
      </c>
      <c r="AM302" s="407"/>
      <c r="AN302" s="407">
        <v>1.6997199465726389</v>
      </c>
      <c r="AO302" s="407">
        <v>0</v>
      </c>
      <c r="AP302" s="407">
        <v>0</v>
      </c>
      <c r="AQ302" s="407">
        <v>0</v>
      </c>
      <c r="AR302" s="407">
        <v>0</v>
      </c>
      <c r="AS302" s="407">
        <v>0</v>
      </c>
      <c r="AT302" s="407">
        <v>0</v>
      </c>
      <c r="AU302" s="407">
        <v>0</v>
      </c>
      <c r="AV302" s="407">
        <v>0</v>
      </c>
      <c r="AW302" s="407">
        <v>0</v>
      </c>
      <c r="AX302" s="407">
        <v>0</v>
      </c>
      <c r="AY302" s="407">
        <v>0</v>
      </c>
      <c r="AZ302" s="407">
        <v>0</v>
      </c>
      <c r="BA302" s="407"/>
      <c r="BB302" s="407">
        <v>0</v>
      </c>
      <c r="BC302" s="407">
        <v>0</v>
      </c>
      <c r="BD302" s="407">
        <v>0</v>
      </c>
      <c r="BE302" s="407">
        <v>0</v>
      </c>
      <c r="BF302" s="407">
        <v>0</v>
      </c>
      <c r="BG302" s="407">
        <v>8.2155711102017506</v>
      </c>
      <c r="BH302" s="407">
        <v>0</v>
      </c>
      <c r="BI302" s="407">
        <v>0</v>
      </c>
      <c r="BJ302" s="407">
        <v>0</v>
      </c>
      <c r="BK302" s="407">
        <v>0</v>
      </c>
      <c r="BL302" s="407">
        <v>0</v>
      </c>
      <c r="BM302" s="407"/>
      <c r="BN302" s="407"/>
      <c r="BO302" s="407"/>
      <c r="BP302" s="407"/>
      <c r="BQ302" s="407"/>
      <c r="BR302" s="407">
        <v>119.78181080000007</v>
      </c>
      <c r="BS302" s="407"/>
      <c r="BT302" s="407"/>
      <c r="BU302" s="407"/>
      <c r="BV302" s="407">
        <v>252.36279566705326</v>
      </c>
      <c r="BW302" s="407"/>
      <c r="BX302" s="407"/>
      <c r="BY302" s="407"/>
      <c r="BZ302" s="407"/>
      <c r="CA302" s="407"/>
      <c r="CB302" s="407"/>
      <c r="CC302" s="407"/>
      <c r="CD302" s="407"/>
      <c r="CE302" s="407"/>
      <c r="CF302" s="407"/>
      <c r="CG302" s="407"/>
      <c r="CH302" s="407"/>
      <c r="CI302" s="407">
        <v>2875.3688000000002</v>
      </c>
      <c r="CJ302" s="407">
        <v>-1638.2779648000005</v>
      </c>
      <c r="CK302" s="407"/>
      <c r="CL302" s="407"/>
      <c r="CM302" s="407"/>
      <c r="CN302" s="407"/>
      <c r="CO302" s="407">
        <v>-1750.6238699999997</v>
      </c>
      <c r="CP302" s="407">
        <v>43.485009999999996</v>
      </c>
      <c r="CQ302" s="407">
        <v>30</v>
      </c>
      <c r="CR302" s="407">
        <v>-5.1172010429918373</v>
      </c>
      <c r="CS302" s="407">
        <v>0</v>
      </c>
      <c r="CT302" s="407">
        <v>0</v>
      </c>
      <c r="CU302" s="407">
        <v>0</v>
      </c>
      <c r="CV302" s="407">
        <v>0</v>
      </c>
      <c r="CW302" s="407">
        <v>0</v>
      </c>
      <c r="CX302" s="407">
        <v>0</v>
      </c>
      <c r="CY302" s="407">
        <v>0</v>
      </c>
      <c r="CZ302" s="407">
        <v>43.656290425428324</v>
      </c>
      <c r="DA302" s="407">
        <v>0</v>
      </c>
      <c r="DB302" s="407">
        <v>0</v>
      </c>
      <c r="DC302" s="407">
        <v>48.407801471864531</v>
      </c>
      <c r="DD302" s="407">
        <v>0</v>
      </c>
      <c r="DE302" s="407">
        <v>0</v>
      </c>
      <c r="DF302" s="407">
        <v>0</v>
      </c>
      <c r="DG302" s="407">
        <v>1.6289258909352302</v>
      </c>
      <c r="DH302" s="407">
        <v>0</v>
      </c>
      <c r="DI302" s="407">
        <v>-5.9778056289945738</v>
      </c>
      <c r="DJ302" s="407"/>
      <c r="DK302" s="407">
        <v>0</v>
      </c>
      <c r="DL302" s="407">
        <v>0</v>
      </c>
      <c r="DM302" s="407">
        <v>0</v>
      </c>
      <c r="DN302" s="407">
        <v>0</v>
      </c>
      <c r="DO302" s="407">
        <v>-0.92486509430411168</v>
      </c>
      <c r="DP302" s="407">
        <v>-0.10830205152667216</v>
      </c>
      <c r="DQ302" s="407">
        <v>0</v>
      </c>
      <c r="DR302" s="407">
        <v>-91.799246056394423</v>
      </c>
      <c r="DS302" s="407"/>
      <c r="DT302" s="407"/>
      <c r="DU302" s="407"/>
      <c r="DV302" s="407">
        <v>3332.0391351759417</v>
      </c>
      <c r="DW302" s="407">
        <v>0</v>
      </c>
      <c r="DX302" s="407">
        <v>0</v>
      </c>
      <c r="DY302" s="407">
        <v>-1750.6238699999999</v>
      </c>
      <c r="DZ302" s="407">
        <v>43.485009999999988</v>
      </c>
      <c r="EA302" s="407">
        <v>0</v>
      </c>
      <c r="EB302" s="407">
        <v>0</v>
      </c>
      <c r="EC302" s="407">
        <v>-1702.0133293197775</v>
      </c>
      <c r="ED302" s="407">
        <v>0</v>
      </c>
      <c r="EE302" s="407">
        <v>0</v>
      </c>
      <c r="EF302" s="407">
        <v>0</v>
      </c>
      <c r="EG302" s="407">
        <v>0</v>
      </c>
      <c r="EH302" s="407">
        <v>0</v>
      </c>
      <c r="EI302" s="407">
        <v>0</v>
      </c>
      <c r="EJ302" s="407">
        <v>0</v>
      </c>
      <c r="EK302" s="407">
        <v>0</v>
      </c>
      <c r="EL302" s="407">
        <v>0</v>
      </c>
      <c r="EM302" s="407">
        <v>0</v>
      </c>
      <c r="EN302" s="407">
        <v>0</v>
      </c>
      <c r="EO302" s="407">
        <v>0</v>
      </c>
      <c r="EP302" s="407">
        <v>40.426897397252958</v>
      </c>
      <c r="EQ302" s="407">
        <v>0</v>
      </c>
      <c r="ER302" s="407">
        <v>0</v>
      </c>
      <c r="ES302" s="407">
        <v>0</v>
      </c>
      <c r="ET302" s="407">
        <v>0</v>
      </c>
      <c r="EU302" s="407">
        <v>0</v>
      </c>
      <c r="EV302" s="407">
        <v>246</v>
      </c>
      <c r="EW302" s="407">
        <v>0</v>
      </c>
      <c r="EX302" s="407">
        <v>0</v>
      </c>
      <c r="EY302" s="407">
        <v>0</v>
      </c>
      <c r="EZ302" s="407"/>
      <c r="FA302" s="407">
        <v>0</v>
      </c>
      <c r="FB302" s="407"/>
      <c r="FC302" s="407"/>
      <c r="FD302" s="407"/>
      <c r="FE302" s="407"/>
      <c r="FF302" s="407">
        <v>0</v>
      </c>
      <c r="FG302" s="407">
        <v>0</v>
      </c>
      <c r="FH302" s="407">
        <v>0</v>
      </c>
      <c r="FI302" s="407">
        <v>0</v>
      </c>
    </row>
    <row r="303" spans="1:165">
      <c r="A303" s="407">
        <v>318</v>
      </c>
      <c r="B303" s="407" t="s">
        <v>1090</v>
      </c>
      <c r="C303" s="407" t="s">
        <v>2314</v>
      </c>
      <c r="D303" s="407" t="s">
        <v>650</v>
      </c>
      <c r="E303" s="407" t="s">
        <v>1026</v>
      </c>
      <c r="F303" s="407" t="s">
        <v>2323</v>
      </c>
      <c r="G303" s="407" t="s">
        <v>97</v>
      </c>
      <c r="H303" s="407" t="s">
        <v>97</v>
      </c>
      <c r="I303" s="407" t="s">
        <v>2290</v>
      </c>
      <c r="J303" s="407" t="s">
        <v>2307</v>
      </c>
      <c r="K303" s="818">
        <v>44501</v>
      </c>
      <c r="L303" s="407">
        <v>0</v>
      </c>
      <c r="M303" s="407">
        <v>0</v>
      </c>
      <c r="N303" s="407">
        <v>485.37200000000001</v>
      </c>
      <c r="O303" s="407">
        <v>465.95711999999997</v>
      </c>
      <c r="P303" s="407">
        <v>485.37200000000001</v>
      </c>
      <c r="Q303" s="407">
        <v>465.95711999999997</v>
      </c>
      <c r="R303" s="407"/>
      <c r="S303" s="407">
        <v>95.29</v>
      </c>
      <c r="T303" s="407">
        <v>159.41</v>
      </c>
      <c r="U303" s="407"/>
      <c r="V303" s="407">
        <v>123624.2484</v>
      </c>
      <c r="W303" s="407">
        <v>123624.2484</v>
      </c>
      <c r="X303" s="407">
        <v>134404.36051999999</v>
      </c>
      <c r="Y303" s="407">
        <v>0</v>
      </c>
      <c r="Z303" s="407">
        <v>26168.403305245207</v>
      </c>
      <c r="AA303" s="407">
        <v>0</v>
      </c>
      <c r="AB303" s="407">
        <v>0</v>
      </c>
      <c r="AC303" s="407">
        <v>0</v>
      </c>
      <c r="AD303" s="407">
        <v>0</v>
      </c>
      <c r="AE303" s="407">
        <v>0</v>
      </c>
      <c r="AF303" s="407">
        <v>74859.271432475143</v>
      </c>
      <c r="AG303" s="407">
        <v>2515.0750204562719</v>
      </c>
      <c r="AH303" s="407">
        <v>0</v>
      </c>
      <c r="AI303" s="407">
        <v>0</v>
      </c>
      <c r="AJ303" s="407">
        <v>0</v>
      </c>
      <c r="AK303" s="407">
        <v>0</v>
      </c>
      <c r="AL303" s="407">
        <v>4647.9491377004097</v>
      </c>
      <c r="AM303" s="407"/>
      <c r="AN303" s="407">
        <v>521.16011996705936</v>
      </c>
      <c r="AO303" s="407">
        <v>0</v>
      </c>
      <c r="AP303" s="407">
        <v>0</v>
      </c>
      <c r="AQ303" s="407">
        <v>0</v>
      </c>
      <c r="AR303" s="407">
        <v>0</v>
      </c>
      <c r="AS303" s="407">
        <v>0</v>
      </c>
      <c r="AT303" s="407">
        <v>0</v>
      </c>
      <c r="AU303" s="407">
        <v>0</v>
      </c>
      <c r="AV303" s="407">
        <v>0</v>
      </c>
      <c r="AW303" s="407">
        <v>0</v>
      </c>
      <c r="AX303" s="407">
        <v>0</v>
      </c>
      <c r="AY303" s="407">
        <v>0</v>
      </c>
      <c r="AZ303" s="407">
        <v>0</v>
      </c>
      <c r="BA303" s="407"/>
      <c r="BB303" s="407">
        <v>0</v>
      </c>
      <c r="BC303" s="407">
        <v>0</v>
      </c>
      <c r="BD303" s="407">
        <v>0</v>
      </c>
      <c r="BE303" s="407">
        <v>0</v>
      </c>
      <c r="BF303" s="407">
        <v>0</v>
      </c>
      <c r="BG303" s="407">
        <v>2519.0196973473435</v>
      </c>
      <c r="BH303" s="407">
        <v>0</v>
      </c>
      <c r="BI303" s="407">
        <v>0</v>
      </c>
      <c r="BJ303" s="407">
        <v>0</v>
      </c>
      <c r="BK303" s="407">
        <v>0</v>
      </c>
      <c r="BL303" s="407">
        <v>0</v>
      </c>
      <c r="BM303" s="407"/>
      <c r="BN303" s="407"/>
      <c r="BO303" s="407"/>
      <c r="BP303" s="407"/>
      <c r="BQ303" s="407"/>
      <c r="BR303" s="407">
        <v>5376.1744208000109</v>
      </c>
      <c r="BS303" s="407"/>
      <c r="BT303" s="407"/>
      <c r="BU303" s="407"/>
      <c r="BV303" s="407">
        <v>77378.291129822494</v>
      </c>
      <c r="BW303" s="407"/>
      <c r="BX303" s="407"/>
      <c r="BY303" s="407"/>
      <c r="BZ303" s="407"/>
      <c r="CA303" s="407"/>
      <c r="CB303" s="407"/>
      <c r="CC303" s="407"/>
      <c r="CD303" s="407"/>
      <c r="CE303" s="407"/>
      <c r="CF303" s="407"/>
      <c r="CG303" s="407"/>
      <c r="CH303" s="407"/>
      <c r="CI303" s="407">
        <v>129028.98360000001</v>
      </c>
      <c r="CJ303" s="407">
        <v>10349.67513600002</v>
      </c>
      <c r="CK303" s="407"/>
      <c r="CL303" s="407"/>
      <c r="CM303" s="407"/>
      <c r="CN303" s="407"/>
      <c r="CO303" s="407">
        <v>-2553.0567200000028</v>
      </c>
      <c r="CP303" s="407">
        <v>13333.16884</v>
      </c>
      <c r="CQ303" s="407">
        <v>30</v>
      </c>
      <c r="CR303" s="407">
        <v>10778.577960833849</v>
      </c>
      <c r="CS303" s="407">
        <v>0</v>
      </c>
      <c r="CT303" s="407">
        <v>0</v>
      </c>
      <c r="CU303" s="407">
        <v>0</v>
      </c>
      <c r="CV303" s="407">
        <v>0</v>
      </c>
      <c r="CW303" s="407">
        <v>0</v>
      </c>
      <c r="CX303" s="407">
        <v>0</v>
      </c>
      <c r="CY303" s="407">
        <v>0</v>
      </c>
      <c r="CZ303" s="407">
        <v>0</v>
      </c>
      <c r="DA303" s="407">
        <v>0</v>
      </c>
      <c r="DB303" s="407">
        <v>0</v>
      </c>
      <c r="DC303" s="407">
        <v>14842.571962098431</v>
      </c>
      <c r="DD303" s="407">
        <v>0</v>
      </c>
      <c r="DE303" s="407">
        <v>0</v>
      </c>
      <c r="DF303" s="407">
        <v>0</v>
      </c>
      <c r="DG303" s="407">
        <v>499.45358024953521</v>
      </c>
      <c r="DH303" s="407">
        <v>0</v>
      </c>
      <c r="DI303" s="407">
        <v>-1832.8865911284593</v>
      </c>
      <c r="DJ303" s="407"/>
      <c r="DK303" s="407">
        <v>0</v>
      </c>
      <c r="DL303" s="407">
        <v>0</v>
      </c>
      <c r="DM303" s="407">
        <v>0</v>
      </c>
      <c r="DN303" s="407">
        <v>0</v>
      </c>
      <c r="DO303" s="407">
        <v>-283.57777672304201</v>
      </c>
      <c r="DP303" s="407">
        <v>-33.207064657993669</v>
      </c>
      <c r="DQ303" s="407">
        <v>0</v>
      </c>
      <c r="DR303" s="407">
        <v>-2413.7761490045987</v>
      </c>
      <c r="DS303" s="407"/>
      <c r="DT303" s="407"/>
      <c r="DU303" s="407"/>
      <c r="DV303" s="407">
        <v>0</v>
      </c>
      <c r="DW303" s="407">
        <v>0</v>
      </c>
      <c r="DX303" s="407">
        <v>0</v>
      </c>
      <c r="DY303" s="407">
        <v>-2553.0567200000005</v>
      </c>
      <c r="DZ303" s="407">
        <v>13333.168839999998</v>
      </c>
      <c r="EA303" s="407">
        <v>0</v>
      </c>
      <c r="EB303" s="407">
        <v>0</v>
      </c>
      <c r="EC303" s="407">
        <v>0</v>
      </c>
      <c r="ED303" s="407">
        <v>0</v>
      </c>
      <c r="EE303" s="407">
        <v>0</v>
      </c>
      <c r="EF303" s="407">
        <v>0</v>
      </c>
      <c r="EG303" s="407">
        <v>0</v>
      </c>
      <c r="EH303" s="407">
        <v>0</v>
      </c>
      <c r="EI303" s="407">
        <v>0</v>
      </c>
      <c r="EJ303" s="407">
        <v>0</v>
      </c>
      <c r="EK303" s="407">
        <v>0</v>
      </c>
      <c r="EL303" s="407">
        <v>0</v>
      </c>
      <c r="EM303" s="407">
        <v>0</v>
      </c>
      <c r="EN303" s="407">
        <v>0</v>
      </c>
      <c r="EO303" s="407">
        <v>0</v>
      </c>
      <c r="EP303" s="407">
        <v>12395.504765318676</v>
      </c>
      <c r="EQ303" s="407">
        <v>0</v>
      </c>
      <c r="ER303" s="407">
        <v>0</v>
      </c>
      <c r="ES303" s="407">
        <v>0</v>
      </c>
      <c r="ET303" s="407">
        <v>0</v>
      </c>
      <c r="EU303" s="407">
        <v>0</v>
      </c>
      <c r="EV303" s="407">
        <v>246</v>
      </c>
      <c r="EW303" s="407">
        <v>0</v>
      </c>
      <c r="EX303" s="407">
        <v>0</v>
      </c>
      <c r="EY303" s="407">
        <v>0</v>
      </c>
      <c r="EZ303" s="407"/>
      <c r="FA303" s="407">
        <v>0</v>
      </c>
      <c r="FB303" s="407"/>
      <c r="FC303" s="407"/>
      <c r="FD303" s="407"/>
      <c r="FE303" s="407"/>
      <c r="FF303" s="407">
        <v>0</v>
      </c>
      <c r="FG303" s="407">
        <v>0</v>
      </c>
      <c r="FH303" s="407">
        <v>0</v>
      </c>
      <c r="FI303" s="407">
        <v>0</v>
      </c>
    </row>
    <row r="304" spans="1:165">
      <c r="A304" s="407">
        <v>319</v>
      </c>
      <c r="B304" s="407" t="s">
        <v>2309</v>
      </c>
      <c r="C304" s="407" t="s">
        <v>2314</v>
      </c>
      <c r="D304" s="407" t="s">
        <v>650</v>
      </c>
      <c r="E304" s="407" t="s">
        <v>1026</v>
      </c>
      <c r="F304" s="407" t="s">
        <v>2323</v>
      </c>
      <c r="G304" s="407" t="s">
        <v>97</v>
      </c>
      <c r="H304" s="407" t="s">
        <v>97</v>
      </c>
      <c r="I304" s="407" t="s">
        <v>2290</v>
      </c>
      <c r="J304" s="407" t="s">
        <v>2307</v>
      </c>
      <c r="K304" s="818">
        <v>44501</v>
      </c>
      <c r="L304" s="407">
        <v>0</v>
      </c>
      <c r="M304" s="407">
        <v>0</v>
      </c>
      <c r="N304" s="407">
        <v>85.174000000000007</v>
      </c>
      <c r="O304" s="407">
        <v>81.767039999999994</v>
      </c>
      <c r="P304" s="407">
        <v>85.174000000000007</v>
      </c>
      <c r="Q304" s="407">
        <v>81.767039999999994</v>
      </c>
      <c r="R304" s="407"/>
      <c r="S304" s="407">
        <v>95.29</v>
      </c>
      <c r="T304" s="407">
        <v>159.41</v>
      </c>
      <c r="U304" s="407"/>
      <c r="V304" s="407">
        <v>21693.817800000001</v>
      </c>
      <c r="W304" s="407">
        <v>21693.817800000001</v>
      </c>
      <c r="X304" s="407">
        <v>23585.532340000002</v>
      </c>
      <c r="Y304" s="407">
        <v>0</v>
      </c>
      <c r="Z304" s="407">
        <v>4592.0810906293636</v>
      </c>
      <c r="AA304" s="407">
        <v>0</v>
      </c>
      <c r="AB304" s="407">
        <v>0</v>
      </c>
      <c r="AC304" s="407">
        <v>0</v>
      </c>
      <c r="AD304" s="407">
        <v>0</v>
      </c>
      <c r="AE304" s="407">
        <v>0</v>
      </c>
      <c r="AF304" s="407">
        <v>13136.447065322345</v>
      </c>
      <c r="AG304" s="407">
        <v>441.35013925884169</v>
      </c>
      <c r="AH304" s="407">
        <v>0</v>
      </c>
      <c r="AI304" s="407">
        <v>0</v>
      </c>
      <c r="AJ304" s="407">
        <v>0</v>
      </c>
      <c r="AK304" s="407">
        <v>0</v>
      </c>
      <c r="AL304" s="407">
        <v>815.63093844411026</v>
      </c>
      <c r="AM304" s="407"/>
      <c r="AN304" s="407">
        <v>91.454167232708755</v>
      </c>
      <c r="AO304" s="407">
        <v>0</v>
      </c>
      <c r="AP304" s="407">
        <v>0</v>
      </c>
      <c r="AQ304" s="407">
        <v>0</v>
      </c>
      <c r="AR304" s="407">
        <v>0</v>
      </c>
      <c r="AS304" s="407">
        <v>0</v>
      </c>
      <c r="AT304" s="407">
        <v>0</v>
      </c>
      <c r="AU304" s="407">
        <v>0</v>
      </c>
      <c r="AV304" s="407">
        <v>0</v>
      </c>
      <c r="AW304" s="407">
        <v>0</v>
      </c>
      <c r="AX304" s="407">
        <v>0</v>
      </c>
      <c r="AY304" s="407">
        <v>0</v>
      </c>
      <c r="AZ304" s="407">
        <v>0</v>
      </c>
      <c r="BA304" s="407"/>
      <c r="BB304" s="407">
        <v>0</v>
      </c>
      <c r="BC304" s="407">
        <v>0</v>
      </c>
      <c r="BD304" s="407">
        <v>0</v>
      </c>
      <c r="BE304" s="407">
        <v>0</v>
      </c>
      <c r="BF304" s="407">
        <v>0</v>
      </c>
      <c r="BG304" s="407">
        <v>442.04235864834112</v>
      </c>
      <c r="BH304" s="407">
        <v>0</v>
      </c>
      <c r="BI304" s="407">
        <v>0</v>
      </c>
      <c r="BJ304" s="407">
        <v>0</v>
      </c>
      <c r="BK304" s="407">
        <v>0</v>
      </c>
      <c r="BL304" s="407">
        <v>0</v>
      </c>
      <c r="BM304" s="407"/>
      <c r="BN304" s="407"/>
      <c r="BO304" s="407"/>
      <c r="BP304" s="407"/>
      <c r="BQ304" s="407"/>
      <c r="BR304" s="407">
        <v>943.42129360000331</v>
      </c>
      <c r="BS304" s="407"/>
      <c r="BT304" s="407"/>
      <c r="BU304" s="407"/>
      <c r="BV304" s="407">
        <v>13578.489423970686</v>
      </c>
      <c r="BW304" s="407"/>
      <c r="BX304" s="407"/>
      <c r="BY304" s="407"/>
      <c r="BZ304" s="407"/>
      <c r="CA304" s="407"/>
      <c r="CB304" s="407"/>
      <c r="CC304" s="407"/>
      <c r="CD304" s="407"/>
      <c r="CE304" s="407"/>
      <c r="CF304" s="407"/>
      <c r="CG304" s="407"/>
      <c r="CH304" s="407"/>
      <c r="CI304" s="407">
        <v>22642.930699999997</v>
      </c>
      <c r="CJ304" s="407">
        <v>1816.8356119999989</v>
      </c>
      <c r="CK304" s="407"/>
      <c r="CL304" s="407"/>
      <c r="CM304" s="407"/>
      <c r="CN304" s="407"/>
      <c r="CO304" s="407">
        <v>-448.01524000000046</v>
      </c>
      <c r="CP304" s="407">
        <v>2339.7297800000001</v>
      </c>
      <c r="CQ304" s="407">
        <v>30</v>
      </c>
      <c r="CR304" s="407">
        <v>1891.4453228370476</v>
      </c>
      <c r="CS304" s="407">
        <v>0</v>
      </c>
      <c r="CT304" s="407">
        <v>0</v>
      </c>
      <c r="CU304" s="407">
        <v>0</v>
      </c>
      <c r="CV304" s="407">
        <v>0</v>
      </c>
      <c r="CW304" s="407">
        <v>0</v>
      </c>
      <c r="CX304" s="407">
        <v>0</v>
      </c>
      <c r="CY304" s="407">
        <v>0</v>
      </c>
      <c r="CZ304" s="407">
        <v>0</v>
      </c>
      <c r="DA304" s="407">
        <v>0</v>
      </c>
      <c r="DB304" s="407">
        <v>0</v>
      </c>
      <c r="DC304" s="407">
        <v>2604.6027053471826</v>
      </c>
      <c r="DD304" s="407">
        <v>0</v>
      </c>
      <c r="DE304" s="407">
        <v>0</v>
      </c>
      <c r="DF304" s="407">
        <v>0</v>
      </c>
      <c r="DG304" s="407">
        <v>87.645062434944577</v>
      </c>
      <c r="DH304" s="407">
        <v>0</v>
      </c>
      <c r="DI304" s="407">
        <v>-321.63841860011598</v>
      </c>
      <c r="DJ304" s="407"/>
      <c r="DK304" s="407">
        <v>0</v>
      </c>
      <c r="DL304" s="407">
        <v>0</v>
      </c>
      <c r="DM304" s="407">
        <v>0</v>
      </c>
      <c r="DN304" s="407">
        <v>0</v>
      </c>
      <c r="DO304" s="407">
        <v>-49.76276660913345</v>
      </c>
      <c r="DP304" s="407">
        <v>-5.82723874714641</v>
      </c>
      <c r="DQ304" s="407">
        <v>0</v>
      </c>
      <c r="DR304" s="407">
        <v>-423.57402098868027</v>
      </c>
      <c r="DS304" s="407"/>
      <c r="DT304" s="407"/>
      <c r="DU304" s="407"/>
      <c r="DV304" s="407">
        <v>0</v>
      </c>
      <c r="DW304" s="407">
        <v>0</v>
      </c>
      <c r="DX304" s="407">
        <v>0</v>
      </c>
      <c r="DY304" s="407">
        <v>-448.01524000000063</v>
      </c>
      <c r="DZ304" s="407">
        <v>2339.7297800000015</v>
      </c>
      <c r="EA304" s="407">
        <v>0</v>
      </c>
      <c r="EB304" s="407">
        <v>0</v>
      </c>
      <c r="EC304" s="407">
        <v>0</v>
      </c>
      <c r="ED304" s="407">
        <v>0</v>
      </c>
      <c r="EE304" s="407">
        <v>0</v>
      </c>
      <c r="EF304" s="407">
        <v>0</v>
      </c>
      <c r="EG304" s="407">
        <v>0</v>
      </c>
      <c r="EH304" s="407">
        <v>0</v>
      </c>
      <c r="EI304" s="407">
        <v>0</v>
      </c>
      <c r="EJ304" s="407">
        <v>0</v>
      </c>
      <c r="EK304" s="407">
        <v>0</v>
      </c>
      <c r="EL304" s="407">
        <v>0</v>
      </c>
      <c r="EM304" s="407">
        <v>0</v>
      </c>
      <c r="EN304" s="407">
        <v>0</v>
      </c>
      <c r="EO304" s="407">
        <v>0</v>
      </c>
      <c r="EP304" s="407">
        <v>2175.186708094519</v>
      </c>
      <c r="EQ304" s="407">
        <v>0</v>
      </c>
      <c r="ER304" s="407">
        <v>0</v>
      </c>
      <c r="ES304" s="407">
        <v>0</v>
      </c>
      <c r="ET304" s="407">
        <v>0</v>
      </c>
      <c r="EU304" s="407">
        <v>0</v>
      </c>
      <c r="EV304" s="407">
        <v>246</v>
      </c>
      <c r="EW304" s="407">
        <v>0</v>
      </c>
      <c r="EX304" s="407">
        <v>0</v>
      </c>
      <c r="EY304" s="407">
        <v>0</v>
      </c>
      <c r="EZ304" s="407"/>
      <c r="FA304" s="407">
        <v>0</v>
      </c>
      <c r="FB304" s="407"/>
      <c r="FC304" s="407"/>
      <c r="FD304" s="407"/>
      <c r="FE304" s="407"/>
      <c r="FF304" s="407">
        <v>0</v>
      </c>
      <c r="FG304" s="407">
        <v>0</v>
      </c>
      <c r="FH304" s="407">
        <v>0</v>
      </c>
      <c r="FI304" s="407">
        <v>0</v>
      </c>
    </row>
    <row r="305" spans="1:165">
      <c r="A305" s="407">
        <v>320</v>
      </c>
      <c r="B305" s="407" t="s">
        <v>1090</v>
      </c>
      <c r="C305" s="407" t="s">
        <v>2314</v>
      </c>
      <c r="D305" s="407" t="s">
        <v>650</v>
      </c>
      <c r="E305" s="407" t="s">
        <v>1026</v>
      </c>
      <c r="F305" s="407" t="s">
        <v>2323</v>
      </c>
      <c r="G305" s="407" t="s">
        <v>97</v>
      </c>
      <c r="H305" s="407" t="s">
        <v>97</v>
      </c>
      <c r="I305" s="407" t="s">
        <v>97</v>
      </c>
      <c r="J305" s="407" t="s">
        <v>2307</v>
      </c>
      <c r="K305" s="818">
        <v>44501</v>
      </c>
      <c r="L305" s="407">
        <v>6277</v>
      </c>
      <c r="M305" s="407">
        <v>6025.92</v>
      </c>
      <c r="N305" s="407">
        <v>0</v>
      </c>
      <c r="O305" s="407">
        <v>0</v>
      </c>
      <c r="P305" s="407">
        <v>0</v>
      </c>
      <c r="Q305" s="407">
        <v>0</v>
      </c>
      <c r="R305" s="407">
        <v>43.29</v>
      </c>
      <c r="S305" s="407"/>
      <c r="T305" s="407"/>
      <c r="U305" s="407">
        <v>271731.33</v>
      </c>
      <c r="V305" s="407"/>
      <c r="W305" s="407">
        <v>271731.33</v>
      </c>
      <c r="X305" s="407">
        <v>210216.73</v>
      </c>
      <c r="Y305" s="407">
        <v>0</v>
      </c>
      <c r="Z305" s="407">
        <v>0</v>
      </c>
      <c r="AA305" s="407">
        <v>0</v>
      </c>
      <c r="AB305" s="407">
        <v>0</v>
      </c>
      <c r="AC305" s="407">
        <v>0</v>
      </c>
      <c r="AD305" s="407">
        <v>148538.84739351535</v>
      </c>
      <c r="AE305" s="407">
        <v>123212.40745414053</v>
      </c>
      <c r="AF305" s="407"/>
      <c r="AG305" s="407"/>
      <c r="AH305" s="407"/>
      <c r="AI305" s="407">
        <v>0</v>
      </c>
      <c r="AJ305" s="407">
        <v>0</v>
      </c>
      <c r="AK305" s="407">
        <v>0</v>
      </c>
      <c r="AL305" s="407">
        <v>0</v>
      </c>
      <c r="AM305" s="407"/>
      <c r="AN305" s="407">
        <v>0</v>
      </c>
      <c r="AO305" s="407">
        <v>0</v>
      </c>
      <c r="AP305" s="407">
        <v>0</v>
      </c>
      <c r="AQ305" s="407">
        <v>0</v>
      </c>
      <c r="AR305" s="407">
        <v>0</v>
      </c>
      <c r="AS305" s="407"/>
      <c r="AT305" s="407"/>
      <c r="AU305" s="407">
        <v>0</v>
      </c>
      <c r="AV305" s="407">
        <v>0</v>
      </c>
      <c r="AW305" s="407">
        <v>0</v>
      </c>
      <c r="AX305" s="407"/>
      <c r="AY305" s="407"/>
      <c r="AZ305" s="407">
        <v>0</v>
      </c>
      <c r="BA305" s="407"/>
      <c r="BB305" s="407">
        <v>0</v>
      </c>
      <c r="BC305" s="407">
        <v>0</v>
      </c>
      <c r="BD305" s="407">
        <v>0</v>
      </c>
      <c r="BE305" s="407">
        <v>0</v>
      </c>
      <c r="BF305" s="407"/>
      <c r="BG305" s="407">
        <v>0</v>
      </c>
      <c r="BH305" s="407">
        <v>0</v>
      </c>
      <c r="BI305" s="407">
        <v>2294.2600000000002</v>
      </c>
      <c r="BJ305" s="407">
        <v>10275.31</v>
      </c>
      <c r="BK305" s="407">
        <v>238.81</v>
      </c>
      <c r="BL305" s="407">
        <v>41</v>
      </c>
      <c r="BM305" s="407"/>
      <c r="BN305" s="407"/>
      <c r="BO305" s="407"/>
      <c r="BP305" s="407"/>
      <c r="BQ305" s="407"/>
      <c r="BR305" s="407">
        <v>8408.6691999999985</v>
      </c>
      <c r="BS305" s="407"/>
      <c r="BT305" s="407"/>
      <c r="BU305" s="407"/>
      <c r="BV305" s="407">
        <v>0</v>
      </c>
      <c r="BW305" s="407"/>
      <c r="BX305" s="407"/>
      <c r="BY305" s="407"/>
      <c r="BZ305" s="407"/>
      <c r="CA305" s="407"/>
      <c r="CB305" s="407"/>
      <c r="CC305" s="407"/>
      <c r="CD305" s="407"/>
      <c r="CE305" s="407"/>
      <c r="CF305" s="407"/>
      <c r="CG305" s="407"/>
      <c r="CH305" s="407"/>
      <c r="CI305" s="407">
        <v>201808.06080000001</v>
      </c>
      <c r="CJ305" s="407">
        <v>-59054.046000000031</v>
      </c>
      <c r="CK305" s="407"/>
      <c r="CL305" s="407"/>
      <c r="CM305" s="407"/>
      <c r="CN305" s="407"/>
      <c r="CO305" s="407">
        <v>-61514.599999999984</v>
      </c>
      <c r="CP305" s="407">
        <v>0</v>
      </c>
      <c r="CQ305" s="407">
        <v>30</v>
      </c>
      <c r="CR305" s="407">
        <v>1403.9147315124283</v>
      </c>
      <c r="CS305" s="407">
        <v>0</v>
      </c>
      <c r="CT305" s="407">
        <v>0</v>
      </c>
      <c r="CU305" s="407">
        <v>0</v>
      </c>
      <c r="CV305" s="407">
        <v>0</v>
      </c>
      <c r="CW305" s="407"/>
      <c r="CX305" s="407"/>
      <c r="CY305" s="407"/>
      <c r="CZ305" s="407">
        <v>6709.7942610819591</v>
      </c>
      <c r="DA305" s="407">
        <v>0</v>
      </c>
      <c r="DB305" s="407">
        <v>0</v>
      </c>
      <c r="DC305" s="407"/>
      <c r="DD305" s="407"/>
      <c r="DE305" s="407">
        <v>0</v>
      </c>
      <c r="DF305" s="407">
        <v>0</v>
      </c>
      <c r="DG305" s="407">
        <v>0</v>
      </c>
      <c r="DH305" s="407">
        <v>0</v>
      </c>
      <c r="DI305" s="407">
        <v>0</v>
      </c>
      <c r="DJ305" s="407"/>
      <c r="DK305" s="407">
        <v>0</v>
      </c>
      <c r="DL305" s="407">
        <v>0</v>
      </c>
      <c r="DM305" s="407"/>
      <c r="DN305" s="407">
        <v>0</v>
      </c>
      <c r="DO305" s="407">
        <v>0</v>
      </c>
      <c r="DP305" s="407">
        <v>0</v>
      </c>
      <c r="DQ305" s="407">
        <v>0</v>
      </c>
      <c r="DR305" s="407">
        <v>-5305.8795295695372</v>
      </c>
      <c r="DS305" s="407"/>
      <c r="DT305" s="407"/>
      <c r="DU305" s="407">
        <v>123212.40745414053</v>
      </c>
      <c r="DV305" s="407"/>
      <c r="DW305" s="407">
        <v>0</v>
      </c>
      <c r="DX305" s="407">
        <v>0</v>
      </c>
      <c r="DY305" s="407">
        <v>-61514.600000000006</v>
      </c>
      <c r="DZ305" s="407"/>
      <c r="EA305" s="407">
        <v>0</v>
      </c>
      <c r="EB305" s="407"/>
      <c r="EC305" s="407">
        <v>-62937.183903590281</v>
      </c>
      <c r="ED305" s="407"/>
      <c r="EE305" s="407">
        <v>0</v>
      </c>
      <c r="EF305" s="407">
        <v>0</v>
      </c>
      <c r="EG305" s="407"/>
      <c r="EH305" s="407">
        <v>0</v>
      </c>
      <c r="EI305" s="407">
        <v>0</v>
      </c>
      <c r="EJ305" s="407">
        <v>0</v>
      </c>
      <c r="EK305" s="407">
        <v>0</v>
      </c>
      <c r="EL305" s="407">
        <v>0</v>
      </c>
      <c r="EM305" s="407"/>
      <c r="EN305" s="407"/>
      <c r="EO305" s="407">
        <v>0</v>
      </c>
      <c r="EP305" s="407">
        <v>0</v>
      </c>
      <c r="EQ305" s="407"/>
      <c r="ER305" s="407">
        <v>0</v>
      </c>
      <c r="ES305" s="407"/>
      <c r="ET305" s="407">
        <v>0</v>
      </c>
      <c r="EU305" s="407"/>
      <c r="EV305" s="407">
        <v>246</v>
      </c>
      <c r="EW305" s="407"/>
      <c r="EX305" s="407"/>
      <c r="EY305" s="407"/>
      <c r="EZ305" s="407"/>
      <c r="FA305" s="407">
        <v>0</v>
      </c>
      <c r="FB305" s="407"/>
      <c r="FC305" s="407"/>
      <c r="FD305" s="407"/>
      <c r="FE305" s="407"/>
      <c r="FF305" s="407">
        <v>0</v>
      </c>
      <c r="FG305" s="407">
        <v>0</v>
      </c>
      <c r="FH305" s="407">
        <v>0</v>
      </c>
      <c r="FI305" s="407">
        <v>0</v>
      </c>
    </row>
    <row r="306" spans="1:165">
      <c r="A306" s="407">
        <v>321</v>
      </c>
      <c r="B306" s="407" t="s">
        <v>2309</v>
      </c>
      <c r="C306" s="407" t="s">
        <v>2314</v>
      </c>
      <c r="D306" s="407" t="s">
        <v>650</v>
      </c>
      <c r="E306" s="407" t="s">
        <v>1026</v>
      </c>
      <c r="F306" s="407" t="s">
        <v>2323</v>
      </c>
      <c r="G306" s="407" t="s">
        <v>97</v>
      </c>
      <c r="H306" s="407" t="s">
        <v>97</v>
      </c>
      <c r="I306" s="407" t="s">
        <v>97</v>
      </c>
      <c r="J306" s="407" t="s">
        <v>2307</v>
      </c>
      <c r="K306" s="818">
        <v>44501</v>
      </c>
      <c r="L306" s="407">
        <v>676</v>
      </c>
      <c r="M306" s="407">
        <v>648.96</v>
      </c>
      <c r="N306" s="407">
        <v>0</v>
      </c>
      <c r="O306" s="407">
        <v>0</v>
      </c>
      <c r="P306" s="407">
        <v>0</v>
      </c>
      <c r="Q306" s="407">
        <v>0</v>
      </c>
      <c r="R306" s="407">
        <v>43.29</v>
      </c>
      <c r="S306" s="407"/>
      <c r="T306" s="407"/>
      <c r="U306" s="407">
        <v>29264.04</v>
      </c>
      <c r="V306" s="407"/>
      <c r="W306" s="407">
        <v>29264.04</v>
      </c>
      <c r="X306" s="407">
        <v>22639.24</v>
      </c>
      <c r="Y306" s="407">
        <v>0</v>
      </c>
      <c r="Z306" s="407">
        <v>0</v>
      </c>
      <c r="AA306" s="407">
        <v>0</v>
      </c>
      <c r="AB306" s="407">
        <v>0</v>
      </c>
      <c r="AC306" s="407">
        <v>0</v>
      </c>
      <c r="AD306" s="407">
        <v>15996.855319104088</v>
      </c>
      <c r="AE306" s="407">
        <v>13269.3304825552</v>
      </c>
      <c r="AF306" s="407"/>
      <c r="AG306" s="407"/>
      <c r="AH306" s="407"/>
      <c r="AI306" s="407">
        <v>0</v>
      </c>
      <c r="AJ306" s="407">
        <v>0</v>
      </c>
      <c r="AK306" s="407">
        <v>0</v>
      </c>
      <c r="AL306" s="407">
        <v>0</v>
      </c>
      <c r="AM306" s="407"/>
      <c r="AN306" s="407">
        <v>0</v>
      </c>
      <c r="AO306" s="407">
        <v>0</v>
      </c>
      <c r="AP306" s="407">
        <v>0</v>
      </c>
      <c r="AQ306" s="407">
        <v>0</v>
      </c>
      <c r="AR306" s="407">
        <v>0</v>
      </c>
      <c r="AS306" s="407"/>
      <c r="AT306" s="407"/>
      <c r="AU306" s="407">
        <v>0</v>
      </c>
      <c r="AV306" s="407">
        <v>0</v>
      </c>
      <c r="AW306" s="407">
        <v>0</v>
      </c>
      <c r="AX306" s="407"/>
      <c r="AY306" s="407"/>
      <c r="AZ306" s="407">
        <v>0</v>
      </c>
      <c r="BA306" s="407"/>
      <c r="BB306" s="407">
        <v>0</v>
      </c>
      <c r="BC306" s="407">
        <v>0</v>
      </c>
      <c r="BD306" s="407">
        <v>0</v>
      </c>
      <c r="BE306" s="407">
        <v>0</v>
      </c>
      <c r="BF306" s="407"/>
      <c r="BG306" s="407">
        <v>0</v>
      </c>
      <c r="BH306" s="407">
        <v>0</v>
      </c>
      <c r="BI306" s="407">
        <v>284.87</v>
      </c>
      <c r="BJ306" s="407">
        <v>1275.8399999999999</v>
      </c>
      <c r="BK306" s="407">
        <v>465.54</v>
      </c>
      <c r="BL306" s="407">
        <v>4</v>
      </c>
      <c r="BM306" s="407"/>
      <c r="BN306" s="407"/>
      <c r="BO306" s="407"/>
      <c r="BP306" s="407"/>
      <c r="BQ306" s="407"/>
      <c r="BR306" s="407">
        <v>905.56959999999879</v>
      </c>
      <c r="BS306" s="407"/>
      <c r="BT306" s="407"/>
      <c r="BU306" s="407"/>
      <c r="BV306" s="407">
        <v>0</v>
      </c>
      <c r="BW306" s="407"/>
      <c r="BX306" s="407"/>
      <c r="BY306" s="407"/>
      <c r="BZ306" s="407"/>
      <c r="CA306" s="407"/>
      <c r="CB306" s="407"/>
      <c r="CC306" s="407"/>
      <c r="CD306" s="407"/>
      <c r="CE306" s="407"/>
      <c r="CF306" s="407"/>
      <c r="CG306" s="407"/>
      <c r="CH306" s="407"/>
      <c r="CI306" s="407">
        <v>21733.670400000003</v>
      </c>
      <c r="CJ306" s="407">
        <v>-6359.8379999999925</v>
      </c>
      <c r="CK306" s="407"/>
      <c r="CL306" s="407"/>
      <c r="CM306" s="407"/>
      <c r="CN306" s="407"/>
      <c r="CO306" s="407">
        <v>-6624.7999999999984</v>
      </c>
      <c r="CP306" s="407">
        <v>0</v>
      </c>
      <c r="CQ306" s="407">
        <v>30</v>
      </c>
      <c r="CR306" s="407">
        <v>151.19425816511284</v>
      </c>
      <c r="CS306" s="407">
        <v>0</v>
      </c>
      <c r="CT306" s="407">
        <v>0</v>
      </c>
      <c r="CU306" s="407">
        <v>0</v>
      </c>
      <c r="CV306" s="407">
        <v>0</v>
      </c>
      <c r="CW306" s="407"/>
      <c r="CX306" s="407"/>
      <c r="CY306" s="407"/>
      <c r="CZ306" s="407">
        <v>722.60967348915437</v>
      </c>
      <c r="DA306" s="407">
        <v>0</v>
      </c>
      <c r="DB306" s="407">
        <v>0</v>
      </c>
      <c r="DC306" s="407"/>
      <c r="DD306" s="407"/>
      <c r="DE306" s="407">
        <v>0</v>
      </c>
      <c r="DF306" s="407">
        <v>0</v>
      </c>
      <c r="DG306" s="407">
        <v>0</v>
      </c>
      <c r="DH306" s="407">
        <v>0</v>
      </c>
      <c r="DI306" s="407">
        <v>0</v>
      </c>
      <c r="DJ306" s="407"/>
      <c r="DK306" s="407">
        <v>0</v>
      </c>
      <c r="DL306" s="407">
        <v>0</v>
      </c>
      <c r="DM306" s="407"/>
      <c r="DN306" s="407">
        <v>0</v>
      </c>
      <c r="DO306" s="407">
        <v>0</v>
      </c>
      <c r="DP306" s="407">
        <v>0</v>
      </c>
      <c r="DQ306" s="407">
        <v>0</v>
      </c>
      <c r="DR306" s="407">
        <v>-571.41541532404131</v>
      </c>
      <c r="DS306" s="407"/>
      <c r="DT306" s="407"/>
      <c r="DU306" s="407">
        <v>13269.3304825552</v>
      </c>
      <c r="DV306" s="407"/>
      <c r="DW306" s="407">
        <v>0</v>
      </c>
      <c r="DX306" s="407">
        <v>0</v>
      </c>
      <c r="DY306" s="407">
        <v>-6624.7999999999993</v>
      </c>
      <c r="DZ306" s="407"/>
      <c r="EA306" s="407">
        <v>0</v>
      </c>
      <c r="EB306" s="407"/>
      <c r="EC306" s="407">
        <v>-6778.0048301460929</v>
      </c>
      <c r="ED306" s="407"/>
      <c r="EE306" s="407">
        <v>0</v>
      </c>
      <c r="EF306" s="407">
        <v>0</v>
      </c>
      <c r="EG306" s="407"/>
      <c r="EH306" s="407">
        <v>0</v>
      </c>
      <c r="EI306" s="407">
        <v>0</v>
      </c>
      <c r="EJ306" s="407">
        <v>0</v>
      </c>
      <c r="EK306" s="407">
        <v>0</v>
      </c>
      <c r="EL306" s="407">
        <v>0</v>
      </c>
      <c r="EM306" s="407"/>
      <c r="EN306" s="407"/>
      <c r="EO306" s="407">
        <v>0</v>
      </c>
      <c r="EP306" s="407">
        <v>0</v>
      </c>
      <c r="EQ306" s="407"/>
      <c r="ER306" s="407">
        <v>0</v>
      </c>
      <c r="ES306" s="407"/>
      <c r="ET306" s="407">
        <v>0</v>
      </c>
      <c r="EU306" s="407"/>
      <c r="EV306" s="407">
        <v>246</v>
      </c>
      <c r="EW306" s="407"/>
      <c r="EX306" s="407"/>
      <c r="EY306" s="407"/>
      <c r="EZ306" s="407"/>
      <c r="FA306" s="407">
        <v>0</v>
      </c>
      <c r="FB306" s="407"/>
      <c r="FC306" s="407"/>
      <c r="FD306" s="407"/>
      <c r="FE306" s="407"/>
      <c r="FF306" s="407">
        <v>0</v>
      </c>
      <c r="FG306" s="407">
        <v>0</v>
      </c>
      <c r="FH306" s="407">
        <v>0</v>
      </c>
      <c r="FI306" s="407">
        <v>0</v>
      </c>
    </row>
    <row r="307" spans="1:165">
      <c r="A307" s="407">
        <v>322</v>
      </c>
      <c r="B307" s="407" t="s">
        <v>1090</v>
      </c>
      <c r="C307" s="407" t="s">
        <v>2314</v>
      </c>
      <c r="D307" s="407" t="s">
        <v>650</v>
      </c>
      <c r="E307" s="407" t="s">
        <v>1026</v>
      </c>
      <c r="F307" s="407" t="s">
        <v>2323</v>
      </c>
      <c r="G307" s="407" t="s">
        <v>2325</v>
      </c>
      <c r="H307" s="407" t="s">
        <v>97</v>
      </c>
      <c r="I307" s="407" t="s">
        <v>2290</v>
      </c>
      <c r="J307" s="407" t="s">
        <v>2307</v>
      </c>
      <c r="K307" s="818">
        <v>44501</v>
      </c>
      <c r="L307" s="407">
        <v>0</v>
      </c>
      <c r="M307" s="407">
        <v>0</v>
      </c>
      <c r="N307" s="407">
        <v>388.815</v>
      </c>
      <c r="O307" s="407">
        <v>116.64449999999999</v>
      </c>
      <c r="P307" s="407">
        <v>388.815</v>
      </c>
      <c r="Q307" s="407">
        <v>116.64449999999999</v>
      </c>
      <c r="R307" s="407"/>
      <c r="S307" s="407">
        <v>95.29</v>
      </c>
      <c r="T307" s="407">
        <v>159.41</v>
      </c>
      <c r="U307" s="407"/>
      <c r="V307" s="407">
        <v>99031.180499999988</v>
      </c>
      <c r="W307" s="407">
        <v>99031.180499999988</v>
      </c>
      <c r="X307" s="407">
        <v>107666.76165</v>
      </c>
      <c r="Y307" s="407">
        <v>0</v>
      </c>
      <c r="Z307" s="407">
        <v>20962.617808874256</v>
      </c>
      <c r="AA307" s="407">
        <v>0</v>
      </c>
      <c r="AB307" s="407">
        <v>0</v>
      </c>
      <c r="AC307" s="407">
        <v>0</v>
      </c>
      <c r="AD307" s="407">
        <v>0</v>
      </c>
      <c r="AE307" s="407">
        <v>0</v>
      </c>
      <c r="AF307" s="407">
        <v>59967.216118807475</v>
      </c>
      <c r="AG307" s="407">
        <v>2014.7410523860158</v>
      </c>
      <c r="AH307" s="407">
        <v>0</v>
      </c>
      <c r="AI307" s="407">
        <v>0</v>
      </c>
      <c r="AJ307" s="407">
        <v>0</v>
      </c>
      <c r="AK307" s="407">
        <v>0</v>
      </c>
      <c r="AL307" s="407">
        <v>3723.3139611988017</v>
      </c>
      <c r="AM307" s="407"/>
      <c r="AN307" s="407">
        <v>417.48364562643121</v>
      </c>
      <c r="AO307" s="407">
        <v>0</v>
      </c>
      <c r="AP307" s="407">
        <v>0</v>
      </c>
      <c r="AQ307" s="407">
        <v>0</v>
      </c>
      <c r="AR307" s="407">
        <v>0</v>
      </c>
      <c r="AS307" s="407">
        <v>0</v>
      </c>
      <c r="AT307" s="407">
        <v>0</v>
      </c>
      <c r="AU307" s="407">
        <v>0</v>
      </c>
      <c r="AV307" s="407">
        <v>0</v>
      </c>
      <c r="AW307" s="407">
        <v>0</v>
      </c>
      <c r="AX307" s="407">
        <v>0</v>
      </c>
      <c r="AY307" s="407">
        <v>0</v>
      </c>
      <c r="AZ307" s="407">
        <v>0</v>
      </c>
      <c r="BA307" s="407"/>
      <c r="BB307" s="407">
        <v>0</v>
      </c>
      <c r="BC307" s="407">
        <v>0</v>
      </c>
      <c r="BD307" s="407">
        <v>0</v>
      </c>
      <c r="BE307" s="407">
        <v>0</v>
      </c>
      <c r="BF307" s="407">
        <v>0</v>
      </c>
      <c r="BG307" s="407">
        <v>2017.90099887119</v>
      </c>
      <c r="BH307" s="407">
        <v>0</v>
      </c>
      <c r="BI307" s="407">
        <v>0</v>
      </c>
      <c r="BJ307" s="407">
        <v>0</v>
      </c>
      <c r="BK307" s="407">
        <v>0</v>
      </c>
      <c r="BL307" s="407">
        <v>0</v>
      </c>
      <c r="BM307" s="407"/>
      <c r="BN307" s="407"/>
      <c r="BO307" s="407"/>
      <c r="BP307" s="407"/>
      <c r="BQ307" s="407"/>
      <c r="BR307" s="407"/>
      <c r="BS307" s="407">
        <v>75366.733154999994</v>
      </c>
      <c r="BT307" s="407"/>
      <c r="BU307" s="407"/>
      <c r="BV307" s="407">
        <v>61985.117117678667</v>
      </c>
      <c r="BW307" s="407"/>
      <c r="BX307" s="407"/>
      <c r="BY307" s="407"/>
      <c r="BZ307" s="407"/>
      <c r="CA307" s="407"/>
      <c r="CB307" s="407"/>
      <c r="CC307" s="407"/>
      <c r="CD307" s="407"/>
      <c r="CE307" s="407"/>
      <c r="CF307" s="407"/>
      <c r="CG307" s="407"/>
      <c r="CH307" s="407"/>
      <c r="CI307" s="407">
        <v>32298.7824</v>
      </c>
      <c r="CJ307" s="407">
        <v>2589.3982499999984</v>
      </c>
      <c r="CK307" s="407"/>
      <c r="CL307" s="407"/>
      <c r="CM307" s="407"/>
      <c r="CN307" s="407"/>
      <c r="CO307" s="407">
        <v>-2045.166900000002</v>
      </c>
      <c r="CP307" s="407">
        <v>10680.74805</v>
      </c>
      <c r="CQ307" s="407">
        <v>30</v>
      </c>
      <c r="CR307" s="407">
        <v>8634.3521872741112</v>
      </c>
      <c r="CS307" s="407">
        <v>0</v>
      </c>
      <c r="CT307" s="407">
        <v>0</v>
      </c>
      <c r="CU307" s="407">
        <v>0</v>
      </c>
      <c r="CV307" s="407">
        <v>0</v>
      </c>
      <c r="CW307" s="407">
        <v>0</v>
      </c>
      <c r="CX307" s="407">
        <v>0</v>
      </c>
      <c r="CY307" s="407">
        <v>0</v>
      </c>
      <c r="CZ307" s="407">
        <v>0</v>
      </c>
      <c r="DA307" s="407">
        <v>0</v>
      </c>
      <c r="DB307" s="407">
        <v>0</v>
      </c>
      <c r="DC307" s="407">
        <v>11889.879551031576</v>
      </c>
      <c r="DD307" s="407">
        <v>0</v>
      </c>
      <c r="DE307" s="407">
        <v>0</v>
      </c>
      <c r="DF307" s="407">
        <v>0</v>
      </c>
      <c r="DG307" s="407">
        <v>400.09527497408817</v>
      </c>
      <c r="DH307" s="407">
        <v>0</v>
      </c>
      <c r="DI307" s="407">
        <v>-1468.263105266913</v>
      </c>
      <c r="DJ307" s="407"/>
      <c r="DK307" s="407">
        <v>0</v>
      </c>
      <c r="DL307" s="407">
        <v>0</v>
      </c>
      <c r="DM307" s="407">
        <v>0</v>
      </c>
      <c r="DN307" s="407">
        <v>0</v>
      </c>
      <c r="DO307" s="407">
        <v>-227.16451146042527</v>
      </c>
      <c r="DP307" s="407">
        <v>-26.601050009060657</v>
      </c>
      <c r="DQ307" s="407">
        <v>0</v>
      </c>
      <c r="DR307" s="407">
        <v>-1933.5939719951359</v>
      </c>
      <c r="DS307" s="407"/>
      <c r="DT307" s="407"/>
      <c r="DU307" s="407"/>
      <c r="DV307" s="407">
        <v>0</v>
      </c>
      <c r="DW307" s="407">
        <v>0</v>
      </c>
      <c r="DX307" s="407">
        <v>0</v>
      </c>
      <c r="DY307" s="407">
        <v>-2045.1668999999965</v>
      </c>
      <c r="DZ307" s="407">
        <v>10680.748050000002</v>
      </c>
      <c r="EA307" s="407">
        <v>0</v>
      </c>
      <c r="EB307" s="407">
        <v>0</v>
      </c>
      <c r="EC307" s="407">
        <v>0</v>
      </c>
      <c r="ED307" s="407">
        <v>0</v>
      </c>
      <c r="EE307" s="407">
        <v>0</v>
      </c>
      <c r="EF307" s="407">
        <v>0</v>
      </c>
      <c r="EG307" s="407">
        <v>0</v>
      </c>
      <c r="EH307" s="407">
        <v>0</v>
      </c>
      <c r="EI307" s="407">
        <v>0</v>
      </c>
      <c r="EJ307" s="407">
        <v>0</v>
      </c>
      <c r="EK307" s="407">
        <v>0</v>
      </c>
      <c r="EL307" s="407">
        <v>0</v>
      </c>
      <c r="EM307" s="407">
        <v>0</v>
      </c>
      <c r="EN307" s="407">
        <v>0</v>
      </c>
      <c r="EO307" s="407">
        <v>0</v>
      </c>
      <c r="EP307" s="407">
        <v>9929.6172530087861</v>
      </c>
      <c r="EQ307" s="407">
        <v>0</v>
      </c>
      <c r="ER307" s="407">
        <v>0</v>
      </c>
      <c r="ES307" s="407">
        <v>0</v>
      </c>
      <c r="ET307" s="407">
        <v>0</v>
      </c>
      <c r="EU307" s="407">
        <v>0</v>
      </c>
      <c r="EV307" s="407">
        <v>246</v>
      </c>
      <c r="EW307" s="407">
        <v>0</v>
      </c>
      <c r="EX307" s="407">
        <v>0</v>
      </c>
      <c r="EY307" s="407">
        <v>0</v>
      </c>
      <c r="EZ307" s="407"/>
      <c r="FA307" s="407">
        <v>0</v>
      </c>
      <c r="FB307" s="407"/>
      <c r="FC307" s="407"/>
      <c r="FD307" s="407"/>
      <c r="FE307" s="407"/>
      <c r="FF307" s="407">
        <v>0</v>
      </c>
      <c r="FG307" s="407">
        <v>0</v>
      </c>
      <c r="FH307" s="407">
        <v>0</v>
      </c>
      <c r="FI307" s="407">
        <v>0</v>
      </c>
    </row>
    <row r="308" spans="1:165">
      <c r="A308" s="407">
        <v>324</v>
      </c>
      <c r="B308" s="407" t="s">
        <v>1090</v>
      </c>
      <c r="C308" s="407" t="s">
        <v>2306</v>
      </c>
      <c r="D308" s="407" t="s">
        <v>2315</v>
      </c>
      <c r="E308" s="407" t="s">
        <v>1026</v>
      </c>
      <c r="F308" s="407" t="s">
        <v>2326</v>
      </c>
      <c r="G308" s="407" t="s">
        <v>2324</v>
      </c>
      <c r="H308" s="407" t="s">
        <v>97</v>
      </c>
      <c r="I308" s="407" t="s">
        <v>97</v>
      </c>
      <c r="J308" s="407" t="s">
        <v>2307</v>
      </c>
      <c r="K308" s="818">
        <v>44501</v>
      </c>
      <c r="L308" s="407">
        <v>0</v>
      </c>
      <c r="M308" s="407">
        <v>0</v>
      </c>
      <c r="N308" s="407">
        <v>0</v>
      </c>
      <c r="O308" s="407">
        <v>0</v>
      </c>
      <c r="P308" s="407">
        <v>0</v>
      </c>
      <c r="Q308" s="407">
        <v>0</v>
      </c>
      <c r="R308" s="407"/>
      <c r="S308" s="407"/>
      <c r="T308" s="407"/>
      <c r="U308" s="407"/>
      <c r="V308" s="407"/>
      <c r="W308" s="407"/>
      <c r="X308" s="407"/>
      <c r="Y308" s="407"/>
      <c r="Z308" s="407"/>
      <c r="AA308" s="407">
        <v>0</v>
      </c>
      <c r="AB308" s="407"/>
      <c r="AC308" s="407"/>
      <c r="AD308" s="407"/>
      <c r="AE308" s="407"/>
      <c r="AF308" s="407"/>
      <c r="AG308" s="407"/>
      <c r="AH308" s="407"/>
      <c r="AI308" s="407"/>
      <c r="AJ308" s="407"/>
      <c r="AK308" s="407"/>
      <c r="AL308" s="407"/>
      <c r="AM308" s="407"/>
      <c r="AN308" s="407"/>
      <c r="AO308" s="407"/>
      <c r="AP308" s="407"/>
      <c r="AQ308" s="407"/>
      <c r="AR308" s="407"/>
      <c r="AS308" s="407"/>
      <c r="AT308" s="407"/>
      <c r="AU308" s="407"/>
      <c r="AV308" s="407"/>
      <c r="AW308" s="407"/>
      <c r="AX308" s="407"/>
      <c r="AY308" s="407"/>
      <c r="AZ308" s="407">
        <v>0</v>
      </c>
      <c r="BA308" s="407"/>
      <c r="BB308" s="407"/>
      <c r="BC308" s="407"/>
      <c r="BD308" s="407"/>
      <c r="BE308" s="407"/>
      <c r="BF308" s="407"/>
      <c r="BG308" s="407"/>
      <c r="BH308" s="407"/>
      <c r="BI308" s="407">
        <v>27.38</v>
      </c>
      <c r="BJ308" s="407">
        <v>122.72</v>
      </c>
      <c r="BK308" s="407">
        <v>52.87</v>
      </c>
      <c r="BL308" s="407">
        <v>5</v>
      </c>
      <c r="BM308" s="407"/>
      <c r="BN308" s="407"/>
      <c r="BO308" s="407"/>
      <c r="BP308" s="407"/>
      <c r="BQ308" s="407"/>
      <c r="BR308" s="407"/>
      <c r="BS308" s="407"/>
      <c r="BT308" s="407"/>
      <c r="BU308" s="407"/>
      <c r="BV308" s="407"/>
      <c r="BW308" s="407"/>
      <c r="BX308" s="407"/>
      <c r="BY308" s="407"/>
      <c r="BZ308" s="407"/>
      <c r="CA308" s="407"/>
      <c r="CB308" s="407"/>
      <c r="CC308" s="407"/>
      <c r="CD308" s="407"/>
      <c r="CE308" s="407"/>
      <c r="CF308" s="407"/>
      <c r="CG308" s="407"/>
      <c r="CH308" s="407"/>
      <c r="CI308" s="407"/>
      <c r="CJ308" s="407">
        <v>-0.03</v>
      </c>
      <c r="CK308" s="407"/>
      <c r="CL308" s="407"/>
      <c r="CM308" s="407"/>
      <c r="CN308" s="407"/>
      <c r="CO308" s="407">
        <v>0</v>
      </c>
      <c r="CP308" s="407">
        <v>0</v>
      </c>
      <c r="CQ308" s="407">
        <v>30</v>
      </c>
      <c r="CR308" s="407"/>
      <c r="CS308" s="407"/>
      <c r="CT308" s="407"/>
      <c r="CU308" s="407"/>
      <c r="CV308" s="407"/>
      <c r="CW308" s="407"/>
      <c r="CX308" s="407"/>
      <c r="CY308" s="407"/>
      <c r="CZ308" s="407"/>
      <c r="DA308" s="407"/>
      <c r="DB308" s="407"/>
      <c r="DC308" s="407"/>
      <c r="DD308" s="407"/>
      <c r="DE308" s="407"/>
      <c r="DF308" s="407"/>
      <c r="DG308" s="407"/>
      <c r="DH308" s="407"/>
      <c r="DI308" s="407"/>
      <c r="DJ308" s="407"/>
      <c r="DK308" s="407">
        <v>0</v>
      </c>
      <c r="DL308" s="407"/>
      <c r="DM308" s="407"/>
      <c r="DN308" s="407"/>
      <c r="DO308" s="407"/>
      <c r="DP308" s="407"/>
      <c r="DQ308" s="407"/>
      <c r="DR308" s="407"/>
      <c r="DS308" s="407"/>
      <c r="DT308" s="407"/>
      <c r="DU308" s="407"/>
      <c r="DV308" s="407"/>
      <c r="DW308" s="407"/>
      <c r="DX308" s="407"/>
      <c r="DY308" s="407"/>
      <c r="DZ308" s="407"/>
      <c r="EA308" s="407"/>
      <c r="EB308" s="407"/>
      <c r="EC308" s="407"/>
      <c r="ED308" s="407"/>
      <c r="EE308" s="407"/>
      <c r="EF308" s="407"/>
      <c r="EG308" s="407"/>
      <c r="EH308" s="407"/>
      <c r="EI308" s="407"/>
      <c r="EJ308" s="407"/>
      <c r="EK308" s="407"/>
      <c r="EL308" s="407"/>
      <c r="EM308" s="407"/>
      <c r="EN308" s="407"/>
      <c r="EO308" s="407"/>
      <c r="EP308" s="407"/>
      <c r="EQ308" s="407"/>
      <c r="ER308" s="407"/>
      <c r="ES308" s="407"/>
      <c r="ET308" s="407"/>
      <c r="EU308" s="407"/>
      <c r="EV308" s="407">
        <v>246</v>
      </c>
      <c r="EW308" s="407"/>
      <c r="EX308" s="407"/>
      <c r="EY308" s="407"/>
      <c r="EZ308" s="407"/>
      <c r="FA308" s="407">
        <v>0</v>
      </c>
      <c r="FB308" s="407"/>
      <c r="FC308" s="407"/>
      <c r="FD308" s="407"/>
      <c r="FE308" s="407"/>
      <c r="FF308" s="407">
        <v>0</v>
      </c>
      <c r="FG308" s="407">
        <v>0</v>
      </c>
      <c r="FH308" s="407">
        <v>0</v>
      </c>
      <c r="FI308" s="407">
        <v>0</v>
      </c>
    </row>
    <row r="309" spans="1:165">
      <c r="A309" s="407">
        <v>325</v>
      </c>
      <c r="B309" s="407" t="s">
        <v>1090</v>
      </c>
      <c r="C309" s="407" t="s">
        <v>2306</v>
      </c>
      <c r="D309" s="407" t="s">
        <v>2315</v>
      </c>
      <c r="E309" s="407" t="s">
        <v>1026</v>
      </c>
      <c r="F309" s="407" t="s">
        <v>2326</v>
      </c>
      <c r="G309" s="407" t="s">
        <v>2324</v>
      </c>
      <c r="H309" s="407" t="s">
        <v>97</v>
      </c>
      <c r="I309" s="407" t="s">
        <v>97</v>
      </c>
      <c r="J309" s="407" t="s">
        <v>2307</v>
      </c>
      <c r="K309" s="818">
        <v>44501</v>
      </c>
      <c r="L309" s="407">
        <v>0</v>
      </c>
      <c r="M309" s="407">
        <v>0</v>
      </c>
      <c r="N309" s="407">
        <v>5.13</v>
      </c>
      <c r="O309" s="407">
        <v>5.13</v>
      </c>
      <c r="P309" s="407">
        <v>5.13</v>
      </c>
      <c r="Q309" s="407">
        <v>5.13</v>
      </c>
      <c r="R309" s="407"/>
      <c r="S309" s="407">
        <v>648.44000000000005</v>
      </c>
      <c r="T309" s="407">
        <v>159.41</v>
      </c>
      <c r="U309" s="407"/>
      <c r="V309" s="407">
        <v>4144.2705000000005</v>
      </c>
      <c r="W309" s="407">
        <v>4144.2705000000005</v>
      </c>
      <c r="X309" s="407">
        <v>3138.6365999999998</v>
      </c>
      <c r="Y309" s="407">
        <v>0</v>
      </c>
      <c r="Z309" s="407">
        <v>317.90738573193437</v>
      </c>
      <c r="AA309" s="407">
        <v>0</v>
      </c>
      <c r="AB309" s="407">
        <v>0</v>
      </c>
      <c r="AC309" s="407">
        <v>0</v>
      </c>
      <c r="AD309" s="407">
        <v>598.38590646712908</v>
      </c>
      <c r="AE309" s="407">
        <v>2142.0109327377049</v>
      </c>
      <c r="AF309" s="407">
        <v>791.20357673824913</v>
      </c>
      <c r="AG309" s="407">
        <v>26.582363331507942</v>
      </c>
      <c r="AH309" s="407">
        <v>0</v>
      </c>
      <c r="AI309" s="407">
        <v>0</v>
      </c>
      <c r="AJ309" s="407">
        <v>0</v>
      </c>
      <c r="AK309" s="407">
        <v>0</v>
      </c>
      <c r="AL309" s="407">
        <v>49.125163949307129</v>
      </c>
      <c r="AM309" s="407"/>
      <c r="AN309" s="407">
        <v>10.645240635653986</v>
      </c>
      <c r="AO309" s="407">
        <v>0</v>
      </c>
      <c r="AP309" s="407">
        <v>0</v>
      </c>
      <c r="AQ309" s="407">
        <v>0</v>
      </c>
      <c r="AR309" s="407">
        <v>0</v>
      </c>
      <c r="AS309" s="407">
        <v>0</v>
      </c>
      <c r="AT309" s="407">
        <v>0</v>
      </c>
      <c r="AU309" s="407">
        <v>0</v>
      </c>
      <c r="AV309" s="407">
        <v>0</v>
      </c>
      <c r="AW309" s="407">
        <v>0</v>
      </c>
      <c r="AX309" s="407">
        <v>0</v>
      </c>
      <c r="AY309" s="407">
        <v>0</v>
      </c>
      <c r="AZ309" s="407">
        <v>0</v>
      </c>
      <c r="BA309" s="407"/>
      <c r="BB309" s="407">
        <v>0</v>
      </c>
      <c r="BC309" s="407">
        <v>0</v>
      </c>
      <c r="BD309" s="407">
        <v>0</v>
      </c>
      <c r="BE309" s="407">
        <v>0</v>
      </c>
      <c r="BF309" s="407">
        <v>0</v>
      </c>
      <c r="BG309" s="407">
        <v>57.834454959020889</v>
      </c>
      <c r="BH309" s="407">
        <v>0</v>
      </c>
      <c r="BI309" s="407">
        <v>0</v>
      </c>
      <c r="BJ309" s="407">
        <v>0</v>
      </c>
      <c r="BK309" s="407">
        <v>0</v>
      </c>
      <c r="BL309" s="407">
        <v>0</v>
      </c>
      <c r="BM309" s="407"/>
      <c r="BN309" s="407"/>
      <c r="BO309" s="407"/>
      <c r="BP309" s="407"/>
      <c r="BQ309" s="407"/>
      <c r="BR309" s="407">
        <v>376.64460000000008</v>
      </c>
      <c r="BS309" s="407"/>
      <c r="BT309" s="407"/>
      <c r="BU309" s="407"/>
      <c r="BV309" s="407">
        <v>849.03803169727007</v>
      </c>
      <c r="BW309" s="407"/>
      <c r="BX309" s="407"/>
      <c r="BY309" s="407"/>
      <c r="BZ309" s="407"/>
      <c r="CA309" s="407"/>
      <c r="CB309" s="407"/>
      <c r="CC309" s="407"/>
      <c r="CD309" s="407"/>
      <c r="CE309" s="407"/>
      <c r="CF309" s="407"/>
      <c r="CG309" s="407"/>
      <c r="CH309" s="407"/>
      <c r="CI309" s="407">
        <v>2761.9919999999997</v>
      </c>
      <c r="CJ309" s="407">
        <v>-885.00630000000092</v>
      </c>
      <c r="CK309" s="407"/>
      <c r="CL309" s="407"/>
      <c r="CM309" s="407"/>
      <c r="CN309" s="407"/>
      <c r="CO309" s="407">
        <v>-1146.5550000000003</v>
      </c>
      <c r="CP309" s="407">
        <v>140.9211</v>
      </c>
      <c r="CQ309" s="407">
        <v>30</v>
      </c>
      <c r="CR309" s="407">
        <v>88.513112420327843</v>
      </c>
      <c r="CS309" s="407">
        <v>0</v>
      </c>
      <c r="CT309" s="407">
        <v>0</v>
      </c>
      <c r="CU309" s="407">
        <v>0</v>
      </c>
      <c r="CV309" s="407">
        <v>0</v>
      </c>
      <c r="CW309" s="407">
        <v>0</v>
      </c>
      <c r="CX309" s="407">
        <v>0</v>
      </c>
      <c r="CY309" s="407">
        <v>0</v>
      </c>
      <c r="CZ309" s="407">
        <v>27.030277880700055</v>
      </c>
      <c r="DA309" s="407">
        <v>0</v>
      </c>
      <c r="DB309" s="407">
        <v>0</v>
      </c>
      <c r="DC309" s="407">
        <v>156.87430293788054</v>
      </c>
      <c r="DD309" s="407">
        <v>0</v>
      </c>
      <c r="DE309" s="407">
        <v>0</v>
      </c>
      <c r="DF309" s="407">
        <v>0</v>
      </c>
      <c r="DG309" s="407">
        <v>11.467010607928785</v>
      </c>
      <c r="DH309" s="407">
        <v>0</v>
      </c>
      <c r="DI309" s="407">
        <v>-22.266860447384147</v>
      </c>
      <c r="DJ309" s="407"/>
      <c r="DK309" s="407">
        <v>0</v>
      </c>
      <c r="DL309" s="407">
        <v>0</v>
      </c>
      <c r="DM309" s="407">
        <v>0</v>
      </c>
      <c r="DN309" s="407">
        <v>0</v>
      </c>
      <c r="DO309" s="407">
        <v>-2.9971938937334741</v>
      </c>
      <c r="DP309" s="407">
        <v>-0.67828903353240122</v>
      </c>
      <c r="DQ309" s="407">
        <v>0</v>
      </c>
      <c r="DR309" s="407">
        <v>-80.916135631531873</v>
      </c>
      <c r="DS309" s="407"/>
      <c r="DT309" s="407"/>
      <c r="DU309" s="407"/>
      <c r="DV309" s="407">
        <v>2142.0109327377049</v>
      </c>
      <c r="DW309" s="407">
        <v>0</v>
      </c>
      <c r="DX309" s="407">
        <v>0</v>
      </c>
      <c r="DY309" s="407">
        <v>-1146.5550000000003</v>
      </c>
      <c r="DZ309" s="407">
        <v>140.92110000000002</v>
      </c>
      <c r="EA309" s="407">
        <v>0</v>
      </c>
      <c r="EB309" s="407">
        <v>0</v>
      </c>
      <c r="EC309" s="407">
        <v>-1094.1441595270389</v>
      </c>
      <c r="ED309" s="407">
        <v>0</v>
      </c>
      <c r="EE309" s="407">
        <v>0</v>
      </c>
      <c r="EF309" s="407">
        <v>0</v>
      </c>
      <c r="EG309" s="407">
        <v>0</v>
      </c>
      <c r="EH309" s="407">
        <v>0</v>
      </c>
      <c r="EI309" s="407">
        <v>0</v>
      </c>
      <c r="EJ309" s="407">
        <v>0</v>
      </c>
      <c r="EK309" s="407">
        <v>0</v>
      </c>
      <c r="EL309" s="407">
        <v>0</v>
      </c>
      <c r="EM309" s="407">
        <v>0</v>
      </c>
      <c r="EN309" s="407">
        <v>0</v>
      </c>
      <c r="EO309" s="407">
        <v>0</v>
      </c>
      <c r="EP309" s="407">
        <v>150.58704456684728</v>
      </c>
      <c r="EQ309" s="407">
        <v>0</v>
      </c>
      <c r="ER309" s="407">
        <v>0</v>
      </c>
      <c r="ES309" s="407">
        <v>0</v>
      </c>
      <c r="ET309" s="407">
        <v>0</v>
      </c>
      <c r="EU309" s="407">
        <v>0</v>
      </c>
      <c r="EV309" s="407">
        <v>246</v>
      </c>
      <c r="EW309" s="407">
        <v>0</v>
      </c>
      <c r="EX309" s="407">
        <v>0</v>
      </c>
      <c r="EY309" s="407">
        <v>0</v>
      </c>
      <c r="EZ309" s="407"/>
      <c r="FA309" s="407">
        <v>0</v>
      </c>
      <c r="FB309" s="407"/>
      <c r="FC309" s="407"/>
      <c r="FD309" s="407"/>
      <c r="FE309" s="407"/>
      <c r="FF309" s="407">
        <v>0</v>
      </c>
      <c r="FG309" s="407">
        <v>0</v>
      </c>
      <c r="FH309" s="407">
        <v>0</v>
      </c>
      <c r="FI309" s="407">
        <v>0</v>
      </c>
    </row>
    <row r="310" spans="1:165">
      <c r="A310" s="407">
        <v>326</v>
      </c>
      <c r="B310" s="407" t="s">
        <v>1090</v>
      </c>
      <c r="C310" s="407" t="s">
        <v>2306</v>
      </c>
      <c r="D310" s="407" t="s">
        <v>2315</v>
      </c>
      <c r="E310" s="407" t="s">
        <v>1026</v>
      </c>
      <c r="F310" s="407" t="s">
        <v>2326</v>
      </c>
      <c r="G310" s="407" t="s">
        <v>2325</v>
      </c>
      <c r="H310" s="407" t="s">
        <v>97</v>
      </c>
      <c r="I310" s="407" t="s">
        <v>97</v>
      </c>
      <c r="J310" s="407" t="s">
        <v>2307</v>
      </c>
      <c r="K310" s="818">
        <v>44501</v>
      </c>
      <c r="L310" s="407">
        <v>0</v>
      </c>
      <c r="M310" s="407">
        <v>0</v>
      </c>
      <c r="N310" s="407">
        <v>8.3190000000000008</v>
      </c>
      <c r="O310" s="407">
        <v>3.3275999999999999</v>
      </c>
      <c r="P310" s="407">
        <v>8.3190000000000008</v>
      </c>
      <c r="Q310" s="407">
        <v>3.3275999999999999</v>
      </c>
      <c r="R310" s="407"/>
      <c r="S310" s="407">
        <v>648.44000000000005</v>
      </c>
      <c r="T310" s="407">
        <v>159.41</v>
      </c>
      <c r="U310" s="407"/>
      <c r="V310" s="407">
        <v>6720.5041500000016</v>
      </c>
      <c r="W310" s="407">
        <v>6720.5041500000016</v>
      </c>
      <c r="X310" s="407">
        <v>5089.7305800000004</v>
      </c>
      <c r="Y310" s="407">
        <v>0</v>
      </c>
      <c r="Z310" s="407">
        <v>515.53051499102583</v>
      </c>
      <c r="AA310" s="407">
        <v>0</v>
      </c>
      <c r="AB310" s="407">
        <v>0</v>
      </c>
      <c r="AC310" s="407">
        <v>0</v>
      </c>
      <c r="AD310" s="407">
        <v>970.36498165692933</v>
      </c>
      <c r="AE310" s="407">
        <v>3473.565097357694</v>
      </c>
      <c r="AF310" s="407">
        <v>1283.0453323363538</v>
      </c>
      <c r="AG310" s="407">
        <v>43.106955273843006</v>
      </c>
      <c r="AH310" s="407">
        <v>0</v>
      </c>
      <c r="AI310" s="407">
        <v>0</v>
      </c>
      <c r="AJ310" s="407">
        <v>0</v>
      </c>
      <c r="AK310" s="407">
        <v>0</v>
      </c>
      <c r="AL310" s="407">
        <v>79.663204462823799</v>
      </c>
      <c r="AM310" s="407"/>
      <c r="AN310" s="407">
        <v>17.262720633139477</v>
      </c>
      <c r="AO310" s="407">
        <v>0</v>
      </c>
      <c r="AP310" s="407">
        <v>0</v>
      </c>
      <c r="AQ310" s="407">
        <v>0</v>
      </c>
      <c r="AR310" s="407">
        <v>0</v>
      </c>
      <c r="AS310" s="407">
        <v>0</v>
      </c>
      <c r="AT310" s="407">
        <v>0</v>
      </c>
      <c r="AU310" s="407">
        <v>0</v>
      </c>
      <c r="AV310" s="407">
        <v>0</v>
      </c>
      <c r="AW310" s="407">
        <v>0</v>
      </c>
      <c r="AX310" s="407">
        <v>0</v>
      </c>
      <c r="AY310" s="407">
        <v>0</v>
      </c>
      <c r="AZ310" s="407">
        <v>0</v>
      </c>
      <c r="BA310" s="407"/>
      <c r="BB310" s="407">
        <v>0</v>
      </c>
      <c r="BC310" s="407">
        <v>0</v>
      </c>
      <c r="BD310" s="407">
        <v>0</v>
      </c>
      <c r="BE310" s="407">
        <v>0</v>
      </c>
      <c r="BF310" s="407">
        <v>0</v>
      </c>
      <c r="BG310" s="407">
        <v>93.786516725944409</v>
      </c>
      <c r="BH310" s="407">
        <v>0</v>
      </c>
      <c r="BI310" s="407">
        <v>0</v>
      </c>
      <c r="BJ310" s="407">
        <v>0</v>
      </c>
      <c r="BK310" s="407">
        <v>0</v>
      </c>
      <c r="BL310" s="407">
        <v>0</v>
      </c>
      <c r="BM310" s="407"/>
      <c r="BN310" s="407"/>
      <c r="BO310" s="407"/>
      <c r="BP310" s="407"/>
      <c r="BQ310" s="407"/>
      <c r="BR310" s="407"/>
      <c r="BS310" s="407">
        <v>3298.15074</v>
      </c>
      <c r="BT310" s="407"/>
      <c r="BU310" s="407"/>
      <c r="BV310" s="407">
        <v>1376.8318490622983</v>
      </c>
      <c r="BW310" s="407"/>
      <c r="BX310" s="407"/>
      <c r="BY310" s="407"/>
      <c r="BZ310" s="407"/>
      <c r="CA310" s="407"/>
      <c r="CB310" s="407"/>
      <c r="CC310" s="407"/>
      <c r="CD310" s="407"/>
      <c r="CE310" s="407"/>
      <c r="CF310" s="407"/>
      <c r="CG310" s="407"/>
      <c r="CH310" s="407"/>
      <c r="CI310" s="407">
        <v>1792.8719999999998</v>
      </c>
      <c r="CJ310" s="407">
        <v>-572.78211600000031</v>
      </c>
      <c r="CK310" s="407"/>
      <c r="CL310" s="407"/>
      <c r="CM310" s="407"/>
      <c r="CN310" s="407"/>
      <c r="CO310" s="407">
        <v>-1859.2965000000006</v>
      </c>
      <c r="CP310" s="407">
        <v>228.52293</v>
      </c>
      <c r="CQ310" s="407">
        <v>30</v>
      </c>
      <c r="CR310" s="407">
        <v>143.53617587226245</v>
      </c>
      <c r="CS310" s="407">
        <v>0</v>
      </c>
      <c r="CT310" s="407">
        <v>0</v>
      </c>
      <c r="CU310" s="407">
        <v>0</v>
      </c>
      <c r="CV310" s="407">
        <v>0</v>
      </c>
      <c r="CW310" s="407">
        <v>0</v>
      </c>
      <c r="CX310" s="407">
        <v>0</v>
      </c>
      <c r="CY310" s="407">
        <v>0</v>
      </c>
      <c r="CZ310" s="407">
        <v>43.83331027086615</v>
      </c>
      <c r="DA310" s="407">
        <v>0</v>
      </c>
      <c r="DB310" s="407">
        <v>0</v>
      </c>
      <c r="DC310" s="407">
        <v>254.39324096300766</v>
      </c>
      <c r="DD310" s="407">
        <v>0</v>
      </c>
      <c r="DE310" s="407">
        <v>0</v>
      </c>
      <c r="DF310" s="407">
        <v>0</v>
      </c>
      <c r="DG310" s="407">
        <v>18.595333576483341</v>
      </c>
      <c r="DH310" s="407">
        <v>0</v>
      </c>
      <c r="DI310" s="407">
        <v>-36.108774281050444</v>
      </c>
      <c r="DJ310" s="407"/>
      <c r="DK310" s="407">
        <v>0</v>
      </c>
      <c r="DL310" s="407">
        <v>0</v>
      </c>
      <c r="DM310" s="407">
        <v>0</v>
      </c>
      <c r="DN310" s="407">
        <v>0</v>
      </c>
      <c r="DO310" s="407">
        <v>-4.8603617937560983</v>
      </c>
      <c r="DP310" s="407">
        <v>-1.0999388830323653</v>
      </c>
      <c r="DQ310" s="407">
        <v>0</v>
      </c>
      <c r="DR310" s="407">
        <v>-131.21663398025609</v>
      </c>
      <c r="DS310" s="407"/>
      <c r="DT310" s="407"/>
      <c r="DU310" s="407"/>
      <c r="DV310" s="407">
        <v>3473.565097357694</v>
      </c>
      <c r="DW310" s="407">
        <v>0</v>
      </c>
      <c r="DX310" s="407">
        <v>0</v>
      </c>
      <c r="DY310" s="407">
        <v>-1859.2965000000008</v>
      </c>
      <c r="DZ310" s="407">
        <v>228.52293000000009</v>
      </c>
      <c r="EA310" s="407">
        <v>0</v>
      </c>
      <c r="EB310" s="407">
        <v>0</v>
      </c>
      <c r="EC310" s="407">
        <v>-1774.3051195137309</v>
      </c>
      <c r="ED310" s="407">
        <v>0</v>
      </c>
      <c r="EE310" s="407">
        <v>0</v>
      </c>
      <c r="EF310" s="407">
        <v>0</v>
      </c>
      <c r="EG310" s="407">
        <v>0</v>
      </c>
      <c r="EH310" s="407">
        <v>0</v>
      </c>
      <c r="EI310" s="407">
        <v>0</v>
      </c>
      <c r="EJ310" s="407">
        <v>0</v>
      </c>
      <c r="EK310" s="407">
        <v>0</v>
      </c>
      <c r="EL310" s="407">
        <v>0</v>
      </c>
      <c r="EM310" s="407">
        <v>0</v>
      </c>
      <c r="EN310" s="407">
        <v>0</v>
      </c>
      <c r="EO310" s="407">
        <v>0</v>
      </c>
      <c r="EP310" s="407">
        <v>244.19758747594597</v>
      </c>
      <c r="EQ310" s="407">
        <v>0</v>
      </c>
      <c r="ER310" s="407">
        <v>0</v>
      </c>
      <c r="ES310" s="407">
        <v>0</v>
      </c>
      <c r="ET310" s="407">
        <v>0</v>
      </c>
      <c r="EU310" s="407">
        <v>0</v>
      </c>
      <c r="EV310" s="407">
        <v>246</v>
      </c>
      <c r="EW310" s="407">
        <v>0</v>
      </c>
      <c r="EX310" s="407">
        <v>0</v>
      </c>
      <c r="EY310" s="407">
        <v>0</v>
      </c>
      <c r="EZ310" s="407"/>
      <c r="FA310" s="407">
        <v>0</v>
      </c>
      <c r="FB310" s="407"/>
      <c r="FC310" s="407"/>
      <c r="FD310" s="407"/>
      <c r="FE310" s="407"/>
      <c r="FF310" s="407">
        <v>0</v>
      </c>
      <c r="FG310" s="407">
        <v>0</v>
      </c>
      <c r="FH310" s="407">
        <v>0</v>
      </c>
      <c r="FI310" s="407">
        <v>0</v>
      </c>
    </row>
    <row r="311" spans="1:165">
      <c r="A311" s="407">
        <v>327</v>
      </c>
      <c r="B311" s="407" t="s">
        <v>1090</v>
      </c>
      <c r="C311" s="407" t="s">
        <v>2306</v>
      </c>
      <c r="D311" s="407" t="s">
        <v>1218</v>
      </c>
      <c r="E311" s="407" t="s">
        <v>1021</v>
      </c>
      <c r="F311" s="407" t="s">
        <v>1021</v>
      </c>
      <c r="G311" s="407" t="s">
        <v>97</v>
      </c>
      <c r="H311" s="407" t="s">
        <v>97</v>
      </c>
      <c r="I311" s="407" t="s">
        <v>97</v>
      </c>
      <c r="J311" s="407" t="s">
        <v>2307</v>
      </c>
      <c r="K311" s="818">
        <v>44531</v>
      </c>
      <c r="L311" s="407">
        <v>0</v>
      </c>
      <c r="M311" s="407">
        <v>0</v>
      </c>
      <c r="N311" s="407">
        <v>1305.001</v>
      </c>
      <c r="O311" s="407">
        <v>1305.001</v>
      </c>
      <c r="P311" s="407">
        <v>1305.001</v>
      </c>
      <c r="Q311" s="407">
        <v>1305.001</v>
      </c>
      <c r="R311" s="407"/>
      <c r="S311" s="407">
        <v>648.44000000000005</v>
      </c>
      <c r="T311" s="407">
        <v>159.41</v>
      </c>
      <c r="U311" s="407"/>
      <c r="V311" s="407">
        <v>1054245.05785</v>
      </c>
      <c r="W311" s="407">
        <v>1054245.05785</v>
      </c>
      <c r="X311" s="407">
        <v>798425.71181999997</v>
      </c>
      <c r="Y311" s="407">
        <v>0</v>
      </c>
      <c r="Z311" s="407">
        <v>80871.239042409376</v>
      </c>
      <c r="AA311" s="407">
        <v>0</v>
      </c>
      <c r="AB311" s="407">
        <v>0</v>
      </c>
      <c r="AC311" s="407">
        <v>0</v>
      </c>
      <c r="AD311" s="407">
        <v>152221.09285097659</v>
      </c>
      <c r="AE311" s="407">
        <v>544897.93552312627</v>
      </c>
      <c r="AF311" s="407">
        <v>201271.23954132394</v>
      </c>
      <c r="AG311" s="407">
        <v>6762.1853274817149</v>
      </c>
      <c r="AH311" s="407">
        <v>0</v>
      </c>
      <c r="AI311" s="407">
        <v>0</v>
      </c>
      <c r="AJ311" s="407">
        <v>0</v>
      </c>
      <c r="AK311" s="407">
        <v>0</v>
      </c>
      <c r="AL311" s="407">
        <v>12496.76180877383</v>
      </c>
      <c r="AM311" s="407"/>
      <c r="AN311" s="407">
        <v>2708.0018859198999</v>
      </c>
      <c r="AO311" s="407">
        <v>0</v>
      </c>
      <c r="AP311" s="407">
        <v>0</v>
      </c>
      <c r="AQ311" s="407">
        <v>0</v>
      </c>
      <c r="AR311" s="407">
        <v>0</v>
      </c>
      <c r="AS311" s="407">
        <v>0</v>
      </c>
      <c r="AT311" s="407">
        <v>0</v>
      </c>
      <c r="AU311" s="407">
        <v>0</v>
      </c>
      <c r="AV311" s="407">
        <v>0</v>
      </c>
      <c r="AW311" s="407">
        <v>0</v>
      </c>
      <c r="AX311" s="407">
        <v>0</v>
      </c>
      <c r="AY311" s="407">
        <v>0</v>
      </c>
      <c r="AZ311" s="407">
        <v>0</v>
      </c>
      <c r="BA311" s="407"/>
      <c r="BB311" s="407">
        <v>0</v>
      </c>
      <c r="BC311" s="407">
        <v>0</v>
      </c>
      <c r="BD311" s="407">
        <v>0</v>
      </c>
      <c r="BE311" s="407">
        <v>0</v>
      </c>
      <c r="BF311" s="407">
        <v>0</v>
      </c>
      <c r="BG311" s="407">
        <v>14712.284903699263</v>
      </c>
      <c r="BH311" s="407">
        <v>0</v>
      </c>
      <c r="BI311" s="407">
        <v>3097.43</v>
      </c>
      <c r="BJ311" s="407">
        <v>14815.23</v>
      </c>
      <c r="BK311" s="407">
        <v>423049.76</v>
      </c>
      <c r="BL311" s="407">
        <v>7253</v>
      </c>
      <c r="BM311" s="407"/>
      <c r="BN311" s="407"/>
      <c r="BO311" s="407"/>
      <c r="BP311" s="407"/>
      <c r="BQ311" s="407"/>
      <c r="BR311" s="407"/>
      <c r="BS311" s="407"/>
      <c r="BT311" s="407"/>
      <c r="BU311" s="407"/>
      <c r="BV311" s="407">
        <v>215983.52444502321</v>
      </c>
      <c r="BW311" s="407"/>
      <c r="BX311" s="407"/>
      <c r="BY311" s="407"/>
      <c r="BZ311" s="407"/>
      <c r="CA311" s="407"/>
      <c r="CB311" s="407"/>
      <c r="CC311" s="407"/>
      <c r="CD311" s="407"/>
      <c r="CE311" s="407"/>
      <c r="CF311" s="407"/>
      <c r="CG311" s="407"/>
      <c r="CH311" s="407"/>
      <c r="CI311" s="407">
        <v>798425.1</v>
      </c>
      <c r="CJ311" s="407">
        <v>-255819.98785000003</v>
      </c>
      <c r="CK311" s="407"/>
      <c r="CL311" s="407"/>
      <c r="CM311" s="407"/>
      <c r="CN311" s="407"/>
      <c r="CO311" s="407">
        <v>-291667.72350000008</v>
      </c>
      <c r="CP311" s="407">
        <v>35848.377469999999</v>
      </c>
      <c r="CQ311" s="407"/>
      <c r="CR311" s="407">
        <v>22516.510764452338</v>
      </c>
      <c r="CS311" s="407">
        <v>0</v>
      </c>
      <c r="CT311" s="407">
        <v>0</v>
      </c>
      <c r="CU311" s="407">
        <v>0</v>
      </c>
      <c r="CV311" s="407">
        <v>0</v>
      </c>
      <c r="CW311" s="407">
        <v>0</v>
      </c>
      <c r="CX311" s="407">
        <v>0</v>
      </c>
      <c r="CY311" s="407">
        <v>0</v>
      </c>
      <c r="CZ311" s="407">
        <v>6876.1285895889741</v>
      </c>
      <c r="DA311" s="407">
        <v>0</v>
      </c>
      <c r="DB311" s="407">
        <v>0</v>
      </c>
      <c r="DC311" s="407">
        <v>39906.651502580324</v>
      </c>
      <c r="DD311" s="407">
        <v>0</v>
      </c>
      <c r="DE311" s="407">
        <v>0</v>
      </c>
      <c r="DF311" s="407">
        <v>0</v>
      </c>
      <c r="DG311" s="407">
        <v>2917.0487934420416</v>
      </c>
      <c r="DH311" s="407">
        <v>0</v>
      </c>
      <c r="DI311" s="407">
        <v>-5664.3811209935229</v>
      </c>
      <c r="DJ311" s="407"/>
      <c r="DK311" s="407">
        <v>0</v>
      </c>
      <c r="DL311" s="407">
        <v>0</v>
      </c>
      <c r="DM311" s="407">
        <v>0</v>
      </c>
      <c r="DN311" s="407">
        <v>0</v>
      </c>
      <c r="DO311" s="407">
        <v>-762.44464493490705</v>
      </c>
      <c r="DP311" s="407">
        <v>-172.54734250464253</v>
      </c>
      <c r="DQ311" s="407">
        <v>0</v>
      </c>
      <c r="DR311" s="407">
        <v>-20583.945012726064</v>
      </c>
      <c r="DS311" s="407"/>
      <c r="DT311" s="407"/>
      <c r="DU311" s="407"/>
      <c r="DV311" s="407">
        <v>544897.93552312627</v>
      </c>
      <c r="DW311" s="407">
        <v>0</v>
      </c>
      <c r="DX311" s="407">
        <v>0</v>
      </c>
      <c r="DY311" s="407">
        <v>-291667.72350000008</v>
      </c>
      <c r="DZ311" s="407">
        <v>35848.377470000007</v>
      </c>
      <c r="EA311" s="407">
        <v>0</v>
      </c>
      <c r="EB311" s="407">
        <v>0</v>
      </c>
      <c r="EC311" s="407">
        <v>-278335.13105788414</v>
      </c>
      <c r="ED311" s="407">
        <v>0</v>
      </c>
      <c r="EE311" s="407">
        <v>0</v>
      </c>
      <c r="EF311" s="407">
        <v>0</v>
      </c>
      <c r="EG311" s="407">
        <v>0</v>
      </c>
      <c r="EH311" s="407">
        <v>0</v>
      </c>
      <c r="EI311" s="407">
        <v>0</v>
      </c>
      <c r="EJ311" s="407">
        <v>0</v>
      </c>
      <c r="EK311" s="407">
        <v>0</v>
      </c>
      <c r="EL311" s="407">
        <v>0</v>
      </c>
      <c r="EM311" s="407">
        <v>0</v>
      </c>
      <c r="EN311" s="407">
        <v>0</v>
      </c>
      <c r="EO311" s="407">
        <v>0</v>
      </c>
      <c r="EP311" s="407">
        <v>38307.259989625789</v>
      </c>
      <c r="EQ311" s="407">
        <v>0</v>
      </c>
      <c r="ER311" s="407">
        <v>0</v>
      </c>
      <c r="ES311" s="407">
        <v>0</v>
      </c>
      <c r="ET311" s="407">
        <v>0</v>
      </c>
      <c r="EU311" s="407">
        <v>0</v>
      </c>
      <c r="EV311" s="407">
        <v>246</v>
      </c>
      <c r="EW311" s="407">
        <v>0</v>
      </c>
      <c r="EX311" s="407">
        <v>0</v>
      </c>
      <c r="EY311" s="407">
        <v>0</v>
      </c>
      <c r="EZ311" s="407"/>
      <c r="FA311" s="407">
        <v>0</v>
      </c>
      <c r="FB311" s="407"/>
      <c r="FC311" s="407"/>
      <c r="FD311" s="407"/>
      <c r="FE311" s="407"/>
      <c r="FF311" s="407">
        <v>0</v>
      </c>
      <c r="FG311" s="407">
        <v>0</v>
      </c>
      <c r="FH311" s="407">
        <v>0</v>
      </c>
      <c r="FI311" s="407">
        <v>0</v>
      </c>
    </row>
    <row r="312" spans="1:165">
      <c r="A312" s="407">
        <v>328</v>
      </c>
      <c r="B312" s="407" t="s">
        <v>2308</v>
      </c>
      <c r="C312" s="407" t="s">
        <v>2306</v>
      </c>
      <c r="D312" s="407" t="s">
        <v>1218</v>
      </c>
      <c r="E312" s="407" t="s">
        <v>1021</v>
      </c>
      <c r="F312" s="407" t="s">
        <v>1021</v>
      </c>
      <c r="G312" s="407" t="s">
        <v>97</v>
      </c>
      <c r="H312" s="407" t="s">
        <v>97</v>
      </c>
      <c r="I312" s="407" t="s">
        <v>97</v>
      </c>
      <c r="J312" s="407" t="s">
        <v>2307</v>
      </c>
      <c r="K312" s="818">
        <v>44531</v>
      </c>
      <c r="L312" s="407">
        <v>0</v>
      </c>
      <c r="M312" s="407">
        <v>0</v>
      </c>
      <c r="N312" s="407">
        <v>-0.44900000000000001</v>
      </c>
      <c r="O312" s="407">
        <v>-0.44900000000000001</v>
      </c>
      <c r="P312" s="407">
        <v>-0.44900000000000001</v>
      </c>
      <c r="Q312" s="407">
        <v>-0.44900000000000001</v>
      </c>
      <c r="R312" s="407"/>
      <c r="S312" s="407">
        <v>648.44000000000005</v>
      </c>
      <c r="T312" s="407">
        <v>159.41</v>
      </c>
      <c r="U312" s="407"/>
      <c r="V312" s="407">
        <v>-362.72465</v>
      </c>
      <c r="W312" s="407">
        <v>-362.72465</v>
      </c>
      <c r="X312" s="407">
        <v>-274.70717999999999</v>
      </c>
      <c r="Y312" s="407">
        <v>0</v>
      </c>
      <c r="Z312" s="407">
        <v>-27.82464253287301</v>
      </c>
      <c r="AA312" s="407">
        <v>0</v>
      </c>
      <c r="AB312" s="407">
        <v>0</v>
      </c>
      <c r="AC312" s="407">
        <v>0</v>
      </c>
      <c r="AD312" s="407">
        <v>-52.373347369150288</v>
      </c>
      <c r="AE312" s="407">
        <v>-187.47814986339759</v>
      </c>
      <c r="AF312" s="407">
        <v>-69.24959180418594</v>
      </c>
      <c r="AG312" s="407">
        <v>-2.326604509911709</v>
      </c>
      <c r="AH312" s="407">
        <v>0</v>
      </c>
      <c r="AI312" s="407">
        <v>0</v>
      </c>
      <c r="AJ312" s="407">
        <v>0</v>
      </c>
      <c r="AK312" s="407">
        <v>0</v>
      </c>
      <c r="AL312" s="407">
        <v>-4.2996488524832168</v>
      </c>
      <c r="AM312" s="407"/>
      <c r="AN312" s="407">
        <v>-0.93171794257478358</v>
      </c>
      <c r="AO312" s="407">
        <v>0</v>
      </c>
      <c r="AP312" s="407">
        <v>0</v>
      </c>
      <c r="AQ312" s="407">
        <v>0</v>
      </c>
      <c r="AR312" s="407">
        <v>0</v>
      </c>
      <c r="AS312" s="407">
        <v>0</v>
      </c>
      <c r="AT312" s="407">
        <v>0</v>
      </c>
      <c r="AU312" s="407">
        <v>0</v>
      </c>
      <c r="AV312" s="407">
        <v>0</v>
      </c>
      <c r="AW312" s="407">
        <v>0</v>
      </c>
      <c r="AX312" s="407">
        <v>0</v>
      </c>
      <c r="AY312" s="407">
        <v>0</v>
      </c>
      <c r="AZ312" s="407">
        <v>0</v>
      </c>
      <c r="BA312" s="407"/>
      <c r="BB312" s="407">
        <v>0</v>
      </c>
      <c r="BC312" s="407">
        <v>0</v>
      </c>
      <c r="BD312" s="407">
        <v>0</v>
      </c>
      <c r="BE312" s="407">
        <v>0</v>
      </c>
      <c r="BF312" s="407">
        <v>0</v>
      </c>
      <c r="BG312" s="407">
        <v>-5.0619240305263897</v>
      </c>
      <c r="BH312" s="407">
        <v>0</v>
      </c>
      <c r="BI312" s="407">
        <v>-2.41</v>
      </c>
      <c r="BJ312" s="407">
        <v>-10.82</v>
      </c>
      <c r="BK312" s="407">
        <v>-173.61</v>
      </c>
      <c r="BL312" s="407">
        <v>0</v>
      </c>
      <c r="BM312" s="407"/>
      <c r="BN312" s="407"/>
      <c r="BO312" s="407"/>
      <c r="BP312" s="407"/>
      <c r="BQ312" s="407"/>
      <c r="BR312" s="407"/>
      <c r="BS312" s="407"/>
      <c r="BT312" s="407"/>
      <c r="BU312" s="407"/>
      <c r="BV312" s="407">
        <v>-74.311515834712324</v>
      </c>
      <c r="BW312" s="407"/>
      <c r="BX312" s="407"/>
      <c r="BY312" s="407"/>
      <c r="BZ312" s="407"/>
      <c r="CA312" s="407"/>
      <c r="CB312" s="407"/>
      <c r="CC312" s="407"/>
      <c r="CD312" s="407"/>
      <c r="CE312" s="407"/>
      <c r="CF312" s="407"/>
      <c r="CG312" s="407"/>
      <c r="CH312" s="407"/>
      <c r="CI312" s="407">
        <v>-275.31900000000002</v>
      </c>
      <c r="CJ312" s="407">
        <v>87.375650000000007</v>
      </c>
      <c r="CK312" s="407"/>
      <c r="CL312" s="407"/>
      <c r="CM312" s="407"/>
      <c r="CN312" s="407"/>
      <c r="CO312" s="407">
        <v>100.35150000000003</v>
      </c>
      <c r="CP312" s="407">
        <v>-12.33403</v>
      </c>
      <c r="CQ312" s="407"/>
      <c r="CR312" s="407">
        <v>-7.7470540890306268</v>
      </c>
      <c r="CS312" s="407">
        <v>0</v>
      </c>
      <c r="CT312" s="407">
        <v>0</v>
      </c>
      <c r="CU312" s="407">
        <v>0</v>
      </c>
      <c r="CV312" s="407">
        <v>0</v>
      </c>
      <c r="CW312" s="407">
        <v>0</v>
      </c>
      <c r="CX312" s="407">
        <v>0</v>
      </c>
      <c r="CY312" s="407">
        <v>0</v>
      </c>
      <c r="CZ312" s="407">
        <v>-2.3658079470632174</v>
      </c>
      <c r="DA312" s="407">
        <v>0</v>
      </c>
      <c r="DB312" s="407">
        <v>0</v>
      </c>
      <c r="DC312" s="407">
        <v>-13.730323980333011</v>
      </c>
      <c r="DD312" s="407">
        <v>0</v>
      </c>
      <c r="DE312" s="407">
        <v>0</v>
      </c>
      <c r="DF312" s="407">
        <v>0</v>
      </c>
      <c r="DG312" s="407">
        <v>-1.0036428387836303</v>
      </c>
      <c r="DH312" s="407">
        <v>0</v>
      </c>
      <c r="DI312" s="407">
        <v>1.9488928539718273</v>
      </c>
      <c r="DJ312" s="407"/>
      <c r="DK312" s="407">
        <v>0</v>
      </c>
      <c r="DL312" s="407">
        <v>0</v>
      </c>
      <c r="DM312" s="407">
        <v>0</v>
      </c>
      <c r="DN312" s="407">
        <v>0</v>
      </c>
      <c r="DO312" s="407">
        <v>0.26232749674197464</v>
      </c>
      <c r="DP312" s="407">
        <v>5.9366817944648709E-2</v>
      </c>
      <c r="DQ312" s="407">
        <v>0</v>
      </c>
      <c r="DR312" s="407">
        <v>7.0821335084908013</v>
      </c>
      <c r="DS312" s="407"/>
      <c r="DT312" s="407"/>
      <c r="DU312" s="407"/>
      <c r="DV312" s="407">
        <v>-187.47814986339759</v>
      </c>
      <c r="DW312" s="407">
        <v>0</v>
      </c>
      <c r="DX312" s="407">
        <v>0</v>
      </c>
      <c r="DY312" s="407">
        <v>100.35150000000002</v>
      </c>
      <c r="DZ312" s="407">
        <v>-12.334029999999998</v>
      </c>
      <c r="EA312" s="407">
        <v>0</v>
      </c>
      <c r="EB312" s="407">
        <v>0</v>
      </c>
      <c r="EC312" s="407">
        <v>95.764274391352956</v>
      </c>
      <c r="ED312" s="407">
        <v>0</v>
      </c>
      <c r="EE312" s="407">
        <v>0</v>
      </c>
      <c r="EF312" s="407">
        <v>0</v>
      </c>
      <c r="EG312" s="407">
        <v>0</v>
      </c>
      <c r="EH312" s="407">
        <v>0</v>
      </c>
      <c r="EI312" s="407">
        <v>0</v>
      </c>
      <c r="EJ312" s="407">
        <v>0</v>
      </c>
      <c r="EK312" s="407">
        <v>0</v>
      </c>
      <c r="EL312" s="407">
        <v>0</v>
      </c>
      <c r="EM312" s="407">
        <v>0</v>
      </c>
      <c r="EN312" s="407">
        <v>0</v>
      </c>
      <c r="EO312" s="407">
        <v>0</v>
      </c>
      <c r="EP312" s="407">
        <v>-13.180035674564218</v>
      </c>
      <c r="EQ312" s="407">
        <v>0</v>
      </c>
      <c r="ER312" s="407">
        <v>0</v>
      </c>
      <c r="ES312" s="407">
        <v>0</v>
      </c>
      <c r="ET312" s="407">
        <v>0</v>
      </c>
      <c r="EU312" s="407">
        <v>0</v>
      </c>
      <c r="EV312" s="407">
        <v>246</v>
      </c>
      <c r="EW312" s="407">
        <v>0</v>
      </c>
      <c r="EX312" s="407">
        <v>0</v>
      </c>
      <c r="EY312" s="407">
        <v>0</v>
      </c>
      <c r="EZ312" s="407"/>
      <c r="FA312" s="407">
        <v>0</v>
      </c>
      <c r="FB312" s="407"/>
      <c r="FC312" s="407"/>
      <c r="FD312" s="407"/>
      <c r="FE312" s="407"/>
      <c r="FF312" s="407">
        <v>0</v>
      </c>
      <c r="FG312" s="407">
        <v>0</v>
      </c>
      <c r="FH312" s="407">
        <v>0</v>
      </c>
      <c r="FI312" s="407">
        <v>0</v>
      </c>
    </row>
    <row r="313" spans="1:165">
      <c r="A313" s="407">
        <v>329</v>
      </c>
      <c r="B313" s="407" t="s">
        <v>2309</v>
      </c>
      <c r="C313" s="407" t="s">
        <v>2306</v>
      </c>
      <c r="D313" s="407" t="s">
        <v>1218</v>
      </c>
      <c r="E313" s="407" t="s">
        <v>1021</v>
      </c>
      <c r="F313" s="407" t="s">
        <v>1021</v>
      </c>
      <c r="G313" s="407" t="s">
        <v>97</v>
      </c>
      <c r="H313" s="407" t="s">
        <v>97</v>
      </c>
      <c r="I313" s="407" t="s">
        <v>97</v>
      </c>
      <c r="J313" s="407" t="s">
        <v>2307</v>
      </c>
      <c r="K313" s="818">
        <v>44531</v>
      </c>
      <c r="L313" s="407">
        <v>0</v>
      </c>
      <c r="M313" s="407">
        <v>0</v>
      </c>
      <c r="N313" s="407">
        <v>18.759</v>
      </c>
      <c r="O313" s="407">
        <v>18.759</v>
      </c>
      <c r="P313" s="407">
        <v>18.759</v>
      </c>
      <c r="Q313" s="407">
        <v>18.759</v>
      </c>
      <c r="R313" s="407"/>
      <c r="S313" s="407">
        <v>648.44000000000005</v>
      </c>
      <c r="T313" s="407">
        <v>159.41</v>
      </c>
      <c r="U313" s="407"/>
      <c r="V313" s="407">
        <v>15154.45815</v>
      </c>
      <c r="W313" s="407">
        <v>15154.45815</v>
      </c>
      <c r="X313" s="407">
        <v>11477.131379999999</v>
      </c>
      <c r="Y313" s="407">
        <v>0</v>
      </c>
      <c r="Z313" s="407">
        <v>1162.4999315682958</v>
      </c>
      <c r="AA313" s="407">
        <v>0</v>
      </c>
      <c r="AB313" s="407">
        <v>0</v>
      </c>
      <c r="AC313" s="407">
        <v>0</v>
      </c>
      <c r="AD313" s="407">
        <v>2188.1327913093323</v>
      </c>
      <c r="AE313" s="407">
        <v>7832.7452411747781</v>
      </c>
      <c r="AF313" s="407">
        <v>2893.2140148212115</v>
      </c>
      <c r="AG313" s="407">
        <v>97.20439643971882</v>
      </c>
      <c r="AH313" s="407">
        <v>0</v>
      </c>
      <c r="AI313" s="407">
        <v>0</v>
      </c>
      <c r="AJ313" s="407">
        <v>0</v>
      </c>
      <c r="AK313" s="407">
        <v>0</v>
      </c>
      <c r="AL313" s="407">
        <v>179.63722232457164</v>
      </c>
      <c r="AM313" s="407"/>
      <c r="AN313" s="407">
        <v>38.926719119733555</v>
      </c>
      <c r="AO313" s="407">
        <v>0</v>
      </c>
      <c r="AP313" s="407">
        <v>0</v>
      </c>
      <c r="AQ313" s="407">
        <v>0</v>
      </c>
      <c r="AR313" s="407">
        <v>0</v>
      </c>
      <c r="AS313" s="407">
        <v>0</v>
      </c>
      <c r="AT313" s="407">
        <v>0</v>
      </c>
      <c r="AU313" s="407">
        <v>0</v>
      </c>
      <c r="AV313" s="407">
        <v>0</v>
      </c>
      <c r="AW313" s="407">
        <v>0</v>
      </c>
      <c r="AX313" s="407">
        <v>0</v>
      </c>
      <c r="AY313" s="407">
        <v>0</v>
      </c>
      <c r="AZ313" s="407">
        <v>0</v>
      </c>
      <c r="BA313" s="407"/>
      <c r="BB313" s="407">
        <v>0</v>
      </c>
      <c r="BC313" s="407">
        <v>0</v>
      </c>
      <c r="BD313" s="407">
        <v>0</v>
      </c>
      <c r="BE313" s="407">
        <v>0</v>
      </c>
      <c r="BF313" s="407">
        <v>0</v>
      </c>
      <c r="BG313" s="407">
        <v>211.48470576535533</v>
      </c>
      <c r="BH313" s="407">
        <v>0</v>
      </c>
      <c r="BI313" s="407">
        <v>44.87</v>
      </c>
      <c r="BJ313" s="407">
        <v>214.35</v>
      </c>
      <c r="BK313" s="407">
        <v>19171.96</v>
      </c>
      <c r="BL313" s="407">
        <v>210</v>
      </c>
      <c r="BM313" s="407"/>
      <c r="BN313" s="407"/>
      <c r="BO313" s="407"/>
      <c r="BP313" s="407"/>
      <c r="BQ313" s="407"/>
      <c r="BR313" s="407"/>
      <c r="BS313" s="407"/>
      <c r="BT313" s="407"/>
      <c r="BU313" s="407"/>
      <c r="BV313" s="407">
        <v>3104.6987205865671</v>
      </c>
      <c r="BW313" s="407"/>
      <c r="BX313" s="407"/>
      <c r="BY313" s="407"/>
      <c r="BZ313" s="407"/>
      <c r="CA313" s="407"/>
      <c r="CB313" s="407"/>
      <c r="CC313" s="407"/>
      <c r="CD313" s="407"/>
      <c r="CE313" s="407"/>
      <c r="CF313" s="407"/>
      <c r="CG313" s="407"/>
      <c r="CH313" s="407"/>
      <c r="CI313" s="407">
        <v>11477.743200000001</v>
      </c>
      <c r="CJ313" s="407">
        <v>-3676.7449500000002</v>
      </c>
      <c r="CK313" s="407"/>
      <c r="CL313" s="407"/>
      <c r="CM313" s="407"/>
      <c r="CN313" s="407"/>
      <c r="CO313" s="407">
        <v>-4192.6365000000014</v>
      </c>
      <c r="CP313" s="407">
        <v>515.30972999999994</v>
      </c>
      <c r="CQ313" s="407"/>
      <c r="CR313" s="407">
        <v>323.66812395573652</v>
      </c>
      <c r="CS313" s="407">
        <v>0</v>
      </c>
      <c r="CT313" s="407">
        <v>0</v>
      </c>
      <c r="CU313" s="407">
        <v>0</v>
      </c>
      <c r="CV313" s="407">
        <v>0</v>
      </c>
      <c r="CW313" s="407">
        <v>0</v>
      </c>
      <c r="CX313" s="407">
        <v>0</v>
      </c>
      <c r="CY313" s="407">
        <v>0</v>
      </c>
      <c r="CZ313" s="407">
        <v>98.842296835097841</v>
      </c>
      <c r="DA313" s="407">
        <v>0</v>
      </c>
      <c r="DB313" s="407">
        <v>0</v>
      </c>
      <c r="DC313" s="407">
        <v>573.64620834536117</v>
      </c>
      <c r="DD313" s="407">
        <v>0</v>
      </c>
      <c r="DE313" s="407">
        <v>0</v>
      </c>
      <c r="DF313" s="407">
        <v>0</v>
      </c>
      <c r="DG313" s="407">
        <v>41.931706041741933</v>
      </c>
      <c r="DH313" s="407">
        <v>0</v>
      </c>
      <c r="DI313" s="407">
        <v>-81.42378852484967</v>
      </c>
      <c r="DJ313" s="407"/>
      <c r="DK313" s="407">
        <v>0</v>
      </c>
      <c r="DL313" s="407">
        <v>0</v>
      </c>
      <c r="DM313" s="407">
        <v>0</v>
      </c>
      <c r="DN313" s="407">
        <v>0</v>
      </c>
      <c r="DO313" s="407">
        <v>-10.959914279248807</v>
      </c>
      <c r="DP313" s="407">
        <v>-2.4803165653088328</v>
      </c>
      <c r="DQ313" s="407">
        <v>0</v>
      </c>
      <c r="DR313" s="407">
        <v>-295.88806789705779</v>
      </c>
      <c r="DS313" s="407"/>
      <c r="DT313" s="407"/>
      <c r="DU313" s="407"/>
      <c r="DV313" s="407">
        <v>7832.7452411747781</v>
      </c>
      <c r="DW313" s="407">
        <v>0</v>
      </c>
      <c r="DX313" s="407">
        <v>0</v>
      </c>
      <c r="DY313" s="407">
        <v>-4192.6365000000005</v>
      </c>
      <c r="DZ313" s="407">
        <v>515.30972999999994</v>
      </c>
      <c r="EA313" s="407">
        <v>0</v>
      </c>
      <c r="EB313" s="407">
        <v>0</v>
      </c>
      <c r="EC313" s="407">
        <v>-4000.9844617091089</v>
      </c>
      <c r="ED313" s="407">
        <v>0</v>
      </c>
      <c r="EE313" s="407">
        <v>0</v>
      </c>
      <c r="EF313" s="407">
        <v>0</v>
      </c>
      <c r="EG313" s="407">
        <v>0</v>
      </c>
      <c r="EH313" s="407">
        <v>0</v>
      </c>
      <c r="EI313" s="407">
        <v>0</v>
      </c>
      <c r="EJ313" s="407">
        <v>0</v>
      </c>
      <c r="EK313" s="407">
        <v>0</v>
      </c>
      <c r="EL313" s="407">
        <v>0</v>
      </c>
      <c r="EM313" s="407">
        <v>0</v>
      </c>
      <c r="EN313" s="407">
        <v>0</v>
      </c>
      <c r="EO313" s="407">
        <v>0</v>
      </c>
      <c r="EP313" s="407">
        <v>550.65543255935449</v>
      </c>
      <c r="EQ313" s="407">
        <v>0</v>
      </c>
      <c r="ER313" s="407">
        <v>0</v>
      </c>
      <c r="ES313" s="407">
        <v>0</v>
      </c>
      <c r="ET313" s="407">
        <v>0</v>
      </c>
      <c r="EU313" s="407">
        <v>0</v>
      </c>
      <c r="EV313" s="407">
        <v>246</v>
      </c>
      <c r="EW313" s="407">
        <v>0</v>
      </c>
      <c r="EX313" s="407">
        <v>0</v>
      </c>
      <c r="EY313" s="407">
        <v>0</v>
      </c>
      <c r="EZ313" s="407"/>
      <c r="FA313" s="407">
        <v>0</v>
      </c>
      <c r="FB313" s="407"/>
      <c r="FC313" s="407"/>
      <c r="FD313" s="407"/>
      <c r="FE313" s="407"/>
      <c r="FF313" s="407">
        <v>0</v>
      </c>
      <c r="FG313" s="407">
        <v>0</v>
      </c>
      <c r="FH313" s="407">
        <v>0</v>
      </c>
      <c r="FI313" s="407">
        <v>0</v>
      </c>
    </row>
    <row r="314" spans="1:165">
      <c r="A314" s="407">
        <v>330</v>
      </c>
      <c r="B314" s="407" t="s">
        <v>1090</v>
      </c>
      <c r="C314" s="407" t="s">
        <v>2306</v>
      </c>
      <c r="D314" s="407" t="s">
        <v>1218</v>
      </c>
      <c r="E314" s="407" t="s">
        <v>1021</v>
      </c>
      <c r="F314" s="407" t="s">
        <v>2310</v>
      </c>
      <c r="G314" s="407" t="s">
        <v>97</v>
      </c>
      <c r="H314" s="407" t="s">
        <v>97</v>
      </c>
      <c r="I314" s="407" t="s">
        <v>97</v>
      </c>
      <c r="J314" s="407" t="s">
        <v>2307</v>
      </c>
      <c r="K314" s="818">
        <v>44531</v>
      </c>
      <c r="L314" s="407">
        <v>0</v>
      </c>
      <c r="M314" s="407">
        <v>0</v>
      </c>
      <c r="N314" s="407">
        <v>20.67</v>
      </c>
      <c r="O314" s="407">
        <v>20.67</v>
      </c>
      <c r="P314" s="407">
        <v>20.67</v>
      </c>
      <c r="Q314" s="407">
        <v>20.67</v>
      </c>
      <c r="R314" s="407"/>
      <c r="S314" s="407">
        <v>547.54</v>
      </c>
      <c r="T314" s="407">
        <v>159.41</v>
      </c>
      <c r="U314" s="407"/>
      <c r="V314" s="407">
        <v>14612.656500000001</v>
      </c>
      <c r="W314" s="407">
        <v>14612.656500000001</v>
      </c>
      <c r="X314" s="407">
        <v>10703.339400000001</v>
      </c>
      <c r="Y314" s="407">
        <v>0</v>
      </c>
      <c r="Z314" s="407">
        <v>0</v>
      </c>
      <c r="AA314" s="407">
        <v>0</v>
      </c>
      <c r="AB314" s="407">
        <v>0</v>
      </c>
      <c r="AC314" s="407">
        <v>0</v>
      </c>
      <c r="AD314" s="407">
        <v>2411.040289800304</v>
      </c>
      <c r="AE314" s="407">
        <v>8630.6756295688829</v>
      </c>
      <c r="AF314" s="407">
        <v>3187.9489144599629</v>
      </c>
      <c r="AG314" s="407">
        <v>107.1067154117484</v>
      </c>
      <c r="AH314" s="407">
        <v>0</v>
      </c>
      <c r="AI314" s="407">
        <v>0</v>
      </c>
      <c r="AJ314" s="407">
        <v>0</v>
      </c>
      <c r="AK314" s="407">
        <v>0</v>
      </c>
      <c r="AL314" s="407">
        <v>0</v>
      </c>
      <c r="AM314" s="407"/>
      <c r="AN314" s="407">
        <v>42.892226888687702</v>
      </c>
      <c r="AO314" s="407">
        <v>0</v>
      </c>
      <c r="AP314" s="407">
        <v>0</v>
      </c>
      <c r="AQ314" s="407">
        <v>0</v>
      </c>
      <c r="AR314" s="407">
        <v>0</v>
      </c>
      <c r="AS314" s="407">
        <v>0</v>
      </c>
      <c r="AT314" s="407">
        <v>0</v>
      </c>
      <c r="AU314" s="407">
        <v>0</v>
      </c>
      <c r="AV314" s="407">
        <v>0</v>
      </c>
      <c r="AW314" s="407">
        <v>0</v>
      </c>
      <c r="AX314" s="407">
        <v>0</v>
      </c>
      <c r="AY314" s="407">
        <v>0</v>
      </c>
      <c r="AZ314" s="407">
        <v>0</v>
      </c>
      <c r="BA314" s="407"/>
      <c r="BB314" s="407">
        <v>0</v>
      </c>
      <c r="BC314" s="407">
        <v>0</v>
      </c>
      <c r="BD314" s="407">
        <v>0</v>
      </c>
      <c r="BE314" s="407">
        <v>0</v>
      </c>
      <c r="BF314" s="407">
        <v>0</v>
      </c>
      <c r="BG314" s="407">
        <v>233.02888577055788</v>
      </c>
      <c r="BH314" s="407">
        <v>0</v>
      </c>
      <c r="BI314" s="407">
        <v>11.48</v>
      </c>
      <c r="BJ314" s="407">
        <v>46.65</v>
      </c>
      <c r="BK314" s="407">
        <v>1466.57</v>
      </c>
      <c r="BL314" s="407">
        <v>31</v>
      </c>
      <c r="BM314" s="407"/>
      <c r="BN314" s="407"/>
      <c r="BO314" s="407"/>
      <c r="BP314" s="407"/>
      <c r="BQ314" s="407"/>
      <c r="BR314" s="407"/>
      <c r="BS314" s="407"/>
      <c r="BT314" s="407">
        <v>6957.1086000000014</v>
      </c>
      <c r="BU314" s="407"/>
      <c r="BV314" s="407">
        <v>3420.9778002305206</v>
      </c>
      <c r="BW314" s="407"/>
      <c r="BX314" s="407"/>
      <c r="BY314" s="407"/>
      <c r="BZ314" s="407"/>
      <c r="CA314" s="407"/>
      <c r="CB314" s="407"/>
      <c r="CC314" s="407"/>
      <c r="CD314" s="407"/>
      <c r="CE314" s="407"/>
      <c r="CF314" s="407"/>
      <c r="CG314" s="407"/>
      <c r="CH314" s="407"/>
      <c r="CI314" s="407">
        <v>3746.2308000000003</v>
      </c>
      <c r="CJ314" s="407">
        <v>-1368.1773000000003</v>
      </c>
      <c r="CK314" s="407"/>
      <c r="CL314" s="407"/>
      <c r="CM314" s="407"/>
      <c r="CN314" s="407"/>
      <c r="CO314" s="407">
        <v>-4477.1219999999994</v>
      </c>
      <c r="CP314" s="407">
        <v>567.80489999999998</v>
      </c>
      <c r="CQ314" s="407"/>
      <c r="CR314" s="407">
        <v>499.15659841113302</v>
      </c>
      <c r="CS314" s="407">
        <v>0</v>
      </c>
      <c r="CT314" s="407">
        <v>0</v>
      </c>
      <c r="CU314" s="407">
        <v>0</v>
      </c>
      <c r="CV314" s="407">
        <v>0</v>
      </c>
      <c r="CW314" s="407">
        <v>0</v>
      </c>
      <c r="CX314" s="407">
        <v>0</v>
      </c>
      <c r="CY314" s="407">
        <v>0</v>
      </c>
      <c r="CZ314" s="407">
        <v>108.91147052515953</v>
      </c>
      <c r="DA314" s="407">
        <v>0</v>
      </c>
      <c r="DB314" s="407">
        <v>0</v>
      </c>
      <c r="DC314" s="407">
        <v>632.08417967368268</v>
      </c>
      <c r="DD314" s="407">
        <v>0</v>
      </c>
      <c r="DE314" s="407">
        <v>0</v>
      </c>
      <c r="DF314" s="407">
        <v>0</v>
      </c>
      <c r="DG314" s="407">
        <v>46.203335139549296</v>
      </c>
      <c r="DH314" s="407">
        <v>0</v>
      </c>
      <c r="DI314" s="407">
        <v>0</v>
      </c>
      <c r="DJ314" s="407"/>
      <c r="DK314" s="407">
        <v>0</v>
      </c>
      <c r="DL314" s="407">
        <v>0</v>
      </c>
      <c r="DM314" s="407">
        <v>0</v>
      </c>
      <c r="DN314" s="407">
        <v>0</v>
      </c>
      <c r="DO314" s="407">
        <v>0</v>
      </c>
      <c r="DP314" s="407">
        <v>-2.7329891468059913</v>
      </c>
      <c r="DQ314" s="407">
        <v>0</v>
      </c>
      <c r="DR314" s="407">
        <v>-285.30939778045314</v>
      </c>
      <c r="DS314" s="407"/>
      <c r="DT314" s="407"/>
      <c r="DU314" s="407"/>
      <c r="DV314" s="407">
        <v>8630.6756295688829</v>
      </c>
      <c r="DW314" s="407">
        <v>0</v>
      </c>
      <c r="DX314" s="407">
        <v>0</v>
      </c>
      <c r="DY314" s="407">
        <v>-4477.1219999999994</v>
      </c>
      <c r="DZ314" s="407">
        <v>567.80489999999963</v>
      </c>
      <c r="EA314" s="407">
        <v>0</v>
      </c>
      <c r="EB314" s="407">
        <v>0</v>
      </c>
      <c r="EC314" s="407">
        <v>-4408.5691573925733</v>
      </c>
      <c r="ED314" s="407">
        <v>0</v>
      </c>
      <c r="EE314" s="407">
        <v>0</v>
      </c>
      <c r="EF314" s="407">
        <v>0</v>
      </c>
      <c r="EG314" s="407">
        <v>0</v>
      </c>
      <c r="EH314" s="407">
        <v>0</v>
      </c>
      <c r="EI314" s="407">
        <v>0</v>
      </c>
      <c r="EJ314" s="407">
        <v>0</v>
      </c>
      <c r="EK314" s="407">
        <v>0</v>
      </c>
      <c r="EL314" s="407">
        <v>0</v>
      </c>
      <c r="EM314" s="407">
        <v>0</v>
      </c>
      <c r="EN314" s="407">
        <v>0</v>
      </c>
      <c r="EO314" s="407">
        <v>0</v>
      </c>
      <c r="EP314" s="407">
        <v>0</v>
      </c>
      <c r="EQ314" s="407">
        <v>0</v>
      </c>
      <c r="ER314" s="407">
        <v>0</v>
      </c>
      <c r="ES314" s="407">
        <v>0</v>
      </c>
      <c r="ET314" s="407">
        <v>0</v>
      </c>
      <c r="EU314" s="407">
        <v>0</v>
      </c>
      <c r="EV314" s="407">
        <v>246</v>
      </c>
      <c r="EW314" s="407">
        <v>0</v>
      </c>
      <c r="EX314" s="407">
        <v>0</v>
      </c>
      <c r="EY314" s="407">
        <v>0</v>
      </c>
      <c r="EZ314" s="407"/>
      <c r="FA314" s="407">
        <v>0</v>
      </c>
      <c r="FB314" s="407"/>
      <c r="FC314" s="407"/>
      <c r="FD314" s="407"/>
      <c r="FE314" s="407"/>
      <c r="FF314" s="407">
        <v>0</v>
      </c>
      <c r="FG314" s="407">
        <v>0</v>
      </c>
      <c r="FH314" s="407">
        <v>0</v>
      </c>
      <c r="FI314" s="407">
        <v>0</v>
      </c>
    </row>
    <row r="315" spans="1:165">
      <c r="A315" s="407">
        <v>331</v>
      </c>
      <c r="B315" s="407" t="s">
        <v>2308</v>
      </c>
      <c r="C315" s="407" t="s">
        <v>2306</v>
      </c>
      <c r="D315" s="407" t="s">
        <v>1218</v>
      </c>
      <c r="E315" s="407" t="s">
        <v>1021</v>
      </c>
      <c r="F315" s="407" t="s">
        <v>2310</v>
      </c>
      <c r="G315" s="407" t="s">
        <v>97</v>
      </c>
      <c r="H315" s="407" t="s">
        <v>97</v>
      </c>
      <c r="I315" s="407" t="s">
        <v>97</v>
      </c>
      <c r="J315" s="407" t="s">
        <v>2307</v>
      </c>
      <c r="K315" s="818">
        <v>44531</v>
      </c>
      <c r="L315" s="407">
        <v>0</v>
      </c>
      <c r="M315" s="407">
        <v>0</v>
      </c>
      <c r="N315" s="407">
        <v>0</v>
      </c>
      <c r="O315" s="407">
        <v>0</v>
      </c>
      <c r="P315" s="407">
        <v>0</v>
      </c>
      <c r="Q315" s="407">
        <v>0</v>
      </c>
      <c r="R315" s="407"/>
      <c r="S315" s="407"/>
      <c r="T315" s="407"/>
      <c r="U315" s="407"/>
      <c r="V315" s="407"/>
      <c r="W315" s="407"/>
      <c r="X315" s="407"/>
      <c r="Y315" s="407"/>
      <c r="Z315" s="407"/>
      <c r="AA315" s="407">
        <v>0</v>
      </c>
      <c r="AB315" s="407"/>
      <c r="AC315" s="407"/>
      <c r="AD315" s="407"/>
      <c r="AE315" s="407"/>
      <c r="AF315" s="407"/>
      <c r="AG315" s="407"/>
      <c r="AH315" s="407"/>
      <c r="AI315" s="407"/>
      <c r="AJ315" s="407"/>
      <c r="AK315" s="407"/>
      <c r="AL315" s="407"/>
      <c r="AM315" s="407"/>
      <c r="AN315" s="407"/>
      <c r="AO315" s="407"/>
      <c r="AP315" s="407"/>
      <c r="AQ315" s="407"/>
      <c r="AR315" s="407"/>
      <c r="AS315" s="407"/>
      <c r="AT315" s="407"/>
      <c r="AU315" s="407"/>
      <c r="AV315" s="407"/>
      <c r="AW315" s="407"/>
      <c r="AX315" s="407"/>
      <c r="AY315" s="407"/>
      <c r="AZ315" s="407">
        <v>0</v>
      </c>
      <c r="BA315" s="407"/>
      <c r="BB315" s="407"/>
      <c r="BC315" s="407"/>
      <c r="BD315" s="407"/>
      <c r="BE315" s="407"/>
      <c r="BF315" s="407"/>
      <c r="BG315" s="407"/>
      <c r="BH315" s="407"/>
      <c r="BI315" s="407">
        <v>-0.01</v>
      </c>
      <c r="BJ315" s="407">
        <v>-0.02</v>
      </c>
      <c r="BK315" s="407">
        <v>-1.59</v>
      </c>
      <c r="BL315" s="407">
        <v>0</v>
      </c>
      <c r="BM315" s="407"/>
      <c r="BN315" s="407"/>
      <c r="BO315" s="407"/>
      <c r="BP315" s="407"/>
      <c r="BQ315" s="407"/>
      <c r="BR315" s="407"/>
      <c r="BS315" s="407"/>
      <c r="BT315" s="407"/>
      <c r="BU315" s="407"/>
      <c r="BV315" s="407"/>
      <c r="BW315" s="407"/>
      <c r="BX315" s="407"/>
      <c r="BY315" s="407"/>
      <c r="BZ315" s="407"/>
      <c r="CA315" s="407"/>
      <c r="CB315" s="407"/>
      <c r="CC315" s="407"/>
      <c r="CD315" s="407"/>
      <c r="CE315" s="407"/>
      <c r="CF315" s="407"/>
      <c r="CG315" s="407"/>
      <c r="CH315" s="407"/>
      <c r="CI315" s="407"/>
      <c r="CJ315" s="407">
        <v>-0.03</v>
      </c>
      <c r="CK315" s="407"/>
      <c r="CL315" s="407"/>
      <c r="CM315" s="407"/>
      <c r="CN315" s="407"/>
      <c r="CO315" s="407">
        <v>0</v>
      </c>
      <c r="CP315" s="407">
        <v>0</v>
      </c>
      <c r="CQ315" s="407"/>
      <c r="CR315" s="407"/>
      <c r="CS315" s="407"/>
      <c r="CT315" s="407"/>
      <c r="CU315" s="407"/>
      <c r="CV315" s="407"/>
      <c r="CW315" s="407"/>
      <c r="CX315" s="407"/>
      <c r="CY315" s="407"/>
      <c r="CZ315" s="407"/>
      <c r="DA315" s="407"/>
      <c r="DB315" s="407"/>
      <c r="DC315" s="407"/>
      <c r="DD315" s="407"/>
      <c r="DE315" s="407"/>
      <c r="DF315" s="407"/>
      <c r="DG315" s="407"/>
      <c r="DH315" s="407"/>
      <c r="DI315" s="407"/>
      <c r="DJ315" s="407"/>
      <c r="DK315" s="407">
        <v>0</v>
      </c>
      <c r="DL315" s="407"/>
      <c r="DM315" s="407"/>
      <c r="DN315" s="407"/>
      <c r="DO315" s="407"/>
      <c r="DP315" s="407"/>
      <c r="DQ315" s="407"/>
      <c r="DR315" s="407"/>
      <c r="DS315" s="407"/>
      <c r="DT315" s="407"/>
      <c r="DU315" s="407"/>
      <c r="DV315" s="407"/>
      <c r="DW315" s="407"/>
      <c r="DX315" s="407"/>
      <c r="DY315" s="407"/>
      <c r="DZ315" s="407"/>
      <c r="EA315" s="407"/>
      <c r="EB315" s="407"/>
      <c r="EC315" s="407"/>
      <c r="ED315" s="407"/>
      <c r="EE315" s="407"/>
      <c r="EF315" s="407"/>
      <c r="EG315" s="407"/>
      <c r="EH315" s="407"/>
      <c r="EI315" s="407"/>
      <c r="EJ315" s="407"/>
      <c r="EK315" s="407"/>
      <c r="EL315" s="407"/>
      <c r="EM315" s="407"/>
      <c r="EN315" s="407"/>
      <c r="EO315" s="407"/>
      <c r="EP315" s="407"/>
      <c r="EQ315" s="407"/>
      <c r="ER315" s="407"/>
      <c r="ES315" s="407"/>
      <c r="ET315" s="407"/>
      <c r="EU315" s="407"/>
      <c r="EV315" s="407">
        <v>246</v>
      </c>
      <c r="EW315" s="407"/>
      <c r="EX315" s="407"/>
      <c r="EY315" s="407"/>
      <c r="EZ315" s="407"/>
      <c r="FA315" s="407">
        <v>0</v>
      </c>
      <c r="FB315" s="407"/>
      <c r="FC315" s="407"/>
      <c r="FD315" s="407"/>
      <c r="FE315" s="407"/>
      <c r="FF315" s="407">
        <v>0</v>
      </c>
      <c r="FG315" s="407">
        <v>0</v>
      </c>
      <c r="FH315" s="407">
        <v>0</v>
      </c>
      <c r="FI315" s="407">
        <v>0</v>
      </c>
    </row>
    <row r="316" spans="1:165">
      <c r="A316" s="407">
        <v>332</v>
      </c>
      <c r="B316" s="407" t="s">
        <v>2309</v>
      </c>
      <c r="C316" s="407" t="s">
        <v>2306</v>
      </c>
      <c r="D316" s="407" t="s">
        <v>1218</v>
      </c>
      <c r="E316" s="407" t="s">
        <v>1021</v>
      </c>
      <c r="F316" s="407" t="s">
        <v>2310</v>
      </c>
      <c r="G316" s="407" t="s">
        <v>97</v>
      </c>
      <c r="H316" s="407" t="s">
        <v>97</v>
      </c>
      <c r="I316" s="407" t="s">
        <v>97</v>
      </c>
      <c r="J316" s="407" t="s">
        <v>2307</v>
      </c>
      <c r="K316" s="818">
        <v>44531</v>
      </c>
      <c r="L316" s="407">
        <v>0</v>
      </c>
      <c r="M316" s="407">
        <v>0</v>
      </c>
      <c r="N316" s="407">
        <v>0</v>
      </c>
      <c r="O316" s="407">
        <v>0</v>
      </c>
      <c r="P316" s="407">
        <v>0</v>
      </c>
      <c r="Q316" s="407">
        <v>0</v>
      </c>
      <c r="R316" s="407"/>
      <c r="S316" s="407"/>
      <c r="T316" s="407"/>
      <c r="U316" s="407"/>
      <c r="V316" s="407"/>
      <c r="W316" s="407"/>
      <c r="X316" s="407"/>
      <c r="Y316" s="407"/>
      <c r="Z316" s="407"/>
      <c r="AA316" s="407">
        <v>0</v>
      </c>
      <c r="AB316" s="407"/>
      <c r="AC316" s="407"/>
      <c r="AD316" s="407"/>
      <c r="AE316" s="407"/>
      <c r="AF316" s="407"/>
      <c r="AG316" s="407"/>
      <c r="AH316" s="407"/>
      <c r="AI316" s="407"/>
      <c r="AJ316" s="407"/>
      <c r="AK316" s="407"/>
      <c r="AL316" s="407"/>
      <c r="AM316" s="407"/>
      <c r="AN316" s="407"/>
      <c r="AO316" s="407"/>
      <c r="AP316" s="407"/>
      <c r="AQ316" s="407"/>
      <c r="AR316" s="407"/>
      <c r="AS316" s="407"/>
      <c r="AT316" s="407"/>
      <c r="AU316" s="407"/>
      <c r="AV316" s="407"/>
      <c r="AW316" s="407"/>
      <c r="AX316" s="407"/>
      <c r="AY316" s="407"/>
      <c r="AZ316" s="407">
        <v>0</v>
      </c>
      <c r="BA316" s="407"/>
      <c r="BB316" s="407"/>
      <c r="BC316" s="407"/>
      <c r="BD316" s="407"/>
      <c r="BE316" s="407"/>
      <c r="BF316" s="407"/>
      <c r="BG316" s="407"/>
      <c r="BH316" s="407"/>
      <c r="BI316" s="407">
        <v>0</v>
      </c>
      <c r="BJ316" s="407">
        <v>0</v>
      </c>
      <c r="BK316" s="407">
        <v>1.48</v>
      </c>
      <c r="BL316" s="407">
        <v>0</v>
      </c>
      <c r="BM316" s="407"/>
      <c r="BN316" s="407"/>
      <c r="BO316" s="407"/>
      <c r="BP316" s="407"/>
      <c r="BQ316" s="407"/>
      <c r="BR316" s="407"/>
      <c r="BS316" s="407"/>
      <c r="BT316" s="407"/>
      <c r="BU316" s="407"/>
      <c r="BV316" s="407"/>
      <c r="BW316" s="407"/>
      <c r="BX316" s="407"/>
      <c r="BY316" s="407"/>
      <c r="BZ316" s="407"/>
      <c r="CA316" s="407"/>
      <c r="CB316" s="407"/>
      <c r="CC316" s="407"/>
      <c r="CD316" s="407"/>
      <c r="CE316" s="407"/>
      <c r="CF316" s="407"/>
      <c r="CG316" s="407"/>
      <c r="CH316" s="407"/>
      <c r="CI316" s="407"/>
      <c r="CJ316" s="407">
        <v>-0.03</v>
      </c>
      <c r="CK316" s="407"/>
      <c r="CL316" s="407"/>
      <c r="CM316" s="407"/>
      <c r="CN316" s="407"/>
      <c r="CO316" s="407">
        <v>0</v>
      </c>
      <c r="CP316" s="407">
        <v>0</v>
      </c>
      <c r="CQ316" s="407"/>
      <c r="CR316" s="407"/>
      <c r="CS316" s="407"/>
      <c r="CT316" s="407"/>
      <c r="CU316" s="407"/>
      <c r="CV316" s="407"/>
      <c r="CW316" s="407"/>
      <c r="CX316" s="407"/>
      <c r="CY316" s="407"/>
      <c r="CZ316" s="407"/>
      <c r="DA316" s="407"/>
      <c r="DB316" s="407"/>
      <c r="DC316" s="407"/>
      <c r="DD316" s="407"/>
      <c r="DE316" s="407"/>
      <c r="DF316" s="407"/>
      <c r="DG316" s="407"/>
      <c r="DH316" s="407"/>
      <c r="DI316" s="407"/>
      <c r="DJ316" s="407"/>
      <c r="DK316" s="407">
        <v>0</v>
      </c>
      <c r="DL316" s="407"/>
      <c r="DM316" s="407"/>
      <c r="DN316" s="407"/>
      <c r="DO316" s="407"/>
      <c r="DP316" s="407"/>
      <c r="DQ316" s="407"/>
      <c r="DR316" s="407"/>
      <c r="DS316" s="407"/>
      <c r="DT316" s="407"/>
      <c r="DU316" s="407"/>
      <c r="DV316" s="407"/>
      <c r="DW316" s="407"/>
      <c r="DX316" s="407"/>
      <c r="DY316" s="407"/>
      <c r="DZ316" s="407"/>
      <c r="EA316" s="407"/>
      <c r="EB316" s="407"/>
      <c r="EC316" s="407"/>
      <c r="ED316" s="407"/>
      <c r="EE316" s="407"/>
      <c r="EF316" s="407"/>
      <c r="EG316" s="407"/>
      <c r="EH316" s="407"/>
      <c r="EI316" s="407"/>
      <c r="EJ316" s="407"/>
      <c r="EK316" s="407"/>
      <c r="EL316" s="407"/>
      <c r="EM316" s="407"/>
      <c r="EN316" s="407"/>
      <c r="EO316" s="407"/>
      <c r="EP316" s="407"/>
      <c r="EQ316" s="407"/>
      <c r="ER316" s="407"/>
      <c r="ES316" s="407"/>
      <c r="ET316" s="407"/>
      <c r="EU316" s="407"/>
      <c r="EV316" s="407">
        <v>246</v>
      </c>
      <c r="EW316" s="407"/>
      <c r="EX316" s="407"/>
      <c r="EY316" s="407"/>
      <c r="EZ316" s="407"/>
      <c r="FA316" s="407">
        <v>0</v>
      </c>
      <c r="FB316" s="407"/>
      <c r="FC316" s="407"/>
      <c r="FD316" s="407"/>
      <c r="FE316" s="407"/>
      <c r="FF316" s="407">
        <v>0</v>
      </c>
      <c r="FG316" s="407">
        <v>0</v>
      </c>
      <c r="FH316" s="407">
        <v>0</v>
      </c>
      <c r="FI316" s="407">
        <v>0</v>
      </c>
    </row>
    <row r="317" spans="1:165">
      <c r="A317" s="407">
        <v>333</v>
      </c>
      <c r="B317" s="407" t="s">
        <v>1090</v>
      </c>
      <c r="C317" s="407" t="s">
        <v>2306</v>
      </c>
      <c r="D317" s="407" t="s">
        <v>1218</v>
      </c>
      <c r="E317" s="407" t="s">
        <v>1021</v>
      </c>
      <c r="F317" s="407" t="s">
        <v>2311</v>
      </c>
      <c r="G317" s="407" t="s">
        <v>97</v>
      </c>
      <c r="H317" s="407" t="s">
        <v>97</v>
      </c>
      <c r="I317" s="407" t="s">
        <v>97</v>
      </c>
      <c r="J317" s="407" t="s">
        <v>2307</v>
      </c>
      <c r="K317" s="818">
        <v>44531</v>
      </c>
      <c r="L317" s="407">
        <v>0</v>
      </c>
      <c r="M317" s="407">
        <v>0</v>
      </c>
      <c r="N317" s="407">
        <v>42.140999999999998</v>
      </c>
      <c r="O317" s="407">
        <v>42.140999999999998</v>
      </c>
      <c r="P317" s="407">
        <v>42.140999999999998</v>
      </c>
      <c r="Q317" s="407">
        <v>42.140999999999998</v>
      </c>
      <c r="R317" s="407"/>
      <c r="S317" s="407">
        <v>547.54</v>
      </c>
      <c r="T317" s="407">
        <v>159.41</v>
      </c>
      <c r="U317" s="407"/>
      <c r="V317" s="407">
        <v>29791.579949999999</v>
      </c>
      <c r="W317" s="407">
        <v>29791.579949999999</v>
      </c>
      <c r="X317" s="407">
        <v>21821.452619999996</v>
      </c>
      <c r="Y317" s="407">
        <v>0</v>
      </c>
      <c r="Z317" s="407">
        <v>0</v>
      </c>
      <c r="AA317" s="407">
        <v>0</v>
      </c>
      <c r="AB317" s="407">
        <v>0</v>
      </c>
      <c r="AC317" s="407">
        <v>0</v>
      </c>
      <c r="AD317" s="407">
        <v>4915.5127649963515</v>
      </c>
      <c r="AE317" s="407">
        <v>17595.805597758212</v>
      </c>
      <c r="AF317" s="407">
        <v>6499.4366330071252</v>
      </c>
      <c r="AG317" s="407">
        <v>218.36401036122345</v>
      </c>
      <c r="AH317" s="407">
        <v>0</v>
      </c>
      <c r="AI317" s="407">
        <v>0</v>
      </c>
      <c r="AJ317" s="407">
        <v>0</v>
      </c>
      <c r="AK317" s="407">
        <v>0</v>
      </c>
      <c r="AL317" s="407">
        <v>0</v>
      </c>
      <c r="AM317" s="407"/>
      <c r="AN317" s="407">
        <v>87.446605385398556</v>
      </c>
      <c r="AO317" s="407">
        <v>0</v>
      </c>
      <c r="AP317" s="407">
        <v>0</v>
      </c>
      <c r="AQ317" s="407">
        <v>0</v>
      </c>
      <c r="AR317" s="407">
        <v>0</v>
      </c>
      <c r="AS317" s="407">
        <v>0</v>
      </c>
      <c r="AT317" s="407">
        <v>0</v>
      </c>
      <c r="AU317" s="407">
        <v>0</v>
      </c>
      <c r="AV317" s="407">
        <v>0</v>
      </c>
      <c r="AW317" s="407">
        <v>0</v>
      </c>
      <c r="AX317" s="407">
        <v>0</v>
      </c>
      <c r="AY317" s="407">
        <v>0</v>
      </c>
      <c r="AZ317" s="407">
        <v>0</v>
      </c>
      <c r="BA317" s="407"/>
      <c r="BB317" s="407">
        <v>0</v>
      </c>
      <c r="BC317" s="407">
        <v>0</v>
      </c>
      <c r="BD317" s="407">
        <v>0</v>
      </c>
      <c r="BE317" s="407">
        <v>0</v>
      </c>
      <c r="BF317" s="407">
        <v>0</v>
      </c>
      <c r="BG317" s="407">
        <v>475.08806363120846</v>
      </c>
      <c r="BH317" s="407">
        <v>0</v>
      </c>
      <c r="BI317" s="407">
        <v>41.03</v>
      </c>
      <c r="BJ317" s="407">
        <v>197.32</v>
      </c>
      <c r="BK317" s="407">
        <v>5633.81</v>
      </c>
      <c r="BL317" s="407">
        <v>155</v>
      </c>
      <c r="BM317" s="407"/>
      <c r="BN317" s="407"/>
      <c r="BO317" s="407"/>
      <c r="BP317" s="407"/>
      <c r="BQ317" s="407"/>
      <c r="BR317" s="407"/>
      <c r="BS317" s="407"/>
      <c r="BT317" s="407">
        <v>8728.6653299999998</v>
      </c>
      <c r="BU317" s="407"/>
      <c r="BV317" s="407">
        <v>6974.5246966383338</v>
      </c>
      <c r="BW317" s="407"/>
      <c r="BX317" s="407"/>
      <c r="BY317" s="407"/>
      <c r="BZ317" s="407"/>
      <c r="CA317" s="407"/>
      <c r="CB317" s="407"/>
      <c r="CC317" s="407"/>
      <c r="CD317" s="407"/>
      <c r="CE317" s="407"/>
      <c r="CF317" s="407"/>
      <c r="CG317" s="407"/>
      <c r="CH317" s="407"/>
      <c r="CI317" s="407">
        <v>13092.4766</v>
      </c>
      <c r="CJ317" s="407">
        <v>-4782.5013699999963</v>
      </c>
      <c r="CK317" s="407"/>
      <c r="CL317" s="407"/>
      <c r="CM317" s="407"/>
      <c r="CN317" s="407"/>
      <c r="CO317" s="407">
        <v>-9127.7405999999974</v>
      </c>
      <c r="CP317" s="407">
        <v>1157.6132699999998</v>
      </c>
      <c r="CQ317" s="407"/>
      <c r="CR317" s="407">
        <v>1017.6564205923332</v>
      </c>
      <c r="CS317" s="407">
        <v>0</v>
      </c>
      <c r="CT317" s="407">
        <v>0</v>
      </c>
      <c r="CU317" s="407">
        <v>0</v>
      </c>
      <c r="CV317" s="407">
        <v>0</v>
      </c>
      <c r="CW317" s="407">
        <v>0</v>
      </c>
      <c r="CX317" s="407">
        <v>0</v>
      </c>
      <c r="CY317" s="407">
        <v>0</v>
      </c>
      <c r="CZ317" s="407">
        <v>222.04345812292013</v>
      </c>
      <c r="DA317" s="407">
        <v>0</v>
      </c>
      <c r="DB317" s="407">
        <v>0</v>
      </c>
      <c r="DC317" s="407">
        <v>1288.6627680517013</v>
      </c>
      <c r="DD317" s="407">
        <v>0</v>
      </c>
      <c r="DE317" s="407">
        <v>0</v>
      </c>
      <c r="DF317" s="407">
        <v>0</v>
      </c>
      <c r="DG317" s="407">
        <v>94.197133338933099</v>
      </c>
      <c r="DH317" s="407">
        <v>0</v>
      </c>
      <c r="DI317" s="407">
        <v>0</v>
      </c>
      <c r="DJ317" s="407"/>
      <c r="DK317" s="407">
        <v>0</v>
      </c>
      <c r="DL317" s="407">
        <v>0</v>
      </c>
      <c r="DM317" s="407">
        <v>0</v>
      </c>
      <c r="DN317" s="407">
        <v>0</v>
      </c>
      <c r="DO317" s="407">
        <v>0</v>
      </c>
      <c r="DP317" s="407">
        <v>-5.5718865813038718</v>
      </c>
      <c r="DQ317" s="407">
        <v>0</v>
      </c>
      <c r="DR317" s="407">
        <v>-581.67505233991642</v>
      </c>
      <c r="DS317" s="407"/>
      <c r="DT317" s="407"/>
      <c r="DU317" s="407"/>
      <c r="DV317" s="407">
        <v>17595.805597758212</v>
      </c>
      <c r="DW317" s="407">
        <v>0</v>
      </c>
      <c r="DX317" s="407">
        <v>0</v>
      </c>
      <c r="DY317" s="407">
        <v>-9127.7405999999992</v>
      </c>
      <c r="DZ317" s="407">
        <v>1157.6132699999998</v>
      </c>
      <c r="EA317" s="407">
        <v>0</v>
      </c>
      <c r="EB317" s="407">
        <v>0</v>
      </c>
      <c r="EC317" s="407">
        <v>-8987.9783677639298</v>
      </c>
      <c r="ED317" s="407">
        <v>0</v>
      </c>
      <c r="EE317" s="407">
        <v>0</v>
      </c>
      <c r="EF317" s="407">
        <v>0</v>
      </c>
      <c r="EG317" s="407">
        <v>0</v>
      </c>
      <c r="EH317" s="407">
        <v>0</v>
      </c>
      <c r="EI317" s="407">
        <v>0</v>
      </c>
      <c r="EJ317" s="407">
        <v>0</v>
      </c>
      <c r="EK317" s="407">
        <v>0</v>
      </c>
      <c r="EL317" s="407">
        <v>0</v>
      </c>
      <c r="EM317" s="407">
        <v>0</v>
      </c>
      <c r="EN317" s="407">
        <v>0</v>
      </c>
      <c r="EO317" s="407">
        <v>0</v>
      </c>
      <c r="EP317" s="407">
        <v>0</v>
      </c>
      <c r="EQ317" s="407">
        <v>0</v>
      </c>
      <c r="ER317" s="407">
        <v>0</v>
      </c>
      <c r="ES317" s="407">
        <v>0</v>
      </c>
      <c r="ET317" s="407">
        <v>0</v>
      </c>
      <c r="EU317" s="407">
        <v>0</v>
      </c>
      <c r="EV317" s="407">
        <v>246</v>
      </c>
      <c r="EW317" s="407">
        <v>0</v>
      </c>
      <c r="EX317" s="407">
        <v>0</v>
      </c>
      <c r="EY317" s="407">
        <v>0</v>
      </c>
      <c r="EZ317" s="407"/>
      <c r="FA317" s="407">
        <v>0</v>
      </c>
      <c r="FB317" s="407"/>
      <c r="FC317" s="407"/>
      <c r="FD317" s="407"/>
      <c r="FE317" s="407"/>
      <c r="FF317" s="407">
        <v>0</v>
      </c>
      <c r="FG317" s="407">
        <v>0</v>
      </c>
      <c r="FH317" s="407">
        <v>0</v>
      </c>
      <c r="FI317" s="407">
        <v>0</v>
      </c>
    </row>
    <row r="318" spans="1:165">
      <c r="A318" s="407">
        <v>334</v>
      </c>
      <c r="B318" s="407" t="s">
        <v>2308</v>
      </c>
      <c r="C318" s="407" t="s">
        <v>2306</v>
      </c>
      <c r="D318" s="407" t="s">
        <v>1218</v>
      </c>
      <c r="E318" s="407" t="s">
        <v>1021</v>
      </c>
      <c r="F318" s="407" t="s">
        <v>2311</v>
      </c>
      <c r="G318" s="407" t="s">
        <v>97</v>
      </c>
      <c r="H318" s="407" t="s">
        <v>97</v>
      </c>
      <c r="I318" s="407" t="s">
        <v>97</v>
      </c>
      <c r="J318" s="407" t="s">
        <v>2307</v>
      </c>
      <c r="K318" s="818">
        <v>44531</v>
      </c>
      <c r="L318" s="407">
        <v>0</v>
      </c>
      <c r="M318" s="407">
        <v>0</v>
      </c>
      <c r="N318" s="407">
        <v>-7.0000000000000007E-2</v>
      </c>
      <c r="O318" s="407">
        <v>-7.0000000000000007E-2</v>
      </c>
      <c r="P318" s="407">
        <v>-7.0000000000000007E-2</v>
      </c>
      <c r="Q318" s="407">
        <v>-7.0000000000000007E-2</v>
      </c>
      <c r="R318" s="407"/>
      <c r="S318" s="407">
        <v>547.54</v>
      </c>
      <c r="T318" s="407">
        <v>159.41</v>
      </c>
      <c r="U318" s="407"/>
      <c r="V318" s="407">
        <v>-49.486500000000007</v>
      </c>
      <c r="W318" s="407">
        <v>-49.486500000000007</v>
      </c>
      <c r="X318" s="407">
        <v>-36.247399999999999</v>
      </c>
      <c r="Y318" s="407">
        <v>0</v>
      </c>
      <c r="Z318" s="407">
        <v>0</v>
      </c>
      <c r="AA318" s="407">
        <v>0</v>
      </c>
      <c r="AB318" s="407">
        <v>0</v>
      </c>
      <c r="AC318" s="407">
        <v>0</v>
      </c>
      <c r="AD318" s="407">
        <v>-8.1651098348341211</v>
      </c>
      <c r="AE318" s="407">
        <v>-29.228219355095394</v>
      </c>
      <c r="AF318" s="407">
        <v>-10.796150169917631</v>
      </c>
      <c r="AG318" s="407">
        <v>-0.36272230666774974</v>
      </c>
      <c r="AH318" s="407">
        <v>0</v>
      </c>
      <c r="AI318" s="407">
        <v>0</v>
      </c>
      <c r="AJ318" s="407">
        <v>0</v>
      </c>
      <c r="AK318" s="407">
        <v>0</v>
      </c>
      <c r="AL318" s="407">
        <v>0</v>
      </c>
      <c r="AM318" s="407"/>
      <c r="AN318" s="407">
        <v>-0.14525669483348519</v>
      </c>
      <c r="AO318" s="407">
        <v>0</v>
      </c>
      <c r="AP318" s="407">
        <v>0</v>
      </c>
      <c r="AQ318" s="407">
        <v>0</v>
      </c>
      <c r="AR318" s="407">
        <v>0</v>
      </c>
      <c r="AS318" s="407">
        <v>0</v>
      </c>
      <c r="AT318" s="407">
        <v>0</v>
      </c>
      <c r="AU318" s="407">
        <v>0</v>
      </c>
      <c r="AV318" s="407">
        <v>0</v>
      </c>
      <c r="AW318" s="407">
        <v>0</v>
      </c>
      <c r="AX318" s="407">
        <v>0</v>
      </c>
      <c r="AY318" s="407">
        <v>0</v>
      </c>
      <c r="AZ318" s="407">
        <v>0</v>
      </c>
      <c r="BA318" s="407"/>
      <c r="BB318" s="407">
        <v>0</v>
      </c>
      <c r="BC318" s="407">
        <v>0</v>
      </c>
      <c r="BD318" s="407">
        <v>0</v>
      </c>
      <c r="BE318" s="407">
        <v>0</v>
      </c>
      <c r="BF318" s="407">
        <v>0</v>
      </c>
      <c r="BG318" s="407">
        <v>-0.78916410275467108</v>
      </c>
      <c r="BH318" s="407">
        <v>0</v>
      </c>
      <c r="BI318" s="407">
        <v>-0.15</v>
      </c>
      <c r="BJ318" s="407">
        <v>-0.66</v>
      </c>
      <c r="BK318" s="407">
        <v>-9.66</v>
      </c>
      <c r="BL318" s="407">
        <v>0</v>
      </c>
      <c r="BM318" s="407"/>
      <c r="BN318" s="407"/>
      <c r="BO318" s="407"/>
      <c r="BP318" s="407"/>
      <c r="BQ318" s="407"/>
      <c r="BR318" s="407"/>
      <c r="BS318" s="407"/>
      <c r="BT318" s="407">
        <v>-14.499100000000002</v>
      </c>
      <c r="BU318" s="407"/>
      <c r="BV318" s="407">
        <v>-11.585314272672303</v>
      </c>
      <c r="BW318" s="407"/>
      <c r="BX318" s="407"/>
      <c r="BY318" s="407"/>
      <c r="BZ318" s="407"/>
      <c r="CA318" s="407"/>
      <c r="CB318" s="407"/>
      <c r="CC318" s="407"/>
      <c r="CD318" s="407"/>
      <c r="CE318" s="407"/>
      <c r="CF318" s="407"/>
      <c r="CG318" s="407"/>
      <c r="CH318" s="407"/>
      <c r="CI318" s="407">
        <v>-21.748300000000004</v>
      </c>
      <c r="CJ318" s="407">
        <v>7.9135999999999953</v>
      </c>
      <c r="CK318" s="407"/>
      <c r="CL318" s="407"/>
      <c r="CM318" s="407"/>
      <c r="CN318" s="407"/>
      <c r="CO318" s="407">
        <v>15.161999999999999</v>
      </c>
      <c r="CP318" s="407">
        <v>-1.9229000000000001</v>
      </c>
      <c r="CQ318" s="407"/>
      <c r="CR318" s="407">
        <v>-1.6904190560609216</v>
      </c>
      <c r="CS318" s="407">
        <v>0</v>
      </c>
      <c r="CT318" s="407">
        <v>0</v>
      </c>
      <c r="CU318" s="407">
        <v>0</v>
      </c>
      <c r="CV318" s="407">
        <v>0</v>
      </c>
      <c r="CW318" s="407">
        <v>0</v>
      </c>
      <c r="CX318" s="407">
        <v>0</v>
      </c>
      <c r="CY318" s="407">
        <v>0</v>
      </c>
      <c r="CZ318" s="407">
        <v>-0.36883420110116916</v>
      </c>
      <c r="DA318" s="407">
        <v>0</v>
      </c>
      <c r="DB318" s="407">
        <v>0</v>
      </c>
      <c r="DC318" s="407">
        <v>-2.14058503034145</v>
      </c>
      <c r="DD318" s="407">
        <v>0</v>
      </c>
      <c r="DE318" s="407">
        <v>0</v>
      </c>
      <c r="DF318" s="407">
        <v>0</v>
      </c>
      <c r="DG318" s="407">
        <v>-0.15646993032261503</v>
      </c>
      <c r="DH318" s="407">
        <v>0</v>
      </c>
      <c r="DI318" s="407">
        <v>0</v>
      </c>
      <c r="DJ318" s="407"/>
      <c r="DK318" s="407">
        <v>0</v>
      </c>
      <c r="DL318" s="407">
        <v>0</v>
      </c>
      <c r="DM318" s="407">
        <v>0</v>
      </c>
      <c r="DN318" s="407">
        <v>0</v>
      </c>
      <c r="DO318" s="407">
        <v>0</v>
      </c>
      <c r="DP318" s="407">
        <v>9.255405915646775E-3</v>
      </c>
      <c r="DQ318" s="407">
        <v>0</v>
      </c>
      <c r="DR318" s="407">
        <v>0.9662146997886657</v>
      </c>
      <c r="DS318" s="407"/>
      <c r="DT318" s="407"/>
      <c r="DU318" s="407"/>
      <c r="DV318" s="407">
        <v>-29.228219355095394</v>
      </c>
      <c r="DW318" s="407">
        <v>0</v>
      </c>
      <c r="DX318" s="407">
        <v>0</v>
      </c>
      <c r="DY318" s="407">
        <v>15.162000000000003</v>
      </c>
      <c r="DZ318" s="407">
        <v>-1.9229000000000003</v>
      </c>
      <c r="EA318" s="407">
        <v>0</v>
      </c>
      <c r="EB318" s="407">
        <v>0</v>
      </c>
      <c r="EC318" s="407">
        <v>14.929842332727631</v>
      </c>
      <c r="ED318" s="407">
        <v>0</v>
      </c>
      <c r="EE318" s="407">
        <v>0</v>
      </c>
      <c r="EF318" s="407">
        <v>0</v>
      </c>
      <c r="EG318" s="407">
        <v>0</v>
      </c>
      <c r="EH318" s="407">
        <v>0</v>
      </c>
      <c r="EI318" s="407">
        <v>0</v>
      </c>
      <c r="EJ318" s="407">
        <v>0</v>
      </c>
      <c r="EK318" s="407">
        <v>0</v>
      </c>
      <c r="EL318" s="407">
        <v>0</v>
      </c>
      <c r="EM318" s="407">
        <v>0</v>
      </c>
      <c r="EN318" s="407">
        <v>0</v>
      </c>
      <c r="EO318" s="407">
        <v>0</v>
      </c>
      <c r="EP318" s="407">
        <v>0</v>
      </c>
      <c r="EQ318" s="407">
        <v>0</v>
      </c>
      <c r="ER318" s="407">
        <v>0</v>
      </c>
      <c r="ES318" s="407">
        <v>0</v>
      </c>
      <c r="ET318" s="407">
        <v>0</v>
      </c>
      <c r="EU318" s="407">
        <v>0</v>
      </c>
      <c r="EV318" s="407">
        <v>246</v>
      </c>
      <c r="EW318" s="407">
        <v>0</v>
      </c>
      <c r="EX318" s="407">
        <v>0</v>
      </c>
      <c r="EY318" s="407">
        <v>0</v>
      </c>
      <c r="EZ318" s="407"/>
      <c r="FA318" s="407">
        <v>0</v>
      </c>
      <c r="FB318" s="407"/>
      <c r="FC318" s="407"/>
      <c r="FD318" s="407"/>
      <c r="FE318" s="407"/>
      <c r="FF318" s="407">
        <v>0</v>
      </c>
      <c r="FG318" s="407">
        <v>0</v>
      </c>
      <c r="FH318" s="407">
        <v>0</v>
      </c>
      <c r="FI318" s="407">
        <v>0</v>
      </c>
    </row>
    <row r="319" spans="1:165">
      <c r="A319" s="407">
        <v>335</v>
      </c>
      <c r="B319" s="407" t="s">
        <v>2309</v>
      </c>
      <c r="C319" s="407" t="s">
        <v>2306</v>
      </c>
      <c r="D319" s="407" t="s">
        <v>1218</v>
      </c>
      <c r="E319" s="407" t="s">
        <v>1021</v>
      </c>
      <c r="F319" s="407" t="s">
        <v>2311</v>
      </c>
      <c r="G319" s="407" t="s">
        <v>97</v>
      </c>
      <c r="H319" s="407" t="s">
        <v>97</v>
      </c>
      <c r="I319" s="407" t="s">
        <v>97</v>
      </c>
      <c r="J319" s="407" t="s">
        <v>2307</v>
      </c>
      <c r="K319" s="818">
        <v>44531</v>
      </c>
      <c r="L319" s="407">
        <v>0</v>
      </c>
      <c r="M319" s="407">
        <v>0</v>
      </c>
      <c r="N319" s="407">
        <v>0</v>
      </c>
      <c r="O319" s="407">
        <v>0</v>
      </c>
      <c r="P319" s="407">
        <v>0</v>
      </c>
      <c r="Q319" s="407">
        <v>0</v>
      </c>
      <c r="R319" s="407"/>
      <c r="S319" s="407"/>
      <c r="T319" s="407"/>
      <c r="U319" s="407"/>
      <c r="V319" s="407"/>
      <c r="W319" s="407"/>
      <c r="X319" s="407"/>
      <c r="Y319" s="407"/>
      <c r="Z319" s="407"/>
      <c r="AA319" s="407">
        <v>0</v>
      </c>
      <c r="AB319" s="407"/>
      <c r="AC319" s="407"/>
      <c r="AD319" s="407"/>
      <c r="AE319" s="407"/>
      <c r="AF319" s="407"/>
      <c r="AG319" s="407"/>
      <c r="AH319" s="407"/>
      <c r="AI319" s="407"/>
      <c r="AJ319" s="407"/>
      <c r="AK319" s="407"/>
      <c r="AL319" s="407"/>
      <c r="AM319" s="407"/>
      <c r="AN319" s="407"/>
      <c r="AO319" s="407"/>
      <c r="AP319" s="407"/>
      <c r="AQ319" s="407"/>
      <c r="AR319" s="407"/>
      <c r="AS319" s="407"/>
      <c r="AT319" s="407"/>
      <c r="AU319" s="407"/>
      <c r="AV319" s="407"/>
      <c r="AW319" s="407"/>
      <c r="AX319" s="407"/>
      <c r="AY319" s="407"/>
      <c r="AZ319" s="407">
        <v>0</v>
      </c>
      <c r="BA319" s="407"/>
      <c r="BB319" s="407"/>
      <c r="BC319" s="407"/>
      <c r="BD319" s="407"/>
      <c r="BE319" s="407"/>
      <c r="BF319" s="407"/>
      <c r="BG319" s="407"/>
      <c r="BH319" s="407"/>
      <c r="BI319" s="407">
        <v>0</v>
      </c>
      <c r="BJ319" s="407">
        <v>0</v>
      </c>
      <c r="BK319" s="407">
        <v>5.95</v>
      </c>
      <c r="BL319" s="407">
        <v>0</v>
      </c>
      <c r="BM319" s="407"/>
      <c r="BN319" s="407"/>
      <c r="BO319" s="407"/>
      <c r="BP319" s="407"/>
      <c r="BQ319" s="407"/>
      <c r="BR319" s="407"/>
      <c r="BS319" s="407"/>
      <c r="BT319" s="407"/>
      <c r="BU319" s="407"/>
      <c r="BV319" s="407"/>
      <c r="BW319" s="407"/>
      <c r="BX319" s="407"/>
      <c r="BY319" s="407"/>
      <c r="BZ319" s="407"/>
      <c r="CA319" s="407"/>
      <c r="CB319" s="407"/>
      <c r="CC319" s="407"/>
      <c r="CD319" s="407"/>
      <c r="CE319" s="407"/>
      <c r="CF319" s="407"/>
      <c r="CG319" s="407"/>
      <c r="CH319" s="407"/>
      <c r="CI319" s="407"/>
      <c r="CJ319" s="407">
        <v>-0.03</v>
      </c>
      <c r="CK319" s="407"/>
      <c r="CL319" s="407"/>
      <c r="CM319" s="407"/>
      <c r="CN319" s="407"/>
      <c r="CO319" s="407">
        <v>0</v>
      </c>
      <c r="CP319" s="407">
        <v>0</v>
      </c>
      <c r="CQ319" s="407"/>
      <c r="CR319" s="407"/>
      <c r="CS319" s="407"/>
      <c r="CT319" s="407"/>
      <c r="CU319" s="407"/>
      <c r="CV319" s="407"/>
      <c r="CW319" s="407"/>
      <c r="CX319" s="407"/>
      <c r="CY319" s="407"/>
      <c r="CZ319" s="407"/>
      <c r="DA319" s="407"/>
      <c r="DB319" s="407"/>
      <c r="DC319" s="407"/>
      <c r="DD319" s="407"/>
      <c r="DE319" s="407"/>
      <c r="DF319" s="407"/>
      <c r="DG319" s="407"/>
      <c r="DH319" s="407"/>
      <c r="DI319" s="407"/>
      <c r="DJ319" s="407"/>
      <c r="DK319" s="407">
        <v>0</v>
      </c>
      <c r="DL319" s="407"/>
      <c r="DM319" s="407"/>
      <c r="DN319" s="407"/>
      <c r="DO319" s="407"/>
      <c r="DP319" s="407"/>
      <c r="DQ319" s="407"/>
      <c r="DR319" s="407"/>
      <c r="DS319" s="407"/>
      <c r="DT319" s="407"/>
      <c r="DU319" s="407"/>
      <c r="DV319" s="407"/>
      <c r="DW319" s="407"/>
      <c r="DX319" s="407"/>
      <c r="DY319" s="407"/>
      <c r="DZ319" s="407"/>
      <c r="EA319" s="407"/>
      <c r="EB319" s="407"/>
      <c r="EC319" s="407"/>
      <c r="ED319" s="407"/>
      <c r="EE319" s="407"/>
      <c r="EF319" s="407"/>
      <c r="EG319" s="407"/>
      <c r="EH319" s="407"/>
      <c r="EI319" s="407"/>
      <c r="EJ319" s="407"/>
      <c r="EK319" s="407"/>
      <c r="EL319" s="407"/>
      <c r="EM319" s="407"/>
      <c r="EN319" s="407"/>
      <c r="EO319" s="407"/>
      <c r="EP319" s="407"/>
      <c r="EQ319" s="407"/>
      <c r="ER319" s="407"/>
      <c r="ES319" s="407"/>
      <c r="ET319" s="407"/>
      <c r="EU319" s="407"/>
      <c r="EV319" s="407">
        <v>246</v>
      </c>
      <c r="EW319" s="407"/>
      <c r="EX319" s="407"/>
      <c r="EY319" s="407"/>
      <c r="EZ319" s="407"/>
      <c r="FA319" s="407">
        <v>0</v>
      </c>
      <c r="FB319" s="407"/>
      <c r="FC319" s="407"/>
      <c r="FD319" s="407"/>
      <c r="FE319" s="407"/>
      <c r="FF319" s="407">
        <v>0</v>
      </c>
      <c r="FG319" s="407">
        <v>0</v>
      </c>
      <c r="FH319" s="407">
        <v>0</v>
      </c>
      <c r="FI319" s="407">
        <v>0</v>
      </c>
    </row>
    <row r="320" spans="1:165">
      <c r="A320" s="407">
        <v>336</v>
      </c>
      <c r="B320" s="407" t="s">
        <v>1090</v>
      </c>
      <c r="C320" s="407" t="s">
        <v>2306</v>
      </c>
      <c r="D320" s="407" t="s">
        <v>1218</v>
      </c>
      <c r="E320" s="407" t="s">
        <v>1021</v>
      </c>
      <c r="F320" s="407" t="s">
        <v>2312</v>
      </c>
      <c r="G320" s="407" t="s">
        <v>97</v>
      </c>
      <c r="H320" s="407" t="s">
        <v>97</v>
      </c>
      <c r="I320" s="407" t="s">
        <v>97</v>
      </c>
      <c r="J320" s="407" t="s">
        <v>2307</v>
      </c>
      <c r="K320" s="818">
        <v>44531</v>
      </c>
      <c r="L320" s="407">
        <v>0</v>
      </c>
      <c r="M320" s="407">
        <v>0</v>
      </c>
      <c r="N320" s="407">
        <v>33.786999999999999</v>
      </c>
      <c r="O320" s="407">
        <v>33.786999999999999</v>
      </c>
      <c r="P320" s="407">
        <v>33.786999999999999</v>
      </c>
      <c r="Q320" s="407">
        <v>33.786999999999999</v>
      </c>
      <c r="R320" s="407"/>
      <c r="S320" s="407">
        <v>547.54</v>
      </c>
      <c r="T320" s="407">
        <v>159.41</v>
      </c>
      <c r="U320" s="407"/>
      <c r="V320" s="407">
        <v>23885.719649999999</v>
      </c>
      <c r="W320" s="407">
        <v>23885.719649999999</v>
      </c>
      <c r="X320" s="407">
        <v>17495.584340000001</v>
      </c>
      <c r="Y320" s="407">
        <v>0</v>
      </c>
      <c r="Z320" s="407">
        <v>0</v>
      </c>
      <c r="AA320" s="407">
        <v>0</v>
      </c>
      <c r="AB320" s="407">
        <v>0</v>
      </c>
      <c r="AC320" s="407">
        <v>0</v>
      </c>
      <c r="AD320" s="407">
        <v>3941.0652284220059</v>
      </c>
      <c r="AE320" s="407">
        <v>14107.626390722971</v>
      </c>
      <c r="AF320" s="407">
        <v>5210.993225585813</v>
      </c>
      <c r="AG320" s="407">
        <v>175.07569393404657</v>
      </c>
      <c r="AH320" s="407">
        <v>0</v>
      </c>
      <c r="AI320" s="407">
        <v>0</v>
      </c>
      <c r="AJ320" s="407">
        <v>0</v>
      </c>
      <c r="AK320" s="407">
        <v>0</v>
      </c>
      <c r="AL320" s="407">
        <v>0</v>
      </c>
      <c r="AM320" s="407"/>
      <c r="AN320" s="407">
        <v>70.111256404842337</v>
      </c>
      <c r="AO320" s="407">
        <v>0</v>
      </c>
      <c r="AP320" s="407">
        <v>0</v>
      </c>
      <c r="AQ320" s="407">
        <v>0</v>
      </c>
      <c r="AR320" s="407">
        <v>0</v>
      </c>
      <c r="AS320" s="407">
        <v>0</v>
      </c>
      <c r="AT320" s="407">
        <v>0</v>
      </c>
      <c r="AU320" s="407">
        <v>0</v>
      </c>
      <c r="AV320" s="407">
        <v>0</v>
      </c>
      <c r="AW320" s="407">
        <v>0</v>
      </c>
      <c r="AX320" s="407">
        <v>0</v>
      </c>
      <c r="AY320" s="407">
        <v>0</v>
      </c>
      <c r="AZ320" s="407">
        <v>0</v>
      </c>
      <c r="BA320" s="407"/>
      <c r="BB320" s="407">
        <v>0</v>
      </c>
      <c r="BC320" s="407">
        <v>0</v>
      </c>
      <c r="BD320" s="407">
        <v>0</v>
      </c>
      <c r="BE320" s="407">
        <v>0</v>
      </c>
      <c r="BF320" s="407">
        <v>0</v>
      </c>
      <c r="BG320" s="407">
        <v>380.90696485388668</v>
      </c>
      <c r="BH320" s="407">
        <v>0</v>
      </c>
      <c r="BI320" s="407">
        <v>49.37</v>
      </c>
      <c r="BJ320" s="407">
        <v>249.8</v>
      </c>
      <c r="BK320" s="407">
        <v>7084.07</v>
      </c>
      <c r="BL320" s="407">
        <v>410</v>
      </c>
      <c r="BM320" s="407"/>
      <c r="BN320" s="407"/>
      <c r="BO320" s="407"/>
      <c r="BP320" s="407"/>
      <c r="BQ320" s="407"/>
      <c r="BR320" s="407"/>
      <c r="BS320" s="407"/>
      <c r="BT320" s="407">
        <v>1749.8287300000006</v>
      </c>
      <c r="BU320" s="407"/>
      <c r="BV320" s="407">
        <v>5591.9001904397001</v>
      </c>
      <c r="BW320" s="407"/>
      <c r="BX320" s="407"/>
      <c r="BY320" s="407"/>
      <c r="BZ320" s="407"/>
      <c r="CA320" s="407"/>
      <c r="CB320" s="407"/>
      <c r="CC320" s="407"/>
      <c r="CD320" s="407"/>
      <c r="CE320" s="407"/>
      <c r="CF320" s="407"/>
      <c r="CG320" s="407"/>
      <c r="CH320" s="407"/>
      <c r="CI320" s="407">
        <v>15747.153699999999</v>
      </c>
      <c r="CJ320" s="407">
        <v>-5750.192919999994</v>
      </c>
      <c r="CK320" s="407"/>
      <c r="CL320" s="407"/>
      <c r="CM320" s="407"/>
      <c r="CN320" s="407"/>
      <c r="CO320" s="407">
        <v>-7318.2641999999987</v>
      </c>
      <c r="CP320" s="407">
        <v>928.12888999999996</v>
      </c>
      <c r="CQ320" s="407"/>
      <c r="CR320" s="407">
        <v>815.91698067329162</v>
      </c>
      <c r="CS320" s="407">
        <v>0</v>
      </c>
      <c r="CT320" s="407">
        <v>0</v>
      </c>
      <c r="CU320" s="407">
        <v>0</v>
      </c>
      <c r="CV320" s="407">
        <v>0</v>
      </c>
      <c r="CW320" s="407">
        <v>0</v>
      </c>
      <c r="CX320" s="407">
        <v>0</v>
      </c>
      <c r="CY320" s="407">
        <v>0</v>
      </c>
      <c r="CZ320" s="407">
        <v>178.02573075150303</v>
      </c>
      <c r="DA320" s="407">
        <v>0</v>
      </c>
      <c r="DB320" s="407">
        <v>0</v>
      </c>
      <c r="DC320" s="407">
        <v>1033.1992345735225</v>
      </c>
      <c r="DD320" s="407">
        <v>0</v>
      </c>
      <c r="DE320" s="407">
        <v>0</v>
      </c>
      <c r="DF320" s="407">
        <v>0</v>
      </c>
      <c r="DG320" s="407">
        <v>75.523564797288486</v>
      </c>
      <c r="DH320" s="407">
        <v>0</v>
      </c>
      <c r="DI320" s="407">
        <v>0</v>
      </c>
      <c r="DJ320" s="407"/>
      <c r="DK320" s="407">
        <v>0</v>
      </c>
      <c r="DL320" s="407">
        <v>0</v>
      </c>
      <c r="DM320" s="407">
        <v>0</v>
      </c>
      <c r="DN320" s="407">
        <v>0</v>
      </c>
      <c r="DO320" s="407">
        <v>0</v>
      </c>
      <c r="DP320" s="407">
        <v>-4.4673199953136873</v>
      </c>
      <c r="DQ320" s="407">
        <v>0</v>
      </c>
      <c r="DR320" s="407">
        <v>-466.36422945370919</v>
      </c>
      <c r="DS320" s="407"/>
      <c r="DT320" s="407"/>
      <c r="DU320" s="407"/>
      <c r="DV320" s="407">
        <v>14107.626390722971</v>
      </c>
      <c r="DW320" s="407">
        <v>0</v>
      </c>
      <c r="DX320" s="407">
        <v>0</v>
      </c>
      <c r="DY320" s="407">
        <v>-7318.2641999999978</v>
      </c>
      <c r="DZ320" s="407">
        <v>928.12888999999996</v>
      </c>
      <c r="EA320" s="407">
        <v>0</v>
      </c>
      <c r="EB320" s="407">
        <v>0</v>
      </c>
      <c r="EC320" s="407">
        <v>-7206.2083270838357</v>
      </c>
      <c r="ED320" s="407">
        <v>0</v>
      </c>
      <c r="EE320" s="407">
        <v>0</v>
      </c>
      <c r="EF320" s="407">
        <v>0</v>
      </c>
      <c r="EG320" s="407">
        <v>0</v>
      </c>
      <c r="EH320" s="407">
        <v>0</v>
      </c>
      <c r="EI320" s="407">
        <v>0</v>
      </c>
      <c r="EJ320" s="407">
        <v>0</v>
      </c>
      <c r="EK320" s="407">
        <v>0</v>
      </c>
      <c r="EL320" s="407">
        <v>0</v>
      </c>
      <c r="EM320" s="407">
        <v>0</v>
      </c>
      <c r="EN320" s="407">
        <v>0</v>
      </c>
      <c r="EO320" s="407">
        <v>0</v>
      </c>
      <c r="EP320" s="407">
        <v>0</v>
      </c>
      <c r="EQ320" s="407">
        <v>0</v>
      </c>
      <c r="ER320" s="407">
        <v>0</v>
      </c>
      <c r="ES320" s="407">
        <v>0</v>
      </c>
      <c r="ET320" s="407">
        <v>0</v>
      </c>
      <c r="EU320" s="407">
        <v>0</v>
      </c>
      <c r="EV320" s="407">
        <v>246</v>
      </c>
      <c r="EW320" s="407">
        <v>0</v>
      </c>
      <c r="EX320" s="407">
        <v>0</v>
      </c>
      <c r="EY320" s="407">
        <v>0</v>
      </c>
      <c r="EZ320" s="407"/>
      <c r="FA320" s="407">
        <v>0</v>
      </c>
      <c r="FB320" s="407"/>
      <c r="FC320" s="407"/>
      <c r="FD320" s="407"/>
      <c r="FE320" s="407"/>
      <c r="FF320" s="407">
        <v>0</v>
      </c>
      <c r="FG320" s="407">
        <v>0</v>
      </c>
      <c r="FH320" s="407">
        <v>0</v>
      </c>
      <c r="FI320" s="407">
        <v>0</v>
      </c>
    </row>
    <row r="321" spans="1:165">
      <c r="A321" s="407">
        <v>337</v>
      </c>
      <c r="B321" s="407" t="s">
        <v>2308</v>
      </c>
      <c r="C321" s="407" t="s">
        <v>2306</v>
      </c>
      <c r="D321" s="407" t="s">
        <v>1218</v>
      </c>
      <c r="E321" s="407" t="s">
        <v>1021</v>
      </c>
      <c r="F321" s="407" t="s">
        <v>2312</v>
      </c>
      <c r="G321" s="407" t="s">
        <v>97</v>
      </c>
      <c r="H321" s="407" t="s">
        <v>97</v>
      </c>
      <c r="I321" s="407" t="s">
        <v>97</v>
      </c>
      <c r="J321" s="407" t="s">
        <v>2307</v>
      </c>
      <c r="K321" s="818">
        <v>44531</v>
      </c>
      <c r="L321" s="407">
        <v>0</v>
      </c>
      <c r="M321" s="407">
        <v>0</v>
      </c>
      <c r="N321" s="407">
        <v>-8.9999999999999993E-3</v>
      </c>
      <c r="O321" s="407">
        <v>-8.9999999999999993E-3</v>
      </c>
      <c r="P321" s="407">
        <v>-8.9999999999999993E-3</v>
      </c>
      <c r="Q321" s="407">
        <v>-8.9999999999999993E-3</v>
      </c>
      <c r="R321" s="407"/>
      <c r="S321" s="407">
        <v>547.54</v>
      </c>
      <c r="T321" s="407">
        <v>159.41</v>
      </c>
      <c r="U321" s="407"/>
      <c r="V321" s="407">
        <v>-6.3625499999999988</v>
      </c>
      <c r="W321" s="407">
        <v>-6.3625499999999988</v>
      </c>
      <c r="X321" s="407">
        <v>-4.66038</v>
      </c>
      <c r="Y321" s="407">
        <v>0</v>
      </c>
      <c r="Z321" s="407">
        <v>0</v>
      </c>
      <c r="AA321" s="407">
        <v>0</v>
      </c>
      <c r="AB321" s="407">
        <v>0</v>
      </c>
      <c r="AC321" s="407">
        <v>0</v>
      </c>
      <c r="AD321" s="407">
        <v>-1.049799835907244</v>
      </c>
      <c r="AE321" s="407">
        <v>-3.7579139170836928</v>
      </c>
      <c r="AF321" s="407">
        <v>-1.3880764504179808</v>
      </c>
      <c r="AG321" s="407">
        <v>-4.6635725142996388E-2</v>
      </c>
      <c r="AH321" s="407">
        <v>0</v>
      </c>
      <c r="AI321" s="407">
        <v>0</v>
      </c>
      <c r="AJ321" s="407">
        <v>0</v>
      </c>
      <c r="AK321" s="407">
        <v>0</v>
      </c>
      <c r="AL321" s="407">
        <v>0</v>
      </c>
      <c r="AM321" s="407"/>
      <c r="AN321" s="407">
        <v>-1.8675860764305236E-2</v>
      </c>
      <c r="AO321" s="407">
        <v>0</v>
      </c>
      <c r="AP321" s="407">
        <v>0</v>
      </c>
      <c r="AQ321" s="407">
        <v>0</v>
      </c>
      <c r="AR321" s="407">
        <v>0</v>
      </c>
      <c r="AS321" s="407">
        <v>0</v>
      </c>
      <c r="AT321" s="407">
        <v>0</v>
      </c>
      <c r="AU321" s="407">
        <v>0</v>
      </c>
      <c r="AV321" s="407">
        <v>0</v>
      </c>
      <c r="AW321" s="407">
        <v>0</v>
      </c>
      <c r="AX321" s="407">
        <v>0</v>
      </c>
      <c r="AY321" s="407">
        <v>0</v>
      </c>
      <c r="AZ321" s="407">
        <v>0</v>
      </c>
      <c r="BA321" s="407"/>
      <c r="BB321" s="407">
        <v>0</v>
      </c>
      <c r="BC321" s="407">
        <v>0</v>
      </c>
      <c r="BD321" s="407">
        <v>0</v>
      </c>
      <c r="BE321" s="407">
        <v>0</v>
      </c>
      <c r="BF321" s="407">
        <v>0</v>
      </c>
      <c r="BG321" s="407">
        <v>-0.10146395606845769</v>
      </c>
      <c r="BH321" s="407">
        <v>0</v>
      </c>
      <c r="BI321" s="407">
        <v>-0.04</v>
      </c>
      <c r="BJ321" s="407">
        <v>-0.22</v>
      </c>
      <c r="BK321" s="407">
        <v>-3.05</v>
      </c>
      <c r="BL321" s="407">
        <v>0</v>
      </c>
      <c r="BM321" s="407"/>
      <c r="BN321" s="407"/>
      <c r="BO321" s="407"/>
      <c r="BP321" s="407"/>
      <c r="BQ321" s="407"/>
      <c r="BR321" s="407"/>
      <c r="BS321" s="407"/>
      <c r="BT321" s="407">
        <v>-0.46611000000000014</v>
      </c>
      <c r="BU321" s="407"/>
      <c r="BV321" s="407">
        <v>-1.4895404064864384</v>
      </c>
      <c r="BW321" s="407"/>
      <c r="BX321" s="407"/>
      <c r="BY321" s="407"/>
      <c r="BZ321" s="407"/>
      <c r="CA321" s="407"/>
      <c r="CB321" s="407"/>
      <c r="CC321" s="407"/>
      <c r="CD321" s="407"/>
      <c r="CE321" s="407"/>
      <c r="CF321" s="407"/>
      <c r="CG321" s="407"/>
      <c r="CH321" s="407"/>
      <c r="CI321" s="407">
        <v>-4.6602999999999994</v>
      </c>
      <c r="CJ321" s="407">
        <v>1.0360400000000007</v>
      </c>
      <c r="CK321" s="407"/>
      <c r="CL321" s="407"/>
      <c r="CM321" s="407"/>
      <c r="CN321" s="407"/>
      <c r="CO321" s="407">
        <v>1.9493999999999996</v>
      </c>
      <c r="CP321" s="407">
        <v>-0.24722999999999998</v>
      </c>
      <c r="CQ321" s="407"/>
      <c r="CR321" s="407">
        <v>-0.21733959292211935</v>
      </c>
      <c r="CS321" s="407">
        <v>0</v>
      </c>
      <c r="CT321" s="407">
        <v>0</v>
      </c>
      <c r="CU321" s="407">
        <v>0</v>
      </c>
      <c r="CV321" s="407">
        <v>0</v>
      </c>
      <c r="CW321" s="407">
        <v>0</v>
      </c>
      <c r="CX321" s="407">
        <v>0</v>
      </c>
      <c r="CY321" s="407">
        <v>0</v>
      </c>
      <c r="CZ321" s="407">
        <v>-4.7421540141578955E-2</v>
      </c>
      <c r="DA321" s="407">
        <v>0</v>
      </c>
      <c r="DB321" s="407">
        <v>0</v>
      </c>
      <c r="DC321" s="407">
        <v>-0.27521807532961517</v>
      </c>
      <c r="DD321" s="407">
        <v>0</v>
      </c>
      <c r="DE321" s="407">
        <v>0</v>
      </c>
      <c r="DF321" s="407">
        <v>0</v>
      </c>
      <c r="DG321" s="407">
        <v>-2.0117562470050504E-2</v>
      </c>
      <c r="DH321" s="407">
        <v>0</v>
      </c>
      <c r="DI321" s="407">
        <v>0</v>
      </c>
      <c r="DJ321" s="407"/>
      <c r="DK321" s="407">
        <v>0</v>
      </c>
      <c r="DL321" s="407">
        <v>0</v>
      </c>
      <c r="DM321" s="407">
        <v>0</v>
      </c>
      <c r="DN321" s="407">
        <v>0</v>
      </c>
      <c r="DO321" s="407">
        <v>0</v>
      </c>
      <c r="DP321" s="407">
        <v>1.1899807605831592E-3</v>
      </c>
      <c r="DQ321" s="407">
        <v>0</v>
      </c>
      <c r="DR321" s="407">
        <v>0.12422760425854271</v>
      </c>
      <c r="DS321" s="407"/>
      <c r="DT321" s="407"/>
      <c r="DU321" s="407"/>
      <c r="DV321" s="407">
        <v>-3.7579139170836928</v>
      </c>
      <c r="DW321" s="407">
        <v>0</v>
      </c>
      <c r="DX321" s="407">
        <v>0</v>
      </c>
      <c r="DY321" s="407">
        <v>1.9493999999999994</v>
      </c>
      <c r="DZ321" s="407">
        <v>-0.24723000000000006</v>
      </c>
      <c r="EA321" s="407">
        <v>0</v>
      </c>
      <c r="EB321" s="407">
        <v>0</v>
      </c>
      <c r="EC321" s="407">
        <v>1.9195511570649808</v>
      </c>
      <c r="ED321" s="407">
        <v>0</v>
      </c>
      <c r="EE321" s="407">
        <v>0</v>
      </c>
      <c r="EF321" s="407">
        <v>0</v>
      </c>
      <c r="EG321" s="407">
        <v>0</v>
      </c>
      <c r="EH321" s="407">
        <v>0</v>
      </c>
      <c r="EI321" s="407">
        <v>0</v>
      </c>
      <c r="EJ321" s="407">
        <v>0</v>
      </c>
      <c r="EK321" s="407">
        <v>0</v>
      </c>
      <c r="EL321" s="407">
        <v>0</v>
      </c>
      <c r="EM321" s="407">
        <v>0</v>
      </c>
      <c r="EN321" s="407">
        <v>0</v>
      </c>
      <c r="EO321" s="407">
        <v>0</v>
      </c>
      <c r="EP321" s="407">
        <v>0</v>
      </c>
      <c r="EQ321" s="407">
        <v>0</v>
      </c>
      <c r="ER321" s="407">
        <v>0</v>
      </c>
      <c r="ES321" s="407">
        <v>0</v>
      </c>
      <c r="ET321" s="407">
        <v>0</v>
      </c>
      <c r="EU321" s="407">
        <v>0</v>
      </c>
      <c r="EV321" s="407">
        <v>246</v>
      </c>
      <c r="EW321" s="407">
        <v>0</v>
      </c>
      <c r="EX321" s="407">
        <v>0</v>
      </c>
      <c r="EY321" s="407">
        <v>0</v>
      </c>
      <c r="EZ321" s="407"/>
      <c r="FA321" s="407">
        <v>0</v>
      </c>
      <c r="FB321" s="407"/>
      <c r="FC321" s="407"/>
      <c r="FD321" s="407"/>
      <c r="FE321" s="407"/>
      <c r="FF321" s="407">
        <v>0</v>
      </c>
      <c r="FG321" s="407">
        <v>0</v>
      </c>
      <c r="FH321" s="407">
        <v>0</v>
      </c>
      <c r="FI321" s="407">
        <v>0</v>
      </c>
    </row>
    <row r="322" spans="1:165">
      <c r="A322" s="407">
        <v>338</v>
      </c>
      <c r="B322" s="407" t="s">
        <v>2309</v>
      </c>
      <c r="C322" s="407" t="s">
        <v>2306</v>
      </c>
      <c r="D322" s="407" t="s">
        <v>1218</v>
      </c>
      <c r="E322" s="407" t="s">
        <v>1021</v>
      </c>
      <c r="F322" s="407" t="s">
        <v>2312</v>
      </c>
      <c r="G322" s="407" t="s">
        <v>97</v>
      </c>
      <c r="H322" s="407" t="s">
        <v>97</v>
      </c>
      <c r="I322" s="407" t="s">
        <v>97</v>
      </c>
      <c r="J322" s="407" t="s">
        <v>2307</v>
      </c>
      <c r="K322" s="818">
        <v>44531</v>
      </c>
      <c r="L322" s="407">
        <v>0</v>
      </c>
      <c r="M322" s="407">
        <v>0</v>
      </c>
      <c r="N322" s="407">
        <v>0</v>
      </c>
      <c r="O322" s="407">
        <v>0</v>
      </c>
      <c r="P322" s="407">
        <v>0</v>
      </c>
      <c r="Q322" s="407">
        <v>0</v>
      </c>
      <c r="R322" s="407"/>
      <c r="S322" s="407"/>
      <c r="T322" s="407"/>
      <c r="U322" s="407"/>
      <c r="V322" s="407"/>
      <c r="W322" s="407"/>
      <c r="X322" s="407"/>
      <c r="Y322" s="407"/>
      <c r="Z322" s="407"/>
      <c r="AA322" s="407">
        <v>0</v>
      </c>
      <c r="AB322" s="407"/>
      <c r="AC322" s="407"/>
      <c r="AD322" s="407"/>
      <c r="AE322" s="407"/>
      <c r="AF322" s="407"/>
      <c r="AG322" s="407"/>
      <c r="AH322" s="407"/>
      <c r="AI322" s="407"/>
      <c r="AJ322" s="407"/>
      <c r="AK322" s="407"/>
      <c r="AL322" s="407"/>
      <c r="AM322" s="407"/>
      <c r="AN322" s="407"/>
      <c r="AO322" s="407"/>
      <c r="AP322" s="407"/>
      <c r="AQ322" s="407"/>
      <c r="AR322" s="407"/>
      <c r="AS322" s="407"/>
      <c r="AT322" s="407"/>
      <c r="AU322" s="407"/>
      <c r="AV322" s="407"/>
      <c r="AW322" s="407"/>
      <c r="AX322" s="407"/>
      <c r="AY322" s="407"/>
      <c r="AZ322" s="407">
        <v>0</v>
      </c>
      <c r="BA322" s="407"/>
      <c r="BB322" s="407"/>
      <c r="BC322" s="407"/>
      <c r="BD322" s="407"/>
      <c r="BE322" s="407"/>
      <c r="BF322" s="407"/>
      <c r="BG322" s="407"/>
      <c r="BH322" s="407"/>
      <c r="BI322" s="407">
        <v>0</v>
      </c>
      <c r="BJ322" s="407">
        <v>0</v>
      </c>
      <c r="BK322" s="407">
        <v>15.32</v>
      </c>
      <c r="BL322" s="407">
        <v>0</v>
      </c>
      <c r="BM322" s="407"/>
      <c r="BN322" s="407"/>
      <c r="BO322" s="407"/>
      <c r="BP322" s="407"/>
      <c r="BQ322" s="407"/>
      <c r="BR322" s="407"/>
      <c r="BS322" s="407"/>
      <c r="BT322" s="407"/>
      <c r="BU322" s="407"/>
      <c r="BV322" s="407"/>
      <c r="BW322" s="407"/>
      <c r="BX322" s="407"/>
      <c r="BY322" s="407"/>
      <c r="BZ322" s="407"/>
      <c r="CA322" s="407"/>
      <c r="CB322" s="407"/>
      <c r="CC322" s="407"/>
      <c r="CD322" s="407"/>
      <c r="CE322" s="407"/>
      <c r="CF322" s="407"/>
      <c r="CG322" s="407"/>
      <c r="CH322" s="407"/>
      <c r="CI322" s="407"/>
      <c r="CJ322" s="407">
        <v>-0.03</v>
      </c>
      <c r="CK322" s="407"/>
      <c r="CL322" s="407"/>
      <c r="CM322" s="407"/>
      <c r="CN322" s="407"/>
      <c r="CO322" s="407">
        <v>0</v>
      </c>
      <c r="CP322" s="407">
        <v>0</v>
      </c>
      <c r="CQ322" s="407"/>
      <c r="CR322" s="407"/>
      <c r="CS322" s="407"/>
      <c r="CT322" s="407"/>
      <c r="CU322" s="407"/>
      <c r="CV322" s="407"/>
      <c r="CW322" s="407"/>
      <c r="CX322" s="407"/>
      <c r="CY322" s="407"/>
      <c r="CZ322" s="407"/>
      <c r="DA322" s="407"/>
      <c r="DB322" s="407"/>
      <c r="DC322" s="407"/>
      <c r="DD322" s="407"/>
      <c r="DE322" s="407"/>
      <c r="DF322" s="407"/>
      <c r="DG322" s="407"/>
      <c r="DH322" s="407"/>
      <c r="DI322" s="407"/>
      <c r="DJ322" s="407"/>
      <c r="DK322" s="407">
        <v>0</v>
      </c>
      <c r="DL322" s="407"/>
      <c r="DM322" s="407"/>
      <c r="DN322" s="407"/>
      <c r="DO322" s="407"/>
      <c r="DP322" s="407"/>
      <c r="DQ322" s="407"/>
      <c r="DR322" s="407"/>
      <c r="DS322" s="407"/>
      <c r="DT322" s="407"/>
      <c r="DU322" s="407"/>
      <c r="DV322" s="407"/>
      <c r="DW322" s="407"/>
      <c r="DX322" s="407"/>
      <c r="DY322" s="407"/>
      <c r="DZ322" s="407"/>
      <c r="EA322" s="407"/>
      <c r="EB322" s="407"/>
      <c r="EC322" s="407"/>
      <c r="ED322" s="407"/>
      <c r="EE322" s="407"/>
      <c r="EF322" s="407"/>
      <c r="EG322" s="407"/>
      <c r="EH322" s="407"/>
      <c r="EI322" s="407"/>
      <c r="EJ322" s="407"/>
      <c r="EK322" s="407"/>
      <c r="EL322" s="407"/>
      <c r="EM322" s="407"/>
      <c r="EN322" s="407"/>
      <c r="EO322" s="407"/>
      <c r="EP322" s="407"/>
      <c r="EQ322" s="407"/>
      <c r="ER322" s="407"/>
      <c r="ES322" s="407"/>
      <c r="ET322" s="407"/>
      <c r="EU322" s="407"/>
      <c r="EV322" s="407">
        <v>246</v>
      </c>
      <c r="EW322" s="407"/>
      <c r="EX322" s="407"/>
      <c r="EY322" s="407"/>
      <c r="EZ322" s="407"/>
      <c r="FA322" s="407">
        <v>0</v>
      </c>
      <c r="FB322" s="407"/>
      <c r="FC322" s="407"/>
      <c r="FD322" s="407"/>
      <c r="FE322" s="407"/>
      <c r="FF322" s="407">
        <v>0</v>
      </c>
      <c r="FG322" s="407">
        <v>0</v>
      </c>
      <c r="FH322" s="407">
        <v>0</v>
      </c>
      <c r="FI322" s="407">
        <v>0</v>
      </c>
    </row>
    <row r="323" spans="1:165">
      <c r="A323" s="407">
        <v>339</v>
      </c>
      <c r="B323" s="407" t="s">
        <v>1090</v>
      </c>
      <c r="C323" s="407" t="s">
        <v>2306</v>
      </c>
      <c r="D323" s="407" t="s">
        <v>1218</v>
      </c>
      <c r="E323" s="407" t="s">
        <v>1021</v>
      </c>
      <c r="F323" s="407" t="s">
        <v>2313</v>
      </c>
      <c r="G323" s="407" t="s">
        <v>97</v>
      </c>
      <c r="H323" s="407" t="s">
        <v>97</v>
      </c>
      <c r="I323" s="407" t="s">
        <v>97</v>
      </c>
      <c r="J323" s="407" t="s">
        <v>2307</v>
      </c>
      <c r="K323" s="818">
        <v>44531</v>
      </c>
      <c r="L323" s="407">
        <v>0</v>
      </c>
      <c r="M323" s="407">
        <v>0</v>
      </c>
      <c r="N323" s="407">
        <v>5.1660000000000004</v>
      </c>
      <c r="O323" s="407">
        <v>5.1660000000000004</v>
      </c>
      <c r="P323" s="407">
        <v>5.1660000000000004</v>
      </c>
      <c r="Q323" s="407">
        <v>5.1660000000000004</v>
      </c>
      <c r="R323" s="407"/>
      <c r="S323" s="407">
        <v>547.54</v>
      </c>
      <c r="T323" s="407">
        <v>159.41</v>
      </c>
      <c r="U323" s="407"/>
      <c r="V323" s="407">
        <v>3652.1037000000001</v>
      </c>
      <c r="W323" s="407">
        <v>3652.1037000000001</v>
      </c>
      <c r="X323" s="407">
        <v>2675.0581200000001</v>
      </c>
      <c r="Y323" s="407">
        <v>0</v>
      </c>
      <c r="Z323" s="407">
        <v>0</v>
      </c>
      <c r="AA323" s="407">
        <v>0</v>
      </c>
      <c r="AB323" s="407">
        <v>0</v>
      </c>
      <c r="AC323" s="407">
        <v>0</v>
      </c>
      <c r="AD323" s="407">
        <v>602.58510581075814</v>
      </c>
      <c r="AE323" s="407">
        <v>2157.0425884060401</v>
      </c>
      <c r="AF323" s="407">
        <v>796.75588253992112</v>
      </c>
      <c r="AG323" s="407">
        <v>26.768906232079932</v>
      </c>
      <c r="AH323" s="407">
        <v>0</v>
      </c>
      <c r="AI323" s="407">
        <v>0</v>
      </c>
      <c r="AJ323" s="407">
        <v>0</v>
      </c>
      <c r="AK323" s="407">
        <v>0</v>
      </c>
      <c r="AL323" s="407">
        <v>0</v>
      </c>
      <c r="AM323" s="407"/>
      <c r="AN323" s="407">
        <v>10.719944078711208</v>
      </c>
      <c r="AO323" s="407">
        <v>0</v>
      </c>
      <c r="AP323" s="407">
        <v>0</v>
      </c>
      <c r="AQ323" s="407">
        <v>0</v>
      </c>
      <c r="AR323" s="407">
        <v>0</v>
      </c>
      <c r="AS323" s="407">
        <v>0</v>
      </c>
      <c r="AT323" s="407">
        <v>0</v>
      </c>
      <c r="AU323" s="407">
        <v>0</v>
      </c>
      <c r="AV323" s="407">
        <v>0</v>
      </c>
      <c r="AW323" s="407">
        <v>0</v>
      </c>
      <c r="AX323" s="407">
        <v>0</v>
      </c>
      <c r="AY323" s="407">
        <v>0</v>
      </c>
      <c r="AZ323" s="407">
        <v>0</v>
      </c>
      <c r="BA323" s="407"/>
      <c r="BB323" s="407">
        <v>0</v>
      </c>
      <c r="BC323" s="407">
        <v>0</v>
      </c>
      <c r="BD323" s="407">
        <v>0</v>
      </c>
      <c r="BE323" s="407">
        <v>0</v>
      </c>
      <c r="BF323" s="407">
        <v>0</v>
      </c>
      <c r="BG323" s="407">
        <v>58.240310783294724</v>
      </c>
      <c r="BH323" s="407">
        <v>0</v>
      </c>
      <c r="BI323" s="407">
        <v>8.5299999999999994</v>
      </c>
      <c r="BJ323" s="407">
        <v>44.36</v>
      </c>
      <c r="BK323" s="407">
        <v>1264.1199999999999</v>
      </c>
      <c r="BL323" s="407">
        <v>93</v>
      </c>
      <c r="BM323" s="407"/>
      <c r="BN323" s="407"/>
      <c r="BO323" s="407"/>
      <c r="BP323" s="407"/>
      <c r="BQ323" s="407"/>
      <c r="BR323" s="407"/>
      <c r="BS323" s="407"/>
      <c r="BT323" s="407"/>
      <c r="BU323" s="407"/>
      <c r="BV323" s="407">
        <v>854.99619332321583</v>
      </c>
      <c r="BW323" s="407"/>
      <c r="BX323" s="407"/>
      <c r="BY323" s="407"/>
      <c r="BZ323" s="407"/>
      <c r="CA323" s="407"/>
      <c r="CB323" s="407"/>
      <c r="CC323" s="407"/>
      <c r="CD323" s="407"/>
      <c r="CE323" s="407"/>
      <c r="CF323" s="407"/>
      <c r="CG323" s="407"/>
      <c r="CH323" s="407"/>
      <c r="CI323" s="407">
        <v>2677.1293999999998</v>
      </c>
      <c r="CJ323" s="407">
        <v>-975.00430000000097</v>
      </c>
      <c r="CK323" s="407"/>
      <c r="CL323" s="407"/>
      <c r="CM323" s="407"/>
      <c r="CN323" s="407"/>
      <c r="CO323" s="407">
        <v>-1118.9556</v>
      </c>
      <c r="CP323" s="407">
        <v>141.91002</v>
      </c>
      <c r="CQ323" s="407"/>
      <c r="CR323" s="407">
        <v>124.752926337296</v>
      </c>
      <c r="CS323" s="407">
        <v>0</v>
      </c>
      <c r="CT323" s="407">
        <v>0</v>
      </c>
      <c r="CU323" s="407">
        <v>0</v>
      </c>
      <c r="CV323" s="407">
        <v>0</v>
      </c>
      <c r="CW323" s="407">
        <v>0</v>
      </c>
      <c r="CX323" s="407">
        <v>0</v>
      </c>
      <c r="CY323" s="407">
        <v>0</v>
      </c>
      <c r="CZ323" s="407">
        <v>27.21996404126628</v>
      </c>
      <c r="DA323" s="407">
        <v>0</v>
      </c>
      <c r="DB323" s="407">
        <v>0</v>
      </c>
      <c r="DC323" s="407">
        <v>157.97517523919907</v>
      </c>
      <c r="DD323" s="407">
        <v>0</v>
      </c>
      <c r="DE323" s="407">
        <v>0</v>
      </c>
      <c r="DF323" s="407">
        <v>0</v>
      </c>
      <c r="DG323" s="407">
        <v>11.547480857808985</v>
      </c>
      <c r="DH323" s="407">
        <v>0</v>
      </c>
      <c r="DI323" s="407">
        <v>0</v>
      </c>
      <c r="DJ323" s="407"/>
      <c r="DK323" s="407">
        <v>0</v>
      </c>
      <c r="DL323" s="407">
        <v>0</v>
      </c>
      <c r="DM323" s="407">
        <v>0</v>
      </c>
      <c r="DN323" s="407">
        <v>0</v>
      </c>
      <c r="DO323" s="407">
        <v>0</v>
      </c>
      <c r="DP323" s="407">
        <v>-0.68304895657473352</v>
      </c>
      <c r="DQ323" s="407">
        <v>0</v>
      </c>
      <c r="DR323" s="407">
        <v>-71.306644844403522</v>
      </c>
      <c r="DS323" s="407"/>
      <c r="DT323" s="407"/>
      <c r="DU323" s="407"/>
      <c r="DV323" s="407">
        <v>2157.0425884060401</v>
      </c>
      <c r="DW323" s="407">
        <v>0</v>
      </c>
      <c r="DX323" s="407">
        <v>0</v>
      </c>
      <c r="DY323" s="407">
        <v>-1118.9556</v>
      </c>
      <c r="DZ323" s="407">
        <v>141.91002000000003</v>
      </c>
      <c r="EA323" s="407">
        <v>0</v>
      </c>
      <c r="EB323" s="407">
        <v>0</v>
      </c>
      <c r="EC323" s="407">
        <v>-1101.8223641552993</v>
      </c>
      <c r="ED323" s="407">
        <v>0</v>
      </c>
      <c r="EE323" s="407">
        <v>0</v>
      </c>
      <c r="EF323" s="407">
        <v>0</v>
      </c>
      <c r="EG323" s="407">
        <v>0</v>
      </c>
      <c r="EH323" s="407">
        <v>0</v>
      </c>
      <c r="EI323" s="407">
        <v>0</v>
      </c>
      <c r="EJ323" s="407">
        <v>0</v>
      </c>
      <c r="EK323" s="407">
        <v>0</v>
      </c>
      <c r="EL323" s="407">
        <v>0</v>
      </c>
      <c r="EM323" s="407">
        <v>0</v>
      </c>
      <c r="EN323" s="407">
        <v>0</v>
      </c>
      <c r="EO323" s="407">
        <v>0</v>
      </c>
      <c r="EP323" s="407">
        <v>0</v>
      </c>
      <c r="EQ323" s="407">
        <v>0</v>
      </c>
      <c r="ER323" s="407">
        <v>0</v>
      </c>
      <c r="ES323" s="407">
        <v>0</v>
      </c>
      <c r="ET323" s="407">
        <v>0</v>
      </c>
      <c r="EU323" s="407">
        <v>0</v>
      </c>
      <c r="EV323" s="407">
        <v>246</v>
      </c>
      <c r="EW323" s="407">
        <v>0</v>
      </c>
      <c r="EX323" s="407">
        <v>0</v>
      </c>
      <c r="EY323" s="407">
        <v>0</v>
      </c>
      <c r="EZ323" s="407"/>
      <c r="FA323" s="407">
        <v>0</v>
      </c>
      <c r="FB323" s="407"/>
      <c r="FC323" s="407"/>
      <c r="FD323" s="407"/>
      <c r="FE323" s="407"/>
      <c r="FF323" s="407">
        <v>0</v>
      </c>
      <c r="FG323" s="407">
        <v>0</v>
      </c>
      <c r="FH323" s="407">
        <v>0</v>
      </c>
      <c r="FI323" s="407">
        <v>0</v>
      </c>
    </row>
    <row r="324" spans="1:165">
      <c r="A324" s="407">
        <v>340</v>
      </c>
      <c r="B324" s="407" t="s">
        <v>2309</v>
      </c>
      <c r="C324" s="407" t="s">
        <v>2306</v>
      </c>
      <c r="D324" s="407" t="s">
        <v>1218</v>
      </c>
      <c r="E324" s="407" t="s">
        <v>1021</v>
      </c>
      <c r="F324" s="407" t="s">
        <v>2313</v>
      </c>
      <c r="G324" s="407" t="s">
        <v>97</v>
      </c>
      <c r="H324" s="407" t="s">
        <v>97</v>
      </c>
      <c r="I324" s="407" t="s">
        <v>97</v>
      </c>
      <c r="J324" s="407" t="s">
        <v>2307</v>
      </c>
      <c r="K324" s="818">
        <v>44531</v>
      </c>
      <c r="L324" s="407">
        <v>0</v>
      </c>
      <c r="M324" s="407">
        <v>0</v>
      </c>
      <c r="N324" s="407">
        <v>0</v>
      </c>
      <c r="O324" s="407">
        <v>0</v>
      </c>
      <c r="P324" s="407">
        <v>0</v>
      </c>
      <c r="Q324" s="407">
        <v>0</v>
      </c>
      <c r="R324" s="407"/>
      <c r="S324" s="407"/>
      <c r="T324" s="407"/>
      <c r="U324" s="407"/>
      <c r="V324" s="407"/>
      <c r="W324" s="407"/>
      <c r="X324" s="407"/>
      <c r="Y324" s="407"/>
      <c r="Z324" s="407"/>
      <c r="AA324" s="407">
        <v>0</v>
      </c>
      <c r="AB324" s="407"/>
      <c r="AC324" s="407"/>
      <c r="AD324" s="407"/>
      <c r="AE324" s="407"/>
      <c r="AF324" s="407"/>
      <c r="AG324" s="407"/>
      <c r="AH324" s="407"/>
      <c r="AI324" s="407"/>
      <c r="AJ324" s="407"/>
      <c r="AK324" s="407"/>
      <c r="AL324" s="407"/>
      <c r="AM324" s="407"/>
      <c r="AN324" s="407"/>
      <c r="AO324" s="407"/>
      <c r="AP324" s="407"/>
      <c r="AQ324" s="407"/>
      <c r="AR324" s="407"/>
      <c r="AS324" s="407"/>
      <c r="AT324" s="407"/>
      <c r="AU324" s="407"/>
      <c r="AV324" s="407"/>
      <c r="AW324" s="407"/>
      <c r="AX324" s="407"/>
      <c r="AY324" s="407"/>
      <c r="AZ324" s="407">
        <v>0</v>
      </c>
      <c r="BA324" s="407"/>
      <c r="BB324" s="407"/>
      <c r="BC324" s="407"/>
      <c r="BD324" s="407"/>
      <c r="BE324" s="407"/>
      <c r="BF324" s="407"/>
      <c r="BG324" s="407"/>
      <c r="BH324" s="407"/>
      <c r="BI324" s="407">
        <v>0</v>
      </c>
      <c r="BJ324" s="407">
        <v>0</v>
      </c>
      <c r="BK324" s="407">
        <v>5.7</v>
      </c>
      <c r="BL324" s="407">
        <v>1</v>
      </c>
      <c r="BM324" s="407"/>
      <c r="BN324" s="407"/>
      <c r="BO324" s="407"/>
      <c r="BP324" s="407"/>
      <c r="BQ324" s="407"/>
      <c r="BR324" s="407"/>
      <c r="BS324" s="407"/>
      <c r="BT324" s="407"/>
      <c r="BU324" s="407"/>
      <c r="BV324" s="407"/>
      <c r="BW324" s="407"/>
      <c r="BX324" s="407"/>
      <c r="BY324" s="407"/>
      <c r="BZ324" s="407"/>
      <c r="CA324" s="407"/>
      <c r="CB324" s="407"/>
      <c r="CC324" s="407"/>
      <c r="CD324" s="407"/>
      <c r="CE324" s="407"/>
      <c r="CF324" s="407"/>
      <c r="CG324" s="407"/>
      <c r="CH324" s="407"/>
      <c r="CI324" s="407"/>
      <c r="CJ324" s="407">
        <v>-0.03</v>
      </c>
      <c r="CK324" s="407"/>
      <c r="CL324" s="407"/>
      <c r="CM324" s="407"/>
      <c r="CN324" s="407"/>
      <c r="CO324" s="407">
        <v>0</v>
      </c>
      <c r="CP324" s="407">
        <v>0</v>
      </c>
      <c r="CQ324" s="407"/>
      <c r="CR324" s="407"/>
      <c r="CS324" s="407"/>
      <c r="CT324" s="407"/>
      <c r="CU324" s="407"/>
      <c r="CV324" s="407"/>
      <c r="CW324" s="407"/>
      <c r="CX324" s="407"/>
      <c r="CY324" s="407"/>
      <c r="CZ324" s="407"/>
      <c r="DA324" s="407"/>
      <c r="DB324" s="407"/>
      <c r="DC324" s="407"/>
      <c r="DD324" s="407"/>
      <c r="DE324" s="407"/>
      <c r="DF324" s="407"/>
      <c r="DG324" s="407"/>
      <c r="DH324" s="407"/>
      <c r="DI324" s="407"/>
      <c r="DJ324" s="407"/>
      <c r="DK324" s="407">
        <v>0</v>
      </c>
      <c r="DL324" s="407"/>
      <c r="DM324" s="407"/>
      <c r="DN324" s="407"/>
      <c r="DO324" s="407"/>
      <c r="DP324" s="407"/>
      <c r="DQ324" s="407"/>
      <c r="DR324" s="407"/>
      <c r="DS324" s="407"/>
      <c r="DT324" s="407"/>
      <c r="DU324" s="407"/>
      <c r="DV324" s="407"/>
      <c r="DW324" s="407"/>
      <c r="DX324" s="407"/>
      <c r="DY324" s="407"/>
      <c r="DZ324" s="407"/>
      <c r="EA324" s="407"/>
      <c r="EB324" s="407"/>
      <c r="EC324" s="407"/>
      <c r="ED324" s="407"/>
      <c r="EE324" s="407"/>
      <c r="EF324" s="407"/>
      <c r="EG324" s="407"/>
      <c r="EH324" s="407"/>
      <c r="EI324" s="407"/>
      <c r="EJ324" s="407"/>
      <c r="EK324" s="407"/>
      <c r="EL324" s="407"/>
      <c r="EM324" s="407"/>
      <c r="EN324" s="407"/>
      <c r="EO324" s="407"/>
      <c r="EP324" s="407"/>
      <c r="EQ324" s="407"/>
      <c r="ER324" s="407"/>
      <c r="ES324" s="407"/>
      <c r="ET324" s="407"/>
      <c r="EU324" s="407"/>
      <c r="EV324" s="407">
        <v>246</v>
      </c>
      <c r="EW324" s="407"/>
      <c r="EX324" s="407"/>
      <c r="EY324" s="407"/>
      <c r="EZ324" s="407"/>
      <c r="FA324" s="407">
        <v>0</v>
      </c>
      <c r="FB324" s="407"/>
      <c r="FC324" s="407"/>
      <c r="FD324" s="407"/>
      <c r="FE324" s="407"/>
      <c r="FF324" s="407">
        <v>0</v>
      </c>
      <c r="FG324" s="407">
        <v>0</v>
      </c>
      <c r="FH324" s="407">
        <v>0</v>
      </c>
      <c r="FI324" s="407">
        <v>0</v>
      </c>
    </row>
    <row r="325" spans="1:165">
      <c r="A325" s="407">
        <v>341</v>
      </c>
      <c r="B325" s="407" t="s">
        <v>1090</v>
      </c>
      <c r="C325" s="407" t="s">
        <v>2306</v>
      </c>
      <c r="D325" s="407" t="s">
        <v>1219</v>
      </c>
      <c r="E325" s="407" t="s">
        <v>1022</v>
      </c>
      <c r="F325" s="407" t="s">
        <v>97</v>
      </c>
      <c r="G325" s="407" t="s">
        <v>97</v>
      </c>
      <c r="H325" s="407" t="s">
        <v>97</v>
      </c>
      <c r="I325" s="407" t="s">
        <v>97</v>
      </c>
      <c r="J325" s="407" t="s">
        <v>2307</v>
      </c>
      <c r="K325" s="818">
        <v>44531</v>
      </c>
      <c r="L325" s="407">
        <v>0</v>
      </c>
      <c r="M325" s="407">
        <v>0</v>
      </c>
      <c r="N325" s="407">
        <v>93.147000000000006</v>
      </c>
      <c r="O325" s="407">
        <v>93.147000000000006</v>
      </c>
      <c r="P325" s="407">
        <v>93.147000000000006</v>
      </c>
      <c r="Q325" s="407">
        <v>93.147000000000006</v>
      </c>
      <c r="R325" s="407"/>
      <c r="S325" s="407">
        <v>648.44000000000005</v>
      </c>
      <c r="T325" s="407">
        <v>159.41</v>
      </c>
      <c r="U325" s="407"/>
      <c r="V325" s="407">
        <v>75248.803950000016</v>
      </c>
      <c r="W325" s="407">
        <v>75248.803950000016</v>
      </c>
      <c r="X325" s="407">
        <v>56989.197540000001</v>
      </c>
      <c r="Y325" s="407">
        <v>0</v>
      </c>
      <c r="Z325" s="407">
        <v>5772.3429354332347</v>
      </c>
      <c r="AA325" s="407">
        <v>0</v>
      </c>
      <c r="AB325" s="407">
        <v>0</v>
      </c>
      <c r="AC325" s="407">
        <v>0</v>
      </c>
      <c r="AD325" s="407">
        <v>10865.078368361341</v>
      </c>
      <c r="AE325" s="407">
        <v>38893.156403843866</v>
      </c>
      <c r="AF325" s="407">
        <v>14366.128569675964</v>
      </c>
      <c r="AG325" s="407">
        <v>482.66420998829835</v>
      </c>
      <c r="AH325" s="407">
        <v>0</v>
      </c>
      <c r="AI325" s="407">
        <v>0</v>
      </c>
      <c r="AJ325" s="407">
        <v>0</v>
      </c>
      <c r="AK325" s="407">
        <v>0</v>
      </c>
      <c r="AL325" s="407">
        <v>891.98082775557725</v>
      </c>
      <c r="AM325" s="407"/>
      <c r="AN325" s="407">
        <v>193.2889336236378</v>
      </c>
      <c r="AO325" s="407">
        <v>0</v>
      </c>
      <c r="AP325" s="407">
        <v>0</v>
      </c>
      <c r="AQ325" s="407">
        <v>0</v>
      </c>
      <c r="AR325" s="407">
        <v>0</v>
      </c>
      <c r="AS325" s="407">
        <v>0</v>
      </c>
      <c r="AT325" s="407">
        <v>0</v>
      </c>
      <c r="AU325" s="407">
        <v>0</v>
      </c>
      <c r="AV325" s="407">
        <v>0</v>
      </c>
      <c r="AW325" s="407">
        <v>0</v>
      </c>
      <c r="AX325" s="407">
        <v>0</v>
      </c>
      <c r="AY325" s="407">
        <v>0</v>
      </c>
      <c r="AZ325" s="407">
        <v>0</v>
      </c>
      <c r="BA325" s="407"/>
      <c r="BB325" s="407">
        <v>0</v>
      </c>
      <c r="BC325" s="407">
        <v>0</v>
      </c>
      <c r="BD325" s="407">
        <v>0</v>
      </c>
      <c r="BE325" s="407">
        <v>0</v>
      </c>
      <c r="BF325" s="407">
        <v>0</v>
      </c>
      <c r="BG325" s="407">
        <v>1050.1181239898478</v>
      </c>
      <c r="BH325" s="407">
        <v>0</v>
      </c>
      <c r="BI325" s="407">
        <v>189.75</v>
      </c>
      <c r="BJ325" s="407">
        <v>898.81</v>
      </c>
      <c r="BK325" s="407">
        <v>15124.55</v>
      </c>
      <c r="BL325" s="407">
        <v>88</v>
      </c>
      <c r="BM325" s="407"/>
      <c r="BN325" s="407"/>
      <c r="BO325" s="407"/>
      <c r="BP325" s="407"/>
      <c r="BQ325" s="407"/>
      <c r="BR325" s="407"/>
      <c r="BS325" s="407"/>
      <c r="BT325" s="407"/>
      <c r="BU325" s="407"/>
      <c r="BV325" s="407">
        <v>15416.246693665813</v>
      </c>
      <c r="BW325" s="407"/>
      <c r="BX325" s="407"/>
      <c r="BY325" s="407"/>
      <c r="BZ325" s="407"/>
      <c r="CA325" s="407"/>
      <c r="CB325" s="407"/>
      <c r="CC325" s="407"/>
      <c r="CD325" s="407"/>
      <c r="CE325" s="407"/>
      <c r="CF325" s="407"/>
      <c r="CG325" s="407"/>
      <c r="CH325" s="407"/>
      <c r="CI325" s="407">
        <v>56991.032999999996</v>
      </c>
      <c r="CJ325" s="407">
        <v>-18257.800950000019</v>
      </c>
      <c r="CK325" s="407"/>
      <c r="CL325" s="407"/>
      <c r="CM325" s="407"/>
      <c r="CN325" s="407"/>
      <c r="CO325" s="407">
        <v>-20818.354500000005</v>
      </c>
      <c r="CP325" s="407">
        <v>2558.74809</v>
      </c>
      <c r="CQ325" s="407"/>
      <c r="CR325" s="407">
        <v>1607.160016104528</v>
      </c>
      <c r="CS325" s="407">
        <v>0</v>
      </c>
      <c r="CT325" s="407">
        <v>0</v>
      </c>
      <c r="CU325" s="407">
        <v>0</v>
      </c>
      <c r="CV325" s="407">
        <v>0</v>
      </c>
      <c r="CW325" s="407">
        <v>0</v>
      </c>
      <c r="CX325" s="407">
        <v>0</v>
      </c>
      <c r="CY325" s="407">
        <v>0</v>
      </c>
      <c r="CZ325" s="407">
        <v>490.79713328529397</v>
      </c>
      <c r="DA325" s="407">
        <v>0</v>
      </c>
      <c r="DB325" s="407">
        <v>0</v>
      </c>
      <c r="DC325" s="407">
        <v>2848.4153403030741</v>
      </c>
      <c r="DD325" s="407">
        <v>0</v>
      </c>
      <c r="DE325" s="407">
        <v>0</v>
      </c>
      <c r="DF325" s="407">
        <v>0</v>
      </c>
      <c r="DG325" s="407">
        <v>208.21006571086582</v>
      </c>
      <c r="DH325" s="407">
        <v>0</v>
      </c>
      <c r="DI325" s="407">
        <v>-404.30628656773661</v>
      </c>
      <c r="DJ325" s="407"/>
      <c r="DK325" s="407">
        <v>0</v>
      </c>
      <c r="DL325" s="407">
        <v>0</v>
      </c>
      <c r="DM325" s="407">
        <v>0</v>
      </c>
      <c r="DN325" s="407">
        <v>0</v>
      </c>
      <c r="DO325" s="407">
        <v>-54.420978483351291</v>
      </c>
      <c r="DP325" s="407">
        <v>-12.315904211782168</v>
      </c>
      <c r="DQ325" s="407">
        <v>0</v>
      </c>
      <c r="DR325" s="407">
        <v>-1469.2193539318323</v>
      </c>
      <c r="DS325" s="407"/>
      <c r="DT325" s="407"/>
      <c r="DU325" s="407"/>
      <c r="DV325" s="407">
        <v>38893.156403843866</v>
      </c>
      <c r="DW325" s="407">
        <v>0</v>
      </c>
      <c r="DX325" s="407">
        <v>0</v>
      </c>
      <c r="DY325" s="407">
        <v>-20818.354500000009</v>
      </c>
      <c r="DZ325" s="407">
        <v>2558.7480899999991</v>
      </c>
      <c r="EA325" s="407">
        <v>0</v>
      </c>
      <c r="EB325" s="407">
        <v>0</v>
      </c>
      <c r="EC325" s="407">
        <v>-19866.714625236869</v>
      </c>
      <c r="ED325" s="407">
        <v>0</v>
      </c>
      <c r="EE325" s="407">
        <v>0</v>
      </c>
      <c r="EF325" s="407">
        <v>0</v>
      </c>
      <c r="EG325" s="407">
        <v>0</v>
      </c>
      <c r="EH325" s="407">
        <v>0</v>
      </c>
      <c r="EI325" s="407">
        <v>0</v>
      </c>
      <c r="EJ325" s="407">
        <v>0</v>
      </c>
      <c r="EK325" s="407">
        <v>0</v>
      </c>
      <c r="EL325" s="407">
        <v>0</v>
      </c>
      <c r="EM325" s="407">
        <v>0</v>
      </c>
      <c r="EN325" s="407">
        <v>0</v>
      </c>
      <c r="EO325" s="407">
        <v>0</v>
      </c>
      <c r="EP325" s="407">
        <v>2734.2556413778025</v>
      </c>
      <c r="EQ325" s="407">
        <v>0</v>
      </c>
      <c r="ER325" s="407">
        <v>0</v>
      </c>
      <c r="ES325" s="407">
        <v>0</v>
      </c>
      <c r="ET325" s="407">
        <v>0</v>
      </c>
      <c r="EU325" s="407">
        <v>0</v>
      </c>
      <c r="EV325" s="407">
        <v>246</v>
      </c>
      <c r="EW325" s="407">
        <v>0</v>
      </c>
      <c r="EX325" s="407">
        <v>0</v>
      </c>
      <c r="EY325" s="407">
        <v>0</v>
      </c>
      <c r="EZ325" s="407"/>
      <c r="FA325" s="407">
        <v>0</v>
      </c>
      <c r="FB325" s="407"/>
      <c r="FC325" s="407"/>
      <c r="FD325" s="407"/>
      <c r="FE325" s="407"/>
      <c r="FF325" s="407">
        <v>0</v>
      </c>
      <c r="FG325" s="407">
        <v>0</v>
      </c>
      <c r="FH325" s="407">
        <v>0</v>
      </c>
      <c r="FI325" s="407">
        <v>0</v>
      </c>
    </row>
    <row r="326" spans="1:165">
      <c r="A326" s="407">
        <v>342</v>
      </c>
      <c r="B326" s="407" t="s">
        <v>2309</v>
      </c>
      <c r="C326" s="407" t="s">
        <v>2306</v>
      </c>
      <c r="D326" s="407" t="s">
        <v>1219</v>
      </c>
      <c r="E326" s="407" t="s">
        <v>1022</v>
      </c>
      <c r="F326" s="407" t="s">
        <v>97</v>
      </c>
      <c r="G326" s="407" t="s">
        <v>97</v>
      </c>
      <c r="H326" s="407" t="s">
        <v>97</v>
      </c>
      <c r="I326" s="407" t="s">
        <v>97</v>
      </c>
      <c r="J326" s="407" t="s">
        <v>2307</v>
      </c>
      <c r="K326" s="818">
        <v>44531</v>
      </c>
      <c r="L326" s="407">
        <v>0</v>
      </c>
      <c r="M326" s="407">
        <v>0</v>
      </c>
      <c r="N326" s="407">
        <v>5.6760000000000002</v>
      </c>
      <c r="O326" s="407">
        <v>5.6760000000000002</v>
      </c>
      <c r="P326" s="407">
        <v>5.6760000000000002</v>
      </c>
      <c r="Q326" s="407">
        <v>5.6760000000000002</v>
      </c>
      <c r="R326" s="407"/>
      <c r="S326" s="407">
        <v>648.44000000000005</v>
      </c>
      <c r="T326" s="407">
        <v>159.41</v>
      </c>
      <c r="U326" s="407"/>
      <c r="V326" s="407">
        <v>4585.3566000000001</v>
      </c>
      <c r="W326" s="407">
        <v>4585.3566000000001</v>
      </c>
      <c r="X326" s="407">
        <v>3472.6903200000002</v>
      </c>
      <c r="Y326" s="407">
        <v>0</v>
      </c>
      <c r="Z326" s="407">
        <v>351.74314257591806</v>
      </c>
      <c r="AA326" s="407">
        <v>0</v>
      </c>
      <c r="AB326" s="407">
        <v>0</v>
      </c>
      <c r="AC326" s="407">
        <v>0</v>
      </c>
      <c r="AD326" s="407">
        <v>662.07376317883518</v>
      </c>
      <c r="AE326" s="407">
        <v>2369.9910437074491</v>
      </c>
      <c r="AF326" s="407">
        <v>875.41354806360664</v>
      </c>
      <c r="AG326" s="407">
        <v>29.411597323516393</v>
      </c>
      <c r="AH326" s="407">
        <v>0</v>
      </c>
      <c r="AI326" s="407">
        <v>0</v>
      </c>
      <c r="AJ326" s="407">
        <v>0</v>
      </c>
      <c r="AK326" s="407">
        <v>0</v>
      </c>
      <c r="AL326" s="407">
        <v>54.353690170812335</v>
      </c>
      <c r="AM326" s="407"/>
      <c r="AN326" s="407">
        <v>11.77824285535517</v>
      </c>
      <c r="AO326" s="407">
        <v>0</v>
      </c>
      <c r="AP326" s="407">
        <v>0</v>
      </c>
      <c r="AQ326" s="407">
        <v>0</v>
      </c>
      <c r="AR326" s="407">
        <v>0</v>
      </c>
      <c r="AS326" s="407">
        <v>0</v>
      </c>
      <c r="AT326" s="407">
        <v>0</v>
      </c>
      <c r="AU326" s="407">
        <v>0</v>
      </c>
      <c r="AV326" s="407">
        <v>0</v>
      </c>
      <c r="AW326" s="407">
        <v>0</v>
      </c>
      <c r="AX326" s="407">
        <v>0</v>
      </c>
      <c r="AY326" s="407">
        <v>0</v>
      </c>
      <c r="AZ326" s="407">
        <v>0</v>
      </c>
      <c r="BA326" s="407"/>
      <c r="BB326" s="407">
        <v>0</v>
      </c>
      <c r="BC326" s="407">
        <v>0</v>
      </c>
      <c r="BD326" s="407">
        <v>0</v>
      </c>
      <c r="BE326" s="407">
        <v>0</v>
      </c>
      <c r="BF326" s="407">
        <v>0</v>
      </c>
      <c r="BG326" s="407">
        <v>63.989934960507327</v>
      </c>
      <c r="BH326" s="407">
        <v>0</v>
      </c>
      <c r="BI326" s="407">
        <v>11.51</v>
      </c>
      <c r="BJ326" s="407">
        <v>54.71</v>
      </c>
      <c r="BK326" s="407">
        <v>3268.05</v>
      </c>
      <c r="BL326" s="407">
        <v>18</v>
      </c>
      <c r="BM326" s="407"/>
      <c r="BN326" s="407"/>
      <c r="BO326" s="407"/>
      <c r="BP326" s="407"/>
      <c r="BQ326" s="407"/>
      <c r="BR326" s="407"/>
      <c r="BS326" s="407"/>
      <c r="BT326" s="407"/>
      <c r="BU326" s="407"/>
      <c r="BV326" s="407">
        <v>939.40348302411394</v>
      </c>
      <c r="BW326" s="407"/>
      <c r="BX326" s="407"/>
      <c r="BY326" s="407"/>
      <c r="BZ326" s="407"/>
      <c r="CA326" s="407"/>
      <c r="CB326" s="407"/>
      <c r="CC326" s="407"/>
      <c r="CD326" s="407"/>
      <c r="CE326" s="407"/>
      <c r="CF326" s="407"/>
      <c r="CG326" s="407"/>
      <c r="CH326" s="407"/>
      <c r="CI326" s="407">
        <v>3475.1376</v>
      </c>
      <c r="CJ326" s="407">
        <v>-1110.2490000000007</v>
      </c>
      <c r="CK326" s="407"/>
      <c r="CL326" s="407"/>
      <c r="CM326" s="407"/>
      <c r="CN326" s="407"/>
      <c r="CO326" s="407">
        <v>-1268.5860000000005</v>
      </c>
      <c r="CP326" s="407">
        <v>155.91971999999998</v>
      </c>
      <c r="CQ326" s="407"/>
      <c r="CR326" s="407">
        <v>97.933806256877688</v>
      </c>
      <c r="CS326" s="407">
        <v>0</v>
      </c>
      <c r="CT326" s="407">
        <v>0</v>
      </c>
      <c r="CU326" s="407">
        <v>0</v>
      </c>
      <c r="CV326" s="407">
        <v>0</v>
      </c>
      <c r="CW326" s="407">
        <v>0</v>
      </c>
      <c r="CX326" s="407">
        <v>0</v>
      </c>
      <c r="CY326" s="407">
        <v>0</v>
      </c>
      <c r="CZ326" s="407">
        <v>29.907184649289206</v>
      </c>
      <c r="DA326" s="407">
        <v>0</v>
      </c>
      <c r="DB326" s="407">
        <v>0</v>
      </c>
      <c r="DC326" s="407">
        <v>173.57086617454388</v>
      </c>
      <c r="DD326" s="407">
        <v>0</v>
      </c>
      <c r="DE326" s="407">
        <v>0</v>
      </c>
      <c r="DF326" s="407">
        <v>0</v>
      </c>
      <c r="DG326" s="407">
        <v>12.687476064445178</v>
      </c>
      <c r="DH326" s="407">
        <v>0</v>
      </c>
      <c r="DI326" s="407">
        <v>-24.636783606111578</v>
      </c>
      <c r="DJ326" s="407"/>
      <c r="DK326" s="407">
        <v>0</v>
      </c>
      <c r="DL326" s="407">
        <v>0</v>
      </c>
      <c r="DM326" s="407">
        <v>0</v>
      </c>
      <c r="DN326" s="407">
        <v>0</v>
      </c>
      <c r="DO326" s="407">
        <v>-3.3161934777448749</v>
      </c>
      <c r="DP326" s="407">
        <v>-0.75048119967444471</v>
      </c>
      <c r="DQ326" s="407">
        <v>0</v>
      </c>
      <c r="DR326" s="407">
        <v>-89.528262347870367</v>
      </c>
      <c r="DS326" s="407"/>
      <c r="DT326" s="407"/>
      <c r="DU326" s="407"/>
      <c r="DV326" s="407">
        <v>2369.9910437074491</v>
      </c>
      <c r="DW326" s="407">
        <v>0</v>
      </c>
      <c r="DX326" s="407">
        <v>0</v>
      </c>
      <c r="DY326" s="407">
        <v>-1268.5860000000002</v>
      </c>
      <c r="DZ326" s="407">
        <v>155.9197200000001</v>
      </c>
      <c r="EA326" s="407">
        <v>0</v>
      </c>
      <c r="EB326" s="407">
        <v>0</v>
      </c>
      <c r="EC326" s="407">
        <v>-1210.5969297223146</v>
      </c>
      <c r="ED326" s="407">
        <v>0</v>
      </c>
      <c r="EE326" s="407">
        <v>0</v>
      </c>
      <c r="EF326" s="407">
        <v>0</v>
      </c>
      <c r="EG326" s="407">
        <v>0</v>
      </c>
      <c r="EH326" s="407">
        <v>0</v>
      </c>
      <c r="EI326" s="407">
        <v>0</v>
      </c>
      <c r="EJ326" s="407">
        <v>0</v>
      </c>
      <c r="EK326" s="407">
        <v>0</v>
      </c>
      <c r="EL326" s="407">
        <v>0</v>
      </c>
      <c r="EM326" s="407">
        <v>0</v>
      </c>
      <c r="EN326" s="407">
        <v>0</v>
      </c>
      <c r="EO326" s="407">
        <v>0</v>
      </c>
      <c r="EP326" s="407">
        <v>166.61443761431292</v>
      </c>
      <c r="EQ326" s="407">
        <v>0</v>
      </c>
      <c r="ER326" s="407">
        <v>0</v>
      </c>
      <c r="ES326" s="407">
        <v>0</v>
      </c>
      <c r="ET326" s="407">
        <v>0</v>
      </c>
      <c r="EU326" s="407">
        <v>0</v>
      </c>
      <c r="EV326" s="407">
        <v>246</v>
      </c>
      <c r="EW326" s="407">
        <v>0</v>
      </c>
      <c r="EX326" s="407">
        <v>0</v>
      </c>
      <c r="EY326" s="407">
        <v>0</v>
      </c>
      <c r="EZ326" s="407"/>
      <c r="FA326" s="407">
        <v>0</v>
      </c>
      <c r="FB326" s="407"/>
      <c r="FC326" s="407"/>
      <c r="FD326" s="407"/>
      <c r="FE326" s="407"/>
      <c r="FF326" s="407">
        <v>0</v>
      </c>
      <c r="FG326" s="407">
        <v>0</v>
      </c>
      <c r="FH326" s="407">
        <v>0</v>
      </c>
      <c r="FI326" s="407">
        <v>0</v>
      </c>
    </row>
    <row r="327" spans="1:165">
      <c r="A327" s="407">
        <v>343</v>
      </c>
      <c r="B327" s="407" t="s">
        <v>1090</v>
      </c>
      <c r="C327" s="407" t="s">
        <v>2314</v>
      </c>
      <c r="D327" s="407" t="s">
        <v>650</v>
      </c>
      <c r="E327" s="407" t="s">
        <v>1022</v>
      </c>
      <c r="F327" s="407" t="s">
        <v>97</v>
      </c>
      <c r="G327" s="407" t="s">
        <v>97</v>
      </c>
      <c r="H327" s="407" t="s">
        <v>97</v>
      </c>
      <c r="I327" s="407" t="s">
        <v>1025</v>
      </c>
      <c r="J327" s="407" t="s">
        <v>2307</v>
      </c>
      <c r="K327" s="818">
        <v>44531</v>
      </c>
      <c r="L327" s="407">
        <v>0</v>
      </c>
      <c r="M327" s="407">
        <v>0</v>
      </c>
      <c r="N327" s="407">
        <v>16.163</v>
      </c>
      <c r="O327" s="407">
        <v>16.163</v>
      </c>
      <c r="P327" s="407">
        <v>16.163</v>
      </c>
      <c r="Q327" s="407">
        <v>16.163</v>
      </c>
      <c r="R327" s="407"/>
      <c r="S327" s="407">
        <v>2810.7</v>
      </c>
      <c r="T327" s="407">
        <v>159.41</v>
      </c>
      <c r="U327" s="407"/>
      <c r="V327" s="407">
        <v>48005.887929999997</v>
      </c>
      <c r="W327" s="407">
        <v>48005.887929999997</v>
      </c>
      <c r="X327" s="407">
        <v>30575.385470000001</v>
      </c>
      <c r="Y327" s="407">
        <v>0</v>
      </c>
      <c r="Z327" s="407">
        <v>871.41389001153402</v>
      </c>
      <c r="AA327" s="407">
        <v>0</v>
      </c>
      <c r="AB327" s="407">
        <v>0</v>
      </c>
      <c r="AC327" s="407">
        <v>0</v>
      </c>
      <c r="AD327" s="407">
        <v>9867.7635359089581</v>
      </c>
      <c r="AE327" s="407">
        <v>34021.319356821703</v>
      </c>
      <c r="AF327" s="407">
        <v>2492.8310742339804</v>
      </c>
      <c r="AG327" s="407">
        <v>83.752580609583418</v>
      </c>
      <c r="AH327" s="407">
        <v>0</v>
      </c>
      <c r="AI327" s="407">
        <v>0</v>
      </c>
      <c r="AJ327" s="407">
        <v>0</v>
      </c>
      <c r="AK327" s="407">
        <v>0</v>
      </c>
      <c r="AL327" s="407">
        <v>154.77778263404505</v>
      </c>
      <c r="AM327" s="407"/>
      <c r="AN327" s="407">
        <v>17.354752682535416</v>
      </c>
      <c r="AO327" s="407">
        <v>0</v>
      </c>
      <c r="AP327" s="407">
        <v>0</v>
      </c>
      <c r="AQ327" s="407">
        <v>0</v>
      </c>
      <c r="AR327" s="407">
        <v>0</v>
      </c>
      <c r="AS327" s="407">
        <v>0</v>
      </c>
      <c r="AT327" s="407">
        <v>0</v>
      </c>
      <c r="AU327" s="407">
        <v>0</v>
      </c>
      <c r="AV327" s="407">
        <v>0</v>
      </c>
      <c r="AW327" s="407">
        <v>0</v>
      </c>
      <c r="AX327" s="407">
        <v>0</v>
      </c>
      <c r="AY327" s="407">
        <v>0</v>
      </c>
      <c r="AZ327" s="407">
        <v>0</v>
      </c>
      <c r="BA327" s="407"/>
      <c r="BB327" s="407">
        <v>0</v>
      </c>
      <c r="BC327" s="407">
        <v>0</v>
      </c>
      <c r="BD327" s="407">
        <v>0</v>
      </c>
      <c r="BE327" s="407">
        <v>0</v>
      </c>
      <c r="BF327" s="407">
        <v>0</v>
      </c>
      <c r="BG327" s="407">
        <v>83.883939263544477</v>
      </c>
      <c r="BH327" s="407">
        <v>0</v>
      </c>
      <c r="BI327" s="407">
        <v>0</v>
      </c>
      <c r="BJ327" s="407">
        <v>0</v>
      </c>
      <c r="BK327" s="407">
        <v>0</v>
      </c>
      <c r="BL327" s="407">
        <v>0</v>
      </c>
      <c r="BM327" s="407"/>
      <c r="BN327" s="407"/>
      <c r="BO327" s="407"/>
      <c r="BP327" s="407"/>
      <c r="BQ327" s="407"/>
      <c r="BR327" s="407"/>
      <c r="BS327" s="407"/>
      <c r="BT327" s="407"/>
      <c r="BU327" s="407"/>
      <c r="BV327" s="407">
        <v>2576.715013497525</v>
      </c>
      <c r="BW327" s="407"/>
      <c r="BX327" s="407"/>
      <c r="BY327" s="407"/>
      <c r="BZ327" s="407"/>
      <c r="CA327" s="407"/>
      <c r="CB327" s="407"/>
      <c r="CC327" s="407"/>
      <c r="CD327" s="407"/>
      <c r="CE327" s="407"/>
      <c r="CF327" s="407"/>
      <c r="CG327" s="407"/>
      <c r="CH327" s="407"/>
      <c r="CI327" s="407">
        <v>30569.7104</v>
      </c>
      <c r="CJ327" s="407">
        <v>-17436.207530000003</v>
      </c>
      <c r="CK327" s="407"/>
      <c r="CL327" s="407"/>
      <c r="CM327" s="407"/>
      <c r="CN327" s="407"/>
      <c r="CO327" s="407">
        <v>-17874.500069999998</v>
      </c>
      <c r="CP327" s="407">
        <v>443.99761000000001</v>
      </c>
      <c r="CQ327" s="407"/>
      <c r="CR327" s="407">
        <v>-52.248465229231442</v>
      </c>
      <c r="CS327" s="407">
        <v>0</v>
      </c>
      <c r="CT327" s="407">
        <v>0</v>
      </c>
      <c r="CU327" s="407">
        <v>0</v>
      </c>
      <c r="CV327" s="407">
        <v>0</v>
      </c>
      <c r="CW327" s="407">
        <v>0</v>
      </c>
      <c r="CX327" s="407">
        <v>0</v>
      </c>
      <c r="CY327" s="407">
        <v>0</v>
      </c>
      <c r="CZ327" s="407">
        <v>445.74644481755968</v>
      </c>
      <c r="DA327" s="407">
        <v>0</v>
      </c>
      <c r="DB327" s="407">
        <v>0</v>
      </c>
      <c r="DC327" s="407">
        <v>494.26108350584127</v>
      </c>
      <c r="DD327" s="407">
        <v>0</v>
      </c>
      <c r="DE327" s="407">
        <v>0</v>
      </c>
      <c r="DF327" s="407">
        <v>0</v>
      </c>
      <c r="DG327" s="407">
        <v>16.631919883250859</v>
      </c>
      <c r="DH327" s="407">
        <v>0</v>
      </c>
      <c r="DI327" s="407">
        <v>-61.035547935211071</v>
      </c>
      <c r="DJ327" s="407"/>
      <c r="DK327" s="407">
        <v>0</v>
      </c>
      <c r="DL327" s="407">
        <v>0</v>
      </c>
      <c r="DM327" s="407">
        <v>0</v>
      </c>
      <c r="DN327" s="407">
        <v>0</v>
      </c>
      <c r="DO327" s="407">
        <v>-9.4432056343887325</v>
      </c>
      <c r="DP327" s="407">
        <v>-1.105802943035755</v>
      </c>
      <c r="DQ327" s="407">
        <v>0</v>
      </c>
      <c r="DR327" s="407">
        <v>-937.303356923249</v>
      </c>
      <c r="DS327" s="407"/>
      <c r="DT327" s="407"/>
      <c r="DU327" s="407"/>
      <c r="DV327" s="407">
        <v>34021.319356821703</v>
      </c>
      <c r="DW327" s="407">
        <v>0</v>
      </c>
      <c r="DX327" s="407">
        <v>0</v>
      </c>
      <c r="DY327" s="407">
        <v>-17874.500069999995</v>
      </c>
      <c r="DZ327" s="407">
        <v>443.9976099999999</v>
      </c>
      <c r="EA327" s="407">
        <v>0</v>
      </c>
      <c r="EB327" s="407">
        <v>0</v>
      </c>
      <c r="EC327" s="407">
        <v>-17378.168946175345</v>
      </c>
      <c r="ED327" s="407">
        <v>0</v>
      </c>
      <c r="EE327" s="407">
        <v>0</v>
      </c>
      <c r="EF327" s="407">
        <v>0</v>
      </c>
      <c r="EG327" s="407">
        <v>0</v>
      </c>
      <c r="EH327" s="407">
        <v>0</v>
      </c>
      <c r="EI327" s="407">
        <v>0</v>
      </c>
      <c r="EJ327" s="407">
        <v>0</v>
      </c>
      <c r="EK327" s="407">
        <v>0</v>
      </c>
      <c r="EL327" s="407">
        <v>0</v>
      </c>
      <c r="EM327" s="407">
        <v>0</v>
      </c>
      <c r="EN327" s="407">
        <v>0</v>
      </c>
      <c r="EO327" s="407">
        <v>0</v>
      </c>
      <c r="EP327" s="407">
        <v>412.77317917359414</v>
      </c>
      <c r="EQ327" s="407">
        <v>0</v>
      </c>
      <c r="ER327" s="407">
        <v>0</v>
      </c>
      <c r="ES327" s="407">
        <v>0</v>
      </c>
      <c r="ET327" s="407">
        <v>0</v>
      </c>
      <c r="EU327" s="407">
        <v>0</v>
      </c>
      <c r="EV327" s="407">
        <v>246</v>
      </c>
      <c r="EW327" s="407">
        <v>0</v>
      </c>
      <c r="EX327" s="407">
        <v>0</v>
      </c>
      <c r="EY327" s="407">
        <v>0</v>
      </c>
      <c r="EZ327" s="407"/>
      <c r="FA327" s="407">
        <v>0</v>
      </c>
      <c r="FB327" s="407"/>
      <c r="FC327" s="407"/>
      <c r="FD327" s="407"/>
      <c r="FE327" s="407"/>
      <c r="FF327" s="407">
        <v>0</v>
      </c>
      <c r="FG327" s="407">
        <v>0</v>
      </c>
      <c r="FH327" s="407">
        <v>0</v>
      </c>
      <c r="FI327" s="407">
        <v>0</v>
      </c>
    </row>
    <row r="328" spans="1:165">
      <c r="A328" s="407">
        <v>344</v>
      </c>
      <c r="B328" s="407" t="s">
        <v>1090</v>
      </c>
      <c r="C328" s="407" t="s">
        <v>2314</v>
      </c>
      <c r="D328" s="407" t="s">
        <v>650</v>
      </c>
      <c r="E328" s="407" t="s">
        <v>1022</v>
      </c>
      <c r="F328" s="407" t="s">
        <v>97</v>
      </c>
      <c r="G328" s="407" t="s">
        <v>97</v>
      </c>
      <c r="H328" s="407" t="s">
        <v>97</v>
      </c>
      <c r="I328" s="407" t="s">
        <v>2290</v>
      </c>
      <c r="J328" s="407" t="s">
        <v>2307</v>
      </c>
      <c r="K328" s="818">
        <v>44531</v>
      </c>
      <c r="L328" s="407">
        <v>0</v>
      </c>
      <c r="M328" s="407">
        <v>0</v>
      </c>
      <c r="N328" s="407">
        <v>492.53100000000001</v>
      </c>
      <c r="O328" s="407">
        <v>492.53100000000001</v>
      </c>
      <c r="P328" s="407">
        <v>492.53100000000001</v>
      </c>
      <c r="Q328" s="407">
        <v>492.53100000000001</v>
      </c>
      <c r="R328" s="407"/>
      <c r="S328" s="407">
        <v>95.29</v>
      </c>
      <c r="T328" s="407">
        <v>159.41</v>
      </c>
      <c r="U328" s="407"/>
      <c r="V328" s="407">
        <v>125447.64570000001</v>
      </c>
      <c r="W328" s="407">
        <v>125447.64570000001</v>
      </c>
      <c r="X328" s="407">
        <v>136386.75920999999</v>
      </c>
      <c r="Y328" s="407">
        <v>0</v>
      </c>
      <c r="Z328" s="407">
        <v>26554.374476351597</v>
      </c>
      <c r="AA328" s="407">
        <v>0</v>
      </c>
      <c r="AB328" s="407">
        <v>0</v>
      </c>
      <c r="AC328" s="407">
        <v>0</v>
      </c>
      <c r="AD328" s="407">
        <v>0</v>
      </c>
      <c r="AE328" s="407">
        <v>0</v>
      </c>
      <c r="AF328" s="407">
        <v>75963.409133424284</v>
      </c>
      <c r="AG328" s="407">
        <v>2552.1711489339064</v>
      </c>
      <c r="AH328" s="407">
        <v>0</v>
      </c>
      <c r="AI328" s="407">
        <v>0</v>
      </c>
      <c r="AJ328" s="407">
        <v>0</v>
      </c>
      <c r="AK328" s="407">
        <v>0</v>
      </c>
      <c r="AL328" s="407">
        <v>4716.5041179563723</v>
      </c>
      <c r="AM328" s="407"/>
      <c r="AN328" s="407">
        <v>528.84697726176148</v>
      </c>
      <c r="AO328" s="407">
        <v>0</v>
      </c>
      <c r="AP328" s="407">
        <v>0</v>
      </c>
      <c r="AQ328" s="407">
        <v>0</v>
      </c>
      <c r="AR328" s="407">
        <v>0</v>
      </c>
      <c r="AS328" s="407">
        <v>0</v>
      </c>
      <c r="AT328" s="407">
        <v>0</v>
      </c>
      <c r="AU328" s="407">
        <v>0</v>
      </c>
      <c r="AV328" s="407">
        <v>0</v>
      </c>
      <c r="AW328" s="407">
        <v>0</v>
      </c>
      <c r="AX328" s="407">
        <v>0</v>
      </c>
      <c r="AY328" s="407">
        <v>0</v>
      </c>
      <c r="AZ328" s="407">
        <v>0</v>
      </c>
      <c r="BA328" s="407"/>
      <c r="BB328" s="407">
        <v>0</v>
      </c>
      <c r="BC328" s="407">
        <v>0</v>
      </c>
      <c r="BD328" s="407">
        <v>0</v>
      </c>
      <c r="BE328" s="407">
        <v>0</v>
      </c>
      <c r="BF328" s="407">
        <v>0</v>
      </c>
      <c r="BG328" s="407">
        <v>2556.1740078829935</v>
      </c>
      <c r="BH328" s="407">
        <v>0</v>
      </c>
      <c r="BI328" s="407">
        <v>0</v>
      </c>
      <c r="BJ328" s="407">
        <v>0</v>
      </c>
      <c r="BK328" s="407">
        <v>0</v>
      </c>
      <c r="BL328" s="407">
        <v>0</v>
      </c>
      <c r="BM328" s="407"/>
      <c r="BN328" s="407"/>
      <c r="BO328" s="407"/>
      <c r="BP328" s="407"/>
      <c r="BQ328" s="407"/>
      <c r="BR328" s="407"/>
      <c r="BS328" s="407"/>
      <c r="BT328" s="407"/>
      <c r="BU328" s="407"/>
      <c r="BV328" s="407">
        <v>78519.583141307274</v>
      </c>
      <c r="BW328" s="407"/>
      <c r="BX328" s="407"/>
      <c r="BY328" s="407"/>
      <c r="BZ328" s="407"/>
      <c r="CA328" s="407"/>
      <c r="CB328" s="407"/>
      <c r="CC328" s="407"/>
      <c r="CD328" s="407"/>
      <c r="CE328" s="407"/>
      <c r="CF328" s="407"/>
      <c r="CG328" s="407"/>
      <c r="CH328" s="407"/>
      <c r="CI328" s="407">
        <v>136386.4823</v>
      </c>
      <c r="CJ328" s="407">
        <v>10938.806599999996</v>
      </c>
      <c r="CK328" s="407"/>
      <c r="CL328" s="407"/>
      <c r="CM328" s="407"/>
      <c r="CN328" s="407"/>
      <c r="CO328" s="407">
        <v>-2590.7130600000028</v>
      </c>
      <c r="CP328" s="407">
        <v>13529.826569999999</v>
      </c>
      <c r="CQ328" s="407"/>
      <c r="CR328" s="407">
        <v>10937.556722735288</v>
      </c>
      <c r="CS328" s="407">
        <v>0</v>
      </c>
      <c r="CT328" s="407">
        <v>0</v>
      </c>
      <c r="CU328" s="407">
        <v>0</v>
      </c>
      <c r="CV328" s="407">
        <v>0</v>
      </c>
      <c r="CW328" s="407">
        <v>0</v>
      </c>
      <c r="CX328" s="407">
        <v>0</v>
      </c>
      <c r="CY328" s="407">
        <v>0</v>
      </c>
      <c r="CZ328" s="407">
        <v>0</v>
      </c>
      <c r="DA328" s="407">
        <v>0</v>
      </c>
      <c r="DB328" s="407">
        <v>0</v>
      </c>
      <c r="DC328" s="407">
        <v>15061.492651130073</v>
      </c>
      <c r="DD328" s="407">
        <v>0</v>
      </c>
      <c r="DE328" s="407">
        <v>0</v>
      </c>
      <c r="DF328" s="407">
        <v>0</v>
      </c>
      <c r="DG328" s="407">
        <v>506.82027668238788</v>
      </c>
      <c r="DH328" s="407">
        <v>0</v>
      </c>
      <c r="DI328" s="407">
        <v>-1859.9207733760741</v>
      </c>
      <c r="DJ328" s="407"/>
      <c r="DK328" s="407">
        <v>0</v>
      </c>
      <c r="DL328" s="407">
        <v>0</v>
      </c>
      <c r="DM328" s="407">
        <v>0</v>
      </c>
      <c r="DN328" s="407">
        <v>0</v>
      </c>
      <c r="DO328" s="407">
        <v>-287.76041046285445</v>
      </c>
      <c r="DP328" s="407">
        <v>-33.696852647178389</v>
      </c>
      <c r="DQ328" s="407">
        <v>0</v>
      </c>
      <c r="DR328" s="407">
        <v>-2449.3781685910685</v>
      </c>
      <c r="DS328" s="407"/>
      <c r="DT328" s="407"/>
      <c r="DU328" s="407"/>
      <c r="DV328" s="407">
        <v>0</v>
      </c>
      <c r="DW328" s="407">
        <v>0</v>
      </c>
      <c r="DX328" s="407">
        <v>0</v>
      </c>
      <c r="DY328" s="407">
        <v>-2590.7130600000019</v>
      </c>
      <c r="DZ328" s="407">
        <v>13529.82656999999</v>
      </c>
      <c r="EA328" s="407">
        <v>0</v>
      </c>
      <c r="EB328" s="407">
        <v>0</v>
      </c>
      <c r="EC328" s="407">
        <v>0</v>
      </c>
      <c r="ED328" s="407">
        <v>0</v>
      </c>
      <c r="EE328" s="407">
        <v>0</v>
      </c>
      <c r="EF328" s="407">
        <v>0</v>
      </c>
      <c r="EG328" s="407">
        <v>0</v>
      </c>
      <c r="EH328" s="407">
        <v>0</v>
      </c>
      <c r="EI328" s="407">
        <v>0</v>
      </c>
      <c r="EJ328" s="407">
        <v>0</v>
      </c>
      <c r="EK328" s="407">
        <v>0</v>
      </c>
      <c r="EL328" s="407">
        <v>0</v>
      </c>
      <c r="EM328" s="407">
        <v>0</v>
      </c>
      <c r="EN328" s="407">
        <v>0</v>
      </c>
      <c r="EO328" s="407">
        <v>0</v>
      </c>
      <c r="EP328" s="407">
        <v>12578.332408064685</v>
      </c>
      <c r="EQ328" s="407">
        <v>0</v>
      </c>
      <c r="ER328" s="407">
        <v>0</v>
      </c>
      <c r="ES328" s="407">
        <v>0</v>
      </c>
      <c r="ET328" s="407">
        <v>0</v>
      </c>
      <c r="EU328" s="407">
        <v>0</v>
      </c>
      <c r="EV328" s="407">
        <v>246</v>
      </c>
      <c r="EW328" s="407">
        <v>0</v>
      </c>
      <c r="EX328" s="407">
        <v>0</v>
      </c>
      <c r="EY328" s="407">
        <v>0</v>
      </c>
      <c r="EZ328" s="407"/>
      <c r="FA328" s="407">
        <v>0</v>
      </c>
      <c r="FB328" s="407"/>
      <c r="FC328" s="407"/>
      <c r="FD328" s="407"/>
      <c r="FE328" s="407"/>
      <c r="FF328" s="407">
        <v>0</v>
      </c>
      <c r="FG328" s="407">
        <v>0</v>
      </c>
      <c r="FH328" s="407">
        <v>0</v>
      </c>
      <c r="FI328" s="407">
        <v>0</v>
      </c>
    </row>
    <row r="329" spans="1:165">
      <c r="A329" s="407">
        <v>345</v>
      </c>
      <c r="B329" s="407" t="s">
        <v>1090</v>
      </c>
      <c r="C329" s="407" t="s">
        <v>2314</v>
      </c>
      <c r="D329" s="407" t="s">
        <v>650</v>
      </c>
      <c r="E329" s="407" t="s">
        <v>1022</v>
      </c>
      <c r="F329" s="407" t="s">
        <v>97</v>
      </c>
      <c r="G329" s="407" t="s">
        <v>97</v>
      </c>
      <c r="H329" s="407" t="s">
        <v>97</v>
      </c>
      <c r="I329" s="407" t="s">
        <v>97</v>
      </c>
      <c r="J329" s="407" t="s">
        <v>2307</v>
      </c>
      <c r="K329" s="818">
        <v>44531</v>
      </c>
      <c r="L329" s="407">
        <v>2117</v>
      </c>
      <c r="M329" s="407">
        <v>2117</v>
      </c>
      <c r="N329" s="407">
        <v>0</v>
      </c>
      <c r="O329" s="407">
        <v>0</v>
      </c>
      <c r="P329" s="407">
        <v>0</v>
      </c>
      <c r="Q329" s="407">
        <v>0</v>
      </c>
      <c r="R329" s="407">
        <v>43.29</v>
      </c>
      <c r="S329" s="407"/>
      <c r="T329" s="407"/>
      <c r="U329" s="407">
        <v>91644.93</v>
      </c>
      <c r="V329" s="407"/>
      <c r="W329" s="407">
        <v>91644.93</v>
      </c>
      <c r="X329" s="407">
        <v>70898.33</v>
      </c>
      <c r="Y329" s="407">
        <v>0</v>
      </c>
      <c r="Z329" s="407">
        <v>0</v>
      </c>
      <c r="AA329" s="407">
        <v>0</v>
      </c>
      <c r="AB329" s="407">
        <v>0</v>
      </c>
      <c r="AC329" s="407">
        <v>0</v>
      </c>
      <c r="AD329" s="407">
        <v>50096.660814413248</v>
      </c>
      <c r="AE329" s="407">
        <v>41554.989099954677</v>
      </c>
      <c r="AF329" s="407"/>
      <c r="AG329" s="407"/>
      <c r="AH329" s="407"/>
      <c r="AI329" s="407">
        <v>0</v>
      </c>
      <c r="AJ329" s="407">
        <v>0</v>
      </c>
      <c r="AK329" s="407">
        <v>0</v>
      </c>
      <c r="AL329" s="407">
        <v>0</v>
      </c>
      <c r="AM329" s="407"/>
      <c r="AN329" s="407">
        <v>0</v>
      </c>
      <c r="AO329" s="407">
        <v>0</v>
      </c>
      <c r="AP329" s="407">
        <v>0</v>
      </c>
      <c r="AQ329" s="407">
        <v>0</v>
      </c>
      <c r="AR329" s="407">
        <v>0</v>
      </c>
      <c r="AS329" s="407"/>
      <c r="AT329" s="407"/>
      <c r="AU329" s="407">
        <v>0</v>
      </c>
      <c r="AV329" s="407">
        <v>0</v>
      </c>
      <c r="AW329" s="407">
        <v>0</v>
      </c>
      <c r="AX329" s="407"/>
      <c r="AY329" s="407"/>
      <c r="AZ329" s="407">
        <v>0</v>
      </c>
      <c r="BA329" s="407"/>
      <c r="BB329" s="407">
        <v>0</v>
      </c>
      <c r="BC329" s="407">
        <v>0</v>
      </c>
      <c r="BD329" s="407">
        <v>0</v>
      </c>
      <c r="BE329" s="407">
        <v>0</v>
      </c>
      <c r="BF329" s="407"/>
      <c r="BG329" s="407">
        <v>0</v>
      </c>
      <c r="BH329" s="407">
        <v>0</v>
      </c>
      <c r="BI329" s="407">
        <v>842.33</v>
      </c>
      <c r="BJ329" s="407">
        <v>3982.25</v>
      </c>
      <c r="BK329" s="407">
        <v>66314.44</v>
      </c>
      <c r="BL329" s="407">
        <v>13</v>
      </c>
      <c r="BM329" s="407"/>
      <c r="BN329" s="407"/>
      <c r="BO329" s="407"/>
      <c r="BP329" s="407"/>
      <c r="BQ329" s="407"/>
      <c r="BR329" s="407"/>
      <c r="BS329" s="407"/>
      <c r="BT329" s="407"/>
      <c r="BU329" s="407"/>
      <c r="BV329" s="407">
        <v>0</v>
      </c>
      <c r="BW329" s="407"/>
      <c r="BX329" s="407"/>
      <c r="BY329" s="407"/>
      <c r="BZ329" s="407"/>
      <c r="CA329" s="407"/>
      <c r="CB329" s="407"/>
      <c r="CC329" s="407"/>
      <c r="CD329" s="407"/>
      <c r="CE329" s="407"/>
      <c r="CF329" s="407"/>
      <c r="CG329" s="407"/>
      <c r="CH329" s="407"/>
      <c r="CI329" s="407">
        <v>70898.33</v>
      </c>
      <c r="CJ329" s="407">
        <v>-20746.629999999976</v>
      </c>
      <c r="CK329" s="407"/>
      <c r="CL329" s="407"/>
      <c r="CM329" s="407"/>
      <c r="CN329" s="407"/>
      <c r="CO329" s="407">
        <v>-20746.599999999995</v>
      </c>
      <c r="CP329" s="407">
        <v>0</v>
      </c>
      <c r="CQ329" s="407"/>
      <c r="CR329" s="407">
        <v>473.48852741943847</v>
      </c>
      <c r="CS329" s="407">
        <v>0</v>
      </c>
      <c r="CT329" s="407">
        <v>0</v>
      </c>
      <c r="CU329" s="407">
        <v>0</v>
      </c>
      <c r="CV329" s="407">
        <v>0</v>
      </c>
      <c r="CW329" s="407"/>
      <c r="CX329" s="407"/>
      <c r="CY329" s="407"/>
      <c r="CZ329" s="407">
        <v>2262.9655011487193</v>
      </c>
      <c r="DA329" s="407">
        <v>0</v>
      </c>
      <c r="DB329" s="407">
        <v>0</v>
      </c>
      <c r="DC329" s="407"/>
      <c r="DD329" s="407"/>
      <c r="DE329" s="407">
        <v>0</v>
      </c>
      <c r="DF329" s="407">
        <v>0</v>
      </c>
      <c r="DG329" s="407">
        <v>0</v>
      </c>
      <c r="DH329" s="407">
        <v>0</v>
      </c>
      <c r="DI329" s="407">
        <v>0</v>
      </c>
      <c r="DJ329" s="407"/>
      <c r="DK329" s="407">
        <v>0</v>
      </c>
      <c r="DL329" s="407">
        <v>0</v>
      </c>
      <c r="DM329" s="407"/>
      <c r="DN329" s="407">
        <v>0</v>
      </c>
      <c r="DO329" s="407">
        <v>0</v>
      </c>
      <c r="DP329" s="407">
        <v>0</v>
      </c>
      <c r="DQ329" s="407">
        <v>0</v>
      </c>
      <c r="DR329" s="407">
        <v>-1789.4769737292831</v>
      </c>
      <c r="DS329" s="407"/>
      <c r="DT329" s="407"/>
      <c r="DU329" s="407">
        <v>41554.989099954677</v>
      </c>
      <c r="DV329" s="407"/>
      <c r="DW329" s="407">
        <v>0</v>
      </c>
      <c r="DX329" s="407">
        <v>0</v>
      </c>
      <c r="DY329" s="407">
        <v>-20746.599999999991</v>
      </c>
      <c r="DZ329" s="407"/>
      <c r="EA329" s="407">
        <v>0</v>
      </c>
      <c r="EB329" s="407"/>
      <c r="EC329" s="407">
        <v>-21226.384948845091</v>
      </c>
      <c r="ED329" s="407"/>
      <c r="EE329" s="407">
        <v>0</v>
      </c>
      <c r="EF329" s="407">
        <v>0</v>
      </c>
      <c r="EG329" s="407"/>
      <c r="EH329" s="407">
        <v>0</v>
      </c>
      <c r="EI329" s="407">
        <v>0</v>
      </c>
      <c r="EJ329" s="407">
        <v>0</v>
      </c>
      <c r="EK329" s="407">
        <v>0</v>
      </c>
      <c r="EL329" s="407">
        <v>0</v>
      </c>
      <c r="EM329" s="407"/>
      <c r="EN329" s="407"/>
      <c r="EO329" s="407">
        <v>0</v>
      </c>
      <c r="EP329" s="407">
        <v>0</v>
      </c>
      <c r="EQ329" s="407"/>
      <c r="ER329" s="407">
        <v>0</v>
      </c>
      <c r="ES329" s="407"/>
      <c r="ET329" s="407">
        <v>0</v>
      </c>
      <c r="EU329" s="407"/>
      <c r="EV329" s="407">
        <v>246</v>
      </c>
      <c r="EW329" s="407"/>
      <c r="EX329" s="407"/>
      <c r="EY329" s="407"/>
      <c r="EZ329" s="407"/>
      <c r="FA329" s="407">
        <v>0</v>
      </c>
      <c r="FB329" s="407"/>
      <c r="FC329" s="407"/>
      <c r="FD329" s="407"/>
      <c r="FE329" s="407"/>
      <c r="FF329" s="407">
        <v>0</v>
      </c>
      <c r="FG329" s="407">
        <v>0</v>
      </c>
      <c r="FH329" s="407">
        <v>0</v>
      </c>
      <c r="FI329" s="407">
        <v>0</v>
      </c>
    </row>
    <row r="330" spans="1:165">
      <c r="A330" s="407">
        <v>346</v>
      </c>
      <c r="B330" s="407" t="s">
        <v>1090</v>
      </c>
      <c r="C330" s="407" t="s">
        <v>2306</v>
      </c>
      <c r="D330" s="407" t="s">
        <v>1219</v>
      </c>
      <c r="E330" s="407" t="s">
        <v>1049</v>
      </c>
      <c r="F330" s="407" t="s">
        <v>97</v>
      </c>
      <c r="G330" s="407" t="s">
        <v>97</v>
      </c>
      <c r="H330" s="407" t="s">
        <v>97</v>
      </c>
      <c r="I330" s="407" t="s">
        <v>97</v>
      </c>
      <c r="J330" s="407" t="s">
        <v>2307</v>
      </c>
      <c r="K330" s="818">
        <v>44531</v>
      </c>
      <c r="L330" s="407">
        <v>0</v>
      </c>
      <c r="M330" s="407">
        <v>0</v>
      </c>
      <c r="N330" s="407">
        <v>740.19399999999996</v>
      </c>
      <c r="O330" s="407">
        <v>740.19399999999996</v>
      </c>
      <c r="P330" s="407">
        <v>740.19399999999996</v>
      </c>
      <c r="Q330" s="407">
        <v>740.19399999999996</v>
      </c>
      <c r="R330" s="407"/>
      <c r="S330" s="407">
        <v>648.44000000000005</v>
      </c>
      <c r="T330" s="407">
        <v>159.41</v>
      </c>
      <c r="U330" s="407"/>
      <c r="V330" s="407">
        <v>597965.72289999994</v>
      </c>
      <c r="W330" s="407">
        <v>597965.72289999994</v>
      </c>
      <c r="X330" s="407">
        <v>452865.49307999999</v>
      </c>
      <c r="Y330" s="407">
        <v>0</v>
      </c>
      <c r="Z330" s="407">
        <v>45870.007694827182</v>
      </c>
      <c r="AA330" s="407">
        <v>0</v>
      </c>
      <c r="AB330" s="407">
        <v>0</v>
      </c>
      <c r="AC330" s="407">
        <v>0</v>
      </c>
      <c r="AD330" s="407">
        <v>86339.504415502946</v>
      </c>
      <c r="AE330" s="407">
        <v>309065.03710464964</v>
      </c>
      <c r="AF330" s="407">
        <v>114160.65112674299</v>
      </c>
      <c r="AG330" s="407">
        <v>3835.4982151661188</v>
      </c>
      <c r="AH330" s="407">
        <v>0</v>
      </c>
      <c r="AI330" s="407">
        <v>0</v>
      </c>
      <c r="AJ330" s="407">
        <v>0</v>
      </c>
      <c r="AK330" s="407">
        <v>0</v>
      </c>
      <c r="AL330" s="407">
        <v>7088.13871428722</v>
      </c>
      <c r="AM330" s="407"/>
      <c r="AN330" s="407">
        <v>1535.9733425082391</v>
      </c>
      <c r="AO330" s="407">
        <v>0</v>
      </c>
      <c r="AP330" s="407">
        <v>0</v>
      </c>
      <c r="AQ330" s="407">
        <v>0</v>
      </c>
      <c r="AR330" s="407">
        <v>0</v>
      </c>
      <c r="AS330" s="407">
        <v>0</v>
      </c>
      <c r="AT330" s="407">
        <v>0</v>
      </c>
      <c r="AU330" s="407">
        <v>0</v>
      </c>
      <c r="AV330" s="407">
        <v>0</v>
      </c>
      <c r="AW330" s="407">
        <v>0</v>
      </c>
      <c r="AX330" s="407">
        <v>0</v>
      </c>
      <c r="AY330" s="407">
        <v>0</v>
      </c>
      <c r="AZ330" s="407">
        <v>0</v>
      </c>
      <c r="BA330" s="407"/>
      <c r="BB330" s="407">
        <v>0</v>
      </c>
      <c r="BC330" s="407">
        <v>0</v>
      </c>
      <c r="BD330" s="407">
        <v>0</v>
      </c>
      <c r="BE330" s="407">
        <v>0</v>
      </c>
      <c r="BF330" s="407">
        <v>0</v>
      </c>
      <c r="BG330" s="407">
        <v>8344.779055348441</v>
      </c>
      <c r="BH330" s="407">
        <v>0</v>
      </c>
      <c r="BI330" s="407">
        <v>1779.82</v>
      </c>
      <c r="BJ330" s="407">
        <v>8440.7999999999993</v>
      </c>
      <c r="BK330" s="407">
        <v>243496.68</v>
      </c>
      <c r="BL330" s="407">
        <v>1496</v>
      </c>
      <c r="BM330" s="407"/>
      <c r="BN330" s="407"/>
      <c r="BO330" s="407"/>
      <c r="BP330" s="407"/>
      <c r="BQ330" s="407"/>
      <c r="BR330" s="407"/>
      <c r="BS330" s="407"/>
      <c r="BT330" s="407"/>
      <c r="BU330" s="407"/>
      <c r="BV330" s="407">
        <v>122505.43018209143</v>
      </c>
      <c r="BW330" s="407"/>
      <c r="BX330" s="407"/>
      <c r="BY330" s="407"/>
      <c r="BZ330" s="407"/>
      <c r="CA330" s="407"/>
      <c r="CB330" s="407"/>
      <c r="CC330" s="407"/>
      <c r="CD330" s="407"/>
      <c r="CE330" s="407"/>
      <c r="CF330" s="407"/>
      <c r="CG330" s="407"/>
      <c r="CH330" s="407"/>
      <c r="CI330" s="407">
        <v>452863.04580000002</v>
      </c>
      <c r="CJ330" s="407">
        <v>-145102.70709999994</v>
      </c>
      <c r="CK330" s="407"/>
      <c r="CL330" s="407"/>
      <c r="CM330" s="407"/>
      <c r="CN330" s="407"/>
      <c r="CO330" s="407">
        <v>-165433.35900000003</v>
      </c>
      <c r="CP330" s="407">
        <v>20333.129179999996</v>
      </c>
      <c r="CQ330" s="407"/>
      <c r="CR330" s="407">
        <v>12771.320611082192</v>
      </c>
      <c r="CS330" s="407">
        <v>0</v>
      </c>
      <c r="CT330" s="407">
        <v>0</v>
      </c>
      <c r="CU330" s="407">
        <v>0</v>
      </c>
      <c r="CV330" s="407">
        <v>0</v>
      </c>
      <c r="CW330" s="407">
        <v>0</v>
      </c>
      <c r="CX330" s="407">
        <v>0</v>
      </c>
      <c r="CY330" s="407">
        <v>0</v>
      </c>
      <c r="CZ330" s="407">
        <v>3900.1266092839942</v>
      </c>
      <c r="DA330" s="407">
        <v>0</v>
      </c>
      <c r="DB330" s="407">
        <v>0</v>
      </c>
      <c r="DC330" s="407">
        <v>22634.974227836574</v>
      </c>
      <c r="DD330" s="407">
        <v>0</v>
      </c>
      <c r="DE330" s="407">
        <v>0</v>
      </c>
      <c r="DF330" s="407">
        <v>0</v>
      </c>
      <c r="DG330" s="407">
        <v>1654.5443372173959</v>
      </c>
      <c r="DH330" s="407">
        <v>0</v>
      </c>
      <c r="DI330" s="407">
        <v>-3212.8258288481593</v>
      </c>
      <c r="DJ330" s="407"/>
      <c r="DK330" s="407">
        <v>0</v>
      </c>
      <c r="DL330" s="407">
        <v>0</v>
      </c>
      <c r="DM330" s="407">
        <v>0</v>
      </c>
      <c r="DN330" s="407">
        <v>0</v>
      </c>
      <c r="DO330" s="407">
        <v>-432.45710272478664</v>
      </c>
      <c r="DP330" s="407">
        <v>-97.868513233232306</v>
      </c>
      <c r="DQ330" s="407">
        <v>0</v>
      </c>
      <c r="DR330" s="407">
        <v>-11675.173118449533</v>
      </c>
      <c r="DS330" s="407"/>
      <c r="DT330" s="407"/>
      <c r="DU330" s="407"/>
      <c r="DV330" s="407">
        <v>309065.03710464964</v>
      </c>
      <c r="DW330" s="407">
        <v>0</v>
      </c>
      <c r="DX330" s="407">
        <v>0</v>
      </c>
      <c r="DY330" s="407">
        <v>-165433.359</v>
      </c>
      <c r="DZ330" s="407">
        <v>20333.129179999989</v>
      </c>
      <c r="EA330" s="407">
        <v>0</v>
      </c>
      <c r="EB330" s="407">
        <v>0</v>
      </c>
      <c r="EC330" s="407">
        <v>-157871.13879472847</v>
      </c>
      <c r="ED330" s="407">
        <v>0</v>
      </c>
      <c r="EE330" s="407">
        <v>0</v>
      </c>
      <c r="EF330" s="407">
        <v>0</v>
      </c>
      <c r="EG330" s="407">
        <v>0</v>
      </c>
      <c r="EH330" s="407">
        <v>0</v>
      </c>
      <c r="EI330" s="407">
        <v>0</v>
      </c>
      <c r="EJ330" s="407">
        <v>0</v>
      </c>
      <c r="EK330" s="407">
        <v>0</v>
      </c>
      <c r="EL330" s="407">
        <v>0</v>
      </c>
      <c r="EM330" s="407">
        <v>0</v>
      </c>
      <c r="EN330" s="407">
        <v>0</v>
      </c>
      <c r="EO330" s="407">
        <v>0</v>
      </c>
      <c r="EP330" s="407">
        <v>21727.802508014222</v>
      </c>
      <c r="EQ330" s="407">
        <v>0</v>
      </c>
      <c r="ER330" s="407">
        <v>0</v>
      </c>
      <c r="ES330" s="407">
        <v>0</v>
      </c>
      <c r="ET330" s="407">
        <v>0</v>
      </c>
      <c r="EU330" s="407">
        <v>0</v>
      </c>
      <c r="EV330" s="407">
        <v>246</v>
      </c>
      <c r="EW330" s="407">
        <v>0</v>
      </c>
      <c r="EX330" s="407">
        <v>0</v>
      </c>
      <c r="EY330" s="407">
        <v>0</v>
      </c>
      <c r="EZ330" s="407"/>
      <c r="FA330" s="407">
        <v>0</v>
      </c>
      <c r="FB330" s="407"/>
      <c r="FC330" s="407"/>
      <c r="FD330" s="407"/>
      <c r="FE330" s="407"/>
      <c r="FF330" s="407">
        <v>0</v>
      </c>
      <c r="FG330" s="407">
        <v>0</v>
      </c>
      <c r="FH330" s="407">
        <v>0</v>
      </c>
      <c r="FI330" s="407">
        <v>0</v>
      </c>
    </row>
    <row r="331" spans="1:165">
      <c r="A331" s="407">
        <v>347</v>
      </c>
      <c r="B331" s="407" t="s">
        <v>2309</v>
      </c>
      <c r="C331" s="407" t="s">
        <v>2306</v>
      </c>
      <c r="D331" s="407" t="s">
        <v>1219</v>
      </c>
      <c r="E331" s="407" t="s">
        <v>1049</v>
      </c>
      <c r="F331" s="407" t="s">
        <v>97</v>
      </c>
      <c r="G331" s="407" t="s">
        <v>97</v>
      </c>
      <c r="H331" s="407" t="s">
        <v>97</v>
      </c>
      <c r="I331" s="407" t="s">
        <v>97</v>
      </c>
      <c r="J331" s="407" t="s">
        <v>2307</v>
      </c>
      <c r="K331" s="818">
        <v>44531</v>
      </c>
      <c r="L331" s="407">
        <v>0</v>
      </c>
      <c r="M331" s="407">
        <v>0</v>
      </c>
      <c r="N331" s="407">
        <v>51.427999999999997</v>
      </c>
      <c r="O331" s="407">
        <v>51.427999999999997</v>
      </c>
      <c r="P331" s="407">
        <v>51.427999999999997</v>
      </c>
      <c r="Q331" s="407">
        <v>51.427999999999997</v>
      </c>
      <c r="R331" s="407"/>
      <c r="S331" s="407">
        <v>648.44000000000005</v>
      </c>
      <c r="T331" s="407">
        <v>159.41</v>
      </c>
      <c r="U331" s="407"/>
      <c r="V331" s="407">
        <v>41546.109799999998</v>
      </c>
      <c r="W331" s="407">
        <v>41546.109799999998</v>
      </c>
      <c r="X331" s="407">
        <v>31464.678959999997</v>
      </c>
      <c r="Y331" s="407">
        <v>0</v>
      </c>
      <c r="Z331" s="407">
        <v>3187.0060493999845</v>
      </c>
      <c r="AA331" s="407">
        <v>0</v>
      </c>
      <c r="AB331" s="407">
        <v>0</v>
      </c>
      <c r="AC331" s="407">
        <v>0</v>
      </c>
      <c r="AD331" s="407">
        <v>5998.7895512264158</v>
      </c>
      <c r="AE331" s="407">
        <v>21473.555214197797</v>
      </c>
      <c r="AF331" s="407">
        <v>7931.7772991217689</v>
      </c>
      <c r="AG331" s="407">
        <v>266.48689696155759</v>
      </c>
      <c r="AH331" s="407">
        <v>0</v>
      </c>
      <c r="AI331" s="407">
        <v>0</v>
      </c>
      <c r="AJ331" s="407">
        <v>0</v>
      </c>
      <c r="AK331" s="407">
        <v>0</v>
      </c>
      <c r="AL331" s="407">
        <v>492.47737457796626</v>
      </c>
      <c r="AM331" s="407"/>
      <c r="AN331" s="407">
        <v>106.71801859852108</v>
      </c>
      <c r="AO331" s="407">
        <v>0</v>
      </c>
      <c r="AP331" s="407">
        <v>0</v>
      </c>
      <c r="AQ331" s="407">
        <v>0</v>
      </c>
      <c r="AR331" s="407">
        <v>0</v>
      </c>
      <c r="AS331" s="407">
        <v>0</v>
      </c>
      <c r="AT331" s="407">
        <v>0</v>
      </c>
      <c r="AU331" s="407">
        <v>0</v>
      </c>
      <c r="AV331" s="407">
        <v>0</v>
      </c>
      <c r="AW331" s="407">
        <v>0</v>
      </c>
      <c r="AX331" s="407">
        <v>0</v>
      </c>
      <c r="AY331" s="407">
        <v>0</v>
      </c>
      <c r="AZ331" s="407">
        <v>0</v>
      </c>
      <c r="BA331" s="407"/>
      <c r="BB331" s="407">
        <v>0</v>
      </c>
      <c r="BC331" s="407">
        <v>0</v>
      </c>
      <c r="BD331" s="407">
        <v>0</v>
      </c>
      <c r="BE331" s="407">
        <v>0</v>
      </c>
      <c r="BF331" s="407">
        <v>0</v>
      </c>
      <c r="BG331" s="407">
        <v>579.78759252096029</v>
      </c>
      <c r="BH331" s="407">
        <v>0</v>
      </c>
      <c r="BI331" s="407">
        <v>123.81</v>
      </c>
      <c r="BJ331" s="407">
        <v>586.48</v>
      </c>
      <c r="BK331" s="407">
        <v>38131.29</v>
      </c>
      <c r="BL331" s="407">
        <v>119</v>
      </c>
      <c r="BM331" s="407"/>
      <c r="BN331" s="407"/>
      <c r="BO331" s="407"/>
      <c r="BP331" s="407"/>
      <c r="BQ331" s="407"/>
      <c r="BR331" s="407"/>
      <c r="BS331" s="407"/>
      <c r="BT331" s="407"/>
      <c r="BU331" s="407"/>
      <c r="BV331" s="407">
        <v>8511.564891642729</v>
      </c>
      <c r="BW331" s="407"/>
      <c r="BX331" s="407"/>
      <c r="BY331" s="407"/>
      <c r="BZ331" s="407"/>
      <c r="CA331" s="407"/>
      <c r="CB331" s="407"/>
      <c r="CC331" s="407"/>
      <c r="CD331" s="407"/>
      <c r="CE331" s="407"/>
      <c r="CF331" s="407"/>
      <c r="CG331" s="407"/>
      <c r="CH331" s="407"/>
      <c r="CI331" s="407">
        <v>31465.902600000001</v>
      </c>
      <c r="CJ331" s="407">
        <v>-10080.237200000003</v>
      </c>
      <c r="CK331" s="407"/>
      <c r="CL331" s="407"/>
      <c r="CM331" s="407"/>
      <c r="CN331" s="407"/>
      <c r="CO331" s="407">
        <v>-11494.158000000003</v>
      </c>
      <c r="CP331" s="407">
        <v>1412.7271599999999</v>
      </c>
      <c r="CQ331" s="407"/>
      <c r="CR331" s="407">
        <v>887.3396385092783</v>
      </c>
      <c r="CS331" s="407">
        <v>0</v>
      </c>
      <c r="CT331" s="407">
        <v>0</v>
      </c>
      <c r="CU331" s="407">
        <v>0</v>
      </c>
      <c r="CV331" s="407">
        <v>0</v>
      </c>
      <c r="CW331" s="407">
        <v>0</v>
      </c>
      <c r="CX331" s="407">
        <v>0</v>
      </c>
      <c r="CY331" s="407">
        <v>0</v>
      </c>
      <c r="CZ331" s="407">
        <v>270.97721848901347</v>
      </c>
      <c r="DA331" s="407">
        <v>0</v>
      </c>
      <c r="DB331" s="407">
        <v>0</v>
      </c>
      <c r="DC331" s="407">
        <v>1572.6572420057155</v>
      </c>
      <c r="DD331" s="407">
        <v>0</v>
      </c>
      <c r="DE331" s="407">
        <v>0</v>
      </c>
      <c r="DF331" s="407">
        <v>0</v>
      </c>
      <c r="DG331" s="407">
        <v>114.95622252330634</v>
      </c>
      <c r="DH331" s="407">
        <v>0</v>
      </c>
      <c r="DI331" s="407">
        <v>-223.22419085537422</v>
      </c>
      <c r="DJ331" s="407"/>
      <c r="DK331" s="407">
        <v>0</v>
      </c>
      <c r="DL331" s="407">
        <v>0</v>
      </c>
      <c r="DM331" s="407">
        <v>0</v>
      </c>
      <c r="DN331" s="407">
        <v>0</v>
      </c>
      <c r="DO331" s="407">
        <v>-30.046722722597508</v>
      </c>
      <c r="DP331" s="407">
        <v>-6.799814506141189</v>
      </c>
      <c r="DQ331" s="407">
        <v>0</v>
      </c>
      <c r="DR331" s="407">
        <v>-811.18031642464348</v>
      </c>
      <c r="DS331" s="407"/>
      <c r="DT331" s="407"/>
      <c r="DU331" s="407"/>
      <c r="DV331" s="407">
        <v>21473.555214197797</v>
      </c>
      <c r="DW331" s="407">
        <v>0</v>
      </c>
      <c r="DX331" s="407">
        <v>0</v>
      </c>
      <c r="DY331" s="407">
        <v>-11494.158000000003</v>
      </c>
      <c r="DZ331" s="407">
        <v>1412.7271600000004</v>
      </c>
      <c r="EA331" s="407">
        <v>0</v>
      </c>
      <c r="EB331" s="407">
        <v>0</v>
      </c>
      <c r="EC331" s="407">
        <v>-10968.741878393095</v>
      </c>
      <c r="ED331" s="407">
        <v>0</v>
      </c>
      <c r="EE331" s="407">
        <v>0</v>
      </c>
      <c r="EF331" s="407">
        <v>0</v>
      </c>
      <c r="EG331" s="407">
        <v>0</v>
      </c>
      <c r="EH331" s="407">
        <v>0</v>
      </c>
      <c r="EI331" s="407">
        <v>0</v>
      </c>
      <c r="EJ331" s="407">
        <v>0</v>
      </c>
      <c r="EK331" s="407">
        <v>0</v>
      </c>
      <c r="EL331" s="407">
        <v>0</v>
      </c>
      <c r="EM331" s="407">
        <v>0</v>
      </c>
      <c r="EN331" s="407">
        <v>0</v>
      </c>
      <c r="EO331" s="407">
        <v>0</v>
      </c>
      <c r="EP331" s="407">
        <v>1509.6277832327139</v>
      </c>
      <c r="EQ331" s="407">
        <v>0</v>
      </c>
      <c r="ER331" s="407">
        <v>0</v>
      </c>
      <c r="ES331" s="407">
        <v>0</v>
      </c>
      <c r="ET331" s="407">
        <v>0</v>
      </c>
      <c r="EU331" s="407">
        <v>0</v>
      </c>
      <c r="EV331" s="407">
        <v>246</v>
      </c>
      <c r="EW331" s="407">
        <v>0</v>
      </c>
      <c r="EX331" s="407">
        <v>0</v>
      </c>
      <c r="EY331" s="407">
        <v>0</v>
      </c>
      <c r="EZ331" s="407"/>
      <c r="FA331" s="407">
        <v>0</v>
      </c>
      <c r="FB331" s="407"/>
      <c r="FC331" s="407"/>
      <c r="FD331" s="407"/>
      <c r="FE331" s="407"/>
      <c r="FF331" s="407">
        <v>0</v>
      </c>
      <c r="FG331" s="407">
        <v>0</v>
      </c>
      <c r="FH331" s="407">
        <v>0</v>
      </c>
      <c r="FI331" s="407">
        <v>0</v>
      </c>
    </row>
    <row r="332" spans="1:165">
      <c r="A332" s="407">
        <v>348</v>
      </c>
      <c r="B332" s="407" t="s">
        <v>1090</v>
      </c>
      <c r="C332" s="407" t="s">
        <v>2314</v>
      </c>
      <c r="D332" s="407" t="s">
        <v>650</v>
      </c>
      <c r="E332" s="407" t="s">
        <v>1049</v>
      </c>
      <c r="F332" s="407" t="s">
        <v>97</v>
      </c>
      <c r="G332" s="407" t="s">
        <v>97</v>
      </c>
      <c r="H332" s="407" t="s">
        <v>97</v>
      </c>
      <c r="I332" s="407" t="s">
        <v>1025</v>
      </c>
      <c r="J332" s="407" t="s">
        <v>2307</v>
      </c>
      <c r="K332" s="818">
        <v>44531</v>
      </c>
      <c r="L332" s="407">
        <v>0</v>
      </c>
      <c r="M332" s="407">
        <v>0</v>
      </c>
      <c r="N332" s="407">
        <v>12.817</v>
      </c>
      <c r="O332" s="407">
        <v>12.817</v>
      </c>
      <c r="P332" s="407">
        <v>12.817</v>
      </c>
      <c r="Q332" s="407">
        <v>12.817</v>
      </c>
      <c r="R332" s="407"/>
      <c r="S332" s="407">
        <v>2810.7</v>
      </c>
      <c r="T332" s="407">
        <v>159.41</v>
      </c>
      <c r="U332" s="407"/>
      <c r="V332" s="407">
        <v>38067.899870000001</v>
      </c>
      <c r="W332" s="407">
        <v>38067.899870000001</v>
      </c>
      <c r="X332" s="407">
        <v>24245.790729999997</v>
      </c>
      <c r="Y332" s="407">
        <v>0</v>
      </c>
      <c r="Z332" s="407">
        <v>691.01725102257205</v>
      </c>
      <c r="AA332" s="407">
        <v>0</v>
      </c>
      <c r="AB332" s="407">
        <v>0</v>
      </c>
      <c r="AC332" s="407">
        <v>0</v>
      </c>
      <c r="AD332" s="407">
        <v>7824.978360437116</v>
      </c>
      <c r="AE332" s="407">
        <v>26978.361083733449</v>
      </c>
      <c r="AF332" s="407">
        <v>1976.7750961119179</v>
      </c>
      <c r="AG332" s="407">
        <v>66.414454350864972</v>
      </c>
      <c r="AH332" s="407">
        <v>0</v>
      </c>
      <c r="AI332" s="407">
        <v>0</v>
      </c>
      <c r="AJ332" s="407">
        <v>0</v>
      </c>
      <c r="AK332" s="407">
        <v>0</v>
      </c>
      <c r="AL332" s="407">
        <v>122.73630143046189</v>
      </c>
      <c r="AM332" s="407"/>
      <c r="AN332" s="407">
        <v>13.762040780304178</v>
      </c>
      <c r="AO332" s="407">
        <v>0</v>
      </c>
      <c r="AP332" s="407">
        <v>0</v>
      </c>
      <c r="AQ332" s="407">
        <v>0</v>
      </c>
      <c r="AR332" s="407">
        <v>0</v>
      </c>
      <c r="AS332" s="407">
        <v>0</v>
      </c>
      <c r="AT332" s="407">
        <v>0</v>
      </c>
      <c r="AU332" s="407">
        <v>0</v>
      </c>
      <c r="AV332" s="407">
        <v>0</v>
      </c>
      <c r="AW332" s="407">
        <v>0</v>
      </c>
      <c r="AX332" s="407">
        <v>0</v>
      </c>
      <c r="AY332" s="407">
        <v>0</v>
      </c>
      <c r="AZ332" s="407">
        <v>0</v>
      </c>
      <c r="BA332" s="407"/>
      <c r="BB332" s="407">
        <v>0</v>
      </c>
      <c r="BC332" s="407">
        <v>0</v>
      </c>
      <c r="BD332" s="407">
        <v>0</v>
      </c>
      <c r="BE332" s="407">
        <v>0</v>
      </c>
      <c r="BF332" s="407">
        <v>0</v>
      </c>
      <c r="BG332" s="407">
        <v>66.518619658531804</v>
      </c>
      <c r="BH332" s="407">
        <v>0</v>
      </c>
      <c r="BI332" s="407">
        <v>0</v>
      </c>
      <c r="BJ332" s="407">
        <v>0</v>
      </c>
      <c r="BK332" s="407">
        <v>0</v>
      </c>
      <c r="BL332" s="407">
        <v>0</v>
      </c>
      <c r="BM332" s="407"/>
      <c r="BN332" s="407"/>
      <c r="BO332" s="407"/>
      <c r="BP332" s="407"/>
      <c r="BQ332" s="407"/>
      <c r="BR332" s="407"/>
      <c r="BS332" s="407"/>
      <c r="BT332" s="407"/>
      <c r="BU332" s="407"/>
      <c r="BV332" s="407">
        <v>2043.2937157704498</v>
      </c>
      <c r="BW332" s="407"/>
      <c r="BX332" s="407"/>
      <c r="BY332" s="407"/>
      <c r="BZ332" s="407"/>
      <c r="CA332" s="407"/>
      <c r="CB332" s="407"/>
      <c r="CC332" s="407"/>
      <c r="CD332" s="407"/>
      <c r="CE332" s="407"/>
      <c r="CF332" s="407"/>
      <c r="CG332" s="407"/>
      <c r="CH332" s="407"/>
      <c r="CI332" s="407">
        <v>24251.465799999998</v>
      </c>
      <c r="CJ332" s="407">
        <v>-13816.464070000009</v>
      </c>
      <c r="CK332" s="407"/>
      <c r="CL332" s="407"/>
      <c r="CM332" s="407"/>
      <c r="CN332" s="407"/>
      <c r="CO332" s="407">
        <v>-14174.192129999999</v>
      </c>
      <c r="CP332" s="407">
        <v>352.08299</v>
      </c>
      <c r="CQ332" s="407"/>
      <c r="CR332" s="407">
        <v>-41.432195684159524</v>
      </c>
      <c r="CS332" s="407">
        <v>0</v>
      </c>
      <c r="CT332" s="407">
        <v>0</v>
      </c>
      <c r="CU332" s="407">
        <v>0</v>
      </c>
      <c r="CV332" s="407">
        <v>0</v>
      </c>
      <c r="CW332" s="407">
        <v>0</v>
      </c>
      <c r="CX332" s="407">
        <v>0</v>
      </c>
      <c r="CY332" s="407">
        <v>0</v>
      </c>
      <c r="CZ332" s="407">
        <v>353.46978798655346</v>
      </c>
      <c r="DA332" s="407">
        <v>0</v>
      </c>
      <c r="DB332" s="407">
        <v>0</v>
      </c>
      <c r="DC332" s="407">
        <v>391.94111905551949</v>
      </c>
      <c r="DD332" s="407">
        <v>0</v>
      </c>
      <c r="DE332" s="407">
        <v>0</v>
      </c>
      <c r="DF332" s="407">
        <v>0</v>
      </c>
      <c r="DG332" s="407">
        <v>13.188845953327132</v>
      </c>
      <c r="DH332" s="407">
        <v>0</v>
      </c>
      <c r="DI332" s="407">
        <v>-48.400211463565029</v>
      </c>
      <c r="DJ332" s="407"/>
      <c r="DK332" s="407">
        <v>0</v>
      </c>
      <c r="DL332" s="407">
        <v>0</v>
      </c>
      <c r="DM332" s="407">
        <v>0</v>
      </c>
      <c r="DN332" s="407">
        <v>0</v>
      </c>
      <c r="DO332" s="407">
        <v>-7.4883107477547668</v>
      </c>
      <c r="DP332" s="407">
        <v>-0.87688401416131256</v>
      </c>
      <c r="DQ332" s="407">
        <v>0</v>
      </c>
      <c r="DR332" s="407">
        <v>-743.26654245407929</v>
      </c>
      <c r="DS332" s="407"/>
      <c r="DT332" s="407"/>
      <c r="DU332" s="407"/>
      <c r="DV332" s="407">
        <v>26978.361083733449</v>
      </c>
      <c r="DW332" s="407">
        <v>0</v>
      </c>
      <c r="DX332" s="407">
        <v>0</v>
      </c>
      <c r="DY332" s="407">
        <v>-14174.192130000003</v>
      </c>
      <c r="DZ332" s="407">
        <v>352.08299000000011</v>
      </c>
      <c r="EA332" s="407">
        <v>0</v>
      </c>
      <c r="EB332" s="407">
        <v>0</v>
      </c>
      <c r="EC332" s="407">
        <v>-13780.609502142508</v>
      </c>
      <c r="ED332" s="407">
        <v>0</v>
      </c>
      <c r="EE332" s="407">
        <v>0</v>
      </c>
      <c r="EF332" s="407">
        <v>0</v>
      </c>
      <c r="EG332" s="407">
        <v>0</v>
      </c>
      <c r="EH332" s="407">
        <v>0</v>
      </c>
      <c r="EI332" s="407">
        <v>0</v>
      </c>
      <c r="EJ332" s="407">
        <v>0</v>
      </c>
      <c r="EK332" s="407">
        <v>0</v>
      </c>
      <c r="EL332" s="407">
        <v>0</v>
      </c>
      <c r="EM332" s="407">
        <v>0</v>
      </c>
      <c r="EN332" s="407">
        <v>0</v>
      </c>
      <c r="EO332" s="407">
        <v>0</v>
      </c>
      <c r="EP332" s="407">
        <v>327.32251670283711</v>
      </c>
      <c r="EQ332" s="407">
        <v>0</v>
      </c>
      <c r="ER332" s="407">
        <v>0</v>
      </c>
      <c r="ES332" s="407">
        <v>0</v>
      </c>
      <c r="ET332" s="407">
        <v>0</v>
      </c>
      <c r="EU332" s="407">
        <v>0</v>
      </c>
      <c r="EV332" s="407">
        <v>246</v>
      </c>
      <c r="EW332" s="407">
        <v>0</v>
      </c>
      <c r="EX332" s="407">
        <v>0</v>
      </c>
      <c r="EY332" s="407">
        <v>0</v>
      </c>
      <c r="EZ332" s="407"/>
      <c r="FA332" s="407">
        <v>0</v>
      </c>
      <c r="FB332" s="407"/>
      <c r="FC332" s="407"/>
      <c r="FD332" s="407"/>
      <c r="FE332" s="407"/>
      <c r="FF332" s="407">
        <v>0</v>
      </c>
      <c r="FG332" s="407">
        <v>0</v>
      </c>
      <c r="FH332" s="407">
        <v>0</v>
      </c>
      <c r="FI332" s="407">
        <v>0</v>
      </c>
    </row>
    <row r="333" spans="1:165">
      <c r="A333" s="407">
        <v>349</v>
      </c>
      <c r="B333" s="407" t="s">
        <v>2309</v>
      </c>
      <c r="C333" s="407" t="s">
        <v>2314</v>
      </c>
      <c r="D333" s="407" t="s">
        <v>650</v>
      </c>
      <c r="E333" s="407" t="s">
        <v>1049</v>
      </c>
      <c r="F333" s="407" t="s">
        <v>97</v>
      </c>
      <c r="G333" s="407" t="s">
        <v>97</v>
      </c>
      <c r="H333" s="407" t="s">
        <v>97</v>
      </c>
      <c r="I333" s="407" t="s">
        <v>1025</v>
      </c>
      <c r="J333" s="407" t="s">
        <v>2307</v>
      </c>
      <c r="K333" s="818">
        <v>44531</v>
      </c>
      <c r="L333" s="407">
        <v>0</v>
      </c>
      <c r="M333" s="407">
        <v>0</v>
      </c>
      <c r="N333" s="407">
        <v>7.1349999999999998</v>
      </c>
      <c r="O333" s="407">
        <v>7.1349999999999998</v>
      </c>
      <c r="P333" s="407">
        <v>7.1349999999999998</v>
      </c>
      <c r="Q333" s="407">
        <v>7.1349999999999998</v>
      </c>
      <c r="R333" s="407"/>
      <c r="S333" s="407">
        <v>2810.7</v>
      </c>
      <c r="T333" s="407">
        <v>159.41</v>
      </c>
      <c r="U333" s="407"/>
      <c r="V333" s="407">
        <v>21191.734850000001</v>
      </c>
      <c r="W333" s="407">
        <v>21191.734850000001</v>
      </c>
      <c r="X333" s="407">
        <v>13497.20815</v>
      </c>
      <c r="Y333" s="407">
        <v>0</v>
      </c>
      <c r="Z333" s="407">
        <v>384.67723227323484</v>
      </c>
      <c r="AA333" s="407">
        <v>0</v>
      </c>
      <c r="AB333" s="407">
        <v>0</v>
      </c>
      <c r="AC333" s="407">
        <v>0</v>
      </c>
      <c r="AD333" s="407">
        <v>4356.0287588139836</v>
      </c>
      <c r="AE333" s="407">
        <v>15018.382330688784</v>
      </c>
      <c r="AF333" s="407">
        <v>1100.4361637480326</v>
      </c>
      <c r="AG333" s="407">
        <v>36.971766543919919</v>
      </c>
      <c r="AH333" s="407">
        <v>0</v>
      </c>
      <c r="AI333" s="407">
        <v>0</v>
      </c>
      <c r="AJ333" s="407">
        <v>0</v>
      </c>
      <c r="AK333" s="407">
        <v>0</v>
      </c>
      <c r="AL333" s="407">
        <v>68.3251549275451</v>
      </c>
      <c r="AM333" s="407"/>
      <c r="AN333" s="407">
        <v>7.6610876934906997</v>
      </c>
      <c r="AO333" s="407">
        <v>0</v>
      </c>
      <c r="AP333" s="407">
        <v>0</v>
      </c>
      <c r="AQ333" s="407">
        <v>0</v>
      </c>
      <c r="AR333" s="407">
        <v>0</v>
      </c>
      <c r="AS333" s="407">
        <v>0</v>
      </c>
      <c r="AT333" s="407">
        <v>0</v>
      </c>
      <c r="AU333" s="407">
        <v>0</v>
      </c>
      <c r="AV333" s="407">
        <v>0</v>
      </c>
      <c r="AW333" s="407">
        <v>0</v>
      </c>
      <c r="AX333" s="407">
        <v>0</v>
      </c>
      <c r="AY333" s="407">
        <v>0</v>
      </c>
      <c r="AZ333" s="407">
        <v>0</v>
      </c>
      <c r="BA333" s="407"/>
      <c r="BB333" s="407">
        <v>0</v>
      </c>
      <c r="BC333" s="407">
        <v>0</v>
      </c>
      <c r="BD333" s="407">
        <v>0</v>
      </c>
      <c r="BE333" s="407">
        <v>0</v>
      </c>
      <c r="BF333" s="407">
        <v>0</v>
      </c>
      <c r="BG333" s="407">
        <v>37.029753551035689</v>
      </c>
      <c r="BH333" s="407">
        <v>0</v>
      </c>
      <c r="BI333" s="407">
        <v>0</v>
      </c>
      <c r="BJ333" s="407">
        <v>0</v>
      </c>
      <c r="BK333" s="407">
        <v>0</v>
      </c>
      <c r="BL333" s="407">
        <v>0</v>
      </c>
      <c r="BM333" s="407"/>
      <c r="BN333" s="407"/>
      <c r="BO333" s="407"/>
      <c r="BP333" s="407"/>
      <c r="BQ333" s="407"/>
      <c r="BR333" s="407"/>
      <c r="BS333" s="407"/>
      <c r="BT333" s="407"/>
      <c r="BU333" s="407"/>
      <c r="BV333" s="407">
        <v>1137.4659172990682</v>
      </c>
      <c r="BW333" s="407"/>
      <c r="BX333" s="407"/>
      <c r="BY333" s="407"/>
      <c r="BZ333" s="407"/>
      <c r="CA333" s="407"/>
      <c r="CB333" s="407"/>
      <c r="CC333" s="407"/>
      <c r="CD333" s="407"/>
      <c r="CE333" s="407"/>
      <c r="CF333" s="407"/>
      <c r="CG333" s="407"/>
      <c r="CH333" s="407"/>
      <c r="CI333" s="407">
        <v>13506.6666</v>
      </c>
      <c r="CJ333" s="407">
        <v>-7685.0982499999955</v>
      </c>
      <c r="CK333" s="407"/>
      <c r="CL333" s="407"/>
      <c r="CM333" s="407"/>
      <c r="CN333" s="407"/>
      <c r="CO333" s="407">
        <v>-7890.5251499999986</v>
      </c>
      <c r="CP333" s="407">
        <v>195.99844999999999</v>
      </c>
      <c r="CQ333" s="407"/>
      <c r="CR333" s="407">
        <v>-23.06457955890437</v>
      </c>
      <c r="CS333" s="407">
        <v>0</v>
      </c>
      <c r="CT333" s="407">
        <v>0</v>
      </c>
      <c r="CU333" s="407">
        <v>0</v>
      </c>
      <c r="CV333" s="407">
        <v>0</v>
      </c>
      <c r="CW333" s="407">
        <v>0</v>
      </c>
      <c r="CX333" s="407">
        <v>0</v>
      </c>
      <c r="CY333" s="407">
        <v>0</v>
      </c>
      <c r="CZ333" s="407">
        <v>196.77045621315847</v>
      </c>
      <c r="DA333" s="407">
        <v>0</v>
      </c>
      <c r="DB333" s="407">
        <v>0</v>
      </c>
      <c r="DC333" s="407">
        <v>218.18677416408923</v>
      </c>
      <c r="DD333" s="407">
        <v>0</v>
      </c>
      <c r="DE333" s="407">
        <v>0</v>
      </c>
      <c r="DF333" s="407">
        <v>0</v>
      </c>
      <c r="DG333" s="407">
        <v>7.3420001464452653</v>
      </c>
      <c r="DH333" s="407">
        <v>0</v>
      </c>
      <c r="DI333" s="407">
        <v>-26.94355221912582</v>
      </c>
      <c r="DJ333" s="407"/>
      <c r="DK333" s="407">
        <v>0</v>
      </c>
      <c r="DL333" s="407">
        <v>0</v>
      </c>
      <c r="DM333" s="407">
        <v>0</v>
      </c>
      <c r="DN333" s="407">
        <v>0</v>
      </c>
      <c r="DO333" s="407">
        <v>-4.1686117800757074</v>
      </c>
      <c r="DP333" s="407">
        <v>-0.48814601240859457</v>
      </c>
      <c r="DQ333" s="407">
        <v>0</v>
      </c>
      <c r="DR333" s="407">
        <v>-413.76350007098819</v>
      </c>
      <c r="DS333" s="407"/>
      <c r="DT333" s="407"/>
      <c r="DU333" s="407"/>
      <c r="DV333" s="407">
        <v>15018.382330688784</v>
      </c>
      <c r="DW333" s="407">
        <v>0</v>
      </c>
      <c r="DX333" s="407">
        <v>0</v>
      </c>
      <c r="DY333" s="407">
        <v>-7890.5251499999995</v>
      </c>
      <c r="DZ333" s="407">
        <v>195.99845000000005</v>
      </c>
      <c r="EA333" s="407">
        <v>0</v>
      </c>
      <c r="EB333" s="407">
        <v>0</v>
      </c>
      <c r="EC333" s="407">
        <v>-7671.4245765613477</v>
      </c>
      <c r="ED333" s="407">
        <v>0</v>
      </c>
      <c r="EE333" s="407">
        <v>0</v>
      </c>
      <c r="EF333" s="407">
        <v>0</v>
      </c>
      <c r="EG333" s="407">
        <v>0</v>
      </c>
      <c r="EH333" s="407">
        <v>0</v>
      </c>
      <c r="EI333" s="407">
        <v>0</v>
      </c>
      <c r="EJ333" s="407">
        <v>0</v>
      </c>
      <c r="EK333" s="407">
        <v>0</v>
      </c>
      <c r="EL333" s="407">
        <v>0</v>
      </c>
      <c r="EM333" s="407">
        <v>0</v>
      </c>
      <c r="EN333" s="407">
        <v>0</v>
      </c>
      <c r="EO333" s="407">
        <v>0</v>
      </c>
      <c r="EP333" s="407">
        <v>182.21472705584324</v>
      </c>
      <c r="EQ333" s="407">
        <v>0</v>
      </c>
      <c r="ER333" s="407">
        <v>0</v>
      </c>
      <c r="ES333" s="407">
        <v>0</v>
      </c>
      <c r="ET333" s="407">
        <v>0</v>
      </c>
      <c r="EU333" s="407">
        <v>0</v>
      </c>
      <c r="EV333" s="407">
        <v>246</v>
      </c>
      <c r="EW333" s="407">
        <v>0</v>
      </c>
      <c r="EX333" s="407">
        <v>0</v>
      </c>
      <c r="EY333" s="407">
        <v>0</v>
      </c>
      <c r="EZ333" s="407"/>
      <c r="FA333" s="407">
        <v>0</v>
      </c>
      <c r="FB333" s="407"/>
      <c r="FC333" s="407"/>
      <c r="FD333" s="407"/>
      <c r="FE333" s="407"/>
      <c r="FF333" s="407">
        <v>0</v>
      </c>
      <c r="FG333" s="407">
        <v>0</v>
      </c>
      <c r="FH333" s="407">
        <v>0</v>
      </c>
      <c r="FI333" s="407">
        <v>0</v>
      </c>
    </row>
    <row r="334" spans="1:165">
      <c r="A334" s="407">
        <v>350</v>
      </c>
      <c r="B334" s="407" t="s">
        <v>1090</v>
      </c>
      <c r="C334" s="407" t="s">
        <v>2314</v>
      </c>
      <c r="D334" s="407" t="s">
        <v>650</v>
      </c>
      <c r="E334" s="407" t="s">
        <v>1049</v>
      </c>
      <c r="F334" s="407" t="s">
        <v>97</v>
      </c>
      <c r="G334" s="407" t="s">
        <v>97</v>
      </c>
      <c r="H334" s="407" t="s">
        <v>97</v>
      </c>
      <c r="I334" s="407" t="s">
        <v>2290</v>
      </c>
      <c r="J334" s="407" t="s">
        <v>2307</v>
      </c>
      <c r="K334" s="818">
        <v>44531</v>
      </c>
      <c r="L334" s="407">
        <v>0</v>
      </c>
      <c r="M334" s="407">
        <v>0</v>
      </c>
      <c r="N334" s="407">
        <v>172.07499999999999</v>
      </c>
      <c r="O334" s="407">
        <v>172.07499999999999</v>
      </c>
      <c r="P334" s="407">
        <v>172.07499999999999</v>
      </c>
      <c r="Q334" s="407">
        <v>172.07499999999999</v>
      </c>
      <c r="R334" s="407"/>
      <c r="S334" s="407">
        <v>95.29</v>
      </c>
      <c r="T334" s="407">
        <v>159.41</v>
      </c>
      <c r="U334" s="407"/>
      <c r="V334" s="407">
        <v>43827.502500000002</v>
      </c>
      <c r="W334" s="407">
        <v>43827.502500000002</v>
      </c>
      <c r="X334" s="407">
        <v>47649.288249999998</v>
      </c>
      <c r="Y334" s="407">
        <v>0</v>
      </c>
      <c r="Z334" s="407">
        <v>9277.271863127804</v>
      </c>
      <c r="AA334" s="407">
        <v>0</v>
      </c>
      <c r="AB334" s="407">
        <v>0</v>
      </c>
      <c r="AC334" s="407">
        <v>0</v>
      </c>
      <c r="AD334" s="407">
        <v>0</v>
      </c>
      <c r="AE334" s="407">
        <v>0</v>
      </c>
      <c r="AF334" s="407">
        <v>26539.250578408228</v>
      </c>
      <c r="AG334" s="407">
        <v>891.64915599790038</v>
      </c>
      <c r="AH334" s="407">
        <v>0</v>
      </c>
      <c r="AI334" s="407">
        <v>0</v>
      </c>
      <c r="AJ334" s="407">
        <v>0</v>
      </c>
      <c r="AK334" s="407">
        <v>0</v>
      </c>
      <c r="AL334" s="407">
        <v>1647.7997244789519</v>
      </c>
      <c r="AM334" s="407"/>
      <c r="AN334" s="407">
        <v>184.76267201925887</v>
      </c>
      <c r="AO334" s="407">
        <v>0</v>
      </c>
      <c r="AP334" s="407">
        <v>0</v>
      </c>
      <c r="AQ334" s="407">
        <v>0</v>
      </c>
      <c r="AR334" s="407">
        <v>0</v>
      </c>
      <c r="AS334" s="407">
        <v>0</v>
      </c>
      <c r="AT334" s="407">
        <v>0</v>
      </c>
      <c r="AU334" s="407">
        <v>0</v>
      </c>
      <c r="AV334" s="407">
        <v>0</v>
      </c>
      <c r="AW334" s="407">
        <v>0</v>
      </c>
      <c r="AX334" s="407">
        <v>0</v>
      </c>
      <c r="AY334" s="407">
        <v>0</v>
      </c>
      <c r="AZ334" s="407">
        <v>0</v>
      </c>
      <c r="BA334" s="407"/>
      <c r="BB334" s="407">
        <v>0</v>
      </c>
      <c r="BC334" s="407">
        <v>0</v>
      </c>
      <c r="BD334" s="407">
        <v>0</v>
      </c>
      <c r="BE334" s="407">
        <v>0</v>
      </c>
      <c r="BF334" s="407">
        <v>0</v>
      </c>
      <c r="BG334" s="407">
        <v>893.04763031457128</v>
      </c>
      <c r="BH334" s="407">
        <v>0</v>
      </c>
      <c r="BI334" s="407">
        <v>0</v>
      </c>
      <c r="BJ334" s="407">
        <v>0</v>
      </c>
      <c r="BK334" s="407">
        <v>0</v>
      </c>
      <c r="BL334" s="407">
        <v>0</v>
      </c>
      <c r="BM334" s="407"/>
      <c r="BN334" s="407"/>
      <c r="BO334" s="407"/>
      <c r="BP334" s="407"/>
      <c r="BQ334" s="407"/>
      <c r="BR334" s="407"/>
      <c r="BS334" s="407"/>
      <c r="BT334" s="407"/>
      <c r="BU334" s="407"/>
      <c r="BV334" s="407">
        <v>27432.298208722797</v>
      </c>
      <c r="BW334" s="407"/>
      <c r="BX334" s="407"/>
      <c r="BY334" s="407"/>
      <c r="BZ334" s="407"/>
      <c r="CA334" s="407"/>
      <c r="CB334" s="407"/>
      <c r="CC334" s="407"/>
      <c r="CD334" s="407"/>
      <c r="CE334" s="407"/>
      <c r="CF334" s="407"/>
      <c r="CG334" s="407"/>
      <c r="CH334" s="407"/>
      <c r="CI334" s="407">
        <v>47650.6728</v>
      </c>
      <c r="CJ334" s="407">
        <v>3823.1403000000064</v>
      </c>
      <c r="CK334" s="407"/>
      <c r="CL334" s="407"/>
      <c r="CM334" s="407"/>
      <c r="CN334" s="407"/>
      <c r="CO334" s="407">
        <v>-905.11450000000082</v>
      </c>
      <c r="CP334" s="407">
        <v>4726.9002499999997</v>
      </c>
      <c r="CQ334" s="407"/>
      <c r="CR334" s="407">
        <v>3821.2418569890579</v>
      </c>
      <c r="CS334" s="407">
        <v>0</v>
      </c>
      <c r="CT334" s="407">
        <v>0</v>
      </c>
      <c r="CU334" s="407">
        <v>0</v>
      </c>
      <c r="CV334" s="407">
        <v>0</v>
      </c>
      <c r="CW334" s="407">
        <v>0</v>
      </c>
      <c r="CX334" s="407">
        <v>0</v>
      </c>
      <c r="CY334" s="407">
        <v>0</v>
      </c>
      <c r="CZ334" s="407">
        <v>0</v>
      </c>
      <c r="DA334" s="407">
        <v>0</v>
      </c>
      <c r="DB334" s="407">
        <v>0</v>
      </c>
      <c r="DC334" s="407">
        <v>5262.0167013714999</v>
      </c>
      <c r="DD334" s="407">
        <v>0</v>
      </c>
      <c r="DE334" s="407">
        <v>0</v>
      </c>
      <c r="DF334" s="407">
        <v>0</v>
      </c>
      <c r="DG334" s="407">
        <v>177.06722847926699</v>
      </c>
      <c r="DH334" s="407">
        <v>0</v>
      </c>
      <c r="DI334" s="407">
        <v>-649.79842300015116</v>
      </c>
      <c r="DJ334" s="407"/>
      <c r="DK334" s="407">
        <v>0</v>
      </c>
      <c r="DL334" s="407">
        <v>0</v>
      </c>
      <c r="DM334" s="407">
        <v>0</v>
      </c>
      <c r="DN334" s="407">
        <v>0</v>
      </c>
      <c r="DO334" s="407">
        <v>-100.53453007099165</v>
      </c>
      <c r="DP334" s="407">
        <v>-11.772631406476364</v>
      </c>
      <c r="DQ334" s="407">
        <v>0</v>
      </c>
      <c r="DR334" s="407">
        <v>-855.7364883840977</v>
      </c>
      <c r="DS334" s="407"/>
      <c r="DT334" s="407"/>
      <c r="DU334" s="407"/>
      <c r="DV334" s="407">
        <v>0</v>
      </c>
      <c r="DW334" s="407">
        <v>0</v>
      </c>
      <c r="DX334" s="407">
        <v>0</v>
      </c>
      <c r="DY334" s="407">
        <v>-905.1145000000015</v>
      </c>
      <c r="DZ334" s="407">
        <v>4726.9002499999988</v>
      </c>
      <c r="EA334" s="407">
        <v>0</v>
      </c>
      <c r="EB334" s="407">
        <v>0</v>
      </c>
      <c r="EC334" s="407">
        <v>0</v>
      </c>
      <c r="ED334" s="407">
        <v>0</v>
      </c>
      <c r="EE334" s="407">
        <v>0</v>
      </c>
      <c r="EF334" s="407">
        <v>0</v>
      </c>
      <c r="EG334" s="407">
        <v>0</v>
      </c>
      <c r="EH334" s="407">
        <v>0</v>
      </c>
      <c r="EI334" s="407">
        <v>0</v>
      </c>
      <c r="EJ334" s="407">
        <v>0</v>
      </c>
      <c r="EK334" s="407">
        <v>0</v>
      </c>
      <c r="EL334" s="407">
        <v>0</v>
      </c>
      <c r="EM334" s="407">
        <v>0</v>
      </c>
      <c r="EN334" s="407">
        <v>0</v>
      </c>
      <c r="EO334" s="407">
        <v>0</v>
      </c>
      <c r="EP334" s="407">
        <v>4394.4778077272913</v>
      </c>
      <c r="EQ334" s="407">
        <v>0</v>
      </c>
      <c r="ER334" s="407">
        <v>0</v>
      </c>
      <c r="ES334" s="407">
        <v>0</v>
      </c>
      <c r="ET334" s="407">
        <v>0</v>
      </c>
      <c r="EU334" s="407">
        <v>0</v>
      </c>
      <c r="EV334" s="407">
        <v>246</v>
      </c>
      <c r="EW334" s="407">
        <v>0</v>
      </c>
      <c r="EX334" s="407">
        <v>0</v>
      </c>
      <c r="EY334" s="407">
        <v>0</v>
      </c>
      <c r="EZ334" s="407"/>
      <c r="FA334" s="407">
        <v>0</v>
      </c>
      <c r="FB334" s="407"/>
      <c r="FC334" s="407"/>
      <c r="FD334" s="407"/>
      <c r="FE334" s="407"/>
      <c r="FF334" s="407">
        <v>0</v>
      </c>
      <c r="FG334" s="407">
        <v>0</v>
      </c>
      <c r="FH334" s="407">
        <v>0</v>
      </c>
      <c r="FI334" s="407">
        <v>0</v>
      </c>
    </row>
    <row r="335" spans="1:165">
      <c r="A335" s="407">
        <v>351</v>
      </c>
      <c r="B335" s="407" t="s">
        <v>2309</v>
      </c>
      <c r="C335" s="407" t="s">
        <v>2314</v>
      </c>
      <c r="D335" s="407" t="s">
        <v>650</v>
      </c>
      <c r="E335" s="407" t="s">
        <v>1049</v>
      </c>
      <c r="F335" s="407" t="s">
        <v>97</v>
      </c>
      <c r="G335" s="407" t="s">
        <v>97</v>
      </c>
      <c r="H335" s="407" t="s">
        <v>97</v>
      </c>
      <c r="I335" s="407" t="s">
        <v>2290</v>
      </c>
      <c r="J335" s="407" t="s">
        <v>2307</v>
      </c>
      <c r="K335" s="818">
        <v>44531</v>
      </c>
      <c r="L335" s="407">
        <v>0</v>
      </c>
      <c r="M335" s="407">
        <v>0</v>
      </c>
      <c r="N335" s="407">
        <v>31.003</v>
      </c>
      <c r="O335" s="407">
        <v>31.003</v>
      </c>
      <c r="P335" s="407">
        <v>31.003</v>
      </c>
      <c r="Q335" s="407">
        <v>31.003</v>
      </c>
      <c r="R335" s="407"/>
      <c r="S335" s="407">
        <v>95.29</v>
      </c>
      <c r="T335" s="407">
        <v>159.41</v>
      </c>
      <c r="U335" s="407"/>
      <c r="V335" s="407">
        <v>7896.4641000000001</v>
      </c>
      <c r="W335" s="407">
        <v>7896.4641000000001</v>
      </c>
      <c r="X335" s="407">
        <v>8585.0407299999988</v>
      </c>
      <c r="Y335" s="407">
        <v>0</v>
      </c>
      <c r="Z335" s="407">
        <v>1671.499401845424</v>
      </c>
      <c r="AA335" s="407">
        <v>0</v>
      </c>
      <c r="AB335" s="407">
        <v>0</v>
      </c>
      <c r="AC335" s="407">
        <v>0</v>
      </c>
      <c r="AD335" s="407">
        <v>0</v>
      </c>
      <c r="AE335" s="407">
        <v>0</v>
      </c>
      <c r="AF335" s="407">
        <v>4781.6149102565178</v>
      </c>
      <c r="AG335" s="407">
        <v>160.64970962314635</v>
      </c>
      <c r="AH335" s="407">
        <v>0</v>
      </c>
      <c r="AI335" s="407">
        <v>0</v>
      </c>
      <c r="AJ335" s="407">
        <v>0</v>
      </c>
      <c r="AK335" s="407">
        <v>0</v>
      </c>
      <c r="AL335" s="407">
        <v>296.88644403905829</v>
      </c>
      <c r="AM335" s="407"/>
      <c r="AN335" s="407">
        <v>33.28895609828902</v>
      </c>
      <c r="AO335" s="407">
        <v>0</v>
      </c>
      <c r="AP335" s="407">
        <v>0</v>
      </c>
      <c r="AQ335" s="407">
        <v>0</v>
      </c>
      <c r="AR335" s="407">
        <v>0</v>
      </c>
      <c r="AS335" s="407">
        <v>0</v>
      </c>
      <c r="AT335" s="407">
        <v>0</v>
      </c>
      <c r="AU335" s="407">
        <v>0</v>
      </c>
      <c r="AV335" s="407">
        <v>0</v>
      </c>
      <c r="AW335" s="407">
        <v>0</v>
      </c>
      <c r="AX335" s="407">
        <v>0</v>
      </c>
      <c r="AY335" s="407">
        <v>0</v>
      </c>
      <c r="AZ335" s="407">
        <v>0</v>
      </c>
      <c r="BA335" s="407"/>
      <c r="BB335" s="407">
        <v>0</v>
      </c>
      <c r="BC335" s="407">
        <v>0</v>
      </c>
      <c r="BD335" s="407">
        <v>0</v>
      </c>
      <c r="BE335" s="407">
        <v>0</v>
      </c>
      <c r="BF335" s="407">
        <v>0</v>
      </c>
      <c r="BG335" s="407">
        <v>160.90167475021155</v>
      </c>
      <c r="BH335" s="407">
        <v>0</v>
      </c>
      <c r="BI335" s="407">
        <v>0</v>
      </c>
      <c r="BJ335" s="407">
        <v>0</v>
      </c>
      <c r="BK335" s="407">
        <v>0</v>
      </c>
      <c r="BL335" s="407">
        <v>0</v>
      </c>
      <c r="BM335" s="407"/>
      <c r="BN335" s="407"/>
      <c r="BO335" s="407"/>
      <c r="BP335" s="407"/>
      <c r="BQ335" s="407"/>
      <c r="BR335" s="407"/>
      <c r="BS335" s="407"/>
      <c r="BT335" s="407"/>
      <c r="BU335" s="407"/>
      <c r="BV335" s="407">
        <v>4942.5165850067297</v>
      </c>
      <c r="BW335" s="407"/>
      <c r="BX335" s="407"/>
      <c r="BY335" s="407"/>
      <c r="BZ335" s="407"/>
      <c r="CA335" s="407"/>
      <c r="CB335" s="407"/>
      <c r="CC335" s="407"/>
      <c r="CD335" s="407"/>
      <c r="CE335" s="407"/>
      <c r="CF335" s="407"/>
      <c r="CG335" s="407"/>
      <c r="CH335" s="407"/>
      <c r="CI335" s="407">
        <v>8584.2099999999991</v>
      </c>
      <c r="CJ335" s="407">
        <v>687.71589999999833</v>
      </c>
      <c r="CK335" s="407"/>
      <c r="CL335" s="407"/>
      <c r="CM335" s="407"/>
      <c r="CN335" s="407"/>
      <c r="CO335" s="407">
        <v>-163.07578000000015</v>
      </c>
      <c r="CP335" s="407">
        <v>851.65240999999992</v>
      </c>
      <c r="CQ335" s="407"/>
      <c r="CR335" s="407">
        <v>688.4786360147109</v>
      </c>
      <c r="CS335" s="407">
        <v>0</v>
      </c>
      <c r="CT335" s="407">
        <v>0</v>
      </c>
      <c r="CU335" s="407">
        <v>0</v>
      </c>
      <c r="CV335" s="407">
        <v>0</v>
      </c>
      <c r="CW335" s="407">
        <v>0</v>
      </c>
      <c r="CX335" s="407">
        <v>0</v>
      </c>
      <c r="CY335" s="407">
        <v>0</v>
      </c>
      <c r="CZ335" s="407">
        <v>0</v>
      </c>
      <c r="DA335" s="407">
        <v>0</v>
      </c>
      <c r="DB335" s="407">
        <v>0</v>
      </c>
      <c r="DC335" s="407">
        <v>948.06510993822849</v>
      </c>
      <c r="DD335" s="407">
        <v>0</v>
      </c>
      <c r="DE335" s="407">
        <v>0</v>
      </c>
      <c r="DF335" s="407">
        <v>0</v>
      </c>
      <c r="DG335" s="407">
        <v>31.902456978310113</v>
      </c>
      <c r="DH335" s="407">
        <v>0</v>
      </c>
      <c r="DI335" s="407">
        <v>-117.07511555004317</v>
      </c>
      <c r="DJ335" s="407"/>
      <c r="DK335" s="407">
        <v>0</v>
      </c>
      <c r="DL335" s="407">
        <v>0</v>
      </c>
      <c r="DM335" s="407">
        <v>0</v>
      </c>
      <c r="DN335" s="407">
        <v>0</v>
      </c>
      <c r="DO335" s="407">
        <v>-18.113450738288293</v>
      </c>
      <c r="DP335" s="407">
        <v>-2.1210919162864244</v>
      </c>
      <c r="DQ335" s="407">
        <v>0</v>
      </c>
      <c r="DR335" s="407">
        <v>-154.17927269720869</v>
      </c>
      <c r="DS335" s="407"/>
      <c r="DT335" s="407"/>
      <c r="DU335" s="407"/>
      <c r="DV335" s="407">
        <v>0</v>
      </c>
      <c r="DW335" s="407">
        <v>0</v>
      </c>
      <c r="DX335" s="407">
        <v>0</v>
      </c>
      <c r="DY335" s="407">
        <v>-163.07578000000058</v>
      </c>
      <c r="DZ335" s="407">
        <v>851.65240999999969</v>
      </c>
      <c r="EA335" s="407">
        <v>0</v>
      </c>
      <c r="EB335" s="407">
        <v>0</v>
      </c>
      <c r="EC335" s="407">
        <v>0</v>
      </c>
      <c r="ED335" s="407">
        <v>0</v>
      </c>
      <c r="EE335" s="407">
        <v>0</v>
      </c>
      <c r="EF335" s="407">
        <v>0</v>
      </c>
      <c r="EG335" s="407">
        <v>0</v>
      </c>
      <c r="EH335" s="407">
        <v>0</v>
      </c>
      <c r="EI335" s="407">
        <v>0</v>
      </c>
      <c r="EJ335" s="407">
        <v>0</v>
      </c>
      <c r="EK335" s="407">
        <v>0</v>
      </c>
      <c r="EL335" s="407">
        <v>0</v>
      </c>
      <c r="EM335" s="407">
        <v>0</v>
      </c>
      <c r="EN335" s="407">
        <v>0</v>
      </c>
      <c r="EO335" s="407">
        <v>0</v>
      </c>
      <c r="EP335" s="407">
        <v>791.75938092674255</v>
      </c>
      <c r="EQ335" s="407">
        <v>0</v>
      </c>
      <c r="ER335" s="407">
        <v>0</v>
      </c>
      <c r="ES335" s="407">
        <v>0</v>
      </c>
      <c r="ET335" s="407">
        <v>0</v>
      </c>
      <c r="EU335" s="407">
        <v>0</v>
      </c>
      <c r="EV335" s="407">
        <v>246</v>
      </c>
      <c r="EW335" s="407">
        <v>0</v>
      </c>
      <c r="EX335" s="407">
        <v>0</v>
      </c>
      <c r="EY335" s="407">
        <v>0</v>
      </c>
      <c r="EZ335" s="407"/>
      <c r="FA335" s="407">
        <v>0</v>
      </c>
      <c r="FB335" s="407"/>
      <c r="FC335" s="407"/>
      <c r="FD335" s="407"/>
      <c r="FE335" s="407"/>
      <c r="FF335" s="407">
        <v>0</v>
      </c>
      <c r="FG335" s="407">
        <v>0</v>
      </c>
      <c r="FH335" s="407">
        <v>0</v>
      </c>
      <c r="FI335" s="407">
        <v>0</v>
      </c>
    </row>
    <row r="336" spans="1:165">
      <c r="A336" s="407">
        <v>352</v>
      </c>
      <c r="B336" s="407" t="s">
        <v>1090</v>
      </c>
      <c r="C336" s="407" t="s">
        <v>2314</v>
      </c>
      <c r="D336" s="407" t="s">
        <v>650</v>
      </c>
      <c r="E336" s="407" t="s">
        <v>1049</v>
      </c>
      <c r="F336" s="407" t="s">
        <v>97</v>
      </c>
      <c r="G336" s="407" t="s">
        <v>97</v>
      </c>
      <c r="H336" s="407" t="s">
        <v>97</v>
      </c>
      <c r="I336" s="407" t="s">
        <v>97</v>
      </c>
      <c r="J336" s="407" t="s">
        <v>2307</v>
      </c>
      <c r="K336" s="818">
        <v>44531</v>
      </c>
      <c r="L336" s="407">
        <v>1592</v>
      </c>
      <c r="M336" s="407">
        <v>1592</v>
      </c>
      <c r="N336" s="407">
        <v>0</v>
      </c>
      <c r="O336" s="407">
        <v>0</v>
      </c>
      <c r="P336" s="407">
        <v>0</v>
      </c>
      <c r="Q336" s="407">
        <v>0</v>
      </c>
      <c r="R336" s="407">
        <v>43.29</v>
      </c>
      <c r="S336" s="407"/>
      <c r="T336" s="407"/>
      <c r="U336" s="407">
        <v>68917.679999999993</v>
      </c>
      <c r="V336" s="407"/>
      <c r="W336" s="407">
        <v>68917.679999999993</v>
      </c>
      <c r="X336" s="407">
        <v>53316.08</v>
      </c>
      <c r="Y336" s="407">
        <v>0</v>
      </c>
      <c r="Z336" s="407">
        <v>0</v>
      </c>
      <c r="AA336" s="407">
        <v>0</v>
      </c>
      <c r="AB336" s="407">
        <v>0</v>
      </c>
      <c r="AC336" s="407">
        <v>0</v>
      </c>
      <c r="AD336" s="407">
        <v>37673.067556233298</v>
      </c>
      <c r="AE336" s="407">
        <v>31249.665870159584</v>
      </c>
      <c r="AF336" s="407"/>
      <c r="AG336" s="407"/>
      <c r="AH336" s="407"/>
      <c r="AI336" s="407">
        <v>0</v>
      </c>
      <c r="AJ336" s="407">
        <v>0</v>
      </c>
      <c r="AK336" s="407">
        <v>0</v>
      </c>
      <c r="AL336" s="407">
        <v>0</v>
      </c>
      <c r="AM336" s="407"/>
      <c r="AN336" s="407">
        <v>0</v>
      </c>
      <c r="AO336" s="407">
        <v>0</v>
      </c>
      <c r="AP336" s="407">
        <v>0</v>
      </c>
      <c r="AQ336" s="407">
        <v>0</v>
      </c>
      <c r="AR336" s="407">
        <v>0</v>
      </c>
      <c r="AS336" s="407"/>
      <c r="AT336" s="407"/>
      <c r="AU336" s="407">
        <v>0</v>
      </c>
      <c r="AV336" s="407">
        <v>0</v>
      </c>
      <c r="AW336" s="407">
        <v>0</v>
      </c>
      <c r="AX336" s="407"/>
      <c r="AY336" s="407"/>
      <c r="AZ336" s="407">
        <v>0</v>
      </c>
      <c r="BA336" s="407"/>
      <c r="BB336" s="407">
        <v>0</v>
      </c>
      <c r="BC336" s="407">
        <v>0</v>
      </c>
      <c r="BD336" s="407">
        <v>0</v>
      </c>
      <c r="BE336" s="407">
        <v>0</v>
      </c>
      <c r="BF336" s="407"/>
      <c r="BG336" s="407">
        <v>0</v>
      </c>
      <c r="BH336" s="407">
        <v>0</v>
      </c>
      <c r="BI336" s="407">
        <v>516.45000000000005</v>
      </c>
      <c r="BJ336" s="407">
        <v>2441.7600000000002</v>
      </c>
      <c r="BK336" s="407">
        <v>66961.289999999994</v>
      </c>
      <c r="BL336" s="407">
        <v>12</v>
      </c>
      <c r="BM336" s="407"/>
      <c r="BN336" s="407"/>
      <c r="BO336" s="407"/>
      <c r="BP336" s="407"/>
      <c r="BQ336" s="407"/>
      <c r="BR336" s="407"/>
      <c r="BS336" s="407"/>
      <c r="BT336" s="407"/>
      <c r="BU336" s="407"/>
      <c r="BV336" s="407">
        <v>0</v>
      </c>
      <c r="BW336" s="407"/>
      <c r="BX336" s="407"/>
      <c r="BY336" s="407"/>
      <c r="BZ336" s="407"/>
      <c r="CA336" s="407"/>
      <c r="CB336" s="407"/>
      <c r="CC336" s="407"/>
      <c r="CD336" s="407"/>
      <c r="CE336" s="407"/>
      <c r="CF336" s="407"/>
      <c r="CG336" s="407"/>
      <c r="CH336" s="407"/>
      <c r="CI336" s="407">
        <v>53316.08</v>
      </c>
      <c r="CJ336" s="407">
        <v>-15601.629999999976</v>
      </c>
      <c r="CK336" s="407"/>
      <c r="CL336" s="407"/>
      <c r="CM336" s="407"/>
      <c r="CN336" s="407"/>
      <c r="CO336" s="407">
        <v>-15601.599999999995</v>
      </c>
      <c r="CP336" s="407">
        <v>0</v>
      </c>
      <c r="CQ336" s="407"/>
      <c r="CR336" s="407">
        <v>356.06695118173957</v>
      </c>
      <c r="CS336" s="407">
        <v>0</v>
      </c>
      <c r="CT336" s="407">
        <v>0</v>
      </c>
      <c r="CU336" s="407">
        <v>0</v>
      </c>
      <c r="CV336" s="407">
        <v>0</v>
      </c>
      <c r="CW336" s="407"/>
      <c r="CX336" s="407"/>
      <c r="CY336" s="407"/>
      <c r="CZ336" s="407">
        <v>1701.7671600513786</v>
      </c>
      <c r="DA336" s="407">
        <v>0</v>
      </c>
      <c r="DB336" s="407">
        <v>0</v>
      </c>
      <c r="DC336" s="407"/>
      <c r="DD336" s="407"/>
      <c r="DE336" s="407">
        <v>0</v>
      </c>
      <c r="DF336" s="407">
        <v>0</v>
      </c>
      <c r="DG336" s="407">
        <v>0</v>
      </c>
      <c r="DH336" s="407">
        <v>0</v>
      </c>
      <c r="DI336" s="407">
        <v>0</v>
      </c>
      <c r="DJ336" s="407"/>
      <c r="DK336" s="407">
        <v>0</v>
      </c>
      <c r="DL336" s="407">
        <v>0</v>
      </c>
      <c r="DM336" s="407"/>
      <c r="DN336" s="407">
        <v>0</v>
      </c>
      <c r="DO336" s="407">
        <v>0</v>
      </c>
      <c r="DP336" s="407">
        <v>0</v>
      </c>
      <c r="DQ336" s="407">
        <v>0</v>
      </c>
      <c r="DR336" s="407">
        <v>-1345.7002088696356</v>
      </c>
      <c r="DS336" s="407"/>
      <c r="DT336" s="407"/>
      <c r="DU336" s="407">
        <v>31249.665870159584</v>
      </c>
      <c r="DV336" s="407"/>
      <c r="DW336" s="407">
        <v>0</v>
      </c>
      <c r="DX336" s="407">
        <v>0</v>
      </c>
      <c r="DY336" s="407">
        <v>-15601.599999999991</v>
      </c>
      <c r="DZ336" s="407"/>
      <c r="EA336" s="407">
        <v>0</v>
      </c>
      <c r="EB336" s="407"/>
      <c r="EC336" s="407">
        <v>-15962.401907681331</v>
      </c>
      <c r="ED336" s="407"/>
      <c r="EE336" s="407">
        <v>0</v>
      </c>
      <c r="EF336" s="407">
        <v>0</v>
      </c>
      <c r="EG336" s="407"/>
      <c r="EH336" s="407">
        <v>0</v>
      </c>
      <c r="EI336" s="407">
        <v>0</v>
      </c>
      <c r="EJ336" s="407">
        <v>0</v>
      </c>
      <c r="EK336" s="407">
        <v>0</v>
      </c>
      <c r="EL336" s="407">
        <v>0</v>
      </c>
      <c r="EM336" s="407"/>
      <c r="EN336" s="407"/>
      <c r="EO336" s="407">
        <v>0</v>
      </c>
      <c r="EP336" s="407">
        <v>0</v>
      </c>
      <c r="EQ336" s="407"/>
      <c r="ER336" s="407">
        <v>0</v>
      </c>
      <c r="ES336" s="407"/>
      <c r="ET336" s="407">
        <v>0</v>
      </c>
      <c r="EU336" s="407"/>
      <c r="EV336" s="407">
        <v>246</v>
      </c>
      <c r="EW336" s="407"/>
      <c r="EX336" s="407"/>
      <c r="EY336" s="407"/>
      <c r="EZ336" s="407"/>
      <c r="FA336" s="407">
        <v>0</v>
      </c>
      <c r="FB336" s="407"/>
      <c r="FC336" s="407"/>
      <c r="FD336" s="407"/>
      <c r="FE336" s="407"/>
      <c r="FF336" s="407">
        <v>0</v>
      </c>
      <c r="FG336" s="407">
        <v>0</v>
      </c>
      <c r="FH336" s="407">
        <v>0</v>
      </c>
      <c r="FI336" s="407">
        <v>0</v>
      </c>
    </row>
    <row r="337" spans="1:165">
      <c r="A337" s="407">
        <v>353</v>
      </c>
      <c r="B337" s="407" t="s">
        <v>2309</v>
      </c>
      <c r="C337" s="407" t="s">
        <v>2314</v>
      </c>
      <c r="D337" s="407" t="s">
        <v>650</v>
      </c>
      <c r="E337" s="407" t="s">
        <v>1049</v>
      </c>
      <c r="F337" s="407" t="s">
        <v>97</v>
      </c>
      <c r="G337" s="407" t="s">
        <v>97</v>
      </c>
      <c r="H337" s="407" t="s">
        <v>97</v>
      </c>
      <c r="I337" s="407" t="s">
        <v>97</v>
      </c>
      <c r="J337" s="407" t="s">
        <v>2307</v>
      </c>
      <c r="K337" s="818">
        <v>44531</v>
      </c>
      <c r="L337" s="407">
        <v>926</v>
      </c>
      <c r="M337" s="407">
        <v>926</v>
      </c>
      <c r="N337" s="407">
        <v>0</v>
      </c>
      <c r="O337" s="407">
        <v>0</v>
      </c>
      <c r="P337" s="407">
        <v>0</v>
      </c>
      <c r="Q337" s="407">
        <v>0</v>
      </c>
      <c r="R337" s="407">
        <v>43.29</v>
      </c>
      <c r="S337" s="407"/>
      <c r="T337" s="407"/>
      <c r="U337" s="407">
        <v>40086.54</v>
      </c>
      <c r="V337" s="407"/>
      <c r="W337" s="407">
        <v>40086.54</v>
      </c>
      <c r="X337" s="407">
        <v>31011.74</v>
      </c>
      <c r="Y337" s="407">
        <v>0</v>
      </c>
      <c r="Z337" s="407">
        <v>0</v>
      </c>
      <c r="AA337" s="407">
        <v>0</v>
      </c>
      <c r="AB337" s="407">
        <v>0</v>
      </c>
      <c r="AC337" s="407">
        <v>0</v>
      </c>
      <c r="AD337" s="407">
        <v>21912.852108713589</v>
      </c>
      <c r="AE337" s="407">
        <v>18176.627258648103</v>
      </c>
      <c r="AF337" s="407"/>
      <c r="AG337" s="407"/>
      <c r="AH337" s="407"/>
      <c r="AI337" s="407">
        <v>0</v>
      </c>
      <c r="AJ337" s="407">
        <v>0</v>
      </c>
      <c r="AK337" s="407">
        <v>0</v>
      </c>
      <c r="AL337" s="407">
        <v>0</v>
      </c>
      <c r="AM337" s="407"/>
      <c r="AN337" s="407">
        <v>0</v>
      </c>
      <c r="AO337" s="407">
        <v>0</v>
      </c>
      <c r="AP337" s="407">
        <v>0</v>
      </c>
      <c r="AQ337" s="407">
        <v>0</v>
      </c>
      <c r="AR337" s="407">
        <v>0</v>
      </c>
      <c r="AS337" s="407"/>
      <c r="AT337" s="407"/>
      <c r="AU337" s="407">
        <v>0</v>
      </c>
      <c r="AV337" s="407">
        <v>0</v>
      </c>
      <c r="AW337" s="407">
        <v>0</v>
      </c>
      <c r="AX337" s="407"/>
      <c r="AY337" s="407"/>
      <c r="AZ337" s="407">
        <v>0</v>
      </c>
      <c r="BA337" s="407"/>
      <c r="BB337" s="407">
        <v>0</v>
      </c>
      <c r="BC337" s="407">
        <v>0</v>
      </c>
      <c r="BD337" s="407">
        <v>0</v>
      </c>
      <c r="BE337" s="407">
        <v>0</v>
      </c>
      <c r="BF337" s="407"/>
      <c r="BG337" s="407">
        <v>0</v>
      </c>
      <c r="BH337" s="407">
        <v>0</v>
      </c>
      <c r="BI337" s="407">
        <v>197.4</v>
      </c>
      <c r="BJ337" s="407">
        <v>933.3</v>
      </c>
      <c r="BK337" s="407">
        <v>28982.76</v>
      </c>
      <c r="BL337" s="407">
        <v>6</v>
      </c>
      <c r="BM337" s="407"/>
      <c r="BN337" s="407"/>
      <c r="BO337" s="407"/>
      <c r="BP337" s="407"/>
      <c r="BQ337" s="407"/>
      <c r="BR337" s="407"/>
      <c r="BS337" s="407"/>
      <c r="BT337" s="407"/>
      <c r="BU337" s="407"/>
      <c r="BV337" s="407">
        <v>0</v>
      </c>
      <c r="BW337" s="407"/>
      <c r="BX337" s="407"/>
      <c r="BY337" s="407"/>
      <c r="BZ337" s="407"/>
      <c r="CA337" s="407"/>
      <c r="CB337" s="407"/>
      <c r="CC337" s="407"/>
      <c r="CD337" s="407"/>
      <c r="CE337" s="407"/>
      <c r="CF337" s="407"/>
      <c r="CG337" s="407"/>
      <c r="CH337" s="407"/>
      <c r="CI337" s="407">
        <v>31011.74</v>
      </c>
      <c r="CJ337" s="407">
        <v>-9074.8300000000054</v>
      </c>
      <c r="CK337" s="407"/>
      <c r="CL337" s="407"/>
      <c r="CM337" s="407"/>
      <c r="CN337" s="407"/>
      <c r="CO337" s="407">
        <v>-9074.7999999999975</v>
      </c>
      <c r="CP337" s="407">
        <v>0</v>
      </c>
      <c r="CQ337" s="407"/>
      <c r="CR337" s="407">
        <v>207.10929446877708</v>
      </c>
      <c r="CS337" s="407">
        <v>0</v>
      </c>
      <c r="CT337" s="407">
        <v>0</v>
      </c>
      <c r="CU337" s="407">
        <v>0</v>
      </c>
      <c r="CV337" s="407">
        <v>0</v>
      </c>
      <c r="CW337" s="407"/>
      <c r="CX337" s="407"/>
      <c r="CY337" s="407"/>
      <c r="CZ337" s="407">
        <v>989.84697877360304</v>
      </c>
      <c r="DA337" s="407">
        <v>0</v>
      </c>
      <c r="DB337" s="407">
        <v>0</v>
      </c>
      <c r="DC337" s="407"/>
      <c r="DD337" s="407"/>
      <c r="DE337" s="407">
        <v>0</v>
      </c>
      <c r="DF337" s="407">
        <v>0</v>
      </c>
      <c r="DG337" s="407">
        <v>0</v>
      </c>
      <c r="DH337" s="407">
        <v>0</v>
      </c>
      <c r="DI337" s="407">
        <v>0</v>
      </c>
      <c r="DJ337" s="407"/>
      <c r="DK337" s="407">
        <v>0</v>
      </c>
      <c r="DL337" s="407">
        <v>0</v>
      </c>
      <c r="DM337" s="407"/>
      <c r="DN337" s="407">
        <v>0</v>
      </c>
      <c r="DO337" s="407">
        <v>0</v>
      </c>
      <c r="DP337" s="407">
        <v>0</v>
      </c>
      <c r="DQ337" s="407">
        <v>0</v>
      </c>
      <c r="DR337" s="407">
        <v>-782.73768430482573</v>
      </c>
      <c r="DS337" s="407"/>
      <c r="DT337" s="407"/>
      <c r="DU337" s="407">
        <v>18176.627258648103</v>
      </c>
      <c r="DV337" s="407"/>
      <c r="DW337" s="407">
        <v>0</v>
      </c>
      <c r="DX337" s="407">
        <v>0</v>
      </c>
      <c r="DY337" s="407">
        <v>-9074.7999999999993</v>
      </c>
      <c r="DZ337" s="407"/>
      <c r="EA337" s="407">
        <v>0</v>
      </c>
      <c r="EB337" s="407"/>
      <c r="EC337" s="407">
        <v>-9284.6634211764558</v>
      </c>
      <c r="ED337" s="407"/>
      <c r="EE337" s="407">
        <v>0</v>
      </c>
      <c r="EF337" s="407">
        <v>0</v>
      </c>
      <c r="EG337" s="407"/>
      <c r="EH337" s="407">
        <v>0</v>
      </c>
      <c r="EI337" s="407">
        <v>0</v>
      </c>
      <c r="EJ337" s="407">
        <v>0</v>
      </c>
      <c r="EK337" s="407">
        <v>0</v>
      </c>
      <c r="EL337" s="407">
        <v>0</v>
      </c>
      <c r="EM337" s="407"/>
      <c r="EN337" s="407"/>
      <c r="EO337" s="407">
        <v>0</v>
      </c>
      <c r="EP337" s="407">
        <v>0</v>
      </c>
      <c r="EQ337" s="407"/>
      <c r="ER337" s="407">
        <v>0</v>
      </c>
      <c r="ES337" s="407"/>
      <c r="ET337" s="407">
        <v>0</v>
      </c>
      <c r="EU337" s="407"/>
      <c r="EV337" s="407">
        <v>246</v>
      </c>
      <c r="EW337" s="407"/>
      <c r="EX337" s="407"/>
      <c r="EY337" s="407"/>
      <c r="EZ337" s="407"/>
      <c r="FA337" s="407">
        <v>0</v>
      </c>
      <c r="FB337" s="407"/>
      <c r="FC337" s="407"/>
      <c r="FD337" s="407"/>
      <c r="FE337" s="407"/>
      <c r="FF337" s="407">
        <v>0</v>
      </c>
      <c r="FG337" s="407">
        <v>0</v>
      </c>
      <c r="FH337" s="407">
        <v>0</v>
      </c>
      <c r="FI337" s="407">
        <v>0</v>
      </c>
    </row>
    <row r="338" spans="1:165">
      <c r="A338" s="407">
        <v>354</v>
      </c>
      <c r="B338" s="407" t="s">
        <v>1090</v>
      </c>
      <c r="C338" s="407" t="s">
        <v>2306</v>
      </c>
      <c r="D338" s="407" t="s">
        <v>2315</v>
      </c>
      <c r="E338" s="407" t="s">
        <v>1026</v>
      </c>
      <c r="F338" s="407" t="s">
        <v>97</v>
      </c>
      <c r="G338" s="407" t="s">
        <v>97</v>
      </c>
      <c r="H338" s="407" t="s">
        <v>97</v>
      </c>
      <c r="I338" s="407" t="s">
        <v>97</v>
      </c>
      <c r="J338" s="407" t="s">
        <v>2307</v>
      </c>
      <c r="K338" s="818">
        <v>44531</v>
      </c>
      <c r="L338" s="407">
        <v>0</v>
      </c>
      <c r="M338" s="407">
        <v>0</v>
      </c>
      <c r="N338" s="407">
        <v>4294.2209999999995</v>
      </c>
      <c r="O338" s="407">
        <v>4294.2209999999995</v>
      </c>
      <c r="P338" s="407">
        <v>4294.2209999999995</v>
      </c>
      <c r="Q338" s="407">
        <v>4294.2209999999995</v>
      </c>
      <c r="R338" s="407"/>
      <c r="S338" s="407">
        <v>648.44000000000005</v>
      </c>
      <c r="T338" s="407">
        <v>159.41</v>
      </c>
      <c r="U338" s="407"/>
      <c r="V338" s="407">
        <v>3469086.4348499998</v>
      </c>
      <c r="W338" s="407">
        <v>3469086.4348499998</v>
      </c>
      <c r="X338" s="407">
        <v>2627290.2922199997</v>
      </c>
      <c r="Y338" s="407">
        <v>0</v>
      </c>
      <c r="Z338" s="407">
        <v>266113.95163063798</v>
      </c>
      <c r="AA338" s="407">
        <v>0</v>
      </c>
      <c r="AB338" s="407">
        <v>0</v>
      </c>
      <c r="AC338" s="407">
        <v>0</v>
      </c>
      <c r="AD338" s="407">
        <v>500896.94457216008</v>
      </c>
      <c r="AE338" s="407">
        <v>1793034.7621036724</v>
      </c>
      <c r="AF338" s="407">
        <v>662300.78255448351</v>
      </c>
      <c r="AG338" s="407">
        <v>22251.567806587009</v>
      </c>
      <c r="AH338" s="407">
        <v>0</v>
      </c>
      <c r="AI338" s="407">
        <v>0</v>
      </c>
      <c r="AJ338" s="407">
        <v>0</v>
      </c>
      <c r="AK338" s="407">
        <v>0</v>
      </c>
      <c r="AL338" s="407">
        <v>41121.697984319217</v>
      </c>
      <c r="AM338" s="407"/>
      <c r="AN338" s="407">
        <v>8910.9192763506217</v>
      </c>
      <c r="AO338" s="407">
        <v>0</v>
      </c>
      <c r="AP338" s="407">
        <v>0</v>
      </c>
      <c r="AQ338" s="407">
        <v>0</v>
      </c>
      <c r="AR338" s="407">
        <v>0</v>
      </c>
      <c r="AS338" s="407">
        <v>0</v>
      </c>
      <c r="AT338" s="407">
        <v>0</v>
      </c>
      <c r="AU338" s="407">
        <v>0</v>
      </c>
      <c r="AV338" s="407">
        <v>0</v>
      </c>
      <c r="AW338" s="407">
        <v>0</v>
      </c>
      <c r="AX338" s="407">
        <v>0</v>
      </c>
      <c r="AY338" s="407">
        <v>0</v>
      </c>
      <c r="AZ338" s="407">
        <v>0</v>
      </c>
      <c r="BA338" s="407"/>
      <c r="BB338" s="407">
        <v>0</v>
      </c>
      <c r="BC338" s="407">
        <v>0</v>
      </c>
      <c r="BD338" s="407">
        <v>0</v>
      </c>
      <c r="BE338" s="407">
        <v>0</v>
      </c>
      <c r="BF338" s="407">
        <v>0</v>
      </c>
      <c r="BG338" s="407">
        <v>48412.072321360938</v>
      </c>
      <c r="BH338" s="407">
        <v>0</v>
      </c>
      <c r="BI338" s="407">
        <v>6977.48</v>
      </c>
      <c r="BJ338" s="407">
        <v>33310.31</v>
      </c>
      <c r="BK338" s="407">
        <v>240931.22</v>
      </c>
      <c r="BL338" s="407">
        <v>13906</v>
      </c>
      <c r="BM338" s="407"/>
      <c r="BN338" s="407"/>
      <c r="BO338" s="407"/>
      <c r="BP338" s="407"/>
      <c r="BQ338" s="407"/>
      <c r="BR338" s="407">
        <v>315281.70582000003</v>
      </c>
      <c r="BS338" s="407"/>
      <c r="BT338" s="407"/>
      <c r="BU338" s="407"/>
      <c r="BV338" s="407">
        <v>710712.85487584444</v>
      </c>
      <c r="BW338" s="407"/>
      <c r="BX338" s="407"/>
      <c r="BY338" s="407"/>
      <c r="BZ338" s="407"/>
      <c r="CA338" s="407"/>
      <c r="CB338" s="407"/>
      <c r="CC338" s="407"/>
      <c r="CD338" s="407"/>
      <c r="CE338" s="407"/>
      <c r="CF338" s="407"/>
      <c r="CG338" s="407"/>
      <c r="CH338" s="407"/>
      <c r="CI338" s="407">
        <v>2312008.0480000004</v>
      </c>
      <c r="CJ338" s="407">
        <v>-740796.63310999889</v>
      </c>
      <c r="CK338" s="407"/>
      <c r="CL338" s="407"/>
      <c r="CM338" s="407"/>
      <c r="CN338" s="407"/>
      <c r="CO338" s="407">
        <v>-959758.39350000012</v>
      </c>
      <c r="CP338" s="407">
        <v>117962.25086999999</v>
      </c>
      <c r="CQ338" s="407"/>
      <c r="CR338" s="407">
        <v>74092.566497218562</v>
      </c>
      <c r="CS338" s="407">
        <v>0</v>
      </c>
      <c r="CT338" s="407">
        <v>0</v>
      </c>
      <c r="CU338" s="407">
        <v>0</v>
      </c>
      <c r="CV338" s="407">
        <v>0</v>
      </c>
      <c r="CW338" s="407">
        <v>0</v>
      </c>
      <c r="CX338" s="407">
        <v>0</v>
      </c>
      <c r="CY338" s="407">
        <v>0</v>
      </c>
      <c r="CZ338" s="407">
        <v>22626.508169812383</v>
      </c>
      <c r="DA338" s="407">
        <v>0</v>
      </c>
      <c r="DB338" s="407">
        <v>0</v>
      </c>
      <c r="DC338" s="407">
        <v>131316.35985111282</v>
      </c>
      <c r="DD338" s="407">
        <v>0</v>
      </c>
      <c r="DE338" s="407">
        <v>0</v>
      </c>
      <c r="DF338" s="407">
        <v>0</v>
      </c>
      <c r="DG338" s="407">
        <v>9598.8065808558604</v>
      </c>
      <c r="DH338" s="407">
        <v>0</v>
      </c>
      <c r="DI338" s="407">
        <v>-18639.146147607476</v>
      </c>
      <c r="DJ338" s="407"/>
      <c r="DK338" s="407">
        <v>0</v>
      </c>
      <c r="DL338" s="407">
        <v>0</v>
      </c>
      <c r="DM338" s="407">
        <v>0</v>
      </c>
      <c r="DN338" s="407">
        <v>0</v>
      </c>
      <c r="DO338" s="407">
        <v>-2508.8914151154095</v>
      </c>
      <c r="DP338" s="407">
        <v>-567.78226352135243</v>
      </c>
      <c r="DQ338" s="407">
        <v>0</v>
      </c>
      <c r="DR338" s="407">
        <v>-67733.288278318199</v>
      </c>
      <c r="DS338" s="407"/>
      <c r="DT338" s="407"/>
      <c r="DU338" s="407"/>
      <c r="DV338" s="407">
        <v>1793034.7621036724</v>
      </c>
      <c r="DW338" s="407">
        <v>0</v>
      </c>
      <c r="DX338" s="407">
        <v>0</v>
      </c>
      <c r="DY338" s="407">
        <v>-959758.39350000024</v>
      </c>
      <c r="DZ338" s="407">
        <v>117962.25086999999</v>
      </c>
      <c r="EA338" s="407">
        <v>0</v>
      </c>
      <c r="EB338" s="407">
        <v>0</v>
      </c>
      <c r="EC338" s="407">
        <v>-915886.32102697087</v>
      </c>
      <c r="ED338" s="407">
        <v>0</v>
      </c>
      <c r="EE338" s="407">
        <v>0</v>
      </c>
      <c r="EF338" s="407">
        <v>0</v>
      </c>
      <c r="EG338" s="407">
        <v>0</v>
      </c>
      <c r="EH338" s="407">
        <v>0</v>
      </c>
      <c r="EI338" s="407">
        <v>0</v>
      </c>
      <c r="EJ338" s="407">
        <v>0</v>
      </c>
      <c r="EK338" s="407">
        <v>0</v>
      </c>
      <c r="EL338" s="407">
        <v>0</v>
      </c>
      <c r="EM338" s="407">
        <v>0</v>
      </c>
      <c r="EN338" s="407">
        <v>0</v>
      </c>
      <c r="EO338" s="407">
        <v>0</v>
      </c>
      <c r="EP338" s="407">
        <v>126053.42087853636</v>
      </c>
      <c r="EQ338" s="407">
        <v>0</v>
      </c>
      <c r="ER338" s="407">
        <v>0</v>
      </c>
      <c r="ES338" s="407">
        <v>0</v>
      </c>
      <c r="ET338" s="407">
        <v>0</v>
      </c>
      <c r="EU338" s="407">
        <v>0</v>
      </c>
      <c r="EV338" s="407">
        <v>246</v>
      </c>
      <c r="EW338" s="407">
        <v>0</v>
      </c>
      <c r="EX338" s="407">
        <v>0</v>
      </c>
      <c r="EY338" s="407">
        <v>0</v>
      </c>
      <c r="EZ338" s="407"/>
      <c r="FA338" s="407">
        <v>0</v>
      </c>
      <c r="FB338" s="407"/>
      <c r="FC338" s="407"/>
      <c r="FD338" s="407"/>
      <c r="FE338" s="407"/>
      <c r="FF338" s="407">
        <v>0</v>
      </c>
      <c r="FG338" s="407">
        <v>0</v>
      </c>
      <c r="FH338" s="407">
        <v>0</v>
      </c>
      <c r="FI338" s="407">
        <v>0</v>
      </c>
    </row>
    <row r="339" spans="1:165">
      <c r="A339" s="407">
        <v>355</v>
      </c>
      <c r="B339" s="407" t="s">
        <v>2308</v>
      </c>
      <c r="C339" s="407" t="s">
        <v>2306</v>
      </c>
      <c r="D339" s="407" t="s">
        <v>2315</v>
      </c>
      <c r="E339" s="407" t="s">
        <v>1026</v>
      </c>
      <c r="F339" s="407" t="s">
        <v>97</v>
      </c>
      <c r="G339" s="407" t="s">
        <v>97</v>
      </c>
      <c r="H339" s="407" t="s">
        <v>97</v>
      </c>
      <c r="I339" s="407" t="s">
        <v>97</v>
      </c>
      <c r="J339" s="407" t="s">
        <v>2307</v>
      </c>
      <c r="K339" s="818">
        <v>44531</v>
      </c>
      <c r="L339" s="407">
        <v>0</v>
      </c>
      <c r="M339" s="407">
        <v>0</v>
      </c>
      <c r="N339" s="407">
        <v>-25.366</v>
      </c>
      <c r="O339" s="407">
        <v>-25.366</v>
      </c>
      <c r="P339" s="407">
        <v>-25.366</v>
      </c>
      <c r="Q339" s="407">
        <v>-25.366</v>
      </c>
      <c r="R339" s="407"/>
      <c r="S339" s="407">
        <v>648.44000000000005</v>
      </c>
      <c r="T339" s="407">
        <v>159.41</v>
      </c>
      <c r="U339" s="407"/>
      <c r="V339" s="407">
        <v>-20491.9231</v>
      </c>
      <c r="W339" s="407">
        <v>-20491.9231</v>
      </c>
      <c r="X339" s="407">
        <v>-15519.42612</v>
      </c>
      <c r="Y339" s="407">
        <v>0</v>
      </c>
      <c r="Z339" s="407">
        <v>-1571.93737748075</v>
      </c>
      <c r="AA339" s="407">
        <v>0</v>
      </c>
      <c r="AB339" s="407">
        <v>0</v>
      </c>
      <c r="AC339" s="407">
        <v>0</v>
      </c>
      <c r="AD339" s="407">
        <v>-2958.8025152914611</v>
      </c>
      <c r="AE339" s="407">
        <v>-10591.471602304995</v>
      </c>
      <c r="AF339" s="407">
        <v>-3912.2163601447228</v>
      </c>
      <c r="AG339" s="407">
        <v>-131.44020044191629</v>
      </c>
      <c r="AH339" s="407">
        <v>0</v>
      </c>
      <c r="AI339" s="407">
        <v>0</v>
      </c>
      <c r="AJ339" s="407">
        <v>0</v>
      </c>
      <c r="AK339" s="407">
        <v>0</v>
      </c>
      <c r="AL339" s="407">
        <v>-242.90622002692487</v>
      </c>
      <c r="AM339" s="407"/>
      <c r="AN339" s="407">
        <v>-52.636876016374075</v>
      </c>
      <c r="AO339" s="407">
        <v>0</v>
      </c>
      <c r="AP339" s="407">
        <v>0</v>
      </c>
      <c r="AQ339" s="407">
        <v>0</v>
      </c>
      <c r="AR339" s="407">
        <v>0</v>
      </c>
      <c r="AS339" s="407">
        <v>0</v>
      </c>
      <c r="AT339" s="407">
        <v>0</v>
      </c>
      <c r="AU339" s="407">
        <v>0</v>
      </c>
      <c r="AV339" s="407">
        <v>0</v>
      </c>
      <c r="AW339" s="407">
        <v>0</v>
      </c>
      <c r="AX339" s="407">
        <v>0</v>
      </c>
      <c r="AY339" s="407">
        <v>0</v>
      </c>
      <c r="AZ339" s="407">
        <v>0</v>
      </c>
      <c r="BA339" s="407"/>
      <c r="BB339" s="407">
        <v>0</v>
      </c>
      <c r="BC339" s="407">
        <v>0</v>
      </c>
      <c r="BD339" s="407">
        <v>0</v>
      </c>
      <c r="BE339" s="407">
        <v>0</v>
      </c>
      <c r="BF339" s="407">
        <v>0</v>
      </c>
      <c r="BG339" s="407">
        <v>-285.97052329249976</v>
      </c>
      <c r="BH339" s="407">
        <v>0</v>
      </c>
      <c r="BI339" s="407">
        <v>-81.47</v>
      </c>
      <c r="BJ339" s="407">
        <v>-364.9</v>
      </c>
      <c r="BK339" s="407">
        <v>-7.19</v>
      </c>
      <c r="BL339" s="407">
        <v>0</v>
      </c>
      <c r="BM339" s="407"/>
      <c r="BN339" s="407"/>
      <c r="BO339" s="407"/>
      <c r="BP339" s="407"/>
      <c r="BQ339" s="407"/>
      <c r="BR339" s="407">
        <v>-1862.3717200000006</v>
      </c>
      <c r="BS339" s="407"/>
      <c r="BT339" s="407"/>
      <c r="BU339" s="407"/>
      <c r="BV339" s="407">
        <v>-4198.1868834372226</v>
      </c>
      <c r="BW339" s="407"/>
      <c r="BX339" s="407"/>
      <c r="BY339" s="407"/>
      <c r="BZ339" s="407"/>
      <c r="CA339" s="407"/>
      <c r="CB339" s="407"/>
      <c r="CC339" s="407"/>
      <c r="CD339" s="407"/>
      <c r="CE339" s="407"/>
      <c r="CF339" s="407"/>
      <c r="CG339" s="407"/>
      <c r="CH339" s="407"/>
      <c r="CI339" s="407">
        <v>-13659.208000000001</v>
      </c>
      <c r="CJ339" s="407">
        <v>4373.705060000002</v>
      </c>
      <c r="CK339" s="407"/>
      <c r="CL339" s="407"/>
      <c r="CM339" s="407"/>
      <c r="CN339" s="407"/>
      <c r="CO339" s="407">
        <v>5669.3010000000013</v>
      </c>
      <c r="CP339" s="407">
        <v>-696.80401999999992</v>
      </c>
      <c r="CQ339" s="407"/>
      <c r="CR339" s="407">
        <v>-437.66542098519312</v>
      </c>
      <c r="CS339" s="407">
        <v>0</v>
      </c>
      <c r="CT339" s="407">
        <v>0</v>
      </c>
      <c r="CU339" s="407">
        <v>0</v>
      </c>
      <c r="CV339" s="407">
        <v>0</v>
      </c>
      <c r="CW339" s="407">
        <v>0</v>
      </c>
      <c r="CX339" s="407">
        <v>0</v>
      </c>
      <c r="CY339" s="407">
        <v>0</v>
      </c>
      <c r="CZ339" s="407">
        <v>-133.65497635903284</v>
      </c>
      <c r="DA339" s="407">
        <v>0</v>
      </c>
      <c r="DB339" s="407">
        <v>0</v>
      </c>
      <c r="DC339" s="407">
        <v>-775.6868554234461</v>
      </c>
      <c r="DD339" s="407">
        <v>0</v>
      </c>
      <c r="DE339" s="407">
        <v>0</v>
      </c>
      <c r="DF339" s="407">
        <v>0</v>
      </c>
      <c r="DG339" s="407">
        <v>-56.700232179477894</v>
      </c>
      <c r="DH339" s="407">
        <v>0</v>
      </c>
      <c r="DI339" s="407">
        <v>110.10159495289395</v>
      </c>
      <c r="DJ339" s="407"/>
      <c r="DK339" s="407">
        <v>0</v>
      </c>
      <c r="DL339" s="407">
        <v>0</v>
      </c>
      <c r="DM339" s="407">
        <v>0</v>
      </c>
      <c r="DN339" s="407">
        <v>0</v>
      </c>
      <c r="DO339" s="407">
        <v>14.820042945115659</v>
      </c>
      <c r="DP339" s="407">
        <v>3.3538946636613787</v>
      </c>
      <c r="DQ339" s="407">
        <v>0</v>
      </c>
      <c r="DR339" s="407">
        <v>400.10111041509504</v>
      </c>
      <c r="DS339" s="407"/>
      <c r="DT339" s="407"/>
      <c r="DU339" s="407"/>
      <c r="DV339" s="407">
        <v>-10591.471602304995</v>
      </c>
      <c r="DW339" s="407">
        <v>0</v>
      </c>
      <c r="DX339" s="407">
        <v>0</v>
      </c>
      <c r="DY339" s="407">
        <v>5669.3010000000013</v>
      </c>
      <c r="DZ339" s="407">
        <v>-696.80402000000004</v>
      </c>
      <c r="EA339" s="407">
        <v>0</v>
      </c>
      <c r="EB339" s="407">
        <v>0</v>
      </c>
      <c r="EC339" s="407">
        <v>5410.1482944567006</v>
      </c>
      <c r="ED339" s="407">
        <v>0</v>
      </c>
      <c r="EE339" s="407">
        <v>0</v>
      </c>
      <c r="EF339" s="407">
        <v>0</v>
      </c>
      <c r="EG339" s="407">
        <v>0</v>
      </c>
      <c r="EH339" s="407">
        <v>0</v>
      </c>
      <c r="EI339" s="407">
        <v>0</v>
      </c>
      <c r="EJ339" s="407">
        <v>0</v>
      </c>
      <c r="EK339" s="407">
        <v>0</v>
      </c>
      <c r="EL339" s="407">
        <v>0</v>
      </c>
      <c r="EM339" s="407">
        <v>0</v>
      </c>
      <c r="EN339" s="407">
        <v>0</v>
      </c>
      <c r="EO339" s="407">
        <v>0</v>
      </c>
      <c r="EP339" s="407">
        <v>-744.59863011357675</v>
      </c>
      <c r="EQ339" s="407">
        <v>0</v>
      </c>
      <c r="ER339" s="407">
        <v>0</v>
      </c>
      <c r="ES339" s="407">
        <v>0</v>
      </c>
      <c r="ET339" s="407">
        <v>0</v>
      </c>
      <c r="EU339" s="407">
        <v>0</v>
      </c>
      <c r="EV339" s="407">
        <v>246</v>
      </c>
      <c r="EW339" s="407">
        <v>0</v>
      </c>
      <c r="EX339" s="407">
        <v>0</v>
      </c>
      <c r="EY339" s="407">
        <v>0</v>
      </c>
      <c r="EZ339" s="407"/>
      <c r="FA339" s="407">
        <v>0</v>
      </c>
      <c r="FB339" s="407"/>
      <c r="FC339" s="407"/>
      <c r="FD339" s="407"/>
      <c r="FE339" s="407"/>
      <c r="FF339" s="407">
        <v>0</v>
      </c>
      <c r="FG339" s="407">
        <v>0</v>
      </c>
      <c r="FH339" s="407">
        <v>0</v>
      </c>
      <c r="FI339" s="407">
        <v>0</v>
      </c>
    </row>
    <row r="340" spans="1:165">
      <c r="A340" s="407">
        <v>356</v>
      </c>
      <c r="B340" s="407" t="s">
        <v>2309</v>
      </c>
      <c r="C340" s="407" t="s">
        <v>2306</v>
      </c>
      <c r="D340" s="407" t="s">
        <v>2315</v>
      </c>
      <c r="E340" s="407" t="s">
        <v>1026</v>
      </c>
      <c r="F340" s="407" t="s">
        <v>97</v>
      </c>
      <c r="G340" s="407" t="s">
        <v>97</v>
      </c>
      <c r="H340" s="407" t="s">
        <v>97</v>
      </c>
      <c r="I340" s="407" t="s">
        <v>97</v>
      </c>
      <c r="J340" s="407" t="s">
        <v>2307</v>
      </c>
      <c r="K340" s="818">
        <v>44531</v>
      </c>
      <c r="L340" s="407">
        <v>0</v>
      </c>
      <c r="M340" s="407">
        <v>0</v>
      </c>
      <c r="N340" s="407">
        <v>68.828000000000003</v>
      </c>
      <c r="O340" s="407">
        <v>68.828000000000003</v>
      </c>
      <c r="P340" s="407">
        <v>68.828000000000003</v>
      </c>
      <c r="Q340" s="407">
        <v>68.828000000000003</v>
      </c>
      <c r="R340" s="407"/>
      <c r="S340" s="407">
        <v>648.44000000000005</v>
      </c>
      <c r="T340" s="407">
        <v>159.41</v>
      </c>
      <c r="U340" s="407"/>
      <c r="V340" s="407">
        <v>55602.699800000009</v>
      </c>
      <c r="W340" s="407">
        <v>55602.699800000009</v>
      </c>
      <c r="X340" s="407">
        <v>42110.346960000003</v>
      </c>
      <c r="Y340" s="407">
        <v>0</v>
      </c>
      <c r="Z340" s="407">
        <v>4265.2884103621018</v>
      </c>
      <c r="AA340" s="407">
        <v>0</v>
      </c>
      <c r="AB340" s="407">
        <v>0</v>
      </c>
      <c r="AC340" s="407">
        <v>0</v>
      </c>
      <c r="AD340" s="407">
        <v>8028.4025673137548</v>
      </c>
      <c r="AE340" s="407">
        <v>28738.855453892938</v>
      </c>
      <c r="AF340" s="407">
        <v>10615.391769929865</v>
      </c>
      <c r="AG340" s="407">
        <v>356.64929890468397</v>
      </c>
      <c r="AH340" s="407">
        <v>0</v>
      </c>
      <c r="AI340" s="407">
        <v>0</v>
      </c>
      <c r="AJ340" s="407">
        <v>0</v>
      </c>
      <c r="AK340" s="407">
        <v>0</v>
      </c>
      <c r="AL340" s="407">
        <v>659.10073768087943</v>
      </c>
      <c r="AM340" s="407"/>
      <c r="AN340" s="407">
        <v>142.82468274284454</v>
      </c>
      <c r="AO340" s="407">
        <v>0</v>
      </c>
      <c r="AP340" s="407">
        <v>0</v>
      </c>
      <c r="AQ340" s="407">
        <v>0</v>
      </c>
      <c r="AR340" s="407">
        <v>0</v>
      </c>
      <c r="AS340" s="407">
        <v>0</v>
      </c>
      <c r="AT340" s="407">
        <v>0</v>
      </c>
      <c r="AU340" s="407">
        <v>0</v>
      </c>
      <c r="AV340" s="407">
        <v>0</v>
      </c>
      <c r="AW340" s="407">
        <v>0</v>
      </c>
      <c r="AX340" s="407">
        <v>0</v>
      </c>
      <c r="AY340" s="407">
        <v>0</v>
      </c>
      <c r="AZ340" s="407">
        <v>0</v>
      </c>
      <c r="BA340" s="407"/>
      <c r="BB340" s="407">
        <v>0</v>
      </c>
      <c r="BC340" s="407">
        <v>0</v>
      </c>
      <c r="BD340" s="407">
        <v>0</v>
      </c>
      <c r="BE340" s="407">
        <v>0</v>
      </c>
      <c r="BF340" s="407">
        <v>0</v>
      </c>
      <c r="BG340" s="407">
        <v>775.95124091997855</v>
      </c>
      <c r="BH340" s="407">
        <v>0</v>
      </c>
      <c r="BI340" s="407">
        <v>110.85</v>
      </c>
      <c r="BJ340" s="407">
        <v>529.72</v>
      </c>
      <c r="BK340" s="407">
        <v>4657.3500000000004</v>
      </c>
      <c r="BL340" s="407">
        <v>326</v>
      </c>
      <c r="BM340" s="407"/>
      <c r="BN340" s="407"/>
      <c r="BO340" s="407"/>
      <c r="BP340" s="407"/>
      <c r="BQ340" s="407"/>
      <c r="BR340" s="407">
        <v>5053.3517600000014</v>
      </c>
      <c r="BS340" s="407"/>
      <c r="BT340" s="407"/>
      <c r="BU340" s="407"/>
      <c r="BV340" s="407">
        <v>11391.343010849843</v>
      </c>
      <c r="BW340" s="407"/>
      <c r="BX340" s="407"/>
      <c r="BY340" s="407"/>
      <c r="BZ340" s="407"/>
      <c r="CA340" s="407"/>
      <c r="CB340" s="407"/>
      <c r="CC340" s="407"/>
      <c r="CD340" s="407"/>
      <c r="CE340" s="407"/>
      <c r="CF340" s="407"/>
      <c r="CG340" s="407"/>
      <c r="CH340" s="407"/>
      <c r="CI340" s="407">
        <v>37058.072</v>
      </c>
      <c r="CJ340" s="407">
        <v>-11872.471480000007</v>
      </c>
      <c r="CK340" s="407"/>
      <c r="CL340" s="407"/>
      <c r="CM340" s="407"/>
      <c r="CN340" s="407"/>
      <c r="CO340" s="407">
        <v>-15383.058000000005</v>
      </c>
      <c r="CP340" s="407">
        <v>1890.70516</v>
      </c>
      <c r="CQ340" s="407"/>
      <c r="CR340" s="407">
        <v>1187.5595519817361</v>
      </c>
      <c r="CS340" s="407">
        <v>0</v>
      </c>
      <c r="CT340" s="407">
        <v>0</v>
      </c>
      <c r="CU340" s="407">
        <v>0</v>
      </c>
      <c r="CV340" s="407">
        <v>0</v>
      </c>
      <c r="CW340" s="407">
        <v>0</v>
      </c>
      <c r="CX340" s="407">
        <v>0</v>
      </c>
      <c r="CY340" s="407">
        <v>0</v>
      </c>
      <c r="CZ340" s="407">
        <v>362.65886276273341</v>
      </c>
      <c r="DA340" s="407">
        <v>0</v>
      </c>
      <c r="DB340" s="407">
        <v>0</v>
      </c>
      <c r="DC340" s="407">
        <v>2104.7455209763066</v>
      </c>
      <c r="DD340" s="407">
        <v>0</v>
      </c>
      <c r="DE340" s="407">
        <v>0</v>
      </c>
      <c r="DF340" s="407">
        <v>0</v>
      </c>
      <c r="DG340" s="407">
        <v>153.85017663207066</v>
      </c>
      <c r="DH340" s="407">
        <v>0</v>
      </c>
      <c r="DI340" s="407">
        <v>-298.74921459504003</v>
      </c>
      <c r="DJ340" s="407"/>
      <c r="DK340" s="407">
        <v>0</v>
      </c>
      <c r="DL340" s="407">
        <v>0</v>
      </c>
      <c r="DM340" s="407">
        <v>0</v>
      </c>
      <c r="DN340" s="407">
        <v>0</v>
      </c>
      <c r="DO340" s="407">
        <v>-40.212643531752065</v>
      </c>
      <c r="DP340" s="407">
        <v>-9.1004439766019516</v>
      </c>
      <c r="DQ340" s="407">
        <v>0</v>
      </c>
      <c r="DR340" s="407">
        <v>-1085.6327062859798</v>
      </c>
      <c r="DS340" s="407"/>
      <c r="DT340" s="407"/>
      <c r="DU340" s="407"/>
      <c r="DV340" s="407">
        <v>28738.855453892938</v>
      </c>
      <c r="DW340" s="407">
        <v>0</v>
      </c>
      <c r="DX340" s="407">
        <v>0</v>
      </c>
      <c r="DY340" s="407">
        <v>-15383.058000000008</v>
      </c>
      <c r="DZ340" s="407">
        <v>1890.7051600000013</v>
      </c>
      <c r="EA340" s="407">
        <v>0</v>
      </c>
      <c r="EB340" s="407">
        <v>0</v>
      </c>
      <c r="EC340" s="407">
        <v>-14679.874115385392</v>
      </c>
      <c r="ED340" s="407">
        <v>0</v>
      </c>
      <c r="EE340" s="407">
        <v>0</v>
      </c>
      <c r="EF340" s="407">
        <v>0</v>
      </c>
      <c r="EG340" s="407">
        <v>0</v>
      </c>
      <c r="EH340" s="407">
        <v>0</v>
      </c>
      <c r="EI340" s="407">
        <v>0</v>
      </c>
      <c r="EJ340" s="407">
        <v>0</v>
      </c>
      <c r="EK340" s="407">
        <v>0</v>
      </c>
      <c r="EL340" s="407">
        <v>0</v>
      </c>
      <c r="EM340" s="407">
        <v>0</v>
      </c>
      <c r="EN340" s="407">
        <v>0</v>
      </c>
      <c r="EO340" s="407">
        <v>0</v>
      </c>
      <c r="EP340" s="407">
        <v>2020.3908583717284</v>
      </c>
      <c r="EQ340" s="407">
        <v>0</v>
      </c>
      <c r="ER340" s="407">
        <v>0</v>
      </c>
      <c r="ES340" s="407">
        <v>0</v>
      </c>
      <c r="ET340" s="407">
        <v>0</v>
      </c>
      <c r="EU340" s="407">
        <v>0</v>
      </c>
      <c r="EV340" s="407">
        <v>246</v>
      </c>
      <c r="EW340" s="407">
        <v>0</v>
      </c>
      <c r="EX340" s="407">
        <v>0</v>
      </c>
      <c r="EY340" s="407">
        <v>0</v>
      </c>
      <c r="EZ340" s="407"/>
      <c r="FA340" s="407">
        <v>0</v>
      </c>
      <c r="FB340" s="407"/>
      <c r="FC340" s="407"/>
      <c r="FD340" s="407"/>
      <c r="FE340" s="407"/>
      <c r="FF340" s="407">
        <v>0</v>
      </c>
      <c r="FG340" s="407">
        <v>0</v>
      </c>
      <c r="FH340" s="407">
        <v>0</v>
      </c>
      <c r="FI340" s="407">
        <v>0</v>
      </c>
    </row>
    <row r="341" spans="1:165">
      <c r="A341" s="407">
        <v>357</v>
      </c>
      <c r="B341" s="407" t="s">
        <v>1090</v>
      </c>
      <c r="C341" s="407" t="s">
        <v>2314</v>
      </c>
      <c r="D341" s="407" t="s">
        <v>650</v>
      </c>
      <c r="E341" s="407" t="s">
        <v>1026</v>
      </c>
      <c r="F341" s="407" t="s">
        <v>97</v>
      </c>
      <c r="G341" s="407" t="s">
        <v>97</v>
      </c>
      <c r="H341" s="407" t="s">
        <v>97</v>
      </c>
      <c r="I341" s="407" t="s">
        <v>1025</v>
      </c>
      <c r="J341" s="407" t="s">
        <v>2307</v>
      </c>
      <c r="K341" s="818">
        <v>44531</v>
      </c>
      <c r="L341" s="407">
        <v>0</v>
      </c>
      <c r="M341" s="407">
        <v>0</v>
      </c>
      <c r="N341" s="407">
        <v>39.468000000000004</v>
      </c>
      <c r="O341" s="407">
        <v>37.889279999999999</v>
      </c>
      <c r="P341" s="407">
        <v>39.468000000000004</v>
      </c>
      <c r="Q341" s="407">
        <v>37.889279999999999</v>
      </c>
      <c r="R341" s="407"/>
      <c r="S341" s="407">
        <v>2810.7</v>
      </c>
      <c r="T341" s="407">
        <v>159.41</v>
      </c>
      <c r="U341" s="407"/>
      <c r="V341" s="407">
        <v>117224.30148000001</v>
      </c>
      <c r="W341" s="407">
        <v>117224.30148000001</v>
      </c>
      <c r="X341" s="407">
        <v>74661.220920000007</v>
      </c>
      <c r="Y341" s="407">
        <v>0</v>
      </c>
      <c r="Z341" s="407">
        <v>2127.88241112264</v>
      </c>
      <c r="AA341" s="407">
        <v>0</v>
      </c>
      <c r="AB341" s="407">
        <v>0</v>
      </c>
      <c r="AC341" s="407">
        <v>0</v>
      </c>
      <c r="AD341" s="407">
        <v>24095.829439785608</v>
      </c>
      <c r="AE341" s="407">
        <v>83075.755266660824</v>
      </c>
      <c r="AF341" s="407">
        <v>6087.1779272329859</v>
      </c>
      <c r="AG341" s="407">
        <v>204.51319999375355</v>
      </c>
      <c r="AH341" s="407">
        <v>0</v>
      </c>
      <c r="AI341" s="407">
        <v>0</v>
      </c>
      <c r="AJ341" s="407">
        <v>0</v>
      </c>
      <c r="AK341" s="407">
        <v>0</v>
      </c>
      <c r="AL341" s="407">
        <v>377.94775258309045</v>
      </c>
      <c r="AM341" s="407"/>
      <c r="AN341" s="407">
        <v>42.37810919224821</v>
      </c>
      <c r="AO341" s="407">
        <v>0</v>
      </c>
      <c r="AP341" s="407">
        <v>0</v>
      </c>
      <c r="AQ341" s="407">
        <v>0</v>
      </c>
      <c r="AR341" s="407">
        <v>0</v>
      </c>
      <c r="AS341" s="407">
        <v>0</v>
      </c>
      <c r="AT341" s="407">
        <v>0</v>
      </c>
      <c r="AU341" s="407">
        <v>0</v>
      </c>
      <c r="AV341" s="407">
        <v>0</v>
      </c>
      <c r="AW341" s="407">
        <v>0</v>
      </c>
      <c r="AX341" s="407">
        <v>0</v>
      </c>
      <c r="AY341" s="407">
        <v>0</v>
      </c>
      <c r="AZ341" s="407">
        <v>0</v>
      </c>
      <c r="BA341" s="407"/>
      <c r="BB341" s="407">
        <v>0</v>
      </c>
      <c r="BC341" s="407">
        <v>0</v>
      </c>
      <c r="BD341" s="407">
        <v>0</v>
      </c>
      <c r="BE341" s="407">
        <v>0</v>
      </c>
      <c r="BF341" s="407">
        <v>0</v>
      </c>
      <c r="BG341" s="407">
        <v>204.83396119863724</v>
      </c>
      <c r="BH341" s="407">
        <v>0</v>
      </c>
      <c r="BI341" s="407">
        <v>0</v>
      </c>
      <c r="BJ341" s="407">
        <v>0</v>
      </c>
      <c r="BK341" s="407">
        <v>0</v>
      </c>
      <c r="BL341" s="407">
        <v>0</v>
      </c>
      <c r="BM341" s="407"/>
      <c r="BN341" s="407"/>
      <c r="BO341" s="407"/>
      <c r="BP341" s="407"/>
      <c r="BQ341" s="407"/>
      <c r="BR341" s="407">
        <v>2986.4488368000075</v>
      </c>
      <c r="BS341" s="407"/>
      <c r="BT341" s="407"/>
      <c r="BU341" s="407"/>
      <c r="BV341" s="407">
        <v>6292.0118884316234</v>
      </c>
      <c r="BW341" s="407"/>
      <c r="BX341" s="407"/>
      <c r="BY341" s="407"/>
      <c r="BZ341" s="407"/>
      <c r="CA341" s="407"/>
      <c r="CB341" s="407"/>
      <c r="CC341" s="407"/>
      <c r="CD341" s="407"/>
      <c r="CE341" s="407"/>
      <c r="CF341" s="407"/>
      <c r="CG341" s="407"/>
      <c r="CH341" s="407"/>
      <c r="CI341" s="407">
        <v>71676.134099999996</v>
      </c>
      <c r="CJ341" s="407">
        <v>-40859.225320799975</v>
      </c>
      <c r="CK341" s="407"/>
      <c r="CL341" s="407"/>
      <c r="CM341" s="407"/>
      <c r="CN341" s="407"/>
      <c r="CO341" s="407">
        <v>-43647.266519999997</v>
      </c>
      <c r="CP341" s="407">
        <v>1084.18596</v>
      </c>
      <c r="CQ341" s="407"/>
      <c r="CR341" s="407">
        <v>-127.58413819634006</v>
      </c>
      <c r="CS341" s="407">
        <v>0</v>
      </c>
      <c r="CT341" s="407">
        <v>0</v>
      </c>
      <c r="CU341" s="407">
        <v>0</v>
      </c>
      <c r="CV341" s="407">
        <v>0</v>
      </c>
      <c r="CW341" s="407">
        <v>0</v>
      </c>
      <c r="CX341" s="407">
        <v>0</v>
      </c>
      <c r="CY341" s="407">
        <v>0</v>
      </c>
      <c r="CZ341" s="407">
        <v>1088.4563932475066</v>
      </c>
      <c r="DA341" s="407">
        <v>0</v>
      </c>
      <c r="DB341" s="407">
        <v>0</v>
      </c>
      <c r="DC341" s="407">
        <v>1206.9229996788054</v>
      </c>
      <c r="DD341" s="407">
        <v>0</v>
      </c>
      <c r="DE341" s="407">
        <v>0</v>
      </c>
      <c r="DF341" s="407">
        <v>0</v>
      </c>
      <c r="DG341" s="407">
        <v>40.613042996482392</v>
      </c>
      <c r="DH341" s="407">
        <v>0</v>
      </c>
      <c r="DI341" s="407">
        <v>-149.04108184785719</v>
      </c>
      <c r="DJ341" s="407"/>
      <c r="DK341" s="407">
        <v>0</v>
      </c>
      <c r="DL341" s="407">
        <v>0</v>
      </c>
      <c r="DM341" s="407">
        <v>0</v>
      </c>
      <c r="DN341" s="407">
        <v>0</v>
      </c>
      <c r="DO341" s="407">
        <v>-23.059112787109711</v>
      </c>
      <c r="DP341" s="407">
        <v>-2.7002308083731492</v>
      </c>
      <c r="DQ341" s="407">
        <v>0</v>
      </c>
      <c r="DR341" s="407">
        <v>-2288.77614867579</v>
      </c>
      <c r="DS341" s="407"/>
      <c r="DT341" s="407"/>
      <c r="DU341" s="407"/>
      <c r="DV341" s="407">
        <v>83075.755266660824</v>
      </c>
      <c r="DW341" s="407">
        <v>0</v>
      </c>
      <c r="DX341" s="407">
        <v>0</v>
      </c>
      <c r="DY341" s="407">
        <v>-43647.266520000005</v>
      </c>
      <c r="DZ341" s="407">
        <v>1084.1859599999998</v>
      </c>
      <c r="EA341" s="407">
        <v>0</v>
      </c>
      <c r="EB341" s="407">
        <v>0</v>
      </c>
      <c r="EC341" s="407">
        <v>-42435.288743899546</v>
      </c>
      <c r="ED341" s="407">
        <v>0</v>
      </c>
      <c r="EE341" s="407">
        <v>0</v>
      </c>
      <c r="EF341" s="407">
        <v>0</v>
      </c>
      <c r="EG341" s="407">
        <v>0</v>
      </c>
      <c r="EH341" s="407">
        <v>0</v>
      </c>
      <c r="EI341" s="407">
        <v>0</v>
      </c>
      <c r="EJ341" s="407">
        <v>0</v>
      </c>
      <c r="EK341" s="407">
        <v>0</v>
      </c>
      <c r="EL341" s="407">
        <v>0</v>
      </c>
      <c r="EM341" s="407">
        <v>0</v>
      </c>
      <c r="EN341" s="407">
        <v>0</v>
      </c>
      <c r="EO341" s="407">
        <v>0</v>
      </c>
      <c r="EP341" s="407">
        <v>1007.9398524793303</v>
      </c>
      <c r="EQ341" s="407">
        <v>0</v>
      </c>
      <c r="ER341" s="407">
        <v>0</v>
      </c>
      <c r="ES341" s="407">
        <v>0</v>
      </c>
      <c r="ET341" s="407">
        <v>0</v>
      </c>
      <c r="EU341" s="407">
        <v>0</v>
      </c>
      <c r="EV341" s="407">
        <v>246</v>
      </c>
      <c r="EW341" s="407">
        <v>0</v>
      </c>
      <c r="EX341" s="407">
        <v>0</v>
      </c>
      <c r="EY341" s="407">
        <v>0</v>
      </c>
      <c r="EZ341" s="407"/>
      <c r="FA341" s="407">
        <v>0</v>
      </c>
      <c r="FB341" s="407"/>
      <c r="FC341" s="407"/>
      <c r="FD341" s="407"/>
      <c r="FE341" s="407"/>
      <c r="FF341" s="407">
        <v>0</v>
      </c>
      <c r="FG341" s="407">
        <v>0</v>
      </c>
      <c r="FH341" s="407">
        <v>0</v>
      </c>
      <c r="FI341" s="407">
        <v>0</v>
      </c>
    </row>
    <row r="342" spans="1:165">
      <c r="A342" s="407">
        <v>358</v>
      </c>
      <c r="B342" s="407" t="s">
        <v>2309</v>
      </c>
      <c r="C342" s="407" t="s">
        <v>2314</v>
      </c>
      <c r="D342" s="407" t="s">
        <v>650</v>
      </c>
      <c r="E342" s="407" t="s">
        <v>1026</v>
      </c>
      <c r="F342" s="407" t="s">
        <v>97</v>
      </c>
      <c r="G342" s="407" t="s">
        <v>97</v>
      </c>
      <c r="H342" s="407" t="s">
        <v>97</v>
      </c>
      <c r="I342" s="407" t="s">
        <v>1025</v>
      </c>
      <c r="J342" s="407" t="s">
        <v>2307</v>
      </c>
      <c r="K342" s="818">
        <v>44531</v>
      </c>
      <c r="L342" s="407">
        <v>0</v>
      </c>
      <c r="M342" s="407">
        <v>0</v>
      </c>
      <c r="N342" s="407">
        <v>6.4240000000000004</v>
      </c>
      <c r="O342" s="407">
        <v>6.1670400000000001</v>
      </c>
      <c r="P342" s="407">
        <v>6.4240000000000004</v>
      </c>
      <c r="Q342" s="407">
        <v>6.1670400000000001</v>
      </c>
      <c r="R342" s="407"/>
      <c r="S342" s="407">
        <v>2810.7</v>
      </c>
      <c r="T342" s="407">
        <v>159.41</v>
      </c>
      <c r="U342" s="407"/>
      <c r="V342" s="407">
        <v>19079.986639999999</v>
      </c>
      <c r="W342" s="407">
        <v>19079.986639999999</v>
      </c>
      <c r="X342" s="407">
        <v>12152.216560000001</v>
      </c>
      <c r="Y342" s="407">
        <v>0</v>
      </c>
      <c r="Z342" s="407">
        <v>346.34429434103168</v>
      </c>
      <c r="AA342" s="407">
        <v>0</v>
      </c>
      <c r="AB342" s="407">
        <v>0</v>
      </c>
      <c r="AC342" s="407">
        <v>0</v>
      </c>
      <c r="AD342" s="407">
        <v>3921.9521719160521</v>
      </c>
      <c r="AE342" s="407">
        <v>13521.806319880134</v>
      </c>
      <c r="AF342" s="407">
        <v>990.77812416501217</v>
      </c>
      <c r="AG342" s="407">
        <v>33.287544257623203</v>
      </c>
      <c r="AH342" s="407">
        <v>0</v>
      </c>
      <c r="AI342" s="407">
        <v>0</v>
      </c>
      <c r="AJ342" s="407">
        <v>0</v>
      </c>
      <c r="AK342" s="407">
        <v>0</v>
      </c>
      <c r="AL342" s="407">
        <v>61.516579573167448</v>
      </c>
      <c r="AM342" s="407"/>
      <c r="AN342" s="407">
        <v>6.8976632576011578</v>
      </c>
      <c r="AO342" s="407">
        <v>0</v>
      </c>
      <c r="AP342" s="407">
        <v>0</v>
      </c>
      <c r="AQ342" s="407">
        <v>0</v>
      </c>
      <c r="AR342" s="407">
        <v>0</v>
      </c>
      <c r="AS342" s="407">
        <v>0</v>
      </c>
      <c r="AT342" s="407">
        <v>0</v>
      </c>
      <c r="AU342" s="407">
        <v>0</v>
      </c>
      <c r="AV342" s="407">
        <v>0</v>
      </c>
      <c r="AW342" s="407">
        <v>0</v>
      </c>
      <c r="AX342" s="407">
        <v>0</v>
      </c>
      <c r="AY342" s="407">
        <v>0</v>
      </c>
      <c r="AZ342" s="407">
        <v>0</v>
      </c>
      <c r="BA342" s="407"/>
      <c r="BB342" s="407">
        <v>0</v>
      </c>
      <c r="BC342" s="407">
        <v>0</v>
      </c>
      <c r="BD342" s="407">
        <v>0</v>
      </c>
      <c r="BE342" s="407">
        <v>0</v>
      </c>
      <c r="BF342" s="407">
        <v>0</v>
      </c>
      <c r="BG342" s="407">
        <v>33.339752881829476</v>
      </c>
      <c r="BH342" s="407">
        <v>0</v>
      </c>
      <c r="BI342" s="407">
        <v>0</v>
      </c>
      <c r="BJ342" s="407">
        <v>0</v>
      </c>
      <c r="BK342" s="407">
        <v>0</v>
      </c>
      <c r="BL342" s="407">
        <v>0</v>
      </c>
      <c r="BM342" s="407"/>
      <c r="BN342" s="407"/>
      <c r="BO342" s="407"/>
      <c r="BP342" s="407"/>
      <c r="BQ342" s="407"/>
      <c r="BR342" s="407">
        <v>486.08866240000054</v>
      </c>
      <c r="BS342" s="407"/>
      <c r="BT342" s="407"/>
      <c r="BU342" s="407"/>
      <c r="BV342" s="407">
        <v>1024.1178770468416</v>
      </c>
      <c r="BW342" s="407"/>
      <c r="BX342" s="407"/>
      <c r="BY342" s="407"/>
      <c r="BZ342" s="407"/>
      <c r="CA342" s="407"/>
      <c r="CB342" s="407"/>
      <c r="CC342" s="407"/>
      <c r="CD342" s="407"/>
      <c r="CE342" s="407"/>
      <c r="CF342" s="407"/>
      <c r="CG342" s="407"/>
      <c r="CH342" s="407"/>
      <c r="CI342" s="407">
        <v>11671.7273</v>
      </c>
      <c r="CJ342" s="407">
        <v>-6645.0898743999951</v>
      </c>
      <c r="CK342" s="407"/>
      <c r="CL342" s="407"/>
      <c r="CM342" s="407"/>
      <c r="CN342" s="407"/>
      <c r="CO342" s="407">
        <v>-7104.2373599999992</v>
      </c>
      <c r="CP342" s="407">
        <v>176.46728000000002</v>
      </c>
      <c r="CQ342" s="407"/>
      <c r="CR342" s="407">
        <v>-20.766203095502533</v>
      </c>
      <c r="CS342" s="407">
        <v>0</v>
      </c>
      <c r="CT342" s="407">
        <v>0</v>
      </c>
      <c r="CU342" s="407">
        <v>0</v>
      </c>
      <c r="CV342" s="407">
        <v>0</v>
      </c>
      <c r="CW342" s="407">
        <v>0</v>
      </c>
      <c r="CX342" s="407">
        <v>0</v>
      </c>
      <c r="CY342" s="407">
        <v>0</v>
      </c>
      <c r="CZ342" s="407">
        <v>177.16235609156683</v>
      </c>
      <c r="DA342" s="407">
        <v>0</v>
      </c>
      <c r="DB342" s="407">
        <v>0</v>
      </c>
      <c r="DC342" s="407">
        <v>196.44454621304965</v>
      </c>
      <c r="DD342" s="407">
        <v>0</v>
      </c>
      <c r="DE342" s="407">
        <v>0</v>
      </c>
      <c r="DF342" s="407">
        <v>0</v>
      </c>
      <c r="DG342" s="407">
        <v>6.6103726616348126</v>
      </c>
      <c r="DH342" s="407">
        <v>0</v>
      </c>
      <c r="DI342" s="407">
        <v>-24.258637625180768</v>
      </c>
      <c r="DJ342" s="407"/>
      <c r="DK342" s="407">
        <v>0</v>
      </c>
      <c r="DL342" s="407">
        <v>0</v>
      </c>
      <c r="DM342" s="407">
        <v>0</v>
      </c>
      <c r="DN342" s="407">
        <v>0</v>
      </c>
      <c r="DO342" s="407">
        <v>-3.7532112228740431</v>
      </c>
      <c r="DP342" s="407">
        <v>-0.43950245041525093</v>
      </c>
      <c r="DQ342" s="407">
        <v>0</v>
      </c>
      <c r="DR342" s="407">
        <v>-372.5321267632836</v>
      </c>
      <c r="DS342" s="407"/>
      <c r="DT342" s="407"/>
      <c r="DU342" s="407"/>
      <c r="DV342" s="407">
        <v>13521.806319880134</v>
      </c>
      <c r="DW342" s="407">
        <v>0</v>
      </c>
      <c r="DX342" s="407">
        <v>0</v>
      </c>
      <c r="DY342" s="407">
        <v>-7104.2373599999992</v>
      </c>
      <c r="DZ342" s="407">
        <v>176.46727999999985</v>
      </c>
      <c r="EA342" s="407">
        <v>0</v>
      </c>
      <c r="EB342" s="407">
        <v>0</v>
      </c>
      <c r="EC342" s="407">
        <v>-6906.9700742578971</v>
      </c>
      <c r="ED342" s="407">
        <v>0</v>
      </c>
      <c r="EE342" s="407">
        <v>0</v>
      </c>
      <c r="EF342" s="407">
        <v>0</v>
      </c>
      <c r="EG342" s="407">
        <v>0</v>
      </c>
      <c r="EH342" s="407">
        <v>0</v>
      </c>
      <c r="EI342" s="407">
        <v>0</v>
      </c>
      <c r="EJ342" s="407">
        <v>0</v>
      </c>
      <c r="EK342" s="407">
        <v>0</v>
      </c>
      <c r="EL342" s="407">
        <v>0</v>
      </c>
      <c r="EM342" s="407">
        <v>0</v>
      </c>
      <c r="EN342" s="407">
        <v>0</v>
      </c>
      <c r="EO342" s="407">
        <v>0</v>
      </c>
      <c r="EP342" s="407">
        <v>164.0570997346513</v>
      </c>
      <c r="EQ342" s="407">
        <v>0</v>
      </c>
      <c r="ER342" s="407">
        <v>0</v>
      </c>
      <c r="ES342" s="407">
        <v>0</v>
      </c>
      <c r="ET342" s="407">
        <v>0</v>
      </c>
      <c r="EU342" s="407">
        <v>0</v>
      </c>
      <c r="EV342" s="407">
        <v>246</v>
      </c>
      <c r="EW342" s="407">
        <v>0</v>
      </c>
      <c r="EX342" s="407">
        <v>0</v>
      </c>
      <c r="EY342" s="407">
        <v>0</v>
      </c>
      <c r="EZ342" s="407"/>
      <c r="FA342" s="407">
        <v>0</v>
      </c>
      <c r="FB342" s="407"/>
      <c r="FC342" s="407"/>
      <c r="FD342" s="407"/>
      <c r="FE342" s="407"/>
      <c r="FF342" s="407">
        <v>0</v>
      </c>
      <c r="FG342" s="407">
        <v>0</v>
      </c>
      <c r="FH342" s="407">
        <v>0</v>
      </c>
      <c r="FI342" s="407">
        <v>0</v>
      </c>
    </row>
    <row r="343" spans="1:165">
      <c r="A343" s="407">
        <v>359</v>
      </c>
      <c r="B343" s="407" t="s">
        <v>1090</v>
      </c>
      <c r="C343" s="407" t="s">
        <v>2314</v>
      </c>
      <c r="D343" s="407" t="s">
        <v>650</v>
      </c>
      <c r="E343" s="407" t="s">
        <v>1026</v>
      </c>
      <c r="F343" s="407" t="s">
        <v>97</v>
      </c>
      <c r="G343" s="407" t="s">
        <v>97</v>
      </c>
      <c r="H343" s="407" t="s">
        <v>97</v>
      </c>
      <c r="I343" s="407" t="s">
        <v>2290</v>
      </c>
      <c r="J343" s="407" t="s">
        <v>2307</v>
      </c>
      <c r="K343" s="818">
        <v>44531</v>
      </c>
      <c r="L343" s="407">
        <v>0</v>
      </c>
      <c r="M343" s="407">
        <v>0</v>
      </c>
      <c r="N343" s="407">
        <v>730.21400000000006</v>
      </c>
      <c r="O343" s="407">
        <v>701.00544000000002</v>
      </c>
      <c r="P343" s="407">
        <v>730.21400000000006</v>
      </c>
      <c r="Q343" s="407">
        <v>701.00544000000002</v>
      </c>
      <c r="R343" s="407"/>
      <c r="S343" s="407">
        <v>95.29</v>
      </c>
      <c r="T343" s="407">
        <v>159.41</v>
      </c>
      <c r="U343" s="407"/>
      <c r="V343" s="407">
        <v>185985.50580000001</v>
      </c>
      <c r="W343" s="407">
        <v>185985.50580000001</v>
      </c>
      <c r="X343" s="407">
        <v>202203.55874000001</v>
      </c>
      <c r="Y343" s="407">
        <v>0</v>
      </c>
      <c r="Z343" s="407">
        <v>39368.84379637953</v>
      </c>
      <c r="AA343" s="407">
        <v>0</v>
      </c>
      <c r="AB343" s="407">
        <v>0</v>
      </c>
      <c r="AC343" s="407">
        <v>0</v>
      </c>
      <c r="AD343" s="407">
        <v>0</v>
      </c>
      <c r="AE343" s="407">
        <v>0</v>
      </c>
      <c r="AF343" s="407">
        <v>112621.42857394618</v>
      </c>
      <c r="AG343" s="407">
        <v>3783.7843777297744</v>
      </c>
      <c r="AH343" s="407">
        <v>0</v>
      </c>
      <c r="AI343" s="407">
        <v>0</v>
      </c>
      <c r="AJ343" s="407">
        <v>0</v>
      </c>
      <c r="AK343" s="407">
        <v>0</v>
      </c>
      <c r="AL343" s="407">
        <v>6992.5696818868146</v>
      </c>
      <c r="AM343" s="407"/>
      <c r="AN343" s="407">
        <v>784.05514912608533</v>
      </c>
      <c r="AO343" s="407">
        <v>0</v>
      </c>
      <c r="AP343" s="407">
        <v>0</v>
      </c>
      <c r="AQ343" s="407">
        <v>0</v>
      </c>
      <c r="AR343" s="407">
        <v>0</v>
      </c>
      <c r="AS343" s="407">
        <v>0</v>
      </c>
      <c r="AT343" s="407">
        <v>0</v>
      </c>
      <c r="AU343" s="407">
        <v>0</v>
      </c>
      <c r="AV343" s="407">
        <v>0</v>
      </c>
      <c r="AW343" s="407">
        <v>0</v>
      </c>
      <c r="AX343" s="407">
        <v>0</v>
      </c>
      <c r="AY343" s="407">
        <v>0</v>
      </c>
      <c r="AZ343" s="407">
        <v>0</v>
      </c>
      <c r="BA343" s="407"/>
      <c r="BB343" s="407">
        <v>0</v>
      </c>
      <c r="BC343" s="407">
        <v>0</v>
      </c>
      <c r="BD343" s="407">
        <v>0</v>
      </c>
      <c r="BE343" s="407">
        <v>0</v>
      </c>
      <c r="BF343" s="407">
        <v>0</v>
      </c>
      <c r="BG343" s="407">
        <v>3789.7189151388898</v>
      </c>
      <c r="BH343" s="407">
        <v>0</v>
      </c>
      <c r="BI343" s="407">
        <v>0</v>
      </c>
      <c r="BJ343" s="407">
        <v>0</v>
      </c>
      <c r="BK343" s="407">
        <v>0</v>
      </c>
      <c r="BL343" s="407">
        <v>0</v>
      </c>
      <c r="BM343" s="407"/>
      <c r="BN343" s="407"/>
      <c r="BO343" s="407"/>
      <c r="BP343" s="407"/>
      <c r="BQ343" s="407"/>
      <c r="BR343" s="407">
        <v>8088.1423496000098</v>
      </c>
      <c r="BS343" s="407"/>
      <c r="BT343" s="407"/>
      <c r="BU343" s="407"/>
      <c r="BV343" s="407">
        <v>116411.14748908507</v>
      </c>
      <c r="BW343" s="407"/>
      <c r="BX343" s="407"/>
      <c r="BY343" s="407"/>
      <c r="BZ343" s="407"/>
      <c r="CA343" s="407"/>
      <c r="CB343" s="407"/>
      <c r="CC343" s="407"/>
      <c r="CD343" s="407"/>
      <c r="CE343" s="407"/>
      <c r="CF343" s="407"/>
      <c r="CG343" s="407"/>
      <c r="CH343" s="407"/>
      <c r="CI343" s="407">
        <v>194116.67910000001</v>
      </c>
      <c r="CJ343" s="407">
        <v>15570.563532</v>
      </c>
      <c r="CK343" s="407"/>
      <c r="CL343" s="407"/>
      <c r="CM343" s="407"/>
      <c r="CN343" s="407"/>
      <c r="CO343" s="407">
        <v>-3840.925640000004</v>
      </c>
      <c r="CP343" s="407">
        <v>20058.978579999999</v>
      </c>
      <c r="CQ343" s="407"/>
      <c r="CR343" s="407">
        <v>16215.744886586675</v>
      </c>
      <c r="CS343" s="407">
        <v>0</v>
      </c>
      <c r="CT343" s="407">
        <v>0</v>
      </c>
      <c r="CU343" s="407">
        <v>0</v>
      </c>
      <c r="CV343" s="407">
        <v>0</v>
      </c>
      <c r="CW343" s="407">
        <v>0</v>
      </c>
      <c r="CX343" s="407">
        <v>0</v>
      </c>
      <c r="CY343" s="407">
        <v>0</v>
      </c>
      <c r="CZ343" s="407">
        <v>0</v>
      </c>
      <c r="DA343" s="407">
        <v>0</v>
      </c>
      <c r="DB343" s="407">
        <v>0</v>
      </c>
      <c r="DC343" s="407">
        <v>22329.787962082162</v>
      </c>
      <c r="DD343" s="407">
        <v>0</v>
      </c>
      <c r="DE343" s="407">
        <v>0</v>
      </c>
      <c r="DF343" s="407">
        <v>0</v>
      </c>
      <c r="DG343" s="407">
        <v>751.39892010320773</v>
      </c>
      <c r="DH343" s="407">
        <v>0</v>
      </c>
      <c r="DI343" s="407">
        <v>-2757.4714842518224</v>
      </c>
      <c r="DJ343" s="407"/>
      <c r="DK343" s="407">
        <v>0</v>
      </c>
      <c r="DL343" s="407">
        <v>0</v>
      </c>
      <c r="DM343" s="407">
        <v>0</v>
      </c>
      <c r="DN343" s="407">
        <v>0</v>
      </c>
      <c r="DO343" s="407">
        <v>-426.62630446758158</v>
      </c>
      <c r="DP343" s="407">
        <v>-49.958101234047604</v>
      </c>
      <c r="DQ343" s="407">
        <v>0</v>
      </c>
      <c r="DR343" s="407">
        <v>-3631.3861056452456</v>
      </c>
      <c r="DS343" s="407"/>
      <c r="DT343" s="407"/>
      <c r="DU343" s="407"/>
      <c r="DV343" s="407">
        <v>0</v>
      </c>
      <c r="DW343" s="407">
        <v>0</v>
      </c>
      <c r="DX343" s="407">
        <v>0</v>
      </c>
      <c r="DY343" s="407">
        <v>-3840.9256400000013</v>
      </c>
      <c r="DZ343" s="407">
        <v>20058.97858000001</v>
      </c>
      <c r="EA343" s="407">
        <v>0</v>
      </c>
      <c r="EB343" s="407">
        <v>0</v>
      </c>
      <c r="EC343" s="407">
        <v>0</v>
      </c>
      <c r="ED343" s="407">
        <v>0</v>
      </c>
      <c r="EE343" s="407">
        <v>0</v>
      </c>
      <c r="EF343" s="407">
        <v>0</v>
      </c>
      <c r="EG343" s="407">
        <v>0</v>
      </c>
      <c r="EH343" s="407">
        <v>0</v>
      </c>
      <c r="EI343" s="407">
        <v>0</v>
      </c>
      <c r="EJ343" s="407">
        <v>0</v>
      </c>
      <c r="EK343" s="407">
        <v>0</v>
      </c>
      <c r="EL343" s="407">
        <v>0</v>
      </c>
      <c r="EM343" s="407">
        <v>0</v>
      </c>
      <c r="EN343" s="407">
        <v>0</v>
      </c>
      <c r="EO343" s="407">
        <v>0</v>
      </c>
      <c r="EP343" s="407">
        <v>18648.317407478</v>
      </c>
      <c r="EQ343" s="407">
        <v>0</v>
      </c>
      <c r="ER343" s="407">
        <v>0</v>
      </c>
      <c r="ES343" s="407">
        <v>0</v>
      </c>
      <c r="ET343" s="407">
        <v>0</v>
      </c>
      <c r="EU343" s="407">
        <v>0</v>
      </c>
      <c r="EV343" s="407">
        <v>246</v>
      </c>
      <c r="EW343" s="407">
        <v>0</v>
      </c>
      <c r="EX343" s="407">
        <v>0</v>
      </c>
      <c r="EY343" s="407">
        <v>0</v>
      </c>
      <c r="EZ343" s="407"/>
      <c r="FA343" s="407">
        <v>0</v>
      </c>
      <c r="FB343" s="407"/>
      <c r="FC343" s="407"/>
      <c r="FD343" s="407"/>
      <c r="FE343" s="407"/>
      <c r="FF343" s="407">
        <v>0</v>
      </c>
      <c r="FG343" s="407">
        <v>0</v>
      </c>
      <c r="FH343" s="407">
        <v>0</v>
      </c>
      <c r="FI343" s="407">
        <v>0</v>
      </c>
    </row>
    <row r="344" spans="1:165">
      <c r="A344" s="407">
        <v>360</v>
      </c>
      <c r="B344" s="407" t="s">
        <v>2309</v>
      </c>
      <c r="C344" s="407" t="s">
        <v>2314</v>
      </c>
      <c r="D344" s="407" t="s">
        <v>650</v>
      </c>
      <c r="E344" s="407" t="s">
        <v>1026</v>
      </c>
      <c r="F344" s="407" t="s">
        <v>97</v>
      </c>
      <c r="G344" s="407" t="s">
        <v>97</v>
      </c>
      <c r="H344" s="407" t="s">
        <v>97</v>
      </c>
      <c r="I344" s="407" t="s">
        <v>2290</v>
      </c>
      <c r="J344" s="407" t="s">
        <v>2307</v>
      </c>
      <c r="K344" s="818">
        <v>44531</v>
      </c>
      <c r="L344" s="407">
        <v>0</v>
      </c>
      <c r="M344" s="407">
        <v>0</v>
      </c>
      <c r="N344" s="407">
        <v>19.356999999999999</v>
      </c>
      <c r="O344" s="407">
        <v>18.582719999999998</v>
      </c>
      <c r="P344" s="407">
        <v>19.356999999999999</v>
      </c>
      <c r="Q344" s="407">
        <v>18.582719999999998</v>
      </c>
      <c r="R344" s="407"/>
      <c r="S344" s="407">
        <v>95.29</v>
      </c>
      <c r="T344" s="407">
        <v>159.41</v>
      </c>
      <c r="U344" s="407"/>
      <c r="V344" s="407">
        <v>4930.2278999999999</v>
      </c>
      <c r="W344" s="407">
        <v>4930.2278999999999</v>
      </c>
      <c r="X344" s="407">
        <v>5360.1468699999996</v>
      </c>
      <c r="Y344" s="407">
        <v>0</v>
      </c>
      <c r="Z344" s="407">
        <v>1043.6155830571838</v>
      </c>
      <c r="AA344" s="407">
        <v>0</v>
      </c>
      <c r="AB344" s="407">
        <v>0</v>
      </c>
      <c r="AC344" s="407">
        <v>0</v>
      </c>
      <c r="AD344" s="407">
        <v>0</v>
      </c>
      <c r="AE344" s="407">
        <v>0</v>
      </c>
      <c r="AF344" s="407">
        <v>2985.4439834156506</v>
      </c>
      <c r="AG344" s="407">
        <v>100.30308128810901</v>
      </c>
      <c r="AH344" s="407">
        <v>0</v>
      </c>
      <c r="AI344" s="407">
        <v>0</v>
      </c>
      <c r="AJ344" s="407">
        <v>0</v>
      </c>
      <c r="AK344" s="407">
        <v>0</v>
      </c>
      <c r="AL344" s="407">
        <v>185.36370342431542</v>
      </c>
      <c r="AM344" s="407"/>
      <c r="AN344" s="407">
        <v>20.784257110427397</v>
      </c>
      <c r="AO344" s="407">
        <v>0</v>
      </c>
      <c r="AP344" s="407">
        <v>0</v>
      </c>
      <c r="AQ344" s="407">
        <v>0</v>
      </c>
      <c r="AR344" s="407">
        <v>0</v>
      </c>
      <c r="AS344" s="407">
        <v>0</v>
      </c>
      <c r="AT344" s="407">
        <v>0</v>
      </c>
      <c r="AU344" s="407">
        <v>0</v>
      </c>
      <c r="AV344" s="407">
        <v>0</v>
      </c>
      <c r="AW344" s="407">
        <v>0</v>
      </c>
      <c r="AX344" s="407">
        <v>0</v>
      </c>
      <c r="AY344" s="407">
        <v>0</v>
      </c>
      <c r="AZ344" s="407">
        <v>0</v>
      </c>
      <c r="BA344" s="407"/>
      <c r="BB344" s="407">
        <v>0</v>
      </c>
      <c r="BC344" s="407">
        <v>0</v>
      </c>
      <c r="BD344" s="407">
        <v>0</v>
      </c>
      <c r="BE344" s="407">
        <v>0</v>
      </c>
      <c r="BF344" s="407">
        <v>0</v>
      </c>
      <c r="BG344" s="407">
        <v>100.4603979659983</v>
      </c>
      <c r="BH344" s="407">
        <v>0</v>
      </c>
      <c r="BI344" s="407">
        <v>0</v>
      </c>
      <c r="BJ344" s="407">
        <v>0</v>
      </c>
      <c r="BK344" s="407">
        <v>0</v>
      </c>
      <c r="BL344" s="407">
        <v>0</v>
      </c>
      <c r="BM344" s="407"/>
      <c r="BN344" s="407"/>
      <c r="BO344" s="407"/>
      <c r="BP344" s="407"/>
      <c r="BQ344" s="407"/>
      <c r="BR344" s="407">
        <v>214.40587480000028</v>
      </c>
      <c r="BS344" s="407"/>
      <c r="BT344" s="407"/>
      <c r="BU344" s="407"/>
      <c r="BV344" s="407">
        <v>3085.9043813816488</v>
      </c>
      <c r="BW344" s="407"/>
      <c r="BX344" s="407"/>
      <c r="BY344" s="407"/>
      <c r="BZ344" s="407"/>
      <c r="CA344" s="407"/>
      <c r="CB344" s="407"/>
      <c r="CC344" s="407"/>
      <c r="CD344" s="407"/>
      <c r="CE344" s="407"/>
      <c r="CF344" s="407"/>
      <c r="CG344" s="407"/>
      <c r="CH344" s="407"/>
      <c r="CI344" s="407">
        <v>5144.987799999999</v>
      </c>
      <c r="CJ344" s="407">
        <v>411.93901599999936</v>
      </c>
      <c r="CK344" s="407"/>
      <c r="CL344" s="407"/>
      <c r="CM344" s="407"/>
      <c r="CN344" s="407"/>
      <c r="CO344" s="407">
        <v>-101.8178200000001</v>
      </c>
      <c r="CP344" s="407">
        <v>531.73678999999993</v>
      </c>
      <c r="CQ344" s="407"/>
      <c r="CR344" s="407">
        <v>429.8577865799034</v>
      </c>
      <c r="CS344" s="407">
        <v>0</v>
      </c>
      <c r="CT344" s="407">
        <v>0</v>
      </c>
      <c r="CU344" s="407">
        <v>0</v>
      </c>
      <c r="CV344" s="407">
        <v>0</v>
      </c>
      <c r="CW344" s="407">
        <v>0</v>
      </c>
      <c r="CX344" s="407">
        <v>0</v>
      </c>
      <c r="CY344" s="407">
        <v>0</v>
      </c>
      <c r="CZ344" s="407">
        <v>0</v>
      </c>
      <c r="DA344" s="407">
        <v>0</v>
      </c>
      <c r="DB344" s="407">
        <v>0</v>
      </c>
      <c r="DC344" s="407">
        <v>591.93292046170654</v>
      </c>
      <c r="DD344" s="407">
        <v>0</v>
      </c>
      <c r="DE344" s="407">
        <v>0</v>
      </c>
      <c r="DF344" s="407">
        <v>0</v>
      </c>
      <c r="DG344" s="407">
        <v>19.918583999262935</v>
      </c>
      <c r="DH344" s="407">
        <v>0</v>
      </c>
      <c r="DI344" s="407">
        <v>-73.096894226435666</v>
      </c>
      <c r="DJ344" s="407"/>
      <c r="DK344" s="407">
        <v>0</v>
      </c>
      <c r="DL344" s="407">
        <v>0</v>
      </c>
      <c r="DM344" s="407">
        <v>0</v>
      </c>
      <c r="DN344" s="407">
        <v>0</v>
      </c>
      <c r="DO344" s="407">
        <v>-11.309294776023165</v>
      </c>
      <c r="DP344" s="407">
        <v>-1.3243226856612722</v>
      </c>
      <c r="DQ344" s="407">
        <v>0</v>
      </c>
      <c r="DR344" s="407">
        <v>-96.263206192944835</v>
      </c>
      <c r="DS344" s="407"/>
      <c r="DT344" s="407"/>
      <c r="DU344" s="407"/>
      <c r="DV344" s="407">
        <v>0</v>
      </c>
      <c r="DW344" s="407">
        <v>0</v>
      </c>
      <c r="DX344" s="407">
        <v>0</v>
      </c>
      <c r="DY344" s="407">
        <v>-101.81781999999998</v>
      </c>
      <c r="DZ344" s="407">
        <v>531.73678999999993</v>
      </c>
      <c r="EA344" s="407">
        <v>0</v>
      </c>
      <c r="EB344" s="407">
        <v>0</v>
      </c>
      <c r="EC344" s="407">
        <v>0</v>
      </c>
      <c r="ED344" s="407">
        <v>0</v>
      </c>
      <c r="EE344" s="407">
        <v>0</v>
      </c>
      <c r="EF344" s="407">
        <v>0</v>
      </c>
      <c r="EG344" s="407">
        <v>0</v>
      </c>
      <c r="EH344" s="407">
        <v>0</v>
      </c>
      <c r="EI344" s="407">
        <v>0</v>
      </c>
      <c r="EJ344" s="407">
        <v>0</v>
      </c>
      <c r="EK344" s="407">
        <v>0</v>
      </c>
      <c r="EL344" s="407">
        <v>0</v>
      </c>
      <c r="EM344" s="407">
        <v>0</v>
      </c>
      <c r="EN344" s="407">
        <v>0</v>
      </c>
      <c r="EO344" s="407">
        <v>0</v>
      </c>
      <c r="EP344" s="407">
        <v>494.34204227329468</v>
      </c>
      <c r="EQ344" s="407">
        <v>0</v>
      </c>
      <c r="ER344" s="407">
        <v>0</v>
      </c>
      <c r="ES344" s="407">
        <v>0</v>
      </c>
      <c r="ET344" s="407">
        <v>0</v>
      </c>
      <c r="EU344" s="407">
        <v>0</v>
      </c>
      <c r="EV344" s="407">
        <v>246</v>
      </c>
      <c r="EW344" s="407">
        <v>0</v>
      </c>
      <c r="EX344" s="407">
        <v>0</v>
      </c>
      <c r="EY344" s="407">
        <v>0</v>
      </c>
      <c r="EZ344" s="407"/>
      <c r="FA344" s="407">
        <v>0</v>
      </c>
      <c r="FB344" s="407"/>
      <c r="FC344" s="407"/>
      <c r="FD344" s="407"/>
      <c r="FE344" s="407"/>
      <c r="FF344" s="407">
        <v>0</v>
      </c>
      <c r="FG344" s="407">
        <v>0</v>
      </c>
      <c r="FH344" s="407">
        <v>0</v>
      </c>
      <c r="FI344" s="407">
        <v>0</v>
      </c>
    </row>
    <row r="345" spans="1:165">
      <c r="A345" s="407">
        <v>361</v>
      </c>
      <c r="B345" s="407" t="s">
        <v>1090</v>
      </c>
      <c r="C345" s="407" t="s">
        <v>2314</v>
      </c>
      <c r="D345" s="407" t="s">
        <v>650</v>
      </c>
      <c r="E345" s="407" t="s">
        <v>1026</v>
      </c>
      <c r="F345" s="407" t="s">
        <v>97</v>
      </c>
      <c r="G345" s="407" t="s">
        <v>97</v>
      </c>
      <c r="H345" s="407" t="s">
        <v>97</v>
      </c>
      <c r="I345" s="407" t="s">
        <v>97</v>
      </c>
      <c r="J345" s="407" t="s">
        <v>2307</v>
      </c>
      <c r="K345" s="818">
        <v>44531</v>
      </c>
      <c r="L345" s="407">
        <v>3177</v>
      </c>
      <c r="M345" s="407">
        <v>3049.92</v>
      </c>
      <c r="N345" s="407">
        <v>0</v>
      </c>
      <c r="O345" s="407">
        <v>0</v>
      </c>
      <c r="P345" s="407">
        <v>0</v>
      </c>
      <c r="Q345" s="407">
        <v>0</v>
      </c>
      <c r="R345" s="407">
        <v>43.29</v>
      </c>
      <c r="S345" s="407"/>
      <c r="T345" s="407"/>
      <c r="U345" s="407">
        <v>137532.32999999999</v>
      </c>
      <c r="V345" s="407"/>
      <c r="W345" s="407">
        <v>137532.32999999999</v>
      </c>
      <c r="X345" s="407">
        <v>106397.73000000001</v>
      </c>
      <c r="Y345" s="407">
        <v>0</v>
      </c>
      <c r="Z345" s="407">
        <v>0</v>
      </c>
      <c r="AA345" s="407">
        <v>0</v>
      </c>
      <c r="AB345" s="407">
        <v>0</v>
      </c>
      <c r="AC345" s="407">
        <v>0</v>
      </c>
      <c r="AD345" s="407">
        <v>75180.48720235753</v>
      </c>
      <c r="AE345" s="407">
        <v>62361.92743058857</v>
      </c>
      <c r="AF345" s="407"/>
      <c r="AG345" s="407"/>
      <c r="AH345" s="407"/>
      <c r="AI345" s="407">
        <v>0</v>
      </c>
      <c r="AJ345" s="407">
        <v>0</v>
      </c>
      <c r="AK345" s="407">
        <v>0</v>
      </c>
      <c r="AL345" s="407">
        <v>0</v>
      </c>
      <c r="AM345" s="407"/>
      <c r="AN345" s="407">
        <v>0</v>
      </c>
      <c r="AO345" s="407">
        <v>0</v>
      </c>
      <c r="AP345" s="407">
        <v>0</v>
      </c>
      <c r="AQ345" s="407">
        <v>0</v>
      </c>
      <c r="AR345" s="407">
        <v>0</v>
      </c>
      <c r="AS345" s="407"/>
      <c r="AT345" s="407"/>
      <c r="AU345" s="407">
        <v>0</v>
      </c>
      <c r="AV345" s="407">
        <v>0</v>
      </c>
      <c r="AW345" s="407">
        <v>0</v>
      </c>
      <c r="AX345" s="407"/>
      <c r="AY345" s="407"/>
      <c r="AZ345" s="407">
        <v>0</v>
      </c>
      <c r="BA345" s="407"/>
      <c r="BB345" s="407">
        <v>0</v>
      </c>
      <c r="BC345" s="407">
        <v>0</v>
      </c>
      <c r="BD345" s="407">
        <v>0</v>
      </c>
      <c r="BE345" s="407">
        <v>0</v>
      </c>
      <c r="BF345" s="407"/>
      <c r="BG345" s="407">
        <v>0</v>
      </c>
      <c r="BH345" s="407">
        <v>0</v>
      </c>
      <c r="BI345" s="407">
        <v>1073.8699999999999</v>
      </c>
      <c r="BJ345" s="407">
        <v>5076.91</v>
      </c>
      <c r="BK345" s="407">
        <v>161.72</v>
      </c>
      <c r="BL345" s="407">
        <v>23</v>
      </c>
      <c r="BM345" s="407"/>
      <c r="BN345" s="407"/>
      <c r="BO345" s="407"/>
      <c r="BP345" s="407"/>
      <c r="BQ345" s="407"/>
      <c r="BR345" s="407">
        <v>4255.9091999999982</v>
      </c>
      <c r="BS345" s="407"/>
      <c r="BT345" s="407"/>
      <c r="BU345" s="407"/>
      <c r="BV345" s="407">
        <v>0</v>
      </c>
      <c r="BW345" s="407"/>
      <c r="BX345" s="407"/>
      <c r="BY345" s="407"/>
      <c r="BZ345" s="407"/>
      <c r="CA345" s="407"/>
      <c r="CB345" s="407"/>
      <c r="CC345" s="407"/>
      <c r="CD345" s="407"/>
      <c r="CE345" s="407"/>
      <c r="CF345" s="407"/>
      <c r="CG345" s="407"/>
      <c r="CH345" s="407"/>
      <c r="CI345" s="407">
        <v>102141.8208</v>
      </c>
      <c r="CJ345" s="407">
        <v>-29889.246000000028</v>
      </c>
      <c r="CK345" s="407"/>
      <c r="CL345" s="407"/>
      <c r="CM345" s="407"/>
      <c r="CN345" s="407"/>
      <c r="CO345" s="407">
        <v>-31134.599999999991</v>
      </c>
      <c r="CP345" s="407">
        <v>0</v>
      </c>
      <c r="CQ345" s="407"/>
      <c r="CR345" s="407">
        <v>710.56828134697571</v>
      </c>
      <c r="CS345" s="407">
        <v>0</v>
      </c>
      <c r="CT345" s="407">
        <v>0</v>
      </c>
      <c r="CU345" s="407">
        <v>0</v>
      </c>
      <c r="CV345" s="407">
        <v>0</v>
      </c>
      <c r="CW345" s="407"/>
      <c r="CX345" s="407"/>
      <c r="CY345" s="407"/>
      <c r="CZ345" s="407">
        <v>3396.0516755547869</v>
      </c>
      <c r="DA345" s="407">
        <v>0</v>
      </c>
      <c r="DB345" s="407">
        <v>0</v>
      </c>
      <c r="DC345" s="407"/>
      <c r="DD345" s="407"/>
      <c r="DE345" s="407">
        <v>0</v>
      </c>
      <c r="DF345" s="407">
        <v>0</v>
      </c>
      <c r="DG345" s="407">
        <v>0</v>
      </c>
      <c r="DH345" s="407">
        <v>0</v>
      </c>
      <c r="DI345" s="407">
        <v>0</v>
      </c>
      <c r="DJ345" s="407"/>
      <c r="DK345" s="407">
        <v>0</v>
      </c>
      <c r="DL345" s="407">
        <v>0</v>
      </c>
      <c r="DM345" s="407"/>
      <c r="DN345" s="407">
        <v>0</v>
      </c>
      <c r="DO345" s="407">
        <v>0</v>
      </c>
      <c r="DP345" s="407">
        <v>0</v>
      </c>
      <c r="DQ345" s="407">
        <v>0</v>
      </c>
      <c r="DR345" s="407">
        <v>-2685.4833942078094</v>
      </c>
      <c r="DS345" s="407"/>
      <c r="DT345" s="407"/>
      <c r="DU345" s="407">
        <v>62361.92743058857</v>
      </c>
      <c r="DV345" s="407"/>
      <c r="DW345" s="407">
        <v>0</v>
      </c>
      <c r="DX345" s="407">
        <v>0</v>
      </c>
      <c r="DY345" s="407">
        <v>-31134.599999999977</v>
      </c>
      <c r="DZ345" s="407"/>
      <c r="EA345" s="407">
        <v>0</v>
      </c>
      <c r="EB345" s="407"/>
      <c r="EC345" s="407">
        <v>-31854.617374813814</v>
      </c>
      <c r="ED345" s="407"/>
      <c r="EE345" s="407">
        <v>0</v>
      </c>
      <c r="EF345" s="407">
        <v>0</v>
      </c>
      <c r="EG345" s="407"/>
      <c r="EH345" s="407">
        <v>0</v>
      </c>
      <c r="EI345" s="407">
        <v>0</v>
      </c>
      <c r="EJ345" s="407">
        <v>0</v>
      </c>
      <c r="EK345" s="407">
        <v>0</v>
      </c>
      <c r="EL345" s="407">
        <v>0</v>
      </c>
      <c r="EM345" s="407"/>
      <c r="EN345" s="407"/>
      <c r="EO345" s="407">
        <v>0</v>
      </c>
      <c r="EP345" s="407">
        <v>0</v>
      </c>
      <c r="EQ345" s="407"/>
      <c r="ER345" s="407">
        <v>0</v>
      </c>
      <c r="ES345" s="407"/>
      <c r="ET345" s="407">
        <v>0</v>
      </c>
      <c r="EU345" s="407"/>
      <c r="EV345" s="407">
        <v>246</v>
      </c>
      <c r="EW345" s="407"/>
      <c r="EX345" s="407"/>
      <c r="EY345" s="407"/>
      <c r="EZ345" s="407"/>
      <c r="FA345" s="407">
        <v>0</v>
      </c>
      <c r="FB345" s="407"/>
      <c r="FC345" s="407"/>
      <c r="FD345" s="407"/>
      <c r="FE345" s="407"/>
      <c r="FF345" s="407">
        <v>0</v>
      </c>
      <c r="FG345" s="407">
        <v>0</v>
      </c>
      <c r="FH345" s="407">
        <v>0</v>
      </c>
      <c r="FI345" s="407">
        <v>0</v>
      </c>
    </row>
    <row r="346" spans="1:165">
      <c r="A346" s="407">
        <v>362</v>
      </c>
      <c r="B346" s="407" t="s">
        <v>2309</v>
      </c>
      <c r="C346" s="407" t="s">
        <v>2314</v>
      </c>
      <c r="D346" s="407" t="s">
        <v>650</v>
      </c>
      <c r="E346" s="407" t="s">
        <v>1026</v>
      </c>
      <c r="F346" s="407" t="s">
        <v>97</v>
      </c>
      <c r="G346" s="407" t="s">
        <v>97</v>
      </c>
      <c r="H346" s="407" t="s">
        <v>97</v>
      </c>
      <c r="I346" s="407" t="s">
        <v>97</v>
      </c>
      <c r="J346" s="407" t="s">
        <v>2307</v>
      </c>
      <c r="K346" s="818">
        <v>44531</v>
      </c>
      <c r="L346" s="407">
        <v>283</v>
      </c>
      <c r="M346" s="407">
        <v>271.68</v>
      </c>
      <c r="N346" s="407">
        <v>0</v>
      </c>
      <c r="O346" s="407">
        <v>0</v>
      </c>
      <c r="P346" s="407">
        <v>0</v>
      </c>
      <c r="Q346" s="407">
        <v>0</v>
      </c>
      <c r="R346" s="407">
        <v>43.29</v>
      </c>
      <c r="S346" s="407"/>
      <c r="T346" s="407"/>
      <c r="U346" s="407">
        <v>12251.07</v>
      </c>
      <c r="V346" s="407"/>
      <c r="W346" s="407">
        <v>12251.07</v>
      </c>
      <c r="X346" s="407">
        <v>9477.67</v>
      </c>
      <c r="Y346" s="407">
        <v>0</v>
      </c>
      <c r="Z346" s="407">
        <v>0</v>
      </c>
      <c r="AA346" s="407">
        <v>0</v>
      </c>
      <c r="AB346" s="407">
        <v>0</v>
      </c>
      <c r="AC346" s="407">
        <v>0</v>
      </c>
      <c r="AD346" s="407">
        <v>6696.9083658379541</v>
      </c>
      <c r="AE346" s="407">
        <v>5555.0599505371629</v>
      </c>
      <c r="AF346" s="407"/>
      <c r="AG346" s="407"/>
      <c r="AH346" s="407"/>
      <c r="AI346" s="407">
        <v>0</v>
      </c>
      <c r="AJ346" s="407">
        <v>0</v>
      </c>
      <c r="AK346" s="407">
        <v>0</v>
      </c>
      <c r="AL346" s="407">
        <v>0</v>
      </c>
      <c r="AM346" s="407"/>
      <c r="AN346" s="407">
        <v>0</v>
      </c>
      <c r="AO346" s="407">
        <v>0</v>
      </c>
      <c r="AP346" s="407">
        <v>0</v>
      </c>
      <c r="AQ346" s="407">
        <v>0</v>
      </c>
      <c r="AR346" s="407">
        <v>0</v>
      </c>
      <c r="AS346" s="407"/>
      <c r="AT346" s="407"/>
      <c r="AU346" s="407">
        <v>0</v>
      </c>
      <c r="AV346" s="407">
        <v>0</v>
      </c>
      <c r="AW346" s="407">
        <v>0</v>
      </c>
      <c r="AX346" s="407"/>
      <c r="AY346" s="407"/>
      <c r="AZ346" s="407">
        <v>0</v>
      </c>
      <c r="BA346" s="407"/>
      <c r="BB346" s="407">
        <v>0</v>
      </c>
      <c r="BC346" s="407">
        <v>0</v>
      </c>
      <c r="BD346" s="407">
        <v>0</v>
      </c>
      <c r="BE346" s="407">
        <v>0</v>
      </c>
      <c r="BF346" s="407"/>
      <c r="BG346" s="407">
        <v>0</v>
      </c>
      <c r="BH346" s="407">
        <v>0</v>
      </c>
      <c r="BI346" s="407">
        <v>70.5</v>
      </c>
      <c r="BJ346" s="407">
        <v>333.34</v>
      </c>
      <c r="BK346" s="407">
        <v>39.99</v>
      </c>
      <c r="BL346" s="407">
        <v>3</v>
      </c>
      <c r="BM346" s="407"/>
      <c r="BN346" s="407"/>
      <c r="BO346" s="407"/>
      <c r="BP346" s="407"/>
      <c r="BQ346" s="407"/>
      <c r="BR346" s="407">
        <v>379.10679999999979</v>
      </c>
      <c r="BS346" s="407"/>
      <c r="BT346" s="407"/>
      <c r="BU346" s="407"/>
      <c r="BV346" s="407">
        <v>0</v>
      </c>
      <c r="BW346" s="407"/>
      <c r="BX346" s="407"/>
      <c r="BY346" s="407"/>
      <c r="BZ346" s="407"/>
      <c r="CA346" s="407"/>
      <c r="CB346" s="407"/>
      <c r="CC346" s="407"/>
      <c r="CD346" s="407"/>
      <c r="CE346" s="407"/>
      <c r="CF346" s="407"/>
      <c r="CG346" s="407"/>
      <c r="CH346" s="407"/>
      <c r="CI346" s="407">
        <v>9098.5632000000005</v>
      </c>
      <c r="CJ346" s="407">
        <v>-2662.4940000000006</v>
      </c>
      <c r="CK346" s="407"/>
      <c r="CL346" s="407"/>
      <c r="CM346" s="407"/>
      <c r="CN346" s="407"/>
      <c r="CO346" s="407">
        <v>-2773.3999999999992</v>
      </c>
      <c r="CP346" s="407">
        <v>0</v>
      </c>
      <c r="CQ346" s="407"/>
      <c r="CR346" s="407">
        <v>63.295821095749488</v>
      </c>
      <c r="CS346" s="407">
        <v>0</v>
      </c>
      <c r="CT346" s="407">
        <v>0</v>
      </c>
      <c r="CU346" s="407">
        <v>0</v>
      </c>
      <c r="CV346" s="407">
        <v>0</v>
      </c>
      <c r="CW346" s="407"/>
      <c r="CX346" s="407"/>
      <c r="CY346" s="407"/>
      <c r="CZ346" s="407">
        <v>302.51262958199732</v>
      </c>
      <c r="DA346" s="407">
        <v>0</v>
      </c>
      <c r="DB346" s="407">
        <v>0</v>
      </c>
      <c r="DC346" s="407"/>
      <c r="DD346" s="407"/>
      <c r="DE346" s="407">
        <v>0</v>
      </c>
      <c r="DF346" s="407">
        <v>0</v>
      </c>
      <c r="DG346" s="407">
        <v>0</v>
      </c>
      <c r="DH346" s="407">
        <v>0</v>
      </c>
      <c r="DI346" s="407">
        <v>0</v>
      </c>
      <c r="DJ346" s="407"/>
      <c r="DK346" s="407">
        <v>0</v>
      </c>
      <c r="DL346" s="407">
        <v>0</v>
      </c>
      <c r="DM346" s="407"/>
      <c r="DN346" s="407">
        <v>0</v>
      </c>
      <c r="DO346" s="407">
        <v>0</v>
      </c>
      <c r="DP346" s="407">
        <v>0</v>
      </c>
      <c r="DQ346" s="407">
        <v>0</v>
      </c>
      <c r="DR346" s="407">
        <v>-239.21680848624806</v>
      </c>
      <c r="DS346" s="407"/>
      <c r="DT346" s="407"/>
      <c r="DU346" s="407">
        <v>5555.0599505371629</v>
      </c>
      <c r="DV346" s="407"/>
      <c r="DW346" s="407">
        <v>0</v>
      </c>
      <c r="DX346" s="407">
        <v>0</v>
      </c>
      <c r="DY346" s="407">
        <v>-2773.3999999999996</v>
      </c>
      <c r="DZ346" s="407"/>
      <c r="EA346" s="407">
        <v>0</v>
      </c>
      <c r="EB346" s="407"/>
      <c r="EC346" s="407">
        <v>-2837.537525046368</v>
      </c>
      <c r="ED346" s="407"/>
      <c r="EE346" s="407">
        <v>0</v>
      </c>
      <c r="EF346" s="407">
        <v>0</v>
      </c>
      <c r="EG346" s="407"/>
      <c r="EH346" s="407">
        <v>0</v>
      </c>
      <c r="EI346" s="407">
        <v>0</v>
      </c>
      <c r="EJ346" s="407">
        <v>0</v>
      </c>
      <c r="EK346" s="407">
        <v>0</v>
      </c>
      <c r="EL346" s="407">
        <v>0</v>
      </c>
      <c r="EM346" s="407"/>
      <c r="EN346" s="407"/>
      <c r="EO346" s="407">
        <v>0</v>
      </c>
      <c r="EP346" s="407">
        <v>0</v>
      </c>
      <c r="EQ346" s="407"/>
      <c r="ER346" s="407">
        <v>0</v>
      </c>
      <c r="ES346" s="407"/>
      <c r="ET346" s="407">
        <v>0</v>
      </c>
      <c r="EU346" s="407"/>
      <c r="EV346" s="407">
        <v>246</v>
      </c>
      <c r="EW346" s="407"/>
      <c r="EX346" s="407"/>
      <c r="EY346" s="407"/>
      <c r="EZ346" s="407"/>
      <c r="FA346" s="407">
        <v>0</v>
      </c>
      <c r="FB346" s="407"/>
      <c r="FC346" s="407"/>
      <c r="FD346" s="407"/>
      <c r="FE346" s="407"/>
      <c r="FF346" s="407">
        <v>0</v>
      </c>
      <c r="FG346" s="407">
        <v>0</v>
      </c>
      <c r="FH346" s="407">
        <v>0</v>
      </c>
      <c r="FI346" s="407">
        <v>0</v>
      </c>
    </row>
    <row r="347" spans="1:165">
      <c r="A347" s="407">
        <v>363</v>
      </c>
      <c r="B347" s="407" t="s">
        <v>1090</v>
      </c>
      <c r="C347" s="407" t="s">
        <v>2306</v>
      </c>
      <c r="D347" s="407" t="s">
        <v>1219</v>
      </c>
      <c r="E347" s="407" t="s">
        <v>2316</v>
      </c>
      <c r="F347" s="407" t="s">
        <v>97</v>
      </c>
      <c r="G347" s="407" t="s">
        <v>97</v>
      </c>
      <c r="H347" s="407" t="s">
        <v>97</v>
      </c>
      <c r="I347" s="407" t="s">
        <v>97</v>
      </c>
      <c r="J347" s="407" t="s">
        <v>2307</v>
      </c>
      <c r="K347" s="818">
        <v>44531</v>
      </c>
      <c r="L347" s="407">
        <v>0</v>
      </c>
      <c r="M347" s="407">
        <v>0</v>
      </c>
      <c r="N347" s="407">
        <v>304.88400000000001</v>
      </c>
      <c r="O347" s="407">
        <v>304.88400000000001</v>
      </c>
      <c r="P347" s="407">
        <v>304.88400000000001</v>
      </c>
      <c r="Q347" s="407">
        <v>304.88400000000001</v>
      </c>
      <c r="R347" s="407"/>
      <c r="S347" s="407">
        <v>648.44000000000005</v>
      </c>
      <c r="T347" s="407">
        <v>159.41</v>
      </c>
      <c r="U347" s="407"/>
      <c r="V347" s="407">
        <v>246300.53940000001</v>
      </c>
      <c r="W347" s="407">
        <v>246300.53940000001</v>
      </c>
      <c r="X347" s="407">
        <v>186534.12888</v>
      </c>
      <c r="Y347" s="407">
        <v>0</v>
      </c>
      <c r="Z347" s="407">
        <v>18893.737893078964</v>
      </c>
      <c r="AA347" s="407">
        <v>0</v>
      </c>
      <c r="AB347" s="407">
        <v>0</v>
      </c>
      <c r="AC347" s="407">
        <v>0</v>
      </c>
      <c r="AD347" s="407">
        <v>35563.019241193797</v>
      </c>
      <c r="AE347" s="407">
        <v>127303.09185512719</v>
      </c>
      <c r="AF347" s="407">
        <v>47022.477834359524</v>
      </c>
      <c r="AG347" s="407">
        <v>1579.8318249441459</v>
      </c>
      <c r="AH347" s="407">
        <v>0</v>
      </c>
      <c r="AI347" s="407">
        <v>0</v>
      </c>
      <c r="AJ347" s="407">
        <v>0</v>
      </c>
      <c r="AK347" s="407">
        <v>0</v>
      </c>
      <c r="AL347" s="407">
        <v>2919.5860595556637</v>
      </c>
      <c r="AM347" s="407"/>
      <c r="AN347" s="407">
        <v>632.66345925160431</v>
      </c>
      <c r="AO347" s="407">
        <v>0</v>
      </c>
      <c r="AP347" s="407">
        <v>0</v>
      </c>
      <c r="AQ347" s="407">
        <v>0</v>
      </c>
      <c r="AR347" s="407">
        <v>0</v>
      </c>
      <c r="AS347" s="407">
        <v>0</v>
      </c>
      <c r="AT347" s="407">
        <v>0</v>
      </c>
      <c r="AU347" s="407">
        <v>0</v>
      </c>
      <c r="AV347" s="407">
        <v>0</v>
      </c>
      <c r="AW347" s="407">
        <v>0</v>
      </c>
      <c r="AX347" s="407">
        <v>0</v>
      </c>
      <c r="AY347" s="407">
        <v>0</v>
      </c>
      <c r="AZ347" s="407">
        <v>0</v>
      </c>
      <c r="BA347" s="407"/>
      <c r="BB347" s="407">
        <v>0</v>
      </c>
      <c r="BC347" s="407">
        <v>0</v>
      </c>
      <c r="BD347" s="407">
        <v>0</v>
      </c>
      <c r="BE347" s="407">
        <v>0</v>
      </c>
      <c r="BF347" s="407">
        <v>0</v>
      </c>
      <c r="BG347" s="407">
        <v>3437.1929757750731</v>
      </c>
      <c r="BH347" s="407">
        <v>0</v>
      </c>
      <c r="BI347" s="407">
        <v>714.03</v>
      </c>
      <c r="BJ347" s="407">
        <v>3382.38</v>
      </c>
      <c r="BK347" s="407">
        <v>91328.58</v>
      </c>
      <c r="BL347" s="407">
        <v>358</v>
      </c>
      <c r="BM347" s="407"/>
      <c r="BN347" s="407"/>
      <c r="BO347" s="407"/>
      <c r="BP347" s="407"/>
      <c r="BQ347" s="407"/>
      <c r="BR347" s="407"/>
      <c r="BS347" s="407"/>
      <c r="BT347" s="407"/>
      <c r="BU347" s="407"/>
      <c r="BV347" s="407">
        <v>50459.670810134601</v>
      </c>
      <c r="BW347" s="407"/>
      <c r="BX347" s="407"/>
      <c r="BY347" s="407"/>
      <c r="BZ347" s="407"/>
      <c r="CA347" s="407"/>
      <c r="CB347" s="407"/>
      <c r="CC347" s="407"/>
      <c r="CD347" s="407"/>
      <c r="CE347" s="407"/>
      <c r="CF347" s="407"/>
      <c r="CG347" s="407"/>
      <c r="CH347" s="407"/>
      <c r="CI347" s="407">
        <v>186531.68160000001</v>
      </c>
      <c r="CJ347" s="407">
        <v>-59768.887800000026</v>
      </c>
      <c r="CK347" s="407"/>
      <c r="CL347" s="407"/>
      <c r="CM347" s="407"/>
      <c r="CN347" s="407"/>
      <c r="CO347" s="407">
        <v>-68141.574000000022</v>
      </c>
      <c r="CP347" s="407">
        <v>8375.1634799999993</v>
      </c>
      <c r="CQ347" s="407"/>
      <c r="CR347" s="407">
        <v>5260.4740286859887</v>
      </c>
      <c r="CS347" s="407">
        <v>0</v>
      </c>
      <c r="CT347" s="407">
        <v>0</v>
      </c>
      <c r="CU347" s="407">
        <v>0</v>
      </c>
      <c r="CV347" s="407">
        <v>0</v>
      </c>
      <c r="CW347" s="407">
        <v>0</v>
      </c>
      <c r="CX347" s="407">
        <v>0</v>
      </c>
      <c r="CY347" s="407">
        <v>0</v>
      </c>
      <c r="CZ347" s="407">
        <v>1606.4520938361311</v>
      </c>
      <c r="DA347" s="407">
        <v>0</v>
      </c>
      <c r="DB347" s="407">
        <v>0</v>
      </c>
      <c r="DC347" s="407">
        <v>9323.2875198660404</v>
      </c>
      <c r="DD347" s="407">
        <v>0</v>
      </c>
      <c r="DE347" s="407">
        <v>0</v>
      </c>
      <c r="DF347" s="407">
        <v>0</v>
      </c>
      <c r="DG347" s="407">
        <v>681.5025462354306</v>
      </c>
      <c r="DH347" s="407">
        <v>0</v>
      </c>
      <c r="DI347" s="407">
        <v>-1323.3546745887434</v>
      </c>
      <c r="DJ347" s="407"/>
      <c r="DK347" s="407">
        <v>0</v>
      </c>
      <c r="DL347" s="407">
        <v>0</v>
      </c>
      <c r="DM347" s="407">
        <v>0</v>
      </c>
      <c r="DN347" s="407">
        <v>0</v>
      </c>
      <c r="DO347" s="407">
        <v>-178.12796551599149</v>
      </c>
      <c r="DP347" s="407">
        <v>-40.311788245515118</v>
      </c>
      <c r="DQ347" s="407">
        <v>0</v>
      </c>
      <c r="DR347" s="407">
        <v>-4808.9737029013577</v>
      </c>
      <c r="DS347" s="407"/>
      <c r="DT347" s="407"/>
      <c r="DU347" s="407"/>
      <c r="DV347" s="407">
        <v>127303.09185512719</v>
      </c>
      <c r="DW347" s="407">
        <v>0</v>
      </c>
      <c r="DX347" s="407">
        <v>0</v>
      </c>
      <c r="DY347" s="407">
        <v>-68141.574000000008</v>
      </c>
      <c r="DZ347" s="407">
        <v>8375.1634800000029</v>
      </c>
      <c r="EA347" s="407">
        <v>0</v>
      </c>
      <c r="EB347" s="407">
        <v>0</v>
      </c>
      <c r="EC347" s="407">
        <v>-65026.714996733295</v>
      </c>
      <c r="ED347" s="407">
        <v>0</v>
      </c>
      <c r="EE347" s="407">
        <v>0</v>
      </c>
      <c r="EF347" s="407">
        <v>0</v>
      </c>
      <c r="EG347" s="407">
        <v>0</v>
      </c>
      <c r="EH347" s="407">
        <v>0</v>
      </c>
      <c r="EI347" s="407">
        <v>0</v>
      </c>
      <c r="EJ347" s="407">
        <v>0</v>
      </c>
      <c r="EK347" s="407">
        <v>0</v>
      </c>
      <c r="EL347" s="407">
        <v>0</v>
      </c>
      <c r="EM347" s="407">
        <v>0</v>
      </c>
      <c r="EN347" s="407">
        <v>0</v>
      </c>
      <c r="EO347" s="407">
        <v>0</v>
      </c>
      <c r="EP347" s="407">
        <v>8949.6258276254721</v>
      </c>
      <c r="EQ347" s="407">
        <v>0</v>
      </c>
      <c r="ER347" s="407">
        <v>0</v>
      </c>
      <c r="ES347" s="407">
        <v>0</v>
      </c>
      <c r="ET347" s="407">
        <v>0</v>
      </c>
      <c r="EU347" s="407">
        <v>0</v>
      </c>
      <c r="EV347" s="407">
        <v>246</v>
      </c>
      <c r="EW347" s="407">
        <v>0</v>
      </c>
      <c r="EX347" s="407">
        <v>0</v>
      </c>
      <c r="EY347" s="407">
        <v>0</v>
      </c>
      <c r="EZ347" s="407"/>
      <c r="FA347" s="407">
        <v>0</v>
      </c>
      <c r="FB347" s="407"/>
      <c r="FC347" s="407"/>
      <c r="FD347" s="407"/>
      <c r="FE347" s="407"/>
      <c r="FF347" s="407">
        <v>0</v>
      </c>
      <c r="FG347" s="407">
        <v>0</v>
      </c>
      <c r="FH347" s="407">
        <v>0</v>
      </c>
      <c r="FI347" s="407">
        <v>0</v>
      </c>
    </row>
    <row r="348" spans="1:165">
      <c r="A348" s="407">
        <v>364</v>
      </c>
      <c r="B348" s="407" t="s">
        <v>1090</v>
      </c>
      <c r="C348" s="407" t="s">
        <v>2317</v>
      </c>
      <c r="D348" s="407" t="s">
        <v>650</v>
      </c>
      <c r="E348" s="407" t="s">
        <v>2316</v>
      </c>
      <c r="F348" s="407" t="s">
        <v>97</v>
      </c>
      <c r="G348" s="407" t="s">
        <v>97</v>
      </c>
      <c r="H348" s="407" t="s">
        <v>97</v>
      </c>
      <c r="I348" s="407" t="s">
        <v>1025</v>
      </c>
      <c r="J348" s="407" t="s">
        <v>2307</v>
      </c>
      <c r="K348" s="818">
        <v>44531</v>
      </c>
      <c r="L348" s="407">
        <v>200</v>
      </c>
      <c r="M348" s="407">
        <v>200</v>
      </c>
      <c r="N348" s="407">
        <v>2.5070000000000001</v>
      </c>
      <c r="O348" s="407">
        <v>2.5070000000000001</v>
      </c>
      <c r="P348" s="407">
        <v>2.5070000000000001</v>
      </c>
      <c r="Q348" s="407">
        <v>2.5070000000000001</v>
      </c>
      <c r="R348" s="407">
        <v>112.91</v>
      </c>
      <c r="S348" s="407">
        <v>95.29</v>
      </c>
      <c r="T348" s="407">
        <v>159.41</v>
      </c>
      <c r="U348" s="407">
        <v>22582</v>
      </c>
      <c r="V348" s="407">
        <v>638.53290000000004</v>
      </c>
      <c r="W348" s="407">
        <v>23220.532899999998</v>
      </c>
      <c r="X348" s="407">
        <v>14122.213369999999</v>
      </c>
      <c r="Y348" s="407">
        <v>0</v>
      </c>
      <c r="Z348" s="407">
        <v>135.16269394660125</v>
      </c>
      <c r="AA348" s="407">
        <v>0</v>
      </c>
      <c r="AB348" s="407">
        <v>0</v>
      </c>
      <c r="AC348" s="407">
        <v>0</v>
      </c>
      <c r="AD348" s="407">
        <v>5077.0827132346003</v>
      </c>
      <c r="AE348" s="407">
        <v>17504.269107723037</v>
      </c>
      <c r="AF348" s="407">
        <v>386.65640679976428</v>
      </c>
      <c r="AG348" s="407">
        <v>12.990640325943552</v>
      </c>
      <c r="AH348" s="407">
        <v>0</v>
      </c>
      <c r="AI348" s="407">
        <v>0</v>
      </c>
      <c r="AJ348" s="407">
        <v>0</v>
      </c>
      <c r="AK348" s="407">
        <v>0</v>
      </c>
      <c r="AL348" s="407">
        <v>24.007170764310523</v>
      </c>
      <c r="AM348" s="407"/>
      <c r="AN348" s="407">
        <v>2.6918495932139015</v>
      </c>
      <c r="AO348" s="407">
        <v>0</v>
      </c>
      <c r="AP348" s="407">
        <v>0</v>
      </c>
      <c r="AQ348" s="407">
        <v>0</v>
      </c>
      <c r="AR348" s="407">
        <v>0</v>
      </c>
      <c r="AS348" s="407">
        <v>0</v>
      </c>
      <c r="AT348" s="407">
        <v>0</v>
      </c>
      <c r="AU348" s="407">
        <v>0</v>
      </c>
      <c r="AV348" s="407">
        <v>0</v>
      </c>
      <c r="AW348" s="407">
        <v>0</v>
      </c>
      <c r="AX348" s="407">
        <v>0</v>
      </c>
      <c r="AY348" s="407">
        <v>0</v>
      </c>
      <c r="AZ348" s="407">
        <v>0</v>
      </c>
      <c r="BA348" s="407"/>
      <c r="BB348" s="407">
        <v>0</v>
      </c>
      <c r="BC348" s="407">
        <v>0</v>
      </c>
      <c r="BD348" s="407">
        <v>0</v>
      </c>
      <c r="BE348" s="407">
        <v>0</v>
      </c>
      <c r="BF348" s="407">
        <v>0</v>
      </c>
      <c r="BG348" s="407">
        <v>13.011015017862155</v>
      </c>
      <c r="BH348" s="407">
        <v>0</v>
      </c>
      <c r="BI348" s="407">
        <v>0</v>
      </c>
      <c r="BJ348" s="407">
        <v>0</v>
      </c>
      <c r="BK348" s="407">
        <v>0</v>
      </c>
      <c r="BL348" s="407">
        <v>0</v>
      </c>
      <c r="BM348" s="407"/>
      <c r="BN348" s="407"/>
      <c r="BO348" s="407"/>
      <c r="BP348" s="407"/>
      <c r="BQ348" s="407"/>
      <c r="BR348" s="407"/>
      <c r="BS348" s="407"/>
      <c r="BT348" s="407"/>
      <c r="BU348" s="407"/>
      <c r="BV348" s="407">
        <v>399.66742181762646</v>
      </c>
      <c r="BW348" s="407"/>
      <c r="BX348" s="407"/>
      <c r="BY348" s="407"/>
      <c r="BZ348" s="407"/>
      <c r="CA348" s="407"/>
      <c r="CB348" s="407"/>
      <c r="CC348" s="407"/>
      <c r="CD348" s="407"/>
      <c r="CE348" s="407"/>
      <c r="CF348" s="407"/>
      <c r="CG348" s="407"/>
      <c r="CH348" s="407"/>
      <c r="CI348" s="407">
        <v>14123.044099999999</v>
      </c>
      <c r="CJ348" s="407">
        <v>-9097.5187999999944</v>
      </c>
      <c r="CK348" s="407"/>
      <c r="CL348" s="407"/>
      <c r="CM348" s="407"/>
      <c r="CN348" s="407"/>
      <c r="CO348" s="407">
        <v>-9167.1868200000008</v>
      </c>
      <c r="CP348" s="407">
        <v>68.867289999999997</v>
      </c>
      <c r="CQ348" s="407"/>
      <c r="CR348" s="407">
        <v>-155.88116039190572</v>
      </c>
      <c r="CS348" s="407">
        <v>0</v>
      </c>
      <c r="CT348" s="407">
        <v>0</v>
      </c>
      <c r="CU348" s="407">
        <v>0</v>
      </c>
      <c r="CV348" s="407">
        <v>0</v>
      </c>
      <c r="CW348" s="407">
        <v>0</v>
      </c>
      <c r="CX348" s="407">
        <v>0</v>
      </c>
      <c r="CY348" s="407">
        <v>0</v>
      </c>
      <c r="CZ348" s="407">
        <v>229.34189304735992</v>
      </c>
      <c r="DA348" s="407">
        <v>0</v>
      </c>
      <c r="DB348" s="407">
        <v>0</v>
      </c>
      <c r="DC348" s="407">
        <v>76.663523872371627</v>
      </c>
      <c r="DD348" s="407">
        <v>0</v>
      </c>
      <c r="DE348" s="407">
        <v>0</v>
      </c>
      <c r="DF348" s="407">
        <v>0</v>
      </c>
      <c r="DG348" s="407">
        <v>2.5797329176087302</v>
      </c>
      <c r="DH348" s="407">
        <v>0</v>
      </c>
      <c r="DI348" s="407">
        <v>-9.4670617257671523</v>
      </c>
      <c r="DJ348" s="407"/>
      <c r="DK348" s="407">
        <v>0</v>
      </c>
      <c r="DL348" s="407">
        <v>0</v>
      </c>
      <c r="DM348" s="407">
        <v>0</v>
      </c>
      <c r="DN348" s="407">
        <v>0</v>
      </c>
      <c r="DO348" s="407">
        <v>-1.4647105441695558</v>
      </c>
      <c r="DP348" s="407">
        <v>-0.17151815740831777</v>
      </c>
      <c r="DQ348" s="407">
        <v>0</v>
      </c>
      <c r="DR348" s="407">
        <v>-453.36301980190194</v>
      </c>
      <c r="DS348" s="407"/>
      <c r="DT348" s="407"/>
      <c r="DU348" s="407">
        <v>17504.269107723037</v>
      </c>
      <c r="DV348" s="407">
        <v>0</v>
      </c>
      <c r="DW348" s="407">
        <v>0</v>
      </c>
      <c r="DX348" s="407">
        <v>0</v>
      </c>
      <c r="DY348" s="407">
        <v>-9167.186819999999</v>
      </c>
      <c r="DZ348" s="407">
        <v>68.867290000000025</v>
      </c>
      <c r="EA348" s="407">
        <v>0</v>
      </c>
      <c r="EB348" s="407">
        <v>0</v>
      </c>
      <c r="EC348" s="407">
        <v>-8941.2213160491574</v>
      </c>
      <c r="ED348" s="407">
        <v>0</v>
      </c>
      <c r="EE348" s="407">
        <v>0</v>
      </c>
      <c r="EF348" s="407">
        <v>0</v>
      </c>
      <c r="EG348" s="407">
        <v>0</v>
      </c>
      <c r="EH348" s="407">
        <v>0</v>
      </c>
      <c r="EI348" s="407">
        <v>0</v>
      </c>
      <c r="EJ348" s="407">
        <v>0</v>
      </c>
      <c r="EK348" s="407">
        <v>0</v>
      </c>
      <c r="EL348" s="407">
        <v>0</v>
      </c>
      <c r="EM348" s="407">
        <v>0</v>
      </c>
      <c r="EN348" s="407">
        <v>0</v>
      </c>
      <c r="EO348" s="407">
        <v>0</v>
      </c>
      <c r="EP348" s="407">
        <v>64.024151468675399</v>
      </c>
      <c r="EQ348" s="407">
        <v>0</v>
      </c>
      <c r="ER348" s="407">
        <v>0</v>
      </c>
      <c r="ES348" s="407">
        <v>0</v>
      </c>
      <c r="ET348" s="407">
        <v>0</v>
      </c>
      <c r="EU348" s="407">
        <v>0</v>
      </c>
      <c r="EV348" s="407">
        <v>246</v>
      </c>
      <c r="EW348" s="407">
        <v>0</v>
      </c>
      <c r="EX348" s="407">
        <v>0</v>
      </c>
      <c r="EY348" s="407">
        <v>0</v>
      </c>
      <c r="EZ348" s="407"/>
      <c r="FA348" s="407">
        <v>0</v>
      </c>
      <c r="FB348" s="407"/>
      <c r="FC348" s="407"/>
      <c r="FD348" s="407"/>
      <c r="FE348" s="407"/>
      <c r="FF348" s="407">
        <v>0</v>
      </c>
      <c r="FG348" s="407">
        <v>0</v>
      </c>
      <c r="FH348" s="407">
        <v>0</v>
      </c>
      <c r="FI348" s="407">
        <v>0</v>
      </c>
    </row>
    <row r="349" spans="1:165">
      <c r="A349" s="407">
        <v>365</v>
      </c>
      <c r="B349" s="407" t="s">
        <v>1090</v>
      </c>
      <c r="C349" s="407" t="s">
        <v>2317</v>
      </c>
      <c r="D349" s="407" t="s">
        <v>650</v>
      </c>
      <c r="E349" s="407" t="s">
        <v>2316</v>
      </c>
      <c r="F349" s="407" t="s">
        <v>97</v>
      </c>
      <c r="G349" s="407" t="s">
        <v>97</v>
      </c>
      <c r="H349" s="407" t="s">
        <v>97</v>
      </c>
      <c r="I349" s="407" t="s">
        <v>2290</v>
      </c>
      <c r="J349" s="407" t="s">
        <v>2307</v>
      </c>
      <c r="K349" s="818">
        <v>44531</v>
      </c>
      <c r="L349" s="407">
        <v>230</v>
      </c>
      <c r="M349" s="407">
        <v>230</v>
      </c>
      <c r="N349" s="407">
        <v>24.725000000000001</v>
      </c>
      <c r="O349" s="407">
        <v>24.725000000000001</v>
      </c>
      <c r="P349" s="407">
        <v>24.725000000000001</v>
      </c>
      <c r="Q349" s="407">
        <v>24.725000000000001</v>
      </c>
      <c r="R349" s="407">
        <v>43.29</v>
      </c>
      <c r="S349" s="407">
        <v>95.29</v>
      </c>
      <c r="T349" s="407">
        <v>159.41</v>
      </c>
      <c r="U349" s="407">
        <v>9956.6999999999989</v>
      </c>
      <c r="V349" s="407">
        <v>6297.4575000000004</v>
      </c>
      <c r="W349" s="407">
        <v>16254.157500000001</v>
      </c>
      <c r="X349" s="407">
        <v>14549.299750000002</v>
      </c>
      <c r="Y349" s="407">
        <v>0</v>
      </c>
      <c r="Z349" s="407">
        <v>1333.026568739416</v>
      </c>
      <c r="AA349" s="407">
        <v>0</v>
      </c>
      <c r="AB349" s="407">
        <v>0</v>
      </c>
      <c r="AC349" s="407">
        <v>0</v>
      </c>
      <c r="AD349" s="407">
        <v>5442.71704644074</v>
      </c>
      <c r="AE349" s="407">
        <v>4514.7130340054682</v>
      </c>
      <c r="AF349" s="407">
        <v>3813.35447073162</v>
      </c>
      <c r="AG349" s="407">
        <v>128.11870046228731</v>
      </c>
      <c r="AH349" s="407">
        <v>0</v>
      </c>
      <c r="AI349" s="407">
        <v>0</v>
      </c>
      <c r="AJ349" s="407">
        <v>0</v>
      </c>
      <c r="AK349" s="407">
        <v>0</v>
      </c>
      <c r="AL349" s="407">
        <v>236.7679685470992</v>
      </c>
      <c r="AM349" s="407"/>
      <c r="AN349" s="407">
        <v>26.548057914724257</v>
      </c>
      <c r="AO349" s="407">
        <v>0</v>
      </c>
      <c r="AP349" s="407">
        <v>0</v>
      </c>
      <c r="AQ349" s="407">
        <v>0</v>
      </c>
      <c r="AR349" s="407">
        <v>0</v>
      </c>
      <c r="AS349" s="407">
        <v>0</v>
      </c>
      <c r="AT349" s="407">
        <v>0</v>
      </c>
      <c r="AU349" s="407">
        <v>0</v>
      </c>
      <c r="AV349" s="407">
        <v>0</v>
      </c>
      <c r="AW349" s="407">
        <v>0</v>
      </c>
      <c r="AX349" s="407">
        <v>0</v>
      </c>
      <c r="AY349" s="407">
        <v>0</v>
      </c>
      <c r="AZ349" s="407">
        <v>0</v>
      </c>
      <c r="BA349" s="407"/>
      <c r="BB349" s="407">
        <v>0</v>
      </c>
      <c r="BC349" s="407">
        <v>0</v>
      </c>
      <c r="BD349" s="407">
        <v>0</v>
      </c>
      <c r="BE349" s="407">
        <v>0</v>
      </c>
      <c r="BF349" s="407">
        <v>0</v>
      </c>
      <c r="BG349" s="407">
        <v>128.31964352478732</v>
      </c>
      <c r="BH349" s="407">
        <v>0</v>
      </c>
      <c r="BI349" s="407">
        <v>0</v>
      </c>
      <c r="BJ349" s="407">
        <v>0</v>
      </c>
      <c r="BK349" s="407">
        <v>0</v>
      </c>
      <c r="BL349" s="407">
        <v>0</v>
      </c>
      <c r="BM349" s="407"/>
      <c r="BN349" s="407"/>
      <c r="BO349" s="407"/>
      <c r="BP349" s="407"/>
      <c r="BQ349" s="407"/>
      <c r="BR349" s="407"/>
      <c r="BS349" s="407"/>
      <c r="BT349" s="407"/>
      <c r="BU349" s="407"/>
      <c r="BV349" s="407">
        <v>3941.6741142564074</v>
      </c>
      <c r="BW349" s="407"/>
      <c r="BX349" s="407"/>
      <c r="BY349" s="407"/>
      <c r="BZ349" s="407"/>
      <c r="CA349" s="407"/>
      <c r="CB349" s="407"/>
      <c r="CC349" s="407"/>
      <c r="CD349" s="407"/>
      <c r="CE349" s="407"/>
      <c r="CF349" s="407"/>
      <c r="CG349" s="407"/>
      <c r="CH349" s="407"/>
      <c r="CI349" s="407">
        <v>14550.684300000001</v>
      </c>
      <c r="CJ349" s="407">
        <v>-1703.5031999999974</v>
      </c>
      <c r="CK349" s="407"/>
      <c r="CL349" s="407"/>
      <c r="CM349" s="407"/>
      <c r="CN349" s="407"/>
      <c r="CO349" s="407">
        <v>-2384.0534999999995</v>
      </c>
      <c r="CP349" s="407">
        <v>679.19574999999998</v>
      </c>
      <c r="CQ349" s="407"/>
      <c r="CR349" s="407">
        <v>600.50593285632021</v>
      </c>
      <c r="CS349" s="407">
        <v>0</v>
      </c>
      <c r="CT349" s="407">
        <v>0</v>
      </c>
      <c r="CU349" s="407">
        <v>0</v>
      </c>
      <c r="CV349" s="407">
        <v>0</v>
      </c>
      <c r="CW349" s="407">
        <v>0</v>
      </c>
      <c r="CX349" s="407">
        <v>0</v>
      </c>
      <c r="CY349" s="407">
        <v>0</v>
      </c>
      <c r="CZ349" s="407">
        <v>245.85832086169376</v>
      </c>
      <c r="DA349" s="407">
        <v>0</v>
      </c>
      <c r="DB349" s="407">
        <v>0</v>
      </c>
      <c r="DC349" s="407">
        <v>756.08521250274816</v>
      </c>
      <c r="DD349" s="407">
        <v>0</v>
      </c>
      <c r="DE349" s="407">
        <v>0</v>
      </c>
      <c r="DF349" s="407">
        <v>0</v>
      </c>
      <c r="DG349" s="407">
        <v>25.442320058985189</v>
      </c>
      <c r="DH349" s="407">
        <v>0</v>
      </c>
      <c r="DI349" s="407">
        <v>-93.367810598162123</v>
      </c>
      <c r="DJ349" s="407"/>
      <c r="DK349" s="407">
        <v>0</v>
      </c>
      <c r="DL349" s="407">
        <v>0</v>
      </c>
      <c r="DM349" s="407">
        <v>0</v>
      </c>
      <c r="DN349" s="407">
        <v>0</v>
      </c>
      <c r="DO349" s="407">
        <v>-14.44553977047957</v>
      </c>
      <c r="DP349" s="407">
        <v>-1.6915781579260702</v>
      </c>
      <c r="DQ349" s="407">
        <v>0</v>
      </c>
      <c r="DR349" s="407">
        <v>-317.3749920405395</v>
      </c>
      <c r="DS349" s="407"/>
      <c r="DT349" s="407"/>
      <c r="DU349" s="407">
        <v>4514.7130340054682</v>
      </c>
      <c r="DV349" s="407">
        <v>0</v>
      </c>
      <c r="DW349" s="407">
        <v>0</v>
      </c>
      <c r="DX349" s="407">
        <v>0</v>
      </c>
      <c r="DY349" s="407">
        <v>-2384.0534999999982</v>
      </c>
      <c r="DZ349" s="407">
        <v>679.19574999999986</v>
      </c>
      <c r="EA349" s="407">
        <v>0</v>
      </c>
      <c r="EB349" s="407">
        <v>0</v>
      </c>
      <c r="EC349" s="407">
        <v>-2306.1259037479317</v>
      </c>
      <c r="ED349" s="407">
        <v>0</v>
      </c>
      <c r="EE349" s="407">
        <v>0</v>
      </c>
      <c r="EF349" s="407">
        <v>0</v>
      </c>
      <c r="EG349" s="407">
        <v>0</v>
      </c>
      <c r="EH349" s="407">
        <v>0</v>
      </c>
      <c r="EI349" s="407">
        <v>0</v>
      </c>
      <c r="EJ349" s="407">
        <v>0</v>
      </c>
      <c r="EK349" s="407">
        <v>0</v>
      </c>
      <c r="EL349" s="407">
        <v>0</v>
      </c>
      <c r="EM349" s="407">
        <v>0</v>
      </c>
      <c r="EN349" s="407">
        <v>0</v>
      </c>
      <c r="EO349" s="407">
        <v>0</v>
      </c>
      <c r="EP349" s="407">
        <v>631.43085164060608</v>
      </c>
      <c r="EQ349" s="407">
        <v>0</v>
      </c>
      <c r="ER349" s="407">
        <v>0</v>
      </c>
      <c r="ES349" s="407">
        <v>0</v>
      </c>
      <c r="ET349" s="407">
        <v>0</v>
      </c>
      <c r="EU349" s="407">
        <v>0</v>
      </c>
      <c r="EV349" s="407">
        <v>246</v>
      </c>
      <c r="EW349" s="407">
        <v>0</v>
      </c>
      <c r="EX349" s="407">
        <v>0</v>
      </c>
      <c r="EY349" s="407">
        <v>0</v>
      </c>
      <c r="EZ349" s="407"/>
      <c r="FA349" s="407">
        <v>0</v>
      </c>
      <c r="FB349" s="407"/>
      <c r="FC349" s="407"/>
      <c r="FD349" s="407"/>
      <c r="FE349" s="407"/>
      <c r="FF349" s="407">
        <v>0</v>
      </c>
      <c r="FG349" s="407">
        <v>0</v>
      </c>
      <c r="FH349" s="407">
        <v>0</v>
      </c>
      <c r="FI349" s="407">
        <v>0</v>
      </c>
    </row>
    <row r="350" spans="1:165">
      <c r="A350" s="407">
        <v>366</v>
      </c>
      <c r="B350" s="407" t="s">
        <v>1090</v>
      </c>
      <c r="C350" s="407" t="s">
        <v>2317</v>
      </c>
      <c r="D350" s="407" t="s">
        <v>650</v>
      </c>
      <c r="E350" s="407" t="s">
        <v>2316</v>
      </c>
      <c r="F350" s="407" t="s">
        <v>97</v>
      </c>
      <c r="G350" s="407" t="s">
        <v>97</v>
      </c>
      <c r="H350" s="407" t="s">
        <v>97</v>
      </c>
      <c r="I350" s="407" t="s">
        <v>97</v>
      </c>
      <c r="J350" s="407" t="s">
        <v>2307</v>
      </c>
      <c r="K350" s="818">
        <v>44531</v>
      </c>
      <c r="L350" s="407">
        <v>0</v>
      </c>
      <c r="M350" s="407">
        <v>0</v>
      </c>
      <c r="N350" s="407">
        <v>0</v>
      </c>
      <c r="O350" s="407">
        <v>0</v>
      </c>
      <c r="P350" s="407">
        <v>0</v>
      </c>
      <c r="Q350" s="407">
        <v>0</v>
      </c>
      <c r="R350" s="407"/>
      <c r="S350" s="407"/>
      <c r="T350" s="407"/>
      <c r="U350" s="407"/>
      <c r="V350" s="407"/>
      <c r="W350" s="407"/>
      <c r="X350" s="407"/>
      <c r="Y350" s="407"/>
      <c r="Z350" s="407"/>
      <c r="AA350" s="407">
        <v>0</v>
      </c>
      <c r="AB350" s="407"/>
      <c r="AC350" s="407"/>
      <c r="AD350" s="407"/>
      <c r="AE350" s="407"/>
      <c r="AF350" s="407"/>
      <c r="AG350" s="407"/>
      <c r="AH350" s="407"/>
      <c r="AI350" s="407"/>
      <c r="AJ350" s="407"/>
      <c r="AK350" s="407"/>
      <c r="AL350" s="407"/>
      <c r="AM350" s="407"/>
      <c r="AN350" s="407"/>
      <c r="AO350" s="407"/>
      <c r="AP350" s="407"/>
      <c r="AQ350" s="407"/>
      <c r="AR350" s="407"/>
      <c r="AS350" s="407"/>
      <c r="AT350" s="407"/>
      <c r="AU350" s="407"/>
      <c r="AV350" s="407"/>
      <c r="AW350" s="407"/>
      <c r="AX350" s="407"/>
      <c r="AY350" s="407"/>
      <c r="AZ350" s="407">
        <v>0</v>
      </c>
      <c r="BA350" s="407"/>
      <c r="BB350" s="407"/>
      <c r="BC350" s="407"/>
      <c r="BD350" s="407"/>
      <c r="BE350" s="407"/>
      <c r="BF350" s="407"/>
      <c r="BG350" s="407"/>
      <c r="BH350" s="407"/>
      <c r="BI350" s="407">
        <v>89.39</v>
      </c>
      <c r="BJ350" s="407">
        <v>422.6</v>
      </c>
      <c r="BK350" s="407">
        <v>7584.25</v>
      </c>
      <c r="BL350" s="407">
        <v>1</v>
      </c>
      <c r="BM350" s="407"/>
      <c r="BN350" s="407"/>
      <c r="BO350" s="407"/>
      <c r="BP350" s="407"/>
      <c r="BQ350" s="407"/>
      <c r="BR350" s="407"/>
      <c r="BS350" s="407"/>
      <c r="BT350" s="407"/>
      <c r="BU350" s="407"/>
      <c r="BV350" s="407"/>
      <c r="BW350" s="407"/>
      <c r="BX350" s="407"/>
      <c r="BY350" s="407"/>
      <c r="BZ350" s="407"/>
      <c r="CA350" s="407"/>
      <c r="CB350" s="407"/>
      <c r="CC350" s="407"/>
      <c r="CD350" s="407"/>
      <c r="CE350" s="407"/>
      <c r="CF350" s="407"/>
      <c r="CG350" s="407"/>
      <c r="CH350" s="407"/>
      <c r="CI350" s="407"/>
      <c r="CJ350" s="407">
        <v>-0.03</v>
      </c>
      <c r="CK350" s="407"/>
      <c r="CL350" s="407"/>
      <c r="CM350" s="407"/>
      <c r="CN350" s="407"/>
      <c r="CO350" s="407">
        <v>0</v>
      </c>
      <c r="CP350" s="407">
        <v>0</v>
      </c>
      <c r="CQ350" s="407"/>
      <c r="CR350" s="407"/>
      <c r="CS350" s="407"/>
      <c r="CT350" s="407"/>
      <c r="CU350" s="407"/>
      <c r="CV350" s="407"/>
      <c r="CW350" s="407"/>
      <c r="CX350" s="407"/>
      <c r="CY350" s="407"/>
      <c r="CZ350" s="407"/>
      <c r="DA350" s="407"/>
      <c r="DB350" s="407"/>
      <c r="DC350" s="407"/>
      <c r="DD350" s="407"/>
      <c r="DE350" s="407"/>
      <c r="DF350" s="407"/>
      <c r="DG350" s="407"/>
      <c r="DH350" s="407"/>
      <c r="DI350" s="407"/>
      <c r="DJ350" s="407"/>
      <c r="DK350" s="407">
        <v>0</v>
      </c>
      <c r="DL350" s="407"/>
      <c r="DM350" s="407"/>
      <c r="DN350" s="407"/>
      <c r="DO350" s="407"/>
      <c r="DP350" s="407"/>
      <c r="DQ350" s="407"/>
      <c r="DR350" s="407"/>
      <c r="DS350" s="407"/>
      <c r="DT350" s="407"/>
      <c r="DU350" s="407"/>
      <c r="DV350" s="407"/>
      <c r="DW350" s="407"/>
      <c r="DX350" s="407"/>
      <c r="DY350" s="407"/>
      <c r="DZ350" s="407"/>
      <c r="EA350" s="407"/>
      <c r="EB350" s="407"/>
      <c r="EC350" s="407"/>
      <c r="ED350" s="407"/>
      <c r="EE350" s="407"/>
      <c r="EF350" s="407"/>
      <c r="EG350" s="407"/>
      <c r="EH350" s="407"/>
      <c r="EI350" s="407"/>
      <c r="EJ350" s="407"/>
      <c r="EK350" s="407"/>
      <c r="EL350" s="407"/>
      <c r="EM350" s="407"/>
      <c r="EN350" s="407"/>
      <c r="EO350" s="407"/>
      <c r="EP350" s="407"/>
      <c r="EQ350" s="407"/>
      <c r="ER350" s="407"/>
      <c r="ES350" s="407"/>
      <c r="ET350" s="407"/>
      <c r="EU350" s="407"/>
      <c r="EV350" s="407">
        <v>246</v>
      </c>
      <c r="EW350" s="407"/>
      <c r="EX350" s="407"/>
      <c r="EY350" s="407"/>
      <c r="EZ350" s="407"/>
      <c r="FA350" s="407">
        <v>0</v>
      </c>
      <c r="FB350" s="407"/>
      <c r="FC350" s="407"/>
      <c r="FD350" s="407"/>
      <c r="FE350" s="407"/>
      <c r="FF350" s="407">
        <v>0</v>
      </c>
      <c r="FG350" s="407">
        <v>0</v>
      </c>
      <c r="FH350" s="407">
        <v>0</v>
      </c>
      <c r="FI350" s="407">
        <v>0</v>
      </c>
    </row>
    <row r="351" spans="1:165">
      <c r="A351" s="407">
        <v>367</v>
      </c>
      <c r="B351" s="407" t="s">
        <v>1090</v>
      </c>
      <c r="C351" s="407" t="s">
        <v>2314</v>
      </c>
      <c r="D351" s="407" t="s">
        <v>650</v>
      </c>
      <c r="E351" s="407" t="s">
        <v>2316</v>
      </c>
      <c r="F351" s="407" t="s">
        <v>97</v>
      </c>
      <c r="G351" s="407" t="s">
        <v>97</v>
      </c>
      <c r="H351" s="407" t="s">
        <v>97</v>
      </c>
      <c r="I351" s="407" t="s">
        <v>1025</v>
      </c>
      <c r="J351" s="407" t="s">
        <v>2307</v>
      </c>
      <c r="K351" s="818">
        <v>44531</v>
      </c>
      <c r="L351" s="407">
        <v>0</v>
      </c>
      <c r="M351" s="407">
        <v>0</v>
      </c>
      <c r="N351" s="407">
        <v>0.57299999999999995</v>
      </c>
      <c r="O351" s="407">
        <v>0.57299999999999995</v>
      </c>
      <c r="P351" s="407">
        <v>0.57299999999999995</v>
      </c>
      <c r="Q351" s="407">
        <v>0.57299999999999995</v>
      </c>
      <c r="R351" s="407"/>
      <c r="S351" s="407">
        <v>2810.7</v>
      </c>
      <c r="T351" s="407">
        <v>159.41</v>
      </c>
      <c r="U351" s="407"/>
      <c r="V351" s="407">
        <v>1701.8730299999997</v>
      </c>
      <c r="W351" s="407">
        <v>1701.8730299999997</v>
      </c>
      <c r="X351" s="407">
        <v>1083.9383699999998</v>
      </c>
      <c r="Y351" s="407">
        <v>0</v>
      </c>
      <c r="Z351" s="407">
        <v>30.892789641564619</v>
      </c>
      <c r="AA351" s="407">
        <v>0</v>
      </c>
      <c r="AB351" s="407">
        <v>0</v>
      </c>
      <c r="AC351" s="407">
        <v>0</v>
      </c>
      <c r="AD351" s="407">
        <v>349.82543501056932</v>
      </c>
      <c r="AE351" s="407">
        <v>1206.1013420441027</v>
      </c>
      <c r="AF351" s="407">
        <v>88.374200676611437</v>
      </c>
      <c r="AG351" s="407">
        <v>2.9691411674374368</v>
      </c>
      <c r="AH351" s="407">
        <v>0</v>
      </c>
      <c r="AI351" s="407">
        <v>0</v>
      </c>
      <c r="AJ351" s="407">
        <v>0</v>
      </c>
      <c r="AK351" s="407">
        <v>0</v>
      </c>
      <c r="AL351" s="407">
        <v>5.4870797159752405</v>
      </c>
      <c r="AM351" s="407"/>
      <c r="AN351" s="407">
        <v>0.61524922892363998</v>
      </c>
      <c r="AO351" s="407">
        <v>0</v>
      </c>
      <c r="AP351" s="407">
        <v>0</v>
      </c>
      <c r="AQ351" s="407">
        <v>0</v>
      </c>
      <c r="AR351" s="407">
        <v>0</v>
      </c>
      <c r="AS351" s="407">
        <v>0</v>
      </c>
      <c r="AT351" s="407">
        <v>0</v>
      </c>
      <c r="AU351" s="407">
        <v>0</v>
      </c>
      <c r="AV351" s="407">
        <v>0</v>
      </c>
      <c r="AW351" s="407">
        <v>0</v>
      </c>
      <c r="AX351" s="407">
        <v>0</v>
      </c>
      <c r="AY351" s="407">
        <v>0</v>
      </c>
      <c r="AZ351" s="407">
        <v>0</v>
      </c>
      <c r="BA351" s="407"/>
      <c r="BB351" s="407">
        <v>0</v>
      </c>
      <c r="BC351" s="407">
        <v>0</v>
      </c>
      <c r="BD351" s="407">
        <v>0</v>
      </c>
      <c r="BE351" s="407">
        <v>0</v>
      </c>
      <c r="BF351" s="407">
        <v>0</v>
      </c>
      <c r="BG351" s="407">
        <v>2.9737980076725226</v>
      </c>
      <c r="BH351" s="407">
        <v>0</v>
      </c>
      <c r="BI351" s="407">
        <v>0</v>
      </c>
      <c r="BJ351" s="407">
        <v>0</v>
      </c>
      <c r="BK351" s="407">
        <v>0</v>
      </c>
      <c r="BL351" s="407">
        <v>0</v>
      </c>
      <c r="BM351" s="407"/>
      <c r="BN351" s="407"/>
      <c r="BO351" s="407"/>
      <c r="BP351" s="407"/>
      <c r="BQ351" s="407"/>
      <c r="BR351" s="407"/>
      <c r="BS351" s="407"/>
      <c r="BT351" s="407"/>
      <c r="BU351" s="407"/>
      <c r="BV351" s="407">
        <v>91.347998684283965</v>
      </c>
      <c r="BW351" s="407"/>
      <c r="BX351" s="407"/>
      <c r="BY351" s="407"/>
      <c r="BZ351" s="407"/>
      <c r="CA351" s="407"/>
      <c r="CB351" s="407"/>
      <c r="CC351" s="407"/>
      <c r="CD351" s="407"/>
      <c r="CE351" s="407"/>
      <c r="CF351" s="407"/>
      <c r="CG351" s="407"/>
      <c r="CH351" s="407"/>
      <c r="CI351" s="407">
        <v>1078.2632999999998</v>
      </c>
      <c r="CJ351" s="407">
        <v>-623.63972999999987</v>
      </c>
      <c r="CK351" s="407"/>
      <c r="CL351" s="407"/>
      <c r="CM351" s="407"/>
      <c r="CN351" s="407"/>
      <c r="CO351" s="407">
        <v>-633.67496999999992</v>
      </c>
      <c r="CP351" s="407">
        <v>15.740309999999997</v>
      </c>
      <c r="CQ351" s="407"/>
      <c r="CR351" s="407">
        <v>-1.8522780781011647</v>
      </c>
      <c r="CS351" s="407">
        <v>0</v>
      </c>
      <c r="CT351" s="407">
        <v>0</v>
      </c>
      <c r="CU351" s="407">
        <v>0</v>
      </c>
      <c r="CV351" s="407">
        <v>0</v>
      </c>
      <c r="CW351" s="407">
        <v>0</v>
      </c>
      <c r="CX351" s="407">
        <v>0</v>
      </c>
      <c r="CY351" s="407">
        <v>0</v>
      </c>
      <c r="CZ351" s="407">
        <v>15.802308536810131</v>
      </c>
      <c r="DA351" s="407">
        <v>0</v>
      </c>
      <c r="DB351" s="407">
        <v>0</v>
      </c>
      <c r="DC351" s="407">
        <v>17.522217462652165</v>
      </c>
      <c r="DD351" s="407">
        <v>0</v>
      </c>
      <c r="DE351" s="407">
        <v>0</v>
      </c>
      <c r="DF351" s="407">
        <v>0</v>
      </c>
      <c r="DG351" s="407">
        <v>0.58962383796960616</v>
      </c>
      <c r="DH351" s="407">
        <v>0</v>
      </c>
      <c r="DI351" s="407">
        <v>-2.1637919301414321</v>
      </c>
      <c r="DJ351" s="407"/>
      <c r="DK351" s="407">
        <v>0</v>
      </c>
      <c r="DL351" s="407">
        <v>0</v>
      </c>
      <c r="DM351" s="407">
        <v>0</v>
      </c>
      <c r="DN351" s="407">
        <v>0</v>
      </c>
      <c r="DO351" s="407">
        <v>-0.33477428871525916</v>
      </c>
      <c r="DP351" s="407">
        <v>-3.9202195530501083E-2</v>
      </c>
      <c r="DQ351" s="407">
        <v>0</v>
      </c>
      <c r="DR351" s="407">
        <v>-33.228659501145927</v>
      </c>
      <c r="DS351" s="407"/>
      <c r="DT351" s="407"/>
      <c r="DU351" s="407"/>
      <c r="DV351" s="407">
        <v>1206.1013420441027</v>
      </c>
      <c r="DW351" s="407">
        <v>0</v>
      </c>
      <c r="DX351" s="407">
        <v>0</v>
      </c>
      <c r="DY351" s="407">
        <v>-633.6749699999998</v>
      </c>
      <c r="DZ351" s="407">
        <v>15.740309999999994</v>
      </c>
      <c r="EA351" s="407">
        <v>0</v>
      </c>
      <c r="EB351" s="407">
        <v>0</v>
      </c>
      <c r="EC351" s="407">
        <v>-616.07936683527009</v>
      </c>
      <c r="ED351" s="407">
        <v>0</v>
      </c>
      <c r="EE351" s="407">
        <v>0</v>
      </c>
      <c r="EF351" s="407">
        <v>0</v>
      </c>
      <c r="EG351" s="407">
        <v>0</v>
      </c>
      <c r="EH351" s="407">
        <v>0</v>
      </c>
      <c r="EI351" s="407">
        <v>0</v>
      </c>
      <c r="EJ351" s="407">
        <v>0</v>
      </c>
      <c r="EK351" s="407">
        <v>0</v>
      </c>
      <c r="EL351" s="407">
        <v>0</v>
      </c>
      <c r="EM351" s="407">
        <v>0</v>
      </c>
      <c r="EN351" s="407">
        <v>0</v>
      </c>
      <c r="EO351" s="407">
        <v>0</v>
      </c>
      <c r="EP351" s="407">
        <v>14.633362102732749</v>
      </c>
      <c r="EQ351" s="407">
        <v>0</v>
      </c>
      <c r="ER351" s="407">
        <v>0</v>
      </c>
      <c r="ES351" s="407">
        <v>0</v>
      </c>
      <c r="ET351" s="407">
        <v>0</v>
      </c>
      <c r="EU351" s="407">
        <v>0</v>
      </c>
      <c r="EV351" s="407">
        <v>246</v>
      </c>
      <c r="EW351" s="407">
        <v>0</v>
      </c>
      <c r="EX351" s="407">
        <v>0</v>
      </c>
      <c r="EY351" s="407">
        <v>0</v>
      </c>
      <c r="EZ351" s="407"/>
      <c r="FA351" s="407">
        <v>0</v>
      </c>
      <c r="FB351" s="407"/>
      <c r="FC351" s="407"/>
      <c r="FD351" s="407"/>
      <c r="FE351" s="407"/>
      <c r="FF351" s="407">
        <v>0</v>
      </c>
      <c r="FG351" s="407">
        <v>0</v>
      </c>
      <c r="FH351" s="407">
        <v>0</v>
      </c>
      <c r="FI351" s="407">
        <v>0</v>
      </c>
    </row>
    <row r="352" spans="1:165">
      <c r="A352" s="407">
        <v>368</v>
      </c>
      <c r="B352" s="407" t="s">
        <v>1090</v>
      </c>
      <c r="C352" s="407" t="s">
        <v>2314</v>
      </c>
      <c r="D352" s="407" t="s">
        <v>650</v>
      </c>
      <c r="E352" s="407" t="s">
        <v>2316</v>
      </c>
      <c r="F352" s="407" t="s">
        <v>97</v>
      </c>
      <c r="G352" s="407" t="s">
        <v>97</v>
      </c>
      <c r="H352" s="407" t="s">
        <v>97</v>
      </c>
      <c r="I352" s="407" t="s">
        <v>2290</v>
      </c>
      <c r="J352" s="407" t="s">
        <v>2307</v>
      </c>
      <c r="K352" s="818">
        <v>44531</v>
      </c>
      <c r="L352" s="407">
        <v>0</v>
      </c>
      <c r="M352" s="407">
        <v>0</v>
      </c>
      <c r="N352" s="407">
        <v>5.9279999999999999</v>
      </c>
      <c r="O352" s="407">
        <v>5.9279999999999999</v>
      </c>
      <c r="P352" s="407">
        <v>5.9279999999999999</v>
      </c>
      <c r="Q352" s="407">
        <v>5.9279999999999999</v>
      </c>
      <c r="R352" s="407"/>
      <c r="S352" s="407">
        <v>95.29</v>
      </c>
      <c r="T352" s="407">
        <v>159.41</v>
      </c>
      <c r="U352" s="407"/>
      <c r="V352" s="407">
        <v>1509.8616000000002</v>
      </c>
      <c r="W352" s="407">
        <v>1509.8616000000002</v>
      </c>
      <c r="X352" s="407">
        <v>1641.5224800000001</v>
      </c>
      <c r="Y352" s="407">
        <v>0</v>
      </c>
      <c r="Z352" s="407">
        <v>319.60289178917117</v>
      </c>
      <c r="AA352" s="407">
        <v>0</v>
      </c>
      <c r="AB352" s="407">
        <v>0</v>
      </c>
      <c r="AC352" s="407">
        <v>0</v>
      </c>
      <c r="AD352" s="407">
        <v>0</v>
      </c>
      <c r="AE352" s="407">
        <v>0</v>
      </c>
      <c r="AF352" s="407">
        <v>914.27968867531013</v>
      </c>
      <c r="AG352" s="407">
        <v>30.717397627520292</v>
      </c>
      <c r="AH352" s="407">
        <v>0</v>
      </c>
      <c r="AI352" s="407">
        <v>0</v>
      </c>
      <c r="AJ352" s="407">
        <v>0</v>
      </c>
      <c r="AK352" s="407">
        <v>0</v>
      </c>
      <c r="AL352" s="407">
        <v>56.766856119199353</v>
      </c>
      <c r="AM352" s="407"/>
      <c r="AN352" s="407">
        <v>6.3650914992309557</v>
      </c>
      <c r="AO352" s="407">
        <v>0</v>
      </c>
      <c r="AP352" s="407">
        <v>0</v>
      </c>
      <c r="AQ352" s="407">
        <v>0</v>
      </c>
      <c r="AR352" s="407">
        <v>0</v>
      </c>
      <c r="AS352" s="407">
        <v>0</v>
      </c>
      <c r="AT352" s="407">
        <v>0</v>
      </c>
      <c r="AU352" s="407">
        <v>0</v>
      </c>
      <c r="AV352" s="407">
        <v>0</v>
      </c>
      <c r="AW352" s="407">
        <v>0</v>
      </c>
      <c r="AX352" s="407">
        <v>0</v>
      </c>
      <c r="AY352" s="407">
        <v>0</v>
      </c>
      <c r="AZ352" s="407">
        <v>0</v>
      </c>
      <c r="BA352" s="407"/>
      <c r="BB352" s="407">
        <v>0</v>
      </c>
      <c r="BC352" s="407">
        <v>0</v>
      </c>
      <c r="BD352" s="407">
        <v>0</v>
      </c>
      <c r="BE352" s="407">
        <v>0</v>
      </c>
      <c r="BF352" s="407">
        <v>0</v>
      </c>
      <c r="BG352" s="407">
        <v>30.765575199795315</v>
      </c>
      <c r="BH352" s="407">
        <v>0</v>
      </c>
      <c r="BI352" s="407">
        <v>0</v>
      </c>
      <c r="BJ352" s="407">
        <v>0</v>
      </c>
      <c r="BK352" s="407">
        <v>0</v>
      </c>
      <c r="BL352" s="407">
        <v>0</v>
      </c>
      <c r="BM352" s="407"/>
      <c r="BN352" s="407"/>
      <c r="BO352" s="407"/>
      <c r="BP352" s="407"/>
      <c r="BQ352" s="407"/>
      <c r="BR352" s="407"/>
      <c r="BS352" s="407"/>
      <c r="BT352" s="407"/>
      <c r="BU352" s="407"/>
      <c r="BV352" s="407">
        <v>945.04526387510543</v>
      </c>
      <c r="BW352" s="407"/>
      <c r="BX352" s="407"/>
      <c r="BY352" s="407"/>
      <c r="BZ352" s="407"/>
      <c r="CA352" s="407"/>
      <c r="CB352" s="407"/>
      <c r="CC352" s="407"/>
      <c r="CD352" s="407"/>
      <c r="CE352" s="407"/>
      <c r="CF352" s="407"/>
      <c r="CG352" s="407"/>
      <c r="CH352" s="407"/>
      <c r="CI352" s="407">
        <v>1642.0762999999999</v>
      </c>
      <c r="CJ352" s="407">
        <v>132.18469999999979</v>
      </c>
      <c r="CK352" s="407"/>
      <c r="CL352" s="407"/>
      <c r="CM352" s="407"/>
      <c r="CN352" s="407"/>
      <c r="CO352" s="407">
        <v>-31.181280000000029</v>
      </c>
      <c r="CP352" s="407">
        <v>162.84215999999998</v>
      </c>
      <c r="CQ352" s="407"/>
      <c r="CR352" s="407">
        <v>131.64214283441038</v>
      </c>
      <c r="CS352" s="407">
        <v>0</v>
      </c>
      <c r="CT352" s="407">
        <v>0</v>
      </c>
      <c r="CU352" s="407">
        <v>0</v>
      </c>
      <c r="CV352" s="407">
        <v>0</v>
      </c>
      <c r="CW352" s="407">
        <v>0</v>
      </c>
      <c r="CX352" s="407">
        <v>0</v>
      </c>
      <c r="CY352" s="407">
        <v>0</v>
      </c>
      <c r="CZ352" s="407">
        <v>0</v>
      </c>
      <c r="DA352" s="407">
        <v>0</v>
      </c>
      <c r="DB352" s="407">
        <v>0</v>
      </c>
      <c r="DC352" s="407">
        <v>181.27697228377315</v>
      </c>
      <c r="DD352" s="407">
        <v>0</v>
      </c>
      <c r="DE352" s="407">
        <v>0</v>
      </c>
      <c r="DF352" s="407">
        <v>0</v>
      </c>
      <c r="DG352" s="407">
        <v>6.0999827425546655</v>
      </c>
      <c r="DH352" s="407">
        <v>0</v>
      </c>
      <c r="DI352" s="407">
        <v>-22.385617036436997</v>
      </c>
      <c r="DJ352" s="407"/>
      <c r="DK352" s="407">
        <v>0</v>
      </c>
      <c r="DL352" s="407">
        <v>0</v>
      </c>
      <c r="DM352" s="407">
        <v>0</v>
      </c>
      <c r="DN352" s="407">
        <v>0</v>
      </c>
      <c r="DO352" s="407">
        <v>-3.4634240549809121</v>
      </c>
      <c r="DP352" s="407">
        <v>-0.4055682637082203</v>
      </c>
      <c r="DQ352" s="407">
        <v>0</v>
      </c>
      <c r="DR352" s="407">
        <v>-29.480202836791698</v>
      </c>
      <c r="DS352" s="407"/>
      <c r="DT352" s="407"/>
      <c r="DU352" s="407"/>
      <c r="DV352" s="407">
        <v>0</v>
      </c>
      <c r="DW352" s="407">
        <v>0</v>
      </c>
      <c r="DX352" s="407">
        <v>0</v>
      </c>
      <c r="DY352" s="407">
        <v>-31.181280000000015</v>
      </c>
      <c r="DZ352" s="407">
        <v>162.84216000000004</v>
      </c>
      <c r="EA352" s="407">
        <v>0</v>
      </c>
      <c r="EB352" s="407">
        <v>0</v>
      </c>
      <c r="EC352" s="407">
        <v>0</v>
      </c>
      <c r="ED352" s="407">
        <v>0</v>
      </c>
      <c r="EE352" s="407">
        <v>0</v>
      </c>
      <c r="EF352" s="407">
        <v>0</v>
      </c>
      <c r="EG352" s="407">
        <v>0</v>
      </c>
      <c r="EH352" s="407">
        <v>0</v>
      </c>
      <c r="EI352" s="407">
        <v>0</v>
      </c>
      <c r="EJ352" s="407">
        <v>0</v>
      </c>
      <c r="EK352" s="407">
        <v>0</v>
      </c>
      <c r="EL352" s="407">
        <v>0</v>
      </c>
      <c r="EM352" s="407">
        <v>0</v>
      </c>
      <c r="EN352" s="407">
        <v>0</v>
      </c>
      <c r="EO352" s="407">
        <v>0</v>
      </c>
      <c r="EP352" s="407">
        <v>151.39017547120375</v>
      </c>
      <c r="EQ352" s="407">
        <v>0</v>
      </c>
      <c r="ER352" s="407">
        <v>0</v>
      </c>
      <c r="ES352" s="407">
        <v>0</v>
      </c>
      <c r="ET352" s="407">
        <v>0</v>
      </c>
      <c r="EU352" s="407">
        <v>0</v>
      </c>
      <c r="EV352" s="407">
        <v>246</v>
      </c>
      <c r="EW352" s="407">
        <v>0</v>
      </c>
      <c r="EX352" s="407">
        <v>0</v>
      </c>
      <c r="EY352" s="407">
        <v>0</v>
      </c>
      <c r="EZ352" s="407"/>
      <c r="FA352" s="407">
        <v>0</v>
      </c>
      <c r="FB352" s="407"/>
      <c r="FC352" s="407"/>
      <c r="FD352" s="407"/>
      <c r="FE352" s="407"/>
      <c r="FF352" s="407">
        <v>0</v>
      </c>
      <c r="FG352" s="407">
        <v>0</v>
      </c>
      <c r="FH352" s="407">
        <v>0</v>
      </c>
      <c r="FI352" s="407">
        <v>0</v>
      </c>
    </row>
    <row r="353" spans="1:165">
      <c r="A353" s="407">
        <v>369</v>
      </c>
      <c r="B353" s="407" t="s">
        <v>1090</v>
      </c>
      <c r="C353" s="407" t="s">
        <v>2314</v>
      </c>
      <c r="D353" s="407" t="s">
        <v>650</v>
      </c>
      <c r="E353" s="407" t="s">
        <v>2316</v>
      </c>
      <c r="F353" s="407" t="s">
        <v>97</v>
      </c>
      <c r="G353" s="407" t="s">
        <v>97</v>
      </c>
      <c r="H353" s="407" t="s">
        <v>97</v>
      </c>
      <c r="I353" s="407" t="s">
        <v>97</v>
      </c>
      <c r="J353" s="407" t="s">
        <v>2307</v>
      </c>
      <c r="K353" s="818">
        <v>44531</v>
      </c>
      <c r="L353" s="407">
        <v>72</v>
      </c>
      <c r="M353" s="407">
        <v>72</v>
      </c>
      <c r="N353" s="407">
        <v>0</v>
      </c>
      <c r="O353" s="407">
        <v>0</v>
      </c>
      <c r="P353" s="407">
        <v>0</v>
      </c>
      <c r="Q353" s="407">
        <v>0</v>
      </c>
      <c r="R353" s="407">
        <v>43.29</v>
      </c>
      <c r="S353" s="407"/>
      <c r="T353" s="407"/>
      <c r="U353" s="407">
        <v>3116.88</v>
      </c>
      <c r="V353" s="407"/>
      <c r="W353" s="407">
        <v>3116.88</v>
      </c>
      <c r="X353" s="407">
        <v>2411.2800000000002</v>
      </c>
      <c r="Y353" s="407">
        <v>0</v>
      </c>
      <c r="Z353" s="407">
        <v>0</v>
      </c>
      <c r="AA353" s="407">
        <v>0</v>
      </c>
      <c r="AB353" s="407">
        <v>0</v>
      </c>
      <c r="AC353" s="407">
        <v>0</v>
      </c>
      <c r="AD353" s="407">
        <v>1703.8070754075361</v>
      </c>
      <c r="AE353" s="407">
        <v>1413.3014715147551</v>
      </c>
      <c r="AF353" s="407"/>
      <c r="AG353" s="407"/>
      <c r="AH353" s="407"/>
      <c r="AI353" s="407">
        <v>0</v>
      </c>
      <c r="AJ353" s="407">
        <v>0</v>
      </c>
      <c r="AK353" s="407">
        <v>0</v>
      </c>
      <c r="AL353" s="407">
        <v>0</v>
      </c>
      <c r="AM353" s="407"/>
      <c r="AN353" s="407">
        <v>0</v>
      </c>
      <c r="AO353" s="407">
        <v>0</v>
      </c>
      <c r="AP353" s="407">
        <v>0</v>
      </c>
      <c r="AQ353" s="407">
        <v>0</v>
      </c>
      <c r="AR353" s="407">
        <v>0</v>
      </c>
      <c r="AS353" s="407"/>
      <c r="AT353" s="407"/>
      <c r="AU353" s="407">
        <v>0</v>
      </c>
      <c r="AV353" s="407">
        <v>0</v>
      </c>
      <c r="AW353" s="407">
        <v>0</v>
      </c>
      <c r="AX353" s="407"/>
      <c r="AY353" s="407"/>
      <c r="AZ353" s="407">
        <v>0</v>
      </c>
      <c r="BA353" s="407"/>
      <c r="BB353" s="407">
        <v>0</v>
      </c>
      <c r="BC353" s="407">
        <v>0</v>
      </c>
      <c r="BD353" s="407">
        <v>0</v>
      </c>
      <c r="BE353" s="407">
        <v>0</v>
      </c>
      <c r="BF353" s="407"/>
      <c r="BG353" s="407">
        <v>0</v>
      </c>
      <c r="BH353" s="407">
        <v>0</v>
      </c>
      <c r="BI353" s="407">
        <v>17.52</v>
      </c>
      <c r="BJ353" s="407">
        <v>82.87</v>
      </c>
      <c r="BK353" s="407">
        <v>0</v>
      </c>
      <c r="BL353" s="407">
        <v>1</v>
      </c>
      <c r="BM353" s="407"/>
      <c r="BN353" s="407"/>
      <c r="BO353" s="407"/>
      <c r="BP353" s="407"/>
      <c r="BQ353" s="407"/>
      <c r="BR353" s="407"/>
      <c r="BS353" s="407"/>
      <c r="BT353" s="407"/>
      <c r="BU353" s="407"/>
      <c r="BV353" s="407">
        <v>0</v>
      </c>
      <c r="BW353" s="407"/>
      <c r="BX353" s="407"/>
      <c r="BY353" s="407"/>
      <c r="BZ353" s="407"/>
      <c r="CA353" s="407"/>
      <c r="CB353" s="407"/>
      <c r="CC353" s="407"/>
      <c r="CD353" s="407"/>
      <c r="CE353" s="407"/>
      <c r="CF353" s="407"/>
      <c r="CG353" s="407"/>
      <c r="CH353" s="407"/>
      <c r="CI353" s="407">
        <v>2411.2800000000002</v>
      </c>
      <c r="CJ353" s="407">
        <v>-705.63000000000056</v>
      </c>
      <c r="CK353" s="407"/>
      <c r="CL353" s="407"/>
      <c r="CM353" s="407"/>
      <c r="CN353" s="407"/>
      <c r="CO353" s="407">
        <v>-705.5999999999998</v>
      </c>
      <c r="CP353" s="407">
        <v>0</v>
      </c>
      <c r="CQ353" s="407"/>
      <c r="CR353" s="407">
        <v>16.103530455455484</v>
      </c>
      <c r="CS353" s="407">
        <v>0</v>
      </c>
      <c r="CT353" s="407">
        <v>0</v>
      </c>
      <c r="CU353" s="407">
        <v>0</v>
      </c>
      <c r="CV353" s="407">
        <v>0</v>
      </c>
      <c r="CW353" s="407"/>
      <c r="CX353" s="407"/>
      <c r="CY353" s="407"/>
      <c r="CZ353" s="407">
        <v>76.964343921921454</v>
      </c>
      <c r="DA353" s="407">
        <v>0</v>
      </c>
      <c r="DB353" s="407">
        <v>0</v>
      </c>
      <c r="DC353" s="407"/>
      <c r="DD353" s="407"/>
      <c r="DE353" s="407">
        <v>0</v>
      </c>
      <c r="DF353" s="407">
        <v>0</v>
      </c>
      <c r="DG353" s="407">
        <v>0</v>
      </c>
      <c r="DH353" s="407">
        <v>0</v>
      </c>
      <c r="DI353" s="407">
        <v>0</v>
      </c>
      <c r="DJ353" s="407"/>
      <c r="DK353" s="407">
        <v>0</v>
      </c>
      <c r="DL353" s="407">
        <v>0</v>
      </c>
      <c r="DM353" s="407"/>
      <c r="DN353" s="407">
        <v>0</v>
      </c>
      <c r="DO353" s="407">
        <v>0</v>
      </c>
      <c r="DP353" s="407">
        <v>0</v>
      </c>
      <c r="DQ353" s="407">
        <v>0</v>
      </c>
      <c r="DR353" s="407">
        <v>-60.860813466465935</v>
      </c>
      <c r="DS353" s="407"/>
      <c r="DT353" s="407"/>
      <c r="DU353" s="407">
        <v>1413.3014715147551</v>
      </c>
      <c r="DV353" s="407"/>
      <c r="DW353" s="407">
        <v>0</v>
      </c>
      <c r="DX353" s="407">
        <v>0</v>
      </c>
      <c r="DY353" s="407">
        <v>-705.59999999999991</v>
      </c>
      <c r="DZ353" s="407"/>
      <c r="EA353" s="407">
        <v>0</v>
      </c>
      <c r="EB353" s="407"/>
      <c r="EC353" s="407">
        <v>-721.91767421674365</v>
      </c>
      <c r="ED353" s="407"/>
      <c r="EE353" s="407">
        <v>0</v>
      </c>
      <c r="EF353" s="407">
        <v>0</v>
      </c>
      <c r="EG353" s="407"/>
      <c r="EH353" s="407">
        <v>0</v>
      </c>
      <c r="EI353" s="407">
        <v>0</v>
      </c>
      <c r="EJ353" s="407">
        <v>0</v>
      </c>
      <c r="EK353" s="407">
        <v>0</v>
      </c>
      <c r="EL353" s="407">
        <v>0</v>
      </c>
      <c r="EM353" s="407"/>
      <c r="EN353" s="407"/>
      <c r="EO353" s="407">
        <v>0</v>
      </c>
      <c r="EP353" s="407">
        <v>0</v>
      </c>
      <c r="EQ353" s="407"/>
      <c r="ER353" s="407">
        <v>0</v>
      </c>
      <c r="ES353" s="407"/>
      <c r="ET353" s="407">
        <v>0</v>
      </c>
      <c r="EU353" s="407"/>
      <c r="EV353" s="407">
        <v>246</v>
      </c>
      <c r="EW353" s="407"/>
      <c r="EX353" s="407"/>
      <c r="EY353" s="407"/>
      <c r="EZ353" s="407"/>
      <c r="FA353" s="407">
        <v>0</v>
      </c>
      <c r="FB353" s="407"/>
      <c r="FC353" s="407"/>
      <c r="FD353" s="407"/>
      <c r="FE353" s="407"/>
      <c r="FF353" s="407">
        <v>0</v>
      </c>
      <c r="FG353" s="407">
        <v>0</v>
      </c>
      <c r="FH353" s="407">
        <v>0</v>
      </c>
      <c r="FI353" s="407">
        <v>0</v>
      </c>
    </row>
    <row r="354" spans="1:165">
      <c r="A354" s="407">
        <v>370</v>
      </c>
      <c r="B354" s="407" t="s">
        <v>1090</v>
      </c>
      <c r="C354" s="407" t="s">
        <v>2306</v>
      </c>
      <c r="D354" s="407" t="s">
        <v>2318</v>
      </c>
      <c r="E354" s="407" t="s">
        <v>2319</v>
      </c>
      <c r="F354" s="407" t="s">
        <v>2320</v>
      </c>
      <c r="G354" s="407" t="s">
        <v>97</v>
      </c>
      <c r="H354" s="407" t="s">
        <v>97</v>
      </c>
      <c r="I354" s="407" t="s">
        <v>97</v>
      </c>
      <c r="J354" s="407" t="s">
        <v>2307</v>
      </c>
      <c r="K354" s="818">
        <v>44531</v>
      </c>
      <c r="L354" s="407">
        <v>0</v>
      </c>
      <c r="M354" s="407">
        <v>0</v>
      </c>
      <c r="N354" s="407">
        <v>533.29</v>
      </c>
      <c r="O354" s="407">
        <v>533.29</v>
      </c>
      <c r="P354" s="407">
        <v>533.29</v>
      </c>
      <c r="Q354" s="407">
        <v>533.29</v>
      </c>
      <c r="R354" s="407"/>
      <c r="S354" s="407">
        <v>356.64</v>
      </c>
      <c r="T354" s="407">
        <v>87.68</v>
      </c>
      <c r="U354" s="407"/>
      <c r="V354" s="407">
        <v>236951.41279999999</v>
      </c>
      <c r="W354" s="407">
        <v>236951.41279999999</v>
      </c>
      <c r="X354" s="407">
        <v>179452.08499999999</v>
      </c>
      <c r="Y354" s="407">
        <v>0</v>
      </c>
      <c r="Z354" s="407">
        <v>18176.463227161956</v>
      </c>
      <c r="AA354" s="407">
        <v>0</v>
      </c>
      <c r="AB354" s="407">
        <v>0</v>
      </c>
      <c r="AC354" s="407">
        <v>0</v>
      </c>
      <c r="AD354" s="407">
        <v>34212.918330003922</v>
      </c>
      <c r="AE354" s="407">
        <v>122470.20578476196</v>
      </c>
      <c r="AF354" s="407">
        <v>45237.334403763562</v>
      </c>
      <c r="AG354" s="407">
        <v>1519.855691536633</v>
      </c>
      <c r="AH354" s="407">
        <v>0</v>
      </c>
      <c r="AI354" s="407">
        <v>0</v>
      </c>
      <c r="AJ354" s="407">
        <v>0</v>
      </c>
      <c r="AK354" s="407">
        <v>0</v>
      </c>
      <c r="AL354" s="407">
        <v>2808.7480068984978</v>
      </c>
      <c r="AM354" s="407"/>
      <c r="AN354" s="407">
        <v>608.64526476088861</v>
      </c>
      <c r="AO354" s="407">
        <v>0</v>
      </c>
      <c r="AP354" s="407">
        <v>0</v>
      </c>
      <c r="AQ354" s="407">
        <v>0</v>
      </c>
      <c r="AR354" s="407">
        <v>0</v>
      </c>
      <c r="AS354" s="407">
        <v>0</v>
      </c>
      <c r="AT354" s="407">
        <v>0</v>
      </c>
      <c r="AU354" s="407">
        <v>0</v>
      </c>
      <c r="AV354" s="407">
        <v>0</v>
      </c>
      <c r="AW354" s="407">
        <v>0</v>
      </c>
      <c r="AX354" s="407">
        <v>0</v>
      </c>
      <c r="AY354" s="407">
        <v>0</v>
      </c>
      <c r="AZ354" s="407">
        <v>0</v>
      </c>
      <c r="BA354" s="407"/>
      <c r="BB354" s="407">
        <v>0</v>
      </c>
      <c r="BC354" s="407">
        <v>0</v>
      </c>
      <c r="BD354" s="407">
        <v>0</v>
      </c>
      <c r="BE354" s="407">
        <v>0</v>
      </c>
      <c r="BF354" s="407">
        <v>0</v>
      </c>
      <c r="BG354" s="407">
        <v>3306.7046913845961</v>
      </c>
      <c r="BH354" s="407">
        <v>0</v>
      </c>
      <c r="BI354" s="407">
        <v>712.69</v>
      </c>
      <c r="BJ354" s="407">
        <v>3370.34</v>
      </c>
      <c r="BK354" s="407">
        <v>64815.15</v>
      </c>
      <c r="BL354" s="407">
        <v>62</v>
      </c>
      <c r="BM354" s="407"/>
      <c r="BN354" s="407"/>
      <c r="BO354" s="407"/>
      <c r="BP354" s="407"/>
      <c r="BQ354" s="407"/>
      <c r="BR354" s="407"/>
      <c r="BS354" s="407"/>
      <c r="BT354" s="407"/>
      <c r="BU354" s="407"/>
      <c r="BV354" s="407">
        <v>48544.03909514816</v>
      </c>
      <c r="BW354" s="407"/>
      <c r="BX354" s="407"/>
      <c r="BY354" s="407"/>
      <c r="BZ354" s="407"/>
      <c r="CA354" s="407"/>
      <c r="CB354" s="407"/>
      <c r="CC354" s="407"/>
      <c r="CD354" s="407"/>
      <c r="CE354" s="407"/>
      <c r="CF354" s="407"/>
      <c r="CG354" s="407"/>
      <c r="CH354" s="407"/>
      <c r="CI354" s="407">
        <v>179452.08499999999</v>
      </c>
      <c r="CJ354" s="407">
        <v>-57499.357800000027</v>
      </c>
      <c r="CK354" s="407"/>
      <c r="CL354" s="407"/>
      <c r="CM354" s="407"/>
      <c r="CN354" s="407"/>
      <c r="CO354" s="407">
        <v>-65552.006799999988</v>
      </c>
      <c r="CP354" s="407">
        <v>8052.6789999999964</v>
      </c>
      <c r="CQ354" s="407"/>
      <c r="CR354" s="407">
        <v>5060.7673971637269</v>
      </c>
      <c r="CS354" s="407">
        <v>0</v>
      </c>
      <c r="CT354" s="407">
        <v>0</v>
      </c>
      <c r="CU354" s="407">
        <v>0</v>
      </c>
      <c r="CV354" s="407">
        <v>0</v>
      </c>
      <c r="CW354" s="407">
        <v>0</v>
      </c>
      <c r="CX354" s="407">
        <v>0</v>
      </c>
      <c r="CY354" s="407">
        <v>0</v>
      </c>
      <c r="CZ354" s="407">
        <v>1545.4653586840795</v>
      </c>
      <c r="DA354" s="407">
        <v>0</v>
      </c>
      <c r="DB354" s="407">
        <v>0</v>
      </c>
      <c r="DC354" s="407">
        <v>8969.3417850990518</v>
      </c>
      <c r="DD354" s="407">
        <v>0</v>
      </c>
      <c r="DE354" s="407">
        <v>0</v>
      </c>
      <c r="DF354" s="407">
        <v>0</v>
      </c>
      <c r="DG354" s="407">
        <v>655.63024325658353</v>
      </c>
      <c r="DH354" s="407">
        <v>0</v>
      </c>
      <c r="DI354" s="407">
        <v>-1273.1153419867733</v>
      </c>
      <c r="DJ354" s="407"/>
      <c r="DK354" s="407">
        <v>0</v>
      </c>
      <c r="DL354" s="407">
        <v>0</v>
      </c>
      <c r="DM354" s="407">
        <v>0</v>
      </c>
      <c r="DN354" s="407">
        <v>0</v>
      </c>
      <c r="DO354" s="407">
        <v>-171.36558330877551</v>
      </c>
      <c r="DP354" s="407">
        <v>-38.781406877367203</v>
      </c>
      <c r="DQ354" s="407">
        <v>0</v>
      </c>
      <c r="DR354" s="407">
        <v>-4626.4076577030746</v>
      </c>
      <c r="DS354" s="407"/>
      <c r="DT354" s="407"/>
      <c r="DU354" s="407"/>
      <c r="DV354" s="407">
        <v>122470.20578476196</v>
      </c>
      <c r="DW354" s="407">
        <v>0</v>
      </c>
      <c r="DX354" s="407">
        <v>0</v>
      </c>
      <c r="DY354" s="407">
        <v>-65552.006799999988</v>
      </c>
      <c r="DZ354" s="407">
        <v>8052.6789999999964</v>
      </c>
      <c r="EA354" s="407">
        <v>0</v>
      </c>
      <c r="EB354" s="407">
        <v>0</v>
      </c>
      <c r="EC354" s="407">
        <v>-62558.065567016267</v>
      </c>
      <c r="ED354" s="407">
        <v>0</v>
      </c>
      <c r="EE354" s="407">
        <v>0</v>
      </c>
      <c r="EF354" s="407">
        <v>0</v>
      </c>
      <c r="EG354" s="407">
        <v>0</v>
      </c>
      <c r="EH354" s="407">
        <v>0</v>
      </c>
      <c r="EI354" s="407">
        <v>0</v>
      </c>
      <c r="EJ354" s="407">
        <v>0</v>
      </c>
      <c r="EK354" s="407">
        <v>0</v>
      </c>
      <c r="EL354" s="407">
        <v>0</v>
      </c>
      <c r="EM354" s="407">
        <v>0</v>
      </c>
      <c r="EN354" s="407">
        <v>0</v>
      </c>
      <c r="EO354" s="407">
        <v>0</v>
      </c>
      <c r="EP354" s="407">
        <v>8609.8656429589773</v>
      </c>
      <c r="EQ354" s="407">
        <v>0</v>
      </c>
      <c r="ER354" s="407">
        <v>0</v>
      </c>
      <c r="ES354" s="407">
        <v>0</v>
      </c>
      <c r="ET354" s="407">
        <v>0</v>
      </c>
      <c r="EU354" s="407">
        <v>0</v>
      </c>
      <c r="EV354" s="407">
        <v>246</v>
      </c>
      <c r="EW354" s="407">
        <v>0</v>
      </c>
      <c r="EX354" s="407">
        <v>0</v>
      </c>
      <c r="EY354" s="407">
        <v>0</v>
      </c>
      <c r="EZ354" s="407"/>
      <c r="FA354" s="407">
        <v>0</v>
      </c>
      <c r="FB354" s="407"/>
      <c r="FC354" s="407"/>
      <c r="FD354" s="407"/>
      <c r="FE354" s="407"/>
      <c r="FF354" s="407">
        <v>0</v>
      </c>
      <c r="FG354" s="407">
        <v>0</v>
      </c>
      <c r="FH354" s="407">
        <v>0</v>
      </c>
      <c r="FI354" s="407">
        <v>0</v>
      </c>
    </row>
    <row r="355" spans="1:165">
      <c r="A355" s="407">
        <v>371</v>
      </c>
      <c r="B355" s="407" t="s">
        <v>1090</v>
      </c>
      <c r="C355" s="407" t="s">
        <v>2306</v>
      </c>
      <c r="D355" s="407" t="s">
        <v>1219</v>
      </c>
      <c r="E355" s="407" t="s">
        <v>1052</v>
      </c>
      <c r="F355" s="407" t="s">
        <v>2321</v>
      </c>
      <c r="G355" s="407" t="s">
        <v>97</v>
      </c>
      <c r="H355" s="407" t="s">
        <v>97</v>
      </c>
      <c r="I355" s="407" t="s">
        <v>97</v>
      </c>
      <c r="J355" s="407" t="s">
        <v>2307</v>
      </c>
      <c r="K355" s="818">
        <v>44531</v>
      </c>
      <c r="L355" s="407">
        <v>0</v>
      </c>
      <c r="M355" s="407">
        <v>0</v>
      </c>
      <c r="N355" s="407">
        <v>44.726999999999997</v>
      </c>
      <c r="O355" s="407">
        <v>42.043379999999999</v>
      </c>
      <c r="P355" s="407">
        <v>44.726999999999997</v>
      </c>
      <c r="Q355" s="407">
        <v>42.043379999999999</v>
      </c>
      <c r="R355" s="407"/>
      <c r="S355" s="407">
        <v>648.44000000000005</v>
      </c>
      <c r="T355" s="407">
        <v>159.41</v>
      </c>
      <c r="U355" s="407"/>
      <c r="V355" s="407">
        <v>36132.70695</v>
      </c>
      <c r="W355" s="407">
        <v>36132.70695</v>
      </c>
      <c r="X355" s="407">
        <v>27364.873139999996</v>
      </c>
      <c r="Y355" s="407">
        <v>0</v>
      </c>
      <c r="Z355" s="407">
        <v>2771.7433999283094</v>
      </c>
      <c r="AA355" s="407">
        <v>0</v>
      </c>
      <c r="AB355" s="407">
        <v>0</v>
      </c>
      <c r="AC355" s="407">
        <v>0</v>
      </c>
      <c r="AD355" s="407">
        <v>5217.1552511803666</v>
      </c>
      <c r="AE355" s="407">
        <v>18675.579529933591</v>
      </c>
      <c r="AF355" s="407">
        <v>6898.2772664272252</v>
      </c>
      <c r="AG355" s="407">
        <v>231.76400871897772</v>
      </c>
      <c r="AH355" s="407">
        <v>0</v>
      </c>
      <c r="AI355" s="407">
        <v>0</v>
      </c>
      <c r="AJ355" s="407">
        <v>0</v>
      </c>
      <c r="AK355" s="407">
        <v>0</v>
      </c>
      <c r="AL355" s="407">
        <v>428.30822767264323</v>
      </c>
      <c r="AM355" s="407"/>
      <c r="AN355" s="407">
        <v>92.812802711675587</v>
      </c>
      <c r="AO355" s="407">
        <v>0</v>
      </c>
      <c r="AP355" s="407">
        <v>0</v>
      </c>
      <c r="AQ355" s="407">
        <v>0</v>
      </c>
      <c r="AR355" s="407">
        <v>0</v>
      </c>
      <c r="AS355" s="407">
        <v>0</v>
      </c>
      <c r="AT355" s="407">
        <v>0</v>
      </c>
      <c r="AU355" s="407">
        <v>0</v>
      </c>
      <c r="AV355" s="407">
        <v>0</v>
      </c>
      <c r="AW355" s="407">
        <v>0</v>
      </c>
      <c r="AX355" s="407">
        <v>0</v>
      </c>
      <c r="AY355" s="407">
        <v>0</v>
      </c>
      <c r="AZ355" s="407">
        <v>0</v>
      </c>
      <c r="BA355" s="407"/>
      <c r="BB355" s="407">
        <v>0</v>
      </c>
      <c r="BC355" s="407">
        <v>0</v>
      </c>
      <c r="BD355" s="407">
        <v>0</v>
      </c>
      <c r="BE355" s="407">
        <v>0</v>
      </c>
      <c r="BF355" s="407">
        <v>0</v>
      </c>
      <c r="BG355" s="407">
        <v>504.24204034154525</v>
      </c>
      <c r="BH355" s="407">
        <v>0</v>
      </c>
      <c r="BI355" s="407">
        <v>104.18</v>
      </c>
      <c r="BJ355" s="407">
        <v>492.81</v>
      </c>
      <c r="BK355" s="407">
        <v>14714.45</v>
      </c>
      <c r="BL355" s="407">
        <v>13</v>
      </c>
      <c r="BM355" s="407"/>
      <c r="BN355" s="407"/>
      <c r="BO355" s="407"/>
      <c r="BP355" s="407"/>
      <c r="BQ355" s="407">
        <v>1641.8923883999985</v>
      </c>
      <c r="BR355" s="407"/>
      <c r="BS355" s="407"/>
      <c r="BT355" s="407"/>
      <c r="BU355" s="407"/>
      <c r="BV355" s="407">
        <v>7402.5193067687705</v>
      </c>
      <c r="BW355" s="407"/>
      <c r="BX355" s="407"/>
      <c r="BY355" s="407"/>
      <c r="BZ355" s="407"/>
      <c r="CA355" s="407"/>
      <c r="CB355" s="407"/>
      <c r="CC355" s="407"/>
      <c r="CD355" s="407"/>
      <c r="CE355" s="407"/>
      <c r="CF355" s="407"/>
      <c r="CG355" s="407"/>
      <c r="CH355" s="407"/>
      <c r="CI355" s="407">
        <v>25720.912799999998</v>
      </c>
      <c r="CJ355" s="407">
        <v>-8243.8617330000052</v>
      </c>
      <c r="CK355" s="407"/>
      <c r="CL355" s="407"/>
      <c r="CM355" s="407"/>
      <c r="CN355" s="407"/>
      <c r="CO355" s="407">
        <v>-9996.4845000000023</v>
      </c>
      <c r="CP355" s="407">
        <v>1228.6506899999999</v>
      </c>
      <c r="CQ355" s="407"/>
      <c r="CR355" s="407">
        <v>771.72046378635787</v>
      </c>
      <c r="CS355" s="407">
        <v>0</v>
      </c>
      <c r="CT355" s="407">
        <v>0</v>
      </c>
      <c r="CU355" s="407">
        <v>0</v>
      </c>
      <c r="CV355" s="407">
        <v>0</v>
      </c>
      <c r="CW355" s="407">
        <v>0</v>
      </c>
      <c r="CX355" s="407">
        <v>0</v>
      </c>
      <c r="CY355" s="407">
        <v>0</v>
      </c>
      <c r="CZ355" s="407">
        <v>235.66924732360076</v>
      </c>
      <c r="DA355" s="407">
        <v>0</v>
      </c>
      <c r="DB355" s="407">
        <v>0</v>
      </c>
      <c r="DC355" s="407">
        <v>1367.7420950297437</v>
      </c>
      <c r="DD355" s="407">
        <v>0</v>
      </c>
      <c r="DE355" s="407">
        <v>0</v>
      </c>
      <c r="DF355" s="407">
        <v>0</v>
      </c>
      <c r="DG355" s="407">
        <v>99.977579621994323</v>
      </c>
      <c r="DH355" s="407">
        <v>0</v>
      </c>
      <c r="DI355" s="407">
        <v>-194.13837567839164</v>
      </c>
      <c r="DJ355" s="407"/>
      <c r="DK355" s="407">
        <v>0</v>
      </c>
      <c r="DL355" s="407">
        <v>0</v>
      </c>
      <c r="DM355" s="407">
        <v>0</v>
      </c>
      <c r="DN355" s="407">
        <v>0</v>
      </c>
      <c r="DO355" s="407">
        <v>-26.1316747144283</v>
      </c>
      <c r="DP355" s="407">
        <v>-5.9138077198447689</v>
      </c>
      <c r="DQ355" s="407">
        <v>0</v>
      </c>
      <c r="DR355" s="407">
        <v>-705.48460007632082</v>
      </c>
      <c r="DS355" s="407"/>
      <c r="DT355" s="407"/>
      <c r="DU355" s="407"/>
      <c r="DV355" s="407">
        <v>18675.579529933591</v>
      </c>
      <c r="DW355" s="407">
        <v>0</v>
      </c>
      <c r="DX355" s="407">
        <v>0</v>
      </c>
      <c r="DY355" s="407">
        <v>-9996.4845000000023</v>
      </c>
      <c r="DZ355" s="407">
        <v>1228.6506899999995</v>
      </c>
      <c r="EA355" s="407">
        <v>0</v>
      </c>
      <c r="EB355" s="407">
        <v>0</v>
      </c>
      <c r="EC355" s="407">
        <v>-9539.5294002272658</v>
      </c>
      <c r="ED355" s="407">
        <v>0</v>
      </c>
      <c r="EE355" s="407">
        <v>0</v>
      </c>
      <c r="EF355" s="407">
        <v>0</v>
      </c>
      <c r="EG355" s="407">
        <v>0</v>
      </c>
      <c r="EH355" s="407">
        <v>0</v>
      </c>
      <c r="EI355" s="407">
        <v>0</v>
      </c>
      <c r="EJ355" s="407">
        <v>0</v>
      </c>
      <c r="EK355" s="407">
        <v>0</v>
      </c>
      <c r="EL355" s="407">
        <v>0</v>
      </c>
      <c r="EM355" s="407">
        <v>0</v>
      </c>
      <c r="EN355" s="407">
        <v>0</v>
      </c>
      <c r="EO355" s="407">
        <v>0</v>
      </c>
      <c r="EP355" s="407">
        <v>1312.9252909047523</v>
      </c>
      <c r="EQ355" s="407">
        <v>0</v>
      </c>
      <c r="ER355" s="407">
        <v>0</v>
      </c>
      <c r="ES355" s="407">
        <v>0</v>
      </c>
      <c r="ET355" s="407">
        <v>0</v>
      </c>
      <c r="EU355" s="407">
        <v>0</v>
      </c>
      <c r="EV355" s="407">
        <v>246</v>
      </c>
      <c r="EW355" s="407">
        <v>0</v>
      </c>
      <c r="EX355" s="407">
        <v>0</v>
      </c>
      <c r="EY355" s="407">
        <v>0</v>
      </c>
      <c r="EZ355" s="407"/>
      <c r="FA355" s="407">
        <v>0</v>
      </c>
      <c r="FB355" s="407"/>
      <c r="FC355" s="407"/>
      <c r="FD355" s="407"/>
      <c r="FE355" s="407"/>
      <c r="FF355" s="407">
        <v>0</v>
      </c>
      <c r="FG355" s="407">
        <v>0</v>
      </c>
      <c r="FH355" s="407">
        <v>0</v>
      </c>
      <c r="FI355" s="407">
        <v>0</v>
      </c>
    </row>
    <row r="356" spans="1:165">
      <c r="A356" s="407">
        <v>372</v>
      </c>
      <c r="B356" s="407" t="s">
        <v>1090</v>
      </c>
      <c r="C356" s="407" t="s">
        <v>2317</v>
      </c>
      <c r="D356" s="407" t="s">
        <v>650</v>
      </c>
      <c r="E356" s="407" t="s">
        <v>1052</v>
      </c>
      <c r="F356" s="407" t="s">
        <v>2321</v>
      </c>
      <c r="G356" s="407" t="s">
        <v>97</v>
      </c>
      <c r="H356" s="407" t="s">
        <v>97</v>
      </c>
      <c r="I356" s="407" t="s">
        <v>1025</v>
      </c>
      <c r="J356" s="407" t="s">
        <v>2307</v>
      </c>
      <c r="K356" s="818">
        <v>44531</v>
      </c>
      <c r="L356" s="407">
        <v>708</v>
      </c>
      <c r="M356" s="407">
        <v>665.52</v>
      </c>
      <c r="N356" s="407">
        <v>40.863999999999997</v>
      </c>
      <c r="O356" s="407">
        <v>38.41216</v>
      </c>
      <c r="P356" s="407">
        <v>40.863999999999997</v>
      </c>
      <c r="Q356" s="407">
        <v>38.41216</v>
      </c>
      <c r="R356" s="407">
        <v>112.91</v>
      </c>
      <c r="S356" s="407">
        <v>95.29</v>
      </c>
      <c r="T356" s="407">
        <v>159.41</v>
      </c>
      <c r="U356" s="407">
        <v>79940.28</v>
      </c>
      <c r="V356" s="407">
        <v>10408.060799999999</v>
      </c>
      <c r="W356" s="407">
        <v>90348.340799999991</v>
      </c>
      <c r="X356" s="407">
        <v>58850.770239999998</v>
      </c>
      <c r="Y356" s="407">
        <v>0</v>
      </c>
      <c r="Z356" s="407">
        <v>2203.1465199177951</v>
      </c>
      <c r="AA356" s="407">
        <v>0</v>
      </c>
      <c r="AB356" s="407">
        <v>0</v>
      </c>
      <c r="AC356" s="407">
        <v>0</v>
      </c>
      <c r="AD356" s="407">
        <v>17972.872804850485</v>
      </c>
      <c r="AE356" s="407">
        <v>61965.112641339554</v>
      </c>
      <c r="AF356" s="407">
        <v>6302.4840077644849</v>
      </c>
      <c r="AG356" s="407">
        <v>211.74691913815604</v>
      </c>
      <c r="AH356" s="407">
        <v>0</v>
      </c>
      <c r="AI356" s="407">
        <v>0</v>
      </c>
      <c r="AJ356" s="407">
        <v>0</v>
      </c>
      <c r="AK356" s="407">
        <v>0</v>
      </c>
      <c r="AL356" s="407">
        <v>391.31592585272642</v>
      </c>
      <c r="AM356" s="407"/>
      <c r="AN356" s="407">
        <v>43.877040996048208</v>
      </c>
      <c r="AO356" s="407">
        <v>0</v>
      </c>
      <c r="AP356" s="407">
        <v>0</v>
      </c>
      <c r="AQ356" s="407">
        <v>0</v>
      </c>
      <c r="AR356" s="407">
        <v>0</v>
      </c>
      <c r="AS356" s="407">
        <v>0</v>
      </c>
      <c r="AT356" s="407">
        <v>0</v>
      </c>
      <c r="AU356" s="407">
        <v>0</v>
      </c>
      <c r="AV356" s="407">
        <v>0</v>
      </c>
      <c r="AW356" s="407">
        <v>0</v>
      </c>
      <c r="AX356" s="407">
        <v>0</v>
      </c>
      <c r="AY356" s="407">
        <v>0</v>
      </c>
      <c r="AZ356" s="407">
        <v>0</v>
      </c>
      <c r="BA356" s="407"/>
      <c r="BB356" s="407">
        <v>0</v>
      </c>
      <c r="BC356" s="407">
        <v>0</v>
      </c>
      <c r="BD356" s="407">
        <v>0</v>
      </c>
      <c r="BE356" s="407">
        <v>0</v>
      </c>
      <c r="BF356" s="407">
        <v>0</v>
      </c>
      <c r="BG356" s="407">
        <v>212.0790258037172</v>
      </c>
      <c r="BH356" s="407">
        <v>0</v>
      </c>
      <c r="BI356" s="407">
        <v>0</v>
      </c>
      <c r="BJ356" s="407">
        <v>0</v>
      </c>
      <c r="BK356" s="407">
        <v>0</v>
      </c>
      <c r="BL356" s="407">
        <v>0</v>
      </c>
      <c r="BM356" s="407"/>
      <c r="BN356" s="407"/>
      <c r="BO356" s="407"/>
      <c r="BP356" s="407"/>
      <c r="BQ356" s="407">
        <v>3531.0462144000007</v>
      </c>
      <c r="BR356" s="407"/>
      <c r="BS356" s="407"/>
      <c r="BT356" s="407"/>
      <c r="BU356" s="407"/>
      <c r="BV356" s="407">
        <v>6514.5630335682017</v>
      </c>
      <c r="BW356" s="407"/>
      <c r="BX356" s="407"/>
      <c r="BY356" s="407"/>
      <c r="BZ356" s="407"/>
      <c r="CA356" s="407"/>
      <c r="CB356" s="407"/>
      <c r="CC356" s="407"/>
      <c r="CD356" s="407"/>
      <c r="CE356" s="407"/>
      <c r="CF356" s="407"/>
      <c r="CG356" s="407"/>
      <c r="CH356" s="407"/>
      <c r="CI356" s="407">
        <v>55319.125899999999</v>
      </c>
      <c r="CJ356" s="407">
        <v>-29608.344451999976</v>
      </c>
      <c r="CK356" s="407"/>
      <c r="CL356" s="407"/>
      <c r="CM356" s="407"/>
      <c r="CN356" s="407"/>
      <c r="CO356" s="407">
        <v>-32620.104639999998</v>
      </c>
      <c r="CP356" s="407">
        <v>1122.5340799999999</v>
      </c>
      <c r="CQ356" s="407"/>
      <c r="CR356" s="407">
        <v>158.56015719263087</v>
      </c>
      <c r="CS356" s="407">
        <v>0</v>
      </c>
      <c r="CT356" s="407">
        <v>0</v>
      </c>
      <c r="CU356" s="407">
        <v>0</v>
      </c>
      <c r="CV356" s="407">
        <v>0</v>
      </c>
      <c r="CW356" s="407">
        <v>0</v>
      </c>
      <c r="CX356" s="407">
        <v>0</v>
      </c>
      <c r="CY356" s="407">
        <v>0</v>
      </c>
      <c r="CZ356" s="407">
        <v>811.87030138765112</v>
      </c>
      <c r="DA356" s="407">
        <v>0</v>
      </c>
      <c r="DB356" s="407">
        <v>0</v>
      </c>
      <c r="DC356" s="407">
        <v>1249.6123811410434</v>
      </c>
      <c r="DD356" s="407">
        <v>0</v>
      </c>
      <c r="DE356" s="407">
        <v>0</v>
      </c>
      <c r="DF356" s="407">
        <v>0</v>
      </c>
      <c r="DG356" s="407">
        <v>42.049543655828955</v>
      </c>
      <c r="DH356" s="407">
        <v>0</v>
      </c>
      <c r="DI356" s="407">
        <v>-154.3127285048854</v>
      </c>
      <c r="DJ356" s="407"/>
      <c r="DK356" s="407">
        <v>0</v>
      </c>
      <c r="DL356" s="407">
        <v>0</v>
      </c>
      <c r="DM356" s="407">
        <v>0</v>
      </c>
      <c r="DN356" s="407">
        <v>0</v>
      </c>
      <c r="DO356" s="407">
        <v>-23.874723445131565</v>
      </c>
      <c r="DP356" s="407">
        <v>-2.7957391241856797</v>
      </c>
      <c r="DQ356" s="407">
        <v>0</v>
      </c>
      <c r="DR356" s="407">
        <v>-1763.9888779176858</v>
      </c>
      <c r="DS356" s="407"/>
      <c r="DT356" s="407"/>
      <c r="DU356" s="407">
        <v>61965.112641339554</v>
      </c>
      <c r="DV356" s="407">
        <v>0</v>
      </c>
      <c r="DW356" s="407">
        <v>0</v>
      </c>
      <c r="DX356" s="407">
        <v>0</v>
      </c>
      <c r="DY356" s="407">
        <v>-32620.10463999999</v>
      </c>
      <c r="DZ356" s="407">
        <v>1122.5340799999994</v>
      </c>
      <c r="EA356" s="407">
        <v>0</v>
      </c>
      <c r="EB356" s="407">
        <v>0</v>
      </c>
      <c r="EC356" s="407">
        <v>-31651.923458814021</v>
      </c>
      <c r="ED356" s="407">
        <v>0</v>
      </c>
      <c r="EE356" s="407">
        <v>0</v>
      </c>
      <c r="EF356" s="407">
        <v>0</v>
      </c>
      <c r="EG356" s="407">
        <v>0</v>
      </c>
      <c r="EH356" s="407">
        <v>0</v>
      </c>
      <c r="EI356" s="407">
        <v>0</v>
      </c>
      <c r="EJ356" s="407">
        <v>0</v>
      </c>
      <c r="EK356" s="407">
        <v>0</v>
      </c>
      <c r="EL356" s="407">
        <v>0</v>
      </c>
      <c r="EM356" s="407">
        <v>0</v>
      </c>
      <c r="EN356" s="407">
        <v>0</v>
      </c>
      <c r="EO356" s="407">
        <v>0</v>
      </c>
      <c r="EP356" s="407">
        <v>1043.5911151240332</v>
      </c>
      <c r="EQ356" s="407">
        <v>0</v>
      </c>
      <c r="ER356" s="407">
        <v>0</v>
      </c>
      <c r="ES356" s="407">
        <v>0</v>
      </c>
      <c r="ET356" s="407">
        <v>0</v>
      </c>
      <c r="EU356" s="407">
        <v>0</v>
      </c>
      <c r="EV356" s="407">
        <v>246</v>
      </c>
      <c r="EW356" s="407">
        <v>0</v>
      </c>
      <c r="EX356" s="407">
        <v>0</v>
      </c>
      <c r="EY356" s="407">
        <v>0</v>
      </c>
      <c r="EZ356" s="407"/>
      <c r="FA356" s="407">
        <v>0</v>
      </c>
      <c r="FB356" s="407"/>
      <c r="FC356" s="407"/>
      <c r="FD356" s="407"/>
      <c r="FE356" s="407"/>
      <c r="FF356" s="407">
        <v>0</v>
      </c>
      <c r="FG356" s="407">
        <v>0</v>
      </c>
      <c r="FH356" s="407">
        <v>0</v>
      </c>
      <c r="FI356" s="407">
        <v>0</v>
      </c>
    </row>
    <row r="357" spans="1:165">
      <c r="A357" s="407">
        <v>373</v>
      </c>
      <c r="B357" s="407" t="s">
        <v>1090</v>
      </c>
      <c r="C357" s="407" t="s">
        <v>2317</v>
      </c>
      <c r="D357" s="407" t="s">
        <v>650</v>
      </c>
      <c r="E357" s="407" t="s">
        <v>1052</v>
      </c>
      <c r="F357" s="407" t="s">
        <v>2321</v>
      </c>
      <c r="G357" s="407" t="s">
        <v>97</v>
      </c>
      <c r="H357" s="407" t="s">
        <v>97</v>
      </c>
      <c r="I357" s="407" t="s">
        <v>2290</v>
      </c>
      <c r="J357" s="407" t="s">
        <v>2307</v>
      </c>
      <c r="K357" s="818">
        <v>44531</v>
      </c>
      <c r="L357" s="407">
        <v>718</v>
      </c>
      <c r="M357" s="407">
        <v>674.92</v>
      </c>
      <c r="N357" s="407">
        <v>374.30500000000001</v>
      </c>
      <c r="O357" s="407">
        <v>351.8467</v>
      </c>
      <c r="P357" s="407">
        <v>374.30500000000001</v>
      </c>
      <c r="Q357" s="407">
        <v>351.8467</v>
      </c>
      <c r="R357" s="407">
        <v>43.29</v>
      </c>
      <c r="S357" s="407">
        <v>95.29</v>
      </c>
      <c r="T357" s="407">
        <v>159.41</v>
      </c>
      <c r="U357" s="407">
        <v>31082.22</v>
      </c>
      <c r="V357" s="407">
        <v>95335.483500000002</v>
      </c>
      <c r="W357" s="407">
        <v>126417.7035</v>
      </c>
      <c r="X357" s="407">
        <v>127694.61755000001</v>
      </c>
      <c r="Y357" s="407">
        <v>0</v>
      </c>
      <c r="Z357" s="407">
        <v>20180.323955996242</v>
      </c>
      <c r="AA357" s="407">
        <v>0</v>
      </c>
      <c r="AB357" s="407">
        <v>0</v>
      </c>
      <c r="AC357" s="407">
        <v>0</v>
      </c>
      <c r="AD357" s="407">
        <v>16990.742779758486</v>
      </c>
      <c r="AE357" s="407">
        <v>14093.756340938808</v>
      </c>
      <c r="AF357" s="407">
        <v>57729.328419300262</v>
      </c>
      <c r="AG357" s="407">
        <v>1939.5538999610294</v>
      </c>
      <c r="AH357" s="407">
        <v>0</v>
      </c>
      <c r="AI357" s="407">
        <v>0</v>
      </c>
      <c r="AJ357" s="407">
        <v>0</v>
      </c>
      <c r="AK357" s="407">
        <v>0</v>
      </c>
      <c r="AL357" s="407">
        <v>3584.3653980595332</v>
      </c>
      <c r="AM357" s="407"/>
      <c r="AN357" s="407">
        <v>401.90377422733519</v>
      </c>
      <c r="AO357" s="407">
        <v>0</v>
      </c>
      <c r="AP357" s="407">
        <v>0</v>
      </c>
      <c r="AQ357" s="407">
        <v>0</v>
      </c>
      <c r="AR357" s="407">
        <v>0</v>
      </c>
      <c r="AS357" s="407">
        <v>0</v>
      </c>
      <c r="AT357" s="407">
        <v>0</v>
      </c>
      <c r="AU357" s="407">
        <v>0</v>
      </c>
      <c r="AV357" s="407">
        <v>0</v>
      </c>
      <c r="AW357" s="407">
        <v>0</v>
      </c>
      <c r="AX357" s="407">
        <v>0</v>
      </c>
      <c r="AY357" s="407">
        <v>0</v>
      </c>
      <c r="AZ357" s="407">
        <v>0</v>
      </c>
      <c r="BA357" s="407"/>
      <c r="BB357" s="407">
        <v>0</v>
      </c>
      <c r="BC357" s="407">
        <v>0</v>
      </c>
      <c r="BD357" s="407">
        <v>0</v>
      </c>
      <c r="BE357" s="407">
        <v>0</v>
      </c>
      <c r="BF357" s="407">
        <v>0</v>
      </c>
      <c r="BG357" s="407">
        <v>1942.5959219229733</v>
      </c>
      <c r="BH357" s="407">
        <v>0</v>
      </c>
      <c r="BI357" s="407">
        <v>0</v>
      </c>
      <c r="BJ357" s="407">
        <v>0</v>
      </c>
      <c r="BK357" s="407">
        <v>0</v>
      </c>
      <c r="BL357" s="407">
        <v>0</v>
      </c>
      <c r="BM357" s="407"/>
      <c r="BN357" s="407"/>
      <c r="BO357" s="407"/>
      <c r="BP357" s="407"/>
      <c r="BQ357" s="407">
        <v>7661.6770530000031</v>
      </c>
      <c r="BR357" s="407"/>
      <c r="BS357" s="407"/>
      <c r="BT357" s="407"/>
      <c r="BU357" s="407"/>
      <c r="BV357" s="407">
        <v>59671.924341223232</v>
      </c>
      <c r="BW357" s="407"/>
      <c r="BX357" s="407"/>
      <c r="BY357" s="407"/>
      <c r="BZ357" s="407"/>
      <c r="CA357" s="407"/>
      <c r="CB357" s="407"/>
      <c r="CC357" s="407"/>
      <c r="CD357" s="407"/>
      <c r="CE357" s="407"/>
      <c r="CF357" s="407"/>
      <c r="CG357" s="407"/>
      <c r="CH357" s="407"/>
      <c r="CI357" s="407">
        <v>120033.85430000001</v>
      </c>
      <c r="CJ357" s="407">
        <v>1201.1830100000225</v>
      </c>
      <c r="CK357" s="407"/>
      <c r="CL357" s="407"/>
      <c r="CM357" s="407"/>
      <c r="CN357" s="407"/>
      <c r="CO357" s="407">
        <v>-9005.2443000000003</v>
      </c>
      <c r="CP357" s="407">
        <v>10282.15835</v>
      </c>
      <c r="CQ357" s="407"/>
      <c r="CR357" s="407">
        <v>8472.718934607241</v>
      </c>
      <c r="CS357" s="407">
        <v>0</v>
      </c>
      <c r="CT357" s="407">
        <v>0</v>
      </c>
      <c r="CU357" s="407">
        <v>0</v>
      </c>
      <c r="CV357" s="407">
        <v>0</v>
      </c>
      <c r="CW357" s="407">
        <v>0</v>
      </c>
      <c r="CX357" s="407">
        <v>0</v>
      </c>
      <c r="CY357" s="407">
        <v>0</v>
      </c>
      <c r="CZ357" s="407">
        <v>767.5055407769396</v>
      </c>
      <c r="DA357" s="407">
        <v>0</v>
      </c>
      <c r="DB357" s="407">
        <v>0</v>
      </c>
      <c r="DC357" s="407">
        <v>11446.16685402795</v>
      </c>
      <c r="DD357" s="407">
        <v>0</v>
      </c>
      <c r="DE357" s="407">
        <v>0</v>
      </c>
      <c r="DF357" s="407">
        <v>0</v>
      </c>
      <c r="DG357" s="407">
        <v>385.16431181712619</v>
      </c>
      <c r="DH357" s="407">
        <v>0</v>
      </c>
      <c r="DI357" s="407">
        <v>-1413.4697005437847</v>
      </c>
      <c r="DJ357" s="407"/>
      <c r="DK357" s="407">
        <v>0</v>
      </c>
      <c r="DL357" s="407">
        <v>0</v>
      </c>
      <c r="DM357" s="407">
        <v>0</v>
      </c>
      <c r="DN357" s="407">
        <v>0</v>
      </c>
      <c r="DO357" s="407">
        <v>-218.68706830290603</v>
      </c>
      <c r="DP357" s="407">
        <v>-25.608338216482025</v>
      </c>
      <c r="DQ357" s="407">
        <v>0</v>
      </c>
      <c r="DR357" s="407">
        <v>-2468.3526649516316</v>
      </c>
      <c r="DS357" s="407"/>
      <c r="DT357" s="407"/>
      <c r="DU357" s="407">
        <v>14093.756340938808</v>
      </c>
      <c r="DV357" s="407">
        <v>0</v>
      </c>
      <c r="DW357" s="407">
        <v>0</v>
      </c>
      <c r="DX357" s="407">
        <v>0</v>
      </c>
      <c r="DY357" s="407">
        <v>-9005.2443000000058</v>
      </c>
      <c r="DZ357" s="407">
        <v>10282.158350000005</v>
      </c>
      <c r="EA357" s="407">
        <v>0</v>
      </c>
      <c r="EB357" s="407">
        <v>0</v>
      </c>
      <c r="EC357" s="407">
        <v>-7199.1234734391937</v>
      </c>
      <c r="ED357" s="407">
        <v>0</v>
      </c>
      <c r="EE357" s="407">
        <v>0</v>
      </c>
      <c r="EF357" s="407">
        <v>0</v>
      </c>
      <c r="EG357" s="407">
        <v>0</v>
      </c>
      <c r="EH357" s="407">
        <v>0</v>
      </c>
      <c r="EI357" s="407">
        <v>0</v>
      </c>
      <c r="EJ357" s="407">
        <v>0</v>
      </c>
      <c r="EK357" s="407">
        <v>0</v>
      </c>
      <c r="EL357" s="407">
        <v>0</v>
      </c>
      <c r="EM357" s="407">
        <v>0</v>
      </c>
      <c r="EN357" s="407">
        <v>0</v>
      </c>
      <c r="EO357" s="407">
        <v>0</v>
      </c>
      <c r="EP357" s="407">
        <v>9559.0586419954307</v>
      </c>
      <c r="EQ357" s="407">
        <v>0</v>
      </c>
      <c r="ER357" s="407">
        <v>0</v>
      </c>
      <c r="ES357" s="407">
        <v>0</v>
      </c>
      <c r="ET357" s="407">
        <v>0</v>
      </c>
      <c r="EU357" s="407">
        <v>0</v>
      </c>
      <c r="EV357" s="407">
        <v>246</v>
      </c>
      <c r="EW357" s="407">
        <v>0</v>
      </c>
      <c r="EX357" s="407">
        <v>0</v>
      </c>
      <c r="EY357" s="407">
        <v>0</v>
      </c>
      <c r="EZ357" s="407"/>
      <c r="FA357" s="407">
        <v>0</v>
      </c>
      <c r="FB357" s="407"/>
      <c r="FC357" s="407"/>
      <c r="FD357" s="407"/>
      <c r="FE357" s="407"/>
      <c r="FF357" s="407">
        <v>0</v>
      </c>
      <c r="FG357" s="407">
        <v>0</v>
      </c>
      <c r="FH357" s="407">
        <v>0</v>
      </c>
      <c r="FI357" s="407">
        <v>0</v>
      </c>
    </row>
    <row r="358" spans="1:165">
      <c r="A358" s="407">
        <v>374</v>
      </c>
      <c r="B358" s="407" t="s">
        <v>1090</v>
      </c>
      <c r="C358" s="407" t="s">
        <v>2317</v>
      </c>
      <c r="D358" s="407" t="s">
        <v>650</v>
      </c>
      <c r="E358" s="407" t="s">
        <v>1052</v>
      </c>
      <c r="F358" s="407" t="s">
        <v>2321</v>
      </c>
      <c r="G358" s="407" t="s">
        <v>97</v>
      </c>
      <c r="H358" s="407" t="s">
        <v>97</v>
      </c>
      <c r="I358" s="407" t="s">
        <v>97</v>
      </c>
      <c r="J358" s="407" t="s">
        <v>2307</v>
      </c>
      <c r="K358" s="818">
        <v>44531</v>
      </c>
      <c r="L358" s="407">
        <v>0</v>
      </c>
      <c r="M358" s="407">
        <v>0</v>
      </c>
      <c r="N358" s="407">
        <v>0</v>
      </c>
      <c r="O358" s="407">
        <v>0</v>
      </c>
      <c r="P358" s="407">
        <v>0</v>
      </c>
      <c r="Q358" s="407">
        <v>0</v>
      </c>
      <c r="R358" s="407"/>
      <c r="S358" s="407"/>
      <c r="T358" s="407"/>
      <c r="U358" s="407"/>
      <c r="V358" s="407"/>
      <c r="W358" s="407"/>
      <c r="X358" s="407"/>
      <c r="Y358" s="407"/>
      <c r="Z358" s="407"/>
      <c r="AA358" s="407">
        <v>0</v>
      </c>
      <c r="AB358" s="407"/>
      <c r="AC358" s="407"/>
      <c r="AD358" s="407"/>
      <c r="AE358" s="407"/>
      <c r="AF358" s="407"/>
      <c r="AG358" s="407"/>
      <c r="AH358" s="407"/>
      <c r="AI358" s="407"/>
      <c r="AJ358" s="407"/>
      <c r="AK358" s="407"/>
      <c r="AL358" s="407"/>
      <c r="AM358" s="407"/>
      <c r="AN358" s="407"/>
      <c r="AO358" s="407"/>
      <c r="AP358" s="407"/>
      <c r="AQ358" s="407"/>
      <c r="AR358" s="407"/>
      <c r="AS358" s="407"/>
      <c r="AT358" s="407"/>
      <c r="AU358" s="407"/>
      <c r="AV358" s="407"/>
      <c r="AW358" s="407"/>
      <c r="AX358" s="407"/>
      <c r="AY358" s="407"/>
      <c r="AZ358" s="407">
        <v>0</v>
      </c>
      <c r="BA358" s="407"/>
      <c r="BB358" s="407"/>
      <c r="BC358" s="407"/>
      <c r="BD358" s="407"/>
      <c r="BE358" s="407"/>
      <c r="BF358" s="407"/>
      <c r="BG358" s="407"/>
      <c r="BH358" s="407"/>
      <c r="BI358" s="407">
        <v>754.11</v>
      </c>
      <c r="BJ358" s="407">
        <v>3564.95</v>
      </c>
      <c r="BK358" s="407">
        <v>104156.28</v>
      </c>
      <c r="BL358" s="407">
        <v>3</v>
      </c>
      <c r="BM358" s="407"/>
      <c r="BN358" s="407"/>
      <c r="BO358" s="407"/>
      <c r="BP358" s="407"/>
      <c r="BQ358" s="407"/>
      <c r="BR358" s="407"/>
      <c r="BS358" s="407"/>
      <c r="BT358" s="407"/>
      <c r="BU358" s="407"/>
      <c r="BV358" s="407"/>
      <c r="BW358" s="407"/>
      <c r="BX358" s="407"/>
      <c r="BY358" s="407"/>
      <c r="BZ358" s="407"/>
      <c r="CA358" s="407"/>
      <c r="CB358" s="407"/>
      <c r="CC358" s="407"/>
      <c r="CD358" s="407"/>
      <c r="CE358" s="407"/>
      <c r="CF358" s="407"/>
      <c r="CG358" s="407"/>
      <c r="CH358" s="407"/>
      <c r="CI358" s="407"/>
      <c r="CJ358" s="407">
        <v>-0.03</v>
      </c>
      <c r="CK358" s="407"/>
      <c r="CL358" s="407"/>
      <c r="CM358" s="407"/>
      <c r="CN358" s="407"/>
      <c r="CO358" s="407">
        <v>0</v>
      </c>
      <c r="CP358" s="407">
        <v>0</v>
      </c>
      <c r="CQ358" s="407"/>
      <c r="CR358" s="407"/>
      <c r="CS358" s="407"/>
      <c r="CT358" s="407"/>
      <c r="CU358" s="407"/>
      <c r="CV358" s="407"/>
      <c r="CW358" s="407"/>
      <c r="CX358" s="407"/>
      <c r="CY358" s="407"/>
      <c r="CZ358" s="407"/>
      <c r="DA358" s="407"/>
      <c r="DB358" s="407"/>
      <c r="DC358" s="407"/>
      <c r="DD358" s="407"/>
      <c r="DE358" s="407"/>
      <c r="DF358" s="407"/>
      <c r="DG358" s="407"/>
      <c r="DH358" s="407"/>
      <c r="DI358" s="407"/>
      <c r="DJ358" s="407"/>
      <c r="DK358" s="407">
        <v>0</v>
      </c>
      <c r="DL358" s="407"/>
      <c r="DM358" s="407"/>
      <c r="DN358" s="407"/>
      <c r="DO358" s="407"/>
      <c r="DP358" s="407"/>
      <c r="DQ358" s="407"/>
      <c r="DR358" s="407"/>
      <c r="DS358" s="407"/>
      <c r="DT358" s="407"/>
      <c r="DU358" s="407"/>
      <c r="DV358" s="407"/>
      <c r="DW358" s="407"/>
      <c r="DX358" s="407"/>
      <c r="DY358" s="407"/>
      <c r="DZ358" s="407"/>
      <c r="EA358" s="407"/>
      <c r="EB358" s="407"/>
      <c r="EC358" s="407"/>
      <c r="ED358" s="407"/>
      <c r="EE358" s="407"/>
      <c r="EF358" s="407"/>
      <c r="EG358" s="407"/>
      <c r="EH358" s="407"/>
      <c r="EI358" s="407"/>
      <c r="EJ358" s="407"/>
      <c r="EK358" s="407"/>
      <c r="EL358" s="407"/>
      <c r="EM358" s="407"/>
      <c r="EN358" s="407"/>
      <c r="EO358" s="407"/>
      <c r="EP358" s="407"/>
      <c r="EQ358" s="407"/>
      <c r="ER358" s="407"/>
      <c r="ES358" s="407"/>
      <c r="ET358" s="407"/>
      <c r="EU358" s="407"/>
      <c r="EV358" s="407">
        <v>246</v>
      </c>
      <c r="EW358" s="407"/>
      <c r="EX358" s="407"/>
      <c r="EY358" s="407"/>
      <c r="EZ358" s="407"/>
      <c r="FA358" s="407">
        <v>0</v>
      </c>
      <c r="FB358" s="407"/>
      <c r="FC358" s="407"/>
      <c r="FD358" s="407"/>
      <c r="FE358" s="407"/>
      <c r="FF358" s="407">
        <v>0</v>
      </c>
      <c r="FG358" s="407">
        <v>0</v>
      </c>
      <c r="FH358" s="407">
        <v>0</v>
      </c>
      <c r="FI358" s="407">
        <v>0</v>
      </c>
    </row>
    <row r="359" spans="1:165">
      <c r="A359" s="407">
        <v>375</v>
      </c>
      <c r="B359" s="407" t="s">
        <v>1090</v>
      </c>
      <c r="C359" s="407" t="s">
        <v>2306</v>
      </c>
      <c r="D359" s="407" t="s">
        <v>1219</v>
      </c>
      <c r="E359" s="407" t="s">
        <v>2322</v>
      </c>
      <c r="F359" s="407" t="s">
        <v>97</v>
      </c>
      <c r="G359" s="407" t="s">
        <v>97</v>
      </c>
      <c r="H359" s="407" t="s">
        <v>97</v>
      </c>
      <c r="I359" s="407" t="s">
        <v>97</v>
      </c>
      <c r="J359" s="407" t="s">
        <v>2307</v>
      </c>
      <c r="K359" s="818">
        <v>44531</v>
      </c>
      <c r="L359" s="407">
        <v>0</v>
      </c>
      <c r="M359" s="407">
        <v>0</v>
      </c>
      <c r="N359" s="407">
        <v>4.1929999999999996</v>
      </c>
      <c r="O359" s="407">
        <v>4.1929999999999996</v>
      </c>
      <c r="P359" s="407">
        <v>4.1929999999999996</v>
      </c>
      <c r="Q359" s="407">
        <v>4.1929999999999996</v>
      </c>
      <c r="R359" s="407"/>
      <c r="S359" s="407">
        <v>648.44000000000005</v>
      </c>
      <c r="T359" s="407">
        <v>159.41</v>
      </c>
      <c r="U359" s="407"/>
      <c r="V359" s="407">
        <v>3387.3150499999997</v>
      </c>
      <c r="W359" s="407">
        <v>3387.3150499999997</v>
      </c>
      <c r="X359" s="407">
        <v>2565.3612599999997</v>
      </c>
      <c r="Y359" s="407">
        <v>0</v>
      </c>
      <c r="Z359" s="407">
        <v>259.84126089161811</v>
      </c>
      <c r="AA359" s="407">
        <v>0</v>
      </c>
      <c r="AB359" s="407">
        <v>0</v>
      </c>
      <c r="AC359" s="407">
        <v>0</v>
      </c>
      <c r="AD359" s="407">
        <v>489.09007910656373</v>
      </c>
      <c r="AE359" s="407">
        <v>1750.7703393702138</v>
      </c>
      <c r="AF359" s="407">
        <v>646.68939517806598</v>
      </c>
      <c r="AG359" s="407">
        <v>21.727066169398206</v>
      </c>
      <c r="AH359" s="407">
        <v>0</v>
      </c>
      <c r="AI359" s="407">
        <v>0</v>
      </c>
      <c r="AJ359" s="407">
        <v>0</v>
      </c>
      <c r="AK359" s="407">
        <v>0</v>
      </c>
      <c r="AL359" s="407">
        <v>40.152400085661753</v>
      </c>
      <c r="AM359" s="407"/>
      <c r="AN359" s="407">
        <v>8.7008760205257616</v>
      </c>
      <c r="AO359" s="407">
        <v>0</v>
      </c>
      <c r="AP359" s="407">
        <v>0</v>
      </c>
      <c r="AQ359" s="407">
        <v>0</v>
      </c>
      <c r="AR359" s="407">
        <v>0</v>
      </c>
      <c r="AS359" s="407">
        <v>0</v>
      </c>
      <c r="AT359" s="407">
        <v>0</v>
      </c>
      <c r="AU359" s="407">
        <v>0</v>
      </c>
      <c r="AV359" s="407">
        <v>0</v>
      </c>
      <c r="AW359" s="407">
        <v>0</v>
      </c>
      <c r="AX359" s="407">
        <v>0</v>
      </c>
      <c r="AY359" s="407">
        <v>0</v>
      </c>
      <c r="AZ359" s="407">
        <v>0</v>
      </c>
      <c r="BA359" s="407"/>
      <c r="BB359" s="407">
        <v>0</v>
      </c>
      <c r="BC359" s="407">
        <v>0</v>
      </c>
      <c r="BD359" s="407">
        <v>0</v>
      </c>
      <c r="BE359" s="407">
        <v>0</v>
      </c>
      <c r="BF359" s="407">
        <v>0</v>
      </c>
      <c r="BG359" s="407">
        <v>47.270929755004794</v>
      </c>
      <c r="BH359" s="407">
        <v>0</v>
      </c>
      <c r="BI359" s="407">
        <v>10.11</v>
      </c>
      <c r="BJ359" s="407">
        <v>47.82</v>
      </c>
      <c r="BK359" s="407">
        <v>1379.41</v>
      </c>
      <c r="BL359" s="407">
        <v>5</v>
      </c>
      <c r="BM359" s="407"/>
      <c r="BN359" s="407"/>
      <c r="BO359" s="407"/>
      <c r="BP359" s="407"/>
      <c r="BQ359" s="407"/>
      <c r="BR359" s="407"/>
      <c r="BS359" s="407"/>
      <c r="BT359" s="407"/>
      <c r="BU359" s="407"/>
      <c r="BV359" s="407">
        <v>693.96032493307075</v>
      </c>
      <c r="BW359" s="407"/>
      <c r="BX359" s="407"/>
      <c r="BY359" s="407"/>
      <c r="BZ359" s="407"/>
      <c r="CA359" s="407"/>
      <c r="CB359" s="407"/>
      <c r="CC359" s="407"/>
      <c r="CD359" s="407"/>
      <c r="CE359" s="407"/>
      <c r="CF359" s="407"/>
      <c r="CG359" s="407"/>
      <c r="CH359" s="407"/>
      <c r="CI359" s="407">
        <v>2563.5258000000003</v>
      </c>
      <c r="CJ359" s="407">
        <v>-823.81925000000001</v>
      </c>
      <c r="CK359" s="407"/>
      <c r="CL359" s="407"/>
      <c r="CM359" s="407"/>
      <c r="CN359" s="407"/>
      <c r="CO359" s="407">
        <v>-937.13550000000021</v>
      </c>
      <c r="CP359" s="407">
        <v>115.18170999999998</v>
      </c>
      <c r="CQ359" s="407"/>
      <c r="CR359" s="407">
        <v>72.346097539655602</v>
      </c>
      <c r="CS359" s="407">
        <v>0</v>
      </c>
      <c r="CT359" s="407">
        <v>0</v>
      </c>
      <c r="CU359" s="407">
        <v>0</v>
      </c>
      <c r="CV359" s="407">
        <v>0</v>
      </c>
      <c r="CW359" s="407">
        <v>0</v>
      </c>
      <c r="CX359" s="407">
        <v>0</v>
      </c>
      <c r="CY359" s="407">
        <v>0</v>
      </c>
      <c r="CZ359" s="407">
        <v>22.093168645960077</v>
      </c>
      <c r="DA359" s="407">
        <v>0</v>
      </c>
      <c r="DB359" s="407">
        <v>0</v>
      </c>
      <c r="DC359" s="407">
        <v>128.22104331745288</v>
      </c>
      <c r="DD359" s="407">
        <v>0</v>
      </c>
      <c r="DE359" s="407">
        <v>0</v>
      </c>
      <c r="DF359" s="407">
        <v>0</v>
      </c>
      <c r="DG359" s="407">
        <v>9.3725488263246319</v>
      </c>
      <c r="DH359" s="407">
        <v>0</v>
      </c>
      <c r="DI359" s="407">
        <v>-18.199794513817125</v>
      </c>
      <c r="DJ359" s="407"/>
      <c r="DK359" s="407">
        <v>0</v>
      </c>
      <c r="DL359" s="407">
        <v>0</v>
      </c>
      <c r="DM359" s="407">
        <v>0</v>
      </c>
      <c r="DN359" s="407">
        <v>0</v>
      </c>
      <c r="DO359" s="407">
        <v>-2.4497532156772834</v>
      </c>
      <c r="DP359" s="407">
        <v>-0.55439881434724292</v>
      </c>
      <c r="DQ359" s="407">
        <v>0</v>
      </c>
      <c r="DR359" s="407">
        <v>-66.136716706240378</v>
      </c>
      <c r="DS359" s="407"/>
      <c r="DT359" s="407"/>
      <c r="DU359" s="407"/>
      <c r="DV359" s="407">
        <v>1750.7703393702138</v>
      </c>
      <c r="DW359" s="407">
        <v>0</v>
      </c>
      <c r="DX359" s="407">
        <v>0</v>
      </c>
      <c r="DY359" s="407">
        <v>-937.13550000000009</v>
      </c>
      <c r="DZ359" s="407">
        <v>115.18170999999995</v>
      </c>
      <c r="EA359" s="407">
        <v>0</v>
      </c>
      <c r="EB359" s="407">
        <v>0</v>
      </c>
      <c r="EC359" s="407">
        <v>-894.29755573038506</v>
      </c>
      <c r="ED359" s="407">
        <v>0</v>
      </c>
      <c r="EE359" s="407">
        <v>0</v>
      </c>
      <c r="EF359" s="407">
        <v>0</v>
      </c>
      <c r="EG359" s="407">
        <v>0</v>
      </c>
      <c r="EH359" s="407">
        <v>0</v>
      </c>
      <c r="EI359" s="407">
        <v>0</v>
      </c>
      <c r="EJ359" s="407">
        <v>0</v>
      </c>
      <c r="EK359" s="407">
        <v>0</v>
      </c>
      <c r="EL359" s="407">
        <v>0</v>
      </c>
      <c r="EM359" s="407">
        <v>0</v>
      </c>
      <c r="EN359" s="407">
        <v>0</v>
      </c>
      <c r="EO359" s="407">
        <v>0</v>
      </c>
      <c r="EP359" s="407">
        <v>123.08215942861416</v>
      </c>
      <c r="EQ359" s="407">
        <v>0</v>
      </c>
      <c r="ER359" s="407">
        <v>0</v>
      </c>
      <c r="ES359" s="407">
        <v>0</v>
      </c>
      <c r="ET359" s="407">
        <v>0</v>
      </c>
      <c r="EU359" s="407">
        <v>0</v>
      </c>
      <c r="EV359" s="407">
        <v>246</v>
      </c>
      <c r="EW359" s="407">
        <v>0</v>
      </c>
      <c r="EX359" s="407">
        <v>0</v>
      </c>
      <c r="EY359" s="407">
        <v>0</v>
      </c>
      <c r="EZ359" s="407"/>
      <c r="FA359" s="407">
        <v>0</v>
      </c>
      <c r="FB359" s="407"/>
      <c r="FC359" s="407"/>
      <c r="FD359" s="407"/>
      <c r="FE359" s="407"/>
      <c r="FF359" s="407">
        <v>0</v>
      </c>
      <c r="FG359" s="407">
        <v>0</v>
      </c>
      <c r="FH359" s="407">
        <v>0</v>
      </c>
      <c r="FI359" s="407">
        <v>0</v>
      </c>
    </row>
    <row r="360" spans="1:165">
      <c r="A360" s="407">
        <v>376</v>
      </c>
      <c r="B360" s="407" t="s">
        <v>1090</v>
      </c>
      <c r="C360" s="407" t="s">
        <v>2306</v>
      </c>
      <c r="D360" s="407" t="s">
        <v>2315</v>
      </c>
      <c r="E360" s="407" t="s">
        <v>1026</v>
      </c>
      <c r="F360" s="407" t="s">
        <v>2323</v>
      </c>
      <c r="G360" s="407" t="s">
        <v>2324</v>
      </c>
      <c r="H360" s="407" t="s">
        <v>97</v>
      </c>
      <c r="I360" s="407" t="s">
        <v>97</v>
      </c>
      <c r="J360" s="407" t="s">
        <v>2307</v>
      </c>
      <c r="K360" s="818">
        <v>44531</v>
      </c>
      <c r="L360" s="407">
        <v>0</v>
      </c>
      <c r="M360" s="407">
        <v>0</v>
      </c>
      <c r="N360" s="407">
        <v>0</v>
      </c>
      <c r="O360" s="407">
        <v>0</v>
      </c>
      <c r="P360" s="407">
        <v>0</v>
      </c>
      <c r="Q360" s="407">
        <v>0</v>
      </c>
      <c r="R360" s="407"/>
      <c r="S360" s="407"/>
      <c r="T360" s="407"/>
      <c r="U360" s="407"/>
      <c r="V360" s="407"/>
      <c r="W360" s="407"/>
      <c r="X360" s="407"/>
      <c r="Y360" s="407"/>
      <c r="Z360" s="407"/>
      <c r="AA360" s="407">
        <v>0</v>
      </c>
      <c r="AB360" s="407"/>
      <c r="AC360" s="407"/>
      <c r="AD360" s="407"/>
      <c r="AE360" s="407"/>
      <c r="AF360" s="407"/>
      <c r="AG360" s="407"/>
      <c r="AH360" s="407"/>
      <c r="AI360" s="407"/>
      <c r="AJ360" s="407"/>
      <c r="AK360" s="407"/>
      <c r="AL360" s="407"/>
      <c r="AM360" s="407"/>
      <c r="AN360" s="407"/>
      <c r="AO360" s="407"/>
      <c r="AP360" s="407"/>
      <c r="AQ360" s="407"/>
      <c r="AR360" s="407"/>
      <c r="AS360" s="407"/>
      <c r="AT360" s="407"/>
      <c r="AU360" s="407"/>
      <c r="AV360" s="407"/>
      <c r="AW360" s="407"/>
      <c r="AX360" s="407"/>
      <c r="AY360" s="407"/>
      <c r="AZ360" s="407">
        <v>0</v>
      </c>
      <c r="BA360" s="407"/>
      <c r="BB360" s="407"/>
      <c r="BC360" s="407"/>
      <c r="BD360" s="407"/>
      <c r="BE360" s="407"/>
      <c r="BF360" s="407"/>
      <c r="BG360" s="407"/>
      <c r="BH360" s="407"/>
      <c r="BI360" s="407">
        <v>268.66000000000003</v>
      </c>
      <c r="BJ360" s="407">
        <v>1271</v>
      </c>
      <c r="BK360" s="407">
        <v>401.17</v>
      </c>
      <c r="BL360" s="407">
        <v>39</v>
      </c>
      <c r="BM360" s="407"/>
      <c r="BN360" s="407"/>
      <c r="BO360" s="407"/>
      <c r="BP360" s="407"/>
      <c r="BQ360" s="407"/>
      <c r="BR360" s="407"/>
      <c r="BS360" s="407"/>
      <c r="BT360" s="407"/>
      <c r="BU360" s="407"/>
      <c r="BV360" s="407"/>
      <c r="BW360" s="407"/>
      <c r="BX360" s="407"/>
      <c r="BY360" s="407"/>
      <c r="BZ360" s="407"/>
      <c r="CA360" s="407"/>
      <c r="CB360" s="407"/>
      <c r="CC360" s="407"/>
      <c r="CD360" s="407"/>
      <c r="CE360" s="407"/>
      <c r="CF360" s="407"/>
      <c r="CG360" s="407"/>
      <c r="CH360" s="407"/>
      <c r="CI360" s="407"/>
      <c r="CJ360" s="407">
        <v>-0.03</v>
      </c>
      <c r="CK360" s="407"/>
      <c r="CL360" s="407"/>
      <c r="CM360" s="407"/>
      <c r="CN360" s="407"/>
      <c r="CO360" s="407">
        <v>0</v>
      </c>
      <c r="CP360" s="407">
        <v>0</v>
      </c>
      <c r="CQ360" s="407"/>
      <c r="CR360" s="407"/>
      <c r="CS360" s="407"/>
      <c r="CT360" s="407"/>
      <c r="CU360" s="407"/>
      <c r="CV360" s="407"/>
      <c r="CW360" s="407"/>
      <c r="CX360" s="407"/>
      <c r="CY360" s="407"/>
      <c r="CZ360" s="407"/>
      <c r="DA360" s="407"/>
      <c r="DB360" s="407"/>
      <c r="DC360" s="407"/>
      <c r="DD360" s="407"/>
      <c r="DE360" s="407"/>
      <c r="DF360" s="407"/>
      <c r="DG360" s="407"/>
      <c r="DH360" s="407"/>
      <c r="DI360" s="407"/>
      <c r="DJ360" s="407"/>
      <c r="DK360" s="407">
        <v>0</v>
      </c>
      <c r="DL360" s="407"/>
      <c r="DM360" s="407"/>
      <c r="DN360" s="407"/>
      <c r="DO360" s="407"/>
      <c r="DP360" s="407"/>
      <c r="DQ360" s="407"/>
      <c r="DR360" s="407"/>
      <c r="DS360" s="407"/>
      <c r="DT360" s="407"/>
      <c r="DU360" s="407"/>
      <c r="DV360" s="407"/>
      <c r="DW360" s="407"/>
      <c r="DX360" s="407"/>
      <c r="DY360" s="407"/>
      <c r="DZ360" s="407"/>
      <c r="EA360" s="407"/>
      <c r="EB360" s="407"/>
      <c r="EC360" s="407"/>
      <c r="ED360" s="407"/>
      <c r="EE360" s="407"/>
      <c r="EF360" s="407"/>
      <c r="EG360" s="407"/>
      <c r="EH360" s="407"/>
      <c r="EI360" s="407"/>
      <c r="EJ360" s="407"/>
      <c r="EK360" s="407"/>
      <c r="EL360" s="407"/>
      <c r="EM360" s="407"/>
      <c r="EN360" s="407"/>
      <c r="EO360" s="407"/>
      <c r="EP360" s="407"/>
      <c r="EQ360" s="407"/>
      <c r="ER360" s="407"/>
      <c r="ES360" s="407"/>
      <c r="ET360" s="407"/>
      <c r="EU360" s="407"/>
      <c r="EV360" s="407">
        <v>246</v>
      </c>
      <c r="EW360" s="407"/>
      <c r="EX360" s="407"/>
      <c r="EY360" s="407"/>
      <c r="EZ360" s="407"/>
      <c r="FA360" s="407">
        <v>0</v>
      </c>
      <c r="FB360" s="407"/>
      <c r="FC360" s="407"/>
      <c r="FD360" s="407"/>
      <c r="FE360" s="407"/>
      <c r="FF360" s="407">
        <v>0</v>
      </c>
      <c r="FG360" s="407">
        <v>0</v>
      </c>
      <c r="FH360" s="407">
        <v>0</v>
      </c>
      <c r="FI360" s="407">
        <v>0</v>
      </c>
    </row>
    <row r="361" spans="1:165">
      <c r="A361" s="407">
        <v>377</v>
      </c>
      <c r="B361" s="407" t="s">
        <v>2309</v>
      </c>
      <c r="C361" s="407" t="s">
        <v>2306</v>
      </c>
      <c r="D361" s="407" t="s">
        <v>2315</v>
      </c>
      <c r="E361" s="407" t="s">
        <v>1026</v>
      </c>
      <c r="F361" s="407" t="s">
        <v>2323</v>
      </c>
      <c r="G361" s="407" t="s">
        <v>2324</v>
      </c>
      <c r="H361" s="407" t="s">
        <v>97</v>
      </c>
      <c r="I361" s="407" t="s">
        <v>97</v>
      </c>
      <c r="J361" s="407" t="s">
        <v>2307</v>
      </c>
      <c r="K361" s="818">
        <v>44531</v>
      </c>
      <c r="L361" s="407">
        <v>0</v>
      </c>
      <c r="M361" s="407">
        <v>0</v>
      </c>
      <c r="N361" s="407">
        <v>0</v>
      </c>
      <c r="O361" s="407">
        <v>0</v>
      </c>
      <c r="P361" s="407">
        <v>0</v>
      </c>
      <c r="Q361" s="407">
        <v>0</v>
      </c>
      <c r="R361" s="407"/>
      <c r="S361" s="407"/>
      <c r="T361" s="407"/>
      <c r="U361" s="407"/>
      <c r="V361" s="407"/>
      <c r="W361" s="407"/>
      <c r="X361" s="407"/>
      <c r="Y361" s="407"/>
      <c r="Z361" s="407"/>
      <c r="AA361" s="407">
        <v>0</v>
      </c>
      <c r="AB361" s="407"/>
      <c r="AC361" s="407"/>
      <c r="AD361" s="407"/>
      <c r="AE361" s="407"/>
      <c r="AF361" s="407"/>
      <c r="AG361" s="407"/>
      <c r="AH361" s="407"/>
      <c r="AI361" s="407"/>
      <c r="AJ361" s="407"/>
      <c r="AK361" s="407"/>
      <c r="AL361" s="407"/>
      <c r="AM361" s="407"/>
      <c r="AN361" s="407"/>
      <c r="AO361" s="407"/>
      <c r="AP361" s="407"/>
      <c r="AQ361" s="407"/>
      <c r="AR361" s="407"/>
      <c r="AS361" s="407"/>
      <c r="AT361" s="407"/>
      <c r="AU361" s="407"/>
      <c r="AV361" s="407"/>
      <c r="AW361" s="407"/>
      <c r="AX361" s="407"/>
      <c r="AY361" s="407"/>
      <c r="AZ361" s="407">
        <v>0</v>
      </c>
      <c r="BA361" s="407"/>
      <c r="BB361" s="407"/>
      <c r="BC361" s="407"/>
      <c r="BD361" s="407"/>
      <c r="BE361" s="407"/>
      <c r="BF361" s="407"/>
      <c r="BG361" s="407"/>
      <c r="BH361" s="407"/>
      <c r="BI361" s="407">
        <v>51.05</v>
      </c>
      <c r="BJ361" s="407">
        <v>241.47</v>
      </c>
      <c r="BK361" s="407">
        <v>48.39</v>
      </c>
      <c r="BL361" s="407">
        <v>5</v>
      </c>
      <c r="BM361" s="407"/>
      <c r="BN361" s="407"/>
      <c r="BO361" s="407"/>
      <c r="BP361" s="407"/>
      <c r="BQ361" s="407"/>
      <c r="BR361" s="407"/>
      <c r="BS361" s="407"/>
      <c r="BT361" s="407"/>
      <c r="BU361" s="407"/>
      <c r="BV361" s="407"/>
      <c r="BW361" s="407"/>
      <c r="BX361" s="407"/>
      <c r="BY361" s="407"/>
      <c r="BZ361" s="407"/>
      <c r="CA361" s="407"/>
      <c r="CB361" s="407"/>
      <c r="CC361" s="407"/>
      <c r="CD361" s="407"/>
      <c r="CE361" s="407"/>
      <c r="CF361" s="407"/>
      <c r="CG361" s="407"/>
      <c r="CH361" s="407"/>
      <c r="CI361" s="407"/>
      <c r="CJ361" s="407">
        <v>-0.03</v>
      </c>
      <c r="CK361" s="407"/>
      <c r="CL361" s="407"/>
      <c r="CM361" s="407"/>
      <c r="CN361" s="407"/>
      <c r="CO361" s="407">
        <v>0</v>
      </c>
      <c r="CP361" s="407">
        <v>0</v>
      </c>
      <c r="CQ361" s="407"/>
      <c r="CR361" s="407"/>
      <c r="CS361" s="407"/>
      <c r="CT361" s="407"/>
      <c r="CU361" s="407"/>
      <c r="CV361" s="407"/>
      <c r="CW361" s="407"/>
      <c r="CX361" s="407"/>
      <c r="CY361" s="407"/>
      <c r="CZ361" s="407"/>
      <c r="DA361" s="407"/>
      <c r="DB361" s="407"/>
      <c r="DC361" s="407"/>
      <c r="DD361" s="407"/>
      <c r="DE361" s="407"/>
      <c r="DF361" s="407"/>
      <c r="DG361" s="407"/>
      <c r="DH361" s="407"/>
      <c r="DI361" s="407"/>
      <c r="DJ361" s="407"/>
      <c r="DK361" s="407">
        <v>0</v>
      </c>
      <c r="DL361" s="407"/>
      <c r="DM361" s="407"/>
      <c r="DN361" s="407"/>
      <c r="DO361" s="407"/>
      <c r="DP361" s="407"/>
      <c r="DQ361" s="407"/>
      <c r="DR361" s="407"/>
      <c r="DS361" s="407"/>
      <c r="DT361" s="407"/>
      <c r="DU361" s="407"/>
      <c r="DV361" s="407"/>
      <c r="DW361" s="407"/>
      <c r="DX361" s="407"/>
      <c r="DY361" s="407"/>
      <c r="DZ361" s="407"/>
      <c r="EA361" s="407"/>
      <c r="EB361" s="407"/>
      <c r="EC361" s="407"/>
      <c r="ED361" s="407"/>
      <c r="EE361" s="407"/>
      <c r="EF361" s="407"/>
      <c r="EG361" s="407"/>
      <c r="EH361" s="407"/>
      <c r="EI361" s="407"/>
      <c r="EJ361" s="407"/>
      <c r="EK361" s="407"/>
      <c r="EL361" s="407"/>
      <c r="EM361" s="407"/>
      <c r="EN361" s="407"/>
      <c r="EO361" s="407"/>
      <c r="EP361" s="407"/>
      <c r="EQ361" s="407"/>
      <c r="ER361" s="407"/>
      <c r="ES361" s="407"/>
      <c r="ET361" s="407"/>
      <c r="EU361" s="407"/>
      <c r="EV361" s="407">
        <v>246</v>
      </c>
      <c r="EW361" s="407"/>
      <c r="EX361" s="407"/>
      <c r="EY361" s="407"/>
      <c r="EZ361" s="407"/>
      <c r="FA361" s="407">
        <v>0</v>
      </c>
      <c r="FB361" s="407"/>
      <c r="FC361" s="407"/>
      <c r="FD361" s="407"/>
      <c r="FE361" s="407"/>
      <c r="FF361" s="407">
        <v>0</v>
      </c>
      <c r="FG361" s="407">
        <v>0</v>
      </c>
      <c r="FH361" s="407">
        <v>0</v>
      </c>
      <c r="FI361" s="407">
        <v>0</v>
      </c>
    </row>
    <row r="362" spans="1:165">
      <c r="A362" s="407">
        <v>378</v>
      </c>
      <c r="B362" s="407" t="s">
        <v>1090</v>
      </c>
      <c r="C362" s="407" t="s">
        <v>2306</v>
      </c>
      <c r="D362" s="407" t="s">
        <v>2315</v>
      </c>
      <c r="E362" s="407" t="s">
        <v>1026</v>
      </c>
      <c r="F362" s="407" t="s">
        <v>2323</v>
      </c>
      <c r="G362" s="407" t="s">
        <v>2324</v>
      </c>
      <c r="H362" s="407" t="s">
        <v>97</v>
      </c>
      <c r="I362" s="407" t="s">
        <v>97</v>
      </c>
      <c r="J362" s="407" t="s">
        <v>2307</v>
      </c>
      <c r="K362" s="818">
        <v>44531</v>
      </c>
      <c r="L362" s="407">
        <v>0</v>
      </c>
      <c r="M362" s="407">
        <v>0</v>
      </c>
      <c r="N362" s="407">
        <v>127.167</v>
      </c>
      <c r="O362" s="407">
        <v>127.167</v>
      </c>
      <c r="P362" s="407">
        <v>127.167</v>
      </c>
      <c r="Q362" s="407">
        <v>127.167</v>
      </c>
      <c r="R362" s="407"/>
      <c r="S362" s="407">
        <v>648.44000000000005</v>
      </c>
      <c r="T362" s="407">
        <v>159.41</v>
      </c>
      <c r="U362" s="407"/>
      <c r="V362" s="407">
        <v>102731.86095000002</v>
      </c>
      <c r="W362" s="407">
        <v>102731.86095000002</v>
      </c>
      <c r="X362" s="407">
        <v>77803.313939999993</v>
      </c>
      <c r="Y362" s="407">
        <v>0</v>
      </c>
      <c r="Z362" s="407">
        <v>7880.5708618660628</v>
      </c>
      <c r="AA362" s="407">
        <v>0</v>
      </c>
      <c r="AB362" s="407">
        <v>0</v>
      </c>
      <c r="AC362" s="407">
        <v>0</v>
      </c>
      <c r="AD362" s="407">
        <v>14833.321748090722</v>
      </c>
      <c r="AE362" s="407">
        <v>53098.071010420223</v>
      </c>
      <c r="AF362" s="407">
        <v>19613.05755225593</v>
      </c>
      <c r="AG362" s="407">
        <v>658.94725102882467</v>
      </c>
      <c r="AH362" s="407">
        <v>0</v>
      </c>
      <c r="AI362" s="407">
        <v>0</v>
      </c>
      <c r="AJ362" s="407">
        <v>0</v>
      </c>
      <c r="AK362" s="407">
        <v>0</v>
      </c>
      <c r="AL362" s="407">
        <v>1217.7582307878245</v>
      </c>
      <c r="AM362" s="407"/>
      <c r="AN362" s="407">
        <v>263.88368731271157</v>
      </c>
      <c r="AO362" s="407">
        <v>0</v>
      </c>
      <c r="AP362" s="407">
        <v>0</v>
      </c>
      <c r="AQ362" s="407">
        <v>0</v>
      </c>
      <c r="AR362" s="407">
        <v>0</v>
      </c>
      <c r="AS362" s="407">
        <v>0</v>
      </c>
      <c r="AT362" s="407">
        <v>0</v>
      </c>
      <c r="AU362" s="407">
        <v>0</v>
      </c>
      <c r="AV362" s="407">
        <v>0</v>
      </c>
      <c r="AW362" s="407">
        <v>0</v>
      </c>
      <c r="AX362" s="407">
        <v>0</v>
      </c>
      <c r="AY362" s="407">
        <v>0</v>
      </c>
      <c r="AZ362" s="407">
        <v>0</v>
      </c>
      <c r="BA362" s="407"/>
      <c r="BB362" s="407">
        <v>0</v>
      </c>
      <c r="BC362" s="407">
        <v>0</v>
      </c>
      <c r="BD362" s="407">
        <v>0</v>
      </c>
      <c r="BE362" s="407">
        <v>0</v>
      </c>
      <c r="BF362" s="407">
        <v>0</v>
      </c>
      <c r="BG362" s="407">
        <v>1433.651877928618</v>
      </c>
      <c r="BH362" s="407">
        <v>0</v>
      </c>
      <c r="BI362" s="407">
        <v>0</v>
      </c>
      <c r="BJ362" s="407">
        <v>0</v>
      </c>
      <c r="BK362" s="407">
        <v>0</v>
      </c>
      <c r="BL362" s="407">
        <v>0</v>
      </c>
      <c r="BM362" s="407"/>
      <c r="BN362" s="407"/>
      <c r="BO362" s="407"/>
      <c r="BP362" s="407"/>
      <c r="BQ362" s="407"/>
      <c r="BR362" s="407">
        <v>9336.6011400000025</v>
      </c>
      <c r="BS362" s="407"/>
      <c r="BT362" s="407"/>
      <c r="BU362" s="407"/>
      <c r="BV362" s="407">
        <v>21046.70943018455</v>
      </c>
      <c r="BW362" s="407"/>
      <c r="BX362" s="407"/>
      <c r="BY362" s="407"/>
      <c r="BZ362" s="407"/>
      <c r="CA362" s="407"/>
      <c r="CB362" s="407"/>
      <c r="CC362" s="407"/>
      <c r="CD362" s="407"/>
      <c r="CE362" s="407"/>
      <c r="CF362" s="407"/>
      <c r="CG362" s="407"/>
      <c r="CH362" s="407"/>
      <c r="CI362" s="407">
        <v>68468.327999999994</v>
      </c>
      <c r="CJ362" s="407">
        <v>-21935.993969999996</v>
      </c>
      <c r="CK362" s="407"/>
      <c r="CL362" s="407"/>
      <c r="CM362" s="407"/>
      <c r="CN362" s="407"/>
      <c r="CO362" s="407">
        <v>-28421.824500000006</v>
      </c>
      <c r="CP362" s="407">
        <v>3493.2774899999999</v>
      </c>
      <c r="CQ362" s="407"/>
      <c r="CR362" s="407">
        <v>2194.1417089972165</v>
      </c>
      <c r="CS362" s="407">
        <v>0</v>
      </c>
      <c r="CT362" s="407">
        <v>0</v>
      </c>
      <c r="CU362" s="407">
        <v>0</v>
      </c>
      <c r="CV362" s="407">
        <v>0</v>
      </c>
      <c r="CW362" s="407">
        <v>0</v>
      </c>
      <c r="CX362" s="407">
        <v>0</v>
      </c>
      <c r="CY362" s="407">
        <v>0</v>
      </c>
      <c r="CZ362" s="407">
        <v>670.05055502046343</v>
      </c>
      <c r="DA362" s="407">
        <v>0</v>
      </c>
      <c r="DB362" s="407">
        <v>0</v>
      </c>
      <c r="DC362" s="407">
        <v>3888.7396650490191</v>
      </c>
      <c r="DD362" s="407">
        <v>0</v>
      </c>
      <c r="DE362" s="407">
        <v>0</v>
      </c>
      <c r="DF362" s="407">
        <v>0</v>
      </c>
      <c r="DG362" s="407">
        <v>284.25445184765681</v>
      </c>
      <c r="DH362" s="407">
        <v>0</v>
      </c>
      <c r="DI362" s="407">
        <v>-551.97072953460065</v>
      </c>
      <c r="DJ362" s="407"/>
      <c r="DK362" s="407">
        <v>0</v>
      </c>
      <c r="DL362" s="407">
        <v>0</v>
      </c>
      <c r="DM362" s="407">
        <v>0</v>
      </c>
      <c r="DN362" s="407">
        <v>0</v>
      </c>
      <c r="DO362" s="407">
        <v>-74.297106410215292</v>
      </c>
      <c r="DP362" s="407">
        <v>-16.81403148678649</v>
      </c>
      <c r="DQ362" s="407">
        <v>0</v>
      </c>
      <c r="DR362" s="407">
        <v>-2005.8210954883066</v>
      </c>
      <c r="DS362" s="407"/>
      <c r="DT362" s="407"/>
      <c r="DU362" s="407"/>
      <c r="DV362" s="407">
        <v>53098.071010420223</v>
      </c>
      <c r="DW362" s="407">
        <v>0</v>
      </c>
      <c r="DX362" s="407">
        <v>0</v>
      </c>
      <c r="DY362" s="407">
        <v>-28421.82450000001</v>
      </c>
      <c r="DZ362" s="407">
        <v>3493.2774899999968</v>
      </c>
      <c r="EA362" s="407">
        <v>0</v>
      </c>
      <c r="EB362" s="407">
        <v>0</v>
      </c>
      <c r="EC362" s="407">
        <v>-27122.617998942493</v>
      </c>
      <c r="ED362" s="407">
        <v>0</v>
      </c>
      <c r="EE362" s="407">
        <v>0</v>
      </c>
      <c r="EF362" s="407">
        <v>0</v>
      </c>
      <c r="EG362" s="407">
        <v>0</v>
      </c>
      <c r="EH362" s="407">
        <v>0</v>
      </c>
      <c r="EI362" s="407">
        <v>0</v>
      </c>
      <c r="EJ362" s="407">
        <v>0</v>
      </c>
      <c r="EK362" s="407">
        <v>0</v>
      </c>
      <c r="EL362" s="407">
        <v>0</v>
      </c>
      <c r="EM362" s="407">
        <v>0</v>
      </c>
      <c r="EN362" s="407">
        <v>0</v>
      </c>
      <c r="EO362" s="407">
        <v>0</v>
      </c>
      <c r="EP362" s="407">
        <v>3732.8855158737369</v>
      </c>
      <c r="EQ362" s="407">
        <v>0</v>
      </c>
      <c r="ER362" s="407">
        <v>0</v>
      </c>
      <c r="ES362" s="407">
        <v>0</v>
      </c>
      <c r="ET362" s="407">
        <v>0</v>
      </c>
      <c r="EU362" s="407">
        <v>0</v>
      </c>
      <c r="EV362" s="407">
        <v>246</v>
      </c>
      <c r="EW362" s="407">
        <v>0</v>
      </c>
      <c r="EX362" s="407">
        <v>0</v>
      </c>
      <c r="EY362" s="407">
        <v>0</v>
      </c>
      <c r="EZ362" s="407"/>
      <c r="FA362" s="407">
        <v>0</v>
      </c>
      <c r="FB362" s="407"/>
      <c r="FC362" s="407"/>
      <c r="FD362" s="407"/>
      <c r="FE362" s="407"/>
      <c r="FF362" s="407">
        <v>0</v>
      </c>
      <c r="FG362" s="407">
        <v>0</v>
      </c>
      <c r="FH362" s="407">
        <v>0</v>
      </c>
      <c r="FI362" s="407">
        <v>0</v>
      </c>
    </row>
    <row r="363" spans="1:165">
      <c r="A363" s="407">
        <v>379</v>
      </c>
      <c r="B363" s="407" t="s">
        <v>2309</v>
      </c>
      <c r="C363" s="407" t="s">
        <v>2306</v>
      </c>
      <c r="D363" s="407" t="s">
        <v>2315</v>
      </c>
      <c r="E363" s="407" t="s">
        <v>1026</v>
      </c>
      <c r="F363" s="407" t="s">
        <v>2323</v>
      </c>
      <c r="G363" s="407" t="s">
        <v>2324</v>
      </c>
      <c r="H363" s="407" t="s">
        <v>97</v>
      </c>
      <c r="I363" s="407" t="s">
        <v>97</v>
      </c>
      <c r="J363" s="407" t="s">
        <v>2307</v>
      </c>
      <c r="K363" s="818">
        <v>44531</v>
      </c>
      <c r="L363" s="407">
        <v>0</v>
      </c>
      <c r="M363" s="407">
        <v>0</v>
      </c>
      <c r="N363" s="407">
        <v>22.545000000000002</v>
      </c>
      <c r="O363" s="407">
        <v>22.545000000000002</v>
      </c>
      <c r="P363" s="407">
        <v>22.545000000000002</v>
      </c>
      <c r="Q363" s="407">
        <v>22.545000000000002</v>
      </c>
      <c r="R363" s="407"/>
      <c r="S363" s="407">
        <v>648.44000000000005</v>
      </c>
      <c r="T363" s="407">
        <v>159.41</v>
      </c>
      <c r="U363" s="407"/>
      <c r="V363" s="407">
        <v>18212.978250000004</v>
      </c>
      <c r="W363" s="407">
        <v>18212.978250000004</v>
      </c>
      <c r="X363" s="407">
        <v>13793.481900000001</v>
      </c>
      <c r="Y363" s="407">
        <v>0</v>
      </c>
      <c r="Z363" s="407">
        <v>1397.1193004535012</v>
      </c>
      <c r="AA363" s="407">
        <v>0</v>
      </c>
      <c r="AB363" s="407">
        <v>0</v>
      </c>
      <c r="AC363" s="407">
        <v>0</v>
      </c>
      <c r="AD363" s="407">
        <v>2629.7485889476466</v>
      </c>
      <c r="AE363" s="407">
        <v>9413.574362294652</v>
      </c>
      <c r="AF363" s="407">
        <v>3477.1315082970423</v>
      </c>
      <c r="AG363" s="407">
        <v>116.82249148320598</v>
      </c>
      <c r="AH363" s="407">
        <v>0</v>
      </c>
      <c r="AI363" s="407">
        <v>0</v>
      </c>
      <c r="AJ363" s="407">
        <v>0</v>
      </c>
      <c r="AK363" s="407">
        <v>0</v>
      </c>
      <c r="AL363" s="407">
        <v>215.89216788248135</v>
      </c>
      <c r="AM363" s="407"/>
      <c r="AN363" s="407">
        <v>46.783031214584625</v>
      </c>
      <c r="AO363" s="407">
        <v>0</v>
      </c>
      <c r="AP363" s="407">
        <v>0</v>
      </c>
      <c r="AQ363" s="407">
        <v>0</v>
      </c>
      <c r="AR363" s="407">
        <v>0</v>
      </c>
      <c r="AS363" s="407">
        <v>0</v>
      </c>
      <c r="AT363" s="407">
        <v>0</v>
      </c>
      <c r="AU363" s="407">
        <v>0</v>
      </c>
      <c r="AV363" s="407">
        <v>0</v>
      </c>
      <c r="AW363" s="407">
        <v>0</v>
      </c>
      <c r="AX363" s="407">
        <v>0</v>
      </c>
      <c r="AY363" s="407">
        <v>0</v>
      </c>
      <c r="AZ363" s="407">
        <v>0</v>
      </c>
      <c r="BA363" s="407"/>
      <c r="BB363" s="407">
        <v>0</v>
      </c>
      <c r="BC363" s="407">
        <v>0</v>
      </c>
      <c r="BD363" s="407">
        <v>0</v>
      </c>
      <c r="BE363" s="407">
        <v>0</v>
      </c>
      <c r="BF363" s="407">
        <v>0</v>
      </c>
      <c r="BG363" s="407">
        <v>254.16720995148657</v>
      </c>
      <c r="BH363" s="407">
        <v>0</v>
      </c>
      <c r="BI363" s="407">
        <v>0</v>
      </c>
      <c r="BJ363" s="407">
        <v>0</v>
      </c>
      <c r="BK363" s="407">
        <v>0</v>
      </c>
      <c r="BL363" s="407">
        <v>0</v>
      </c>
      <c r="BM363" s="407"/>
      <c r="BN363" s="407"/>
      <c r="BO363" s="407"/>
      <c r="BP363" s="407"/>
      <c r="BQ363" s="407"/>
      <c r="BR363" s="407">
        <v>1655.2539000000006</v>
      </c>
      <c r="BS363" s="407"/>
      <c r="BT363" s="407"/>
      <c r="BU363" s="407"/>
      <c r="BV363" s="407">
        <v>3731.298718248529</v>
      </c>
      <c r="BW363" s="407"/>
      <c r="BX363" s="407"/>
      <c r="BY363" s="407"/>
      <c r="BZ363" s="407"/>
      <c r="CA363" s="407"/>
      <c r="CB363" s="407"/>
      <c r="CC363" s="407"/>
      <c r="CD363" s="407"/>
      <c r="CE363" s="407"/>
      <c r="CF363" s="407"/>
      <c r="CG363" s="407"/>
      <c r="CH363" s="407"/>
      <c r="CI363" s="407">
        <v>12140.92</v>
      </c>
      <c r="CJ363" s="407">
        <v>-3886.5759500000022</v>
      </c>
      <c r="CK363" s="407"/>
      <c r="CL363" s="407"/>
      <c r="CM363" s="407"/>
      <c r="CN363" s="407"/>
      <c r="CO363" s="407">
        <v>-5038.8075000000017</v>
      </c>
      <c r="CP363" s="407">
        <v>619.31115</v>
      </c>
      <c r="CQ363" s="407"/>
      <c r="CR363" s="407">
        <v>388.99183616301889</v>
      </c>
      <c r="CS363" s="407">
        <v>0</v>
      </c>
      <c r="CT363" s="407">
        <v>0</v>
      </c>
      <c r="CU363" s="407">
        <v>0</v>
      </c>
      <c r="CV363" s="407">
        <v>0</v>
      </c>
      <c r="CW363" s="407">
        <v>0</v>
      </c>
      <c r="CX363" s="407">
        <v>0</v>
      </c>
      <c r="CY363" s="407">
        <v>0</v>
      </c>
      <c r="CZ363" s="407">
        <v>118.79095805465522</v>
      </c>
      <c r="DA363" s="407">
        <v>0</v>
      </c>
      <c r="DB363" s="407">
        <v>0</v>
      </c>
      <c r="DC363" s="407">
        <v>689.42127870068634</v>
      </c>
      <c r="DD363" s="407">
        <v>0</v>
      </c>
      <c r="DE363" s="407">
        <v>0</v>
      </c>
      <c r="DF363" s="407">
        <v>0</v>
      </c>
      <c r="DG363" s="407">
        <v>50.394493987476466</v>
      </c>
      <c r="DH363" s="407">
        <v>0</v>
      </c>
      <c r="DI363" s="407">
        <v>-97.856991966135411</v>
      </c>
      <c r="DJ363" s="407"/>
      <c r="DK363" s="407">
        <v>0</v>
      </c>
      <c r="DL363" s="407">
        <v>0</v>
      </c>
      <c r="DM363" s="407">
        <v>0</v>
      </c>
      <c r="DN363" s="407">
        <v>0</v>
      </c>
      <c r="DO363" s="407">
        <v>-13.171878427723442</v>
      </c>
      <c r="DP363" s="407">
        <v>-2.9809018052608138</v>
      </c>
      <c r="DQ363" s="407">
        <v>0</v>
      </c>
      <c r="DR363" s="407">
        <v>-355.60512238067957</v>
      </c>
      <c r="DS363" s="407"/>
      <c r="DT363" s="407"/>
      <c r="DU363" s="407"/>
      <c r="DV363" s="407">
        <v>9413.574362294652</v>
      </c>
      <c r="DW363" s="407">
        <v>0</v>
      </c>
      <c r="DX363" s="407">
        <v>0</v>
      </c>
      <c r="DY363" s="407">
        <v>-5038.8075000000026</v>
      </c>
      <c r="DZ363" s="407">
        <v>619.31115</v>
      </c>
      <c r="EA363" s="407">
        <v>0</v>
      </c>
      <c r="EB363" s="407">
        <v>0</v>
      </c>
      <c r="EC363" s="407">
        <v>-4808.4756484477775</v>
      </c>
      <c r="ED363" s="407">
        <v>0</v>
      </c>
      <c r="EE363" s="407">
        <v>0</v>
      </c>
      <c r="EF363" s="407">
        <v>0</v>
      </c>
      <c r="EG363" s="407">
        <v>0</v>
      </c>
      <c r="EH363" s="407">
        <v>0</v>
      </c>
      <c r="EI363" s="407">
        <v>0</v>
      </c>
      <c r="EJ363" s="407">
        <v>0</v>
      </c>
      <c r="EK363" s="407">
        <v>0</v>
      </c>
      <c r="EL363" s="407">
        <v>0</v>
      </c>
      <c r="EM363" s="407">
        <v>0</v>
      </c>
      <c r="EN363" s="407">
        <v>0</v>
      </c>
      <c r="EO363" s="407">
        <v>0</v>
      </c>
      <c r="EP363" s="407">
        <v>661.79043270167108</v>
      </c>
      <c r="EQ363" s="407">
        <v>0</v>
      </c>
      <c r="ER363" s="407">
        <v>0</v>
      </c>
      <c r="ES363" s="407">
        <v>0</v>
      </c>
      <c r="ET363" s="407">
        <v>0</v>
      </c>
      <c r="EU363" s="407">
        <v>0</v>
      </c>
      <c r="EV363" s="407">
        <v>246</v>
      </c>
      <c r="EW363" s="407">
        <v>0</v>
      </c>
      <c r="EX363" s="407">
        <v>0</v>
      </c>
      <c r="EY363" s="407">
        <v>0</v>
      </c>
      <c r="EZ363" s="407"/>
      <c r="FA363" s="407">
        <v>0</v>
      </c>
      <c r="FB363" s="407"/>
      <c r="FC363" s="407"/>
      <c r="FD363" s="407"/>
      <c r="FE363" s="407"/>
      <c r="FF363" s="407">
        <v>0</v>
      </c>
      <c r="FG363" s="407">
        <v>0</v>
      </c>
      <c r="FH363" s="407">
        <v>0</v>
      </c>
      <c r="FI363" s="407">
        <v>0</v>
      </c>
    </row>
    <row r="364" spans="1:165">
      <c r="A364" s="407">
        <v>380</v>
      </c>
      <c r="B364" s="407" t="s">
        <v>1090</v>
      </c>
      <c r="C364" s="407" t="s">
        <v>2306</v>
      </c>
      <c r="D364" s="407" t="s">
        <v>2315</v>
      </c>
      <c r="E364" s="407" t="s">
        <v>1026</v>
      </c>
      <c r="F364" s="407" t="s">
        <v>2323</v>
      </c>
      <c r="G364" s="407" t="s">
        <v>2325</v>
      </c>
      <c r="H364" s="407" t="s">
        <v>97</v>
      </c>
      <c r="I364" s="407" t="s">
        <v>97</v>
      </c>
      <c r="J364" s="407" t="s">
        <v>2307</v>
      </c>
      <c r="K364" s="818">
        <v>44531</v>
      </c>
      <c r="L364" s="407">
        <v>0</v>
      </c>
      <c r="M364" s="407">
        <v>0</v>
      </c>
      <c r="N364" s="407">
        <v>123.999</v>
      </c>
      <c r="O364" s="407">
        <v>49.599600000000002</v>
      </c>
      <c r="P364" s="407">
        <v>123.999</v>
      </c>
      <c r="Q364" s="407">
        <v>49.599600000000002</v>
      </c>
      <c r="R364" s="407"/>
      <c r="S364" s="407">
        <v>648.44000000000005</v>
      </c>
      <c r="T364" s="407">
        <v>159.41</v>
      </c>
      <c r="U364" s="407"/>
      <c r="V364" s="407">
        <v>100172.59215000001</v>
      </c>
      <c r="W364" s="407">
        <v>100172.59215000001</v>
      </c>
      <c r="X364" s="407">
        <v>75865.068180000002</v>
      </c>
      <c r="Y364" s="407">
        <v>0</v>
      </c>
      <c r="Z364" s="407">
        <v>7684.2491078702005</v>
      </c>
      <c r="AA364" s="407">
        <v>0</v>
      </c>
      <c r="AB364" s="407">
        <v>0</v>
      </c>
      <c r="AC364" s="407">
        <v>0</v>
      </c>
      <c r="AD364" s="407">
        <v>14463.792205851372</v>
      </c>
      <c r="AE364" s="407">
        <v>51775.285311606764</v>
      </c>
      <c r="AF364" s="407">
        <v>19124.454641708802</v>
      </c>
      <c r="AG364" s="407">
        <v>642.53147577848995</v>
      </c>
      <c r="AH364" s="407">
        <v>0</v>
      </c>
      <c r="AI364" s="407">
        <v>0</v>
      </c>
      <c r="AJ364" s="407">
        <v>0</v>
      </c>
      <c r="AK364" s="407">
        <v>0</v>
      </c>
      <c r="AL364" s="407">
        <v>1187.4212874366733</v>
      </c>
      <c r="AM364" s="407"/>
      <c r="AN364" s="407">
        <v>257.30978432367613</v>
      </c>
      <c r="AO364" s="407">
        <v>0</v>
      </c>
      <c r="AP364" s="407">
        <v>0</v>
      </c>
      <c r="AQ364" s="407">
        <v>0</v>
      </c>
      <c r="AR364" s="407">
        <v>0</v>
      </c>
      <c r="AS364" s="407">
        <v>0</v>
      </c>
      <c r="AT364" s="407">
        <v>0</v>
      </c>
      <c r="AU364" s="407">
        <v>0</v>
      </c>
      <c r="AV364" s="407">
        <v>0</v>
      </c>
      <c r="AW364" s="407">
        <v>0</v>
      </c>
      <c r="AX364" s="407">
        <v>0</v>
      </c>
      <c r="AY364" s="407">
        <v>0</v>
      </c>
      <c r="AZ364" s="407">
        <v>0</v>
      </c>
      <c r="BA364" s="407"/>
      <c r="BB364" s="407">
        <v>0</v>
      </c>
      <c r="BC364" s="407">
        <v>0</v>
      </c>
      <c r="BD364" s="407">
        <v>0</v>
      </c>
      <c r="BE364" s="407">
        <v>0</v>
      </c>
      <c r="BF364" s="407">
        <v>0</v>
      </c>
      <c r="BG364" s="407">
        <v>1397.9365653925206</v>
      </c>
      <c r="BH364" s="407">
        <v>0</v>
      </c>
      <c r="BI364" s="407">
        <v>0</v>
      </c>
      <c r="BJ364" s="407">
        <v>0</v>
      </c>
      <c r="BK364" s="407">
        <v>0</v>
      </c>
      <c r="BL364" s="407">
        <v>0</v>
      </c>
      <c r="BM364" s="407"/>
      <c r="BN364" s="407"/>
      <c r="BO364" s="407"/>
      <c r="BP364" s="407"/>
      <c r="BQ364" s="407"/>
      <c r="BR364" s="407"/>
      <c r="BS364" s="407">
        <v>49160.64353999999</v>
      </c>
      <c r="BT364" s="407"/>
      <c r="BU364" s="407"/>
      <c r="BV364" s="407">
        <v>20522.391207101322</v>
      </c>
      <c r="BW364" s="407"/>
      <c r="BX364" s="407"/>
      <c r="BY364" s="407"/>
      <c r="BZ364" s="407"/>
      <c r="CA364" s="407"/>
      <c r="CB364" s="407"/>
      <c r="CC364" s="407"/>
      <c r="CD364" s="407"/>
      <c r="CE364" s="407"/>
      <c r="CF364" s="407"/>
      <c r="CG364" s="407"/>
      <c r="CH364" s="407"/>
      <c r="CI364" s="407">
        <v>26704.639999999999</v>
      </c>
      <c r="CJ364" s="407">
        <v>-8556.2416359999988</v>
      </c>
      <c r="CK364" s="407"/>
      <c r="CL364" s="407"/>
      <c r="CM364" s="407"/>
      <c r="CN364" s="407"/>
      <c r="CO364" s="407">
        <v>-27713.776500000007</v>
      </c>
      <c r="CP364" s="407">
        <v>3406.2525299999998</v>
      </c>
      <c r="CQ364" s="407"/>
      <c r="CR364" s="407">
        <v>2139.4809799236173</v>
      </c>
      <c r="CS364" s="407">
        <v>0</v>
      </c>
      <c r="CT364" s="407">
        <v>0</v>
      </c>
      <c r="CU364" s="407">
        <v>0</v>
      </c>
      <c r="CV364" s="407">
        <v>0</v>
      </c>
      <c r="CW364" s="407">
        <v>0</v>
      </c>
      <c r="CX364" s="407">
        <v>0</v>
      </c>
      <c r="CY364" s="407">
        <v>0</v>
      </c>
      <c r="CZ364" s="407">
        <v>653.35817289062652</v>
      </c>
      <c r="DA364" s="407">
        <v>0</v>
      </c>
      <c r="DB364" s="407">
        <v>0</v>
      </c>
      <c r="DC364" s="407">
        <v>3791.8629025329901</v>
      </c>
      <c r="DD364" s="407">
        <v>0</v>
      </c>
      <c r="DE364" s="407">
        <v>0</v>
      </c>
      <c r="DF364" s="407">
        <v>0</v>
      </c>
      <c r="DG364" s="407">
        <v>277.17306985819914</v>
      </c>
      <c r="DH364" s="407">
        <v>0</v>
      </c>
      <c r="DI364" s="407">
        <v>-538.21996659165325</v>
      </c>
      <c r="DJ364" s="407"/>
      <c r="DK364" s="407">
        <v>0</v>
      </c>
      <c r="DL364" s="407">
        <v>0</v>
      </c>
      <c r="DM364" s="407">
        <v>0</v>
      </c>
      <c r="DN364" s="407">
        <v>0</v>
      </c>
      <c r="DO364" s="407">
        <v>-72.446207724962278</v>
      </c>
      <c r="DP364" s="407">
        <v>-16.395158259061219</v>
      </c>
      <c r="DQ364" s="407">
        <v>0</v>
      </c>
      <c r="DR364" s="407">
        <v>-1955.8518327825186</v>
      </c>
      <c r="DS364" s="407"/>
      <c r="DT364" s="407"/>
      <c r="DU364" s="407"/>
      <c r="DV364" s="407">
        <v>51775.285311606764</v>
      </c>
      <c r="DW364" s="407">
        <v>0</v>
      </c>
      <c r="DX364" s="407">
        <v>0</v>
      </c>
      <c r="DY364" s="407">
        <v>-27713.776500000007</v>
      </c>
      <c r="DZ364" s="407">
        <v>3406.2525299999979</v>
      </c>
      <c r="EA364" s="407">
        <v>0</v>
      </c>
      <c r="EB364" s="407">
        <v>0</v>
      </c>
      <c r="EC364" s="407">
        <v>-26446.93599165562</v>
      </c>
      <c r="ED364" s="407">
        <v>0</v>
      </c>
      <c r="EE364" s="407">
        <v>0</v>
      </c>
      <c r="EF364" s="407">
        <v>0</v>
      </c>
      <c r="EG364" s="407">
        <v>0</v>
      </c>
      <c r="EH364" s="407">
        <v>0</v>
      </c>
      <c r="EI364" s="407">
        <v>0</v>
      </c>
      <c r="EJ364" s="407">
        <v>0</v>
      </c>
      <c r="EK364" s="407">
        <v>0</v>
      </c>
      <c r="EL364" s="407">
        <v>0</v>
      </c>
      <c r="EM364" s="407">
        <v>0</v>
      </c>
      <c r="EN364" s="407">
        <v>0</v>
      </c>
      <c r="EO364" s="407">
        <v>0</v>
      </c>
      <c r="EP364" s="407">
        <v>3639.8914111587715</v>
      </c>
      <c r="EQ364" s="407">
        <v>0</v>
      </c>
      <c r="ER364" s="407">
        <v>0</v>
      </c>
      <c r="ES364" s="407">
        <v>0</v>
      </c>
      <c r="ET364" s="407">
        <v>0</v>
      </c>
      <c r="EU364" s="407">
        <v>0</v>
      </c>
      <c r="EV364" s="407">
        <v>246</v>
      </c>
      <c r="EW364" s="407">
        <v>0</v>
      </c>
      <c r="EX364" s="407">
        <v>0</v>
      </c>
      <c r="EY364" s="407">
        <v>0</v>
      </c>
      <c r="EZ364" s="407"/>
      <c r="FA364" s="407">
        <v>0</v>
      </c>
      <c r="FB364" s="407"/>
      <c r="FC364" s="407"/>
      <c r="FD364" s="407"/>
      <c r="FE364" s="407"/>
      <c r="FF364" s="407">
        <v>0</v>
      </c>
      <c r="FG364" s="407">
        <v>0</v>
      </c>
      <c r="FH364" s="407">
        <v>0</v>
      </c>
      <c r="FI364" s="407">
        <v>0</v>
      </c>
    </row>
    <row r="365" spans="1:165">
      <c r="A365" s="407">
        <v>381</v>
      </c>
      <c r="B365" s="407" t="s">
        <v>2309</v>
      </c>
      <c r="C365" s="407" t="s">
        <v>2306</v>
      </c>
      <c r="D365" s="407" t="s">
        <v>2315</v>
      </c>
      <c r="E365" s="407" t="s">
        <v>1026</v>
      </c>
      <c r="F365" s="407" t="s">
        <v>2323</v>
      </c>
      <c r="G365" s="407" t="s">
        <v>2325</v>
      </c>
      <c r="H365" s="407" t="s">
        <v>97</v>
      </c>
      <c r="I365" s="407" t="s">
        <v>97</v>
      </c>
      <c r="J365" s="407" t="s">
        <v>2307</v>
      </c>
      <c r="K365" s="818">
        <v>44531</v>
      </c>
      <c r="L365" s="407">
        <v>0</v>
      </c>
      <c r="M365" s="407">
        <v>0</v>
      </c>
      <c r="N365" s="407">
        <v>27.702999999999999</v>
      </c>
      <c r="O365" s="407">
        <v>11.081200000000001</v>
      </c>
      <c r="P365" s="407">
        <v>27.702999999999999</v>
      </c>
      <c r="Q365" s="407">
        <v>11.081200000000001</v>
      </c>
      <c r="R365" s="407"/>
      <c r="S365" s="407">
        <v>648.44000000000005</v>
      </c>
      <c r="T365" s="407">
        <v>159.41</v>
      </c>
      <c r="U365" s="407"/>
      <c r="V365" s="407">
        <v>22379.868549999999</v>
      </c>
      <c r="W365" s="407">
        <v>22379.868549999999</v>
      </c>
      <c r="X365" s="407">
        <v>16949.249459999999</v>
      </c>
      <c r="Y365" s="407">
        <v>0</v>
      </c>
      <c r="Z365" s="407">
        <v>1716.7618532030756</v>
      </c>
      <c r="AA365" s="407">
        <v>0</v>
      </c>
      <c r="AB365" s="407">
        <v>0</v>
      </c>
      <c r="AC365" s="407">
        <v>0</v>
      </c>
      <c r="AD365" s="407">
        <v>3231.4005393487087</v>
      </c>
      <c r="AE365" s="407">
        <v>11567.276582774395</v>
      </c>
      <c r="AF365" s="407">
        <v>4272.6535451032587</v>
      </c>
      <c r="AG365" s="407">
        <v>143.549943737381</v>
      </c>
      <c r="AH365" s="407">
        <v>0</v>
      </c>
      <c r="AI365" s="407">
        <v>0</v>
      </c>
      <c r="AJ365" s="407">
        <v>0</v>
      </c>
      <c r="AK365" s="407">
        <v>0</v>
      </c>
      <c r="AL365" s="407">
        <v>265.28546138160925</v>
      </c>
      <c r="AM365" s="407"/>
      <c r="AN365" s="407">
        <v>57.486374528172</v>
      </c>
      <c r="AO365" s="407">
        <v>0</v>
      </c>
      <c r="AP365" s="407">
        <v>0</v>
      </c>
      <c r="AQ365" s="407">
        <v>0</v>
      </c>
      <c r="AR365" s="407">
        <v>0</v>
      </c>
      <c r="AS365" s="407">
        <v>0</v>
      </c>
      <c r="AT365" s="407">
        <v>0</v>
      </c>
      <c r="AU365" s="407">
        <v>0</v>
      </c>
      <c r="AV365" s="407">
        <v>0</v>
      </c>
      <c r="AW365" s="407">
        <v>0</v>
      </c>
      <c r="AX365" s="407">
        <v>0</v>
      </c>
      <c r="AY365" s="407">
        <v>0</v>
      </c>
      <c r="AZ365" s="407">
        <v>0</v>
      </c>
      <c r="BA365" s="407"/>
      <c r="BB365" s="407">
        <v>0</v>
      </c>
      <c r="BC365" s="407">
        <v>0</v>
      </c>
      <c r="BD365" s="407">
        <v>0</v>
      </c>
      <c r="BE365" s="407">
        <v>0</v>
      </c>
      <c r="BF365" s="407">
        <v>0</v>
      </c>
      <c r="BG365" s="407">
        <v>312.3173305516093</v>
      </c>
      <c r="BH365" s="407">
        <v>0</v>
      </c>
      <c r="BI365" s="407">
        <v>0</v>
      </c>
      <c r="BJ365" s="407">
        <v>0</v>
      </c>
      <c r="BK365" s="407">
        <v>0</v>
      </c>
      <c r="BL365" s="407">
        <v>0</v>
      </c>
      <c r="BM365" s="407"/>
      <c r="BN365" s="407"/>
      <c r="BO365" s="407"/>
      <c r="BP365" s="407"/>
      <c r="BQ365" s="407"/>
      <c r="BR365" s="407"/>
      <c r="BS365" s="407">
        <v>10983.131380000001</v>
      </c>
      <c r="BT365" s="407"/>
      <c r="BU365" s="407"/>
      <c r="BV365" s="407">
        <v>4584.970875654868</v>
      </c>
      <c r="BW365" s="407"/>
      <c r="BX365" s="407"/>
      <c r="BY365" s="407"/>
      <c r="BZ365" s="407"/>
      <c r="CA365" s="407"/>
      <c r="CB365" s="407"/>
      <c r="CC365" s="407"/>
      <c r="CD365" s="407"/>
      <c r="CE365" s="407"/>
      <c r="CF365" s="407"/>
      <c r="CG365" s="407"/>
      <c r="CH365" s="407"/>
      <c r="CI365" s="407">
        <v>5965.4719999999998</v>
      </c>
      <c r="CJ365" s="407">
        <v>-1912.2938920000015</v>
      </c>
      <c r="CK365" s="407"/>
      <c r="CL365" s="407"/>
      <c r="CM365" s="407"/>
      <c r="CN365" s="407"/>
      <c r="CO365" s="407">
        <v>-6191.6205000000018</v>
      </c>
      <c r="CP365" s="407">
        <v>761.00140999999996</v>
      </c>
      <c r="CQ365" s="407"/>
      <c r="CR365" s="407">
        <v>477.98806108778263</v>
      </c>
      <c r="CS365" s="407">
        <v>0</v>
      </c>
      <c r="CT365" s="407">
        <v>0</v>
      </c>
      <c r="CU365" s="407">
        <v>0</v>
      </c>
      <c r="CV365" s="407">
        <v>0</v>
      </c>
      <c r="CW365" s="407">
        <v>0</v>
      </c>
      <c r="CX365" s="407">
        <v>0</v>
      </c>
      <c r="CY365" s="407">
        <v>0</v>
      </c>
      <c r="CZ365" s="407">
        <v>145.96876961579619</v>
      </c>
      <c r="DA365" s="407">
        <v>0</v>
      </c>
      <c r="DB365" s="407">
        <v>0</v>
      </c>
      <c r="DC365" s="407">
        <v>847.1518156507027</v>
      </c>
      <c r="DD365" s="407">
        <v>0</v>
      </c>
      <c r="DE365" s="407">
        <v>0</v>
      </c>
      <c r="DF365" s="407">
        <v>0</v>
      </c>
      <c r="DG365" s="407">
        <v>61.924092567534331</v>
      </c>
      <c r="DH365" s="407">
        <v>0</v>
      </c>
      <c r="DI365" s="407">
        <v>-120.24538693447994</v>
      </c>
      <c r="DJ365" s="407"/>
      <c r="DK365" s="407">
        <v>0</v>
      </c>
      <c r="DL365" s="407">
        <v>0</v>
      </c>
      <c r="DM365" s="407">
        <v>0</v>
      </c>
      <c r="DN365" s="407">
        <v>0</v>
      </c>
      <c r="DO365" s="407">
        <v>-16.185431274483136</v>
      </c>
      <c r="DP365" s="407">
        <v>-3.6628930011594676</v>
      </c>
      <c r="DQ365" s="407">
        <v>0</v>
      </c>
      <c r="DR365" s="407">
        <v>-436.96290553612619</v>
      </c>
      <c r="DS365" s="407"/>
      <c r="DT365" s="407"/>
      <c r="DU365" s="407"/>
      <c r="DV365" s="407">
        <v>11567.276582774395</v>
      </c>
      <c r="DW365" s="407">
        <v>0</v>
      </c>
      <c r="DX365" s="407">
        <v>0</v>
      </c>
      <c r="DY365" s="407">
        <v>-6191.6204999999991</v>
      </c>
      <c r="DZ365" s="407">
        <v>761.00140999999985</v>
      </c>
      <c r="EA365" s="407">
        <v>0</v>
      </c>
      <c r="EB365" s="407">
        <v>0</v>
      </c>
      <c r="EC365" s="407">
        <v>-5908.5917449079079</v>
      </c>
      <c r="ED365" s="407">
        <v>0</v>
      </c>
      <c r="EE365" s="407">
        <v>0</v>
      </c>
      <c r="EF365" s="407">
        <v>0</v>
      </c>
      <c r="EG365" s="407">
        <v>0</v>
      </c>
      <c r="EH365" s="407">
        <v>0</v>
      </c>
      <c r="EI365" s="407">
        <v>0</v>
      </c>
      <c r="EJ365" s="407">
        <v>0</v>
      </c>
      <c r="EK365" s="407">
        <v>0</v>
      </c>
      <c r="EL365" s="407">
        <v>0</v>
      </c>
      <c r="EM365" s="407">
        <v>0</v>
      </c>
      <c r="EN365" s="407">
        <v>0</v>
      </c>
      <c r="EO365" s="407">
        <v>0</v>
      </c>
      <c r="EP365" s="407">
        <v>813.19939486069597</v>
      </c>
      <c r="EQ365" s="407">
        <v>0</v>
      </c>
      <c r="ER365" s="407">
        <v>0</v>
      </c>
      <c r="ES365" s="407">
        <v>0</v>
      </c>
      <c r="ET365" s="407">
        <v>0</v>
      </c>
      <c r="EU365" s="407">
        <v>0</v>
      </c>
      <c r="EV365" s="407">
        <v>246</v>
      </c>
      <c r="EW365" s="407">
        <v>0</v>
      </c>
      <c r="EX365" s="407">
        <v>0</v>
      </c>
      <c r="EY365" s="407">
        <v>0</v>
      </c>
      <c r="EZ365" s="407"/>
      <c r="FA365" s="407">
        <v>0</v>
      </c>
      <c r="FB365" s="407"/>
      <c r="FC365" s="407"/>
      <c r="FD365" s="407"/>
      <c r="FE365" s="407"/>
      <c r="FF365" s="407">
        <v>0</v>
      </c>
      <c r="FG365" s="407">
        <v>0</v>
      </c>
      <c r="FH365" s="407">
        <v>0</v>
      </c>
      <c r="FI365" s="407">
        <v>0</v>
      </c>
    </row>
    <row r="366" spans="1:165">
      <c r="A366" s="407">
        <v>382</v>
      </c>
      <c r="B366" s="407" t="s">
        <v>1090</v>
      </c>
      <c r="C366" s="407" t="s">
        <v>2314</v>
      </c>
      <c r="D366" s="407" t="s">
        <v>650</v>
      </c>
      <c r="E366" s="407" t="s">
        <v>1026</v>
      </c>
      <c r="F366" s="407" t="s">
        <v>2323</v>
      </c>
      <c r="G366" s="407" t="s">
        <v>97</v>
      </c>
      <c r="H366" s="407" t="s">
        <v>97</v>
      </c>
      <c r="I366" s="407" t="s">
        <v>1025</v>
      </c>
      <c r="J366" s="407" t="s">
        <v>2307</v>
      </c>
      <c r="K366" s="818">
        <v>44531</v>
      </c>
      <c r="L366" s="407">
        <v>0</v>
      </c>
      <c r="M366" s="407">
        <v>0</v>
      </c>
      <c r="N366" s="407">
        <v>41.021999999999998</v>
      </c>
      <c r="O366" s="407">
        <v>39.381120000000003</v>
      </c>
      <c r="P366" s="407">
        <v>41.021999999999998</v>
      </c>
      <c r="Q366" s="407">
        <v>39.381120000000003</v>
      </c>
      <c r="R366" s="407"/>
      <c r="S366" s="407">
        <v>2810.7</v>
      </c>
      <c r="T366" s="407">
        <v>159.41</v>
      </c>
      <c r="U366" s="407"/>
      <c r="V366" s="407">
        <v>121839.85242</v>
      </c>
      <c r="W366" s="407">
        <v>121839.85242</v>
      </c>
      <c r="X366" s="407">
        <v>77600.907179999995</v>
      </c>
      <c r="Y366" s="407">
        <v>0</v>
      </c>
      <c r="Z366" s="407">
        <v>2211.6649505693958</v>
      </c>
      <c r="AA366" s="407">
        <v>0</v>
      </c>
      <c r="AB366" s="407">
        <v>0</v>
      </c>
      <c r="AC366" s="407">
        <v>0</v>
      </c>
      <c r="AD366" s="407">
        <v>25044.57067190851</v>
      </c>
      <c r="AE366" s="407">
        <v>86346.752623618115</v>
      </c>
      <c r="AF366" s="407">
        <v>6326.8524610051563</v>
      </c>
      <c r="AG366" s="407">
        <v>212.56563520177755</v>
      </c>
      <c r="AH366" s="407">
        <v>0</v>
      </c>
      <c r="AI366" s="407">
        <v>0</v>
      </c>
      <c r="AJ366" s="407">
        <v>0</v>
      </c>
      <c r="AK366" s="407">
        <v>0</v>
      </c>
      <c r="AL366" s="407">
        <v>392.82894259814367</v>
      </c>
      <c r="AM366" s="407"/>
      <c r="AN366" s="407">
        <v>44.046690870690327</v>
      </c>
      <c r="AO366" s="407">
        <v>0</v>
      </c>
      <c r="AP366" s="407">
        <v>0</v>
      </c>
      <c r="AQ366" s="407">
        <v>0</v>
      </c>
      <c r="AR366" s="407">
        <v>0</v>
      </c>
      <c r="AS366" s="407">
        <v>0</v>
      </c>
      <c r="AT366" s="407">
        <v>0</v>
      </c>
      <c r="AU366" s="407">
        <v>0</v>
      </c>
      <c r="AV366" s="407">
        <v>0</v>
      </c>
      <c r="AW366" s="407">
        <v>0</v>
      </c>
      <c r="AX366" s="407">
        <v>0</v>
      </c>
      <c r="AY366" s="407">
        <v>0</v>
      </c>
      <c r="AZ366" s="407">
        <v>0</v>
      </c>
      <c r="BA366" s="407"/>
      <c r="BB366" s="407">
        <v>0</v>
      </c>
      <c r="BC366" s="407">
        <v>0</v>
      </c>
      <c r="BD366" s="407">
        <v>0</v>
      </c>
      <c r="BE366" s="407">
        <v>0</v>
      </c>
      <c r="BF366" s="407">
        <v>0</v>
      </c>
      <c r="BG366" s="407">
        <v>212.89902595242972</v>
      </c>
      <c r="BH366" s="407">
        <v>0</v>
      </c>
      <c r="BI366" s="407">
        <v>0</v>
      </c>
      <c r="BJ366" s="407">
        <v>0</v>
      </c>
      <c r="BK366" s="407">
        <v>0</v>
      </c>
      <c r="BL366" s="407">
        <v>0</v>
      </c>
      <c r="BM366" s="407"/>
      <c r="BN366" s="407"/>
      <c r="BO366" s="407"/>
      <c r="BP366" s="407"/>
      <c r="BQ366" s="407"/>
      <c r="BR366" s="407">
        <v>3104.0362871999919</v>
      </c>
      <c r="BS366" s="407"/>
      <c r="BT366" s="407"/>
      <c r="BU366" s="407"/>
      <c r="BV366" s="407">
        <v>6539.7514869575862</v>
      </c>
      <c r="BW366" s="407"/>
      <c r="BX366" s="407"/>
      <c r="BY366" s="407"/>
      <c r="BZ366" s="407"/>
      <c r="CA366" s="407"/>
      <c r="CB366" s="407"/>
      <c r="CC366" s="407"/>
      <c r="CD366" s="407"/>
      <c r="CE366" s="407"/>
      <c r="CF366" s="407"/>
      <c r="CG366" s="407"/>
      <c r="CH366" s="407"/>
      <c r="CI366" s="407">
        <v>74494.752200000003</v>
      </c>
      <c r="CJ366" s="407">
        <v>-42471.536123199985</v>
      </c>
      <c r="CK366" s="407"/>
      <c r="CL366" s="407"/>
      <c r="CM366" s="407"/>
      <c r="CN366" s="407"/>
      <c r="CO366" s="407">
        <v>-45365.819579999996</v>
      </c>
      <c r="CP366" s="407">
        <v>1126.8743399999998</v>
      </c>
      <c r="CQ366" s="407"/>
      <c r="CR366" s="407">
        <v>-132.60759392647014</v>
      </c>
      <c r="CS366" s="407">
        <v>0</v>
      </c>
      <c r="CT366" s="407">
        <v>0</v>
      </c>
      <c r="CU366" s="407">
        <v>0</v>
      </c>
      <c r="CV366" s="407">
        <v>0</v>
      </c>
      <c r="CW366" s="407">
        <v>0</v>
      </c>
      <c r="CX366" s="407">
        <v>0</v>
      </c>
      <c r="CY366" s="407">
        <v>0</v>
      </c>
      <c r="CZ366" s="407">
        <v>1131.312915876133</v>
      </c>
      <c r="DA366" s="407">
        <v>0</v>
      </c>
      <c r="DB366" s="407">
        <v>0</v>
      </c>
      <c r="DC366" s="407">
        <v>1254.4439873523861</v>
      </c>
      <c r="DD366" s="407">
        <v>0</v>
      </c>
      <c r="DE366" s="407">
        <v>0</v>
      </c>
      <c r="DF366" s="407">
        <v>0</v>
      </c>
      <c r="DG366" s="407">
        <v>42.212127541342369</v>
      </c>
      <c r="DH366" s="407">
        <v>0</v>
      </c>
      <c r="DI366" s="407">
        <v>-154.90937619242868</v>
      </c>
      <c r="DJ366" s="407"/>
      <c r="DK366" s="407">
        <v>0</v>
      </c>
      <c r="DL366" s="407">
        <v>0</v>
      </c>
      <c r="DM366" s="407">
        <v>0</v>
      </c>
      <c r="DN366" s="407">
        <v>0</v>
      </c>
      <c r="DO366" s="407">
        <v>-23.96703468006524</v>
      </c>
      <c r="DP366" s="407">
        <v>-2.8065488046286404</v>
      </c>
      <c r="DQ366" s="407">
        <v>0</v>
      </c>
      <c r="DR366" s="407">
        <v>-2378.8936650192122</v>
      </c>
      <c r="DS366" s="407"/>
      <c r="DT366" s="407"/>
      <c r="DU366" s="407"/>
      <c r="DV366" s="407">
        <v>86346.752623618115</v>
      </c>
      <c r="DW366" s="407">
        <v>0</v>
      </c>
      <c r="DX366" s="407">
        <v>0</v>
      </c>
      <c r="DY366" s="407">
        <v>-45365.819579999996</v>
      </c>
      <c r="DZ366" s="407">
        <v>1126.8743400000003</v>
      </c>
      <c r="EA366" s="407">
        <v>0</v>
      </c>
      <c r="EB366" s="407">
        <v>0</v>
      </c>
      <c r="EC366" s="407">
        <v>-44106.121791128178</v>
      </c>
      <c r="ED366" s="407">
        <v>0</v>
      </c>
      <c r="EE366" s="407">
        <v>0</v>
      </c>
      <c r="EF366" s="407">
        <v>0</v>
      </c>
      <c r="EG366" s="407">
        <v>0</v>
      </c>
      <c r="EH366" s="407">
        <v>0</v>
      </c>
      <c r="EI366" s="407">
        <v>0</v>
      </c>
      <c r="EJ366" s="407">
        <v>0</v>
      </c>
      <c r="EK366" s="407">
        <v>0</v>
      </c>
      <c r="EL366" s="407">
        <v>0</v>
      </c>
      <c r="EM366" s="407">
        <v>0</v>
      </c>
      <c r="EN366" s="407">
        <v>0</v>
      </c>
      <c r="EO366" s="407">
        <v>0</v>
      </c>
      <c r="EP366" s="407">
        <v>1047.6261434176315</v>
      </c>
      <c r="EQ366" s="407">
        <v>0</v>
      </c>
      <c r="ER366" s="407">
        <v>0</v>
      </c>
      <c r="ES366" s="407">
        <v>0</v>
      </c>
      <c r="ET366" s="407">
        <v>0</v>
      </c>
      <c r="EU366" s="407">
        <v>0</v>
      </c>
      <c r="EV366" s="407">
        <v>246</v>
      </c>
      <c r="EW366" s="407">
        <v>0</v>
      </c>
      <c r="EX366" s="407">
        <v>0</v>
      </c>
      <c r="EY366" s="407">
        <v>0</v>
      </c>
      <c r="EZ366" s="407"/>
      <c r="FA366" s="407">
        <v>0</v>
      </c>
      <c r="FB366" s="407"/>
      <c r="FC366" s="407"/>
      <c r="FD366" s="407"/>
      <c r="FE366" s="407"/>
      <c r="FF366" s="407">
        <v>0</v>
      </c>
      <c r="FG366" s="407">
        <v>0</v>
      </c>
      <c r="FH366" s="407">
        <v>0</v>
      </c>
      <c r="FI366" s="407">
        <v>0</v>
      </c>
    </row>
    <row r="367" spans="1:165">
      <c r="A367" s="407">
        <v>383</v>
      </c>
      <c r="B367" s="407" t="s">
        <v>2309</v>
      </c>
      <c r="C367" s="407" t="s">
        <v>2314</v>
      </c>
      <c r="D367" s="407" t="s">
        <v>650</v>
      </c>
      <c r="E367" s="407" t="s">
        <v>1026</v>
      </c>
      <c r="F367" s="407" t="s">
        <v>2323</v>
      </c>
      <c r="G367" s="407" t="s">
        <v>97</v>
      </c>
      <c r="H367" s="407" t="s">
        <v>97</v>
      </c>
      <c r="I367" s="407" t="s">
        <v>1025</v>
      </c>
      <c r="J367" s="407" t="s">
        <v>2307</v>
      </c>
      <c r="K367" s="818">
        <v>44531</v>
      </c>
      <c r="L367" s="407">
        <v>0</v>
      </c>
      <c r="M367" s="407">
        <v>0</v>
      </c>
      <c r="N367" s="407">
        <v>6.7619999999999996</v>
      </c>
      <c r="O367" s="407">
        <v>6.4915200000000004</v>
      </c>
      <c r="P367" s="407">
        <v>6.7619999999999996</v>
      </c>
      <c r="Q367" s="407">
        <v>6.4915200000000004</v>
      </c>
      <c r="R367" s="407"/>
      <c r="S367" s="407">
        <v>2810.7</v>
      </c>
      <c r="T367" s="407">
        <v>159.41</v>
      </c>
      <c r="U367" s="407"/>
      <c r="V367" s="407">
        <v>20083.883819999999</v>
      </c>
      <c r="W367" s="407">
        <v>20083.883819999999</v>
      </c>
      <c r="X367" s="407">
        <v>12791.607779999998</v>
      </c>
      <c r="Y367" s="407">
        <v>0</v>
      </c>
      <c r="Z367" s="407">
        <v>364.56726624129141</v>
      </c>
      <c r="AA367" s="407">
        <v>0</v>
      </c>
      <c r="AB367" s="407">
        <v>0</v>
      </c>
      <c r="AC367" s="407">
        <v>0</v>
      </c>
      <c r="AD367" s="407">
        <v>4128.3064424807499</v>
      </c>
      <c r="AE367" s="407">
        <v>14233.258769462867</v>
      </c>
      <c r="AF367" s="407">
        <v>1042.908106414043</v>
      </c>
      <c r="AG367" s="407">
        <v>35.038974824104621</v>
      </c>
      <c r="AH367" s="407">
        <v>0</v>
      </c>
      <c r="AI367" s="407">
        <v>0</v>
      </c>
      <c r="AJ367" s="407">
        <v>0</v>
      </c>
      <c r="AK367" s="407">
        <v>0</v>
      </c>
      <c r="AL367" s="407">
        <v>64.753286281718289</v>
      </c>
      <c r="AM367" s="407"/>
      <c r="AN367" s="407">
        <v>7.2605851413292379</v>
      </c>
      <c r="AO367" s="407">
        <v>0</v>
      </c>
      <c r="AP367" s="407">
        <v>0</v>
      </c>
      <c r="AQ367" s="407">
        <v>0</v>
      </c>
      <c r="AR367" s="407">
        <v>0</v>
      </c>
      <c r="AS367" s="407">
        <v>0</v>
      </c>
      <c r="AT367" s="407">
        <v>0</v>
      </c>
      <c r="AU367" s="407">
        <v>0</v>
      </c>
      <c r="AV367" s="407">
        <v>0</v>
      </c>
      <c r="AW367" s="407">
        <v>0</v>
      </c>
      <c r="AX367" s="407">
        <v>0</v>
      </c>
      <c r="AY367" s="407">
        <v>0</v>
      </c>
      <c r="AZ367" s="407">
        <v>0</v>
      </c>
      <c r="BA367" s="407"/>
      <c r="BB367" s="407">
        <v>0</v>
      </c>
      <c r="BC367" s="407">
        <v>0</v>
      </c>
      <c r="BD367" s="407">
        <v>0</v>
      </c>
      <c r="BE367" s="407">
        <v>0</v>
      </c>
      <c r="BF367" s="407">
        <v>0</v>
      </c>
      <c r="BG367" s="407">
        <v>35.093930415151128</v>
      </c>
      <c r="BH367" s="407">
        <v>0</v>
      </c>
      <c r="BI367" s="407">
        <v>0</v>
      </c>
      <c r="BJ367" s="407">
        <v>0</v>
      </c>
      <c r="BK367" s="407">
        <v>0</v>
      </c>
      <c r="BL367" s="407">
        <v>0</v>
      </c>
      <c r="BM367" s="407"/>
      <c r="BN367" s="407"/>
      <c r="BO367" s="407"/>
      <c r="BP367" s="407"/>
      <c r="BQ367" s="407"/>
      <c r="BR367" s="407">
        <v>511.66431119999845</v>
      </c>
      <c r="BS367" s="407"/>
      <c r="BT367" s="407"/>
      <c r="BU367" s="407"/>
      <c r="BV367" s="407">
        <v>1078.0020368291941</v>
      </c>
      <c r="BW367" s="407"/>
      <c r="BX367" s="407"/>
      <c r="BY367" s="407"/>
      <c r="BZ367" s="407"/>
      <c r="CA367" s="407"/>
      <c r="CB367" s="407"/>
      <c r="CC367" s="407"/>
      <c r="CD367" s="407"/>
      <c r="CE367" s="407"/>
      <c r="CF367" s="407"/>
      <c r="CG367" s="407"/>
      <c r="CH367" s="407"/>
      <c r="CI367" s="407">
        <v>12277.0681</v>
      </c>
      <c r="CJ367" s="407">
        <v>-7003.4903671999928</v>
      </c>
      <c r="CK367" s="407"/>
      <c r="CL367" s="407"/>
      <c r="CM367" s="407"/>
      <c r="CN367" s="407"/>
      <c r="CO367" s="407">
        <v>-7478.0281799999984</v>
      </c>
      <c r="CP367" s="407">
        <v>185.75213999999997</v>
      </c>
      <c r="CQ367" s="407"/>
      <c r="CR367" s="407">
        <v>-21.858820879790983</v>
      </c>
      <c r="CS367" s="407">
        <v>0</v>
      </c>
      <c r="CT367" s="407">
        <v>0</v>
      </c>
      <c r="CU367" s="407">
        <v>0</v>
      </c>
      <c r="CV367" s="407">
        <v>0</v>
      </c>
      <c r="CW367" s="407">
        <v>0</v>
      </c>
      <c r="CX367" s="407">
        <v>0</v>
      </c>
      <c r="CY367" s="407">
        <v>0</v>
      </c>
      <c r="CZ367" s="407">
        <v>186.48378765429334</v>
      </c>
      <c r="DA367" s="407">
        <v>0</v>
      </c>
      <c r="DB367" s="407">
        <v>0</v>
      </c>
      <c r="DC367" s="407">
        <v>206.78051393098394</v>
      </c>
      <c r="DD367" s="407">
        <v>0</v>
      </c>
      <c r="DE367" s="407">
        <v>0</v>
      </c>
      <c r="DF367" s="407">
        <v>0</v>
      </c>
      <c r="DG367" s="407">
        <v>6.9581786952015321</v>
      </c>
      <c r="DH367" s="407">
        <v>0</v>
      </c>
      <c r="DI367" s="407">
        <v>-25.535010526381086</v>
      </c>
      <c r="DJ367" s="407"/>
      <c r="DK367" s="407">
        <v>0</v>
      </c>
      <c r="DL367" s="407">
        <v>0</v>
      </c>
      <c r="DM367" s="407">
        <v>0</v>
      </c>
      <c r="DN367" s="407">
        <v>0</v>
      </c>
      <c r="DO367" s="407">
        <v>-3.9506871558334851</v>
      </c>
      <c r="DP367" s="407">
        <v>-0.46262695667931553</v>
      </c>
      <c r="DQ367" s="407">
        <v>0</v>
      </c>
      <c r="DR367" s="407">
        <v>-392.13297652137658</v>
      </c>
      <c r="DS367" s="407"/>
      <c r="DT367" s="407"/>
      <c r="DU367" s="407"/>
      <c r="DV367" s="407">
        <v>14233.258769462867</v>
      </c>
      <c r="DW367" s="407">
        <v>0</v>
      </c>
      <c r="DX367" s="407">
        <v>0</v>
      </c>
      <c r="DY367" s="407">
        <v>-7478.0281799999993</v>
      </c>
      <c r="DZ367" s="407">
        <v>185.75214000000005</v>
      </c>
      <c r="EA367" s="407">
        <v>0</v>
      </c>
      <c r="EB367" s="407">
        <v>0</v>
      </c>
      <c r="EC367" s="407">
        <v>-7270.3816379408318</v>
      </c>
      <c r="ED367" s="407">
        <v>0</v>
      </c>
      <c r="EE367" s="407">
        <v>0</v>
      </c>
      <c r="EF367" s="407">
        <v>0</v>
      </c>
      <c r="EG367" s="407">
        <v>0</v>
      </c>
      <c r="EH367" s="407">
        <v>0</v>
      </c>
      <c r="EI367" s="407">
        <v>0</v>
      </c>
      <c r="EJ367" s="407">
        <v>0</v>
      </c>
      <c r="EK367" s="407">
        <v>0</v>
      </c>
      <c r="EL367" s="407">
        <v>0</v>
      </c>
      <c r="EM367" s="407">
        <v>0</v>
      </c>
      <c r="EN367" s="407">
        <v>0</v>
      </c>
      <c r="EO367" s="407">
        <v>0</v>
      </c>
      <c r="EP367" s="407">
        <v>172.68899570450063</v>
      </c>
      <c r="EQ367" s="407">
        <v>0</v>
      </c>
      <c r="ER367" s="407">
        <v>0</v>
      </c>
      <c r="ES367" s="407">
        <v>0</v>
      </c>
      <c r="ET367" s="407">
        <v>0</v>
      </c>
      <c r="EU367" s="407">
        <v>0</v>
      </c>
      <c r="EV367" s="407">
        <v>246</v>
      </c>
      <c r="EW367" s="407">
        <v>0</v>
      </c>
      <c r="EX367" s="407">
        <v>0</v>
      </c>
      <c r="EY367" s="407">
        <v>0</v>
      </c>
      <c r="EZ367" s="407"/>
      <c r="FA367" s="407">
        <v>0</v>
      </c>
      <c r="FB367" s="407"/>
      <c r="FC367" s="407"/>
      <c r="FD367" s="407"/>
      <c r="FE367" s="407"/>
      <c r="FF367" s="407">
        <v>0</v>
      </c>
      <c r="FG367" s="407">
        <v>0</v>
      </c>
      <c r="FH367" s="407">
        <v>0</v>
      </c>
      <c r="FI367" s="407">
        <v>0</v>
      </c>
    </row>
    <row r="368" spans="1:165">
      <c r="A368" s="407">
        <v>384</v>
      </c>
      <c r="B368" s="407" t="s">
        <v>1090</v>
      </c>
      <c r="C368" s="407" t="s">
        <v>2314</v>
      </c>
      <c r="D368" s="407" t="s">
        <v>650</v>
      </c>
      <c r="E368" s="407" t="s">
        <v>1026</v>
      </c>
      <c r="F368" s="407" t="s">
        <v>2323</v>
      </c>
      <c r="G368" s="407" t="s">
        <v>97</v>
      </c>
      <c r="H368" s="407" t="s">
        <v>97</v>
      </c>
      <c r="I368" s="407" t="s">
        <v>2290</v>
      </c>
      <c r="J368" s="407" t="s">
        <v>2307</v>
      </c>
      <c r="K368" s="818">
        <v>44531</v>
      </c>
      <c r="L368" s="407">
        <v>0</v>
      </c>
      <c r="M368" s="407">
        <v>0</v>
      </c>
      <c r="N368" s="407">
        <v>980.20399999999995</v>
      </c>
      <c r="O368" s="407">
        <v>940.99584000000004</v>
      </c>
      <c r="P368" s="407">
        <v>980.20399999999995</v>
      </c>
      <c r="Q368" s="407">
        <v>940.99584000000004</v>
      </c>
      <c r="R368" s="407"/>
      <c r="S368" s="407">
        <v>95.29</v>
      </c>
      <c r="T368" s="407">
        <v>159.41</v>
      </c>
      <c r="U368" s="407"/>
      <c r="V368" s="407">
        <v>249657.95880000002</v>
      </c>
      <c r="W368" s="407">
        <v>249657.95880000002</v>
      </c>
      <c r="X368" s="407">
        <v>271428.28963999997</v>
      </c>
      <c r="Y368" s="407">
        <v>0</v>
      </c>
      <c r="Z368" s="407">
        <v>52846.83416722549</v>
      </c>
      <c r="AA368" s="407">
        <v>0</v>
      </c>
      <c r="AB368" s="407">
        <v>0</v>
      </c>
      <c r="AC368" s="407">
        <v>0</v>
      </c>
      <c r="AD368" s="407">
        <v>0</v>
      </c>
      <c r="AE368" s="407">
        <v>0</v>
      </c>
      <c r="AF368" s="407">
        <v>151177.56544505627</v>
      </c>
      <c r="AG368" s="407">
        <v>5079.1693697850706</v>
      </c>
      <c r="AH368" s="407">
        <v>0</v>
      </c>
      <c r="AI368" s="407">
        <v>0</v>
      </c>
      <c r="AJ368" s="407">
        <v>0</v>
      </c>
      <c r="AK368" s="407">
        <v>0</v>
      </c>
      <c r="AL368" s="407">
        <v>9386.4877590188389</v>
      </c>
      <c r="AM368" s="407"/>
      <c r="AN368" s="407">
        <v>1052.4777577449695</v>
      </c>
      <c r="AO368" s="407">
        <v>0</v>
      </c>
      <c r="AP368" s="407">
        <v>0</v>
      </c>
      <c r="AQ368" s="407">
        <v>0</v>
      </c>
      <c r="AR368" s="407">
        <v>0</v>
      </c>
      <c r="AS368" s="407">
        <v>0</v>
      </c>
      <c r="AT368" s="407">
        <v>0</v>
      </c>
      <c r="AU368" s="407">
        <v>0</v>
      </c>
      <c r="AV368" s="407">
        <v>0</v>
      </c>
      <c r="AW368" s="407">
        <v>0</v>
      </c>
      <c r="AX368" s="407">
        <v>0</v>
      </c>
      <c r="AY368" s="407">
        <v>0</v>
      </c>
      <c r="AZ368" s="407">
        <v>0</v>
      </c>
      <c r="BA368" s="407"/>
      <c r="BB368" s="407">
        <v>0</v>
      </c>
      <c r="BC368" s="407">
        <v>0</v>
      </c>
      <c r="BD368" s="407">
        <v>0</v>
      </c>
      <c r="BE368" s="407">
        <v>0</v>
      </c>
      <c r="BF368" s="407">
        <v>0</v>
      </c>
      <c r="BG368" s="407">
        <v>5087.1356061302577</v>
      </c>
      <c r="BH368" s="407">
        <v>0</v>
      </c>
      <c r="BI368" s="407">
        <v>0</v>
      </c>
      <c r="BJ368" s="407">
        <v>0</v>
      </c>
      <c r="BK368" s="407">
        <v>0</v>
      </c>
      <c r="BL368" s="407">
        <v>0</v>
      </c>
      <c r="BM368" s="407"/>
      <c r="BN368" s="407"/>
      <c r="BO368" s="407"/>
      <c r="BP368" s="407"/>
      <c r="BQ368" s="407"/>
      <c r="BR368" s="407">
        <v>10857.131585599975</v>
      </c>
      <c r="BS368" s="407"/>
      <c r="BT368" s="407"/>
      <c r="BU368" s="407"/>
      <c r="BV368" s="407">
        <v>156264.70105118654</v>
      </c>
      <c r="BW368" s="407"/>
      <c r="BX368" s="407"/>
      <c r="BY368" s="407"/>
      <c r="BZ368" s="407"/>
      <c r="CA368" s="407"/>
      <c r="CB368" s="407"/>
      <c r="CC368" s="407"/>
      <c r="CD368" s="407"/>
      <c r="CE368" s="407"/>
      <c r="CF368" s="407"/>
      <c r="CG368" s="407"/>
      <c r="CH368" s="407"/>
      <c r="CI368" s="407">
        <v>260572.31</v>
      </c>
      <c r="CJ368" s="407">
        <v>20900.639551999979</v>
      </c>
      <c r="CK368" s="407"/>
      <c r="CL368" s="407"/>
      <c r="CM368" s="407"/>
      <c r="CN368" s="407"/>
      <c r="CO368" s="407">
        <v>-5155.8730400000049</v>
      </c>
      <c r="CP368" s="407">
        <v>26926.203879999997</v>
      </c>
      <c r="CQ368" s="407"/>
      <c r="CR368" s="407">
        <v>21767.232620590425</v>
      </c>
      <c r="CS368" s="407">
        <v>0</v>
      </c>
      <c r="CT368" s="407">
        <v>0</v>
      </c>
      <c r="CU368" s="407">
        <v>0</v>
      </c>
      <c r="CV368" s="407">
        <v>0</v>
      </c>
      <c r="CW368" s="407">
        <v>0</v>
      </c>
      <c r="CX368" s="407">
        <v>0</v>
      </c>
      <c r="CY368" s="407">
        <v>0</v>
      </c>
      <c r="CZ368" s="407">
        <v>0</v>
      </c>
      <c r="DA368" s="407">
        <v>0</v>
      </c>
      <c r="DB368" s="407">
        <v>0</v>
      </c>
      <c r="DC368" s="407">
        <v>29974.428701154451</v>
      </c>
      <c r="DD368" s="407">
        <v>0</v>
      </c>
      <c r="DE368" s="407">
        <v>0</v>
      </c>
      <c r="DF368" s="407">
        <v>0</v>
      </c>
      <c r="DG368" s="407">
        <v>1008.6416133912035</v>
      </c>
      <c r="DH368" s="407">
        <v>0</v>
      </c>
      <c r="DI368" s="407">
        <v>-3701.4965184857792</v>
      </c>
      <c r="DJ368" s="407"/>
      <c r="DK368" s="407">
        <v>0</v>
      </c>
      <c r="DL368" s="407">
        <v>0</v>
      </c>
      <c r="DM368" s="407">
        <v>0</v>
      </c>
      <c r="DN368" s="407">
        <v>0</v>
      </c>
      <c r="DO368" s="407">
        <v>-572.68254257565786</v>
      </c>
      <c r="DP368" s="407">
        <v>-67.061341828585</v>
      </c>
      <c r="DQ368" s="407">
        <v>0</v>
      </c>
      <c r="DR368" s="407">
        <v>-4874.5972910652108</v>
      </c>
      <c r="DS368" s="407"/>
      <c r="DT368" s="407"/>
      <c r="DU368" s="407"/>
      <c r="DV368" s="407">
        <v>0</v>
      </c>
      <c r="DW368" s="407">
        <v>0</v>
      </c>
      <c r="DX368" s="407">
        <v>0</v>
      </c>
      <c r="DY368" s="407">
        <v>-5155.8730400000059</v>
      </c>
      <c r="DZ368" s="407">
        <v>26926.203879999986</v>
      </c>
      <c r="EA368" s="407">
        <v>0</v>
      </c>
      <c r="EB368" s="407">
        <v>0</v>
      </c>
      <c r="EC368" s="407">
        <v>0</v>
      </c>
      <c r="ED368" s="407">
        <v>0</v>
      </c>
      <c r="EE368" s="407">
        <v>0</v>
      </c>
      <c r="EF368" s="407">
        <v>0</v>
      </c>
      <c r="EG368" s="407">
        <v>0</v>
      </c>
      <c r="EH368" s="407">
        <v>0</v>
      </c>
      <c r="EI368" s="407">
        <v>0</v>
      </c>
      <c r="EJ368" s="407">
        <v>0</v>
      </c>
      <c r="EK368" s="407">
        <v>0</v>
      </c>
      <c r="EL368" s="407">
        <v>0</v>
      </c>
      <c r="EM368" s="407">
        <v>0</v>
      </c>
      <c r="EN368" s="407">
        <v>0</v>
      </c>
      <c r="EO368" s="407">
        <v>0</v>
      </c>
      <c r="EP368" s="407">
        <v>25032.6004651781</v>
      </c>
      <c r="EQ368" s="407">
        <v>0</v>
      </c>
      <c r="ER368" s="407">
        <v>0</v>
      </c>
      <c r="ES368" s="407">
        <v>0</v>
      </c>
      <c r="ET368" s="407">
        <v>0</v>
      </c>
      <c r="EU368" s="407">
        <v>0</v>
      </c>
      <c r="EV368" s="407">
        <v>246</v>
      </c>
      <c r="EW368" s="407">
        <v>0</v>
      </c>
      <c r="EX368" s="407">
        <v>0</v>
      </c>
      <c r="EY368" s="407">
        <v>0</v>
      </c>
      <c r="EZ368" s="407"/>
      <c r="FA368" s="407">
        <v>0</v>
      </c>
      <c r="FB368" s="407"/>
      <c r="FC368" s="407"/>
      <c r="FD368" s="407"/>
      <c r="FE368" s="407"/>
      <c r="FF368" s="407">
        <v>0</v>
      </c>
      <c r="FG368" s="407">
        <v>0</v>
      </c>
      <c r="FH368" s="407">
        <v>0</v>
      </c>
      <c r="FI368" s="407">
        <v>0</v>
      </c>
    </row>
    <row r="369" spans="1:165">
      <c r="A369" s="407">
        <v>385</v>
      </c>
      <c r="B369" s="407" t="s">
        <v>2309</v>
      </c>
      <c r="C369" s="407" t="s">
        <v>2314</v>
      </c>
      <c r="D369" s="407" t="s">
        <v>650</v>
      </c>
      <c r="E369" s="407" t="s">
        <v>1026</v>
      </c>
      <c r="F369" s="407" t="s">
        <v>2323</v>
      </c>
      <c r="G369" s="407" t="s">
        <v>97</v>
      </c>
      <c r="H369" s="407" t="s">
        <v>97</v>
      </c>
      <c r="I369" s="407" t="s">
        <v>2290</v>
      </c>
      <c r="J369" s="407" t="s">
        <v>2307</v>
      </c>
      <c r="K369" s="818">
        <v>44531</v>
      </c>
      <c r="L369" s="407">
        <v>0</v>
      </c>
      <c r="M369" s="407">
        <v>0</v>
      </c>
      <c r="N369" s="407">
        <v>176.624</v>
      </c>
      <c r="O369" s="407">
        <v>169.55904000000001</v>
      </c>
      <c r="P369" s="407">
        <v>176.624</v>
      </c>
      <c r="Q369" s="407">
        <v>169.55904000000001</v>
      </c>
      <c r="R369" s="407"/>
      <c r="S369" s="407">
        <v>95.29</v>
      </c>
      <c r="T369" s="407">
        <v>159.41</v>
      </c>
      <c r="U369" s="407"/>
      <c r="V369" s="407">
        <v>44986.132799999999</v>
      </c>
      <c r="W369" s="407">
        <v>44986.132799999999</v>
      </c>
      <c r="X369" s="407">
        <v>48908.951840000002</v>
      </c>
      <c r="Y369" s="407">
        <v>0</v>
      </c>
      <c r="Z369" s="407">
        <v>9522.5271861286383</v>
      </c>
      <c r="AA369" s="407">
        <v>0</v>
      </c>
      <c r="AB369" s="407">
        <v>0</v>
      </c>
      <c r="AC369" s="407">
        <v>0</v>
      </c>
      <c r="AD369" s="407">
        <v>0</v>
      </c>
      <c r="AE369" s="407">
        <v>0</v>
      </c>
      <c r="AF369" s="407">
        <v>27240.846108736161</v>
      </c>
      <c r="AG369" s="407">
        <v>915.22092418406612</v>
      </c>
      <c r="AH369" s="407">
        <v>0</v>
      </c>
      <c r="AI369" s="407">
        <v>0</v>
      </c>
      <c r="AJ369" s="407">
        <v>0</v>
      </c>
      <c r="AK369" s="407">
        <v>0</v>
      </c>
      <c r="AL369" s="407">
        <v>1691.3612002694781</v>
      </c>
      <c r="AM369" s="407"/>
      <c r="AN369" s="407">
        <v>189.64708518221462</v>
      </c>
      <c r="AO369" s="407">
        <v>0</v>
      </c>
      <c r="AP369" s="407">
        <v>0</v>
      </c>
      <c r="AQ369" s="407">
        <v>0</v>
      </c>
      <c r="AR369" s="407">
        <v>0</v>
      </c>
      <c r="AS369" s="407">
        <v>0</v>
      </c>
      <c r="AT369" s="407">
        <v>0</v>
      </c>
      <c r="AU369" s="407">
        <v>0</v>
      </c>
      <c r="AV369" s="407">
        <v>0</v>
      </c>
      <c r="AW369" s="407">
        <v>0</v>
      </c>
      <c r="AX369" s="407">
        <v>0</v>
      </c>
      <c r="AY369" s="407">
        <v>0</v>
      </c>
      <c r="AZ369" s="407">
        <v>0</v>
      </c>
      <c r="BA369" s="407"/>
      <c r="BB369" s="407">
        <v>0</v>
      </c>
      <c r="BC369" s="407">
        <v>0</v>
      </c>
      <c r="BD369" s="407">
        <v>0</v>
      </c>
      <c r="BE369" s="407">
        <v>0</v>
      </c>
      <c r="BF369" s="407">
        <v>0</v>
      </c>
      <c r="BG369" s="407">
        <v>916.65636877338864</v>
      </c>
      <c r="BH369" s="407">
        <v>0</v>
      </c>
      <c r="BI369" s="407">
        <v>0</v>
      </c>
      <c r="BJ369" s="407">
        <v>0</v>
      </c>
      <c r="BK369" s="407">
        <v>0</v>
      </c>
      <c r="BL369" s="407">
        <v>0</v>
      </c>
      <c r="BM369" s="407"/>
      <c r="BN369" s="407"/>
      <c r="BO369" s="407"/>
      <c r="BP369" s="407"/>
      <c r="BQ369" s="407"/>
      <c r="BR369" s="407">
        <v>1956.3580735999958</v>
      </c>
      <c r="BS369" s="407"/>
      <c r="BT369" s="407"/>
      <c r="BU369" s="407"/>
      <c r="BV369" s="407">
        <v>28157.502477509548</v>
      </c>
      <c r="BW369" s="407"/>
      <c r="BX369" s="407"/>
      <c r="BY369" s="407"/>
      <c r="BZ369" s="407"/>
      <c r="CA369" s="407"/>
      <c r="CB369" s="407"/>
      <c r="CC369" s="407"/>
      <c r="CD369" s="407"/>
      <c r="CE369" s="407"/>
      <c r="CF369" s="407"/>
      <c r="CG369" s="407"/>
      <c r="CH369" s="407"/>
      <c r="CI369" s="407">
        <v>46952.859600000003</v>
      </c>
      <c r="CJ369" s="407">
        <v>3766.1421120000014</v>
      </c>
      <c r="CK369" s="407"/>
      <c r="CL369" s="407"/>
      <c r="CM369" s="407"/>
      <c r="CN369" s="407"/>
      <c r="CO369" s="407">
        <v>-929.0422400000009</v>
      </c>
      <c r="CP369" s="407">
        <v>4851.8612800000001</v>
      </c>
      <c r="CQ369" s="407"/>
      <c r="CR369" s="407">
        <v>3922.2607685534458</v>
      </c>
      <c r="CS369" s="407">
        <v>0</v>
      </c>
      <c r="CT369" s="407">
        <v>0</v>
      </c>
      <c r="CU369" s="407">
        <v>0</v>
      </c>
      <c r="CV369" s="407">
        <v>0</v>
      </c>
      <c r="CW369" s="407">
        <v>0</v>
      </c>
      <c r="CX369" s="407">
        <v>0</v>
      </c>
      <c r="CY369" s="407">
        <v>0</v>
      </c>
      <c r="CZ369" s="407">
        <v>0</v>
      </c>
      <c r="DA369" s="407">
        <v>0</v>
      </c>
      <c r="DB369" s="407">
        <v>0</v>
      </c>
      <c r="DC369" s="407">
        <v>5401.1241485575483</v>
      </c>
      <c r="DD369" s="407">
        <v>0</v>
      </c>
      <c r="DE369" s="407">
        <v>0</v>
      </c>
      <c r="DF369" s="407">
        <v>0</v>
      </c>
      <c r="DG369" s="407">
        <v>181.7482037653466</v>
      </c>
      <c r="DH369" s="407">
        <v>0</v>
      </c>
      <c r="DI369" s="407">
        <v>-666.97658964973925</v>
      </c>
      <c r="DJ369" s="407"/>
      <c r="DK369" s="407">
        <v>0</v>
      </c>
      <c r="DL369" s="407">
        <v>0</v>
      </c>
      <c r="DM369" s="407">
        <v>0</v>
      </c>
      <c r="DN369" s="407">
        <v>0</v>
      </c>
      <c r="DO369" s="407">
        <v>-103.1922756894312</v>
      </c>
      <c r="DP369" s="407">
        <v>-12.083854421255154</v>
      </c>
      <c r="DQ369" s="407">
        <v>0</v>
      </c>
      <c r="DR369" s="407">
        <v>-878.3588640090245</v>
      </c>
      <c r="DS369" s="407"/>
      <c r="DT369" s="407"/>
      <c r="DU369" s="407"/>
      <c r="DV369" s="407">
        <v>0</v>
      </c>
      <c r="DW369" s="407">
        <v>0</v>
      </c>
      <c r="DX369" s="407">
        <v>0</v>
      </c>
      <c r="DY369" s="407">
        <v>-929.04224000000067</v>
      </c>
      <c r="DZ369" s="407">
        <v>4851.861280000001</v>
      </c>
      <c r="EA369" s="407">
        <v>0</v>
      </c>
      <c r="EB369" s="407">
        <v>0</v>
      </c>
      <c r="EC369" s="407">
        <v>0</v>
      </c>
      <c r="ED369" s="407">
        <v>0</v>
      </c>
      <c r="EE369" s="407">
        <v>0</v>
      </c>
      <c r="EF369" s="407">
        <v>0</v>
      </c>
      <c r="EG369" s="407">
        <v>0</v>
      </c>
      <c r="EH369" s="407">
        <v>0</v>
      </c>
      <c r="EI369" s="407">
        <v>0</v>
      </c>
      <c r="EJ369" s="407">
        <v>0</v>
      </c>
      <c r="EK369" s="407">
        <v>0</v>
      </c>
      <c r="EL369" s="407">
        <v>0</v>
      </c>
      <c r="EM369" s="407">
        <v>0</v>
      </c>
      <c r="EN369" s="407">
        <v>0</v>
      </c>
      <c r="EO369" s="407">
        <v>0</v>
      </c>
      <c r="EP369" s="407">
        <v>4510.6508691676599</v>
      </c>
      <c r="EQ369" s="407">
        <v>0</v>
      </c>
      <c r="ER369" s="407">
        <v>0</v>
      </c>
      <c r="ES369" s="407">
        <v>0</v>
      </c>
      <c r="ET369" s="407">
        <v>0</v>
      </c>
      <c r="EU369" s="407">
        <v>0</v>
      </c>
      <c r="EV369" s="407">
        <v>246</v>
      </c>
      <c r="EW369" s="407">
        <v>0</v>
      </c>
      <c r="EX369" s="407">
        <v>0</v>
      </c>
      <c r="EY369" s="407">
        <v>0</v>
      </c>
      <c r="EZ369" s="407"/>
      <c r="FA369" s="407">
        <v>0</v>
      </c>
      <c r="FB369" s="407"/>
      <c r="FC369" s="407"/>
      <c r="FD369" s="407"/>
      <c r="FE369" s="407"/>
      <c r="FF369" s="407">
        <v>0</v>
      </c>
      <c r="FG369" s="407">
        <v>0</v>
      </c>
      <c r="FH369" s="407">
        <v>0</v>
      </c>
      <c r="FI369" s="407">
        <v>0</v>
      </c>
    </row>
    <row r="370" spans="1:165">
      <c r="A370" s="407">
        <v>386</v>
      </c>
      <c r="B370" s="407" t="s">
        <v>1090</v>
      </c>
      <c r="C370" s="407" t="s">
        <v>2314</v>
      </c>
      <c r="D370" s="407" t="s">
        <v>650</v>
      </c>
      <c r="E370" s="407" t="s">
        <v>1026</v>
      </c>
      <c r="F370" s="407" t="s">
        <v>2323</v>
      </c>
      <c r="G370" s="407" t="s">
        <v>97</v>
      </c>
      <c r="H370" s="407" t="s">
        <v>97</v>
      </c>
      <c r="I370" s="407" t="s">
        <v>97</v>
      </c>
      <c r="J370" s="407" t="s">
        <v>2307</v>
      </c>
      <c r="K370" s="818">
        <v>44531</v>
      </c>
      <c r="L370" s="407">
        <v>8088</v>
      </c>
      <c r="M370" s="407">
        <v>7764.48</v>
      </c>
      <c r="N370" s="407">
        <v>0</v>
      </c>
      <c r="O370" s="407">
        <v>0</v>
      </c>
      <c r="P370" s="407">
        <v>0</v>
      </c>
      <c r="Q370" s="407">
        <v>0</v>
      </c>
      <c r="R370" s="407">
        <v>43.29</v>
      </c>
      <c r="S370" s="407"/>
      <c r="T370" s="407"/>
      <c r="U370" s="407">
        <v>350129.52</v>
      </c>
      <c r="V370" s="407"/>
      <c r="W370" s="407">
        <v>350129.52</v>
      </c>
      <c r="X370" s="407">
        <v>270867.12</v>
      </c>
      <c r="Y370" s="407">
        <v>0</v>
      </c>
      <c r="Z370" s="407">
        <v>0</v>
      </c>
      <c r="AA370" s="407">
        <v>0</v>
      </c>
      <c r="AB370" s="407">
        <v>0</v>
      </c>
      <c r="AC370" s="407">
        <v>0</v>
      </c>
      <c r="AD370" s="407">
        <v>191394.32813744654</v>
      </c>
      <c r="AE370" s="407">
        <v>158760.86530015749</v>
      </c>
      <c r="AF370" s="407"/>
      <c r="AG370" s="407"/>
      <c r="AH370" s="407"/>
      <c r="AI370" s="407">
        <v>0</v>
      </c>
      <c r="AJ370" s="407">
        <v>0</v>
      </c>
      <c r="AK370" s="407">
        <v>0</v>
      </c>
      <c r="AL370" s="407">
        <v>0</v>
      </c>
      <c r="AM370" s="407"/>
      <c r="AN370" s="407">
        <v>0</v>
      </c>
      <c r="AO370" s="407">
        <v>0</v>
      </c>
      <c r="AP370" s="407">
        <v>0</v>
      </c>
      <c r="AQ370" s="407">
        <v>0</v>
      </c>
      <c r="AR370" s="407">
        <v>0</v>
      </c>
      <c r="AS370" s="407"/>
      <c r="AT370" s="407"/>
      <c r="AU370" s="407">
        <v>0</v>
      </c>
      <c r="AV370" s="407">
        <v>0</v>
      </c>
      <c r="AW370" s="407">
        <v>0</v>
      </c>
      <c r="AX370" s="407"/>
      <c r="AY370" s="407"/>
      <c r="AZ370" s="407">
        <v>0</v>
      </c>
      <c r="BA370" s="407"/>
      <c r="BB370" s="407">
        <v>0</v>
      </c>
      <c r="BC370" s="407">
        <v>0</v>
      </c>
      <c r="BD370" s="407">
        <v>0</v>
      </c>
      <c r="BE370" s="407">
        <v>0</v>
      </c>
      <c r="BF370" s="407"/>
      <c r="BG370" s="407">
        <v>0</v>
      </c>
      <c r="BH370" s="407">
        <v>0</v>
      </c>
      <c r="BI370" s="407">
        <v>1947.34</v>
      </c>
      <c r="BJ370" s="407">
        <v>9206.68</v>
      </c>
      <c r="BK370" s="407">
        <v>225.57</v>
      </c>
      <c r="BL370" s="407">
        <v>41</v>
      </c>
      <c r="BM370" s="407"/>
      <c r="BN370" s="407"/>
      <c r="BO370" s="407"/>
      <c r="BP370" s="407"/>
      <c r="BQ370" s="407"/>
      <c r="BR370" s="407">
        <v>10834.684800000015</v>
      </c>
      <c r="BS370" s="407"/>
      <c r="BT370" s="407"/>
      <c r="BU370" s="407"/>
      <c r="BV370" s="407">
        <v>0</v>
      </c>
      <c r="BW370" s="407"/>
      <c r="BX370" s="407"/>
      <c r="BY370" s="407"/>
      <c r="BZ370" s="407"/>
      <c r="CA370" s="407"/>
      <c r="CB370" s="407"/>
      <c r="CC370" s="407"/>
      <c r="CD370" s="407"/>
      <c r="CE370" s="407"/>
      <c r="CF370" s="407"/>
      <c r="CG370" s="407"/>
      <c r="CH370" s="407"/>
      <c r="CI370" s="407">
        <v>260032.43520000001</v>
      </c>
      <c r="CJ370" s="407">
        <v>-76091.934000000008</v>
      </c>
      <c r="CK370" s="407"/>
      <c r="CL370" s="407"/>
      <c r="CM370" s="407"/>
      <c r="CN370" s="407"/>
      <c r="CO370" s="407">
        <v>-79262.39999999998</v>
      </c>
      <c r="CP370" s="407">
        <v>0</v>
      </c>
      <c r="CQ370" s="407"/>
      <c r="CR370" s="407">
        <v>1808.9632544961933</v>
      </c>
      <c r="CS370" s="407">
        <v>0</v>
      </c>
      <c r="CT370" s="407">
        <v>0</v>
      </c>
      <c r="CU370" s="407">
        <v>0</v>
      </c>
      <c r="CV370" s="407">
        <v>0</v>
      </c>
      <c r="CW370" s="407"/>
      <c r="CX370" s="407"/>
      <c r="CY370" s="407"/>
      <c r="CZ370" s="407">
        <v>8645.6613005625259</v>
      </c>
      <c r="DA370" s="407">
        <v>0</v>
      </c>
      <c r="DB370" s="407">
        <v>0</v>
      </c>
      <c r="DC370" s="407"/>
      <c r="DD370" s="407"/>
      <c r="DE370" s="407">
        <v>0</v>
      </c>
      <c r="DF370" s="407">
        <v>0</v>
      </c>
      <c r="DG370" s="407">
        <v>0</v>
      </c>
      <c r="DH370" s="407">
        <v>0</v>
      </c>
      <c r="DI370" s="407">
        <v>0</v>
      </c>
      <c r="DJ370" s="407"/>
      <c r="DK370" s="407">
        <v>0</v>
      </c>
      <c r="DL370" s="407">
        <v>0</v>
      </c>
      <c r="DM370" s="407"/>
      <c r="DN370" s="407">
        <v>0</v>
      </c>
      <c r="DO370" s="407">
        <v>0</v>
      </c>
      <c r="DP370" s="407">
        <v>0</v>
      </c>
      <c r="DQ370" s="407">
        <v>0</v>
      </c>
      <c r="DR370" s="407">
        <v>-6836.6980460663399</v>
      </c>
      <c r="DS370" s="407"/>
      <c r="DT370" s="407"/>
      <c r="DU370" s="407">
        <v>158760.86530015749</v>
      </c>
      <c r="DV370" s="407"/>
      <c r="DW370" s="407">
        <v>0</v>
      </c>
      <c r="DX370" s="407">
        <v>0</v>
      </c>
      <c r="DY370" s="407">
        <v>-79262.400000000023</v>
      </c>
      <c r="DZ370" s="407"/>
      <c r="EA370" s="407">
        <v>0</v>
      </c>
      <c r="EB370" s="407"/>
      <c r="EC370" s="407">
        <v>-81095.418737014203</v>
      </c>
      <c r="ED370" s="407"/>
      <c r="EE370" s="407">
        <v>0</v>
      </c>
      <c r="EF370" s="407">
        <v>0</v>
      </c>
      <c r="EG370" s="407"/>
      <c r="EH370" s="407">
        <v>0</v>
      </c>
      <c r="EI370" s="407">
        <v>0</v>
      </c>
      <c r="EJ370" s="407">
        <v>0</v>
      </c>
      <c r="EK370" s="407">
        <v>0</v>
      </c>
      <c r="EL370" s="407">
        <v>0</v>
      </c>
      <c r="EM370" s="407"/>
      <c r="EN370" s="407"/>
      <c r="EO370" s="407">
        <v>0</v>
      </c>
      <c r="EP370" s="407">
        <v>0</v>
      </c>
      <c r="EQ370" s="407"/>
      <c r="ER370" s="407">
        <v>0</v>
      </c>
      <c r="ES370" s="407"/>
      <c r="ET370" s="407">
        <v>0</v>
      </c>
      <c r="EU370" s="407"/>
      <c r="EV370" s="407">
        <v>246</v>
      </c>
      <c r="EW370" s="407"/>
      <c r="EX370" s="407"/>
      <c r="EY370" s="407"/>
      <c r="EZ370" s="407"/>
      <c r="FA370" s="407">
        <v>0</v>
      </c>
      <c r="FB370" s="407"/>
      <c r="FC370" s="407"/>
      <c r="FD370" s="407"/>
      <c r="FE370" s="407"/>
      <c r="FF370" s="407">
        <v>0</v>
      </c>
      <c r="FG370" s="407">
        <v>0</v>
      </c>
      <c r="FH370" s="407">
        <v>0</v>
      </c>
      <c r="FI370" s="407">
        <v>0</v>
      </c>
    </row>
    <row r="371" spans="1:165">
      <c r="A371" s="407">
        <v>387</v>
      </c>
      <c r="B371" s="407" t="s">
        <v>2309</v>
      </c>
      <c r="C371" s="407" t="s">
        <v>2314</v>
      </c>
      <c r="D371" s="407" t="s">
        <v>650</v>
      </c>
      <c r="E371" s="407" t="s">
        <v>1026</v>
      </c>
      <c r="F371" s="407" t="s">
        <v>2323</v>
      </c>
      <c r="G371" s="407" t="s">
        <v>97</v>
      </c>
      <c r="H371" s="407" t="s">
        <v>97</v>
      </c>
      <c r="I371" s="407" t="s">
        <v>97</v>
      </c>
      <c r="J371" s="407" t="s">
        <v>2307</v>
      </c>
      <c r="K371" s="818">
        <v>44531</v>
      </c>
      <c r="L371" s="407">
        <v>765</v>
      </c>
      <c r="M371" s="407">
        <v>734.4</v>
      </c>
      <c r="N371" s="407">
        <v>0</v>
      </c>
      <c r="O371" s="407">
        <v>0</v>
      </c>
      <c r="P371" s="407">
        <v>0</v>
      </c>
      <c r="Q371" s="407">
        <v>0</v>
      </c>
      <c r="R371" s="407">
        <v>43.29</v>
      </c>
      <c r="S371" s="407"/>
      <c r="T371" s="407"/>
      <c r="U371" s="407">
        <v>33116.85</v>
      </c>
      <c r="V371" s="407"/>
      <c r="W371" s="407">
        <v>33116.85</v>
      </c>
      <c r="X371" s="407">
        <v>25619.850000000002</v>
      </c>
      <c r="Y371" s="407">
        <v>0</v>
      </c>
      <c r="Z371" s="407">
        <v>0</v>
      </c>
      <c r="AA371" s="407">
        <v>0</v>
      </c>
      <c r="AB371" s="407">
        <v>0</v>
      </c>
      <c r="AC371" s="407">
        <v>0</v>
      </c>
      <c r="AD371" s="407">
        <v>18102.950176205071</v>
      </c>
      <c r="AE371" s="407">
        <v>15016.328134844274</v>
      </c>
      <c r="AF371" s="407"/>
      <c r="AG371" s="407"/>
      <c r="AH371" s="407"/>
      <c r="AI371" s="407">
        <v>0</v>
      </c>
      <c r="AJ371" s="407">
        <v>0</v>
      </c>
      <c r="AK371" s="407">
        <v>0</v>
      </c>
      <c r="AL371" s="407">
        <v>0</v>
      </c>
      <c r="AM371" s="407"/>
      <c r="AN371" s="407">
        <v>0</v>
      </c>
      <c r="AO371" s="407">
        <v>0</v>
      </c>
      <c r="AP371" s="407">
        <v>0</v>
      </c>
      <c r="AQ371" s="407">
        <v>0</v>
      </c>
      <c r="AR371" s="407">
        <v>0</v>
      </c>
      <c r="AS371" s="407"/>
      <c r="AT371" s="407"/>
      <c r="AU371" s="407">
        <v>0</v>
      </c>
      <c r="AV371" s="407">
        <v>0</v>
      </c>
      <c r="AW371" s="407">
        <v>0</v>
      </c>
      <c r="AX371" s="407"/>
      <c r="AY371" s="407"/>
      <c r="AZ371" s="407">
        <v>0</v>
      </c>
      <c r="BA371" s="407"/>
      <c r="BB371" s="407">
        <v>0</v>
      </c>
      <c r="BC371" s="407">
        <v>0</v>
      </c>
      <c r="BD371" s="407">
        <v>0</v>
      </c>
      <c r="BE371" s="407">
        <v>0</v>
      </c>
      <c r="BF371" s="407"/>
      <c r="BG371" s="407">
        <v>0</v>
      </c>
      <c r="BH371" s="407">
        <v>0</v>
      </c>
      <c r="BI371" s="407">
        <v>218.54</v>
      </c>
      <c r="BJ371" s="407">
        <v>1033.1500000000001</v>
      </c>
      <c r="BK371" s="407">
        <v>943.34</v>
      </c>
      <c r="BL371" s="407">
        <v>4</v>
      </c>
      <c r="BM371" s="407"/>
      <c r="BN371" s="407"/>
      <c r="BO371" s="407"/>
      <c r="BP371" s="407"/>
      <c r="BQ371" s="407"/>
      <c r="BR371" s="407">
        <v>1024.7940000000008</v>
      </c>
      <c r="BS371" s="407"/>
      <c r="BT371" s="407"/>
      <c r="BU371" s="407"/>
      <c r="BV371" s="407">
        <v>0</v>
      </c>
      <c r="BW371" s="407"/>
      <c r="BX371" s="407"/>
      <c r="BY371" s="407"/>
      <c r="BZ371" s="407"/>
      <c r="CA371" s="407"/>
      <c r="CB371" s="407"/>
      <c r="CC371" s="407"/>
      <c r="CD371" s="407"/>
      <c r="CE371" s="407"/>
      <c r="CF371" s="407"/>
      <c r="CG371" s="407"/>
      <c r="CH371" s="407"/>
      <c r="CI371" s="407">
        <v>24595.056</v>
      </c>
      <c r="CJ371" s="407">
        <v>-7197.1499999999942</v>
      </c>
      <c r="CK371" s="407"/>
      <c r="CL371" s="407"/>
      <c r="CM371" s="407"/>
      <c r="CN371" s="407"/>
      <c r="CO371" s="407">
        <v>-7496.9999999999982</v>
      </c>
      <c r="CP371" s="407">
        <v>0</v>
      </c>
      <c r="CQ371" s="407"/>
      <c r="CR371" s="407">
        <v>171.10001108921642</v>
      </c>
      <c r="CS371" s="407">
        <v>0</v>
      </c>
      <c r="CT371" s="407">
        <v>0</v>
      </c>
      <c r="CU371" s="407">
        <v>0</v>
      </c>
      <c r="CV371" s="407">
        <v>0</v>
      </c>
      <c r="CW371" s="407"/>
      <c r="CX371" s="407"/>
      <c r="CY371" s="407"/>
      <c r="CZ371" s="407">
        <v>817.74615417041787</v>
      </c>
      <c r="DA371" s="407">
        <v>0</v>
      </c>
      <c r="DB371" s="407">
        <v>0</v>
      </c>
      <c r="DC371" s="407"/>
      <c r="DD371" s="407"/>
      <c r="DE371" s="407">
        <v>0</v>
      </c>
      <c r="DF371" s="407">
        <v>0</v>
      </c>
      <c r="DG371" s="407">
        <v>0</v>
      </c>
      <c r="DH371" s="407">
        <v>0</v>
      </c>
      <c r="DI371" s="407">
        <v>0</v>
      </c>
      <c r="DJ371" s="407"/>
      <c r="DK371" s="407">
        <v>0</v>
      </c>
      <c r="DL371" s="407">
        <v>0</v>
      </c>
      <c r="DM371" s="407"/>
      <c r="DN371" s="407">
        <v>0</v>
      </c>
      <c r="DO371" s="407">
        <v>0</v>
      </c>
      <c r="DP371" s="407">
        <v>0</v>
      </c>
      <c r="DQ371" s="407">
        <v>0</v>
      </c>
      <c r="DR371" s="407">
        <v>-646.64614308120053</v>
      </c>
      <c r="DS371" s="407"/>
      <c r="DT371" s="407"/>
      <c r="DU371" s="407">
        <v>15016.328134844274</v>
      </c>
      <c r="DV371" s="407"/>
      <c r="DW371" s="407">
        <v>0</v>
      </c>
      <c r="DX371" s="407">
        <v>0</v>
      </c>
      <c r="DY371" s="407">
        <v>-7496.9999999999964</v>
      </c>
      <c r="DZ371" s="407"/>
      <c r="EA371" s="407">
        <v>0</v>
      </c>
      <c r="EB371" s="407"/>
      <c r="EC371" s="407">
        <v>-7670.3752885529029</v>
      </c>
      <c r="ED371" s="407"/>
      <c r="EE371" s="407">
        <v>0</v>
      </c>
      <c r="EF371" s="407">
        <v>0</v>
      </c>
      <c r="EG371" s="407"/>
      <c r="EH371" s="407">
        <v>0</v>
      </c>
      <c r="EI371" s="407">
        <v>0</v>
      </c>
      <c r="EJ371" s="407">
        <v>0</v>
      </c>
      <c r="EK371" s="407">
        <v>0</v>
      </c>
      <c r="EL371" s="407">
        <v>0</v>
      </c>
      <c r="EM371" s="407"/>
      <c r="EN371" s="407"/>
      <c r="EO371" s="407">
        <v>0</v>
      </c>
      <c r="EP371" s="407">
        <v>0</v>
      </c>
      <c r="EQ371" s="407"/>
      <c r="ER371" s="407">
        <v>0</v>
      </c>
      <c r="ES371" s="407"/>
      <c r="ET371" s="407">
        <v>0</v>
      </c>
      <c r="EU371" s="407"/>
      <c r="EV371" s="407">
        <v>246</v>
      </c>
      <c r="EW371" s="407"/>
      <c r="EX371" s="407"/>
      <c r="EY371" s="407"/>
      <c r="EZ371" s="407"/>
      <c r="FA371" s="407">
        <v>0</v>
      </c>
      <c r="FB371" s="407"/>
      <c r="FC371" s="407"/>
      <c r="FD371" s="407"/>
      <c r="FE371" s="407"/>
      <c r="FF371" s="407">
        <v>0</v>
      </c>
      <c r="FG371" s="407">
        <v>0</v>
      </c>
      <c r="FH371" s="407">
        <v>0</v>
      </c>
      <c r="FI371" s="407">
        <v>0</v>
      </c>
    </row>
    <row r="372" spans="1:165">
      <c r="A372" s="407">
        <v>388</v>
      </c>
      <c r="B372" s="407" t="s">
        <v>1090</v>
      </c>
      <c r="C372" s="407" t="s">
        <v>2314</v>
      </c>
      <c r="D372" s="407" t="s">
        <v>650</v>
      </c>
      <c r="E372" s="407" t="s">
        <v>1026</v>
      </c>
      <c r="F372" s="407" t="s">
        <v>2323</v>
      </c>
      <c r="G372" s="407" t="s">
        <v>2325</v>
      </c>
      <c r="H372" s="407" t="s">
        <v>97</v>
      </c>
      <c r="I372" s="407" t="s">
        <v>2290</v>
      </c>
      <c r="J372" s="407" t="s">
        <v>2307</v>
      </c>
      <c r="K372" s="818">
        <v>44531</v>
      </c>
      <c r="L372" s="407">
        <v>0</v>
      </c>
      <c r="M372" s="407">
        <v>0</v>
      </c>
      <c r="N372" s="407">
        <v>898.62400000000002</v>
      </c>
      <c r="O372" s="407">
        <v>269.5872</v>
      </c>
      <c r="P372" s="407">
        <v>898.62400000000002</v>
      </c>
      <c r="Q372" s="407">
        <v>269.5872</v>
      </c>
      <c r="R372" s="407"/>
      <c r="S372" s="407">
        <v>95.29</v>
      </c>
      <c r="T372" s="407">
        <v>159.41</v>
      </c>
      <c r="U372" s="407"/>
      <c r="V372" s="407">
        <v>228879.53280000002</v>
      </c>
      <c r="W372" s="407">
        <v>228879.53280000002</v>
      </c>
      <c r="X372" s="407">
        <v>248837.97184000001</v>
      </c>
      <c r="Y372" s="407">
        <v>0</v>
      </c>
      <c r="Z372" s="407">
        <v>48448.520416861029</v>
      </c>
      <c r="AA372" s="407">
        <v>0</v>
      </c>
      <c r="AB372" s="407">
        <v>0</v>
      </c>
      <c r="AC372" s="407">
        <v>0</v>
      </c>
      <c r="AD372" s="407">
        <v>0</v>
      </c>
      <c r="AE372" s="407">
        <v>0</v>
      </c>
      <c r="AF372" s="407">
        <v>138595.42357560084</v>
      </c>
      <c r="AG372" s="407">
        <v>4656.442430099999</v>
      </c>
      <c r="AH372" s="407">
        <v>0</v>
      </c>
      <c r="AI372" s="407">
        <v>0</v>
      </c>
      <c r="AJ372" s="407">
        <v>0</v>
      </c>
      <c r="AK372" s="407">
        <v>0</v>
      </c>
      <c r="AL372" s="407">
        <v>8605.2731635052969</v>
      </c>
      <c r="AM372" s="407"/>
      <c r="AN372" s="407">
        <v>964.88258829367726</v>
      </c>
      <c r="AO372" s="407">
        <v>0</v>
      </c>
      <c r="AP372" s="407">
        <v>0</v>
      </c>
      <c r="AQ372" s="407">
        <v>0</v>
      </c>
      <c r="AR372" s="407">
        <v>0</v>
      </c>
      <c r="AS372" s="407">
        <v>0</v>
      </c>
      <c r="AT372" s="407">
        <v>0</v>
      </c>
      <c r="AU372" s="407">
        <v>0</v>
      </c>
      <c r="AV372" s="407">
        <v>0</v>
      </c>
      <c r="AW372" s="407">
        <v>0</v>
      </c>
      <c r="AX372" s="407">
        <v>0</v>
      </c>
      <c r="AY372" s="407">
        <v>0</v>
      </c>
      <c r="AZ372" s="407">
        <v>0</v>
      </c>
      <c r="BA372" s="407"/>
      <c r="BB372" s="407">
        <v>0</v>
      </c>
      <c r="BC372" s="407">
        <v>0</v>
      </c>
      <c r="BD372" s="407">
        <v>0</v>
      </c>
      <c r="BE372" s="407">
        <v>0</v>
      </c>
      <c r="BF372" s="407">
        <v>0</v>
      </c>
      <c r="BG372" s="407">
        <v>4663.7456559279462</v>
      </c>
      <c r="BH372" s="407">
        <v>0</v>
      </c>
      <c r="BI372" s="407">
        <v>0</v>
      </c>
      <c r="BJ372" s="407">
        <v>0</v>
      </c>
      <c r="BK372" s="407">
        <v>0</v>
      </c>
      <c r="BL372" s="407">
        <v>0</v>
      </c>
      <c r="BM372" s="407"/>
      <c r="BN372" s="407"/>
      <c r="BO372" s="407"/>
      <c r="BP372" s="407"/>
      <c r="BQ372" s="407"/>
      <c r="BR372" s="407"/>
      <c r="BS372" s="407">
        <v>174186.58028800003</v>
      </c>
      <c r="BT372" s="407"/>
      <c r="BU372" s="407"/>
      <c r="BV372" s="407">
        <v>143259.16923152879</v>
      </c>
      <c r="BW372" s="407"/>
      <c r="BX372" s="407"/>
      <c r="BY372" s="407"/>
      <c r="BZ372" s="407"/>
      <c r="CA372" s="407"/>
      <c r="CB372" s="407"/>
      <c r="CC372" s="407"/>
      <c r="CD372" s="407"/>
      <c r="CE372" s="407"/>
      <c r="CF372" s="407"/>
      <c r="CG372" s="407"/>
      <c r="CH372" s="407"/>
      <c r="CI372" s="407">
        <v>74652.166899999997</v>
      </c>
      <c r="CJ372" s="407">
        <v>5988.2770599999931</v>
      </c>
      <c r="CK372" s="407"/>
      <c r="CL372" s="407"/>
      <c r="CM372" s="407"/>
      <c r="CN372" s="407"/>
      <c r="CO372" s="407">
        <v>-4726.7622400000046</v>
      </c>
      <c r="CP372" s="407">
        <v>24685.201280000001</v>
      </c>
      <c r="CQ372" s="407"/>
      <c r="CR372" s="407">
        <v>19955.598677872622</v>
      </c>
      <c r="CS372" s="407">
        <v>0</v>
      </c>
      <c r="CT372" s="407">
        <v>0</v>
      </c>
      <c r="CU372" s="407">
        <v>0</v>
      </c>
      <c r="CV372" s="407">
        <v>0</v>
      </c>
      <c r="CW372" s="407">
        <v>0</v>
      </c>
      <c r="CX372" s="407">
        <v>0</v>
      </c>
      <c r="CY372" s="407">
        <v>0</v>
      </c>
      <c r="CZ372" s="407">
        <v>0</v>
      </c>
      <c r="DA372" s="407">
        <v>0</v>
      </c>
      <c r="DB372" s="407">
        <v>0</v>
      </c>
      <c r="DC372" s="407">
        <v>27479.729747222242</v>
      </c>
      <c r="DD372" s="407">
        <v>0</v>
      </c>
      <c r="DE372" s="407">
        <v>0</v>
      </c>
      <c r="DF372" s="407">
        <v>0</v>
      </c>
      <c r="DG372" s="407">
        <v>924.69481984572303</v>
      </c>
      <c r="DH372" s="407">
        <v>0</v>
      </c>
      <c r="DI372" s="407">
        <v>-3393.4299466516823</v>
      </c>
      <c r="DJ372" s="407"/>
      <c r="DK372" s="407">
        <v>0</v>
      </c>
      <c r="DL372" s="407">
        <v>0</v>
      </c>
      <c r="DM372" s="407">
        <v>0</v>
      </c>
      <c r="DN372" s="407">
        <v>0</v>
      </c>
      <c r="DO372" s="407">
        <v>-525.01956443710606</v>
      </c>
      <c r="DP372" s="407">
        <v>-61.479989103666639</v>
      </c>
      <c r="DQ372" s="407">
        <v>0</v>
      </c>
      <c r="DR372" s="407">
        <v>-4468.8963890028854</v>
      </c>
      <c r="DS372" s="407"/>
      <c r="DT372" s="407"/>
      <c r="DU372" s="407"/>
      <c r="DV372" s="407">
        <v>0</v>
      </c>
      <c r="DW372" s="407">
        <v>0</v>
      </c>
      <c r="DX372" s="407">
        <v>0</v>
      </c>
      <c r="DY372" s="407">
        <v>-4726.7622400000109</v>
      </c>
      <c r="DZ372" s="407">
        <v>24685.201280000008</v>
      </c>
      <c r="EA372" s="407">
        <v>0</v>
      </c>
      <c r="EB372" s="407">
        <v>0</v>
      </c>
      <c r="EC372" s="407">
        <v>0</v>
      </c>
      <c r="ED372" s="407">
        <v>0</v>
      </c>
      <c r="EE372" s="407">
        <v>0</v>
      </c>
      <c r="EF372" s="407">
        <v>0</v>
      </c>
      <c r="EG372" s="407">
        <v>0</v>
      </c>
      <c r="EH372" s="407">
        <v>0</v>
      </c>
      <c r="EI372" s="407">
        <v>0</v>
      </c>
      <c r="EJ372" s="407">
        <v>0</v>
      </c>
      <c r="EK372" s="407">
        <v>0</v>
      </c>
      <c r="EL372" s="407">
        <v>0</v>
      </c>
      <c r="EM372" s="407">
        <v>0</v>
      </c>
      <c r="EN372" s="407">
        <v>0</v>
      </c>
      <c r="EO372" s="407">
        <v>0</v>
      </c>
      <c r="EP372" s="407">
        <v>22949.197881686065</v>
      </c>
      <c r="EQ372" s="407">
        <v>0</v>
      </c>
      <c r="ER372" s="407">
        <v>0</v>
      </c>
      <c r="ES372" s="407">
        <v>0</v>
      </c>
      <c r="ET372" s="407">
        <v>0</v>
      </c>
      <c r="EU372" s="407">
        <v>0</v>
      </c>
      <c r="EV372" s="407">
        <v>246</v>
      </c>
      <c r="EW372" s="407">
        <v>0</v>
      </c>
      <c r="EX372" s="407">
        <v>0</v>
      </c>
      <c r="EY372" s="407">
        <v>0</v>
      </c>
      <c r="EZ372" s="407"/>
      <c r="FA372" s="407">
        <v>0</v>
      </c>
      <c r="FB372" s="407"/>
      <c r="FC372" s="407"/>
      <c r="FD372" s="407"/>
      <c r="FE372" s="407"/>
      <c r="FF372" s="407">
        <v>0</v>
      </c>
      <c r="FG372" s="407">
        <v>0</v>
      </c>
      <c r="FH372" s="407">
        <v>0</v>
      </c>
      <c r="FI372" s="407">
        <v>0</v>
      </c>
    </row>
    <row r="373" spans="1:165">
      <c r="A373" s="407">
        <v>390</v>
      </c>
      <c r="B373" s="407" t="s">
        <v>1090</v>
      </c>
      <c r="C373" s="407" t="s">
        <v>2306</v>
      </c>
      <c r="D373" s="407" t="s">
        <v>2315</v>
      </c>
      <c r="E373" s="407" t="s">
        <v>1026</v>
      </c>
      <c r="F373" s="407" t="s">
        <v>2326</v>
      </c>
      <c r="G373" s="407" t="s">
        <v>2324</v>
      </c>
      <c r="H373" s="407" t="s">
        <v>97</v>
      </c>
      <c r="I373" s="407" t="s">
        <v>97</v>
      </c>
      <c r="J373" s="407" t="s">
        <v>2307</v>
      </c>
      <c r="K373" s="818">
        <v>44531</v>
      </c>
      <c r="L373" s="407">
        <v>0</v>
      </c>
      <c r="M373" s="407">
        <v>0</v>
      </c>
      <c r="N373" s="407">
        <v>0</v>
      </c>
      <c r="O373" s="407">
        <v>0</v>
      </c>
      <c r="P373" s="407">
        <v>0</v>
      </c>
      <c r="Q373" s="407">
        <v>0</v>
      </c>
      <c r="R373" s="407"/>
      <c r="S373" s="407"/>
      <c r="T373" s="407"/>
      <c r="U373" s="407"/>
      <c r="V373" s="407"/>
      <c r="W373" s="407"/>
      <c r="X373" s="407"/>
      <c r="Y373" s="407"/>
      <c r="Z373" s="407"/>
      <c r="AA373" s="407">
        <v>0</v>
      </c>
      <c r="AB373" s="407"/>
      <c r="AC373" s="407"/>
      <c r="AD373" s="407"/>
      <c r="AE373" s="407"/>
      <c r="AF373" s="407"/>
      <c r="AG373" s="407"/>
      <c r="AH373" s="407"/>
      <c r="AI373" s="407"/>
      <c r="AJ373" s="407"/>
      <c r="AK373" s="407"/>
      <c r="AL373" s="407"/>
      <c r="AM373" s="407"/>
      <c r="AN373" s="407"/>
      <c r="AO373" s="407"/>
      <c r="AP373" s="407"/>
      <c r="AQ373" s="407"/>
      <c r="AR373" s="407"/>
      <c r="AS373" s="407"/>
      <c r="AT373" s="407"/>
      <c r="AU373" s="407"/>
      <c r="AV373" s="407"/>
      <c r="AW373" s="407"/>
      <c r="AX373" s="407"/>
      <c r="AY373" s="407"/>
      <c r="AZ373" s="407">
        <v>0</v>
      </c>
      <c r="BA373" s="407"/>
      <c r="BB373" s="407"/>
      <c r="BC373" s="407"/>
      <c r="BD373" s="407"/>
      <c r="BE373" s="407"/>
      <c r="BF373" s="407"/>
      <c r="BG373" s="407"/>
      <c r="BH373" s="407"/>
      <c r="BI373" s="407">
        <v>21.58</v>
      </c>
      <c r="BJ373" s="407">
        <v>102.2</v>
      </c>
      <c r="BK373" s="407">
        <v>52.1</v>
      </c>
      <c r="BL373" s="407">
        <v>5</v>
      </c>
      <c r="BM373" s="407"/>
      <c r="BN373" s="407"/>
      <c r="BO373" s="407"/>
      <c r="BP373" s="407"/>
      <c r="BQ373" s="407"/>
      <c r="BR373" s="407"/>
      <c r="BS373" s="407"/>
      <c r="BT373" s="407"/>
      <c r="BU373" s="407"/>
      <c r="BV373" s="407"/>
      <c r="BW373" s="407"/>
      <c r="BX373" s="407"/>
      <c r="BY373" s="407"/>
      <c r="BZ373" s="407"/>
      <c r="CA373" s="407"/>
      <c r="CB373" s="407"/>
      <c r="CC373" s="407"/>
      <c r="CD373" s="407"/>
      <c r="CE373" s="407"/>
      <c r="CF373" s="407"/>
      <c r="CG373" s="407"/>
      <c r="CH373" s="407"/>
      <c r="CI373" s="407"/>
      <c r="CJ373" s="407">
        <v>-0.03</v>
      </c>
      <c r="CK373" s="407"/>
      <c r="CL373" s="407"/>
      <c r="CM373" s="407"/>
      <c r="CN373" s="407"/>
      <c r="CO373" s="407">
        <v>0</v>
      </c>
      <c r="CP373" s="407">
        <v>0</v>
      </c>
      <c r="CQ373" s="407"/>
      <c r="CR373" s="407"/>
      <c r="CS373" s="407"/>
      <c r="CT373" s="407"/>
      <c r="CU373" s="407"/>
      <c r="CV373" s="407"/>
      <c r="CW373" s="407"/>
      <c r="CX373" s="407"/>
      <c r="CY373" s="407"/>
      <c r="CZ373" s="407"/>
      <c r="DA373" s="407"/>
      <c r="DB373" s="407"/>
      <c r="DC373" s="407"/>
      <c r="DD373" s="407"/>
      <c r="DE373" s="407"/>
      <c r="DF373" s="407"/>
      <c r="DG373" s="407"/>
      <c r="DH373" s="407"/>
      <c r="DI373" s="407"/>
      <c r="DJ373" s="407"/>
      <c r="DK373" s="407">
        <v>0</v>
      </c>
      <c r="DL373" s="407"/>
      <c r="DM373" s="407"/>
      <c r="DN373" s="407"/>
      <c r="DO373" s="407"/>
      <c r="DP373" s="407"/>
      <c r="DQ373" s="407"/>
      <c r="DR373" s="407"/>
      <c r="DS373" s="407"/>
      <c r="DT373" s="407"/>
      <c r="DU373" s="407"/>
      <c r="DV373" s="407"/>
      <c r="DW373" s="407"/>
      <c r="DX373" s="407"/>
      <c r="DY373" s="407"/>
      <c r="DZ373" s="407"/>
      <c r="EA373" s="407"/>
      <c r="EB373" s="407"/>
      <c r="EC373" s="407"/>
      <c r="ED373" s="407"/>
      <c r="EE373" s="407"/>
      <c r="EF373" s="407"/>
      <c r="EG373" s="407"/>
      <c r="EH373" s="407"/>
      <c r="EI373" s="407"/>
      <c r="EJ373" s="407"/>
      <c r="EK373" s="407"/>
      <c r="EL373" s="407"/>
      <c r="EM373" s="407"/>
      <c r="EN373" s="407"/>
      <c r="EO373" s="407"/>
      <c r="EP373" s="407"/>
      <c r="EQ373" s="407"/>
      <c r="ER373" s="407"/>
      <c r="ES373" s="407"/>
      <c r="ET373" s="407"/>
      <c r="EU373" s="407"/>
      <c r="EV373" s="407">
        <v>246</v>
      </c>
      <c r="EW373" s="407"/>
      <c r="EX373" s="407"/>
      <c r="EY373" s="407"/>
      <c r="EZ373" s="407"/>
      <c r="FA373" s="407">
        <v>0</v>
      </c>
      <c r="FB373" s="407"/>
      <c r="FC373" s="407"/>
      <c r="FD373" s="407"/>
      <c r="FE373" s="407"/>
      <c r="FF373" s="407">
        <v>0</v>
      </c>
      <c r="FG373" s="407">
        <v>0</v>
      </c>
      <c r="FH373" s="407">
        <v>0</v>
      </c>
      <c r="FI373" s="407">
        <v>0</v>
      </c>
    </row>
    <row r="374" spans="1:165">
      <c r="A374" s="407">
        <v>391</v>
      </c>
      <c r="B374" s="407" t="s">
        <v>1090</v>
      </c>
      <c r="C374" s="407" t="s">
        <v>2306</v>
      </c>
      <c r="D374" s="407" t="s">
        <v>2315</v>
      </c>
      <c r="E374" s="407" t="s">
        <v>1026</v>
      </c>
      <c r="F374" s="407" t="s">
        <v>2326</v>
      </c>
      <c r="G374" s="407" t="s">
        <v>2324</v>
      </c>
      <c r="H374" s="407" t="s">
        <v>97</v>
      </c>
      <c r="I374" s="407" t="s">
        <v>97</v>
      </c>
      <c r="J374" s="407" t="s">
        <v>2307</v>
      </c>
      <c r="K374" s="818">
        <v>44531</v>
      </c>
      <c r="L374" s="407">
        <v>0</v>
      </c>
      <c r="M374" s="407">
        <v>0</v>
      </c>
      <c r="N374" s="407">
        <v>9.27</v>
      </c>
      <c r="O374" s="407">
        <v>9.27</v>
      </c>
      <c r="P374" s="407">
        <v>9.27</v>
      </c>
      <c r="Q374" s="407">
        <v>9.27</v>
      </c>
      <c r="R374" s="407"/>
      <c r="S374" s="407">
        <v>648.44000000000005</v>
      </c>
      <c r="T374" s="407">
        <v>159.41</v>
      </c>
      <c r="U374" s="407"/>
      <c r="V374" s="407">
        <v>7488.7695000000003</v>
      </c>
      <c r="W374" s="407">
        <v>7488.7695000000003</v>
      </c>
      <c r="X374" s="407">
        <v>5671.5713999999998</v>
      </c>
      <c r="Y374" s="407">
        <v>0</v>
      </c>
      <c r="Z374" s="407">
        <v>574.46422334016211</v>
      </c>
      <c r="AA374" s="407">
        <v>0</v>
      </c>
      <c r="AB374" s="407">
        <v>0</v>
      </c>
      <c r="AC374" s="407">
        <v>0</v>
      </c>
      <c r="AD374" s="407">
        <v>1081.2938309844612</v>
      </c>
      <c r="AE374" s="407">
        <v>3870.6513345962039</v>
      </c>
      <c r="AF374" s="407">
        <v>1429.7187439305203</v>
      </c>
      <c r="AG374" s="407">
        <v>48.034796897286284</v>
      </c>
      <c r="AH374" s="407">
        <v>0</v>
      </c>
      <c r="AI374" s="407">
        <v>0</v>
      </c>
      <c r="AJ374" s="407">
        <v>0</v>
      </c>
      <c r="AK374" s="407">
        <v>0</v>
      </c>
      <c r="AL374" s="407">
        <v>88.770033101379553</v>
      </c>
      <c r="AM374" s="407"/>
      <c r="AN374" s="407">
        <v>19.236136587234395</v>
      </c>
      <c r="AO374" s="407">
        <v>0</v>
      </c>
      <c r="AP374" s="407">
        <v>0</v>
      </c>
      <c r="AQ374" s="407">
        <v>0</v>
      </c>
      <c r="AR374" s="407">
        <v>0</v>
      </c>
      <c r="AS374" s="407">
        <v>0</v>
      </c>
      <c r="AT374" s="407">
        <v>0</v>
      </c>
      <c r="AU374" s="407">
        <v>0</v>
      </c>
      <c r="AV374" s="407">
        <v>0</v>
      </c>
      <c r="AW374" s="407">
        <v>0</v>
      </c>
      <c r="AX374" s="407">
        <v>0</v>
      </c>
      <c r="AY374" s="407">
        <v>0</v>
      </c>
      <c r="AZ374" s="407">
        <v>0</v>
      </c>
      <c r="BA374" s="407"/>
      <c r="BB374" s="407">
        <v>0</v>
      </c>
      <c r="BC374" s="407">
        <v>0</v>
      </c>
      <c r="BD374" s="407">
        <v>0</v>
      </c>
      <c r="BE374" s="407">
        <v>0</v>
      </c>
      <c r="BF374" s="407">
        <v>0</v>
      </c>
      <c r="BG374" s="407">
        <v>104.50787475051143</v>
      </c>
      <c r="BH374" s="407">
        <v>0</v>
      </c>
      <c r="BI374" s="407">
        <v>0</v>
      </c>
      <c r="BJ374" s="407">
        <v>0</v>
      </c>
      <c r="BK374" s="407">
        <v>0</v>
      </c>
      <c r="BL374" s="407">
        <v>0</v>
      </c>
      <c r="BM374" s="407"/>
      <c r="BN374" s="407"/>
      <c r="BO374" s="407"/>
      <c r="BP374" s="407"/>
      <c r="BQ374" s="407"/>
      <c r="BR374" s="407">
        <v>680.60340000000008</v>
      </c>
      <c r="BS374" s="407"/>
      <c r="BT374" s="407"/>
      <c r="BU374" s="407"/>
      <c r="BV374" s="407">
        <v>1534.2266186810318</v>
      </c>
      <c r="BW374" s="407"/>
      <c r="BX374" s="407"/>
      <c r="BY374" s="407"/>
      <c r="BZ374" s="407"/>
      <c r="CA374" s="407"/>
      <c r="CB374" s="407"/>
      <c r="CC374" s="407"/>
      <c r="CD374" s="407"/>
      <c r="CE374" s="407"/>
      <c r="CF374" s="407"/>
      <c r="CG374" s="407"/>
      <c r="CH374" s="407"/>
      <c r="CI374" s="407">
        <v>4990.9679999999998</v>
      </c>
      <c r="CJ374" s="407">
        <v>-1599.1977000000006</v>
      </c>
      <c r="CK374" s="407"/>
      <c r="CL374" s="407"/>
      <c r="CM374" s="407"/>
      <c r="CN374" s="407"/>
      <c r="CO374" s="407">
        <v>-2071.8450000000003</v>
      </c>
      <c r="CP374" s="407">
        <v>254.64689999999999</v>
      </c>
      <c r="CQ374" s="407"/>
      <c r="CR374" s="407">
        <v>159.94474700515275</v>
      </c>
      <c r="CS374" s="407">
        <v>0</v>
      </c>
      <c r="CT374" s="407">
        <v>0</v>
      </c>
      <c r="CU374" s="407">
        <v>0</v>
      </c>
      <c r="CV374" s="407">
        <v>0</v>
      </c>
      <c r="CW374" s="407">
        <v>0</v>
      </c>
      <c r="CX374" s="407">
        <v>0</v>
      </c>
      <c r="CY374" s="407">
        <v>0</v>
      </c>
      <c r="CZ374" s="407">
        <v>48.844186345826301</v>
      </c>
      <c r="DA374" s="407">
        <v>0</v>
      </c>
      <c r="DB374" s="407">
        <v>0</v>
      </c>
      <c r="DC374" s="407">
        <v>283.4746175895034</v>
      </c>
      <c r="DD374" s="407">
        <v>0</v>
      </c>
      <c r="DE374" s="407">
        <v>0</v>
      </c>
      <c r="DF374" s="407">
        <v>0</v>
      </c>
      <c r="DG374" s="407">
        <v>20.721089344152006</v>
      </c>
      <c r="DH374" s="407">
        <v>0</v>
      </c>
      <c r="DI374" s="407">
        <v>-40.236607475097685</v>
      </c>
      <c r="DJ374" s="407"/>
      <c r="DK374" s="407">
        <v>0</v>
      </c>
      <c r="DL374" s="407">
        <v>0</v>
      </c>
      <c r="DM374" s="407">
        <v>0</v>
      </c>
      <c r="DN374" s="407">
        <v>0</v>
      </c>
      <c r="DO374" s="407">
        <v>-5.4159819483254097</v>
      </c>
      <c r="DP374" s="407">
        <v>-1.2256801834006517</v>
      </c>
      <c r="DQ374" s="407">
        <v>0</v>
      </c>
      <c r="DR374" s="407">
        <v>-146.21687666750495</v>
      </c>
      <c r="DS374" s="407"/>
      <c r="DT374" s="407"/>
      <c r="DU374" s="407"/>
      <c r="DV374" s="407">
        <v>3870.6513345962039</v>
      </c>
      <c r="DW374" s="407">
        <v>0</v>
      </c>
      <c r="DX374" s="407">
        <v>0</v>
      </c>
      <c r="DY374" s="407">
        <v>-2071.8450000000003</v>
      </c>
      <c r="DZ374" s="407">
        <v>254.64689999999996</v>
      </c>
      <c r="EA374" s="407">
        <v>0</v>
      </c>
      <c r="EB374" s="407">
        <v>0</v>
      </c>
      <c r="EC374" s="407">
        <v>-1977.1376917769305</v>
      </c>
      <c r="ED374" s="407">
        <v>0</v>
      </c>
      <c r="EE374" s="407">
        <v>0</v>
      </c>
      <c r="EF374" s="407">
        <v>0</v>
      </c>
      <c r="EG374" s="407">
        <v>0</v>
      </c>
      <c r="EH374" s="407">
        <v>0</v>
      </c>
      <c r="EI374" s="407">
        <v>0</v>
      </c>
      <c r="EJ374" s="407">
        <v>0</v>
      </c>
      <c r="EK374" s="407">
        <v>0</v>
      </c>
      <c r="EL374" s="407">
        <v>0</v>
      </c>
      <c r="EM374" s="407">
        <v>0</v>
      </c>
      <c r="EN374" s="407">
        <v>0</v>
      </c>
      <c r="EO374" s="407">
        <v>0</v>
      </c>
      <c r="EP374" s="407">
        <v>272.11343141026794</v>
      </c>
      <c r="EQ374" s="407">
        <v>0</v>
      </c>
      <c r="ER374" s="407">
        <v>0</v>
      </c>
      <c r="ES374" s="407">
        <v>0</v>
      </c>
      <c r="ET374" s="407">
        <v>0</v>
      </c>
      <c r="EU374" s="407">
        <v>0</v>
      </c>
      <c r="EV374" s="407">
        <v>246</v>
      </c>
      <c r="EW374" s="407">
        <v>0</v>
      </c>
      <c r="EX374" s="407">
        <v>0</v>
      </c>
      <c r="EY374" s="407">
        <v>0</v>
      </c>
      <c r="EZ374" s="407"/>
      <c r="FA374" s="407">
        <v>0</v>
      </c>
      <c r="FB374" s="407"/>
      <c r="FC374" s="407"/>
      <c r="FD374" s="407"/>
      <c r="FE374" s="407"/>
      <c r="FF374" s="407">
        <v>0</v>
      </c>
      <c r="FG374" s="407">
        <v>0</v>
      </c>
      <c r="FH374" s="407">
        <v>0</v>
      </c>
      <c r="FI374" s="407">
        <v>0</v>
      </c>
    </row>
    <row r="375" spans="1:165">
      <c r="A375" s="407">
        <v>392</v>
      </c>
      <c r="B375" s="407" t="s">
        <v>1090</v>
      </c>
      <c r="C375" s="407" t="s">
        <v>2306</v>
      </c>
      <c r="D375" s="407" t="s">
        <v>2315</v>
      </c>
      <c r="E375" s="407" t="s">
        <v>1026</v>
      </c>
      <c r="F375" s="407" t="s">
        <v>2326</v>
      </c>
      <c r="G375" s="407" t="s">
        <v>2325</v>
      </c>
      <c r="H375" s="407" t="s">
        <v>97</v>
      </c>
      <c r="I375" s="407" t="s">
        <v>97</v>
      </c>
      <c r="J375" s="407" t="s">
        <v>2307</v>
      </c>
      <c r="K375" s="818">
        <v>44531</v>
      </c>
      <c r="L375" s="407">
        <v>0</v>
      </c>
      <c r="M375" s="407">
        <v>0</v>
      </c>
      <c r="N375" s="407">
        <v>12.282999999999999</v>
      </c>
      <c r="O375" s="407">
        <v>4.9131999999999998</v>
      </c>
      <c r="P375" s="407">
        <v>12.282999999999999</v>
      </c>
      <c r="Q375" s="407">
        <v>4.9131999999999998</v>
      </c>
      <c r="R375" s="407"/>
      <c r="S375" s="407">
        <v>648.44000000000005</v>
      </c>
      <c r="T375" s="407">
        <v>159.41</v>
      </c>
      <c r="U375" s="407"/>
      <c r="V375" s="407">
        <v>9922.8215500000006</v>
      </c>
      <c r="W375" s="407">
        <v>9922.8215500000006</v>
      </c>
      <c r="X375" s="407">
        <v>7514.98506</v>
      </c>
      <c r="Y375" s="407">
        <v>0</v>
      </c>
      <c r="Z375" s="407">
        <v>761.18058848837234</v>
      </c>
      <c r="AA375" s="407">
        <v>0</v>
      </c>
      <c r="AB375" s="407">
        <v>0</v>
      </c>
      <c r="AC375" s="407">
        <v>0</v>
      </c>
      <c r="AD375" s="407">
        <v>1432.7434871609642</v>
      </c>
      <c r="AE375" s="407">
        <v>5128.7174048376664</v>
      </c>
      <c r="AF375" s="407">
        <v>1894.4158933871176</v>
      </c>
      <c r="AG375" s="407">
        <v>63.647401325713851</v>
      </c>
      <c r="AH375" s="407">
        <v>0</v>
      </c>
      <c r="AI375" s="407">
        <v>0</v>
      </c>
      <c r="AJ375" s="407">
        <v>0</v>
      </c>
      <c r="AK375" s="407">
        <v>0</v>
      </c>
      <c r="AL375" s="407">
        <v>117.62268787316559</v>
      </c>
      <c r="AM375" s="407"/>
      <c r="AN375" s="407">
        <v>25.488399751995694</v>
      </c>
      <c r="AO375" s="407">
        <v>0</v>
      </c>
      <c r="AP375" s="407">
        <v>0</v>
      </c>
      <c r="AQ375" s="407">
        <v>0</v>
      </c>
      <c r="AR375" s="407">
        <v>0</v>
      </c>
      <c r="AS375" s="407">
        <v>0</v>
      </c>
      <c r="AT375" s="407">
        <v>0</v>
      </c>
      <c r="AU375" s="407">
        <v>0</v>
      </c>
      <c r="AV375" s="407">
        <v>0</v>
      </c>
      <c r="AW375" s="407">
        <v>0</v>
      </c>
      <c r="AX375" s="407">
        <v>0</v>
      </c>
      <c r="AY375" s="407">
        <v>0</v>
      </c>
      <c r="AZ375" s="407">
        <v>0</v>
      </c>
      <c r="BA375" s="407"/>
      <c r="BB375" s="407">
        <v>0</v>
      </c>
      <c r="BC375" s="407">
        <v>0</v>
      </c>
      <c r="BD375" s="407">
        <v>0</v>
      </c>
      <c r="BE375" s="407">
        <v>0</v>
      </c>
      <c r="BF375" s="407">
        <v>0</v>
      </c>
      <c r="BG375" s="407">
        <v>138.47575248765176</v>
      </c>
      <c r="BH375" s="407">
        <v>0</v>
      </c>
      <c r="BI375" s="407">
        <v>0</v>
      </c>
      <c r="BJ375" s="407">
        <v>0</v>
      </c>
      <c r="BK375" s="407">
        <v>0</v>
      </c>
      <c r="BL375" s="407">
        <v>0</v>
      </c>
      <c r="BM375" s="407"/>
      <c r="BN375" s="407"/>
      <c r="BO375" s="407"/>
      <c r="BP375" s="407"/>
      <c r="BQ375" s="407"/>
      <c r="BR375" s="407"/>
      <c r="BS375" s="407">
        <v>4869.7181799999998</v>
      </c>
      <c r="BT375" s="407"/>
      <c r="BU375" s="407"/>
      <c r="BV375" s="407">
        <v>2032.8916458747694</v>
      </c>
      <c r="BW375" s="407"/>
      <c r="BX375" s="407"/>
      <c r="BY375" s="407"/>
      <c r="BZ375" s="407"/>
      <c r="CA375" s="407"/>
      <c r="CB375" s="407"/>
      <c r="CC375" s="407"/>
      <c r="CD375" s="407"/>
      <c r="CE375" s="407"/>
      <c r="CF375" s="407"/>
      <c r="CG375" s="407"/>
      <c r="CH375" s="407"/>
      <c r="CI375" s="407">
        <v>2643.5439999999999</v>
      </c>
      <c r="CJ375" s="407">
        <v>-849.3290120000006</v>
      </c>
      <c r="CK375" s="407"/>
      <c r="CL375" s="407"/>
      <c r="CM375" s="407"/>
      <c r="CN375" s="407"/>
      <c r="CO375" s="407">
        <v>-2745.2505000000006</v>
      </c>
      <c r="CP375" s="407">
        <v>337.41400999999996</v>
      </c>
      <c r="CQ375" s="407"/>
      <c r="CR375" s="407">
        <v>211.93110328633156</v>
      </c>
      <c r="CS375" s="407">
        <v>0</v>
      </c>
      <c r="CT375" s="407">
        <v>0</v>
      </c>
      <c r="CU375" s="407">
        <v>0</v>
      </c>
      <c r="CV375" s="407">
        <v>0</v>
      </c>
      <c r="CW375" s="407">
        <v>0</v>
      </c>
      <c r="CX375" s="407">
        <v>0</v>
      </c>
      <c r="CY375" s="407">
        <v>0</v>
      </c>
      <c r="CZ375" s="407">
        <v>64.719864173223868</v>
      </c>
      <c r="DA375" s="407">
        <v>0</v>
      </c>
      <c r="DB375" s="407">
        <v>0</v>
      </c>
      <c r="DC375" s="407">
        <v>375.61151325262927</v>
      </c>
      <c r="DD375" s="407">
        <v>0</v>
      </c>
      <c r="DE375" s="407">
        <v>0</v>
      </c>
      <c r="DF375" s="407">
        <v>0</v>
      </c>
      <c r="DG375" s="407">
        <v>27.456002202181139</v>
      </c>
      <c r="DH375" s="407">
        <v>0</v>
      </c>
      <c r="DI375" s="407">
        <v>-53.314590034155799</v>
      </c>
      <c r="DJ375" s="407"/>
      <c r="DK375" s="407">
        <v>0</v>
      </c>
      <c r="DL375" s="407">
        <v>0</v>
      </c>
      <c r="DM375" s="407">
        <v>0</v>
      </c>
      <c r="DN375" s="407">
        <v>0</v>
      </c>
      <c r="DO375" s="407">
        <v>-7.1763221436117561</v>
      </c>
      <c r="DP375" s="407">
        <v>-1.6240592980269923</v>
      </c>
      <c r="DQ375" s="407">
        <v>0</v>
      </c>
      <c r="DR375" s="407">
        <v>-193.74130486590758</v>
      </c>
      <c r="DS375" s="407"/>
      <c r="DT375" s="407"/>
      <c r="DU375" s="407"/>
      <c r="DV375" s="407">
        <v>5128.7174048376664</v>
      </c>
      <c r="DW375" s="407">
        <v>0</v>
      </c>
      <c r="DX375" s="407">
        <v>0</v>
      </c>
      <c r="DY375" s="407">
        <v>-2745.2505000000001</v>
      </c>
      <c r="DZ375" s="407">
        <v>337.41401000000019</v>
      </c>
      <c r="EA375" s="407">
        <v>0</v>
      </c>
      <c r="EB375" s="407">
        <v>0</v>
      </c>
      <c r="EC375" s="407">
        <v>-2619.7607624699062</v>
      </c>
      <c r="ED375" s="407">
        <v>0</v>
      </c>
      <c r="EE375" s="407">
        <v>0</v>
      </c>
      <c r="EF375" s="407">
        <v>0</v>
      </c>
      <c r="EG375" s="407">
        <v>0</v>
      </c>
      <c r="EH375" s="407">
        <v>0</v>
      </c>
      <c r="EI375" s="407">
        <v>0</v>
      </c>
      <c r="EJ375" s="407">
        <v>0</v>
      </c>
      <c r="EK375" s="407">
        <v>0</v>
      </c>
      <c r="EL375" s="407">
        <v>0</v>
      </c>
      <c r="EM375" s="407">
        <v>0</v>
      </c>
      <c r="EN375" s="407">
        <v>0</v>
      </c>
      <c r="EO375" s="407">
        <v>0</v>
      </c>
      <c r="EP375" s="407">
        <v>360.55763516853517</v>
      </c>
      <c r="EQ375" s="407">
        <v>0</v>
      </c>
      <c r="ER375" s="407">
        <v>0</v>
      </c>
      <c r="ES375" s="407">
        <v>0</v>
      </c>
      <c r="ET375" s="407">
        <v>0</v>
      </c>
      <c r="EU375" s="407">
        <v>0</v>
      </c>
      <c r="EV375" s="407">
        <v>246</v>
      </c>
      <c r="EW375" s="407">
        <v>0</v>
      </c>
      <c r="EX375" s="407">
        <v>0</v>
      </c>
      <c r="EY375" s="407">
        <v>0</v>
      </c>
      <c r="EZ375" s="407"/>
      <c r="FA375" s="407">
        <v>0</v>
      </c>
      <c r="FB375" s="407"/>
      <c r="FC375" s="407"/>
      <c r="FD375" s="407"/>
      <c r="FE375" s="407"/>
      <c r="FF375" s="407">
        <v>0</v>
      </c>
      <c r="FG375" s="407">
        <v>0</v>
      </c>
      <c r="FH375" s="407">
        <v>0</v>
      </c>
      <c r="FI375" s="407">
        <v>0</v>
      </c>
    </row>
    <row r="376" spans="1:165">
      <c r="A376" s="407">
        <v>393</v>
      </c>
      <c r="B376" s="407" t="s">
        <v>1090</v>
      </c>
      <c r="C376" s="407" t="s">
        <v>2306</v>
      </c>
      <c r="D376" s="407" t="s">
        <v>1218</v>
      </c>
      <c r="E376" s="407" t="s">
        <v>1021</v>
      </c>
      <c r="F376" s="407" t="s">
        <v>1021</v>
      </c>
      <c r="G376" s="407" t="s">
        <v>97</v>
      </c>
      <c r="H376" s="407" t="s">
        <v>97</v>
      </c>
      <c r="I376" s="407" t="s">
        <v>97</v>
      </c>
      <c r="J376" s="407" t="s">
        <v>2307</v>
      </c>
      <c r="K376" s="818">
        <v>44562</v>
      </c>
      <c r="L376" s="407">
        <v>0</v>
      </c>
      <c r="M376" s="407">
        <v>0</v>
      </c>
      <c r="N376" s="407">
        <v>1667.6569999999999</v>
      </c>
      <c r="O376" s="407">
        <v>1667.6569999999999</v>
      </c>
      <c r="P376" s="407">
        <v>1667.6569999999999</v>
      </c>
      <c r="Q376" s="407">
        <v>1667.6569999999999</v>
      </c>
      <c r="R376" s="407"/>
      <c r="S376" s="407">
        <v>648.44000000000005</v>
      </c>
      <c r="T376" s="407">
        <v>159.41</v>
      </c>
      <c r="U376" s="407"/>
      <c r="V376" s="407">
        <v>1347216.7074500001</v>
      </c>
      <c r="W376" s="407">
        <v>1347216.7074500001</v>
      </c>
      <c r="X376" s="407">
        <v>1020305.9057399998</v>
      </c>
      <c r="Y376" s="407">
        <v>0</v>
      </c>
      <c r="Z376" s="407">
        <v>103345.12225488508</v>
      </c>
      <c r="AA376" s="407">
        <v>0</v>
      </c>
      <c r="AB376" s="407">
        <v>0</v>
      </c>
      <c r="AC376" s="407">
        <v>0</v>
      </c>
      <c r="AD376" s="407">
        <v>194522.8938832852</v>
      </c>
      <c r="AE376" s="407">
        <v>696323.49435800442</v>
      </c>
      <c r="AF376" s="407">
        <v>257203.9343416332</v>
      </c>
      <c r="AG376" s="407">
        <v>8641.3770538659919</v>
      </c>
      <c r="AH376" s="407">
        <v>0</v>
      </c>
      <c r="AI376" s="407">
        <v>0</v>
      </c>
      <c r="AJ376" s="407">
        <v>0</v>
      </c>
      <c r="AK376" s="407">
        <v>0</v>
      </c>
      <c r="AL376" s="407">
        <v>15969.575738052568</v>
      </c>
      <c r="AM376" s="407"/>
      <c r="AN376" s="407">
        <v>3460.5477705132198</v>
      </c>
      <c r="AO376" s="407">
        <v>0</v>
      </c>
      <c r="AP376" s="407">
        <v>0</v>
      </c>
      <c r="AQ376" s="407">
        <v>0</v>
      </c>
      <c r="AR376" s="407">
        <v>0</v>
      </c>
      <c r="AS376" s="407">
        <v>0</v>
      </c>
      <c r="AT376" s="407">
        <v>0</v>
      </c>
      <c r="AU376" s="407">
        <v>0</v>
      </c>
      <c r="AV376" s="407">
        <v>0</v>
      </c>
      <c r="AW376" s="407">
        <v>0</v>
      </c>
      <c r="AX376" s="407">
        <v>0</v>
      </c>
      <c r="AY376" s="407">
        <v>0</v>
      </c>
      <c r="AZ376" s="407">
        <v>0</v>
      </c>
      <c r="BA376" s="407"/>
      <c r="BB376" s="407">
        <v>0</v>
      </c>
      <c r="BC376" s="407">
        <v>0</v>
      </c>
      <c r="BD376" s="407">
        <v>0</v>
      </c>
      <c r="BE376" s="407">
        <v>0</v>
      </c>
      <c r="BF376" s="407">
        <v>0</v>
      </c>
      <c r="BG376" s="407">
        <v>18800.786287250663</v>
      </c>
      <c r="BH376" s="407">
        <v>0</v>
      </c>
      <c r="BI376" s="407">
        <v>1019.81</v>
      </c>
      <c r="BJ376" s="407">
        <v>4928.5600000000004</v>
      </c>
      <c r="BK376" s="407">
        <v>417704.88</v>
      </c>
      <c r="BL376" s="407">
        <v>7299</v>
      </c>
      <c r="BM376" s="407"/>
      <c r="BN376" s="407"/>
      <c r="BO376" s="407"/>
      <c r="BP376" s="407"/>
      <c r="BQ376" s="407"/>
      <c r="BR376" s="407"/>
      <c r="BS376" s="407"/>
      <c r="BT376" s="407"/>
      <c r="BU376" s="407"/>
      <c r="BV376" s="407">
        <v>276004.72062888386</v>
      </c>
      <c r="BW376" s="407"/>
      <c r="BX376" s="407"/>
      <c r="BY376" s="407"/>
      <c r="BZ376" s="407"/>
      <c r="CA376" s="407"/>
      <c r="CB376" s="407"/>
      <c r="CC376" s="407"/>
      <c r="CD376" s="407"/>
      <c r="CE376" s="407"/>
      <c r="CF376" s="407"/>
      <c r="CG376" s="407"/>
      <c r="CH376" s="407"/>
      <c r="CI376" s="407">
        <v>1020307.7412</v>
      </c>
      <c r="CJ376" s="407">
        <v>-326908.99625000008</v>
      </c>
      <c r="CK376" s="407"/>
      <c r="CL376" s="407"/>
      <c r="CM376" s="407"/>
      <c r="CN376" s="407"/>
      <c r="CO376" s="407">
        <v>-372721.33950000006</v>
      </c>
      <c r="CP376" s="407">
        <v>45810.537789999995</v>
      </c>
      <c r="CQ376" s="407">
        <v>31</v>
      </c>
      <c r="CR376" s="407">
        <v>28773.783921938855</v>
      </c>
      <c r="CS376" s="407">
        <v>0</v>
      </c>
      <c r="CT376" s="407">
        <v>0</v>
      </c>
      <c r="CU376" s="407">
        <v>0</v>
      </c>
      <c r="CV376" s="407">
        <v>0</v>
      </c>
      <c r="CW376" s="407">
        <v>0</v>
      </c>
      <c r="CX376" s="407">
        <v>0</v>
      </c>
      <c r="CY376" s="407">
        <v>0</v>
      </c>
      <c r="CZ376" s="407">
        <v>8786.984818653902</v>
      </c>
      <c r="DA376" s="407">
        <v>0</v>
      </c>
      <c r="DB376" s="407">
        <v>0</v>
      </c>
      <c r="DC376" s="407">
        <v>50996.594427773292</v>
      </c>
      <c r="DD376" s="407">
        <v>0</v>
      </c>
      <c r="DE376" s="407">
        <v>0</v>
      </c>
      <c r="DF376" s="407">
        <v>0</v>
      </c>
      <c r="DG376" s="407">
        <v>3727.6882084574427</v>
      </c>
      <c r="DH376" s="407">
        <v>0</v>
      </c>
      <c r="DI376" s="407">
        <v>-7238.496236472376</v>
      </c>
      <c r="DJ376" s="407"/>
      <c r="DK376" s="407">
        <v>0</v>
      </c>
      <c r="DL376" s="407">
        <v>0</v>
      </c>
      <c r="DM376" s="407">
        <v>0</v>
      </c>
      <c r="DN376" s="407">
        <v>0</v>
      </c>
      <c r="DO376" s="407">
        <v>-974.32580453058108</v>
      </c>
      <c r="DP376" s="407">
        <v>-220.49774947242531</v>
      </c>
      <c r="DQ376" s="407">
        <v>0</v>
      </c>
      <c r="DR376" s="407">
        <v>-26304.163742470475</v>
      </c>
      <c r="DS376" s="407"/>
      <c r="DT376" s="407"/>
      <c r="DU376" s="407"/>
      <c r="DV376" s="407">
        <v>696323.49435800442</v>
      </c>
      <c r="DW376" s="407">
        <v>0</v>
      </c>
      <c r="DX376" s="407">
        <v>0</v>
      </c>
      <c r="DY376" s="407">
        <v>-372721.33950000012</v>
      </c>
      <c r="DZ376" s="407">
        <v>45810.537790000031</v>
      </c>
      <c r="EA376" s="407">
        <v>0</v>
      </c>
      <c r="EB376" s="407">
        <v>0</v>
      </c>
      <c r="EC376" s="407">
        <v>-355683.6582152794</v>
      </c>
      <c r="ED376" s="407">
        <v>0</v>
      </c>
      <c r="EE376" s="407">
        <v>0</v>
      </c>
      <c r="EF376" s="407">
        <v>0</v>
      </c>
      <c r="EG376" s="407">
        <v>0</v>
      </c>
      <c r="EH376" s="407">
        <v>0</v>
      </c>
      <c r="EI376" s="407">
        <v>0</v>
      </c>
      <c r="EJ376" s="407">
        <v>0</v>
      </c>
      <c r="EK376" s="407">
        <v>0</v>
      </c>
      <c r="EL376" s="407">
        <v>0</v>
      </c>
      <c r="EM376" s="407">
        <v>0</v>
      </c>
      <c r="EN376" s="407">
        <v>0</v>
      </c>
      <c r="EO376" s="407">
        <v>0</v>
      </c>
      <c r="EP376" s="407">
        <v>48952.736643511671</v>
      </c>
      <c r="EQ376" s="407">
        <v>0</v>
      </c>
      <c r="ER376" s="407">
        <v>0</v>
      </c>
      <c r="ES376" s="407">
        <v>0</v>
      </c>
      <c r="ET376" s="407">
        <v>0</v>
      </c>
      <c r="EU376" s="407">
        <v>0</v>
      </c>
      <c r="EV376" s="407">
        <v>246</v>
      </c>
      <c r="EW376" s="407">
        <v>0</v>
      </c>
      <c r="EX376" s="407">
        <v>0</v>
      </c>
      <c r="EY376" s="407">
        <v>0</v>
      </c>
      <c r="EZ376" s="407"/>
      <c r="FA376" s="407">
        <v>0</v>
      </c>
      <c r="FB376" s="407"/>
      <c r="FC376" s="407"/>
      <c r="FD376" s="407"/>
      <c r="FE376" s="407"/>
      <c r="FF376" s="407">
        <v>0</v>
      </c>
      <c r="FG376" s="407">
        <v>0</v>
      </c>
      <c r="FH376" s="407">
        <v>0</v>
      </c>
      <c r="FI376" s="407">
        <v>0</v>
      </c>
    </row>
    <row r="377" spans="1:165">
      <c r="A377" s="407">
        <v>394</v>
      </c>
      <c r="B377" s="407" t="s">
        <v>2308</v>
      </c>
      <c r="C377" s="407" t="s">
        <v>2306</v>
      </c>
      <c r="D377" s="407" t="s">
        <v>1218</v>
      </c>
      <c r="E377" s="407" t="s">
        <v>1021</v>
      </c>
      <c r="F377" s="407" t="s">
        <v>1021</v>
      </c>
      <c r="G377" s="407" t="s">
        <v>97</v>
      </c>
      <c r="H377" s="407" t="s">
        <v>97</v>
      </c>
      <c r="I377" s="407" t="s">
        <v>97</v>
      </c>
      <c r="J377" s="407" t="s">
        <v>2307</v>
      </c>
      <c r="K377" s="818">
        <v>44562</v>
      </c>
      <c r="L377" s="407">
        <v>0</v>
      </c>
      <c r="M377" s="407">
        <v>0</v>
      </c>
      <c r="N377" s="407">
        <v>-0.192</v>
      </c>
      <c r="O377" s="407">
        <v>-0.192</v>
      </c>
      <c r="P377" s="407">
        <v>-0.192</v>
      </c>
      <c r="Q377" s="407">
        <v>-0.192</v>
      </c>
      <c r="R377" s="407"/>
      <c r="S377" s="407">
        <v>648.44000000000005</v>
      </c>
      <c r="T377" s="407">
        <v>159.41</v>
      </c>
      <c r="U377" s="407"/>
      <c r="V377" s="407">
        <v>-155.10720000000001</v>
      </c>
      <c r="W377" s="407">
        <v>-155.10720000000001</v>
      </c>
      <c r="X377" s="407">
        <v>-117.46944000000001</v>
      </c>
      <c r="Y377" s="407">
        <v>0</v>
      </c>
      <c r="Z377" s="407">
        <v>-11.898288120961288</v>
      </c>
      <c r="AA377" s="407">
        <v>0</v>
      </c>
      <c r="AB377" s="407">
        <v>0</v>
      </c>
      <c r="AC377" s="407">
        <v>0</v>
      </c>
      <c r="AD377" s="407">
        <v>-22.395729832687874</v>
      </c>
      <c r="AE377" s="407">
        <v>-80.16883023111879</v>
      </c>
      <c r="AF377" s="407">
        <v>-29.612297608916926</v>
      </c>
      <c r="AG377" s="407">
        <v>-0.9948954697172564</v>
      </c>
      <c r="AH377" s="407">
        <v>0</v>
      </c>
      <c r="AI377" s="407">
        <v>0</v>
      </c>
      <c r="AJ377" s="407">
        <v>0</v>
      </c>
      <c r="AK377" s="407">
        <v>0</v>
      </c>
      <c r="AL377" s="407">
        <v>-1.8386026273424891</v>
      </c>
      <c r="AM377" s="407"/>
      <c r="AN377" s="407">
        <v>-0.39841836297184507</v>
      </c>
      <c r="AO377" s="407">
        <v>0</v>
      </c>
      <c r="AP377" s="407">
        <v>0</v>
      </c>
      <c r="AQ377" s="407">
        <v>0</v>
      </c>
      <c r="AR377" s="407">
        <v>0</v>
      </c>
      <c r="AS377" s="407">
        <v>0</v>
      </c>
      <c r="AT377" s="407">
        <v>0</v>
      </c>
      <c r="AU377" s="407">
        <v>0</v>
      </c>
      <c r="AV377" s="407">
        <v>0</v>
      </c>
      <c r="AW377" s="407">
        <v>0</v>
      </c>
      <c r="AX377" s="407">
        <v>0</v>
      </c>
      <c r="AY377" s="407">
        <v>0</v>
      </c>
      <c r="AZ377" s="407">
        <v>0</v>
      </c>
      <c r="BA377" s="407"/>
      <c r="BB377" s="407">
        <v>0</v>
      </c>
      <c r="BC377" s="407">
        <v>0</v>
      </c>
      <c r="BD377" s="407">
        <v>0</v>
      </c>
      <c r="BE377" s="407">
        <v>0</v>
      </c>
      <c r="BF377" s="407">
        <v>0</v>
      </c>
      <c r="BG377" s="407">
        <v>-2.1645643961270977</v>
      </c>
      <c r="BH377" s="407">
        <v>0</v>
      </c>
      <c r="BI377" s="407">
        <v>-0.48</v>
      </c>
      <c r="BJ377" s="407">
        <v>-2.2799999999999998</v>
      </c>
      <c r="BK377" s="407">
        <v>-71.48</v>
      </c>
      <c r="BL377" s="407">
        <v>0</v>
      </c>
      <c r="BM377" s="407"/>
      <c r="BN377" s="407"/>
      <c r="BO377" s="407"/>
      <c r="BP377" s="407"/>
      <c r="BQ377" s="407"/>
      <c r="BR377" s="407"/>
      <c r="BS377" s="407"/>
      <c r="BT377" s="407"/>
      <c r="BU377" s="407"/>
      <c r="BV377" s="407">
        <v>-31.776862005044023</v>
      </c>
      <c r="BW377" s="407"/>
      <c r="BX377" s="407"/>
      <c r="BY377" s="407"/>
      <c r="BZ377" s="407"/>
      <c r="CA377" s="407"/>
      <c r="CB377" s="407"/>
      <c r="CC377" s="407"/>
      <c r="CD377" s="407"/>
      <c r="CE377" s="407"/>
      <c r="CF377" s="407"/>
      <c r="CG377" s="407"/>
      <c r="CH377" s="407"/>
      <c r="CI377" s="407">
        <v>-116.2458</v>
      </c>
      <c r="CJ377" s="407">
        <v>38.831400000000002</v>
      </c>
      <c r="CK377" s="407"/>
      <c r="CL377" s="407"/>
      <c r="CM377" s="407"/>
      <c r="CN377" s="407"/>
      <c r="CO377" s="407">
        <v>42.912000000000013</v>
      </c>
      <c r="CP377" s="407">
        <v>-5.2742399999999998</v>
      </c>
      <c r="CQ377" s="407">
        <v>31</v>
      </c>
      <c r="CR377" s="407">
        <v>-3.3127714590063988</v>
      </c>
      <c r="CS377" s="407">
        <v>0</v>
      </c>
      <c r="CT377" s="407">
        <v>0</v>
      </c>
      <c r="CU377" s="407">
        <v>0</v>
      </c>
      <c r="CV377" s="407">
        <v>0</v>
      </c>
      <c r="CW377" s="407">
        <v>0</v>
      </c>
      <c r="CX377" s="407">
        <v>0</v>
      </c>
      <c r="CY377" s="407">
        <v>0</v>
      </c>
      <c r="CZ377" s="407">
        <v>-1.0116595230203522</v>
      </c>
      <c r="DA377" s="407">
        <v>0</v>
      </c>
      <c r="DB377" s="407">
        <v>0</v>
      </c>
      <c r="DC377" s="407">
        <v>-5.8713189403651214</v>
      </c>
      <c r="DD377" s="407">
        <v>0</v>
      </c>
      <c r="DE377" s="407">
        <v>0</v>
      </c>
      <c r="DF377" s="407">
        <v>0</v>
      </c>
      <c r="DG377" s="407">
        <v>-0.42917466602774379</v>
      </c>
      <c r="DH377" s="407">
        <v>0</v>
      </c>
      <c r="DI377" s="407">
        <v>0.83337957229975856</v>
      </c>
      <c r="DJ377" s="407"/>
      <c r="DK377" s="407">
        <v>0</v>
      </c>
      <c r="DL377" s="407">
        <v>0</v>
      </c>
      <c r="DM377" s="407">
        <v>0</v>
      </c>
      <c r="DN377" s="407">
        <v>0</v>
      </c>
      <c r="DO377" s="407">
        <v>0.11217567789411831</v>
      </c>
      <c r="DP377" s="407">
        <v>2.5386256225774007E-2</v>
      </c>
      <c r="DQ377" s="407">
        <v>0</v>
      </c>
      <c r="DR377" s="407">
        <v>3.0284401639871579</v>
      </c>
      <c r="DS377" s="407"/>
      <c r="DT377" s="407"/>
      <c r="DU377" s="407"/>
      <c r="DV377" s="407">
        <v>-80.16883023111879</v>
      </c>
      <c r="DW377" s="407">
        <v>0</v>
      </c>
      <c r="DX377" s="407">
        <v>0</v>
      </c>
      <c r="DY377" s="407">
        <v>42.912000000000006</v>
      </c>
      <c r="DZ377" s="407">
        <v>-5.2742400000000025</v>
      </c>
      <c r="EA377" s="407">
        <v>0</v>
      </c>
      <c r="EB377" s="407">
        <v>0</v>
      </c>
      <c r="EC377" s="407">
        <v>40.950424684052933</v>
      </c>
      <c r="ED377" s="407">
        <v>0</v>
      </c>
      <c r="EE377" s="407">
        <v>0</v>
      </c>
      <c r="EF377" s="407">
        <v>0</v>
      </c>
      <c r="EG377" s="407">
        <v>0</v>
      </c>
      <c r="EH377" s="407">
        <v>0</v>
      </c>
      <c r="EI377" s="407">
        <v>0</v>
      </c>
      <c r="EJ377" s="407">
        <v>0</v>
      </c>
      <c r="EK377" s="407">
        <v>0</v>
      </c>
      <c r="EL377" s="407">
        <v>0</v>
      </c>
      <c r="EM377" s="407">
        <v>0</v>
      </c>
      <c r="EN377" s="407">
        <v>0</v>
      </c>
      <c r="EO377" s="407">
        <v>0</v>
      </c>
      <c r="EP377" s="407">
        <v>-5.6360063463615369</v>
      </c>
      <c r="EQ377" s="407">
        <v>0</v>
      </c>
      <c r="ER377" s="407">
        <v>0</v>
      </c>
      <c r="ES377" s="407">
        <v>0</v>
      </c>
      <c r="ET377" s="407">
        <v>0</v>
      </c>
      <c r="EU377" s="407">
        <v>0</v>
      </c>
      <c r="EV377" s="407">
        <v>246</v>
      </c>
      <c r="EW377" s="407">
        <v>0</v>
      </c>
      <c r="EX377" s="407">
        <v>0</v>
      </c>
      <c r="EY377" s="407">
        <v>0</v>
      </c>
      <c r="EZ377" s="407"/>
      <c r="FA377" s="407">
        <v>0</v>
      </c>
      <c r="FB377" s="407"/>
      <c r="FC377" s="407"/>
      <c r="FD377" s="407"/>
      <c r="FE377" s="407"/>
      <c r="FF377" s="407">
        <v>0</v>
      </c>
      <c r="FG377" s="407">
        <v>0</v>
      </c>
      <c r="FH377" s="407">
        <v>0</v>
      </c>
      <c r="FI377" s="407">
        <v>0</v>
      </c>
    </row>
    <row r="378" spans="1:165">
      <c r="A378" s="407">
        <v>395</v>
      </c>
      <c r="B378" s="407" t="s">
        <v>2309</v>
      </c>
      <c r="C378" s="407" t="s">
        <v>2306</v>
      </c>
      <c r="D378" s="407" t="s">
        <v>1218</v>
      </c>
      <c r="E378" s="407" t="s">
        <v>1021</v>
      </c>
      <c r="F378" s="407" t="s">
        <v>1021</v>
      </c>
      <c r="G378" s="407" t="s">
        <v>97</v>
      </c>
      <c r="H378" s="407" t="s">
        <v>97</v>
      </c>
      <c r="I378" s="407" t="s">
        <v>97</v>
      </c>
      <c r="J378" s="407" t="s">
        <v>2307</v>
      </c>
      <c r="K378" s="818">
        <v>44562</v>
      </c>
      <c r="L378" s="407">
        <v>0</v>
      </c>
      <c r="M378" s="407">
        <v>0</v>
      </c>
      <c r="N378" s="407">
        <v>25.696000000000002</v>
      </c>
      <c r="O378" s="407">
        <v>25.696000000000002</v>
      </c>
      <c r="P378" s="407">
        <v>25.696000000000002</v>
      </c>
      <c r="Q378" s="407">
        <v>25.696000000000002</v>
      </c>
      <c r="R378" s="407"/>
      <c r="S378" s="407">
        <v>648.44000000000005</v>
      </c>
      <c r="T378" s="407">
        <v>159.41</v>
      </c>
      <c r="U378" s="407"/>
      <c r="V378" s="407">
        <v>20758.513600000006</v>
      </c>
      <c r="W378" s="407">
        <v>20758.513600000006</v>
      </c>
      <c r="X378" s="407">
        <v>15721.326720000001</v>
      </c>
      <c r="Y378" s="407">
        <v>0</v>
      </c>
      <c r="Z378" s="407">
        <v>1592.3875601886523</v>
      </c>
      <c r="AA378" s="407">
        <v>0</v>
      </c>
      <c r="AB378" s="407">
        <v>0</v>
      </c>
      <c r="AC378" s="407">
        <v>0</v>
      </c>
      <c r="AD378" s="407">
        <v>2997.2951759413936</v>
      </c>
      <c r="AE378" s="407">
        <v>10729.261779264732</v>
      </c>
      <c r="AF378" s="407">
        <v>3963.1124966600487</v>
      </c>
      <c r="AG378" s="407">
        <v>133.15017703049281</v>
      </c>
      <c r="AH378" s="407">
        <v>0</v>
      </c>
      <c r="AI378" s="407">
        <v>0</v>
      </c>
      <c r="AJ378" s="407">
        <v>0</v>
      </c>
      <c r="AK378" s="407">
        <v>0</v>
      </c>
      <c r="AL378" s="407">
        <v>246.06631829266979</v>
      </c>
      <c r="AM378" s="407"/>
      <c r="AN378" s="407">
        <v>53.321657577731933</v>
      </c>
      <c r="AO378" s="407">
        <v>0</v>
      </c>
      <c r="AP378" s="407">
        <v>0</v>
      </c>
      <c r="AQ378" s="407">
        <v>0</v>
      </c>
      <c r="AR378" s="407">
        <v>0</v>
      </c>
      <c r="AS378" s="407">
        <v>0</v>
      </c>
      <c r="AT378" s="407">
        <v>0</v>
      </c>
      <c r="AU378" s="407">
        <v>0</v>
      </c>
      <c r="AV378" s="407">
        <v>0</v>
      </c>
      <c r="AW378" s="407">
        <v>0</v>
      </c>
      <c r="AX378" s="407">
        <v>0</v>
      </c>
      <c r="AY378" s="407">
        <v>0</v>
      </c>
      <c r="AZ378" s="407">
        <v>0</v>
      </c>
      <c r="BA378" s="407"/>
      <c r="BB378" s="407">
        <v>0</v>
      </c>
      <c r="BC378" s="407">
        <v>0</v>
      </c>
      <c r="BD378" s="407">
        <v>0</v>
      </c>
      <c r="BE378" s="407">
        <v>0</v>
      </c>
      <c r="BF378" s="407">
        <v>0</v>
      </c>
      <c r="BG378" s="407">
        <v>289.69086834834326</v>
      </c>
      <c r="BH378" s="407">
        <v>0</v>
      </c>
      <c r="BI378" s="407">
        <v>16.739999999999998</v>
      </c>
      <c r="BJ378" s="407">
        <v>83.3</v>
      </c>
      <c r="BK378" s="407">
        <v>23131.119999999999</v>
      </c>
      <c r="BL378" s="407">
        <v>222</v>
      </c>
      <c r="BM378" s="407"/>
      <c r="BN378" s="407"/>
      <c r="BO378" s="407"/>
      <c r="BP378" s="407"/>
      <c r="BQ378" s="407"/>
      <c r="BR378" s="407"/>
      <c r="BS378" s="407"/>
      <c r="BT378" s="407"/>
      <c r="BU378" s="407"/>
      <c r="BV378" s="407">
        <v>4252.8033650083917</v>
      </c>
      <c r="BW378" s="407"/>
      <c r="BX378" s="407"/>
      <c r="BY378" s="407"/>
      <c r="BZ378" s="407"/>
      <c r="CA378" s="407"/>
      <c r="CB378" s="407"/>
      <c r="CC378" s="407"/>
      <c r="CD378" s="407"/>
      <c r="CE378" s="407"/>
      <c r="CF378" s="407"/>
      <c r="CG378" s="407"/>
      <c r="CH378" s="407"/>
      <c r="CI378" s="407">
        <v>15723.774000000001</v>
      </c>
      <c r="CJ378" s="407">
        <v>-5034.7695999999996</v>
      </c>
      <c r="CK378" s="407"/>
      <c r="CL378" s="407"/>
      <c r="CM378" s="407"/>
      <c r="CN378" s="407"/>
      <c r="CO378" s="407">
        <v>-5743.0560000000014</v>
      </c>
      <c r="CP378" s="407">
        <v>705.86912000000007</v>
      </c>
      <c r="CQ378" s="407">
        <v>31</v>
      </c>
      <c r="CR378" s="407">
        <v>443.35924693036031</v>
      </c>
      <c r="CS378" s="407">
        <v>0</v>
      </c>
      <c r="CT378" s="407">
        <v>0</v>
      </c>
      <c r="CU378" s="407">
        <v>0</v>
      </c>
      <c r="CV378" s="407">
        <v>0</v>
      </c>
      <c r="CW378" s="407">
        <v>0</v>
      </c>
      <c r="CX378" s="407">
        <v>0</v>
      </c>
      <c r="CY378" s="407">
        <v>0</v>
      </c>
      <c r="CZ378" s="407">
        <v>135.39376616422396</v>
      </c>
      <c r="DA378" s="407">
        <v>0</v>
      </c>
      <c r="DB378" s="407">
        <v>0</v>
      </c>
      <c r="DC378" s="407">
        <v>785.77818485219859</v>
      </c>
      <c r="DD378" s="407">
        <v>0</v>
      </c>
      <c r="DE378" s="407">
        <v>0</v>
      </c>
      <c r="DF378" s="407">
        <v>0</v>
      </c>
      <c r="DG378" s="407">
        <v>57.437876136713044</v>
      </c>
      <c r="DH378" s="407">
        <v>0</v>
      </c>
      <c r="DI378" s="407">
        <v>-111.53396609278411</v>
      </c>
      <c r="DJ378" s="407"/>
      <c r="DK378" s="407">
        <v>0</v>
      </c>
      <c r="DL378" s="407">
        <v>0</v>
      </c>
      <c r="DM378" s="407">
        <v>0</v>
      </c>
      <c r="DN378" s="407">
        <v>0</v>
      </c>
      <c r="DO378" s="407">
        <v>-15.012844891496172</v>
      </c>
      <c r="DP378" s="407">
        <v>-3.397527291549423</v>
      </c>
      <c r="DQ378" s="407">
        <v>0</v>
      </c>
      <c r="DR378" s="407">
        <v>-405.30624194694798</v>
      </c>
      <c r="DS378" s="407"/>
      <c r="DT378" s="407"/>
      <c r="DU378" s="407"/>
      <c r="DV378" s="407">
        <v>10729.261779264732</v>
      </c>
      <c r="DW378" s="407">
        <v>0</v>
      </c>
      <c r="DX378" s="407">
        <v>0</v>
      </c>
      <c r="DY378" s="407">
        <v>-5743.0560000000023</v>
      </c>
      <c r="DZ378" s="407">
        <v>705.86911999999938</v>
      </c>
      <c r="EA378" s="407">
        <v>0</v>
      </c>
      <c r="EB378" s="407">
        <v>0</v>
      </c>
      <c r="EC378" s="407">
        <v>-5480.5318368824182</v>
      </c>
      <c r="ED378" s="407">
        <v>0</v>
      </c>
      <c r="EE378" s="407">
        <v>0</v>
      </c>
      <c r="EF378" s="407">
        <v>0</v>
      </c>
      <c r="EG378" s="407">
        <v>0</v>
      </c>
      <c r="EH378" s="407">
        <v>0</v>
      </c>
      <c r="EI378" s="407">
        <v>0</v>
      </c>
      <c r="EJ378" s="407">
        <v>0</v>
      </c>
      <c r="EK378" s="407">
        <v>0</v>
      </c>
      <c r="EL378" s="407">
        <v>0</v>
      </c>
      <c r="EM378" s="407">
        <v>0</v>
      </c>
      <c r="EN378" s="407">
        <v>0</v>
      </c>
      <c r="EO378" s="407">
        <v>0</v>
      </c>
      <c r="EP378" s="407">
        <v>754.28551602138566</v>
      </c>
      <c r="EQ378" s="407">
        <v>0</v>
      </c>
      <c r="ER378" s="407">
        <v>0</v>
      </c>
      <c r="ES378" s="407">
        <v>0</v>
      </c>
      <c r="ET378" s="407">
        <v>0</v>
      </c>
      <c r="EU378" s="407">
        <v>0</v>
      </c>
      <c r="EV378" s="407">
        <v>246</v>
      </c>
      <c r="EW378" s="407">
        <v>0</v>
      </c>
      <c r="EX378" s="407">
        <v>0</v>
      </c>
      <c r="EY378" s="407">
        <v>0</v>
      </c>
      <c r="EZ378" s="407"/>
      <c r="FA378" s="407">
        <v>0</v>
      </c>
      <c r="FB378" s="407"/>
      <c r="FC378" s="407"/>
      <c r="FD378" s="407"/>
      <c r="FE378" s="407"/>
      <c r="FF378" s="407">
        <v>0</v>
      </c>
      <c r="FG378" s="407">
        <v>0</v>
      </c>
      <c r="FH378" s="407">
        <v>0</v>
      </c>
      <c r="FI378" s="407">
        <v>0</v>
      </c>
    </row>
    <row r="379" spans="1:165">
      <c r="A379" s="407">
        <v>396</v>
      </c>
      <c r="B379" s="407" t="s">
        <v>1090</v>
      </c>
      <c r="C379" s="407" t="s">
        <v>2306</v>
      </c>
      <c r="D379" s="407" t="s">
        <v>1218</v>
      </c>
      <c r="E379" s="407" t="s">
        <v>1021</v>
      </c>
      <c r="F379" s="407" t="s">
        <v>2310</v>
      </c>
      <c r="G379" s="407" t="s">
        <v>97</v>
      </c>
      <c r="H379" s="407" t="s">
        <v>97</v>
      </c>
      <c r="I379" s="407" t="s">
        <v>97</v>
      </c>
      <c r="J379" s="407" t="s">
        <v>2307</v>
      </c>
      <c r="K379" s="818">
        <v>44562</v>
      </c>
      <c r="L379" s="407">
        <v>0</v>
      </c>
      <c r="M379" s="407">
        <v>0</v>
      </c>
      <c r="N379" s="407">
        <v>21.18</v>
      </c>
      <c r="O379" s="407">
        <v>21.18</v>
      </c>
      <c r="P379" s="407">
        <v>21.18</v>
      </c>
      <c r="Q379" s="407">
        <v>21.18</v>
      </c>
      <c r="R379" s="407"/>
      <c r="S379" s="407">
        <v>547.54</v>
      </c>
      <c r="T379" s="407">
        <v>159.41</v>
      </c>
      <c r="U379" s="407"/>
      <c r="V379" s="407">
        <v>14973.200999999999</v>
      </c>
      <c r="W379" s="407">
        <v>14973.200999999999</v>
      </c>
      <c r="X379" s="407">
        <v>10967.427599999999</v>
      </c>
      <c r="Y379" s="407">
        <v>0</v>
      </c>
      <c r="Z379" s="407">
        <v>0</v>
      </c>
      <c r="AA379" s="407">
        <v>0</v>
      </c>
      <c r="AB379" s="407">
        <v>0</v>
      </c>
      <c r="AC379" s="407">
        <v>0</v>
      </c>
      <c r="AD379" s="407">
        <v>2470.5289471683809</v>
      </c>
      <c r="AE379" s="407">
        <v>8843.624084870291</v>
      </c>
      <c r="AF379" s="407">
        <v>3266.6065799836483</v>
      </c>
      <c r="AG379" s="407">
        <v>109.74940650318484</v>
      </c>
      <c r="AH379" s="407">
        <v>0</v>
      </c>
      <c r="AI379" s="407">
        <v>0</v>
      </c>
      <c r="AJ379" s="407">
        <v>0</v>
      </c>
      <c r="AK379" s="407">
        <v>0</v>
      </c>
      <c r="AL379" s="407">
        <v>0</v>
      </c>
      <c r="AM379" s="407"/>
      <c r="AN379" s="407">
        <v>43.950525665331661</v>
      </c>
      <c r="AO379" s="407">
        <v>0</v>
      </c>
      <c r="AP379" s="407">
        <v>0</v>
      </c>
      <c r="AQ379" s="407">
        <v>0</v>
      </c>
      <c r="AR379" s="407">
        <v>0</v>
      </c>
      <c r="AS379" s="407">
        <v>0</v>
      </c>
      <c r="AT379" s="407">
        <v>0</v>
      </c>
      <c r="AU379" s="407">
        <v>0</v>
      </c>
      <c r="AV379" s="407">
        <v>0</v>
      </c>
      <c r="AW379" s="407">
        <v>0</v>
      </c>
      <c r="AX379" s="407">
        <v>0</v>
      </c>
      <c r="AY379" s="407">
        <v>0</v>
      </c>
      <c r="AZ379" s="407">
        <v>0</v>
      </c>
      <c r="BA379" s="407"/>
      <c r="BB379" s="407">
        <v>0</v>
      </c>
      <c r="BC379" s="407">
        <v>0</v>
      </c>
      <c r="BD379" s="407">
        <v>0</v>
      </c>
      <c r="BE379" s="407">
        <v>0</v>
      </c>
      <c r="BF379" s="407">
        <v>0</v>
      </c>
      <c r="BG379" s="407">
        <v>238.77850994777046</v>
      </c>
      <c r="BH379" s="407">
        <v>0</v>
      </c>
      <c r="BI379" s="407">
        <v>0.06</v>
      </c>
      <c r="BJ379" s="407">
        <v>13.34</v>
      </c>
      <c r="BK379" s="407">
        <v>1174.18</v>
      </c>
      <c r="BL379" s="407">
        <v>30</v>
      </c>
      <c r="BM379" s="407"/>
      <c r="BN379" s="407"/>
      <c r="BO379" s="407"/>
      <c r="BP379" s="407"/>
      <c r="BQ379" s="407"/>
      <c r="BR379" s="407"/>
      <c r="BS379" s="407"/>
      <c r="BT379" s="407">
        <v>7128.7644</v>
      </c>
      <c r="BU379" s="407"/>
      <c r="BV379" s="407">
        <v>3505.3850899314189</v>
      </c>
      <c r="BW379" s="407"/>
      <c r="BX379" s="407"/>
      <c r="BY379" s="407"/>
      <c r="BZ379" s="407"/>
      <c r="CA379" s="407"/>
      <c r="CB379" s="407"/>
      <c r="CC379" s="407"/>
      <c r="CD379" s="407"/>
      <c r="CE379" s="407"/>
      <c r="CF379" s="407"/>
      <c r="CG379" s="407"/>
      <c r="CH379" s="407"/>
      <c r="CI379" s="407">
        <v>3838.6632</v>
      </c>
      <c r="CJ379" s="407">
        <v>-1401.9342000000006</v>
      </c>
      <c r="CK379" s="407"/>
      <c r="CL379" s="407"/>
      <c r="CM379" s="407"/>
      <c r="CN379" s="407"/>
      <c r="CO379" s="407">
        <v>-4587.5879999999988</v>
      </c>
      <c r="CP379" s="407">
        <v>581.81459999999993</v>
      </c>
      <c r="CQ379" s="407">
        <v>31</v>
      </c>
      <c r="CR379" s="407">
        <v>511.47250867672028</v>
      </c>
      <c r="CS379" s="407">
        <v>0</v>
      </c>
      <c r="CT379" s="407">
        <v>0</v>
      </c>
      <c r="CU379" s="407">
        <v>0</v>
      </c>
      <c r="CV379" s="407">
        <v>0</v>
      </c>
      <c r="CW379" s="407">
        <v>0</v>
      </c>
      <c r="CX379" s="407">
        <v>0</v>
      </c>
      <c r="CY379" s="407">
        <v>0</v>
      </c>
      <c r="CZ379" s="407">
        <v>111.59869113318246</v>
      </c>
      <c r="DA379" s="407">
        <v>0</v>
      </c>
      <c r="DB379" s="407">
        <v>0</v>
      </c>
      <c r="DC379" s="407">
        <v>647.6798706090276</v>
      </c>
      <c r="DD379" s="407">
        <v>0</v>
      </c>
      <c r="DE379" s="407">
        <v>0</v>
      </c>
      <c r="DF379" s="407">
        <v>0</v>
      </c>
      <c r="DG379" s="407">
        <v>47.343330346185525</v>
      </c>
      <c r="DH379" s="407">
        <v>0</v>
      </c>
      <c r="DI379" s="407">
        <v>0</v>
      </c>
      <c r="DJ379" s="407"/>
      <c r="DK379" s="407">
        <v>0</v>
      </c>
      <c r="DL379" s="407">
        <v>0</v>
      </c>
      <c r="DM379" s="407">
        <v>0</v>
      </c>
      <c r="DN379" s="407">
        <v>0</v>
      </c>
      <c r="DO379" s="407">
        <v>0</v>
      </c>
      <c r="DP379" s="407">
        <v>-2.8004213899057007</v>
      </c>
      <c r="DQ379" s="407">
        <v>0</v>
      </c>
      <c r="DR379" s="407">
        <v>-292.34896202177055</v>
      </c>
      <c r="DS379" s="407"/>
      <c r="DT379" s="407"/>
      <c r="DU379" s="407"/>
      <c r="DV379" s="407">
        <v>8843.624084870291</v>
      </c>
      <c r="DW379" s="407">
        <v>0</v>
      </c>
      <c r="DX379" s="407">
        <v>0</v>
      </c>
      <c r="DY379" s="407">
        <v>-4587.5879999999997</v>
      </c>
      <c r="DZ379" s="407">
        <v>581.81460000000015</v>
      </c>
      <c r="EA379" s="407">
        <v>0</v>
      </c>
      <c r="EB379" s="407">
        <v>0</v>
      </c>
      <c r="EC379" s="407">
        <v>-4517.3437229595884</v>
      </c>
      <c r="ED379" s="407">
        <v>0</v>
      </c>
      <c r="EE379" s="407">
        <v>0</v>
      </c>
      <c r="EF379" s="407">
        <v>0</v>
      </c>
      <c r="EG379" s="407">
        <v>0</v>
      </c>
      <c r="EH379" s="407">
        <v>0</v>
      </c>
      <c r="EI379" s="407">
        <v>0</v>
      </c>
      <c r="EJ379" s="407">
        <v>0</v>
      </c>
      <c r="EK379" s="407">
        <v>0</v>
      </c>
      <c r="EL379" s="407">
        <v>0</v>
      </c>
      <c r="EM379" s="407">
        <v>0</v>
      </c>
      <c r="EN379" s="407">
        <v>0</v>
      </c>
      <c r="EO379" s="407">
        <v>0</v>
      </c>
      <c r="EP379" s="407">
        <v>0</v>
      </c>
      <c r="EQ379" s="407">
        <v>0</v>
      </c>
      <c r="ER379" s="407">
        <v>0</v>
      </c>
      <c r="ES379" s="407">
        <v>0</v>
      </c>
      <c r="ET379" s="407">
        <v>0</v>
      </c>
      <c r="EU379" s="407">
        <v>0</v>
      </c>
      <c r="EV379" s="407">
        <v>246</v>
      </c>
      <c r="EW379" s="407">
        <v>0</v>
      </c>
      <c r="EX379" s="407">
        <v>0</v>
      </c>
      <c r="EY379" s="407">
        <v>0</v>
      </c>
      <c r="EZ379" s="407"/>
      <c r="FA379" s="407">
        <v>0</v>
      </c>
      <c r="FB379" s="407"/>
      <c r="FC379" s="407"/>
      <c r="FD379" s="407"/>
      <c r="FE379" s="407"/>
      <c r="FF379" s="407">
        <v>0</v>
      </c>
      <c r="FG379" s="407">
        <v>0</v>
      </c>
      <c r="FH379" s="407">
        <v>0</v>
      </c>
      <c r="FI379" s="407">
        <v>0</v>
      </c>
    </row>
    <row r="380" spans="1:165">
      <c r="A380" s="407">
        <v>397</v>
      </c>
      <c r="B380" s="407" t="s">
        <v>2309</v>
      </c>
      <c r="C380" s="407" t="s">
        <v>2306</v>
      </c>
      <c r="D380" s="407" t="s">
        <v>1218</v>
      </c>
      <c r="E380" s="407" t="s">
        <v>1021</v>
      </c>
      <c r="F380" s="407" t="s">
        <v>2310</v>
      </c>
      <c r="G380" s="407" t="s">
        <v>97</v>
      </c>
      <c r="H380" s="407" t="s">
        <v>97</v>
      </c>
      <c r="I380" s="407" t="s">
        <v>97</v>
      </c>
      <c r="J380" s="407" t="s">
        <v>2307</v>
      </c>
      <c r="K380" s="818">
        <v>44562</v>
      </c>
      <c r="L380" s="407">
        <v>0</v>
      </c>
      <c r="M380" s="407">
        <v>0</v>
      </c>
      <c r="N380" s="407">
        <v>0</v>
      </c>
      <c r="O380" s="407">
        <v>0</v>
      </c>
      <c r="P380" s="407">
        <v>0</v>
      </c>
      <c r="Q380" s="407">
        <v>0</v>
      </c>
      <c r="R380" s="407"/>
      <c r="S380" s="407"/>
      <c r="T380" s="407"/>
      <c r="U380" s="407"/>
      <c r="V380" s="407"/>
      <c r="W380" s="407"/>
      <c r="X380" s="407"/>
      <c r="Y380" s="407"/>
      <c r="Z380" s="407"/>
      <c r="AA380" s="407">
        <v>0</v>
      </c>
      <c r="AB380" s="407"/>
      <c r="AC380" s="407"/>
      <c r="AD380" s="407"/>
      <c r="AE380" s="407"/>
      <c r="AF380" s="407"/>
      <c r="AG380" s="407"/>
      <c r="AH380" s="407"/>
      <c r="AI380" s="407"/>
      <c r="AJ380" s="407"/>
      <c r="AK380" s="407"/>
      <c r="AL380" s="407"/>
      <c r="AM380" s="407"/>
      <c r="AN380" s="407"/>
      <c r="AO380" s="407"/>
      <c r="AP380" s="407"/>
      <c r="AQ380" s="407"/>
      <c r="AR380" s="407"/>
      <c r="AS380" s="407"/>
      <c r="AT380" s="407"/>
      <c r="AU380" s="407"/>
      <c r="AV380" s="407"/>
      <c r="AW380" s="407"/>
      <c r="AX380" s="407"/>
      <c r="AY380" s="407"/>
      <c r="AZ380" s="407">
        <v>0</v>
      </c>
      <c r="BA380" s="407"/>
      <c r="BB380" s="407"/>
      <c r="BC380" s="407"/>
      <c r="BD380" s="407"/>
      <c r="BE380" s="407"/>
      <c r="BF380" s="407"/>
      <c r="BG380" s="407"/>
      <c r="BH380" s="407"/>
      <c r="BI380" s="407">
        <v>0</v>
      </c>
      <c r="BJ380" s="407">
        <v>0</v>
      </c>
      <c r="BK380" s="407">
        <v>1.1499999999999999</v>
      </c>
      <c r="BL380" s="407">
        <v>0</v>
      </c>
      <c r="BM380" s="407"/>
      <c r="BN380" s="407"/>
      <c r="BO380" s="407"/>
      <c r="BP380" s="407"/>
      <c r="BQ380" s="407"/>
      <c r="BR380" s="407"/>
      <c r="BS380" s="407"/>
      <c r="BT380" s="407"/>
      <c r="BU380" s="407"/>
      <c r="BV380" s="407"/>
      <c r="BW380" s="407"/>
      <c r="BX380" s="407"/>
      <c r="BY380" s="407"/>
      <c r="BZ380" s="407"/>
      <c r="CA380" s="407"/>
      <c r="CB380" s="407"/>
      <c r="CC380" s="407"/>
      <c r="CD380" s="407"/>
      <c r="CE380" s="407"/>
      <c r="CF380" s="407"/>
      <c r="CG380" s="407"/>
      <c r="CH380" s="407"/>
      <c r="CI380" s="407"/>
      <c r="CJ380" s="407">
        <v>-0.03</v>
      </c>
      <c r="CK380" s="407"/>
      <c r="CL380" s="407"/>
      <c r="CM380" s="407"/>
      <c r="CN380" s="407"/>
      <c r="CO380" s="407">
        <v>0</v>
      </c>
      <c r="CP380" s="407">
        <v>0</v>
      </c>
      <c r="CQ380" s="407">
        <v>31</v>
      </c>
      <c r="CR380" s="407"/>
      <c r="CS380" s="407"/>
      <c r="CT380" s="407"/>
      <c r="CU380" s="407"/>
      <c r="CV380" s="407"/>
      <c r="CW380" s="407"/>
      <c r="CX380" s="407"/>
      <c r="CY380" s="407"/>
      <c r="CZ380" s="407"/>
      <c r="DA380" s="407"/>
      <c r="DB380" s="407"/>
      <c r="DC380" s="407"/>
      <c r="DD380" s="407"/>
      <c r="DE380" s="407"/>
      <c r="DF380" s="407"/>
      <c r="DG380" s="407"/>
      <c r="DH380" s="407"/>
      <c r="DI380" s="407"/>
      <c r="DJ380" s="407"/>
      <c r="DK380" s="407">
        <v>0</v>
      </c>
      <c r="DL380" s="407"/>
      <c r="DM380" s="407"/>
      <c r="DN380" s="407"/>
      <c r="DO380" s="407"/>
      <c r="DP380" s="407"/>
      <c r="DQ380" s="407"/>
      <c r="DR380" s="407"/>
      <c r="DS380" s="407"/>
      <c r="DT380" s="407"/>
      <c r="DU380" s="407"/>
      <c r="DV380" s="407"/>
      <c r="DW380" s="407"/>
      <c r="DX380" s="407"/>
      <c r="DY380" s="407"/>
      <c r="DZ380" s="407"/>
      <c r="EA380" s="407"/>
      <c r="EB380" s="407"/>
      <c r="EC380" s="407"/>
      <c r="ED380" s="407"/>
      <c r="EE380" s="407"/>
      <c r="EF380" s="407"/>
      <c r="EG380" s="407"/>
      <c r="EH380" s="407"/>
      <c r="EI380" s="407"/>
      <c r="EJ380" s="407"/>
      <c r="EK380" s="407"/>
      <c r="EL380" s="407"/>
      <c r="EM380" s="407"/>
      <c r="EN380" s="407"/>
      <c r="EO380" s="407"/>
      <c r="EP380" s="407"/>
      <c r="EQ380" s="407"/>
      <c r="ER380" s="407"/>
      <c r="ES380" s="407"/>
      <c r="ET380" s="407"/>
      <c r="EU380" s="407"/>
      <c r="EV380" s="407">
        <v>246</v>
      </c>
      <c r="EW380" s="407"/>
      <c r="EX380" s="407"/>
      <c r="EY380" s="407"/>
      <c r="EZ380" s="407"/>
      <c r="FA380" s="407">
        <v>0</v>
      </c>
      <c r="FB380" s="407"/>
      <c r="FC380" s="407"/>
      <c r="FD380" s="407"/>
      <c r="FE380" s="407"/>
      <c r="FF380" s="407">
        <v>0</v>
      </c>
      <c r="FG380" s="407">
        <v>0</v>
      </c>
      <c r="FH380" s="407">
        <v>0</v>
      </c>
      <c r="FI380" s="407">
        <v>0</v>
      </c>
    </row>
    <row r="381" spans="1:165">
      <c r="A381" s="407">
        <v>398</v>
      </c>
      <c r="B381" s="407" t="s">
        <v>1090</v>
      </c>
      <c r="C381" s="407" t="s">
        <v>2306</v>
      </c>
      <c r="D381" s="407" t="s">
        <v>1218</v>
      </c>
      <c r="E381" s="407" t="s">
        <v>1021</v>
      </c>
      <c r="F381" s="407" t="s">
        <v>2311</v>
      </c>
      <c r="G381" s="407" t="s">
        <v>97</v>
      </c>
      <c r="H381" s="407" t="s">
        <v>97</v>
      </c>
      <c r="I381" s="407" t="s">
        <v>97</v>
      </c>
      <c r="J381" s="407" t="s">
        <v>2307</v>
      </c>
      <c r="K381" s="818">
        <v>44562</v>
      </c>
      <c r="L381" s="407">
        <v>0</v>
      </c>
      <c r="M381" s="407">
        <v>0</v>
      </c>
      <c r="N381" s="407">
        <v>44.262</v>
      </c>
      <c r="O381" s="407">
        <v>44.262</v>
      </c>
      <c r="P381" s="407">
        <v>44.262</v>
      </c>
      <c r="Q381" s="407">
        <v>44.262</v>
      </c>
      <c r="R381" s="407"/>
      <c r="S381" s="407">
        <v>547.54</v>
      </c>
      <c r="T381" s="407">
        <v>159.41</v>
      </c>
      <c r="U381" s="407"/>
      <c r="V381" s="407">
        <v>31291.0209</v>
      </c>
      <c r="W381" s="407">
        <v>31291.0209</v>
      </c>
      <c r="X381" s="407">
        <v>22919.74884</v>
      </c>
      <c r="Y381" s="407">
        <v>0</v>
      </c>
      <c r="Z381" s="407">
        <v>0</v>
      </c>
      <c r="AA381" s="407">
        <v>0</v>
      </c>
      <c r="AB381" s="407">
        <v>0</v>
      </c>
      <c r="AC381" s="407">
        <v>0</v>
      </c>
      <c r="AD381" s="407">
        <v>5162.9155929918261</v>
      </c>
      <c r="AE381" s="407">
        <v>18481.420644217604</v>
      </c>
      <c r="AF381" s="407">
        <v>6826.5599831556301</v>
      </c>
      <c r="AG381" s="407">
        <v>229.35449625325626</v>
      </c>
      <c r="AH381" s="407">
        <v>0</v>
      </c>
      <c r="AI381" s="407">
        <v>0</v>
      </c>
      <c r="AJ381" s="407">
        <v>0</v>
      </c>
      <c r="AK381" s="407">
        <v>0</v>
      </c>
      <c r="AL381" s="407">
        <v>0</v>
      </c>
      <c r="AM381" s="407"/>
      <c r="AN381" s="407">
        <v>91.847883238853157</v>
      </c>
      <c r="AO381" s="407">
        <v>0</v>
      </c>
      <c r="AP381" s="407">
        <v>0</v>
      </c>
      <c r="AQ381" s="407">
        <v>0</v>
      </c>
      <c r="AR381" s="407">
        <v>0</v>
      </c>
      <c r="AS381" s="407">
        <v>0</v>
      </c>
      <c r="AT381" s="407">
        <v>0</v>
      </c>
      <c r="AU381" s="407">
        <v>0</v>
      </c>
      <c r="AV381" s="407">
        <v>0</v>
      </c>
      <c r="AW381" s="407">
        <v>0</v>
      </c>
      <c r="AX381" s="407">
        <v>0</v>
      </c>
      <c r="AY381" s="407">
        <v>0</v>
      </c>
      <c r="AZ381" s="407">
        <v>0</v>
      </c>
      <c r="BA381" s="407"/>
      <c r="BB381" s="407">
        <v>0</v>
      </c>
      <c r="BC381" s="407">
        <v>0</v>
      </c>
      <c r="BD381" s="407">
        <v>0</v>
      </c>
      <c r="BE381" s="407">
        <v>0</v>
      </c>
      <c r="BF381" s="407">
        <v>0</v>
      </c>
      <c r="BG381" s="407">
        <v>498.99973594467497</v>
      </c>
      <c r="BH381" s="407">
        <v>0</v>
      </c>
      <c r="BI381" s="407">
        <v>10.94</v>
      </c>
      <c r="BJ381" s="407">
        <v>51.49</v>
      </c>
      <c r="BK381" s="407">
        <v>4531.68</v>
      </c>
      <c r="BL381" s="407">
        <v>126</v>
      </c>
      <c r="BM381" s="407"/>
      <c r="BN381" s="407"/>
      <c r="BO381" s="407"/>
      <c r="BP381" s="407"/>
      <c r="BQ381" s="407"/>
      <c r="BR381" s="407"/>
      <c r="BS381" s="407"/>
      <c r="BT381" s="407">
        <v>9167.9880599999997</v>
      </c>
      <c r="BU381" s="407"/>
      <c r="BV381" s="407">
        <v>7325.5597191003053</v>
      </c>
      <c r="BW381" s="407"/>
      <c r="BX381" s="407"/>
      <c r="BY381" s="407"/>
      <c r="BZ381" s="407"/>
      <c r="CA381" s="407"/>
      <c r="CB381" s="407"/>
      <c r="CC381" s="407"/>
      <c r="CD381" s="407"/>
      <c r="CE381" s="407"/>
      <c r="CF381" s="407"/>
      <c r="CG381" s="407"/>
      <c r="CH381" s="407"/>
      <c r="CI381" s="407">
        <v>13751.139399999998</v>
      </c>
      <c r="CJ381" s="407">
        <v>-5023.5031399999989</v>
      </c>
      <c r="CK381" s="407"/>
      <c r="CL381" s="407"/>
      <c r="CM381" s="407"/>
      <c r="CN381" s="407"/>
      <c r="CO381" s="407">
        <v>-9587.149199999998</v>
      </c>
      <c r="CP381" s="407">
        <v>1215.8771400000001</v>
      </c>
      <c r="CQ381" s="407">
        <v>31</v>
      </c>
      <c r="CR381" s="407">
        <v>1068.8761179909798</v>
      </c>
      <c r="CS381" s="407">
        <v>0</v>
      </c>
      <c r="CT381" s="407">
        <v>0</v>
      </c>
      <c r="CU381" s="407">
        <v>0</v>
      </c>
      <c r="CV381" s="407">
        <v>0</v>
      </c>
      <c r="CW381" s="407">
        <v>0</v>
      </c>
      <c r="CX381" s="407">
        <v>0</v>
      </c>
      <c r="CY381" s="407">
        <v>0</v>
      </c>
      <c r="CZ381" s="407">
        <v>233.21913441628567</v>
      </c>
      <c r="DA381" s="407">
        <v>0</v>
      </c>
      <c r="DB381" s="407">
        <v>0</v>
      </c>
      <c r="DC381" s="407">
        <v>1353.5224944710471</v>
      </c>
      <c r="DD381" s="407">
        <v>0</v>
      </c>
      <c r="DE381" s="407">
        <v>0</v>
      </c>
      <c r="DF381" s="407">
        <v>0</v>
      </c>
      <c r="DG381" s="407">
        <v>98.938172227708378</v>
      </c>
      <c r="DH381" s="407">
        <v>0</v>
      </c>
      <c r="DI381" s="407">
        <v>0</v>
      </c>
      <c r="DJ381" s="407"/>
      <c r="DK381" s="407">
        <v>0</v>
      </c>
      <c r="DL381" s="407">
        <v>0</v>
      </c>
      <c r="DM381" s="407">
        <v>0</v>
      </c>
      <c r="DN381" s="407">
        <v>0</v>
      </c>
      <c r="DO381" s="407">
        <v>0</v>
      </c>
      <c r="DP381" s="407">
        <v>-5.8523253805479669</v>
      </c>
      <c r="DQ381" s="407">
        <v>0</v>
      </c>
      <c r="DR381" s="407">
        <v>-610.95135774351309</v>
      </c>
      <c r="DS381" s="407"/>
      <c r="DT381" s="407"/>
      <c r="DU381" s="407"/>
      <c r="DV381" s="407">
        <v>18481.420644217604</v>
      </c>
      <c r="DW381" s="407">
        <v>0</v>
      </c>
      <c r="DX381" s="407">
        <v>0</v>
      </c>
      <c r="DY381" s="407">
        <v>-9587.149199999998</v>
      </c>
      <c r="DZ381" s="407">
        <v>1215.8771399999996</v>
      </c>
      <c r="EA381" s="407">
        <v>0</v>
      </c>
      <c r="EB381" s="407">
        <v>0</v>
      </c>
      <c r="EC381" s="407">
        <v>-9440.3525904455782</v>
      </c>
      <c r="ED381" s="407">
        <v>0</v>
      </c>
      <c r="EE381" s="407">
        <v>0</v>
      </c>
      <c r="EF381" s="407">
        <v>0</v>
      </c>
      <c r="EG381" s="407">
        <v>0</v>
      </c>
      <c r="EH381" s="407">
        <v>0</v>
      </c>
      <c r="EI381" s="407">
        <v>0</v>
      </c>
      <c r="EJ381" s="407">
        <v>0</v>
      </c>
      <c r="EK381" s="407">
        <v>0</v>
      </c>
      <c r="EL381" s="407">
        <v>0</v>
      </c>
      <c r="EM381" s="407">
        <v>0</v>
      </c>
      <c r="EN381" s="407">
        <v>0</v>
      </c>
      <c r="EO381" s="407">
        <v>0</v>
      </c>
      <c r="EP381" s="407">
        <v>0</v>
      </c>
      <c r="EQ381" s="407">
        <v>0</v>
      </c>
      <c r="ER381" s="407">
        <v>0</v>
      </c>
      <c r="ES381" s="407">
        <v>0</v>
      </c>
      <c r="ET381" s="407">
        <v>0</v>
      </c>
      <c r="EU381" s="407">
        <v>0</v>
      </c>
      <c r="EV381" s="407">
        <v>246</v>
      </c>
      <c r="EW381" s="407">
        <v>0</v>
      </c>
      <c r="EX381" s="407">
        <v>0</v>
      </c>
      <c r="EY381" s="407">
        <v>0</v>
      </c>
      <c r="EZ381" s="407"/>
      <c r="FA381" s="407">
        <v>0</v>
      </c>
      <c r="FB381" s="407"/>
      <c r="FC381" s="407"/>
      <c r="FD381" s="407"/>
      <c r="FE381" s="407"/>
      <c r="FF381" s="407">
        <v>0</v>
      </c>
      <c r="FG381" s="407">
        <v>0</v>
      </c>
      <c r="FH381" s="407">
        <v>0</v>
      </c>
      <c r="FI381" s="407">
        <v>0</v>
      </c>
    </row>
    <row r="382" spans="1:165">
      <c r="A382" s="407">
        <v>399</v>
      </c>
      <c r="B382" s="407" t="s">
        <v>2309</v>
      </c>
      <c r="C382" s="407" t="s">
        <v>2306</v>
      </c>
      <c r="D382" s="407" t="s">
        <v>1218</v>
      </c>
      <c r="E382" s="407" t="s">
        <v>1021</v>
      </c>
      <c r="F382" s="407" t="s">
        <v>2311</v>
      </c>
      <c r="G382" s="407" t="s">
        <v>97</v>
      </c>
      <c r="H382" s="407" t="s">
        <v>97</v>
      </c>
      <c r="I382" s="407" t="s">
        <v>97</v>
      </c>
      <c r="J382" s="407" t="s">
        <v>2307</v>
      </c>
      <c r="K382" s="818">
        <v>44562</v>
      </c>
      <c r="L382" s="407">
        <v>0</v>
      </c>
      <c r="M382" s="407">
        <v>0</v>
      </c>
      <c r="N382" s="407">
        <v>0</v>
      </c>
      <c r="O382" s="407">
        <v>0</v>
      </c>
      <c r="P382" s="407">
        <v>0</v>
      </c>
      <c r="Q382" s="407">
        <v>0</v>
      </c>
      <c r="R382" s="407"/>
      <c r="S382" s="407"/>
      <c r="T382" s="407"/>
      <c r="U382" s="407"/>
      <c r="V382" s="407"/>
      <c r="W382" s="407"/>
      <c r="X382" s="407"/>
      <c r="Y382" s="407"/>
      <c r="Z382" s="407"/>
      <c r="AA382" s="407">
        <v>0</v>
      </c>
      <c r="AB382" s="407"/>
      <c r="AC382" s="407"/>
      <c r="AD382" s="407"/>
      <c r="AE382" s="407"/>
      <c r="AF382" s="407"/>
      <c r="AG382" s="407"/>
      <c r="AH382" s="407"/>
      <c r="AI382" s="407"/>
      <c r="AJ382" s="407"/>
      <c r="AK382" s="407"/>
      <c r="AL382" s="407"/>
      <c r="AM382" s="407"/>
      <c r="AN382" s="407"/>
      <c r="AO382" s="407"/>
      <c r="AP382" s="407"/>
      <c r="AQ382" s="407"/>
      <c r="AR382" s="407"/>
      <c r="AS382" s="407"/>
      <c r="AT382" s="407"/>
      <c r="AU382" s="407"/>
      <c r="AV382" s="407"/>
      <c r="AW382" s="407"/>
      <c r="AX382" s="407"/>
      <c r="AY382" s="407"/>
      <c r="AZ382" s="407">
        <v>0</v>
      </c>
      <c r="BA382" s="407"/>
      <c r="BB382" s="407"/>
      <c r="BC382" s="407"/>
      <c r="BD382" s="407"/>
      <c r="BE382" s="407"/>
      <c r="BF382" s="407"/>
      <c r="BG382" s="407"/>
      <c r="BH382" s="407"/>
      <c r="BI382" s="407">
        <v>0</v>
      </c>
      <c r="BJ382" s="407">
        <v>0</v>
      </c>
      <c r="BK382" s="407">
        <v>4.63</v>
      </c>
      <c r="BL382" s="407">
        <v>0</v>
      </c>
      <c r="BM382" s="407"/>
      <c r="BN382" s="407"/>
      <c r="BO382" s="407"/>
      <c r="BP382" s="407"/>
      <c r="BQ382" s="407"/>
      <c r="BR382" s="407"/>
      <c r="BS382" s="407"/>
      <c r="BT382" s="407"/>
      <c r="BU382" s="407"/>
      <c r="BV382" s="407"/>
      <c r="BW382" s="407"/>
      <c r="BX382" s="407"/>
      <c r="BY382" s="407"/>
      <c r="BZ382" s="407"/>
      <c r="CA382" s="407"/>
      <c r="CB382" s="407"/>
      <c r="CC382" s="407"/>
      <c r="CD382" s="407"/>
      <c r="CE382" s="407"/>
      <c r="CF382" s="407"/>
      <c r="CG382" s="407"/>
      <c r="CH382" s="407"/>
      <c r="CI382" s="407"/>
      <c r="CJ382" s="407">
        <v>-0.03</v>
      </c>
      <c r="CK382" s="407"/>
      <c r="CL382" s="407"/>
      <c r="CM382" s="407"/>
      <c r="CN382" s="407"/>
      <c r="CO382" s="407">
        <v>0</v>
      </c>
      <c r="CP382" s="407">
        <v>0</v>
      </c>
      <c r="CQ382" s="407">
        <v>31</v>
      </c>
      <c r="CR382" s="407"/>
      <c r="CS382" s="407"/>
      <c r="CT382" s="407"/>
      <c r="CU382" s="407"/>
      <c r="CV382" s="407"/>
      <c r="CW382" s="407"/>
      <c r="CX382" s="407"/>
      <c r="CY382" s="407"/>
      <c r="CZ382" s="407"/>
      <c r="DA382" s="407"/>
      <c r="DB382" s="407"/>
      <c r="DC382" s="407"/>
      <c r="DD382" s="407"/>
      <c r="DE382" s="407"/>
      <c r="DF382" s="407"/>
      <c r="DG382" s="407"/>
      <c r="DH382" s="407"/>
      <c r="DI382" s="407"/>
      <c r="DJ382" s="407"/>
      <c r="DK382" s="407">
        <v>0</v>
      </c>
      <c r="DL382" s="407"/>
      <c r="DM382" s="407"/>
      <c r="DN382" s="407"/>
      <c r="DO382" s="407"/>
      <c r="DP382" s="407"/>
      <c r="DQ382" s="407"/>
      <c r="DR382" s="407"/>
      <c r="DS382" s="407"/>
      <c r="DT382" s="407"/>
      <c r="DU382" s="407"/>
      <c r="DV382" s="407"/>
      <c r="DW382" s="407"/>
      <c r="DX382" s="407"/>
      <c r="DY382" s="407"/>
      <c r="DZ382" s="407"/>
      <c r="EA382" s="407"/>
      <c r="EB382" s="407"/>
      <c r="EC382" s="407"/>
      <c r="ED382" s="407"/>
      <c r="EE382" s="407"/>
      <c r="EF382" s="407"/>
      <c r="EG382" s="407"/>
      <c r="EH382" s="407"/>
      <c r="EI382" s="407"/>
      <c r="EJ382" s="407"/>
      <c r="EK382" s="407"/>
      <c r="EL382" s="407"/>
      <c r="EM382" s="407"/>
      <c r="EN382" s="407"/>
      <c r="EO382" s="407"/>
      <c r="EP382" s="407"/>
      <c r="EQ382" s="407"/>
      <c r="ER382" s="407"/>
      <c r="ES382" s="407"/>
      <c r="ET382" s="407"/>
      <c r="EU382" s="407"/>
      <c r="EV382" s="407">
        <v>246</v>
      </c>
      <c r="EW382" s="407"/>
      <c r="EX382" s="407"/>
      <c r="EY382" s="407"/>
      <c r="EZ382" s="407"/>
      <c r="FA382" s="407">
        <v>0</v>
      </c>
      <c r="FB382" s="407"/>
      <c r="FC382" s="407"/>
      <c r="FD382" s="407"/>
      <c r="FE382" s="407"/>
      <c r="FF382" s="407">
        <v>0</v>
      </c>
      <c r="FG382" s="407">
        <v>0</v>
      </c>
      <c r="FH382" s="407">
        <v>0</v>
      </c>
      <c r="FI382" s="407">
        <v>0</v>
      </c>
    </row>
    <row r="383" spans="1:165">
      <c r="A383" s="407">
        <v>400</v>
      </c>
      <c r="B383" s="407" t="s">
        <v>1090</v>
      </c>
      <c r="C383" s="407" t="s">
        <v>2306</v>
      </c>
      <c r="D383" s="407" t="s">
        <v>1218</v>
      </c>
      <c r="E383" s="407" t="s">
        <v>1021</v>
      </c>
      <c r="F383" s="407" t="s">
        <v>2312</v>
      </c>
      <c r="G383" s="407" t="s">
        <v>97</v>
      </c>
      <c r="H383" s="407" t="s">
        <v>97</v>
      </c>
      <c r="I383" s="407" t="s">
        <v>97</v>
      </c>
      <c r="J383" s="407" t="s">
        <v>2307</v>
      </c>
      <c r="K383" s="818">
        <v>44562</v>
      </c>
      <c r="L383" s="407">
        <v>0</v>
      </c>
      <c r="M383" s="407">
        <v>0</v>
      </c>
      <c r="N383" s="407">
        <v>44.531999999999996</v>
      </c>
      <c r="O383" s="407">
        <v>44.531999999999996</v>
      </c>
      <c r="P383" s="407">
        <v>44.531999999999996</v>
      </c>
      <c r="Q383" s="407">
        <v>44.531999999999996</v>
      </c>
      <c r="R383" s="407"/>
      <c r="S383" s="407">
        <v>547.54</v>
      </c>
      <c r="T383" s="407">
        <v>159.41</v>
      </c>
      <c r="U383" s="407"/>
      <c r="V383" s="407">
        <v>31481.897399999994</v>
      </c>
      <c r="W383" s="407">
        <v>31481.897399999994</v>
      </c>
      <c r="X383" s="407">
        <v>23059.560239999999</v>
      </c>
      <c r="Y383" s="407">
        <v>0</v>
      </c>
      <c r="Z383" s="407">
        <v>0</v>
      </c>
      <c r="AA383" s="407">
        <v>0</v>
      </c>
      <c r="AB383" s="407">
        <v>0</v>
      </c>
      <c r="AC383" s="407">
        <v>0</v>
      </c>
      <c r="AD383" s="407">
        <v>5194.4095880690429</v>
      </c>
      <c r="AE383" s="407">
        <v>18594.158061730112</v>
      </c>
      <c r="AF383" s="407">
        <v>6868.2022766681694</v>
      </c>
      <c r="AG383" s="407">
        <v>230.75356800754614</v>
      </c>
      <c r="AH383" s="407">
        <v>0</v>
      </c>
      <c r="AI383" s="407">
        <v>0</v>
      </c>
      <c r="AJ383" s="407">
        <v>0</v>
      </c>
      <c r="AK383" s="407">
        <v>0</v>
      </c>
      <c r="AL383" s="407">
        <v>0</v>
      </c>
      <c r="AM383" s="407"/>
      <c r="AN383" s="407">
        <v>92.408159061782314</v>
      </c>
      <c r="AO383" s="407">
        <v>0</v>
      </c>
      <c r="AP383" s="407">
        <v>0</v>
      </c>
      <c r="AQ383" s="407">
        <v>0</v>
      </c>
      <c r="AR383" s="407">
        <v>0</v>
      </c>
      <c r="AS383" s="407">
        <v>0</v>
      </c>
      <c r="AT383" s="407">
        <v>0</v>
      </c>
      <c r="AU383" s="407">
        <v>0</v>
      </c>
      <c r="AV383" s="407">
        <v>0</v>
      </c>
      <c r="AW383" s="407">
        <v>0</v>
      </c>
      <c r="AX383" s="407">
        <v>0</v>
      </c>
      <c r="AY383" s="407">
        <v>0</v>
      </c>
      <c r="AZ383" s="407">
        <v>0</v>
      </c>
      <c r="BA383" s="407"/>
      <c r="BB383" s="407">
        <v>0</v>
      </c>
      <c r="BC383" s="407">
        <v>0</v>
      </c>
      <c r="BD383" s="407">
        <v>0</v>
      </c>
      <c r="BE383" s="407">
        <v>0</v>
      </c>
      <c r="BF383" s="407">
        <v>0</v>
      </c>
      <c r="BG383" s="407">
        <v>502.04365462672865</v>
      </c>
      <c r="BH383" s="407">
        <v>0</v>
      </c>
      <c r="BI383" s="407">
        <v>16.77</v>
      </c>
      <c r="BJ383" s="407">
        <v>80.41</v>
      </c>
      <c r="BK383" s="407">
        <v>6947.32</v>
      </c>
      <c r="BL383" s="407">
        <v>353</v>
      </c>
      <c r="BM383" s="407"/>
      <c r="BN383" s="407"/>
      <c r="BO383" s="407"/>
      <c r="BP383" s="407"/>
      <c r="BQ383" s="407"/>
      <c r="BR383" s="407"/>
      <c r="BS383" s="407"/>
      <c r="BT383" s="407">
        <v>2306.3122800000006</v>
      </c>
      <c r="BU383" s="407"/>
      <c r="BV383" s="407">
        <v>7370.2459312948977</v>
      </c>
      <c r="BW383" s="407"/>
      <c r="BX383" s="407"/>
      <c r="BY383" s="407"/>
      <c r="BZ383" s="407"/>
      <c r="CA383" s="407"/>
      <c r="CB383" s="407"/>
      <c r="CC383" s="407"/>
      <c r="CD383" s="407"/>
      <c r="CE383" s="407"/>
      <c r="CF383" s="407"/>
      <c r="CG383" s="407"/>
      <c r="CH383" s="407"/>
      <c r="CI383" s="407">
        <v>20752.315900000001</v>
      </c>
      <c r="CJ383" s="407">
        <v>-7581.6444199999933</v>
      </c>
      <c r="CK383" s="407"/>
      <c r="CL383" s="407"/>
      <c r="CM383" s="407"/>
      <c r="CN383" s="407"/>
      <c r="CO383" s="407">
        <v>-9645.631199999998</v>
      </c>
      <c r="CP383" s="407">
        <v>1223.2940399999998</v>
      </c>
      <c r="CQ383" s="407">
        <v>31</v>
      </c>
      <c r="CR383" s="407">
        <v>1075.3963057786441</v>
      </c>
      <c r="CS383" s="407">
        <v>0</v>
      </c>
      <c r="CT383" s="407">
        <v>0</v>
      </c>
      <c r="CU383" s="407">
        <v>0</v>
      </c>
      <c r="CV383" s="407">
        <v>0</v>
      </c>
      <c r="CW383" s="407">
        <v>0</v>
      </c>
      <c r="CX383" s="407">
        <v>0</v>
      </c>
      <c r="CY383" s="407">
        <v>0</v>
      </c>
      <c r="CZ383" s="407">
        <v>234.6417806205327</v>
      </c>
      <c r="DA383" s="407">
        <v>0</v>
      </c>
      <c r="DB383" s="407">
        <v>0</v>
      </c>
      <c r="DC383" s="407">
        <v>1361.7790367309353</v>
      </c>
      <c r="DD383" s="407">
        <v>0</v>
      </c>
      <c r="DE383" s="407">
        <v>0</v>
      </c>
      <c r="DF383" s="407">
        <v>0</v>
      </c>
      <c r="DG383" s="407">
        <v>99.541699101809854</v>
      </c>
      <c r="DH383" s="407">
        <v>0</v>
      </c>
      <c r="DI383" s="407">
        <v>0</v>
      </c>
      <c r="DJ383" s="407"/>
      <c r="DK383" s="407">
        <v>0</v>
      </c>
      <c r="DL383" s="407">
        <v>0</v>
      </c>
      <c r="DM383" s="407">
        <v>0</v>
      </c>
      <c r="DN383" s="407">
        <v>0</v>
      </c>
      <c r="DO383" s="407">
        <v>0</v>
      </c>
      <c r="DP383" s="407">
        <v>-5.8880248033654681</v>
      </c>
      <c r="DQ383" s="407">
        <v>0</v>
      </c>
      <c r="DR383" s="407">
        <v>-614.67818587126931</v>
      </c>
      <c r="DS383" s="407"/>
      <c r="DT383" s="407"/>
      <c r="DU383" s="407"/>
      <c r="DV383" s="407">
        <v>18594.158061730112</v>
      </c>
      <c r="DW383" s="407">
        <v>0</v>
      </c>
      <c r="DX383" s="407">
        <v>0</v>
      </c>
      <c r="DY383" s="407">
        <v>-9645.631199999998</v>
      </c>
      <c r="DZ383" s="407">
        <v>1223.2940399999998</v>
      </c>
      <c r="EA383" s="407">
        <v>0</v>
      </c>
      <c r="EB383" s="407">
        <v>0</v>
      </c>
      <c r="EC383" s="407">
        <v>-9497.9391251575253</v>
      </c>
      <c r="ED383" s="407">
        <v>0</v>
      </c>
      <c r="EE383" s="407">
        <v>0</v>
      </c>
      <c r="EF383" s="407">
        <v>0</v>
      </c>
      <c r="EG383" s="407">
        <v>0</v>
      </c>
      <c r="EH383" s="407">
        <v>0</v>
      </c>
      <c r="EI383" s="407">
        <v>0</v>
      </c>
      <c r="EJ383" s="407">
        <v>0</v>
      </c>
      <c r="EK383" s="407">
        <v>0</v>
      </c>
      <c r="EL383" s="407">
        <v>0</v>
      </c>
      <c r="EM383" s="407">
        <v>0</v>
      </c>
      <c r="EN383" s="407">
        <v>0</v>
      </c>
      <c r="EO383" s="407">
        <v>0</v>
      </c>
      <c r="EP383" s="407">
        <v>0</v>
      </c>
      <c r="EQ383" s="407">
        <v>0</v>
      </c>
      <c r="ER383" s="407">
        <v>0</v>
      </c>
      <c r="ES383" s="407">
        <v>0</v>
      </c>
      <c r="ET383" s="407">
        <v>0</v>
      </c>
      <c r="EU383" s="407">
        <v>0</v>
      </c>
      <c r="EV383" s="407">
        <v>246</v>
      </c>
      <c r="EW383" s="407">
        <v>0</v>
      </c>
      <c r="EX383" s="407">
        <v>0</v>
      </c>
      <c r="EY383" s="407">
        <v>0</v>
      </c>
      <c r="EZ383" s="407"/>
      <c r="FA383" s="407">
        <v>0</v>
      </c>
      <c r="FB383" s="407"/>
      <c r="FC383" s="407"/>
      <c r="FD383" s="407"/>
      <c r="FE383" s="407"/>
      <c r="FF383" s="407">
        <v>0</v>
      </c>
      <c r="FG383" s="407">
        <v>0</v>
      </c>
      <c r="FH383" s="407">
        <v>0</v>
      </c>
      <c r="FI383" s="407">
        <v>0</v>
      </c>
    </row>
    <row r="384" spans="1:165">
      <c r="A384" s="407">
        <v>401</v>
      </c>
      <c r="B384" s="407" t="s">
        <v>2309</v>
      </c>
      <c r="C384" s="407" t="s">
        <v>2306</v>
      </c>
      <c r="D384" s="407" t="s">
        <v>1218</v>
      </c>
      <c r="E384" s="407" t="s">
        <v>1021</v>
      </c>
      <c r="F384" s="407" t="s">
        <v>2312</v>
      </c>
      <c r="G384" s="407" t="s">
        <v>97</v>
      </c>
      <c r="H384" s="407" t="s">
        <v>97</v>
      </c>
      <c r="I384" s="407" t="s">
        <v>97</v>
      </c>
      <c r="J384" s="407" t="s">
        <v>2307</v>
      </c>
      <c r="K384" s="818">
        <v>44562</v>
      </c>
      <c r="L384" s="407">
        <v>0</v>
      </c>
      <c r="M384" s="407">
        <v>0</v>
      </c>
      <c r="N384" s="407">
        <v>0</v>
      </c>
      <c r="O384" s="407">
        <v>0</v>
      </c>
      <c r="P384" s="407">
        <v>0</v>
      </c>
      <c r="Q384" s="407">
        <v>0</v>
      </c>
      <c r="R384" s="407"/>
      <c r="S384" s="407"/>
      <c r="T384" s="407"/>
      <c r="U384" s="407"/>
      <c r="V384" s="407"/>
      <c r="W384" s="407"/>
      <c r="X384" s="407"/>
      <c r="Y384" s="407"/>
      <c r="Z384" s="407"/>
      <c r="AA384" s="407">
        <v>0</v>
      </c>
      <c r="AB384" s="407"/>
      <c r="AC384" s="407"/>
      <c r="AD384" s="407"/>
      <c r="AE384" s="407"/>
      <c r="AF384" s="407"/>
      <c r="AG384" s="407"/>
      <c r="AH384" s="407"/>
      <c r="AI384" s="407"/>
      <c r="AJ384" s="407"/>
      <c r="AK384" s="407"/>
      <c r="AL384" s="407"/>
      <c r="AM384" s="407"/>
      <c r="AN384" s="407"/>
      <c r="AO384" s="407"/>
      <c r="AP384" s="407"/>
      <c r="AQ384" s="407"/>
      <c r="AR384" s="407"/>
      <c r="AS384" s="407"/>
      <c r="AT384" s="407"/>
      <c r="AU384" s="407"/>
      <c r="AV384" s="407"/>
      <c r="AW384" s="407"/>
      <c r="AX384" s="407"/>
      <c r="AY384" s="407"/>
      <c r="AZ384" s="407">
        <v>0</v>
      </c>
      <c r="BA384" s="407"/>
      <c r="BB384" s="407"/>
      <c r="BC384" s="407"/>
      <c r="BD384" s="407"/>
      <c r="BE384" s="407"/>
      <c r="BF384" s="407"/>
      <c r="BG384" s="407"/>
      <c r="BH384" s="407"/>
      <c r="BI384" s="407">
        <v>0</v>
      </c>
      <c r="BJ384" s="407">
        <v>0</v>
      </c>
      <c r="BK384" s="407">
        <v>11.91</v>
      </c>
      <c r="BL384" s="407">
        <v>0</v>
      </c>
      <c r="BM384" s="407"/>
      <c r="BN384" s="407"/>
      <c r="BO384" s="407"/>
      <c r="BP384" s="407"/>
      <c r="BQ384" s="407"/>
      <c r="BR384" s="407"/>
      <c r="BS384" s="407"/>
      <c r="BT384" s="407"/>
      <c r="BU384" s="407"/>
      <c r="BV384" s="407"/>
      <c r="BW384" s="407"/>
      <c r="BX384" s="407"/>
      <c r="BY384" s="407"/>
      <c r="BZ384" s="407"/>
      <c r="CA384" s="407"/>
      <c r="CB384" s="407"/>
      <c r="CC384" s="407"/>
      <c r="CD384" s="407"/>
      <c r="CE384" s="407"/>
      <c r="CF384" s="407"/>
      <c r="CG384" s="407"/>
      <c r="CH384" s="407"/>
      <c r="CI384" s="407"/>
      <c r="CJ384" s="407">
        <v>-0.03</v>
      </c>
      <c r="CK384" s="407"/>
      <c r="CL384" s="407"/>
      <c r="CM384" s="407"/>
      <c r="CN384" s="407"/>
      <c r="CO384" s="407">
        <v>0</v>
      </c>
      <c r="CP384" s="407">
        <v>0</v>
      </c>
      <c r="CQ384" s="407">
        <v>31</v>
      </c>
      <c r="CR384" s="407"/>
      <c r="CS384" s="407"/>
      <c r="CT384" s="407"/>
      <c r="CU384" s="407"/>
      <c r="CV384" s="407"/>
      <c r="CW384" s="407"/>
      <c r="CX384" s="407"/>
      <c r="CY384" s="407"/>
      <c r="CZ384" s="407"/>
      <c r="DA384" s="407"/>
      <c r="DB384" s="407"/>
      <c r="DC384" s="407"/>
      <c r="DD384" s="407"/>
      <c r="DE384" s="407"/>
      <c r="DF384" s="407"/>
      <c r="DG384" s="407"/>
      <c r="DH384" s="407"/>
      <c r="DI384" s="407"/>
      <c r="DJ384" s="407"/>
      <c r="DK384" s="407">
        <v>0</v>
      </c>
      <c r="DL384" s="407"/>
      <c r="DM384" s="407"/>
      <c r="DN384" s="407"/>
      <c r="DO384" s="407"/>
      <c r="DP384" s="407"/>
      <c r="DQ384" s="407"/>
      <c r="DR384" s="407"/>
      <c r="DS384" s="407"/>
      <c r="DT384" s="407"/>
      <c r="DU384" s="407"/>
      <c r="DV384" s="407"/>
      <c r="DW384" s="407"/>
      <c r="DX384" s="407"/>
      <c r="DY384" s="407"/>
      <c r="DZ384" s="407"/>
      <c r="EA384" s="407"/>
      <c r="EB384" s="407"/>
      <c r="EC384" s="407"/>
      <c r="ED384" s="407"/>
      <c r="EE384" s="407"/>
      <c r="EF384" s="407"/>
      <c r="EG384" s="407"/>
      <c r="EH384" s="407"/>
      <c r="EI384" s="407"/>
      <c r="EJ384" s="407"/>
      <c r="EK384" s="407"/>
      <c r="EL384" s="407"/>
      <c r="EM384" s="407"/>
      <c r="EN384" s="407"/>
      <c r="EO384" s="407"/>
      <c r="EP384" s="407"/>
      <c r="EQ384" s="407"/>
      <c r="ER384" s="407"/>
      <c r="ES384" s="407"/>
      <c r="ET384" s="407"/>
      <c r="EU384" s="407"/>
      <c r="EV384" s="407">
        <v>246</v>
      </c>
      <c r="EW384" s="407"/>
      <c r="EX384" s="407"/>
      <c r="EY384" s="407"/>
      <c r="EZ384" s="407"/>
      <c r="FA384" s="407">
        <v>0</v>
      </c>
      <c r="FB384" s="407"/>
      <c r="FC384" s="407"/>
      <c r="FD384" s="407"/>
      <c r="FE384" s="407"/>
      <c r="FF384" s="407">
        <v>0</v>
      </c>
      <c r="FG384" s="407">
        <v>0</v>
      </c>
      <c r="FH384" s="407">
        <v>0</v>
      </c>
      <c r="FI384" s="407">
        <v>0</v>
      </c>
    </row>
    <row r="385" spans="1:165">
      <c r="A385" s="407">
        <v>402</v>
      </c>
      <c r="B385" s="407" t="s">
        <v>1090</v>
      </c>
      <c r="C385" s="407" t="s">
        <v>2306</v>
      </c>
      <c r="D385" s="407" t="s">
        <v>1218</v>
      </c>
      <c r="E385" s="407" t="s">
        <v>1021</v>
      </c>
      <c r="F385" s="407" t="s">
        <v>2313</v>
      </c>
      <c r="G385" s="407" t="s">
        <v>97</v>
      </c>
      <c r="H385" s="407" t="s">
        <v>97</v>
      </c>
      <c r="I385" s="407" t="s">
        <v>97</v>
      </c>
      <c r="J385" s="407" t="s">
        <v>2307</v>
      </c>
      <c r="K385" s="818">
        <v>44562</v>
      </c>
      <c r="L385" s="407">
        <v>0</v>
      </c>
      <c r="M385" s="407">
        <v>0</v>
      </c>
      <c r="N385" s="407">
        <v>15.398999999999999</v>
      </c>
      <c r="O385" s="407">
        <v>15.398999999999999</v>
      </c>
      <c r="P385" s="407">
        <v>15.398999999999999</v>
      </c>
      <c r="Q385" s="407">
        <v>15.398999999999999</v>
      </c>
      <c r="R385" s="407"/>
      <c r="S385" s="407">
        <v>547.54</v>
      </c>
      <c r="T385" s="407">
        <v>159.41</v>
      </c>
      <c r="U385" s="407"/>
      <c r="V385" s="407">
        <v>10886.323049999999</v>
      </c>
      <c r="W385" s="407">
        <v>10886.323049999999</v>
      </c>
      <c r="X385" s="407">
        <v>7973.9101799999989</v>
      </c>
      <c r="Y385" s="407">
        <v>0</v>
      </c>
      <c r="Z385" s="407">
        <v>0</v>
      </c>
      <c r="AA385" s="407">
        <v>0</v>
      </c>
      <c r="AB385" s="407">
        <v>0</v>
      </c>
      <c r="AC385" s="407">
        <v>0</v>
      </c>
      <c r="AD385" s="407">
        <v>1796.2075192372943</v>
      </c>
      <c r="AE385" s="407">
        <v>6429.7907121301987</v>
      </c>
      <c r="AF385" s="407">
        <v>2374.9988066651654</v>
      </c>
      <c r="AG385" s="407">
        <v>79.793725719666824</v>
      </c>
      <c r="AH385" s="407">
        <v>0</v>
      </c>
      <c r="AI385" s="407">
        <v>0</v>
      </c>
      <c r="AJ385" s="407">
        <v>0</v>
      </c>
      <c r="AK385" s="407">
        <v>0</v>
      </c>
      <c r="AL385" s="407">
        <v>0</v>
      </c>
      <c r="AM385" s="407"/>
      <c r="AN385" s="407">
        <v>31.95439776772626</v>
      </c>
      <c r="AO385" s="407">
        <v>0</v>
      </c>
      <c r="AP385" s="407">
        <v>0</v>
      </c>
      <c r="AQ385" s="407">
        <v>0</v>
      </c>
      <c r="AR385" s="407">
        <v>0</v>
      </c>
      <c r="AS385" s="407">
        <v>0</v>
      </c>
      <c r="AT385" s="407">
        <v>0</v>
      </c>
      <c r="AU385" s="407">
        <v>0</v>
      </c>
      <c r="AV385" s="407">
        <v>0</v>
      </c>
      <c r="AW385" s="407">
        <v>0</v>
      </c>
      <c r="AX385" s="407">
        <v>0</v>
      </c>
      <c r="AY385" s="407">
        <v>0</v>
      </c>
      <c r="AZ385" s="407">
        <v>0</v>
      </c>
      <c r="BA385" s="407"/>
      <c r="BB385" s="407">
        <v>0</v>
      </c>
      <c r="BC385" s="407">
        <v>0</v>
      </c>
      <c r="BD385" s="407">
        <v>0</v>
      </c>
      <c r="BE385" s="407">
        <v>0</v>
      </c>
      <c r="BF385" s="407">
        <v>0</v>
      </c>
      <c r="BG385" s="407">
        <v>173.60482883313111</v>
      </c>
      <c r="BH385" s="407">
        <v>0</v>
      </c>
      <c r="BI385" s="407">
        <v>7.29</v>
      </c>
      <c r="BJ385" s="407">
        <v>34.51</v>
      </c>
      <c r="BK385" s="407">
        <v>2670.21</v>
      </c>
      <c r="BL385" s="407">
        <v>197</v>
      </c>
      <c r="BM385" s="407"/>
      <c r="BN385" s="407"/>
      <c r="BO385" s="407"/>
      <c r="BP385" s="407"/>
      <c r="BQ385" s="407"/>
      <c r="BR385" s="407"/>
      <c r="BS385" s="407"/>
      <c r="BT385" s="407"/>
      <c r="BU385" s="407"/>
      <c r="BV385" s="407">
        <v>2548.6036354982966</v>
      </c>
      <c r="BW385" s="407"/>
      <c r="BX385" s="407"/>
      <c r="BY385" s="407"/>
      <c r="BZ385" s="407"/>
      <c r="CA385" s="407"/>
      <c r="CB385" s="407"/>
      <c r="CC385" s="407"/>
      <c r="CD385" s="407"/>
      <c r="CE385" s="407"/>
      <c r="CF385" s="407"/>
      <c r="CG385" s="407"/>
      <c r="CH385" s="407"/>
      <c r="CI385" s="407">
        <v>7974.4279999999999</v>
      </c>
      <c r="CJ385" s="407">
        <v>-2911.9250499999998</v>
      </c>
      <c r="CK385" s="407"/>
      <c r="CL385" s="407"/>
      <c r="CM385" s="407"/>
      <c r="CN385" s="407"/>
      <c r="CO385" s="407">
        <v>-3335.4233999999992</v>
      </c>
      <c r="CP385" s="407">
        <v>423.01052999999996</v>
      </c>
      <c r="CQ385" s="407">
        <v>31</v>
      </c>
      <c r="CR385" s="407">
        <v>371.86804348974511</v>
      </c>
      <c r="CS385" s="407">
        <v>0</v>
      </c>
      <c r="CT385" s="407">
        <v>0</v>
      </c>
      <c r="CU385" s="407">
        <v>0</v>
      </c>
      <c r="CV385" s="407">
        <v>0</v>
      </c>
      <c r="CW385" s="407">
        <v>0</v>
      </c>
      <c r="CX385" s="407">
        <v>0</v>
      </c>
      <c r="CY385" s="407">
        <v>0</v>
      </c>
      <c r="CZ385" s="407">
        <v>81.138255182241664</v>
      </c>
      <c r="DA385" s="407">
        <v>0</v>
      </c>
      <c r="DB385" s="407">
        <v>0</v>
      </c>
      <c r="DC385" s="407">
        <v>470.89812688897109</v>
      </c>
      <c r="DD385" s="407">
        <v>0</v>
      </c>
      <c r="DE385" s="407">
        <v>0</v>
      </c>
      <c r="DF385" s="407">
        <v>0</v>
      </c>
      <c r="DG385" s="407">
        <v>34.421149386256417</v>
      </c>
      <c r="DH385" s="407">
        <v>0</v>
      </c>
      <c r="DI385" s="407">
        <v>0</v>
      </c>
      <c r="DJ385" s="407"/>
      <c r="DK385" s="407">
        <v>0</v>
      </c>
      <c r="DL385" s="407">
        <v>0</v>
      </c>
      <c r="DM385" s="407">
        <v>0</v>
      </c>
      <c r="DN385" s="407">
        <v>0</v>
      </c>
      <c r="DO385" s="407">
        <v>0</v>
      </c>
      <c r="DP385" s="407">
        <v>-2.0360570813577823</v>
      </c>
      <c r="DQ385" s="407">
        <v>0</v>
      </c>
      <c r="DR385" s="407">
        <v>-212.55343088636658</v>
      </c>
      <c r="DS385" s="407"/>
      <c r="DT385" s="407"/>
      <c r="DU385" s="407"/>
      <c r="DV385" s="407">
        <v>6429.7907121301987</v>
      </c>
      <c r="DW385" s="407">
        <v>0</v>
      </c>
      <c r="DX385" s="407">
        <v>0</v>
      </c>
      <c r="DY385" s="407">
        <v>-3335.4233999999988</v>
      </c>
      <c r="DZ385" s="407">
        <v>423.01052999999956</v>
      </c>
      <c r="EA385" s="407">
        <v>0</v>
      </c>
      <c r="EB385" s="407">
        <v>0</v>
      </c>
      <c r="EC385" s="407">
        <v>-3284.3520297381824</v>
      </c>
      <c r="ED385" s="407">
        <v>0</v>
      </c>
      <c r="EE385" s="407">
        <v>0</v>
      </c>
      <c r="EF385" s="407">
        <v>0</v>
      </c>
      <c r="EG385" s="407">
        <v>0</v>
      </c>
      <c r="EH385" s="407">
        <v>0</v>
      </c>
      <c r="EI385" s="407">
        <v>0</v>
      </c>
      <c r="EJ385" s="407">
        <v>0</v>
      </c>
      <c r="EK385" s="407">
        <v>0</v>
      </c>
      <c r="EL385" s="407">
        <v>0</v>
      </c>
      <c r="EM385" s="407">
        <v>0</v>
      </c>
      <c r="EN385" s="407">
        <v>0</v>
      </c>
      <c r="EO385" s="407">
        <v>0</v>
      </c>
      <c r="EP385" s="407">
        <v>0</v>
      </c>
      <c r="EQ385" s="407">
        <v>0</v>
      </c>
      <c r="ER385" s="407">
        <v>0</v>
      </c>
      <c r="ES385" s="407">
        <v>0</v>
      </c>
      <c r="ET385" s="407">
        <v>0</v>
      </c>
      <c r="EU385" s="407">
        <v>0</v>
      </c>
      <c r="EV385" s="407">
        <v>246</v>
      </c>
      <c r="EW385" s="407">
        <v>0</v>
      </c>
      <c r="EX385" s="407">
        <v>0</v>
      </c>
      <c r="EY385" s="407">
        <v>0</v>
      </c>
      <c r="EZ385" s="407"/>
      <c r="FA385" s="407">
        <v>0</v>
      </c>
      <c r="FB385" s="407"/>
      <c r="FC385" s="407"/>
      <c r="FD385" s="407"/>
      <c r="FE385" s="407"/>
      <c r="FF385" s="407">
        <v>0</v>
      </c>
      <c r="FG385" s="407">
        <v>0</v>
      </c>
      <c r="FH385" s="407">
        <v>0</v>
      </c>
      <c r="FI385" s="407">
        <v>0</v>
      </c>
    </row>
    <row r="386" spans="1:165">
      <c r="A386" s="407">
        <v>403</v>
      </c>
      <c r="B386" s="407" t="s">
        <v>2309</v>
      </c>
      <c r="C386" s="407" t="s">
        <v>2306</v>
      </c>
      <c r="D386" s="407" t="s">
        <v>1218</v>
      </c>
      <c r="E386" s="407" t="s">
        <v>1021</v>
      </c>
      <c r="F386" s="407" t="s">
        <v>2313</v>
      </c>
      <c r="G386" s="407" t="s">
        <v>97</v>
      </c>
      <c r="H386" s="407" t="s">
        <v>97</v>
      </c>
      <c r="I386" s="407" t="s">
        <v>97</v>
      </c>
      <c r="J386" s="407" t="s">
        <v>2307</v>
      </c>
      <c r="K386" s="818">
        <v>44562</v>
      </c>
      <c r="L386" s="407">
        <v>0</v>
      </c>
      <c r="M386" s="407">
        <v>0</v>
      </c>
      <c r="N386" s="407">
        <v>0</v>
      </c>
      <c r="O386" s="407">
        <v>0</v>
      </c>
      <c r="P386" s="407">
        <v>0</v>
      </c>
      <c r="Q386" s="407">
        <v>0</v>
      </c>
      <c r="R386" s="407"/>
      <c r="S386" s="407"/>
      <c r="T386" s="407"/>
      <c r="U386" s="407"/>
      <c r="V386" s="407"/>
      <c r="W386" s="407"/>
      <c r="X386" s="407"/>
      <c r="Y386" s="407"/>
      <c r="Z386" s="407"/>
      <c r="AA386" s="407">
        <v>0</v>
      </c>
      <c r="AB386" s="407"/>
      <c r="AC386" s="407"/>
      <c r="AD386" s="407"/>
      <c r="AE386" s="407"/>
      <c r="AF386" s="407"/>
      <c r="AG386" s="407"/>
      <c r="AH386" s="407"/>
      <c r="AI386" s="407"/>
      <c r="AJ386" s="407"/>
      <c r="AK386" s="407"/>
      <c r="AL386" s="407"/>
      <c r="AM386" s="407"/>
      <c r="AN386" s="407"/>
      <c r="AO386" s="407"/>
      <c r="AP386" s="407"/>
      <c r="AQ386" s="407"/>
      <c r="AR386" s="407"/>
      <c r="AS386" s="407"/>
      <c r="AT386" s="407"/>
      <c r="AU386" s="407"/>
      <c r="AV386" s="407"/>
      <c r="AW386" s="407"/>
      <c r="AX386" s="407"/>
      <c r="AY386" s="407"/>
      <c r="AZ386" s="407">
        <v>0</v>
      </c>
      <c r="BA386" s="407"/>
      <c r="BB386" s="407"/>
      <c r="BC386" s="407"/>
      <c r="BD386" s="407"/>
      <c r="BE386" s="407"/>
      <c r="BF386" s="407"/>
      <c r="BG386" s="407"/>
      <c r="BH386" s="407"/>
      <c r="BI386" s="407">
        <v>0</v>
      </c>
      <c r="BJ386" s="407">
        <v>0</v>
      </c>
      <c r="BK386" s="407">
        <v>13.24</v>
      </c>
      <c r="BL386" s="407">
        <v>1</v>
      </c>
      <c r="BM386" s="407"/>
      <c r="BN386" s="407"/>
      <c r="BO386" s="407"/>
      <c r="BP386" s="407"/>
      <c r="BQ386" s="407"/>
      <c r="BR386" s="407"/>
      <c r="BS386" s="407"/>
      <c r="BT386" s="407"/>
      <c r="BU386" s="407"/>
      <c r="BV386" s="407"/>
      <c r="BW386" s="407"/>
      <c r="BX386" s="407"/>
      <c r="BY386" s="407"/>
      <c r="BZ386" s="407"/>
      <c r="CA386" s="407"/>
      <c r="CB386" s="407"/>
      <c r="CC386" s="407"/>
      <c r="CD386" s="407"/>
      <c r="CE386" s="407"/>
      <c r="CF386" s="407"/>
      <c r="CG386" s="407"/>
      <c r="CH386" s="407"/>
      <c r="CI386" s="407"/>
      <c r="CJ386" s="407">
        <v>-0.03</v>
      </c>
      <c r="CK386" s="407"/>
      <c r="CL386" s="407"/>
      <c r="CM386" s="407"/>
      <c r="CN386" s="407"/>
      <c r="CO386" s="407">
        <v>0</v>
      </c>
      <c r="CP386" s="407">
        <v>0</v>
      </c>
      <c r="CQ386" s="407">
        <v>31</v>
      </c>
      <c r="CR386" s="407"/>
      <c r="CS386" s="407"/>
      <c r="CT386" s="407"/>
      <c r="CU386" s="407"/>
      <c r="CV386" s="407"/>
      <c r="CW386" s="407"/>
      <c r="CX386" s="407"/>
      <c r="CY386" s="407"/>
      <c r="CZ386" s="407"/>
      <c r="DA386" s="407"/>
      <c r="DB386" s="407"/>
      <c r="DC386" s="407"/>
      <c r="DD386" s="407"/>
      <c r="DE386" s="407"/>
      <c r="DF386" s="407"/>
      <c r="DG386" s="407"/>
      <c r="DH386" s="407"/>
      <c r="DI386" s="407"/>
      <c r="DJ386" s="407"/>
      <c r="DK386" s="407">
        <v>0</v>
      </c>
      <c r="DL386" s="407"/>
      <c r="DM386" s="407"/>
      <c r="DN386" s="407"/>
      <c r="DO386" s="407"/>
      <c r="DP386" s="407"/>
      <c r="DQ386" s="407"/>
      <c r="DR386" s="407"/>
      <c r="DS386" s="407"/>
      <c r="DT386" s="407"/>
      <c r="DU386" s="407"/>
      <c r="DV386" s="407"/>
      <c r="DW386" s="407"/>
      <c r="DX386" s="407"/>
      <c r="DY386" s="407"/>
      <c r="DZ386" s="407"/>
      <c r="EA386" s="407"/>
      <c r="EB386" s="407"/>
      <c r="EC386" s="407"/>
      <c r="ED386" s="407"/>
      <c r="EE386" s="407"/>
      <c r="EF386" s="407"/>
      <c r="EG386" s="407"/>
      <c r="EH386" s="407"/>
      <c r="EI386" s="407"/>
      <c r="EJ386" s="407"/>
      <c r="EK386" s="407"/>
      <c r="EL386" s="407"/>
      <c r="EM386" s="407"/>
      <c r="EN386" s="407"/>
      <c r="EO386" s="407"/>
      <c r="EP386" s="407"/>
      <c r="EQ386" s="407"/>
      <c r="ER386" s="407"/>
      <c r="ES386" s="407"/>
      <c r="ET386" s="407"/>
      <c r="EU386" s="407"/>
      <c r="EV386" s="407">
        <v>246</v>
      </c>
      <c r="EW386" s="407"/>
      <c r="EX386" s="407"/>
      <c r="EY386" s="407"/>
      <c r="EZ386" s="407"/>
      <c r="FA386" s="407">
        <v>0</v>
      </c>
      <c r="FB386" s="407"/>
      <c r="FC386" s="407"/>
      <c r="FD386" s="407"/>
      <c r="FE386" s="407"/>
      <c r="FF386" s="407">
        <v>0</v>
      </c>
      <c r="FG386" s="407">
        <v>0</v>
      </c>
      <c r="FH386" s="407">
        <v>0</v>
      </c>
      <c r="FI386" s="407">
        <v>0</v>
      </c>
    </row>
    <row r="387" spans="1:165">
      <c r="A387" s="407">
        <v>404</v>
      </c>
      <c r="B387" s="407" t="s">
        <v>1090</v>
      </c>
      <c r="C387" s="407" t="s">
        <v>2306</v>
      </c>
      <c r="D387" s="407" t="s">
        <v>1219</v>
      </c>
      <c r="E387" s="407" t="s">
        <v>1022</v>
      </c>
      <c r="F387" s="407" t="s">
        <v>97</v>
      </c>
      <c r="G387" s="407" t="s">
        <v>97</v>
      </c>
      <c r="H387" s="407" t="s">
        <v>97</v>
      </c>
      <c r="I387" s="407" t="s">
        <v>97</v>
      </c>
      <c r="J387" s="407" t="s">
        <v>2307</v>
      </c>
      <c r="K387" s="818">
        <v>44562</v>
      </c>
      <c r="L387" s="407">
        <v>0</v>
      </c>
      <c r="M387" s="407">
        <v>0</v>
      </c>
      <c r="N387" s="407">
        <v>86.325999999999993</v>
      </c>
      <c r="O387" s="407">
        <v>86.325999999999993</v>
      </c>
      <c r="P387" s="407">
        <v>86.325999999999993</v>
      </c>
      <c r="Q387" s="407">
        <v>86.325999999999993</v>
      </c>
      <c r="R387" s="407"/>
      <c r="S387" s="407">
        <v>648.44000000000005</v>
      </c>
      <c r="T387" s="407">
        <v>159.41</v>
      </c>
      <c r="U387" s="407"/>
      <c r="V387" s="407">
        <v>69738.459100000007</v>
      </c>
      <c r="W387" s="407">
        <v>69738.459100000007</v>
      </c>
      <c r="X387" s="407">
        <v>52815.973319999997</v>
      </c>
      <c r="Y387" s="407">
        <v>0</v>
      </c>
      <c r="Z387" s="407">
        <v>5349.6438558859581</v>
      </c>
      <c r="AA387" s="407">
        <v>0</v>
      </c>
      <c r="AB387" s="407">
        <v>0</v>
      </c>
      <c r="AC387" s="407">
        <v>0</v>
      </c>
      <c r="AD387" s="407">
        <v>10069.446737169859</v>
      </c>
      <c r="AE387" s="407">
        <v>36045.075200685205</v>
      </c>
      <c r="AF387" s="407">
        <v>13314.120850975845</v>
      </c>
      <c r="AG387" s="407">
        <v>447.31951207714513</v>
      </c>
      <c r="AH387" s="407">
        <v>0</v>
      </c>
      <c r="AI387" s="407">
        <v>0</v>
      </c>
      <c r="AJ387" s="407">
        <v>0</v>
      </c>
      <c r="AK387" s="407">
        <v>0</v>
      </c>
      <c r="AL387" s="407">
        <v>826.66255420816515</v>
      </c>
      <c r="AM387" s="407"/>
      <c r="AN387" s="407">
        <v>179.13470625993489</v>
      </c>
      <c r="AO387" s="407">
        <v>0</v>
      </c>
      <c r="AP387" s="407">
        <v>0</v>
      </c>
      <c r="AQ387" s="407">
        <v>0</v>
      </c>
      <c r="AR387" s="407">
        <v>0</v>
      </c>
      <c r="AS387" s="407">
        <v>0</v>
      </c>
      <c r="AT387" s="407">
        <v>0</v>
      </c>
      <c r="AU387" s="407">
        <v>0</v>
      </c>
      <c r="AV387" s="407">
        <v>0</v>
      </c>
      <c r="AW387" s="407">
        <v>0</v>
      </c>
      <c r="AX387" s="407">
        <v>0</v>
      </c>
      <c r="AY387" s="407">
        <v>0</v>
      </c>
      <c r="AZ387" s="407">
        <v>0</v>
      </c>
      <c r="BA387" s="407"/>
      <c r="BB387" s="407">
        <v>0</v>
      </c>
      <c r="BC387" s="407">
        <v>0</v>
      </c>
      <c r="BD387" s="407">
        <v>0</v>
      </c>
      <c r="BE387" s="407">
        <v>0</v>
      </c>
      <c r="BF387" s="407">
        <v>0</v>
      </c>
      <c r="BG387" s="407">
        <v>973.21971906285319</v>
      </c>
      <c r="BH387" s="407">
        <v>0</v>
      </c>
      <c r="BI387" s="407">
        <v>46.95</v>
      </c>
      <c r="BJ387" s="407">
        <v>221.38</v>
      </c>
      <c r="BK387" s="407">
        <v>13382.66</v>
      </c>
      <c r="BL387" s="407">
        <v>83</v>
      </c>
      <c r="BM387" s="407"/>
      <c r="BN387" s="407"/>
      <c r="BO387" s="407"/>
      <c r="BP387" s="407"/>
      <c r="BQ387" s="407"/>
      <c r="BR387" s="407"/>
      <c r="BS387" s="407"/>
      <c r="BT387" s="407"/>
      <c r="BU387" s="407"/>
      <c r="BV387" s="407">
        <v>14287.340570038699</v>
      </c>
      <c r="BW387" s="407"/>
      <c r="BX387" s="407"/>
      <c r="BY387" s="407"/>
      <c r="BZ387" s="407"/>
      <c r="CA387" s="407"/>
      <c r="CB387" s="407"/>
      <c r="CC387" s="407"/>
      <c r="CD387" s="407"/>
      <c r="CE387" s="407"/>
      <c r="CF387" s="407"/>
      <c r="CG387" s="407"/>
      <c r="CH387" s="407"/>
      <c r="CI387" s="407">
        <v>52818.420599999998</v>
      </c>
      <c r="CJ387" s="407">
        <v>-16920.068500000008</v>
      </c>
      <c r="CK387" s="407"/>
      <c r="CL387" s="407"/>
      <c r="CM387" s="407"/>
      <c r="CN387" s="407"/>
      <c r="CO387" s="407">
        <v>-19293.861000000004</v>
      </c>
      <c r="CP387" s="407">
        <v>2371.3752199999999</v>
      </c>
      <c r="CQ387" s="407">
        <v>31</v>
      </c>
      <c r="CR387" s="407">
        <v>1489.4703592197257</v>
      </c>
      <c r="CS387" s="407">
        <v>0</v>
      </c>
      <c r="CT387" s="407">
        <v>0</v>
      </c>
      <c r="CU387" s="407">
        <v>0</v>
      </c>
      <c r="CV387" s="407">
        <v>0</v>
      </c>
      <c r="CW387" s="407">
        <v>0</v>
      </c>
      <c r="CX387" s="407">
        <v>0</v>
      </c>
      <c r="CY387" s="407">
        <v>0</v>
      </c>
      <c r="CZ387" s="407">
        <v>454.85687491799399</v>
      </c>
      <c r="DA387" s="407">
        <v>0</v>
      </c>
      <c r="DB387" s="407">
        <v>0</v>
      </c>
      <c r="DC387" s="407">
        <v>2639.8306189893719</v>
      </c>
      <c r="DD387" s="407">
        <v>0</v>
      </c>
      <c r="DE387" s="407">
        <v>0</v>
      </c>
      <c r="DF387" s="407">
        <v>0</v>
      </c>
      <c r="DG387" s="407">
        <v>192.96318864328657</v>
      </c>
      <c r="DH387" s="407">
        <v>0</v>
      </c>
      <c r="DI387" s="407">
        <v>-374.69960915806678</v>
      </c>
      <c r="DJ387" s="407"/>
      <c r="DK387" s="407">
        <v>0</v>
      </c>
      <c r="DL387" s="407">
        <v>0</v>
      </c>
      <c r="DM387" s="407">
        <v>0</v>
      </c>
      <c r="DN387" s="407">
        <v>0</v>
      </c>
      <c r="DO387" s="407">
        <v>-50.435820676498338</v>
      </c>
      <c r="DP387" s="407">
        <v>-11.414031015344648</v>
      </c>
      <c r="DQ387" s="407">
        <v>0</v>
      </c>
      <c r="DR387" s="407">
        <v>-1361.6308624810174</v>
      </c>
      <c r="DS387" s="407"/>
      <c r="DT387" s="407"/>
      <c r="DU387" s="407"/>
      <c r="DV387" s="407">
        <v>36045.075200685205</v>
      </c>
      <c r="DW387" s="407">
        <v>0</v>
      </c>
      <c r="DX387" s="407">
        <v>0</v>
      </c>
      <c r="DY387" s="407">
        <v>-19293.861000000004</v>
      </c>
      <c r="DZ387" s="407">
        <v>2371.3752199999999</v>
      </c>
      <c r="EA387" s="407">
        <v>0</v>
      </c>
      <c r="EB387" s="407">
        <v>0</v>
      </c>
      <c r="EC387" s="407">
        <v>-18411.9081316435</v>
      </c>
      <c r="ED387" s="407">
        <v>0</v>
      </c>
      <c r="EE387" s="407">
        <v>0</v>
      </c>
      <c r="EF387" s="407">
        <v>0</v>
      </c>
      <c r="EG387" s="407">
        <v>0</v>
      </c>
      <c r="EH387" s="407">
        <v>0</v>
      </c>
      <c r="EI387" s="407">
        <v>0</v>
      </c>
      <c r="EJ387" s="407">
        <v>0</v>
      </c>
      <c r="EK387" s="407">
        <v>0</v>
      </c>
      <c r="EL387" s="407">
        <v>0</v>
      </c>
      <c r="EM387" s="407">
        <v>0</v>
      </c>
      <c r="EN387" s="407">
        <v>0</v>
      </c>
      <c r="EO387" s="407">
        <v>0</v>
      </c>
      <c r="EP387" s="407">
        <v>2534.0306450833641</v>
      </c>
      <c r="EQ387" s="407">
        <v>0</v>
      </c>
      <c r="ER387" s="407">
        <v>0</v>
      </c>
      <c r="ES387" s="407">
        <v>0</v>
      </c>
      <c r="ET387" s="407">
        <v>0</v>
      </c>
      <c r="EU387" s="407">
        <v>0</v>
      </c>
      <c r="EV387" s="407">
        <v>246</v>
      </c>
      <c r="EW387" s="407">
        <v>0</v>
      </c>
      <c r="EX387" s="407">
        <v>0</v>
      </c>
      <c r="EY387" s="407">
        <v>0</v>
      </c>
      <c r="EZ387" s="407"/>
      <c r="FA387" s="407">
        <v>0</v>
      </c>
      <c r="FB387" s="407"/>
      <c r="FC387" s="407"/>
      <c r="FD387" s="407"/>
      <c r="FE387" s="407"/>
      <c r="FF387" s="407">
        <v>0</v>
      </c>
      <c r="FG387" s="407">
        <v>0</v>
      </c>
      <c r="FH387" s="407">
        <v>0</v>
      </c>
      <c r="FI387" s="407">
        <v>0</v>
      </c>
    </row>
    <row r="388" spans="1:165">
      <c r="A388" s="407">
        <v>405</v>
      </c>
      <c r="B388" s="407" t="s">
        <v>2309</v>
      </c>
      <c r="C388" s="407" t="s">
        <v>2306</v>
      </c>
      <c r="D388" s="407" t="s">
        <v>1219</v>
      </c>
      <c r="E388" s="407" t="s">
        <v>1022</v>
      </c>
      <c r="F388" s="407" t="s">
        <v>97</v>
      </c>
      <c r="G388" s="407" t="s">
        <v>97</v>
      </c>
      <c r="H388" s="407" t="s">
        <v>97</v>
      </c>
      <c r="I388" s="407" t="s">
        <v>97</v>
      </c>
      <c r="J388" s="407" t="s">
        <v>2307</v>
      </c>
      <c r="K388" s="818">
        <v>44562</v>
      </c>
      <c r="L388" s="407">
        <v>0</v>
      </c>
      <c r="M388" s="407">
        <v>0</v>
      </c>
      <c r="N388" s="407">
        <v>1.73</v>
      </c>
      <c r="O388" s="407">
        <v>1.73</v>
      </c>
      <c r="P388" s="407">
        <v>1.73</v>
      </c>
      <c r="Q388" s="407">
        <v>1.73</v>
      </c>
      <c r="R388" s="407"/>
      <c r="S388" s="407">
        <v>648.44000000000005</v>
      </c>
      <c r="T388" s="407">
        <v>159.41</v>
      </c>
      <c r="U388" s="407"/>
      <c r="V388" s="407">
        <v>1397.5805</v>
      </c>
      <c r="W388" s="407">
        <v>1397.5805</v>
      </c>
      <c r="X388" s="407">
        <v>1058.4485999999999</v>
      </c>
      <c r="Y388" s="407">
        <v>0</v>
      </c>
      <c r="Z388" s="407">
        <v>107.2085335899116</v>
      </c>
      <c r="AA388" s="407">
        <v>0</v>
      </c>
      <c r="AB388" s="407">
        <v>0</v>
      </c>
      <c r="AC388" s="407">
        <v>0</v>
      </c>
      <c r="AD388" s="407">
        <v>201.79485734661466</v>
      </c>
      <c r="AE388" s="407">
        <v>722.35456406164326</v>
      </c>
      <c r="AF388" s="407">
        <v>266.81913991367855</v>
      </c>
      <c r="AG388" s="407">
        <v>8.9644227219315287</v>
      </c>
      <c r="AH388" s="407">
        <v>0</v>
      </c>
      <c r="AI388" s="407">
        <v>0</v>
      </c>
      <c r="AJ388" s="407">
        <v>0</v>
      </c>
      <c r="AK388" s="407">
        <v>0</v>
      </c>
      <c r="AL388" s="407">
        <v>16.566575756783887</v>
      </c>
      <c r="AM388" s="407"/>
      <c r="AN388" s="407">
        <v>3.5899154580275625</v>
      </c>
      <c r="AO388" s="407">
        <v>0</v>
      </c>
      <c r="AP388" s="407">
        <v>0</v>
      </c>
      <c r="AQ388" s="407">
        <v>0</v>
      </c>
      <c r="AR388" s="407">
        <v>0</v>
      </c>
      <c r="AS388" s="407">
        <v>0</v>
      </c>
      <c r="AT388" s="407">
        <v>0</v>
      </c>
      <c r="AU388" s="407">
        <v>0</v>
      </c>
      <c r="AV388" s="407">
        <v>0</v>
      </c>
      <c r="AW388" s="407">
        <v>0</v>
      </c>
      <c r="AX388" s="407">
        <v>0</v>
      </c>
      <c r="AY388" s="407">
        <v>0</v>
      </c>
      <c r="AZ388" s="407">
        <v>0</v>
      </c>
      <c r="BA388" s="407"/>
      <c r="BB388" s="407">
        <v>0</v>
      </c>
      <c r="BC388" s="407">
        <v>0</v>
      </c>
      <c r="BD388" s="407">
        <v>0</v>
      </c>
      <c r="BE388" s="407">
        <v>0</v>
      </c>
      <c r="BF388" s="407">
        <v>0</v>
      </c>
      <c r="BG388" s="407">
        <v>19.503627110936868</v>
      </c>
      <c r="BH388" s="407">
        <v>0</v>
      </c>
      <c r="BI388" s="407">
        <v>0.92</v>
      </c>
      <c r="BJ388" s="407">
        <v>4.67</v>
      </c>
      <c r="BK388" s="407">
        <v>2319.79</v>
      </c>
      <c r="BL388" s="407">
        <v>18</v>
      </c>
      <c r="BM388" s="407"/>
      <c r="BN388" s="407"/>
      <c r="BO388" s="407"/>
      <c r="BP388" s="407"/>
      <c r="BQ388" s="407"/>
      <c r="BR388" s="407"/>
      <c r="BS388" s="407"/>
      <c r="BT388" s="407"/>
      <c r="BU388" s="407"/>
      <c r="BV388" s="407">
        <v>286.32276702461542</v>
      </c>
      <c r="BW388" s="407"/>
      <c r="BX388" s="407"/>
      <c r="BY388" s="407"/>
      <c r="BZ388" s="407"/>
      <c r="CA388" s="407"/>
      <c r="CB388" s="407"/>
      <c r="CC388" s="407"/>
      <c r="CD388" s="407"/>
      <c r="CE388" s="407"/>
      <c r="CF388" s="407"/>
      <c r="CG388" s="407"/>
      <c r="CH388" s="407"/>
      <c r="CI388" s="407">
        <v>1058.4485999999999</v>
      </c>
      <c r="CJ388" s="407">
        <v>-339.16190000000006</v>
      </c>
      <c r="CK388" s="407"/>
      <c r="CL388" s="407"/>
      <c r="CM388" s="407"/>
      <c r="CN388" s="407"/>
      <c r="CO388" s="407">
        <v>-386.65500000000009</v>
      </c>
      <c r="CP388" s="407">
        <v>47.523099999999999</v>
      </c>
      <c r="CQ388" s="407">
        <v>31</v>
      </c>
      <c r="CR388" s="407">
        <v>29.849451167089114</v>
      </c>
      <c r="CS388" s="407">
        <v>0</v>
      </c>
      <c r="CT388" s="407">
        <v>0</v>
      </c>
      <c r="CU388" s="407">
        <v>0</v>
      </c>
      <c r="CV388" s="407">
        <v>0</v>
      </c>
      <c r="CW388" s="407">
        <v>0</v>
      </c>
      <c r="CX388" s="407">
        <v>0</v>
      </c>
      <c r="CY388" s="407">
        <v>0</v>
      </c>
      <c r="CZ388" s="407">
        <v>9.115473827214629</v>
      </c>
      <c r="DA388" s="407">
        <v>0</v>
      </c>
      <c r="DB388" s="407">
        <v>0</v>
      </c>
      <c r="DC388" s="407">
        <v>52.903030035581537</v>
      </c>
      <c r="DD388" s="407">
        <v>0</v>
      </c>
      <c r="DE388" s="407">
        <v>0</v>
      </c>
      <c r="DF388" s="407">
        <v>0</v>
      </c>
      <c r="DG388" s="407">
        <v>3.8670425636874839</v>
      </c>
      <c r="DH388" s="407">
        <v>0</v>
      </c>
      <c r="DI388" s="407">
        <v>-7.5090971879092763</v>
      </c>
      <c r="DJ388" s="407"/>
      <c r="DK388" s="407">
        <v>0</v>
      </c>
      <c r="DL388" s="407">
        <v>0</v>
      </c>
      <c r="DM388" s="407">
        <v>0</v>
      </c>
      <c r="DN388" s="407">
        <v>0</v>
      </c>
      <c r="DO388" s="407">
        <v>-1.0107495976917971</v>
      </c>
      <c r="DP388" s="407">
        <v>-0.22874074620098517</v>
      </c>
      <c r="DQ388" s="407">
        <v>0</v>
      </c>
      <c r="DR388" s="407">
        <v>-27.287507727592619</v>
      </c>
      <c r="DS388" s="407"/>
      <c r="DT388" s="407"/>
      <c r="DU388" s="407"/>
      <c r="DV388" s="407">
        <v>722.35456406164326</v>
      </c>
      <c r="DW388" s="407">
        <v>0</v>
      </c>
      <c r="DX388" s="407">
        <v>0</v>
      </c>
      <c r="DY388" s="407">
        <v>-386.65500000000009</v>
      </c>
      <c r="DZ388" s="407">
        <v>47.523099999999999</v>
      </c>
      <c r="EA388" s="407">
        <v>0</v>
      </c>
      <c r="EB388" s="407">
        <v>0</v>
      </c>
      <c r="EC388" s="407">
        <v>-368.98038908026859</v>
      </c>
      <c r="ED388" s="407">
        <v>0</v>
      </c>
      <c r="EE388" s="407">
        <v>0</v>
      </c>
      <c r="EF388" s="407">
        <v>0</v>
      </c>
      <c r="EG388" s="407">
        <v>0</v>
      </c>
      <c r="EH388" s="407">
        <v>0</v>
      </c>
      <c r="EI388" s="407">
        <v>0</v>
      </c>
      <c r="EJ388" s="407">
        <v>0</v>
      </c>
      <c r="EK388" s="407">
        <v>0</v>
      </c>
      <c r="EL388" s="407">
        <v>0</v>
      </c>
      <c r="EM388" s="407">
        <v>0</v>
      </c>
      <c r="EN388" s="407">
        <v>0</v>
      </c>
      <c r="EO388" s="407">
        <v>0</v>
      </c>
      <c r="EP388" s="407">
        <v>50.782765516695093</v>
      </c>
      <c r="EQ388" s="407">
        <v>0</v>
      </c>
      <c r="ER388" s="407">
        <v>0</v>
      </c>
      <c r="ES388" s="407">
        <v>0</v>
      </c>
      <c r="ET388" s="407">
        <v>0</v>
      </c>
      <c r="EU388" s="407">
        <v>0</v>
      </c>
      <c r="EV388" s="407">
        <v>246</v>
      </c>
      <c r="EW388" s="407">
        <v>0</v>
      </c>
      <c r="EX388" s="407">
        <v>0</v>
      </c>
      <c r="EY388" s="407">
        <v>0</v>
      </c>
      <c r="EZ388" s="407"/>
      <c r="FA388" s="407">
        <v>0</v>
      </c>
      <c r="FB388" s="407"/>
      <c r="FC388" s="407"/>
      <c r="FD388" s="407"/>
      <c r="FE388" s="407"/>
      <c r="FF388" s="407">
        <v>0</v>
      </c>
      <c r="FG388" s="407">
        <v>0</v>
      </c>
      <c r="FH388" s="407">
        <v>0</v>
      </c>
      <c r="FI388" s="407">
        <v>0</v>
      </c>
    </row>
    <row r="389" spans="1:165">
      <c r="A389" s="407">
        <v>406</v>
      </c>
      <c r="B389" s="407" t="s">
        <v>1090</v>
      </c>
      <c r="C389" s="407" t="s">
        <v>2314</v>
      </c>
      <c r="D389" s="407" t="s">
        <v>650</v>
      </c>
      <c r="E389" s="407" t="s">
        <v>1022</v>
      </c>
      <c r="F389" s="407" t="s">
        <v>97</v>
      </c>
      <c r="G389" s="407" t="s">
        <v>97</v>
      </c>
      <c r="H389" s="407" t="s">
        <v>97</v>
      </c>
      <c r="I389" s="407" t="s">
        <v>1025</v>
      </c>
      <c r="J389" s="407" t="s">
        <v>2307</v>
      </c>
      <c r="K389" s="818">
        <v>44562</v>
      </c>
      <c r="L389" s="407">
        <v>0</v>
      </c>
      <c r="M389" s="407">
        <v>0</v>
      </c>
      <c r="N389" s="407">
        <v>16.905999999999999</v>
      </c>
      <c r="O389" s="407">
        <v>16.905999999999999</v>
      </c>
      <c r="P389" s="407">
        <v>16.905999999999999</v>
      </c>
      <c r="Q389" s="407">
        <v>16.905999999999999</v>
      </c>
      <c r="R389" s="407"/>
      <c r="S389" s="407">
        <v>2810.7</v>
      </c>
      <c r="T389" s="407">
        <v>159.41</v>
      </c>
      <c r="U389" s="407"/>
      <c r="V389" s="407">
        <v>50212.679659999994</v>
      </c>
      <c r="W389" s="407">
        <v>50212.679659999994</v>
      </c>
      <c r="X389" s="407">
        <v>31980.911139999997</v>
      </c>
      <c r="Y389" s="407">
        <v>0</v>
      </c>
      <c r="Z389" s="407">
        <v>911.4720797212766</v>
      </c>
      <c r="AA389" s="407">
        <v>0</v>
      </c>
      <c r="AB389" s="407">
        <v>0</v>
      </c>
      <c r="AC389" s="407">
        <v>0</v>
      </c>
      <c r="AD389" s="407">
        <v>10321.376621795262</v>
      </c>
      <c r="AE389" s="407">
        <v>35585.251812561255</v>
      </c>
      <c r="AF389" s="407">
        <v>2607.4244967518202</v>
      </c>
      <c r="AG389" s="407">
        <v>87.602618807499667</v>
      </c>
      <c r="AH389" s="407">
        <v>0</v>
      </c>
      <c r="AI389" s="407">
        <v>0</v>
      </c>
      <c r="AJ389" s="407">
        <v>0</v>
      </c>
      <c r="AK389" s="407">
        <v>0</v>
      </c>
      <c r="AL389" s="407">
        <v>161.89279175964646</v>
      </c>
      <c r="AM389" s="407"/>
      <c r="AN389" s="407">
        <v>18.152536586706905</v>
      </c>
      <c r="AO389" s="407">
        <v>0</v>
      </c>
      <c r="AP389" s="407">
        <v>0</v>
      </c>
      <c r="AQ389" s="407">
        <v>0</v>
      </c>
      <c r="AR389" s="407">
        <v>0</v>
      </c>
      <c r="AS389" s="407">
        <v>0</v>
      </c>
      <c r="AT389" s="407">
        <v>0</v>
      </c>
      <c r="AU389" s="407">
        <v>0</v>
      </c>
      <c r="AV389" s="407">
        <v>0</v>
      </c>
      <c r="AW389" s="407">
        <v>0</v>
      </c>
      <c r="AX389" s="407">
        <v>0</v>
      </c>
      <c r="AY389" s="407">
        <v>0</v>
      </c>
      <c r="AZ389" s="407">
        <v>0</v>
      </c>
      <c r="BA389" s="407"/>
      <c r="BB389" s="407">
        <v>0</v>
      </c>
      <c r="BC389" s="407">
        <v>0</v>
      </c>
      <c r="BD389" s="407">
        <v>0</v>
      </c>
      <c r="BE389" s="407">
        <v>0</v>
      </c>
      <c r="BF389" s="407">
        <v>0</v>
      </c>
      <c r="BG389" s="407">
        <v>87.740015912236771</v>
      </c>
      <c r="BH389" s="407">
        <v>0</v>
      </c>
      <c r="BI389" s="407">
        <v>0</v>
      </c>
      <c r="BJ389" s="407">
        <v>0</v>
      </c>
      <c r="BK389" s="407">
        <v>0</v>
      </c>
      <c r="BL389" s="407">
        <v>0</v>
      </c>
      <c r="BM389" s="407"/>
      <c r="BN389" s="407"/>
      <c r="BO389" s="407"/>
      <c r="BP389" s="407"/>
      <c r="BQ389" s="407"/>
      <c r="BR389" s="407"/>
      <c r="BS389" s="407"/>
      <c r="BT389" s="407"/>
      <c r="BU389" s="407"/>
      <c r="BV389" s="407">
        <v>2695.1645126640569</v>
      </c>
      <c r="BW389" s="407"/>
      <c r="BX389" s="407"/>
      <c r="BY389" s="407"/>
      <c r="BZ389" s="407"/>
      <c r="CA389" s="407"/>
      <c r="CB389" s="407"/>
      <c r="CC389" s="407"/>
      <c r="CD389" s="407"/>
      <c r="CE389" s="407"/>
      <c r="CF389" s="407"/>
      <c r="CG389" s="407"/>
      <c r="CH389" s="407"/>
      <c r="CI389" s="407">
        <v>31988.477900000002</v>
      </c>
      <c r="CJ389" s="407">
        <v>-18224.231759999999</v>
      </c>
      <c r="CK389" s="407"/>
      <c r="CL389" s="407"/>
      <c r="CM389" s="407"/>
      <c r="CN389" s="407"/>
      <c r="CO389" s="407">
        <v>-18696.176339999998</v>
      </c>
      <c r="CP389" s="407">
        <v>464.40781999999996</v>
      </c>
      <c r="CQ389" s="407">
        <v>31</v>
      </c>
      <c r="CR389" s="407">
        <v>-54.650284796472988</v>
      </c>
      <c r="CS389" s="407">
        <v>0</v>
      </c>
      <c r="CT389" s="407">
        <v>0</v>
      </c>
      <c r="CU389" s="407">
        <v>0</v>
      </c>
      <c r="CV389" s="407">
        <v>0</v>
      </c>
      <c r="CW389" s="407">
        <v>0</v>
      </c>
      <c r="CX389" s="407">
        <v>0</v>
      </c>
      <c r="CY389" s="407">
        <v>0</v>
      </c>
      <c r="CZ389" s="407">
        <v>466.23704733562408</v>
      </c>
      <c r="DA389" s="407">
        <v>0</v>
      </c>
      <c r="DB389" s="407">
        <v>0</v>
      </c>
      <c r="DC389" s="407">
        <v>516.9818646136082</v>
      </c>
      <c r="DD389" s="407">
        <v>0</v>
      </c>
      <c r="DE389" s="407">
        <v>0</v>
      </c>
      <c r="DF389" s="407">
        <v>0</v>
      </c>
      <c r="DG389" s="407">
        <v>17.396475749937451</v>
      </c>
      <c r="DH389" s="407">
        <v>0</v>
      </c>
      <c r="DI389" s="407">
        <v>-63.841302567139678</v>
      </c>
      <c r="DJ389" s="407"/>
      <c r="DK389" s="407">
        <v>0</v>
      </c>
      <c r="DL389" s="407">
        <v>0</v>
      </c>
      <c r="DM389" s="407">
        <v>0</v>
      </c>
      <c r="DN389" s="407">
        <v>0</v>
      </c>
      <c r="DO389" s="407">
        <v>-9.8773021379060708</v>
      </c>
      <c r="DP389" s="407">
        <v>-1.1566358073972935</v>
      </c>
      <c r="DQ389" s="407">
        <v>0</v>
      </c>
      <c r="DR389" s="407">
        <v>-980.39043198319905</v>
      </c>
      <c r="DS389" s="407"/>
      <c r="DT389" s="407"/>
      <c r="DU389" s="407"/>
      <c r="DV389" s="407">
        <v>35585.251812561255</v>
      </c>
      <c r="DW389" s="407">
        <v>0</v>
      </c>
      <c r="DX389" s="407">
        <v>0</v>
      </c>
      <c r="DY389" s="407">
        <v>-18696.176339999995</v>
      </c>
      <c r="DZ389" s="407">
        <v>464.4078199999999</v>
      </c>
      <c r="EA389" s="407">
        <v>0</v>
      </c>
      <c r="EB389" s="407">
        <v>0</v>
      </c>
      <c r="EC389" s="407">
        <v>-18177.029276993148</v>
      </c>
      <c r="ED389" s="407">
        <v>0</v>
      </c>
      <c r="EE389" s="407">
        <v>0</v>
      </c>
      <c r="EF389" s="407">
        <v>0</v>
      </c>
      <c r="EG389" s="407">
        <v>0</v>
      </c>
      <c r="EH389" s="407">
        <v>0</v>
      </c>
      <c r="EI389" s="407">
        <v>0</v>
      </c>
      <c r="EJ389" s="407">
        <v>0</v>
      </c>
      <c r="EK389" s="407">
        <v>0</v>
      </c>
      <c r="EL389" s="407">
        <v>0</v>
      </c>
      <c r="EM389" s="407">
        <v>0</v>
      </c>
      <c r="EN389" s="407">
        <v>0</v>
      </c>
      <c r="EO389" s="407">
        <v>0</v>
      </c>
      <c r="EP389" s="407">
        <v>431.74802741500849</v>
      </c>
      <c r="EQ389" s="407">
        <v>0</v>
      </c>
      <c r="ER389" s="407">
        <v>0</v>
      </c>
      <c r="ES389" s="407">
        <v>0</v>
      </c>
      <c r="ET389" s="407">
        <v>0</v>
      </c>
      <c r="EU389" s="407">
        <v>0</v>
      </c>
      <c r="EV389" s="407">
        <v>246</v>
      </c>
      <c r="EW389" s="407">
        <v>0</v>
      </c>
      <c r="EX389" s="407">
        <v>0</v>
      </c>
      <c r="EY389" s="407">
        <v>0</v>
      </c>
      <c r="EZ389" s="407"/>
      <c r="FA389" s="407">
        <v>0</v>
      </c>
      <c r="FB389" s="407"/>
      <c r="FC389" s="407"/>
      <c r="FD389" s="407"/>
      <c r="FE389" s="407"/>
      <c r="FF389" s="407">
        <v>0</v>
      </c>
      <c r="FG389" s="407">
        <v>0</v>
      </c>
      <c r="FH389" s="407">
        <v>0</v>
      </c>
      <c r="FI389" s="407">
        <v>0</v>
      </c>
    </row>
    <row r="390" spans="1:165">
      <c r="A390" s="407">
        <v>407</v>
      </c>
      <c r="B390" s="407" t="s">
        <v>1090</v>
      </c>
      <c r="C390" s="407" t="s">
        <v>2314</v>
      </c>
      <c r="D390" s="407" t="s">
        <v>650</v>
      </c>
      <c r="E390" s="407" t="s">
        <v>1022</v>
      </c>
      <c r="F390" s="407" t="s">
        <v>97</v>
      </c>
      <c r="G390" s="407" t="s">
        <v>97</v>
      </c>
      <c r="H390" s="407" t="s">
        <v>97</v>
      </c>
      <c r="I390" s="407" t="s">
        <v>2290</v>
      </c>
      <c r="J390" s="407" t="s">
        <v>2307</v>
      </c>
      <c r="K390" s="818">
        <v>44562</v>
      </c>
      <c r="L390" s="407">
        <v>0</v>
      </c>
      <c r="M390" s="407">
        <v>0</v>
      </c>
      <c r="N390" s="407">
        <v>538.13900000000001</v>
      </c>
      <c r="O390" s="407">
        <v>538.13900000000001</v>
      </c>
      <c r="P390" s="407">
        <v>538.13900000000001</v>
      </c>
      <c r="Q390" s="407">
        <v>538.13900000000001</v>
      </c>
      <c r="R390" s="407"/>
      <c r="S390" s="407">
        <v>95.29</v>
      </c>
      <c r="T390" s="407">
        <v>159.41</v>
      </c>
      <c r="U390" s="407"/>
      <c r="V390" s="407">
        <v>137064.00329999998</v>
      </c>
      <c r="W390" s="407">
        <v>137064.00329999998</v>
      </c>
      <c r="X390" s="407">
        <v>149016.07049000001</v>
      </c>
      <c r="Y390" s="407">
        <v>0</v>
      </c>
      <c r="Z390" s="407">
        <v>29013.289572289606</v>
      </c>
      <c r="AA390" s="407">
        <v>0</v>
      </c>
      <c r="AB390" s="407">
        <v>0</v>
      </c>
      <c r="AC390" s="407">
        <v>0</v>
      </c>
      <c r="AD390" s="407">
        <v>0</v>
      </c>
      <c r="AE390" s="407">
        <v>0</v>
      </c>
      <c r="AF390" s="407">
        <v>82997.563661275766</v>
      </c>
      <c r="AG390" s="407">
        <v>2788.5002769696598</v>
      </c>
      <c r="AH390" s="407">
        <v>0</v>
      </c>
      <c r="AI390" s="407">
        <v>0</v>
      </c>
      <c r="AJ390" s="407">
        <v>0</v>
      </c>
      <c r="AK390" s="407">
        <v>0</v>
      </c>
      <c r="AL390" s="407">
        <v>5153.2488503930199</v>
      </c>
      <c r="AM390" s="407"/>
      <c r="AN390" s="407">
        <v>577.81780943060858</v>
      </c>
      <c r="AO390" s="407">
        <v>0</v>
      </c>
      <c r="AP390" s="407">
        <v>0</v>
      </c>
      <c r="AQ390" s="407">
        <v>0</v>
      </c>
      <c r="AR390" s="407">
        <v>0</v>
      </c>
      <c r="AS390" s="407">
        <v>0</v>
      </c>
      <c r="AT390" s="407">
        <v>0</v>
      </c>
      <c r="AU390" s="407">
        <v>0</v>
      </c>
      <c r="AV390" s="407">
        <v>0</v>
      </c>
      <c r="AW390" s="407">
        <v>0</v>
      </c>
      <c r="AX390" s="407">
        <v>0</v>
      </c>
      <c r="AY390" s="407">
        <v>0</v>
      </c>
      <c r="AZ390" s="407">
        <v>0</v>
      </c>
      <c r="BA390" s="407"/>
      <c r="BB390" s="407">
        <v>0</v>
      </c>
      <c r="BC390" s="407">
        <v>0</v>
      </c>
      <c r="BD390" s="407">
        <v>0</v>
      </c>
      <c r="BE390" s="407">
        <v>0</v>
      </c>
      <c r="BF390" s="407">
        <v>0</v>
      </c>
      <c r="BG390" s="407">
        <v>2792.8737976455213</v>
      </c>
      <c r="BH390" s="407">
        <v>0</v>
      </c>
      <c r="BI390" s="407">
        <v>0</v>
      </c>
      <c r="BJ390" s="407">
        <v>0</v>
      </c>
      <c r="BK390" s="407">
        <v>0</v>
      </c>
      <c r="BL390" s="407">
        <v>0</v>
      </c>
      <c r="BM390" s="407"/>
      <c r="BN390" s="407"/>
      <c r="BO390" s="407"/>
      <c r="BP390" s="407"/>
      <c r="BQ390" s="407"/>
      <c r="BR390" s="407"/>
      <c r="BS390" s="407"/>
      <c r="BT390" s="407"/>
      <c r="BU390" s="407"/>
      <c r="BV390" s="407">
        <v>85790.437458921282</v>
      </c>
      <c r="BW390" s="407"/>
      <c r="BX390" s="407"/>
      <c r="BY390" s="407"/>
      <c r="BZ390" s="407"/>
      <c r="CA390" s="407"/>
      <c r="CB390" s="407"/>
      <c r="CC390" s="407"/>
      <c r="CD390" s="407"/>
      <c r="CE390" s="407"/>
      <c r="CF390" s="407"/>
      <c r="CG390" s="407"/>
      <c r="CH390" s="407"/>
      <c r="CI390" s="407">
        <v>149016.3474</v>
      </c>
      <c r="CJ390" s="407">
        <v>11952.314099999989</v>
      </c>
      <c r="CK390" s="407"/>
      <c r="CL390" s="407"/>
      <c r="CM390" s="407"/>
      <c r="CN390" s="407"/>
      <c r="CO390" s="407">
        <v>-2830.6111400000027</v>
      </c>
      <c r="CP390" s="407">
        <v>14782.678329999999</v>
      </c>
      <c r="CQ390" s="407">
        <v>31</v>
      </c>
      <c r="CR390" s="407">
        <v>11950.366245405923</v>
      </c>
      <c r="CS390" s="407">
        <v>0</v>
      </c>
      <c r="CT390" s="407">
        <v>0</v>
      </c>
      <c r="CU390" s="407">
        <v>0</v>
      </c>
      <c r="CV390" s="407">
        <v>0</v>
      </c>
      <c r="CW390" s="407">
        <v>0</v>
      </c>
      <c r="CX390" s="407">
        <v>0</v>
      </c>
      <c r="CY390" s="407">
        <v>0</v>
      </c>
      <c r="CZ390" s="407">
        <v>0</v>
      </c>
      <c r="DA390" s="407">
        <v>0</v>
      </c>
      <c r="DB390" s="407">
        <v>0</v>
      </c>
      <c r="DC390" s="407">
        <v>16456.17553775596</v>
      </c>
      <c r="DD390" s="407">
        <v>0</v>
      </c>
      <c r="DE390" s="407">
        <v>0</v>
      </c>
      <c r="DF390" s="407">
        <v>0</v>
      </c>
      <c r="DG390" s="407">
        <v>553.75145295135417</v>
      </c>
      <c r="DH390" s="407">
        <v>0</v>
      </c>
      <c r="DI390" s="407">
        <v>-2032.1480375120082</v>
      </c>
      <c r="DJ390" s="407"/>
      <c r="DK390" s="407">
        <v>0</v>
      </c>
      <c r="DL390" s="407">
        <v>0</v>
      </c>
      <c r="DM390" s="407">
        <v>0</v>
      </c>
      <c r="DN390" s="407">
        <v>0</v>
      </c>
      <c r="DO390" s="407">
        <v>-314.4068079492863</v>
      </c>
      <c r="DP390" s="407">
        <v>-36.817155847449044</v>
      </c>
      <c r="DQ390" s="407">
        <v>0</v>
      </c>
      <c r="DR390" s="407">
        <v>-2676.1887439926195</v>
      </c>
      <c r="DS390" s="407"/>
      <c r="DT390" s="407"/>
      <c r="DU390" s="407"/>
      <c r="DV390" s="407">
        <v>0</v>
      </c>
      <c r="DW390" s="407">
        <v>0</v>
      </c>
      <c r="DX390" s="407">
        <v>0</v>
      </c>
      <c r="DY390" s="407">
        <v>-2830.6111400000009</v>
      </c>
      <c r="DZ390" s="407">
        <v>14782.67833000001</v>
      </c>
      <c r="EA390" s="407">
        <v>0</v>
      </c>
      <c r="EB390" s="407">
        <v>0</v>
      </c>
      <c r="EC390" s="407">
        <v>0</v>
      </c>
      <c r="ED390" s="407">
        <v>0</v>
      </c>
      <c r="EE390" s="407">
        <v>0</v>
      </c>
      <c r="EF390" s="407">
        <v>0</v>
      </c>
      <c r="EG390" s="407">
        <v>0</v>
      </c>
      <c r="EH390" s="407">
        <v>0</v>
      </c>
      <c r="EI390" s="407">
        <v>0</v>
      </c>
      <c r="EJ390" s="407">
        <v>0</v>
      </c>
      <c r="EK390" s="407">
        <v>0</v>
      </c>
      <c r="EL390" s="407">
        <v>0</v>
      </c>
      <c r="EM390" s="407">
        <v>0</v>
      </c>
      <c r="EN390" s="407">
        <v>0</v>
      </c>
      <c r="EO390" s="407">
        <v>0</v>
      </c>
      <c r="EP390" s="407">
        <v>13743.076524611692</v>
      </c>
      <c r="EQ390" s="407">
        <v>0</v>
      </c>
      <c r="ER390" s="407">
        <v>0</v>
      </c>
      <c r="ES390" s="407">
        <v>0</v>
      </c>
      <c r="ET390" s="407">
        <v>0</v>
      </c>
      <c r="EU390" s="407">
        <v>0</v>
      </c>
      <c r="EV390" s="407">
        <v>246</v>
      </c>
      <c r="EW390" s="407">
        <v>0</v>
      </c>
      <c r="EX390" s="407">
        <v>0</v>
      </c>
      <c r="EY390" s="407">
        <v>0</v>
      </c>
      <c r="EZ390" s="407"/>
      <c r="FA390" s="407">
        <v>0</v>
      </c>
      <c r="FB390" s="407"/>
      <c r="FC390" s="407"/>
      <c r="FD390" s="407"/>
      <c r="FE390" s="407"/>
      <c r="FF390" s="407">
        <v>0</v>
      </c>
      <c r="FG390" s="407">
        <v>0</v>
      </c>
      <c r="FH390" s="407">
        <v>0</v>
      </c>
      <c r="FI390" s="407">
        <v>0</v>
      </c>
    </row>
    <row r="391" spans="1:165">
      <c r="A391" s="407">
        <v>408</v>
      </c>
      <c r="B391" s="407" t="s">
        <v>1090</v>
      </c>
      <c r="C391" s="407" t="s">
        <v>2314</v>
      </c>
      <c r="D391" s="407" t="s">
        <v>650</v>
      </c>
      <c r="E391" s="407" t="s">
        <v>1022</v>
      </c>
      <c r="F391" s="407" t="s">
        <v>97</v>
      </c>
      <c r="G391" s="407" t="s">
        <v>97</v>
      </c>
      <c r="H391" s="407" t="s">
        <v>97</v>
      </c>
      <c r="I391" s="407" t="s">
        <v>97</v>
      </c>
      <c r="J391" s="407" t="s">
        <v>2307</v>
      </c>
      <c r="K391" s="818">
        <v>44562</v>
      </c>
      <c r="L391" s="407">
        <v>2262</v>
      </c>
      <c r="M391" s="407">
        <v>2262</v>
      </c>
      <c r="N391" s="407">
        <v>0</v>
      </c>
      <c r="O391" s="407">
        <v>0</v>
      </c>
      <c r="P391" s="407">
        <v>0</v>
      </c>
      <c r="Q391" s="407">
        <v>0</v>
      </c>
      <c r="R391" s="407">
        <v>43.29</v>
      </c>
      <c r="S391" s="407"/>
      <c r="T391" s="407"/>
      <c r="U391" s="407">
        <v>97921.98</v>
      </c>
      <c r="V391" s="407"/>
      <c r="W391" s="407">
        <v>97921.98</v>
      </c>
      <c r="X391" s="407">
        <v>75754.38</v>
      </c>
      <c r="Y391" s="407">
        <v>0</v>
      </c>
      <c r="Z391" s="407">
        <v>0</v>
      </c>
      <c r="AA391" s="407">
        <v>0</v>
      </c>
      <c r="AB391" s="407">
        <v>0</v>
      </c>
      <c r="AC391" s="407">
        <v>0</v>
      </c>
      <c r="AD391" s="407">
        <v>53527.938952386758</v>
      </c>
      <c r="AE391" s="407">
        <v>44401.221230088559</v>
      </c>
      <c r="AF391" s="407"/>
      <c r="AG391" s="407"/>
      <c r="AH391" s="407"/>
      <c r="AI391" s="407">
        <v>0</v>
      </c>
      <c r="AJ391" s="407">
        <v>0</v>
      </c>
      <c r="AK391" s="407">
        <v>0</v>
      </c>
      <c r="AL391" s="407">
        <v>0</v>
      </c>
      <c r="AM391" s="407"/>
      <c r="AN391" s="407">
        <v>0</v>
      </c>
      <c r="AO391" s="407">
        <v>0</v>
      </c>
      <c r="AP391" s="407">
        <v>0</v>
      </c>
      <c r="AQ391" s="407">
        <v>0</v>
      </c>
      <c r="AR391" s="407">
        <v>0</v>
      </c>
      <c r="AS391" s="407"/>
      <c r="AT391" s="407"/>
      <c r="AU391" s="407">
        <v>0</v>
      </c>
      <c r="AV391" s="407">
        <v>0</v>
      </c>
      <c r="AW391" s="407">
        <v>0</v>
      </c>
      <c r="AX391" s="407"/>
      <c r="AY391" s="407"/>
      <c r="AZ391" s="407">
        <v>0</v>
      </c>
      <c r="BA391" s="407"/>
      <c r="BB391" s="407">
        <v>0</v>
      </c>
      <c r="BC391" s="407">
        <v>0</v>
      </c>
      <c r="BD391" s="407">
        <v>0</v>
      </c>
      <c r="BE391" s="407">
        <v>0</v>
      </c>
      <c r="BF391" s="407"/>
      <c r="BG391" s="407">
        <v>0</v>
      </c>
      <c r="BH391" s="407">
        <v>0</v>
      </c>
      <c r="BI391" s="407">
        <v>244.75</v>
      </c>
      <c r="BJ391" s="407">
        <v>1142.4100000000001</v>
      </c>
      <c r="BK391" s="407">
        <v>67966.39</v>
      </c>
      <c r="BL391" s="407">
        <v>13</v>
      </c>
      <c r="BM391" s="407"/>
      <c r="BN391" s="407"/>
      <c r="BO391" s="407"/>
      <c r="BP391" s="407"/>
      <c r="BQ391" s="407"/>
      <c r="BR391" s="407"/>
      <c r="BS391" s="407"/>
      <c r="BT391" s="407"/>
      <c r="BU391" s="407"/>
      <c r="BV391" s="407">
        <v>0</v>
      </c>
      <c r="BW391" s="407"/>
      <c r="BX391" s="407"/>
      <c r="BY391" s="407"/>
      <c r="BZ391" s="407"/>
      <c r="CA391" s="407"/>
      <c r="CB391" s="407"/>
      <c r="CC391" s="407"/>
      <c r="CD391" s="407"/>
      <c r="CE391" s="407"/>
      <c r="CF391" s="407"/>
      <c r="CG391" s="407"/>
      <c r="CH391" s="407"/>
      <c r="CI391" s="407">
        <v>75754.38</v>
      </c>
      <c r="CJ391" s="407">
        <v>-22167.629999999976</v>
      </c>
      <c r="CK391" s="407"/>
      <c r="CL391" s="407"/>
      <c r="CM391" s="407"/>
      <c r="CN391" s="407"/>
      <c r="CO391" s="407">
        <v>-22167.599999999995</v>
      </c>
      <c r="CP391" s="407">
        <v>0</v>
      </c>
      <c r="CQ391" s="407">
        <v>31</v>
      </c>
      <c r="CR391" s="407">
        <v>505.9192484755622</v>
      </c>
      <c r="CS391" s="407">
        <v>0</v>
      </c>
      <c r="CT391" s="407">
        <v>0</v>
      </c>
      <c r="CU391" s="407">
        <v>0</v>
      </c>
      <c r="CV391" s="407">
        <v>0</v>
      </c>
      <c r="CW391" s="407"/>
      <c r="CX391" s="407"/>
      <c r="CY391" s="407"/>
      <c r="CZ391" s="407">
        <v>2417.9631382137013</v>
      </c>
      <c r="DA391" s="407">
        <v>0</v>
      </c>
      <c r="DB391" s="407">
        <v>0</v>
      </c>
      <c r="DC391" s="407"/>
      <c r="DD391" s="407"/>
      <c r="DE391" s="407">
        <v>0</v>
      </c>
      <c r="DF391" s="407">
        <v>0</v>
      </c>
      <c r="DG391" s="407">
        <v>0</v>
      </c>
      <c r="DH391" s="407">
        <v>0</v>
      </c>
      <c r="DI391" s="407">
        <v>0</v>
      </c>
      <c r="DJ391" s="407"/>
      <c r="DK391" s="407">
        <v>0</v>
      </c>
      <c r="DL391" s="407">
        <v>0</v>
      </c>
      <c r="DM391" s="407"/>
      <c r="DN391" s="407">
        <v>0</v>
      </c>
      <c r="DO391" s="407">
        <v>0</v>
      </c>
      <c r="DP391" s="407">
        <v>0</v>
      </c>
      <c r="DQ391" s="407">
        <v>0</v>
      </c>
      <c r="DR391" s="407">
        <v>-1912.043889738138</v>
      </c>
      <c r="DS391" s="407"/>
      <c r="DT391" s="407"/>
      <c r="DU391" s="407">
        <v>44401.221230088559</v>
      </c>
      <c r="DV391" s="407"/>
      <c r="DW391" s="407">
        <v>0</v>
      </c>
      <c r="DX391" s="407">
        <v>0</v>
      </c>
      <c r="DY391" s="407">
        <v>-22167.599999999991</v>
      </c>
      <c r="DZ391" s="407"/>
      <c r="EA391" s="407">
        <v>0</v>
      </c>
      <c r="EB391" s="407"/>
      <c r="EC391" s="407">
        <v>-22680.246931642698</v>
      </c>
      <c r="ED391" s="407"/>
      <c r="EE391" s="407">
        <v>0</v>
      </c>
      <c r="EF391" s="407">
        <v>0</v>
      </c>
      <c r="EG391" s="407"/>
      <c r="EH391" s="407">
        <v>0</v>
      </c>
      <c r="EI391" s="407">
        <v>0</v>
      </c>
      <c r="EJ391" s="407">
        <v>0</v>
      </c>
      <c r="EK391" s="407">
        <v>0</v>
      </c>
      <c r="EL391" s="407">
        <v>0</v>
      </c>
      <c r="EM391" s="407"/>
      <c r="EN391" s="407"/>
      <c r="EO391" s="407">
        <v>0</v>
      </c>
      <c r="EP391" s="407">
        <v>0</v>
      </c>
      <c r="EQ391" s="407"/>
      <c r="ER391" s="407">
        <v>0</v>
      </c>
      <c r="ES391" s="407"/>
      <c r="ET391" s="407">
        <v>0</v>
      </c>
      <c r="EU391" s="407"/>
      <c r="EV391" s="407">
        <v>246</v>
      </c>
      <c r="EW391" s="407"/>
      <c r="EX391" s="407"/>
      <c r="EY391" s="407"/>
      <c r="EZ391" s="407"/>
      <c r="FA391" s="407">
        <v>0</v>
      </c>
      <c r="FB391" s="407"/>
      <c r="FC391" s="407"/>
      <c r="FD391" s="407"/>
      <c r="FE391" s="407"/>
      <c r="FF391" s="407">
        <v>0</v>
      </c>
      <c r="FG391" s="407">
        <v>0</v>
      </c>
      <c r="FH391" s="407">
        <v>0</v>
      </c>
      <c r="FI391" s="407">
        <v>0</v>
      </c>
    </row>
    <row r="392" spans="1:165">
      <c r="A392" s="407">
        <v>409</v>
      </c>
      <c r="B392" s="407" t="s">
        <v>1090</v>
      </c>
      <c r="C392" s="407" t="s">
        <v>2306</v>
      </c>
      <c r="D392" s="407" t="s">
        <v>1219</v>
      </c>
      <c r="E392" s="407" t="s">
        <v>1049</v>
      </c>
      <c r="F392" s="407" t="s">
        <v>97</v>
      </c>
      <c r="G392" s="407" t="s">
        <v>97</v>
      </c>
      <c r="H392" s="407" t="s">
        <v>97</v>
      </c>
      <c r="I392" s="407" t="s">
        <v>97</v>
      </c>
      <c r="J392" s="407" t="s">
        <v>2307</v>
      </c>
      <c r="K392" s="818">
        <v>44562</v>
      </c>
      <c r="L392" s="407">
        <v>0</v>
      </c>
      <c r="M392" s="407">
        <v>0</v>
      </c>
      <c r="N392" s="407">
        <v>846.04</v>
      </c>
      <c r="O392" s="407">
        <v>846.04</v>
      </c>
      <c r="P392" s="407">
        <v>846.04</v>
      </c>
      <c r="Q392" s="407">
        <v>846.04</v>
      </c>
      <c r="R392" s="407"/>
      <c r="S392" s="407">
        <v>648.44000000000005</v>
      </c>
      <c r="T392" s="407">
        <v>159.41</v>
      </c>
      <c r="U392" s="407"/>
      <c r="V392" s="407">
        <v>683473.41400000011</v>
      </c>
      <c r="W392" s="407">
        <v>683473.41400000011</v>
      </c>
      <c r="X392" s="407">
        <v>517624.19279999996</v>
      </c>
      <c r="Y392" s="407">
        <v>0</v>
      </c>
      <c r="Z392" s="407">
        <v>52429.31084301087</v>
      </c>
      <c r="AA392" s="407">
        <v>0</v>
      </c>
      <c r="AB392" s="407">
        <v>0</v>
      </c>
      <c r="AC392" s="407">
        <v>0</v>
      </c>
      <c r="AD392" s="407">
        <v>98685.850352329406</v>
      </c>
      <c r="AE392" s="407">
        <v>353260.61004549864</v>
      </c>
      <c r="AF392" s="407">
        <v>130485.35556795873</v>
      </c>
      <c r="AG392" s="407">
        <v>4383.9654333311855</v>
      </c>
      <c r="AH392" s="407">
        <v>0</v>
      </c>
      <c r="AI392" s="407">
        <v>0</v>
      </c>
      <c r="AJ392" s="407">
        <v>0</v>
      </c>
      <c r="AK392" s="407">
        <v>0</v>
      </c>
      <c r="AL392" s="407">
        <v>8101.7258689418722</v>
      </c>
      <c r="AM392" s="407"/>
      <c r="AN392" s="407">
        <v>1755.6139156703114</v>
      </c>
      <c r="AO392" s="407">
        <v>0</v>
      </c>
      <c r="AP392" s="407">
        <v>0</v>
      </c>
      <c r="AQ392" s="407">
        <v>0</v>
      </c>
      <c r="AR392" s="407">
        <v>0</v>
      </c>
      <c r="AS392" s="407">
        <v>0</v>
      </c>
      <c r="AT392" s="407">
        <v>0</v>
      </c>
      <c r="AU392" s="407">
        <v>0</v>
      </c>
      <c r="AV392" s="407">
        <v>0</v>
      </c>
      <c r="AW392" s="407">
        <v>0</v>
      </c>
      <c r="AX392" s="407">
        <v>0</v>
      </c>
      <c r="AY392" s="407">
        <v>0</v>
      </c>
      <c r="AZ392" s="407">
        <v>0</v>
      </c>
      <c r="BA392" s="407"/>
      <c r="BB392" s="407">
        <v>0</v>
      </c>
      <c r="BC392" s="407">
        <v>0</v>
      </c>
      <c r="BD392" s="407">
        <v>0</v>
      </c>
      <c r="BE392" s="407">
        <v>0</v>
      </c>
      <c r="BF392" s="407">
        <v>0</v>
      </c>
      <c r="BG392" s="407">
        <v>9538.0628213508826</v>
      </c>
      <c r="BH392" s="407">
        <v>0</v>
      </c>
      <c r="BI392" s="407">
        <v>528.94000000000005</v>
      </c>
      <c r="BJ392" s="407">
        <v>2505.09</v>
      </c>
      <c r="BK392" s="407">
        <v>213540.33</v>
      </c>
      <c r="BL392" s="407">
        <v>1512</v>
      </c>
      <c r="BM392" s="407"/>
      <c r="BN392" s="407"/>
      <c r="BO392" s="407"/>
      <c r="BP392" s="407"/>
      <c r="BQ392" s="407"/>
      <c r="BR392" s="407"/>
      <c r="BS392" s="407"/>
      <c r="BT392" s="407"/>
      <c r="BU392" s="407"/>
      <c r="BV392" s="407">
        <v>140023.41838930961</v>
      </c>
      <c r="BW392" s="407"/>
      <c r="BX392" s="407"/>
      <c r="BY392" s="407"/>
      <c r="BZ392" s="407"/>
      <c r="CA392" s="407"/>
      <c r="CB392" s="407"/>
      <c r="CC392" s="407"/>
      <c r="CD392" s="407"/>
      <c r="CE392" s="407"/>
      <c r="CF392" s="407"/>
      <c r="CG392" s="407"/>
      <c r="CH392" s="407"/>
      <c r="CI392" s="407">
        <v>517624.19279999996</v>
      </c>
      <c r="CJ392" s="407">
        <v>-165849.25120000017</v>
      </c>
      <c r="CK392" s="407"/>
      <c r="CL392" s="407"/>
      <c r="CM392" s="407"/>
      <c r="CN392" s="407"/>
      <c r="CO392" s="407">
        <v>-189089.94000000003</v>
      </c>
      <c r="CP392" s="407">
        <v>23240.718799999999</v>
      </c>
      <c r="CQ392" s="407">
        <v>31</v>
      </c>
      <c r="CR392" s="407">
        <v>14597.589401967649</v>
      </c>
      <c r="CS392" s="407">
        <v>0</v>
      </c>
      <c r="CT392" s="407">
        <v>0</v>
      </c>
      <c r="CU392" s="407">
        <v>0</v>
      </c>
      <c r="CV392" s="407">
        <v>0</v>
      </c>
      <c r="CW392" s="407">
        <v>0</v>
      </c>
      <c r="CX392" s="407">
        <v>0</v>
      </c>
      <c r="CY392" s="407">
        <v>0</v>
      </c>
      <c r="CZ392" s="407">
        <v>4457.8355357090622</v>
      </c>
      <c r="DA392" s="407">
        <v>0</v>
      </c>
      <c r="DB392" s="407">
        <v>0</v>
      </c>
      <c r="DC392" s="407">
        <v>25871.722272429732</v>
      </c>
      <c r="DD392" s="407">
        <v>0</v>
      </c>
      <c r="DE392" s="407">
        <v>0</v>
      </c>
      <c r="DF392" s="407">
        <v>0</v>
      </c>
      <c r="DG392" s="407">
        <v>1891.1402835735025</v>
      </c>
      <c r="DH392" s="407">
        <v>0</v>
      </c>
      <c r="DI392" s="407">
        <v>-3672.2523611900324</v>
      </c>
      <c r="DJ392" s="407"/>
      <c r="DK392" s="407">
        <v>0</v>
      </c>
      <c r="DL392" s="407">
        <v>0</v>
      </c>
      <c r="DM392" s="407">
        <v>0</v>
      </c>
      <c r="DN392" s="407">
        <v>0</v>
      </c>
      <c r="DO392" s="407">
        <v>-494.29745065385396</v>
      </c>
      <c r="DP392" s="407">
        <v>-111.86348029819715</v>
      </c>
      <c r="DQ392" s="407">
        <v>0</v>
      </c>
      <c r="DR392" s="407">
        <v>-13344.695397602576</v>
      </c>
      <c r="DS392" s="407"/>
      <c r="DT392" s="407"/>
      <c r="DU392" s="407"/>
      <c r="DV392" s="407">
        <v>353260.61004549864</v>
      </c>
      <c r="DW392" s="407">
        <v>0</v>
      </c>
      <c r="DX392" s="407">
        <v>0</v>
      </c>
      <c r="DY392" s="407">
        <v>-189089.94000000006</v>
      </c>
      <c r="DZ392" s="407">
        <v>23240.718800000002</v>
      </c>
      <c r="EA392" s="407">
        <v>0</v>
      </c>
      <c r="EB392" s="407">
        <v>0</v>
      </c>
      <c r="EC392" s="407">
        <v>-180446.34010258407</v>
      </c>
      <c r="ED392" s="407">
        <v>0</v>
      </c>
      <c r="EE392" s="407">
        <v>0</v>
      </c>
      <c r="EF392" s="407">
        <v>0</v>
      </c>
      <c r="EG392" s="407">
        <v>0</v>
      </c>
      <c r="EH392" s="407">
        <v>0</v>
      </c>
      <c r="EI392" s="407">
        <v>0</v>
      </c>
      <c r="EJ392" s="407">
        <v>0</v>
      </c>
      <c r="EK392" s="407">
        <v>0</v>
      </c>
      <c r="EL392" s="407">
        <v>0</v>
      </c>
      <c r="EM392" s="407">
        <v>0</v>
      </c>
      <c r="EN392" s="407">
        <v>0</v>
      </c>
      <c r="EO392" s="407">
        <v>0</v>
      </c>
      <c r="EP392" s="407">
        <v>24834.827131644342</v>
      </c>
      <c r="EQ392" s="407">
        <v>0</v>
      </c>
      <c r="ER392" s="407">
        <v>0</v>
      </c>
      <c r="ES392" s="407">
        <v>0</v>
      </c>
      <c r="ET392" s="407">
        <v>0</v>
      </c>
      <c r="EU392" s="407">
        <v>0</v>
      </c>
      <c r="EV392" s="407">
        <v>246</v>
      </c>
      <c r="EW392" s="407">
        <v>0</v>
      </c>
      <c r="EX392" s="407">
        <v>0</v>
      </c>
      <c r="EY392" s="407">
        <v>0</v>
      </c>
      <c r="EZ392" s="407"/>
      <c r="FA392" s="407">
        <v>0</v>
      </c>
      <c r="FB392" s="407"/>
      <c r="FC392" s="407"/>
      <c r="FD392" s="407"/>
      <c r="FE392" s="407"/>
      <c r="FF392" s="407">
        <v>0</v>
      </c>
      <c r="FG392" s="407">
        <v>0</v>
      </c>
      <c r="FH392" s="407">
        <v>0</v>
      </c>
      <c r="FI392" s="407">
        <v>0</v>
      </c>
    </row>
    <row r="393" spans="1:165">
      <c r="A393" s="407">
        <v>410</v>
      </c>
      <c r="B393" s="407" t="s">
        <v>2309</v>
      </c>
      <c r="C393" s="407" t="s">
        <v>2306</v>
      </c>
      <c r="D393" s="407" t="s">
        <v>1219</v>
      </c>
      <c r="E393" s="407" t="s">
        <v>1049</v>
      </c>
      <c r="F393" s="407" t="s">
        <v>97</v>
      </c>
      <c r="G393" s="407" t="s">
        <v>97</v>
      </c>
      <c r="H393" s="407" t="s">
        <v>97</v>
      </c>
      <c r="I393" s="407" t="s">
        <v>97</v>
      </c>
      <c r="J393" s="407" t="s">
        <v>2307</v>
      </c>
      <c r="K393" s="818">
        <v>44562</v>
      </c>
      <c r="L393" s="407">
        <v>0</v>
      </c>
      <c r="M393" s="407">
        <v>0</v>
      </c>
      <c r="N393" s="407">
        <v>54.317</v>
      </c>
      <c r="O393" s="407">
        <v>54.317</v>
      </c>
      <c r="P393" s="407">
        <v>54.317</v>
      </c>
      <c r="Q393" s="407">
        <v>54.317</v>
      </c>
      <c r="R393" s="407"/>
      <c r="S393" s="407">
        <v>648.44000000000005</v>
      </c>
      <c r="T393" s="407">
        <v>159.41</v>
      </c>
      <c r="U393" s="407"/>
      <c r="V393" s="407">
        <v>43879.988450000004</v>
      </c>
      <c r="W393" s="407">
        <v>43879.988450000004</v>
      </c>
      <c r="X393" s="407">
        <v>33232.22694</v>
      </c>
      <c r="Y393" s="407">
        <v>0</v>
      </c>
      <c r="Z393" s="407">
        <v>3366.038103470074</v>
      </c>
      <c r="AA393" s="407">
        <v>0</v>
      </c>
      <c r="AB393" s="407">
        <v>0</v>
      </c>
      <c r="AC393" s="407">
        <v>0</v>
      </c>
      <c r="AD393" s="407">
        <v>6335.7752985526413</v>
      </c>
      <c r="AE393" s="407">
        <v>22679.845581581663</v>
      </c>
      <c r="AF393" s="407">
        <v>8377.3498397059411</v>
      </c>
      <c r="AG393" s="407">
        <v>281.45696473245948</v>
      </c>
      <c r="AH393" s="407">
        <v>0</v>
      </c>
      <c r="AI393" s="407">
        <v>0</v>
      </c>
      <c r="AJ393" s="407">
        <v>0</v>
      </c>
      <c r="AK393" s="407">
        <v>0</v>
      </c>
      <c r="AL393" s="407">
        <v>520.14259848626034</v>
      </c>
      <c r="AM393" s="407"/>
      <c r="AN393" s="407">
        <v>112.71296990386307</v>
      </c>
      <c r="AO393" s="407">
        <v>0</v>
      </c>
      <c r="AP393" s="407">
        <v>0</v>
      </c>
      <c r="AQ393" s="407">
        <v>0</v>
      </c>
      <c r="AR393" s="407">
        <v>0</v>
      </c>
      <c r="AS393" s="407">
        <v>0</v>
      </c>
      <c r="AT393" s="407">
        <v>0</v>
      </c>
      <c r="AU393" s="407">
        <v>0</v>
      </c>
      <c r="AV393" s="407">
        <v>0</v>
      </c>
      <c r="AW393" s="407">
        <v>0</v>
      </c>
      <c r="AX393" s="407">
        <v>0</v>
      </c>
      <c r="AY393" s="407">
        <v>0</v>
      </c>
      <c r="AZ393" s="407">
        <v>0</v>
      </c>
      <c r="BA393" s="407"/>
      <c r="BB393" s="407">
        <v>0</v>
      </c>
      <c r="BC393" s="407">
        <v>0</v>
      </c>
      <c r="BD393" s="407">
        <v>0</v>
      </c>
      <c r="BE393" s="407">
        <v>0</v>
      </c>
      <c r="BF393" s="407">
        <v>0</v>
      </c>
      <c r="BG393" s="407">
        <v>612.35752241893522</v>
      </c>
      <c r="BH393" s="407">
        <v>0</v>
      </c>
      <c r="BI393" s="407">
        <v>36.17</v>
      </c>
      <c r="BJ393" s="407">
        <v>169.75</v>
      </c>
      <c r="BK393" s="407">
        <v>39017.480000000003</v>
      </c>
      <c r="BL393" s="407">
        <v>120</v>
      </c>
      <c r="BM393" s="407"/>
      <c r="BN393" s="407"/>
      <c r="BO393" s="407"/>
      <c r="BP393" s="407"/>
      <c r="BQ393" s="407"/>
      <c r="BR393" s="407"/>
      <c r="BS393" s="407"/>
      <c r="BT393" s="407"/>
      <c r="BU393" s="407"/>
      <c r="BV393" s="407">
        <v>8989.7073621248765</v>
      </c>
      <c r="BW393" s="407"/>
      <c r="BX393" s="407"/>
      <c r="BY393" s="407"/>
      <c r="BZ393" s="407"/>
      <c r="CA393" s="407"/>
      <c r="CB393" s="407"/>
      <c r="CC393" s="407"/>
      <c r="CD393" s="407"/>
      <c r="CE393" s="407"/>
      <c r="CF393" s="407"/>
      <c r="CG393" s="407"/>
      <c r="CH393" s="407"/>
      <c r="CI393" s="407">
        <v>33234.062399999995</v>
      </c>
      <c r="CJ393" s="407">
        <v>-10645.956050000015</v>
      </c>
      <c r="CK393" s="407"/>
      <c r="CL393" s="407"/>
      <c r="CM393" s="407"/>
      <c r="CN393" s="407"/>
      <c r="CO393" s="407">
        <v>-12139.849500000004</v>
      </c>
      <c r="CP393" s="407">
        <v>1492.08799</v>
      </c>
      <c r="CQ393" s="407">
        <v>31</v>
      </c>
      <c r="CR393" s="407">
        <v>937.18649655651825</v>
      </c>
      <c r="CS393" s="407">
        <v>0</v>
      </c>
      <c r="CT393" s="407">
        <v>0</v>
      </c>
      <c r="CU393" s="407">
        <v>0</v>
      </c>
      <c r="CV393" s="407">
        <v>0</v>
      </c>
      <c r="CW393" s="407">
        <v>0</v>
      </c>
      <c r="CX393" s="407">
        <v>0</v>
      </c>
      <c r="CY393" s="407">
        <v>0</v>
      </c>
      <c r="CZ393" s="407">
        <v>286.1995328744606</v>
      </c>
      <c r="DA393" s="407">
        <v>0</v>
      </c>
      <c r="DB393" s="407">
        <v>0</v>
      </c>
      <c r="DC393" s="407">
        <v>1661.0022441865221</v>
      </c>
      <c r="DD393" s="407">
        <v>0</v>
      </c>
      <c r="DE393" s="407">
        <v>0</v>
      </c>
      <c r="DF393" s="407">
        <v>0</v>
      </c>
      <c r="DG393" s="407">
        <v>121.41396007619255</v>
      </c>
      <c r="DH393" s="407">
        <v>0</v>
      </c>
      <c r="DI393" s="407">
        <v>-235.76394910732233</v>
      </c>
      <c r="DJ393" s="407"/>
      <c r="DK393" s="407">
        <v>0</v>
      </c>
      <c r="DL393" s="407">
        <v>0</v>
      </c>
      <c r="DM393" s="407">
        <v>0</v>
      </c>
      <c r="DN393" s="407">
        <v>0</v>
      </c>
      <c r="DO393" s="407">
        <v>-31.734616125910577</v>
      </c>
      <c r="DP393" s="407">
        <v>-7.1817983302883732</v>
      </c>
      <c r="DQ393" s="407">
        <v>0</v>
      </c>
      <c r="DR393" s="407">
        <v>-856.74887701713783</v>
      </c>
      <c r="DS393" s="407"/>
      <c r="DT393" s="407"/>
      <c r="DU393" s="407"/>
      <c r="DV393" s="407">
        <v>22679.845581581663</v>
      </c>
      <c r="DW393" s="407">
        <v>0</v>
      </c>
      <c r="DX393" s="407">
        <v>0</v>
      </c>
      <c r="DY393" s="407">
        <v>-12139.849500000004</v>
      </c>
      <c r="DZ393" s="407">
        <v>1492.08799</v>
      </c>
      <c r="EA393" s="407">
        <v>0</v>
      </c>
      <c r="EB393" s="407">
        <v>0</v>
      </c>
      <c r="EC393" s="407">
        <v>-11584.917799810954</v>
      </c>
      <c r="ED393" s="407">
        <v>0</v>
      </c>
      <c r="EE393" s="407">
        <v>0</v>
      </c>
      <c r="EF393" s="407">
        <v>0</v>
      </c>
      <c r="EG393" s="407">
        <v>0</v>
      </c>
      <c r="EH393" s="407">
        <v>0</v>
      </c>
      <c r="EI393" s="407">
        <v>0</v>
      </c>
      <c r="EJ393" s="407">
        <v>0</v>
      </c>
      <c r="EK393" s="407">
        <v>0</v>
      </c>
      <c r="EL393" s="407">
        <v>0</v>
      </c>
      <c r="EM393" s="407">
        <v>0</v>
      </c>
      <c r="EN393" s="407">
        <v>0</v>
      </c>
      <c r="EO393" s="407">
        <v>0</v>
      </c>
      <c r="EP393" s="407">
        <v>1594.4320662256227</v>
      </c>
      <c r="EQ393" s="407">
        <v>0</v>
      </c>
      <c r="ER393" s="407">
        <v>0</v>
      </c>
      <c r="ES393" s="407">
        <v>0</v>
      </c>
      <c r="ET393" s="407">
        <v>0</v>
      </c>
      <c r="EU393" s="407">
        <v>0</v>
      </c>
      <c r="EV393" s="407">
        <v>246</v>
      </c>
      <c r="EW393" s="407">
        <v>0</v>
      </c>
      <c r="EX393" s="407">
        <v>0</v>
      </c>
      <c r="EY393" s="407">
        <v>0</v>
      </c>
      <c r="EZ393" s="407"/>
      <c r="FA393" s="407">
        <v>0</v>
      </c>
      <c r="FB393" s="407"/>
      <c r="FC393" s="407"/>
      <c r="FD393" s="407"/>
      <c r="FE393" s="407"/>
      <c r="FF393" s="407">
        <v>0</v>
      </c>
      <c r="FG393" s="407">
        <v>0</v>
      </c>
      <c r="FH393" s="407">
        <v>0</v>
      </c>
      <c r="FI393" s="407">
        <v>0</v>
      </c>
    </row>
    <row r="394" spans="1:165">
      <c r="A394" s="407">
        <v>411</v>
      </c>
      <c r="B394" s="407" t="s">
        <v>1090</v>
      </c>
      <c r="C394" s="407" t="s">
        <v>2314</v>
      </c>
      <c r="D394" s="407" t="s">
        <v>650</v>
      </c>
      <c r="E394" s="407" t="s">
        <v>1049</v>
      </c>
      <c r="F394" s="407" t="s">
        <v>97</v>
      </c>
      <c r="G394" s="407" t="s">
        <v>97</v>
      </c>
      <c r="H394" s="407" t="s">
        <v>97</v>
      </c>
      <c r="I394" s="407" t="s">
        <v>1025</v>
      </c>
      <c r="J394" s="407" t="s">
        <v>2307</v>
      </c>
      <c r="K394" s="818">
        <v>44562</v>
      </c>
      <c r="L394" s="407">
        <v>0</v>
      </c>
      <c r="M394" s="407">
        <v>0</v>
      </c>
      <c r="N394" s="407">
        <v>15.462</v>
      </c>
      <c r="O394" s="407">
        <v>15.462</v>
      </c>
      <c r="P394" s="407">
        <v>15.462</v>
      </c>
      <c r="Q394" s="407">
        <v>15.462</v>
      </c>
      <c r="R394" s="407"/>
      <c r="S394" s="407">
        <v>2810.7</v>
      </c>
      <c r="T394" s="407">
        <v>159.41</v>
      </c>
      <c r="U394" s="407"/>
      <c r="V394" s="407">
        <v>45923.840819999998</v>
      </c>
      <c r="W394" s="407">
        <v>45923.840819999998</v>
      </c>
      <c r="X394" s="407">
        <v>29249.31078</v>
      </c>
      <c r="Y394" s="407">
        <v>0</v>
      </c>
      <c r="Z394" s="407">
        <v>833.62009325981182</v>
      </c>
      <c r="AA394" s="407">
        <v>0</v>
      </c>
      <c r="AB394" s="407">
        <v>0</v>
      </c>
      <c r="AC394" s="407">
        <v>0</v>
      </c>
      <c r="AD394" s="407">
        <v>9439.7921049448923</v>
      </c>
      <c r="AE394" s="407">
        <v>32545.792235053956</v>
      </c>
      <c r="AF394" s="407">
        <v>2384.715341818091</v>
      </c>
      <c r="AG394" s="407">
        <v>80.120175795667805</v>
      </c>
      <c r="AH394" s="407">
        <v>0</v>
      </c>
      <c r="AI394" s="407">
        <v>0</v>
      </c>
      <c r="AJ394" s="407">
        <v>0</v>
      </c>
      <c r="AK394" s="407">
        <v>0</v>
      </c>
      <c r="AL394" s="407">
        <v>148.06496783317482</v>
      </c>
      <c r="AM394" s="407"/>
      <c r="AN394" s="407">
        <v>16.602065580483981</v>
      </c>
      <c r="AO394" s="407">
        <v>0</v>
      </c>
      <c r="AP394" s="407">
        <v>0</v>
      </c>
      <c r="AQ394" s="407">
        <v>0</v>
      </c>
      <c r="AR394" s="407">
        <v>0</v>
      </c>
      <c r="AS394" s="407">
        <v>0</v>
      </c>
      <c r="AT394" s="407">
        <v>0</v>
      </c>
      <c r="AU394" s="407">
        <v>0</v>
      </c>
      <c r="AV394" s="407">
        <v>0</v>
      </c>
      <c r="AW394" s="407">
        <v>0</v>
      </c>
      <c r="AX394" s="407">
        <v>0</v>
      </c>
      <c r="AY394" s="407">
        <v>0</v>
      </c>
      <c r="AZ394" s="407">
        <v>0</v>
      </c>
      <c r="BA394" s="407"/>
      <c r="BB394" s="407">
        <v>0</v>
      </c>
      <c r="BC394" s="407">
        <v>0</v>
      </c>
      <c r="BD394" s="407">
        <v>0</v>
      </c>
      <c r="BE394" s="407">
        <v>0</v>
      </c>
      <c r="BF394" s="407">
        <v>0</v>
      </c>
      <c r="BG394" s="407">
        <v>80.245837337927654</v>
      </c>
      <c r="BH394" s="407">
        <v>0</v>
      </c>
      <c r="BI394" s="407">
        <v>0</v>
      </c>
      <c r="BJ394" s="407">
        <v>0</v>
      </c>
      <c r="BK394" s="407">
        <v>0</v>
      </c>
      <c r="BL394" s="407">
        <v>0</v>
      </c>
      <c r="BM394" s="407"/>
      <c r="BN394" s="407"/>
      <c r="BO394" s="407"/>
      <c r="BP394" s="407"/>
      <c r="BQ394" s="407"/>
      <c r="BR394" s="407"/>
      <c r="BS394" s="407"/>
      <c r="BT394" s="407"/>
      <c r="BU394" s="407"/>
      <c r="BV394" s="407">
        <v>2464.9611791560187</v>
      </c>
      <c r="BW394" s="407"/>
      <c r="BX394" s="407"/>
      <c r="BY394" s="407"/>
      <c r="BZ394" s="407"/>
      <c r="CA394" s="407"/>
      <c r="CB394" s="407"/>
      <c r="CC394" s="407"/>
      <c r="CD394" s="407"/>
      <c r="CE394" s="407"/>
      <c r="CF394" s="407"/>
      <c r="CG394" s="407"/>
      <c r="CH394" s="407"/>
      <c r="CI394" s="407">
        <v>29245.527399999999</v>
      </c>
      <c r="CJ394" s="407">
        <v>-16678.343420000005</v>
      </c>
      <c r="CK394" s="407"/>
      <c r="CL394" s="407"/>
      <c r="CM394" s="407"/>
      <c r="CN394" s="407"/>
      <c r="CO394" s="407">
        <v>-17099.271179999996</v>
      </c>
      <c r="CP394" s="407">
        <v>424.74113999999997</v>
      </c>
      <c r="CQ394" s="407">
        <v>31</v>
      </c>
      <c r="CR394" s="407">
        <v>-49.982414735777638</v>
      </c>
      <c r="CS394" s="407">
        <v>0</v>
      </c>
      <c r="CT394" s="407">
        <v>0</v>
      </c>
      <c r="CU394" s="407">
        <v>0</v>
      </c>
      <c r="CV394" s="407">
        <v>0</v>
      </c>
      <c r="CW394" s="407">
        <v>0</v>
      </c>
      <c r="CX394" s="407">
        <v>0</v>
      </c>
      <c r="CY394" s="407">
        <v>0</v>
      </c>
      <c r="CZ394" s="407">
        <v>426.41412669486635</v>
      </c>
      <c r="DA394" s="407">
        <v>0</v>
      </c>
      <c r="DB394" s="407">
        <v>0</v>
      </c>
      <c r="DC394" s="407">
        <v>472.82465341627903</v>
      </c>
      <c r="DD394" s="407">
        <v>0</v>
      </c>
      <c r="DE394" s="407">
        <v>0</v>
      </c>
      <c r="DF394" s="407">
        <v>0</v>
      </c>
      <c r="DG394" s="407">
        <v>15.910582517776703</v>
      </c>
      <c r="DH394" s="407">
        <v>0</v>
      </c>
      <c r="DI394" s="407">
        <v>-58.388395853135762</v>
      </c>
      <c r="DJ394" s="407"/>
      <c r="DK394" s="407">
        <v>0</v>
      </c>
      <c r="DL394" s="407">
        <v>0</v>
      </c>
      <c r="DM394" s="407">
        <v>0</v>
      </c>
      <c r="DN394" s="407">
        <v>0</v>
      </c>
      <c r="DO394" s="407">
        <v>-9.0336475604107136</v>
      </c>
      <c r="DP394" s="407">
        <v>-1.057843538032472</v>
      </c>
      <c r="DQ394" s="407">
        <v>0</v>
      </c>
      <c r="DR394" s="407">
        <v>-896.65189041312112</v>
      </c>
      <c r="DS394" s="407"/>
      <c r="DT394" s="407"/>
      <c r="DU394" s="407"/>
      <c r="DV394" s="407">
        <v>32545.792235053956</v>
      </c>
      <c r="DW394" s="407">
        <v>0</v>
      </c>
      <c r="DX394" s="407">
        <v>0</v>
      </c>
      <c r="DY394" s="407">
        <v>-17099.271179999996</v>
      </c>
      <c r="DZ394" s="407">
        <v>424.74114000000009</v>
      </c>
      <c r="EA394" s="407">
        <v>0</v>
      </c>
      <c r="EB394" s="407">
        <v>0</v>
      </c>
      <c r="EC394" s="407">
        <v>-16624.46626528263</v>
      </c>
      <c r="ED394" s="407">
        <v>0</v>
      </c>
      <c r="EE394" s="407">
        <v>0</v>
      </c>
      <c r="EF394" s="407">
        <v>0</v>
      </c>
      <c r="EG394" s="407">
        <v>0</v>
      </c>
      <c r="EH394" s="407">
        <v>0</v>
      </c>
      <c r="EI394" s="407">
        <v>0</v>
      </c>
      <c r="EJ394" s="407">
        <v>0</v>
      </c>
      <c r="EK394" s="407">
        <v>0</v>
      </c>
      <c r="EL394" s="407">
        <v>0</v>
      </c>
      <c r="EM394" s="407">
        <v>0</v>
      </c>
      <c r="EN394" s="407">
        <v>0</v>
      </c>
      <c r="EO394" s="407">
        <v>0</v>
      </c>
      <c r="EP394" s="407">
        <v>394.8709333899717</v>
      </c>
      <c r="EQ394" s="407">
        <v>0</v>
      </c>
      <c r="ER394" s="407">
        <v>0</v>
      </c>
      <c r="ES394" s="407">
        <v>0</v>
      </c>
      <c r="ET394" s="407">
        <v>0</v>
      </c>
      <c r="EU394" s="407">
        <v>0</v>
      </c>
      <c r="EV394" s="407">
        <v>246</v>
      </c>
      <c r="EW394" s="407">
        <v>0</v>
      </c>
      <c r="EX394" s="407">
        <v>0</v>
      </c>
      <c r="EY394" s="407">
        <v>0</v>
      </c>
      <c r="EZ394" s="407"/>
      <c r="FA394" s="407">
        <v>0</v>
      </c>
      <c r="FB394" s="407"/>
      <c r="FC394" s="407"/>
      <c r="FD394" s="407"/>
      <c r="FE394" s="407"/>
      <c r="FF394" s="407">
        <v>0</v>
      </c>
      <c r="FG394" s="407">
        <v>0</v>
      </c>
      <c r="FH394" s="407">
        <v>0</v>
      </c>
      <c r="FI394" s="407">
        <v>0</v>
      </c>
    </row>
    <row r="395" spans="1:165">
      <c r="A395" s="407">
        <v>412</v>
      </c>
      <c r="B395" s="407" t="s">
        <v>2309</v>
      </c>
      <c r="C395" s="407" t="s">
        <v>2314</v>
      </c>
      <c r="D395" s="407" t="s">
        <v>650</v>
      </c>
      <c r="E395" s="407" t="s">
        <v>1049</v>
      </c>
      <c r="F395" s="407" t="s">
        <v>97</v>
      </c>
      <c r="G395" s="407" t="s">
        <v>97</v>
      </c>
      <c r="H395" s="407" t="s">
        <v>97</v>
      </c>
      <c r="I395" s="407" t="s">
        <v>1025</v>
      </c>
      <c r="J395" s="407" t="s">
        <v>2307</v>
      </c>
      <c r="K395" s="818">
        <v>44562</v>
      </c>
      <c r="L395" s="407">
        <v>0</v>
      </c>
      <c r="M395" s="407">
        <v>0</v>
      </c>
      <c r="N395" s="407">
        <v>19.053000000000001</v>
      </c>
      <c r="O395" s="407">
        <v>19.053000000000001</v>
      </c>
      <c r="P395" s="407">
        <v>19.053000000000001</v>
      </c>
      <c r="Q395" s="407">
        <v>19.053000000000001</v>
      </c>
      <c r="R395" s="407"/>
      <c r="S395" s="407">
        <v>2810.7</v>
      </c>
      <c r="T395" s="407">
        <v>159.41</v>
      </c>
      <c r="U395" s="407"/>
      <c r="V395" s="407">
        <v>56589.505829999995</v>
      </c>
      <c r="W395" s="407">
        <v>56589.505829999995</v>
      </c>
      <c r="X395" s="407">
        <v>36042.369570000003</v>
      </c>
      <c r="Y395" s="407">
        <v>0</v>
      </c>
      <c r="Z395" s="407">
        <v>1027.2256911705599</v>
      </c>
      <c r="AA395" s="407">
        <v>0</v>
      </c>
      <c r="AB395" s="407">
        <v>0</v>
      </c>
      <c r="AC395" s="407">
        <v>0</v>
      </c>
      <c r="AD395" s="407">
        <v>11632.153600796471</v>
      </c>
      <c r="AE395" s="407">
        <v>40104.44828964449</v>
      </c>
      <c r="AF395" s="407">
        <v>2938.5578455348659</v>
      </c>
      <c r="AG395" s="407">
        <v>98.727830127723365</v>
      </c>
      <c r="AH395" s="407">
        <v>0</v>
      </c>
      <c r="AI395" s="407">
        <v>0</v>
      </c>
      <c r="AJ395" s="407">
        <v>0</v>
      </c>
      <c r="AK395" s="407">
        <v>0</v>
      </c>
      <c r="AL395" s="407">
        <v>182.45258259768983</v>
      </c>
      <c r="AM395" s="407"/>
      <c r="AN395" s="407">
        <v>20.457842161748889</v>
      </c>
      <c r="AO395" s="407">
        <v>0</v>
      </c>
      <c r="AP395" s="407">
        <v>0</v>
      </c>
      <c r="AQ395" s="407">
        <v>0</v>
      </c>
      <c r="AR395" s="407">
        <v>0</v>
      </c>
      <c r="AS395" s="407">
        <v>0</v>
      </c>
      <c r="AT395" s="407">
        <v>0</v>
      </c>
      <c r="AU395" s="407">
        <v>0</v>
      </c>
      <c r="AV395" s="407">
        <v>0</v>
      </c>
      <c r="AW395" s="407">
        <v>0</v>
      </c>
      <c r="AX395" s="407">
        <v>0</v>
      </c>
      <c r="AY395" s="407">
        <v>0</v>
      </c>
      <c r="AZ395" s="407">
        <v>0</v>
      </c>
      <c r="BA395" s="407"/>
      <c r="BB395" s="407">
        <v>0</v>
      </c>
      <c r="BC395" s="407">
        <v>0</v>
      </c>
      <c r="BD395" s="407">
        <v>0</v>
      </c>
      <c r="BE395" s="407">
        <v>0</v>
      </c>
      <c r="BF395" s="407">
        <v>0</v>
      </c>
      <c r="BG395" s="407">
        <v>98.882676160880592</v>
      </c>
      <c r="BH395" s="407">
        <v>0</v>
      </c>
      <c r="BI395" s="407">
        <v>0</v>
      </c>
      <c r="BJ395" s="407">
        <v>0</v>
      </c>
      <c r="BK395" s="407">
        <v>0</v>
      </c>
      <c r="BL395" s="407">
        <v>0</v>
      </c>
      <c r="BM395" s="407"/>
      <c r="BN395" s="407"/>
      <c r="BO395" s="407"/>
      <c r="BP395" s="407"/>
      <c r="BQ395" s="407"/>
      <c r="BR395" s="407"/>
      <c r="BS395" s="407"/>
      <c r="BT395" s="407"/>
      <c r="BU395" s="407"/>
      <c r="BV395" s="407">
        <v>3037.4405216957466</v>
      </c>
      <c r="BW395" s="407"/>
      <c r="BX395" s="407"/>
      <c r="BY395" s="407"/>
      <c r="BZ395" s="407"/>
      <c r="CA395" s="407"/>
      <c r="CB395" s="407"/>
      <c r="CC395" s="407"/>
      <c r="CD395" s="407"/>
      <c r="CE395" s="407"/>
      <c r="CF395" s="407"/>
      <c r="CG395" s="407"/>
      <c r="CH395" s="407"/>
      <c r="CI395" s="407">
        <v>36036.694499999998</v>
      </c>
      <c r="CJ395" s="407">
        <v>-20552.841330000003</v>
      </c>
      <c r="CK395" s="407"/>
      <c r="CL395" s="407"/>
      <c r="CM395" s="407"/>
      <c r="CN395" s="407"/>
      <c r="CO395" s="407">
        <v>-21070.52217</v>
      </c>
      <c r="CP395" s="407">
        <v>523.38590999999997</v>
      </c>
      <c r="CQ395" s="407">
        <v>31</v>
      </c>
      <c r="CR395" s="407">
        <v>-61.590670544617751</v>
      </c>
      <c r="CS395" s="407">
        <v>0</v>
      </c>
      <c r="CT395" s="407">
        <v>0</v>
      </c>
      <c r="CU395" s="407">
        <v>0</v>
      </c>
      <c r="CV395" s="407">
        <v>0</v>
      </c>
      <c r="CW395" s="407">
        <v>0</v>
      </c>
      <c r="CX395" s="407">
        <v>0</v>
      </c>
      <c r="CY395" s="407">
        <v>0</v>
      </c>
      <c r="CZ395" s="407">
        <v>525.4474424988548</v>
      </c>
      <c r="DA395" s="407">
        <v>0</v>
      </c>
      <c r="DB395" s="407">
        <v>0</v>
      </c>
      <c r="DC395" s="407">
        <v>582.6366654727949</v>
      </c>
      <c r="DD395" s="407">
        <v>0</v>
      </c>
      <c r="DE395" s="407">
        <v>0</v>
      </c>
      <c r="DF395" s="407">
        <v>0</v>
      </c>
      <c r="DG395" s="407">
        <v>19.605764371439619</v>
      </c>
      <c r="DH395" s="407">
        <v>0</v>
      </c>
      <c r="DI395" s="407">
        <v>-71.948913865592885</v>
      </c>
      <c r="DJ395" s="407"/>
      <c r="DK395" s="407">
        <v>0</v>
      </c>
      <c r="DL395" s="407">
        <v>0</v>
      </c>
      <c r="DM395" s="407">
        <v>0</v>
      </c>
      <c r="DN395" s="407">
        <v>0</v>
      </c>
      <c r="DO395" s="407">
        <v>-11.131683286024156</v>
      </c>
      <c r="DP395" s="407">
        <v>-1.3035243131634147</v>
      </c>
      <c r="DQ395" s="407">
        <v>0</v>
      </c>
      <c r="DR395" s="407">
        <v>-1104.8964214229206</v>
      </c>
      <c r="DS395" s="407"/>
      <c r="DT395" s="407"/>
      <c r="DU395" s="407"/>
      <c r="DV395" s="407">
        <v>40104.44828964449</v>
      </c>
      <c r="DW395" s="407">
        <v>0</v>
      </c>
      <c r="DX395" s="407">
        <v>0</v>
      </c>
      <c r="DY395" s="407">
        <v>-21070.522169999997</v>
      </c>
      <c r="DZ395" s="407">
        <v>523.38590999999997</v>
      </c>
      <c r="EA395" s="407">
        <v>0</v>
      </c>
      <c r="EB395" s="407">
        <v>0</v>
      </c>
      <c r="EC395" s="407">
        <v>-20485.445333878539</v>
      </c>
      <c r="ED395" s="407">
        <v>0</v>
      </c>
      <c r="EE395" s="407">
        <v>0</v>
      </c>
      <c r="EF395" s="407">
        <v>0</v>
      </c>
      <c r="EG395" s="407">
        <v>0</v>
      </c>
      <c r="EH395" s="407">
        <v>0</v>
      </c>
      <c r="EI395" s="407">
        <v>0</v>
      </c>
      <c r="EJ395" s="407">
        <v>0</v>
      </c>
      <c r="EK395" s="407">
        <v>0</v>
      </c>
      <c r="EL395" s="407">
        <v>0</v>
      </c>
      <c r="EM395" s="407">
        <v>0</v>
      </c>
      <c r="EN395" s="407">
        <v>0</v>
      </c>
      <c r="EO395" s="407">
        <v>0</v>
      </c>
      <c r="EP395" s="407">
        <v>486.57844353118168</v>
      </c>
      <c r="EQ395" s="407">
        <v>0</v>
      </c>
      <c r="ER395" s="407">
        <v>0</v>
      </c>
      <c r="ES395" s="407">
        <v>0</v>
      </c>
      <c r="ET395" s="407">
        <v>0</v>
      </c>
      <c r="EU395" s="407">
        <v>0</v>
      </c>
      <c r="EV395" s="407">
        <v>246</v>
      </c>
      <c r="EW395" s="407">
        <v>0</v>
      </c>
      <c r="EX395" s="407">
        <v>0</v>
      </c>
      <c r="EY395" s="407">
        <v>0</v>
      </c>
      <c r="EZ395" s="407"/>
      <c r="FA395" s="407">
        <v>0</v>
      </c>
      <c r="FB395" s="407"/>
      <c r="FC395" s="407"/>
      <c r="FD395" s="407"/>
      <c r="FE395" s="407"/>
      <c r="FF395" s="407">
        <v>0</v>
      </c>
      <c r="FG395" s="407">
        <v>0</v>
      </c>
      <c r="FH395" s="407">
        <v>0</v>
      </c>
      <c r="FI395" s="407">
        <v>0</v>
      </c>
    </row>
    <row r="396" spans="1:165">
      <c r="A396" s="407">
        <v>413</v>
      </c>
      <c r="B396" s="407" t="s">
        <v>1090</v>
      </c>
      <c r="C396" s="407" t="s">
        <v>2314</v>
      </c>
      <c r="D396" s="407" t="s">
        <v>650</v>
      </c>
      <c r="E396" s="407" t="s">
        <v>1049</v>
      </c>
      <c r="F396" s="407" t="s">
        <v>97</v>
      </c>
      <c r="G396" s="407" t="s">
        <v>97</v>
      </c>
      <c r="H396" s="407" t="s">
        <v>97</v>
      </c>
      <c r="I396" s="407" t="s">
        <v>2290</v>
      </c>
      <c r="J396" s="407" t="s">
        <v>2307</v>
      </c>
      <c r="K396" s="818">
        <v>44562</v>
      </c>
      <c r="L396" s="407">
        <v>0</v>
      </c>
      <c r="M396" s="407">
        <v>0</v>
      </c>
      <c r="N396" s="407">
        <v>206.374</v>
      </c>
      <c r="O396" s="407">
        <v>206.374</v>
      </c>
      <c r="P396" s="407">
        <v>206.374</v>
      </c>
      <c r="Q396" s="407">
        <v>206.374</v>
      </c>
      <c r="R396" s="407"/>
      <c r="S396" s="407">
        <v>95.29</v>
      </c>
      <c r="T396" s="407">
        <v>159.41</v>
      </c>
      <c r="U396" s="407"/>
      <c r="V396" s="407">
        <v>52563.457799999996</v>
      </c>
      <c r="W396" s="407">
        <v>52563.457799999996</v>
      </c>
      <c r="X396" s="407">
        <v>57147.024340000004</v>
      </c>
      <c r="Y396" s="407">
        <v>0</v>
      </c>
      <c r="Z396" s="407">
        <v>11126.472198059786</v>
      </c>
      <c r="AA396" s="407">
        <v>0</v>
      </c>
      <c r="AB396" s="407">
        <v>0</v>
      </c>
      <c r="AC396" s="407">
        <v>0</v>
      </c>
      <c r="AD396" s="407">
        <v>0</v>
      </c>
      <c r="AE396" s="407">
        <v>0</v>
      </c>
      <c r="AF396" s="407">
        <v>31829.209930951154</v>
      </c>
      <c r="AG396" s="407">
        <v>1069.3779045178596</v>
      </c>
      <c r="AH396" s="407">
        <v>0</v>
      </c>
      <c r="AI396" s="407">
        <v>0</v>
      </c>
      <c r="AJ396" s="407">
        <v>0</v>
      </c>
      <c r="AK396" s="407">
        <v>0</v>
      </c>
      <c r="AL396" s="407">
        <v>1976.2488469540565</v>
      </c>
      <c r="AM396" s="407"/>
      <c r="AN396" s="407">
        <v>221.59065335058861</v>
      </c>
      <c r="AO396" s="407">
        <v>0</v>
      </c>
      <c r="AP396" s="407">
        <v>0</v>
      </c>
      <c r="AQ396" s="407">
        <v>0</v>
      </c>
      <c r="AR396" s="407">
        <v>0</v>
      </c>
      <c r="AS396" s="407">
        <v>0</v>
      </c>
      <c r="AT396" s="407">
        <v>0</v>
      </c>
      <c r="AU396" s="407">
        <v>0</v>
      </c>
      <c r="AV396" s="407">
        <v>0</v>
      </c>
      <c r="AW396" s="407">
        <v>0</v>
      </c>
      <c r="AX396" s="407">
        <v>0</v>
      </c>
      <c r="AY396" s="407">
        <v>0</v>
      </c>
      <c r="AZ396" s="407">
        <v>0</v>
      </c>
      <c r="BA396" s="407"/>
      <c r="BB396" s="407">
        <v>0</v>
      </c>
      <c r="BC396" s="407">
        <v>0</v>
      </c>
      <c r="BD396" s="407">
        <v>0</v>
      </c>
      <c r="BE396" s="407">
        <v>0</v>
      </c>
      <c r="BF396" s="407">
        <v>0</v>
      </c>
      <c r="BG396" s="407">
        <v>1071.0551309518485</v>
      </c>
      <c r="BH396" s="407">
        <v>0</v>
      </c>
      <c r="BI396" s="407">
        <v>0</v>
      </c>
      <c r="BJ396" s="407">
        <v>0</v>
      </c>
      <c r="BK396" s="407">
        <v>0</v>
      </c>
      <c r="BL396" s="407">
        <v>0</v>
      </c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>
        <v>32900.265061903003</v>
      </c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  <c r="CH396" s="407"/>
      <c r="CI396" s="407">
        <v>57145.916700000002</v>
      </c>
      <c r="CJ396" s="407">
        <v>4582.4289000000063</v>
      </c>
      <c r="CK396" s="407"/>
      <c r="CL396" s="407"/>
      <c r="CM396" s="407"/>
      <c r="CN396" s="407"/>
      <c r="CO396" s="407">
        <v>-1085.527240000001</v>
      </c>
      <c r="CP396" s="407">
        <v>5669.0937799999992</v>
      </c>
      <c r="CQ396" s="407">
        <v>31</v>
      </c>
      <c r="CR396" s="407">
        <v>4582.9142350385519</v>
      </c>
      <c r="CS396" s="407">
        <v>0</v>
      </c>
      <c r="CT396" s="407">
        <v>0</v>
      </c>
      <c r="CU396" s="407">
        <v>0</v>
      </c>
      <c r="CV396" s="407">
        <v>0</v>
      </c>
      <c r="CW396" s="407">
        <v>0</v>
      </c>
      <c r="CX396" s="407">
        <v>0</v>
      </c>
      <c r="CY396" s="407">
        <v>0</v>
      </c>
      <c r="CZ396" s="407">
        <v>0</v>
      </c>
      <c r="DA396" s="407">
        <v>0</v>
      </c>
      <c r="DB396" s="407">
        <v>0</v>
      </c>
      <c r="DC396" s="407">
        <v>6310.8727864526663</v>
      </c>
      <c r="DD396" s="407">
        <v>0</v>
      </c>
      <c r="DE396" s="407">
        <v>0</v>
      </c>
      <c r="DF396" s="407">
        <v>0</v>
      </c>
      <c r="DG396" s="407">
        <v>212.36130879081929</v>
      </c>
      <c r="DH396" s="407">
        <v>0</v>
      </c>
      <c r="DI396" s="407">
        <v>-779.32006246249148</v>
      </c>
      <c r="DJ396" s="407"/>
      <c r="DK396" s="407">
        <v>0</v>
      </c>
      <c r="DL396" s="407">
        <v>0</v>
      </c>
      <c r="DM396" s="407">
        <v>0</v>
      </c>
      <c r="DN396" s="407">
        <v>0</v>
      </c>
      <c r="DO396" s="407">
        <v>-120.57366327979594</v>
      </c>
      <c r="DP396" s="407">
        <v>-14.119221466686952</v>
      </c>
      <c r="DQ396" s="407">
        <v>0</v>
      </c>
      <c r="DR396" s="407">
        <v>-1026.3069129959599</v>
      </c>
      <c r="DS396" s="407"/>
      <c r="DT396" s="407"/>
      <c r="DU396" s="407"/>
      <c r="DV396" s="407">
        <v>0</v>
      </c>
      <c r="DW396" s="407">
        <v>0</v>
      </c>
      <c r="DX396" s="407">
        <v>0</v>
      </c>
      <c r="DY396" s="407">
        <v>-1085.5272399999994</v>
      </c>
      <c r="DZ396" s="407">
        <v>5669.0937800000029</v>
      </c>
      <c r="EA396" s="407">
        <v>0</v>
      </c>
      <c r="EB396" s="407">
        <v>0</v>
      </c>
      <c r="EC396" s="407">
        <v>0</v>
      </c>
      <c r="ED396" s="407">
        <v>0</v>
      </c>
      <c r="EE396" s="407">
        <v>0</v>
      </c>
      <c r="EF396" s="407">
        <v>0</v>
      </c>
      <c r="EG396" s="407">
        <v>0</v>
      </c>
      <c r="EH396" s="407">
        <v>0</v>
      </c>
      <c r="EI396" s="407">
        <v>0</v>
      </c>
      <c r="EJ396" s="407">
        <v>0</v>
      </c>
      <c r="EK396" s="407">
        <v>0</v>
      </c>
      <c r="EL396" s="407">
        <v>0</v>
      </c>
      <c r="EM396" s="407">
        <v>0</v>
      </c>
      <c r="EN396" s="407">
        <v>0</v>
      </c>
      <c r="EO396" s="407">
        <v>0</v>
      </c>
      <c r="EP396" s="407">
        <v>5270.4109434369439</v>
      </c>
      <c r="EQ396" s="407">
        <v>0</v>
      </c>
      <c r="ER396" s="407">
        <v>0</v>
      </c>
      <c r="ES396" s="407">
        <v>0</v>
      </c>
      <c r="ET396" s="407">
        <v>0</v>
      </c>
      <c r="EU396" s="407">
        <v>0</v>
      </c>
      <c r="EV396" s="407">
        <v>246</v>
      </c>
      <c r="EW396" s="407">
        <v>0</v>
      </c>
      <c r="EX396" s="407">
        <v>0</v>
      </c>
      <c r="EY396" s="407">
        <v>0</v>
      </c>
      <c r="EZ396" s="407"/>
      <c r="FA396" s="407">
        <v>0</v>
      </c>
      <c r="FB396" s="407"/>
      <c r="FC396" s="407"/>
      <c r="FD396" s="407"/>
      <c r="FE396" s="407"/>
      <c r="FF396" s="407">
        <v>0</v>
      </c>
      <c r="FG396" s="407">
        <v>0</v>
      </c>
      <c r="FH396" s="407">
        <v>0</v>
      </c>
      <c r="FI396" s="407">
        <v>0</v>
      </c>
    </row>
    <row r="397" spans="1:165">
      <c r="A397" s="407">
        <v>414</v>
      </c>
      <c r="B397" s="407" t="s">
        <v>2309</v>
      </c>
      <c r="C397" s="407" t="s">
        <v>2314</v>
      </c>
      <c r="D397" s="407" t="s">
        <v>650</v>
      </c>
      <c r="E397" s="407" t="s">
        <v>1049</v>
      </c>
      <c r="F397" s="407" t="s">
        <v>97</v>
      </c>
      <c r="G397" s="407" t="s">
        <v>97</v>
      </c>
      <c r="H397" s="407" t="s">
        <v>97</v>
      </c>
      <c r="I397" s="407" t="s">
        <v>2290</v>
      </c>
      <c r="J397" s="407" t="s">
        <v>2307</v>
      </c>
      <c r="K397" s="818">
        <v>44562</v>
      </c>
      <c r="L397" s="407">
        <v>0</v>
      </c>
      <c r="M397" s="407">
        <v>0</v>
      </c>
      <c r="N397" s="407">
        <v>95.251000000000005</v>
      </c>
      <c r="O397" s="407">
        <v>95.251000000000005</v>
      </c>
      <c r="P397" s="407">
        <v>95.251000000000005</v>
      </c>
      <c r="Q397" s="407">
        <v>95.251000000000005</v>
      </c>
      <c r="R397" s="407"/>
      <c r="S397" s="407">
        <v>95.29</v>
      </c>
      <c r="T397" s="407">
        <v>159.41</v>
      </c>
      <c r="U397" s="407"/>
      <c r="V397" s="407">
        <v>24260.429700000001</v>
      </c>
      <c r="W397" s="407">
        <v>24260.429700000001</v>
      </c>
      <c r="X397" s="407">
        <v>26375.954410000002</v>
      </c>
      <c r="Y397" s="407">
        <v>0</v>
      </c>
      <c r="Z397" s="407">
        <v>5135.3736582001256</v>
      </c>
      <c r="AA397" s="407">
        <v>0</v>
      </c>
      <c r="AB397" s="407">
        <v>0</v>
      </c>
      <c r="AC397" s="407">
        <v>0</v>
      </c>
      <c r="AD397" s="407">
        <v>0</v>
      </c>
      <c r="AE397" s="407">
        <v>0</v>
      </c>
      <c r="AF397" s="407">
        <v>14690.629997640344</v>
      </c>
      <c r="AG397" s="407">
        <v>493.56660617728329</v>
      </c>
      <c r="AH397" s="407">
        <v>0</v>
      </c>
      <c r="AI397" s="407">
        <v>0</v>
      </c>
      <c r="AJ397" s="407">
        <v>0</v>
      </c>
      <c r="AK397" s="407">
        <v>0</v>
      </c>
      <c r="AL397" s="407">
        <v>912.12884821353873</v>
      </c>
      <c r="AM397" s="407"/>
      <c r="AN397" s="407">
        <v>102.27417854137109</v>
      </c>
      <c r="AO397" s="407">
        <v>0</v>
      </c>
      <c r="AP397" s="407">
        <v>0</v>
      </c>
      <c r="AQ397" s="407">
        <v>0</v>
      </c>
      <c r="AR397" s="407">
        <v>0</v>
      </c>
      <c r="AS397" s="407">
        <v>0</v>
      </c>
      <c r="AT397" s="407">
        <v>0</v>
      </c>
      <c r="AU397" s="407">
        <v>0</v>
      </c>
      <c r="AV397" s="407">
        <v>0</v>
      </c>
      <c r="AW397" s="407">
        <v>0</v>
      </c>
      <c r="AX397" s="407">
        <v>0</v>
      </c>
      <c r="AY397" s="407">
        <v>0</v>
      </c>
      <c r="AZ397" s="407">
        <v>0</v>
      </c>
      <c r="BA397" s="407"/>
      <c r="BB397" s="407">
        <v>0</v>
      </c>
      <c r="BC397" s="407">
        <v>0</v>
      </c>
      <c r="BD397" s="407">
        <v>0</v>
      </c>
      <c r="BE397" s="407">
        <v>0</v>
      </c>
      <c r="BF397" s="407">
        <v>0</v>
      </c>
      <c r="BG397" s="407">
        <v>494.34072256337782</v>
      </c>
      <c r="BH397" s="407">
        <v>0</v>
      </c>
      <c r="BI397" s="407">
        <v>0</v>
      </c>
      <c r="BJ397" s="407">
        <v>0</v>
      </c>
      <c r="BK397" s="407">
        <v>0</v>
      </c>
      <c r="BL397" s="407">
        <v>0</v>
      </c>
      <c r="BM397" s="407"/>
      <c r="BN397" s="407"/>
      <c r="BO397" s="407"/>
      <c r="BP397" s="407"/>
      <c r="BQ397" s="407"/>
      <c r="BR397" s="407"/>
      <c r="BS397" s="407"/>
      <c r="BT397" s="407"/>
      <c r="BU397" s="407"/>
      <c r="BV397" s="407">
        <v>15184.970720203723</v>
      </c>
      <c r="BW397" s="407"/>
      <c r="BX397" s="407"/>
      <c r="BY397" s="407"/>
      <c r="BZ397" s="407"/>
      <c r="CA397" s="407"/>
      <c r="CB397" s="407"/>
      <c r="CC397" s="407"/>
      <c r="CD397" s="407"/>
      <c r="CE397" s="407"/>
      <c r="CF397" s="407"/>
      <c r="CG397" s="407"/>
      <c r="CH397" s="407"/>
      <c r="CI397" s="407">
        <v>26375.677499999998</v>
      </c>
      <c r="CJ397" s="407">
        <v>2115.2177999999985</v>
      </c>
      <c r="CK397" s="407"/>
      <c r="CL397" s="407"/>
      <c r="CM397" s="407"/>
      <c r="CN397" s="407"/>
      <c r="CO397" s="407">
        <v>-501.02026000000052</v>
      </c>
      <c r="CP397" s="407">
        <v>2616.5449699999999</v>
      </c>
      <c r="CQ397" s="407">
        <v>31</v>
      </c>
      <c r="CR397" s="407">
        <v>2115.2236415520238</v>
      </c>
      <c r="CS397" s="407">
        <v>0</v>
      </c>
      <c r="CT397" s="407">
        <v>0</v>
      </c>
      <c r="CU397" s="407">
        <v>0</v>
      </c>
      <c r="CV397" s="407">
        <v>0</v>
      </c>
      <c r="CW397" s="407">
        <v>0</v>
      </c>
      <c r="CX397" s="407">
        <v>0</v>
      </c>
      <c r="CY397" s="407">
        <v>0</v>
      </c>
      <c r="CZ397" s="407">
        <v>0</v>
      </c>
      <c r="DA397" s="407">
        <v>0</v>
      </c>
      <c r="DB397" s="407">
        <v>0</v>
      </c>
      <c r="DC397" s="407">
        <v>2912.7552103579092</v>
      </c>
      <c r="DD397" s="407">
        <v>0</v>
      </c>
      <c r="DE397" s="407">
        <v>0</v>
      </c>
      <c r="DF397" s="407">
        <v>0</v>
      </c>
      <c r="DG397" s="407">
        <v>98.01441569012735</v>
      </c>
      <c r="DH397" s="407">
        <v>0</v>
      </c>
      <c r="DI397" s="407">
        <v>-359.69170181134632</v>
      </c>
      <c r="DJ397" s="407"/>
      <c r="DK397" s="407">
        <v>0</v>
      </c>
      <c r="DL397" s="407">
        <v>0</v>
      </c>
      <c r="DM397" s="407">
        <v>0</v>
      </c>
      <c r="DN397" s="407">
        <v>0</v>
      </c>
      <c r="DO397" s="407">
        <v>-55.650236953607646</v>
      </c>
      <c r="DP397" s="407">
        <v>-6.5166637460309857</v>
      </c>
      <c r="DQ397" s="407">
        <v>0</v>
      </c>
      <c r="DR397" s="407">
        <v>-473.68738198502808</v>
      </c>
      <c r="DS397" s="407"/>
      <c r="DT397" s="407"/>
      <c r="DU397" s="407"/>
      <c r="DV397" s="407">
        <v>0</v>
      </c>
      <c r="DW397" s="407">
        <v>0</v>
      </c>
      <c r="DX397" s="407">
        <v>0</v>
      </c>
      <c r="DY397" s="407">
        <v>-501.02025999999933</v>
      </c>
      <c r="DZ397" s="407">
        <v>2616.5449700000008</v>
      </c>
      <c r="EA397" s="407">
        <v>0</v>
      </c>
      <c r="EB397" s="407">
        <v>0</v>
      </c>
      <c r="EC397" s="407">
        <v>0</v>
      </c>
      <c r="ED397" s="407">
        <v>0</v>
      </c>
      <c r="EE397" s="407">
        <v>0</v>
      </c>
      <c r="EF397" s="407">
        <v>0</v>
      </c>
      <c r="EG397" s="407">
        <v>0</v>
      </c>
      <c r="EH397" s="407">
        <v>0</v>
      </c>
      <c r="EI397" s="407">
        <v>0</v>
      </c>
      <c r="EJ397" s="407">
        <v>0</v>
      </c>
      <c r="EK397" s="407">
        <v>0</v>
      </c>
      <c r="EL397" s="407">
        <v>0</v>
      </c>
      <c r="EM397" s="407">
        <v>0</v>
      </c>
      <c r="EN397" s="407">
        <v>0</v>
      </c>
      <c r="EO397" s="407">
        <v>0</v>
      </c>
      <c r="EP397" s="407">
        <v>2432.534683503311</v>
      </c>
      <c r="EQ397" s="407">
        <v>0</v>
      </c>
      <c r="ER397" s="407">
        <v>0</v>
      </c>
      <c r="ES397" s="407">
        <v>0</v>
      </c>
      <c r="ET397" s="407">
        <v>0</v>
      </c>
      <c r="EU397" s="407">
        <v>0</v>
      </c>
      <c r="EV397" s="407">
        <v>246</v>
      </c>
      <c r="EW397" s="407">
        <v>0</v>
      </c>
      <c r="EX397" s="407">
        <v>0</v>
      </c>
      <c r="EY397" s="407">
        <v>0</v>
      </c>
      <c r="EZ397" s="407"/>
      <c r="FA397" s="407">
        <v>0</v>
      </c>
      <c r="FB397" s="407"/>
      <c r="FC397" s="407"/>
      <c r="FD397" s="407"/>
      <c r="FE397" s="407"/>
      <c r="FF397" s="407">
        <v>0</v>
      </c>
      <c r="FG397" s="407">
        <v>0</v>
      </c>
      <c r="FH397" s="407">
        <v>0</v>
      </c>
      <c r="FI397" s="407">
        <v>0</v>
      </c>
    </row>
    <row r="398" spans="1:165">
      <c r="A398" s="407">
        <v>415</v>
      </c>
      <c r="B398" s="407" t="s">
        <v>1090</v>
      </c>
      <c r="C398" s="407" t="s">
        <v>2314</v>
      </c>
      <c r="D398" s="407" t="s">
        <v>650</v>
      </c>
      <c r="E398" s="407" t="s">
        <v>1049</v>
      </c>
      <c r="F398" s="407" t="s">
        <v>97</v>
      </c>
      <c r="G398" s="407" t="s">
        <v>97</v>
      </c>
      <c r="H398" s="407" t="s">
        <v>97</v>
      </c>
      <c r="I398" s="407" t="s">
        <v>97</v>
      </c>
      <c r="J398" s="407" t="s">
        <v>2307</v>
      </c>
      <c r="K398" s="818">
        <v>44562</v>
      </c>
      <c r="L398" s="407">
        <v>1507</v>
      </c>
      <c r="M398" s="407">
        <v>1507</v>
      </c>
      <c r="N398" s="407">
        <v>0</v>
      </c>
      <c r="O398" s="407">
        <v>0</v>
      </c>
      <c r="P398" s="407">
        <v>0</v>
      </c>
      <c r="Q398" s="407">
        <v>0</v>
      </c>
      <c r="R398" s="407">
        <v>43.29</v>
      </c>
      <c r="S398" s="407"/>
      <c r="T398" s="407"/>
      <c r="U398" s="407">
        <v>65238.03</v>
      </c>
      <c r="V398" s="407"/>
      <c r="W398" s="407">
        <v>65238.03</v>
      </c>
      <c r="X398" s="407">
        <v>50469.43</v>
      </c>
      <c r="Y398" s="407">
        <v>0</v>
      </c>
      <c r="Z398" s="407">
        <v>0</v>
      </c>
      <c r="AA398" s="407">
        <v>0</v>
      </c>
      <c r="AB398" s="407">
        <v>0</v>
      </c>
      <c r="AC398" s="407">
        <v>0</v>
      </c>
      <c r="AD398" s="407">
        <v>35661.628647766069</v>
      </c>
      <c r="AE398" s="407">
        <v>29581.184966288001</v>
      </c>
      <c r="AF398" s="407"/>
      <c r="AG398" s="407"/>
      <c r="AH398" s="407"/>
      <c r="AI398" s="407">
        <v>0</v>
      </c>
      <c r="AJ398" s="407">
        <v>0</v>
      </c>
      <c r="AK398" s="407">
        <v>0</v>
      </c>
      <c r="AL398" s="407">
        <v>0</v>
      </c>
      <c r="AM398" s="407"/>
      <c r="AN398" s="407">
        <v>0</v>
      </c>
      <c r="AO398" s="407">
        <v>0</v>
      </c>
      <c r="AP398" s="407">
        <v>0</v>
      </c>
      <c r="AQ398" s="407">
        <v>0</v>
      </c>
      <c r="AR398" s="407">
        <v>0</v>
      </c>
      <c r="AS398" s="407"/>
      <c r="AT398" s="407"/>
      <c r="AU398" s="407">
        <v>0</v>
      </c>
      <c r="AV398" s="407">
        <v>0</v>
      </c>
      <c r="AW398" s="407">
        <v>0</v>
      </c>
      <c r="AX398" s="407"/>
      <c r="AY398" s="407"/>
      <c r="AZ398" s="407">
        <v>0</v>
      </c>
      <c r="BA398" s="407"/>
      <c r="BB398" s="407">
        <v>0</v>
      </c>
      <c r="BC398" s="407">
        <v>0</v>
      </c>
      <c r="BD398" s="407">
        <v>0</v>
      </c>
      <c r="BE398" s="407">
        <v>0</v>
      </c>
      <c r="BF398" s="407"/>
      <c r="BG398" s="407">
        <v>0</v>
      </c>
      <c r="BH398" s="407">
        <v>0</v>
      </c>
      <c r="BI398" s="407">
        <v>146.29</v>
      </c>
      <c r="BJ398" s="407">
        <v>682.96</v>
      </c>
      <c r="BK398" s="407">
        <v>60055.83</v>
      </c>
      <c r="BL398" s="407">
        <v>12</v>
      </c>
      <c r="BM398" s="407"/>
      <c r="BN398" s="407"/>
      <c r="BO398" s="407"/>
      <c r="BP398" s="407"/>
      <c r="BQ398" s="407"/>
      <c r="BR398" s="407"/>
      <c r="BS398" s="407"/>
      <c r="BT398" s="407"/>
      <c r="BU398" s="407"/>
      <c r="BV398" s="407">
        <v>0</v>
      </c>
      <c r="BW398" s="407"/>
      <c r="BX398" s="407"/>
      <c r="BY398" s="407"/>
      <c r="BZ398" s="407"/>
      <c r="CA398" s="407"/>
      <c r="CB398" s="407"/>
      <c r="CC398" s="407"/>
      <c r="CD398" s="407"/>
      <c r="CE398" s="407"/>
      <c r="CF398" s="407"/>
      <c r="CG398" s="407"/>
      <c r="CH398" s="407"/>
      <c r="CI398" s="407">
        <v>50469.43</v>
      </c>
      <c r="CJ398" s="407">
        <v>-14768.630000000005</v>
      </c>
      <c r="CK398" s="407"/>
      <c r="CL398" s="407"/>
      <c r="CM398" s="407"/>
      <c r="CN398" s="407"/>
      <c r="CO398" s="407">
        <v>-14768.599999999995</v>
      </c>
      <c r="CP398" s="407">
        <v>0</v>
      </c>
      <c r="CQ398" s="407">
        <v>31</v>
      </c>
      <c r="CR398" s="407">
        <v>337.05583883849613</v>
      </c>
      <c r="CS398" s="407">
        <v>0</v>
      </c>
      <c r="CT398" s="407">
        <v>0</v>
      </c>
      <c r="CU398" s="407">
        <v>0</v>
      </c>
      <c r="CV398" s="407">
        <v>0</v>
      </c>
      <c r="CW398" s="407"/>
      <c r="CX398" s="407"/>
      <c r="CY398" s="407"/>
      <c r="CZ398" s="407">
        <v>1610.9064762546623</v>
      </c>
      <c r="DA398" s="407">
        <v>0</v>
      </c>
      <c r="DB398" s="407">
        <v>0</v>
      </c>
      <c r="DC398" s="407"/>
      <c r="DD398" s="407"/>
      <c r="DE398" s="407">
        <v>0</v>
      </c>
      <c r="DF398" s="407">
        <v>0</v>
      </c>
      <c r="DG398" s="407">
        <v>0</v>
      </c>
      <c r="DH398" s="407">
        <v>0</v>
      </c>
      <c r="DI398" s="407">
        <v>0</v>
      </c>
      <c r="DJ398" s="407"/>
      <c r="DK398" s="407">
        <v>0</v>
      </c>
      <c r="DL398" s="407">
        <v>0</v>
      </c>
      <c r="DM398" s="407"/>
      <c r="DN398" s="407">
        <v>0</v>
      </c>
      <c r="DO398" s="407">
        <v>0</v>
      </c>
      <c r="DP398" s="407">
        <v>0</v>
      </c>
      <c r="DQ398" s="407">
        <v>0</v>
      </c>
      <c r="DR398" s="407">
        <v>-1273.8506374161689</v>
      </c>
      <c r="DS398" s="407"/>
      <c r="DT398" s="407"/>
      <c r="DU398" s="407">
        <v>29581.184966288001</v>
      </c>
      <c r="DV398" s="407"/>
      <c r="DW398" s="407">
        <v>0</v>
      </c>
      <c r="DX398" s="407">
        <v>0</v>
      </c>
      <c r="DY398" s="407">
        <v>-14768.599999999999</v>
      </c>
      <c r="DZ398" s="407"/>
      <c r="EA398" s="407">
        <v>0</v>
      </c>
      <c r="EB398" s="407"/>
      <c r="EC398" s="407">
        <v>-15110.137986731012</v>
      </c>
      <c r="ED398" s="407"/>
      <c r="EE398" s="407">
        <v>0</v>
      </c>
      <c r="EF398" s="407">
        <v>0</v>
      </c>
      <c r="EG398" s="407"/>
      <c r="EH398" s="407">
        <v>0</v>
      </c>
      <c r="EI398" s="407">
        <v>0</v>
      </c>
      <c r="EJ398" s="407">
        <v>0</v>
      </c>
      <c r="EK398" s="407">
        <v>0</v>
      </c>
      <c r="EL398" s="407">
        <v>0</v>
      </c>
      <c r="EM398" s="407"/>
      <c r="EN398" s="407"/>
      <c r="EO398" s="407">
        <v>0</v>
      </c>
      <c r="EP398" s="407">
        <v>0</v>
      </c>
      <c r="EQ398" s="407"/>
      <c r="ER398" s="407">
        <v>0</v>
      </c>
      <c r="ES398" s="407"/>
      <c r="ET398" s="407">
        <v>0</v>
      </c>
      <c r="EU398" s="407"/>
      <c r="EV398" s="407">
        <v>246</v>
      </c>
      <c r="EW398" s="407"/>
      <c r="EX398" s="407"/>
      <c r="EY398" s="407"/>
      <c r="EZ398" s="407"/>
      <c r="FA398" s="407">
        <v>0</v>
      </c>
      <c r="FB398" s="407"/>
      <c r="FC398" s="407"/>
      <c r="FD398" s="407"/>
      <c r="FE398" s="407"/>
      <c r="FF398" s="407">
        <v>0</v>
      </c>
      <c r="FG398" s="407">
        <v>0</v>
      </c>
      <c r="FH398" s="407">
        <v>0</v>
      </c>
      <c r="FI398" s="407">
        <v>0</v>
      </c>
    </row>
    <row r="399" spans="1:165">
      <c r="A399" s="407">
        <v>416</v>
      </c>
      <c r="B399" s="407" t="s">
        <v>2309</v>
      </c>
      <c r="C399" s="407" t="s">
        <v>2314</v>
      </c>
      <c r="D399" s="407" t="s">
        <v>650</v>
      </c>
      <c r="E399" s="407" t="s">
        <v>1049</v>
      </c>
      <c r="F399" s="407" t="s">
        <v>97</v>
      </c>
      <c r="G399" s="407" t="s">
        <v>97</v>
      </c>
      <c r="H399" s="407" t="s">
        <v>97</v>
      </c>
      <c r="I399" s="407" t="s">
        <v>97</v>
      </c>
      <c r="J399" s="407" t="s">
        <v>2307</v>
      </c>
      <c r="K399" s="818">
        <v>44562</v>
      </c>
      <c r="L399" s="407">
        <v>1089</v>
      </c>
      <c r="M399" s="407">
        <v>1089</v>
      </c>
      <c r="N399" s="407">
        <v>0</v>
      </c>
      <c r="O399" s="407">
        <v>0</v>
      </c>
      <c r="P399" s="407">
        <v>0</v>
      </c>
      <c r="Q399" s="407">
        <v>0</v>
      </c>
      <c r="R399" s="407">
        <v>43.29</v>
      </c>
      <c r="S399" s="407"/>
      <c r="T399" s="407"/>
      <c r="U399" s="407">
        <v>47142.81</v>
      </c>
      <c r="V399" s="407"/>
      <c r="W399" s="407">
        <v>47142.81</v>
      </c>
      <c r="X399" s="407">
        <v>36470.61</v>
      </c>
      <c r="Y399" s="407">
        <v>0</v>
      </c>
      <c r="Z399" s="407">
        <v>0</v>
      </c>
      <c r="AA399" s="407">
        <v>0</v>
      </c>
      <c r="AB399" s="407">
        <v>0</v>
      </c>
      <c r="AC399" s="407">
        <v>0</v>
      </c>
      <c r="AD399" s="407">
        <v>25770.082015538985</v>
      </c>
      <c r="AE399" s="407">
        <v>21376.18475666067</v>
      </c>
      <c r="AF399" s="407"/>
      <c r="AG399" s="407"/>
      <c r="AH399" s="407"/>
      <c r="AI399" s="407">
        <v>0</v>
      </c>
      <c r="AJ399" s="407">
        <v>0</v>
      </c>
      <c r="AK399" s="407">
        <v>0</v>
      </c>
      <c r="AL399" s="407">
        <v>0</v>
      </c>
      <c r="AM399" s="407"/>
      <c r="AN399" s="407">
        <v>0</v>
      </c>
      <c r="AO399" s="407">
        <v>0</v>
      </c>
      <c r="AP399" s="407">
        <v>0</v>
      </c>
      <c r="AQ399" s="407">
        <v>0</v>
      </c>
      <c r="AR399" s="407">
        <v>0</v>
      </c>
      <c r="AS399" s="407"/>
      <c r="AT399" s="407"/>
      <c r="AU399" s="407">
        <v>0</v>
      </c>
      <c r="AV399" s="407">
        <v>0</v>
      </c>
      <c r="AW399" s="407">
        <v>0</v>
      </c>
      <c r="AX399" s="407"/>
      <c r="AY399" s="407"/>
      <c r="AZ399" s="407">
        <v>0</v>
      </c>
      <c r="BA399" s="407"/>
      <c r="BB399" s="407">
        <v>0</v>
      </c>
      <c r="BC399" s="407">
        <v>0</v>
      </c>
      <c r="BD399" s="407">
        <v>0</v>
      </c>
      <c r="BE399" s="407">
        <v>0</v>
      </c>
      <c r="BF399" s="407"/>
      <c r="BG399" s="407">
        <v>0</v>
      </c>
      <c r="BH399" s="407">
        <v>0</v>
      </c>
      <c r="BI399" s="407">
        <v>107.2</v>
      </c>
      <c r="BJ399" s="407">
        <v>500.44</v>
      </c>
      <c r="BK399" s="407">
        <v>47708.62</v>
      </c>
      <c r="BL399" s="407">
        <v>6</v>
      </c>
      <c r="BM399" s="407"/>
      <c r="BN399" s="407"/>
      <c r="BO399" s="407"/>
      <c r="BP399" s="407"/>
      <c r="BQ399" s="407"/>
      <c r="BR399" s="407"/>
      <c r="BS399" s="407"/>
      <c r="BT399" s="407"/>
      <c r="BU399" s="407"/>
      <c r="BV399" s="407">
        <v>0</v>
      </c>
      <c r="BW399" s="407"/>
      <c r="BX399" s="407"/>
      <c r="BY399" s="407"/>
      <c r="BZ399" s="407"/>
      <c r="CA399" s="407"/>
      <c r="CB399" s="407"/>
      <c r="CC399" s="407"/>
      <c r="CD399" s="407"/>
      <c r="CE399" s="407"/>
      <c r="CF399" s="407"/>
      <c r="CG399" s="407"/>
      <c r="CH399" s="407"/>
      <c r="CI399" s="407">
        <v>36470.61</v>
      </c>
      <c r="CJ399" s="407">
        <v>-10672.230000000003</v>
      </c>
      <c r="CK399" s="407"/>
      <c r="CL399" s="407"/>
      <c r="CM399" s="407"/>
      <c r="CN399" s="407"/>
      <c r="CO399" s="407">
        <v>-10672.199999999997</v>
      </c>
      <c r="CP399" s="407">
        <v>0</v>
      </c>
      <c r="CQ399" s="407">
        <v>31</v>
      </c>
      <c r="CR399" s="407">
        <v>243.56589813876417</v>
      </c>
      <c r="CS399" s="407">
        <v>0</v>
      </c>
      <c r="CT399" s="407">
        <v>0</v>
      </c>
      <c r="CU399" s="407">
        <v>0</v>
      </c>
      <c r="CV399" s="407">
        <v>0</v>
      </c>
      <c r="CW399" s="407"/>
      <c r="CX399" s="407"/>
      <c r="CY399" s="407"/>
      <c r="CZ399" s="407">
        <v>1164.0857018190618</v>
      </c>
      <c r="DA399" s="407">
        <v>0</v>
      </c>
      <c r="DB399" s="407">
        <v>0</v>
      </c>
      <c r="DC399" s="407"/>
      <c r="DD399" s="407"/>
      <c r="DE399" s="407">
        <v>0</v>
      </c>
      <c r="DF399" s="407">
        <v>0</v>
      </c>
      <c r="DG399" s="407">
        <v>0</v>
      </c>
      <c r="DH399" s="407">
        <v>0</v>
      </c>
      <c r="DI399" s="407">
        <v>0</v>
      </c>
      <c r="DJ399" s="407"/>
      <c r="DK399" s="407">
        <v>0</v>
      </c>
      <c r="DL399" s="407">
        <v>0</v>
      </c>
      <c r="DM399" s="407"/>
      <c r="DN399" s="407">
        <v>0</v>
      </c>
      <c r="DO399" s="407">
        <v>0</v>
      </c>
      <c r="DP399" s="407">
        <v>0</v>
      </c>
      <c r="DQ399" s="407">
        <v>0</v>
      </c>
      <c r="DR399" s="407">
        <v>-920.51980368029729</v>
      </c>
      <c r="DS399" s="407"/>
      <c r="DT399" s="407"/>
      <c r="DU399" s="407">
        <v>21376.18475666067</v>
      </c>
      <c r="DV399" s="407"/>
      <c r="DW399" s="407">
        <v>0</v>
      </c>
      <c r="DX399" s="407">
        <v>0</v>
      </c>
      <c r="DY399" s="407">
        <v>-10672.199999999997</v>
      </c>
      <c r="DZ399" s="407"/>
      <c r="EA399" s="407">
        <v>0</v>
      </c>
      <c r="EB399" s="407"/>
      <c r="EC399" s="407">
        <v>-10919.004822528246</v>
      </c>
      <c r="ED399" s="407"/>
      <c r="EE399" s="407">
        <v>0</v>
      </c>
      <c r="EF399" s="407">
        <v>0</v>
      </c>
      <c r="EG399" s="407"/>
      <c r="EH399" s="407">
        <v>0</v>
      </c>
      <c r="EI399" s="407">
        <v>0</v>
      </c>
      <c r="EJ399" s="407">
        <v>0</v>
      </c>
      <c r="EK399" s="407">
        <v>0</v>
      </c>
      <c r="EL399" s="407">
        <v>0</v>
      </c>
      <c r="EM399" s="407"/>
      <c r="EN399" s="407"/>
      <c r="EO399" s="407">
        <v>0</v>
      </c>
      <c r="EP399" s="407">
        <v>0</v>
      </c>
      <c r="EQ399" s="407"/>
      <c r="ER399" s="407">
        <v>0</v>
      </c>
      <c r="ES399" s="407"/>
      <c r="ET399" s="407">
        <v>0</v>
      </c>
      <c r="EU399" s="407"/>
      <c r="EV399" s="407">
        <v>246</v>
      </c>
      <c r="EW399" s="407"/>
      <c r="EX399" s="407"/>
      <c r="EY399" s="407"/>
      <c r="EZ399" s="407"/>
      <c r="FA399" s="407">
        <v>0</v>
      </c>
      <c r="FB399" s="407"/>
      <c r="FC399" s="407"/>
      <c r="FD399" s="407"/>
      <c r="FE399" s="407"/>
      <c r="FF399" s="407">
        <v>0</v>
      </c>
      <c r="FG399" s="407">
        <v>0</v>
      </c>
      <c r="FH399" s="407">
        <v>0</v>
      </c>
      <c r="FI399" s="407">
        <v>0</v>
      </c>
    </row>
    <row r="400" spans="1:165">
      <c r="A400" s="407">
        <v>417</v>
      </c>
      <c r="B400" s="407" t="s">
        <v>1090</v>
      </c>
      <c r="C400" s="407" t="s">
        <v>2306</v>
      </c>
      <c r="D400" s="407" t="s">
        <v>2315</v>
      </c>
      <c r="E400" s="407" t="s">
        <v>1026</v>
      </c>
      <c r="F400" s="407" t="s">
        <v>97</v>
      </c>
      <c r="G400" s="407" t="s">
        <v>97</v>
      </c>
      <c r="H400" s="407" t="s">
        <v>97</v>
      </c>
      <c r="I400" s="407" t="s">
        <v>97</v>
      </c>
      <c r="J400" s="407" t="s">
        <v>2307</v>
      </c>
      <c r="K400" s="818">
        <v>44562</v>
      </c>
      <c r="L400" s="407">
        <v>0</v>
      </c>
      <c r="M400" s="407">
        <v>0</v>
      </c>
      <c r="N400" s="407">
        <v>4856.2290000000003</v>
      </c>
      <c r="O400" s="407">
        <v>4856.2290000000003</v>
      </c>
      <c r="P400" s="407">
        <v>4856.2290000000003</v>
      </c>
      <c r="Q400" s="407">
        <v>4856.2290000000003</v>
      </c>
      <c r="R400" s="407"/>
      <c r="S400" s="407">
        <v>648.44000000000005</v>
      </c>
      <c r="T400" s="407">
        <v>159.41</v>
      </c>
      <c r="U400" s="407"/>
      <c r="V400" s="407">
        <v>3923104.5976500004</v>
      </c>
      <c r="W400" s="407">
        <v>3923104.5976500004</v>
      </c>
      <c r="X400" s="407">
        <v>2971138.02678</v>
      </c>
      <c r="Y400" s="407">
        <v>0</v>
      </c>
      <c r="Z400" s="407">
        <v>300941.72824670683</v>
      </c>
      <c r="AA400" s="407">
        <v>0</v>
      </c>
      <c r="AB400" s="407">
        <v>0</v>
      </c>
      <c r="AC400" s="407">
        <v>0</v>
      </c>
      <c r="AD400" s="407">
        <v>566452.04525866662</v>
      </c>
      <c r="AE400" s="407">
        <v>2027698.9492939364</v>
      </c>
      <c r="AF400" s="407">
        <v>748979.67919298459</v>
      </c>
      <c r="AG400" s="407">
        <v>25163.751208383139</v>
      </c>
      <c r="AH400" s="407">
        <v>0</v>
      </c>
      <c r="AI400" s="407">
        <v>0</v>
      </c>
      <c r="AJ400" s="407">
        <v>0</v>
      </c>
      <c r="AK400" s="407">
        <v>0</v>
      </c>
      <c r="AL400" s="407">
        <v>46503.517699879107</v>
      </c>
      <c r="AM400" s="407"/>
      <c r="AN400" s="407">
        <v>10077.139627064586</v>
      </c>
      <c r="AO400" s="407">
        <v>0</v>
      </c>
      <c r="AP400" s="407">
        <v>0</v>
      </c>
      <c r="AQ400" s="407">
        <v>0</v>
      </c>
      <c r="AR400" s="407">
        <v>0</v>
      </c>
      <c r="AS400" s="407">
        <v>0</v>
      </c>
      <c r="AT400" s="407">
        <v>0</v>
      </c>
      <c r="AU400" s="407">
        <v>0</v>
      </c>
      <c r="AV400" s="407">
        <v>0</v>
      </c>
      <c r="AW400" s="407">
        <v>0</v>
      </c>
      <c r="AX400" s="407">
        <v>0</v>
      </c>
      <c r="AY400" s="407">
        <v>0</v>
      </c>
      <c r="AZ400" s="407">
        <v>0</v>
      </c>
      <c r="BA400" s="407"/>
      <c r="BB400" s="407">
        <v>0</v>
      </c>
      <c r="BC400" s="407">
        <v>0</v>
      </c>
      <c r="BD400" s="407">
        <v>0</v>
      </c>
      <c r="BE400" s="407">
        <v>0</v>
      </c>
      <c r="BF400" s="407">
        <v>0</v>
      </c>
      <c r="BG400" s="407">
        <v>54748.022879374475</v>
      </c>
      <c r="BH400" s="407">
        <v>0</v>
      </c>
      <c r="BI400" s="407">
        <v>2069.67</v>
      </c>
      <c r="BJ400" s="407">
        <v>9990.59</v>
      </c>
      <c r="BK400" s="407">
        <v>228999.87</v>
      </c>
      <c r="BL400" s="407">
        <v>13824</v>
      </c>
      <c r="BM400" s="407"/>
      <c r="BN400" s="407"/>
      <c r="BO400" s="407"/>
      <c r="BP400" s="407"/>
      <c r="BQ400" s="407"/>
      <c r="BR400" s="407">
        <v>356544.33318000007</v>
      </c>
      <c r="BS400" s="407"/>
      <c r="BT400" s="407"/>
      <c r="BU400" s="407"/>
      <c r="BV400" s="407">
        <v>803727.70207235904</v>
      </c>
      <c r="BW400" s="407"/>
      <c r="BX400" s="407"/>
      <c r="BY400" s="407"/>
      <c r="BZ400" s="407"/>
      <c r="CA400" s="407"/>
      <c r="CB400" s="407"/>
      <c r="CC400" s="407"/>
      <c r="CD400" s="407"/>
      <c r="CE400" s="407"/>
      <c r="CF400" s="407"/>
      <c r="CG400" s="407"/>
      <c r="CH400" s="407"/>
      <c r="CI400" s="407">
        <v>2614594.2319999998</v>
      </c>
      <c r="CJ400" s="407">
        <v>-837747.55638999958</v>
      </c>
      <c r="CK400" s="407"/>
      <c r="CL400" s="407"/>
      <c r="CM400" s="407"/>
      <c r="CN400" s="407"/>
      <c r="CO400" s="407">
        <v>-1085367.1815000004</v>
      </c>
      <c r="CP400" s="407">
        <v>133400.61063000001</v>
      </c>
      <c r="CQ400" s="407">
        <v>31</v>
      </c>
      <c r="CR400" s="407">
        <v>83789.462654162897</v>
      </c>
      <c r="CS400" s="407">
        <v>0</v>
      </c>
      <c r="CT400" s="407">
        <v>0</v>
      </c>
      <c r="CU400" s="407">
        <v>0</v>
      </c>
      <c r="CV400" s="407">
        <v>0</v>
      </c>
      <c r="CW400" s="407">
        <v>0</v>
      </c>
      <c r="CX400" s="407">
        <v>0</v>
      </c>
      <c r="CY400" s="407">
        <v>0</v>
      </c>
      <c r="CZ400" s="407">
        <v>25587.762051133323</v>
      </c>
      <c r="DA400" s="407">
        <v>0</v>
      </c>
      <c r="DB400" s="407">
        <v>0</v>
      </c>
      <c r="DC400" s="407">
        <v>148502.44430442899</v>
      </c>
      <c r="DD400" s="407">
        <v>0</v>
      </c>
      <c r="DE400" s="407">
        <v>0</v>
      </c>
      <c r="DF400" s="407">
        <v>0</v>
      </c>
      <c r="DG400" s="407">
        <v>10855.054475152327</v>
      </c>
      <c r="DH400" s="407">
        <v>0</v>
      </c>
      <c r="DI400" s="407">
        <v>-21078.552328175399</v>
      </c>
      <c r="DJ400" s="407"/>
      <c r="DK400" s="407">
        <v>0</v>
      </c>
      <c r="DL400" s="407">
        <v>0</v>
      </c>
      <c r="DM400" s="407">
        <v>0</v>
      </c>
      <c r="DN400" s="407">
        <v>0</v>
      </c>
      <c r="DO400" s="407">
        <v>-2837.2436462712285</v>
      </c>
      <c r="DP400" s="407">
        <v>-642.09100877622222</v>
      </c>
      <c r="DQ400" s="407">
        <v>0</v>
      </c>
      <c r="DR400" s="407">
        <v>-76597.911193329128</v>
      </c>
      <c r="DS400" s="407"/>
      <c r="DT400" s="407"/>
      <c r="DU400" s="407"/>
      <c r="DV400" s="407">
        <v>2027698.9492939364</v>
      </c>
      <c r="DW400" s="407">
        <v>0</v>
      </c>
      <c r="DX400" s="407">
        <v>0</v>
      </c>
      <c r="DY400" s="407">
        <v>-1085367.1815000004</v>
      </c>
      <c r="DZ400" s="407">
        <v>133400.61063000001</v>
      </c>
      <c r="EA400" s="407">
        <v>0</v>
      </c>
      <c r="EB400" s="407">
        <v>0</v>
      </c>
      <c r="EC400" s="407">
        <v>-1035753.3328802796</v>
      </c>
      <c r="ED400" s="407">
        <v>0</v>
      </c>
      <c r="EE400" s="407">
        <v>0</v>
      </c>
      <c r="EF400" s="407">
        <v>0</v>
      </c>
      <c r="EG400" s="407">
        <v>0</v>
      </c>
      <c r="EH400" s="407">
        <v>0</v>
      </c>
      <c r="EI400" s="407">
        <v>0</v>
      </c>
      <c r="EJ400" s="407">
        <v>0</v>
      </c>
      <c r="EK400" s="407">
        <v>0</v>
      </c>
      <c r="EL400" s="407">
        <v>0</v>
      </c>
      <c r="EM400" s="407">
        <v>0</v>
      </c>
      <c r="EN400" s="407">
        <v>0</v>
      </c>
      <c r="EO400" s="407">
        <v>0</v>
      </c>
      <c r="EP400" s="407">
        <v>142550.71595512988</v>
      </c>
      <c r="EQ400" s="407">
        <v>0</v>
      </c>
      <c r="ER400" s="407">
        <v>0</v>
      </c>
      <c r="ES400" s="407">
        <v>0</v>
      </c>
      <c r="ET400" s="407">
        <v>0</v>
      </c>
      <c r="EU400" s="407">
        <v>0</v>
      </c>
      <c r="EV400" s="407">
        <v>246</v>
      </c>
      <c r="EW400" s="407">
        <v>0</v>
      </c>
      <c r="EX400" s="407">
        <v>0</v>
      </c>
      <c r="EY400" s="407">
        <v>0</v>
      </c>
      <c r="EZ400" s="407"/>
      <c r="FA400" s="407">
        <v>0</v>
      </c>
      <c r="FB400" s="407"/>
      <c r="FC400" s="407"/>
      <c r="FD400" s="407"/>
      <c r="FE400" s="407"/>
      <c r="FF400" s="407">
        <v>0</v>
      </c>
      <c r="FG400" s="407">
        <v>0</v>
      </c>
      <c r="FH400" s="407">
        <v>0</v>
      </c>
      <c r="FI400" s="407">
        <v>0</v>
      </c>
    </row>
    <row r="401" spans="1:165">
      <c r="A401" s="407">
        <v>418</v>
      </c>
      <c r="B401" s="407" t="s">
        <v>2308</v>
      </c>
      <c r="C401" s="407" t="s">
        <v>2306</v>
      </c>
      <c r="D401" s="407" t="s">
        <v>2315</v>
      </c>
      <c r="E401" s="407" t="s">
        <v>1026</v>
      </c>
      <c r="F401" s="407" t="s">
        <v>97</v>
      </c>
      <c r="G401" s="407" t="s">
        <v>97</v>
      </c>
      <c r="H401" s="407" t="s">
        <v>97</v>
      </c>
      <c r="I401" s="407" t="s">
        <v>97</v>
      </c>
      <c r="J401" s="407" t="s">
        <v>2307</v>
      </c>
      <c r="K401" s="818">
        <v>44562</v>
      </c>
      <c r="L401" s="407">
        <v>0</v>
      </c>
      <c r="M401" s="407">
        <v>0</v>
      </c>
      <c r="N401" s="407">
        <v>0.76300000000000001</v>
      </c>
      <c r="O401" s="407">
        <v>0.76300000000000001</v>
      </c>
      <c r="P401" s="407">
        <v>0.76300000000000001</v>
      </c>
      <c r="Q401" s="407">
        <v>0.76300000000000001</v>
      </c>
      <c r="R401" s="407"/>
      <c r="S401" s="407">
        <v>648.44000000000005</v>
      </c>
      <c r="T401" s="407">
        <v>159.41</v>
      </c>
      <c r="U401" s="407"/>
      <c r="V401" s="407">
        <v>616.3895500000001</v>
      </c>
      <c r="W401" s="407">
        <v>616.3895500000001</v>
      </c>
      <c r="X401" s="407">
        <v>466.81866000000002</v>
      </c>
      <c r="Y401" s="407">
        <v>0</v>
      </c>
      <c r="Z401" s="407">
        <v>47.283301230695116</v>
      </c>
      <c r="AA401" s="407">
        <v>0</v>
      </c>
      <c r="AB401" s="407">
        <v>0</v>
      </c>
      <c r="AC401" s="407">
        <v>0</v>
      </c>
      <c r="AD401" s="407">
        <v>88.999697199691909</v>
      </c>
      <c r="AE401" s="407">
        <v>318.58759097053979</v>
      </c>
      <c r="AF401" s="407">
        <v>117.67803685210217</v>
      </c>
      <c r="AG401" s="407">
        <v>3.9536731426784719</v>
      </c>
      <c r="AH401" s="407">
        <v>0</v>
      </c>
      <c r="AI401" s="407">
        <v>0</v>
      </c>
      <c r="AJ401" s="407">
        <v>0</v>
      </c>
      <c r="AK401" s="407">
        <v>0</v>
      </c>
      <c r="AL401" s="407">
        <v>7.3065302326162458</v>
      </c>
      <c r="AM401" s="407"/>
      <c r="AN401" s="407">
        <v>1.5832979736849886</v>
      </c>
      <c r="AO401" s="407">
        <v>0</v>
      </c>
      <c r="AP401" s="407">
        <v>0</v>
      </c>
      <c r="AQ401" s="407">
        <v>0</v>
      </c>
      <c r="AR401" s="407">
        <v>0</v>
      </c>
      <c r="AS401" s="407">
        <v>0</v>
      </c>
      <c r="AT401" s="407">
        <v>0</v>
      </c>
      <c r="AU401" s="407">
        <v>0</v>
      </c>
      <c r="AV401" s="407">
        <v>0</v>
      </c>
      <c r="AW401" s="407">
        <v>0</v>
      </c>
      <c r="AX401" s="407">
        <v>0</v>
      </c>
      <c r="AY401" s="407">
        <v>0</v>
      </c>
      <c r="AZ401" s="407">
        <v>0</v>
      </c>
      <c r="BA401" s="407"/>
      <c r="BB401" s="407">
        <v>0</v>
      </c>
      <c r="BC401" s="407">
        <v>0</v>
      </c>
      <c r="BD401" s="407">
        <v>0</v>
      </c>
      <c r="BE401" s="407">
        <v>0</v>
      </c>
      <c r="BF401" s="407">
        <v>0</v>
      </c>
      <c r="BG401" s="407">
        <v>8.6018887200259151</v>
      </c>
      <c r="BH401" s="407">
        <v>0</v>
      </c>
      <c r="BI401" s="407">
        <v>1.1399999999999999</v>
      </c>
      <c r="BJ401" s="407">
        <v>5.36</v>
      </c>
      <c r="BK401" s="407">
        <v>-8.9700000000000006</v>
      </c>
      <c r="BL401" s="407">
        <v>0</v>
      </c>
      <c r="BM401" s="407"/>
      <c r="BN401" s="407"/>
      <c r="BO401" s="407"/>
      <c r="BP401" s="407"/>
      <c r="BQ401" s="407"/>
      <c r="BR401" s="407">
        <v>56.019460000000009</v>
      </c>
      <c r="BS401" s="407"/>
      <c r="BT401" s="407"/>
      <c r="BU401" s="407"/>
      <c r="BV401" s="407">
        <v>126.27992557212808</v>
      </c>
      <c r="BW401" s="407"/>
      <c r="BX401" s="407"/>
      <c r="BY401" s="407"/>
      <c r="BZ401" s="407"/>
      <c r="CA401" s="407"/>
      <c r="CB401" s="407"/>
      <c r="CC401" s="407"/>
      <c r="CD401" s="407"/>
      <c r="CE401" s="407"/>
      <c r="CF401" s="407"/>
      <c r="CG401" s="407"/>
      <c r="CH401" s="407"/>
      <c r="CI401" s="407">
        <v>409.18399999999997</v>
      </c>
      <c r="CJ401" s="407">
        <v>-133.27033000000006</v>
      </c>
      <c r="CK401" s="407"/>
      <c r="CL401" s="407"/>
      <c r="CM401" s="407"/>
      <c r="CN401" s="407"/>
      <c r="CO401" s="407">
        <v>-170.53050000000005</v>
      </c>
      <c r="CP401" s="407">
        <v>20.959609999999998</v>
      </c>
      <c r="CQ401" s="407">
        <v>31</v>
      </c>
      <c r="CR401" s="407">
        <v>13.164815745947408</v>
      </c>
      <c r="CS401" s="407">
        <v>0</v>
      </c>
      <c r="CT401" s="407">
        <v>0</v>
      </c>
      <c r="CU401" s="407">
        <v>0</v>
      </c>
      <c r="CV401" s="407">
        <v>0</v>
      </c>
      <c r="CW401" s="407">
        <v>0</v>
      </c>
      <c r="CX401" s="407">
        <v>0</v>
      </c>
      <c r="CY401" s="407">
        <v>0</v>
      </c>
      <c r="CZ401" s="407">
        <v>4.0202927920027491</v>
      </c>
      <c r="DA401" s="407">
        <v>0</v>
      </c>
      <c r="DB401" s="407">
        <v>0</v>
      </c>
      <c r="DC401" s="407">
        <v>23.332376830721813</v>
      </c>
      <c r="DD401" s="407">
        <v>0</v>
      </c>
      <c r="DE401" s="407">
        <v>0</v>
      </c>
      <c r="DF401" s="407">
        <v>0</v>
      </c>
      <c r="DG401" s="407">
        <v>1.7055222405165029</v>
      </c>
      <c r="DH401" s="407">
        <v>0</v>
      </c>
      <c r="DI401" s="407">
        <v>-3.3118156961703917</v>
      </c>
      <c r="DJ401" s="407"/>
      <c r="DK401" s="407">
        <v>0</v>
      </c>
      <c r="DL401" s="407">
        <v>0</v>
      </c>
      <c r="DM401" s="407">
        <v>0</v>
      </c>
      <c r="DN401" s="407">
        <v>0</v>
      </c>
      <c r="DO401" s="407">
        <v>-0.44578146996464785</v>
      </c>
      <c r="DP401" s="407">
        <v>-0.10088392448054995</v>
      </c>
      <c r="DQ401" s="407">
        <v>0</v>
      </c>
      <c r="DR401" s="407">
        <v>-12.034895026678132</v>
      </c>
      <c r="DS401" s="407"/>
      <c r="DT401" s="407"/>
      <c r="DU401" s="407"/>
      <c r="DV401" s="407">
        <v>318.58759097053979</v>
      </c>
      <c r="DW401" s="407">
        <v>0</v>
      </c>
      <c r="DX401" s="407">
        <v>0</v>
      </c>
      <c r="DY401" s="407">
        <v>-170.53050000000007</v>
      </c>
      <c r="DZ401" s="407">
        <v>20.959609999999998</v>
      </c>
      <c r="EA401" s="407">
        <v>0</v>
      </c>
      <c r="EB401" s="407">
        <v>0</v>
      </c>
      <c r="EC401" s="407">
        <v>-162.73528142673121</v>
      </c>
      <c r="ED401" s="407">
        <v>0</v>
      </c>
      <c r="EE401" s="407">
        <v>0</v>
      </c>
      <c r="EF401" s="407">
        <v>0</v>
      </c>
      <c r="EG401" s="407">
        <v>0</v>
      </c>
      <c r="EH401" s="407">
        <v>0</v>
      </c>
      <c r="EI401" s="407">
        <v>0</v>
      </c>
      <c r="EJ401" s="407">
        <v>0</v>
      </c>
      <c r="EK401" s="407">
        <v>0</v>
      </c>
      <c r="EL401" s="407">
        <v>0</v>
      </c>
      <c r="EM401" s="407">
        <v>0</v>
      </c>
      <c r="EN401" s="407">
        <v>0</v>
      </c>
      <c r="EO401" s="407">
        <v>0</v>
      </c>
      <c r="EP401" s="407">
        <v>22.397254386842981</v>
      </c>
      <c r="EQ401" s="407">
        <v>0</v>
      </c>
      <c r="ER401" s="407">
        <v>0</v>
      </c>
      <c r="ES401" s="407">
        <v>0</v>
      </c>
      <c r="ET401" s="407">
        <v>0</v>
      </c>
      <c r="EU401" s="407">
        <v>0</v>
      </c>
      <c r="EV401" s="407">
        <v>246</v>
      </c>
      <c r="EW401" s="407">
        <v>0</v>
      </c>
      <c r="EX401" s="407">
        <v>0</v>
      </c>
      <c r="EY401" s="407">
        <v>0</v>
      </c>
      <c r="EZ401" s="407"/>
      <c r="FA401" s="407">
        <v>0</v>
      </c>
      <c r="FB401" s="407"/>
      <c r="FC401" s="407"/>
      <c r="FD401" s="407"/>
      <c r="FE401" s="407"/>
      <c r="FF401" s="407">
        <v>0</v>
      </c>
      <c r="FG401" s="407">
        <v>0</v>
      </c>
      <c r="FH401" s="407">
        <v>0</v>
      </c>
      <c r="FI401" s="407">
        <v>0</v>
      </c>
    </row>
    <row r="402" spans="1:165">
      <c r="A402" s="407">
        <v>419</v>
      </c>
      <c r="B402" s="407" t="s">
        <v>2309</v>
      </c>
      <c r="C402" s="407" t="s">
        <v>2306</v>
      </c>
      <c r="D402" s="407" t="s">
        <v>2315</v>
      </c>
      <c r="E402" s="407" t="s">
        <v>1026</v>
      </c>
      <c r="F402" s="407" t="s">
        <v>97</v>
      </c>
      <c r="G402" s="407" t="s">
        <v>97</v>
      </c>
      <c r="H402" s="407" t="s">
        <v>97</v>
      </c>
      <c r="I402" s="407" t="s">
        <v>97</v>
      </c>
      <c r="J402" s="407" t="s">
        <v>2307</v>
      </c>
      <c r="K402" s="818">
        <v>44562</v>
      </c>
      <c r="L402" s="407">
        <v>0</v>
      </c>
      <c r="M402" s="407">
        <v>0</v>
      </c>
      <c r="N402" s="407">
        <v>101.393</v>
      </c>
      <c r="O402" s="407">
        <v>101.393</v>
      </c>
      <c r="P402" s="407">
        <v>101.393</v>
      </c>
      <c r="Q402" s="407">
        <v>101.393</v>
      </c>
      <c r="R402" s="407"/>
      <c r="S402" s="407">
        <v>648.44000000000005</v>
      </c>
      <c r="T402" s="407">
        <v>159.41</v>
      </c>
      <c r="U402" s="407"/>
      <c r="V402" s="407">
        <v>81910.335050000009</v>
      </c>
      <c r="W402" s="407">
        <v>81910.335050000009</v>
      </c>
      <c r="X402" s="407">
        <v>62034.26526</v>
      </c>
      <c r="Y402" s="407">
        <v>0</v>
      </c>
      <c r="Z402" s="407">
        <v>6283.3496221282694</v>
      </c>
      <c r="AA402" s="407">
        <v>0</v>
      </c>
      <c r="AB402" s="407">
        <v>0</v>
      </c>
      <c r="AC402" s="407">
        <v>0</v>
      </c>
      <c r="AD402" s="407">
        <v>11826.9283069048</v>
      </c>
      <c r="AE402" s="407">
        <v>42336.240643874102</v>
      </c>
      <c r="AF402" s="407">
        <v>15637.915059692259</v>
      </c>
      <c r="AG402" s="407">
        <v>525.39289771375923</v>
      </c>
      <c r="AH402" s="407">
        <v>0</v>
      </c>
      <c r="AI402" s="407">
        <v>0</v>
      </c>
      <c r="AJ402" s="407">
        <v>0</v>
      </c>
      <c r="AK402" s="407">
        <v>0</v>
      </c>
      <c r="AL402" s="407">
        <v>970.94498017779688</v>
      </c>
      <c r="AM402" s="407"/>
      <c r="AN402" s="407">
        <v>210.40017227502233</v>
      </c>
      <c r="AO402" s="407">
        <v>0</v>
      </c>
      <c r="AP402" s="407">
        <v>0</v>
      </c>
      <c r="AQ402" s="407">
        <v>0</v>
      </c>
      <c r="AR402" s="407">
        <v>0</v>
      </c>
      <c r="AS402" s="407">
        <v>0</v>
      </c>
      <c r="AT402" s="407">
        <v>0</v>
      </c>
      <c r="AU402" s="407">
        <v>0</v>
      </c>
      <c r="AV402" s="407">
        <v>0</v>
      </c>
      <c r="AW402" s="407">
        <v>0</v>
      </c>
      <c r="AX402" s="407">
        <v>0</v>
      </c>
      <c r="AY402" s="407">
        <v>0</v>
      </c>
      <c r="AZ402" s="407">
        <v>0</v>
      </c>
      <c r="BA402" s="407"/>
      <c r="BB402" s="407">
        <v>0</v>
      </c>
      <c r="BC402" s="407">
        <v>0</v>
      </c>
      <c r="BD402" s="407">
        <v>0</v>
      </c>
      <c r="BE402" s="407">
        <v>0</v>
      </c>
      <c r="BF402" s="407">
        <v>0</v>
      </c>
      <c r="BG402" s="407">
        <v>1143.0816552943479</v>
      </c>
      <c r="BH402" s="407">
        <v>0</v>
      </c>
      <c r="BI402" s="407">
        <v>42.67</v>
      </c>
      <c r="BJ402" s="407">
        <v>208.94</v>
      </c>
      <c r="BK402" s="407">
        <v>5486.57</v>
      </c>
      <c r="BL402" s="407">
        <v>358</v>
      </c>
      <c r="BM402" s="407"/>
      <c r="BN402" s="407"/>
      <c r="BO402" s="407"/>
      <c r="BP402" s="407"/>
      <c r="BQ402" s="407"/>
      <c r="BR402" s="407">
        <v>7444.2740600000016</v>
      </c>
      <c r="BS402" s="407"/>
      <c r="BT402" s="407"/>
      <c r="BU402" s="407"/>
      <c r="BV402" s="407">
        <v>16780.996714986606</v>
      </c>
      <c r="BW402" s="407"/>
      <c r="BX402" s="407"/>
      <c r="BY402" s="407"/>
      <c r="BZ402" s="407"/>
      <c r="CA402" s="407"/>
      <c r="CB402" s="407"/>
      <c r="CC402" s="407"/>
      <c r="CD402" s="407"/>
      <c r="CE402" s="407"/>
      <c r="CF402" s="407"/>
      <c r="CG402" s="407"/>
      <c r="CH402" s="407"/>
      <c r="CI402" s="407">
        <v>54588.375999999989</v>
      </c>
      <c r="CJ402" s="407">
        <v>-17492.95163000001</v>
      </c>
      <c r="CK402" s="407"/>
      <c r="CL402" s="407"/>
      <c r="CM402" s="407"/>
      <c r="CN402" s="407"/>
      <c r="CO402" s="407">
        <v>-22661.335500000005</v>
      </c>
      <c r="CP402" s="407">
        <v>2785.2657100000001</v>
      </c>
      <c r="CQ402" s="407">
        <v>31</v>
      </c>
      <c r="CR402" s="407">
        <v>1749.4366486616491</v>
      </c>
      <c r="CS402" s="407">
        <v>0</v>
      </c>
      <c r="CT402" s="407">
        <v>0</v>
      </c>
      <c r="CU402" s="407">
        <v>0</v>
      </c>
      <c r="CV402" s="407">
        <v>0</v>
      </c>
      <c r="CW402" s="407">
        <v>0</v>
      </c>
      <c r="CX402" s="407">
        <v>0</v>
      </c>
      <c r="CY402" s="407">
        <v>0</v>
      </c>
      <c r="CZ402" s="407">
        <v>534.2458021750117</v>
      </c>
      <c r="DA402" s="407">
        <v>0</v>
      </c>
      <c r="DB402" s="407">
        <v>0</v>
      </c>
      <c r="DC402" s="407">
        <v>3100.5762568772952</v>
      </c>
      <c r="DD402" s="407">
        <v>0</v>
      </c>
      <c r="DE402" s="407">
        <v>0</v>
      </c>
      <c r="DF402" s="407">
        <v>0</v>
      </c>
      <c r="DG402" s="407">
        <v>226.64222350287014</v>
      </c>
      <c r="DH402" s="407">
        <v>0</v>
      </c>
      <c r="DI402" s="407">
        <v>-440.09820299056901</v>
      </c>
      <c r="DJ402" s="407"/>
      <c r="DK402" s="407">
        <v>0</v>
      </c>
      <c r="DL402" s="407">
        <v>0</v>
      </c>
      <c r="DM402" s="407">
        <v>0</v>
      </c>
      <c r="DN402" s="407">
        <v>0</v>
      </c>
      <c r="DO402" s="407">
        <v>-59.238690149574722</v>
      </c>
      <c r="DP402" s="407">
        <v>-13.406191028645338</v>
      </c>
      <c r="DQ402" s="407">
        <v>0</v>
      </c>
      <c r="DR402" s="407">
        <v>-1599.284549724739</v>
      </c>
      <c r="DS402" s="407"/>
      <c r="DT402" s="407"/>
      <c r="DU402" s="407"/>
      <c r="DV402" s="407">
        <v>42336.240643874102</v>
      </c>
      <c r="DW402" s="407">
        <v>0</v>
      </c>
      <c r="DX402" s="407">
        <v>0</v>
      </c>
      <c r="DY402" s="407">
        <v>-22661.335500000001</v>
      </c>
      <c r="DZ402" s="407">
        <v>2785.2657100000015</v>
      </c>
      <c r="EA402" s="407">
        <v>0</v>
      </c>
      <c r="EB402" s="407">
        <v>0</v>
      </c>
      <c r="EC402" s="407">
        <v>-21625.450052032182</v>
      </c>
      <c r="ED402" s="407">
        <v>0</v>
      </c>
      <c r="EE402" s="407">
        <v>0</v>
      </c>
      <c r="EF402" s="407">
        <v>0</v>
      </c>
      <c r="EG402" s="407">
        <v>0</v>
      </c>
      <c r="EH402" s="407">
        <v>0</v>
      </c>
      <c r="EI402" s="407">
        <v>0</v>
      </c>
      <c r="EJ402" s="407">
        <v>0</v>
      </c>
      <c r="EK402" s="407">
        <v>0</v>
      </c>
      <c r="EL402" s="407">
        <v>0</v>
      </c>
      <c r="EM402" s="407">
        <v>0</v>
      </c>
      <c r="EN402" s="407">
        <v>0</v>
      </c>
      <c r="EO402" s="407">
        <v>0</v>
      </c>
      <c r="EP402" s="407">
        <v>2976.3103722741421</v>
      </c>
      <c r="EQ402" s="407">
        <v>0</v>
      </c>
      <c r="ER402" s="407">
        <v>0</v>
      </c>
      <c r="ES402" s="407">
        <v>0</v>
      </c>
      <c r="ET402" s="407">
        <v>0</v>
      </c>
      <c r="EU402" s="407">
        <v>0</v>
      </c>
      <c r="EV402" s="407">
        <v>246</v>
      </c>
      <c r="EW402" s="407">
        <v>0</v>
      </c>
      <c r="EX402" s="407">
        <v>0</v>
      </c>
      <c r="EY402" s="407">
        <v>0</v>
      </c>
      <c r="EZ402" s="407"/>
      <c r="FA402" s="407">
        <v>0</v>
      </c>
      <c r="FB402" s="407"/>
      <c r="FC402" s="407"/>
      <c r="FD402" s="407"/>
      <c r="FE402" s="407"/>
      <c r="FF402" s="407">
        <v>0</v>
      </c>
      <c r="FG402" s="407">
        <v>0</v>
      </c>
      <c r="FH402" s="407">
        <v>0</v>
      </c>
      <c r="FI402" s="407">
        <v>0</v>
      </c>
    </row>
    <row r="403" spans="1:165">
      <c r="A403" s="407">
        <v>420</v>
      </c>
      <c r="B403" s="407" t="s">
        <v>1090</v>
      </c>
      <c r="C403" s="407" t="s">
        <v>2314</v>
      </c>
      <c r="D403" s="407" t="s">
        <v>650</v>
      </c>
      <c r="E403" s="407" t="s">
        <v>1026</v>
      </c>
      <c r="F403" s="407" t="s">
        <v>97</v>
      </c>
      <c r="G403" s="407" t="s">
        <v>97</v>
      </c>
      <c r="H403" s="407" t="s">
        <v>97</v>
      </c>
      <c r="I403" s="407" t="s">
        <v>1025</v>
      </c>
      <c r="J403" s="407" t="s">
        <v>2307</v>
      </c>
      <c r="K403" s="818">
        <v>44562</v>
      </c>
      <c r="L403" s="407">
        <v>0</v>
      </c>
      <c r="M403" s="407">
        <v>0</v>
      </c>
      <c r="N403" s="407">
        <v>48.173000000000002</v>
      </c>
      <c r="O403" s="407">
        <v>46.246079999999999</v>
      </c>
      <c r="P403" s="407">
        <v>48.173000000000002</v>
      </c>
      <c r="Q403" s="407">
        <v>46.246079999999999</v>
      </c>
      <c r="R403" s="407"/>
      <c r="S403" s="407">
        <v>2810.7</v>
      </c>
      <c r="T403" s="407">
        <v>159.41</v>
      </c>
      <c r="U403" s="407"/>
      <c r="V403" s="407">
        <v>143079.10902999999</v>
      </c>
      <c r="W403" s="407">
        <v>143079.10902999999</v>
      </c>
      <c r="X403" s="407">
        <v>91128.382370000007</v>
      </c>
      <c r="Y403" s="407">
        <v>0</v>
      </c>
      <c r="Z403" s="407">
        <v>2597.2048087314006</v>
      </c>
      <c r="AA403" s="407">
        <v>0</v>
      </c>
      <c r="AB403" s="407">
        <v>0</v>
      </c>
      <c r="AC403" s="407">
        <v>0</v>
      </c>
      <c r="AD403" s="407">
        <v>29410.367680216681</v>
      </c>
      <c r="AE403" s="407">
        <v>101398.81317677237</v>
      </c>
      <c r="AF403" s="407">
        <v>7429.7563162205997</v>
      </c>
      <c r="AG403" s="407">
        <v>249.62030970150727</v>
      </c>
      <c r="AH403" s="407">
        <v>0</v>
      </c>
      <c r="AI403" s="407">
        <v>0</v>
      </c>
      <c r="AJ403" s="407">
        <v>0</v>
      </c>
      <c r="AK403" s="407">
        <v>0</v>
      </c>
      <c r="AL403" s="407">
        <v>461.30731441130069</v>
      </c>
      <c r="AM403" s="407"/>
      <c r="AN403" s="407">
        <v>51.724958298322008</v>
      </c>
      <c r="AO403" s="407">
        <v>0</v>
      </c>
      <c r="AP403" s="407">
        <v>0</v>
      </c>
      <c r="AQ403" s="407">
        <v>0</v>
      </c>
      <c r="AR403" s="407">
        <v>0</v>
      </c>
      <c r="AS403" s="407">
        <v>0</v>
      </c>
      <c r="AT403" s="407">
        <v>0</v>
      </c>
      <c r="AU403" s="407">
        <v>0</v>
      </c>
      <c r="AV403" s="407">
        <v>0</v>
      </c>
      <c r="AW403" s="407">
        <v>0</v>
      </c>
      <c r="AX403" s="407">
        <v>0</v>
      </c>
      <c r="AY403" s="407">
        <v>0</v>
      </c>
      <c r="AZ403" s="407">
        <v>0</v>
      </c>
      <c r="BA403" s="407"/>
      <c r="BB403" s="407">
        <v>0</v>
      </c>
      <c r="BC403" s="407">
        <v>0</v>
      </c>
      <c r="BD403" s="407">
        <v>0</v>
      </c>
      <c r="BE403" s="407">
        <v>0</v>
      </c>
      <c r="BF403" s="407">
        <v>0</v>
      </c>
      <c r="BG403" s="407">
        <v>250.01181749320847</v>
      </c>
      <c r="BH403" s="407">
        <v>0</v>
      </c>
      <c r="BI403" s="407">
        <v>0</v>
      </c>
      <c r="BJ403" s="407">
        <v>0</v>
      </c>
      <c r="BK403" s="407">
        <v>0</v>
      </c>
      <c r="BL403" s="407">
        <v>0</v>
      </c>
      <c r="BM403" s="407"/>
      <c r="BN403" s="407"/>
      <c r="BO403" s="407"/>
      <c r="BP403" s="407"/>
      <c r="BQ403" s="407"/>
      <c r="BR403" s="407">
        <v>3645.1352948000049</v>
      </c>
      <c r="BS403" s="407"/>
      <c r="BT403" s="407"/>
      <c r="BU403" s="407"/>
      <c r="BV403" s="407">
        <v>7679.7681337138083</v>
      </c>
      <c r="BW403" s="407"/>
      <c r="BX403" s="407"/>
      <c r="BY403" s="407"/>
      <c r="BZ403" s="407"/>
      <c r="CA403" s="407"/>
      <c r="CB403" s="407"/>
      <c r="CC403" s="407"/>
      <c r="CD403" s="407"/>
      <c r="CE403" s="407"/>
      <c r="CF403" s="407"/>
      <c r="CG403" s="407"/>
      <c r="CH403" s="407"/>
      <c r="CI403" s="407">
        <v>87490.662499999991</v>
      </c>
      <c r="CJ403" s="407">
        <v>-49865.312168799996</v>
      </c>
      <c r="CK403" s="407"/>
      <c r="CL403" s="407"/>
      <c r="CM403" s="407"/>
      <c r="CN403" s="407"/>
      <c r="CO403" s="407">
        <v>-53274.038969999994</v>
      </c>
      <c r="CP403" s="407">
        <v>1323.31231</v>
      </c>
      <c r="CQ403" s="407">
        <v>31</v>
      </c>
      <c r="CR403" s="407">
        <v>-155.7238950372921</v>
      </c>
      <c r="CS403" s="407">
        <v>0</v>
      </c>
      <c r="CT403" s="407">
        <v>0</v>
      </c>
      <c r="CU403" s="407">
        <v>0</v>
      </c>
      <c r="CV403" s="407">
        <v>0</v>
      </c>
      <c r="CW403" s="407">
        <v>0</v>
      </c>
      <c r="CX403" s="407">
        <v>0</v>
      </c>
      <c r="CY403" s="407">
        <v>0</v>
      </c>
      <c r="CZ403" s="407">
        <v>1328.5246232875288</v>
      </c>
      <c r="DA403" s="407">
        <v>0</v>
      </c>
      <c r="DB403" s="407">
        <v>0</v>
      </c>
      <c r="DC403" s="407">
        <v>1473.1200380948385</v>
      </c>
      <c r="DD403" s="407">
        <v>0</v>
      </c>
      <c r="DE403" s="407">
        <v>0</v>
      </c>
      <c r="DF403" s="407">
        <v>0</v>
      </c>
      <c r="DG403" s="407">
        <v>49.570591878725679</v>
      </c>
      <c r="DH403" s="407">
        <v>0</v>
      </c>
      <c r="DI403" s="407">
        <v>-181.91334843054665</v>
      </c>
      <c r="DJ403" s="407"/>
      <c r="DK403" s="407">
        <v>0</v>
      </c>
      <c r="DL403" s="407">
        <v>0</v>
      </c>
      <c r="DM403" s="407">
        <v>0</v>
      </c>
      <c r="DN403" s="407">
        <v>0</v>
      </c>
      <c r="DO403" s="407">
        <v>-28.144994433298791</v>
      </c>
      <c r="DP403" s="407">
        <v>-3.2957894682213364</v>
      </c>
      <c r="DQ403" s="407">
        <v>0</v>
      </c>
      <c r="DR403" s="407">
        <v>-2793.5850159663232</v>
      </c>
      <c r="DS403" s="407"/>
      <c r="DT403" s="407"/>
      <c r="DU403" s="407"/>
      <c r="DV403" s="407">
        <v>101398.81317677237</v>
      </c>
      <c r="DW403" s="407">
        <v>0</v>
      </c>
      <c r="DX403" s="407">
        <v>0</v>
      </c>
      <c r="DY403" s="407">
        <v>-53274.038969999994</v>
      </c>
      <c r="DZ403" s="407">
        <v>1323.3123100000012</v>
      </c>
      <c r="EA403" s="407">
        <v>0</v>
      </c>
      <c r="EB403" s="407">
        <v>0</v>
      </c>
      <c r="EC403" s="407">
        <v>-51794.749281946715</v>
      </c>
      <c r="ED403" s="407">
        <v>0</v>
      </c>
      <c r="EE403" s="407">
        <v>0</v>
      </c>
      <c r="EF403" s="407">
        <v>0</v>
      </c>
      <c r="EG403" s="407">
        <v>0</v>
      </c>
      <c r="EH403" s="407">
        <v>0</v>
      </c>
      <c r="EI403" s="407">
        <v>0</v>
      </c>
      <c r="EJ403" s="407">
        <v>0</v>
      </c>
      <c r="EK403" s="407">
        <v>0</v>
      </c>
      <c r="EL403" s="407">
        <v>0</v>
      </c>
      <c r="EM403" s="407">
        <v>0</v>
      </c>
      <c r="EN403" s="407">
        <v>0</v>
      </c>
      <c r="EO403" s="407">
        <v>0</v>
      </c>
      <c r="EP403" s="407">
        <v>1230.249480933586</v>
      </c>
      <c r="EQ403" s="407">
        <v>0</v>
      </c>
      <c r="ER403" s="407">
        <v>0</v>
      </c>
      <c r="ES403" s="407">
        <v>0</v>
      </c>
      <c r="ET403" s="407">
        <v>0</v>
      </c>
      <c r="EU403" s="407">
        <v>0</v>
      </c>
      <c r="EV403" s="407">
        <v>246</v>
      </c>
      <c r="EW403" s="407">
        <v>0</v>
      </c>
      <c r="EX403" s="407">
        <v>0</v>
      </c>
      <c r="EY403" s="407">
        <v>0</v>
      </c>
      <c r="EZ403" s="407"/>
      <c r="FA403" s="407">
        <v>0</v>
      </c>
      <c r="FB403" s="407"/>
      <c r="FC403" s="407"/>
      <c r="FD403" s="407"/>
      <c r="FE403" s="407"/>
      <c r="FF403" s="407">
        <v>0</v>
      </c>
      <c r="FG403" s="407">
        <v>0</v>
      </c>
      <c r="FH403" s="407">
        <v>0</v>
      </c>
      <c r="FI403" s="407">
        <v>0</v>
      </c>
    </row>
    <row r="404" spans="1:165">
      <c r="A404" s="407">
        <v>421</v>
      </c>
      <c r="B404" s="407" t="s">
        <v>2309</v>
      </c>
      <c r="C404" s="407" t="s">
        <v>2314</v>
      </c>
      <c r="D404" s="407" t="s">
        <v>650</v>
      </c>
      <c r="E404" s="407" t="s">
        <v>1026</v>
      </c>
      <c r="F404" s="407" t="s">
        <v>97</v>
      </c>
      <c r="G404" s="407" t="s">
        <v>97</v>
      </c>
      <c r="H404" s="407" t="s">
        <v>97</v>
      </c>
      <c r="I404" s="407" t="s">
        <v>1025</v>
      </c>
      <c r="J404" s="407" t="s">
        <v>2307</v>
      </c>
      <c r="K404" s="818">
        <v>44562</v>
      </c>
      <c r="L404" s="407">
        <v>0</v>
      </c>
      <c r="M404" s="407">
        <v>0</v>
      </c>
      <c r="N404" s="407">
        <v>7.5119999999999996</v>
      </c>
      <c r="O404" s="407">
        <v>7.2115200000000002</v>
      </c>
      <c r="P404" s="407">
        <v>7.5119999999999996</v>
      </c>
      <c r="Q404" s="407">
        <v>7.2115200000000002</v>
      </c>
      <c r="R404" s="407"/>
      <c r="S404" s="407">
        <v>2810.7</v>
      </c>
      <c r="T404" s="407">
        <v>159.41</v>
      </c>
      <c r="U404" s="407"/>
      <c r="V404" s="407">
        <v>22311.466319999996</v>
      </c>
      <c r="W404" s="407">
        <v>22311.466319999996</v>
      </c>
      <c r="X404" s="407">
        <v>14210.375279999998</v>
      </c>
      <c r="Y404" s="407">
        <v>0</v>
      </c>
      <c r="Z404" s="407">
        <v>405.00285477737071</v>
      </c>
      <c r="AA404" s="407">
        <v>0</v>
      </c>
      <c r="AB404" s="407">
        <v>0</v>
      </c>
      <c r="AC404" s="407">
        <v>0</v>
      </c>
      <c r="AD404" s="407">
        <v>4586.1931375207623</v>
      </c>
      <c r="AE404" s="407">
        <v>15811.925447531064</v>
      </c>
      <c r="AF404" s="407">
        <v>1158.5811439488746</v>
      </c>
      <c r="AG404" s="407">
        <v>38.925285252687651</v>
      </c>
      <c r="AH404" s="407">
        <v>0</v>
      </c>
      <c r="AI404" s="407">
        <v>0</v>
      </c>
      <c r="AJ404" s="407">
        <v>0</v>
      </c>
      <c r="AK404" s="407">
        <v>0</v>
      </c>
      <c r="AL404" s="407">
        <v>71.935327794774878</v>
      </c>
      <c r="AM404" s="407"/>
      <c r="AN404" s="407">
        <v>8.065885179187406</v>
      </c>
      <c r="AO404" s="407">
        <v>0</v>
      </c>
      <c r="AP404" s="407">
        <v>0</v>
      </c>
      <c r="AQ404" s="407">
        <v>0</v>
      </c>
      <c r="AR404" s="407">
        <v>0</v>
      </c>
      <c r="AS404" s="407">
        <v>0</v>
      </c>
      <c r="AT404" s="407">
        <v>0</v>
      </c>
      <c r="AU404" s="407">
        <v>0</v>
      </c>
      <c r="AV404" s="407">
        <v>0</v>
      </c>
      <c r="AW404" s="407">
        <v>0</v>
      </c>
      <c r="AX404" s="407">
        <v>0</v>
      </c>
      <c r="AY404" s="407">
        <v>0</v>
      </c>
      <c r="AZ404" s="407">
        <v>0</v>
      </c>
      <c r="BA404" s="407"/>
      <c r="BB404" s="407">
        <v>0</v>
      </c>
      <c r="BC404" s="407">
        <v>0</v>
      </c>
      <c r="BD404" s="407">
        <v>0</v>
      </c>
      <c r="BE404" s="407">
        <v>0</v>
      </c>
      <c r="BF404" s="407">
        <v>0</v>
      </c>
      <c r="BG404" s="407">
        <v>38.986336184356006</v>
      </c>
      <c r="BH404" s="407">
        <v>0</v>
      </c>
      <c r="BI404" s="407">
        <v>0</v>
      </c>
      <c r="BJ404" s="407">
        <v>0</v>
      </c>
      <c r="BK404" s="407">
        <v>0</v>
      </c>
      <c r="BL404" s="407">
        <v>0</v>
      </c>
      <c r="BM404" s="407"/>
      <c r="BN404" s="407"/>
      <c r="BO404" s="407"/>
      <c r="BP404" s="407"/>
      <c r="BQ404" s="407"/>
      <c r="BR404" s="407">
        <v>568.41501119999896</v>
      </c>
      <c r="BS404" s="407"/>
      <c r="BT404" s="407"/>
      <c r="BU404" s="407"/>
      <c r="BV404" s="407">
        <v>1197.5674801332307</v>
      </c>
      <c r="BW404" s="407"/>
      <c r="BX404" s="407"/>
      <c r="BY404" s="407"/>
      <c r="BZ404" s="407"/>
      <c r="CA404" s="407"/>
      <c r="CB404" s="407"/>
      <c r="CC404" s="407"/>
      <c r="CD404" s="407"/>
      <c r="CE404" s="407"/>
      <c r="CF404" s="407"/>
      <c r="CG404" s="407"/>
      <c r="CH404" s="407"/>
      <c r="CI404" s="407">
        <v>13639.0849</v>
      </c>
      <c r="CJ404" s="407">
        <v>-7779.9527671999949</v>
      </c>
      <c r="CK404" s="407"/>
      <c r="CL404" s="407"/>
      <c r="CM404" s="407"/>
      <c r="CN404" s="407"/>
      <c r="CO404" s="407">
        <v>-8307.4456799999989</v>
      </c>
      <c r="CP404" s="407">
        <v>206.35463999999999</v>
      </c>
      <c r="CQ404" s="407">
        <v>31</v>
      </c>
      <c r="CR404" s="407">
        <v>-24.283268625998971</v>
      </c>
      <c r="CS404" s="407">
        <v>0</v>
      </c>
      <c r="CT404" s="407">
        <v>0</v>
      </c>
      <c r="CU404" s="407">
        <v>0</v>
      </c>
      <c r="CV404" s="407">
        <v>0</v>
      </c>
      <c r="CW404" s="407">
        <v>0</v>
      </c>
      <c r="CX404" s="407">
        <v>0</v>
      </c>
      <c r="CY404" s="407">
        <v>0</v>
      </c>
      <c r="CZ404" s="407">
        <v>207.16743757158383</v>
      </c>
      <c r="DA404" s="407">
        <v>0</v>
      </c>
      <c r="DB404" s="407">
        <v>0</v>
      </c>
      <c r="DC404" s="407">
        <v>229.71535354178536</v>
      </c>
      <c r="DD404" s="407">
        <v>0</v>
      </c>
      <c r="DE404" s="407">
        <v>0</v>
      </c>
      <c r="DF404" s="407">
        <v>0</v>
      </c>
      <c r="DG404" s="407">
        <v>7.7299376454235258</v>
      </c>
      <c r="DH404" s="407">
        <v>0</v>
      </c>
      <c r="DI404" s="407">
        <v>-28.36719891661852</v>
      </c>
      <c r="DJ404" s="407"/>
      <c r="DK404" s="407">
        <v>0</v>
      </c>
      <c r="DL404" s="407">
        <v>0</v>
      </c>
      <c r="DM404" s="407">
        <v>0</v>
      </c>
      <c r="DN404" s="407">
        <v>0</v>
      </c>
      <c r="DO404" s="407">
        <v>-4.3888733976073837</v>
      </c>
      <c r="DP404" s="407">
        <v>-0.51393873093389875</v>
      </c>
      <c r="DQ404" s="407">
        <v>0</v>
      </c>
      <c r="DR404" s="407">
        <v>-435.6259863396304</v>
      </c>
      <c r="DS404" s="407"/>
      <c r="DT404" s="407"/>
      <c r="DU404" s="407"/>
      <c r="DV404" s="407">
        <v>15811.925447531064</v>
      </c>
      <c r="DW404" s="407">
        <v>0</v>
      </c>
      <c r="DX404" s="407">
        <v>0</v>
      </c>
      <c r="DY404" s="407">
        <v>-8307.4456799999971</v>
      </c>
      <c r="DZ404" s="407">
        <v>206.35464000000002</v>
      </c>
      <c r="EA404" s="407">
        <v>0</v>
      </c>
      <c r="EB404" s="407">
        <v>0</v>
      </c>
      <c r="EC404" s="407">
        <v>-8076.768243746159</v>
      </c>
      <c r="ED404" s="407">
        <v>0</v>
      </c>
      <c r="EE404" s="407">
        <v>0</v>
      </c>
      <c r="EF404" s="407">
        <v>0</v>
      </c>
      <c r="EG404" s="407">
        <v>0</v>
      </c>
      <c r="EH404" s="407">
        <v>0</v>
      </c>
      <c r="EI404" s="407">
        <v>0</v>
      </c>
      <c r="EJ404" s="407">
        <v>0</v>
      </c>
      <c r="EK404" s="407">
        <v>0</v>
      </c>
      <c r="EL404" s="407">
        <v>0</v>
      </c>
      <c r="EM404" s="407">
        <v>0</v>
      </c>
      <c r="EN404" s="407">
        <v>0</v>
      </c>
      <c r="EO404" s="407">
        <v>0</v>
      </c>
      <c r="EP404" s="407">
        <v>191.84261102221365</v>
      </c>
      <c r="EQ404" s="407">
        <v>0</v>
      </c>
      <c r="ER404" s="407">
        <v>0</v>
      </c>
      <c r="ES404" s="407">
        <v>0</v>
      </c>
      <c r="ET404" s="407">
        <v>0</v>
      </c>
      <c r="EU404" s="407">
        <v>0</v>
      </c>
      <c r="EV404" s="407">
        <v>246</v>
      </c>
      <c r="EW404" s="407">
        <v>0</v>
      </c>
      <c r="EX404" s="407">
        <v>0</v>
      </c>
      <c r="EY404" s="407">
        <v>0</v>
      </c>
      <c r="EZ404" s="407"/>
      <c r="FA404" s="407">
        <v>0</v>
      </c>
      <c r="FB404" s="407"/>
      <c r="FC404" s="407"/>
      <c r="FD404" s="407"/>
      <c r="FE404" s="407"/>
      <c r="FF404" s="407">
        <v>0</v>
      </c>
      <c r="FG404" s="407">
        <v>0</v>
      </c>
      <c r="FH404" s="407">
        <v>0</v>
      </c>
      <c r="FI404" s="407">
        <v>0</v>
      </c>
    </row>
    <row r="405" spans="1:165">
      <c r="A405" s="407">
        <v>422</v>
      </c>
      <c r="B405" s="407" t="s">
        <v>1090</v>
      </c>
      <c r="C405" s="407" t="s">
        <v>2314</v>
      </c>
      <c r="D405" s="407" t="s">
        <v>650</v>
      </c>
      <c r="E405" s="407" t="s">
        <v>1026</v>
      </c>
      <c r="F405" s="407" t="s">
        <v>97</v>
      </c>
      <c r="G405" s="407" t="s">
        <v>97</v>
      </c>
      <c r="H405" s="407" t="s">
        <v>97</v>
      </c>
      <c r="I405" s="407" t="s">
        <v>2290</v>
      </c>
      <c r="J405" s="407" t="s">
        <v>2307</v>
      </c>
      <c r="K405" s="818">
        <v>44562</v>
      </c>
      <c r="L405" s="407">
        <v>0</v>
      </c>
      <c r="M405" s="407">
        <v>0</v>
      </c>
      <c r="N405" s="407">
        <v>859.30600000000004</v>
      </c>
      <c r="O405" s="407">
        <v>824.93376000000001</v>
      </c>
      <c r="P405" s="407">
        <v>859.30600000000004</v>
      </c>
      <c r="Q405" s="407">
        <v>824.93376000000001</v>
      </c>
      <c r="R405" s="407"/>
      <c r="S405" s="407">
        <v>95.29</v>
      </c>
      <c r="T405" s="407">
        <v>159.41</v>
      </c>
      <c r="U405" s="407"/>
      <c r="V405" s="407">
        <v>218865.23820000002</v>
      </c>
      <c r="W405" s="407">
        <v>218865.23820000002</v>
      </c>
      <c r="X405" s="407">
        <v>237950.42446000001</v>
      </c>
      <c r="Y405" s="407">
        <v>0</v>
      </c>
      <c r="Z405" s="407">
        <v>46328.725123445605</v>
      </c>
      <c r="AA405" s="407">
        <v>0</v>
      </c>
      <c r="AB405" s="407">
        <v>0</v>
      </c>
      <c r="AC405" s="407">
        <v>0</v>
      </c>
      <c r="AD405" s="407">
        <v>0</v>
      </c>
      <c r="AE405" s="407">
        <v>0</v>
      </c>
      <c r="AF405" s="407">
        <v>132531.38025587483</v>
      </c>
      <c r="AG405" s="407">
        <v>4452.7064921919618</v>
      </c>
      <c r="AH405" s="407">
        <v>0</v>
      </c>
      <c r="AI405" s="407">
        <v>0</v>
      </c>
      <c r="AJ405" s="407">
        <v>0</v>
      </c>
      <c r="AK405" s="407">
        <v>0</v>
      </c>
      <c r="AL405" s="407">
        <v>8228.7618192248174</v>
      </c>
      <c r="AM405" s="407"/>
      <c r="AN405" s="407">
        <v>922.66553910900075</v>
      </c>
      <c r="AO405" s="407">
        <v>0</v>
      </c>
      <c r="AP405" s="407">
        <v>0</v>
      </c>
      <c r="AQ405" s="407">
        <v>0</v>
      </c>
      <c r="AR405" s="407">
        <v>0</v>
      </c>
      <c r="AS405" s="407">
        <v>0</v>
      </c>
      <c r="AT405" s="407">
        <v>0</v>
      </c>
      <c r="AU405" s="407">
        <v>0</v>
      </c>
      <c r="AV405" s="407">
        <v>0</v>
      </c>
      <c r="AW405" s="407">
        <v>0</v>
      </c>
      <c r="AX405" s="407">
        <v>0</v>
      </c>
      <c r="AY405" s="407">
        <v>0</v>
      </c>
      <c r="AZ405" s="407">
        <v>0</v>
      </c>
      <c r="BA405" s="407"/>
      <c r="BB405" s="407">
        <v>0</v>
      </c>
      <c r="BC405" s="407">
        <v>0</v>
      </c>
      <c r="BD405" s="407">
        <v>0</v>
      </c>
      <c r="BE405" s="407">
        <v>0</v>
      </c>
      <c r="BF405" s="407">
        <v>0</v>
      </c>
      <c r="BG405" s="407">
        <v>4459.69017588315</v>
      </c>
      <c r="BH405" s="407">
        <v>0</v>
      </c>
      <c r="BI405" s="407">
        <v>0</v>
      </c>
      <c r="BJ405" s="407">
        <v>0</v>
      </c>
      <c r="BK405" s="407">
        <v>0</v>
      </c>
      <c r="BL405" s="407">
        <v>0</v>
      </c>
      <c r="BM405" s="407"/>
      <c r="BN405" s="407"/>
      <c r="BO405" s="407"/>
      <c r="BP405" s="407"/>
      <c r="BQ405" s="407"/>
      <c r="BR405" s="407">
        <v>9518.01697840001</v>
      </c>
      <c r="BS405" s="407"/>
      <c r="BT405" s="407"/>
      <c r="BU405" s="407"/>
      <c r="BV405" s="407">
        <v>136991.07043175798</v>
      </c>
      <c r="BW405" s="407"/>
      <c r="BX405" s="407"/>
      <c r="BY405" s="407"/>
      <c r="BZ405" s="407"/>
      <c r="CA405" s="407"/>
      <c r="CB405" s="407"/>
      <c r="CC405" s="407"/>
      <c r="CD405" s="407"/>
      <c r="CE405" s="407"/>
      <c r="CF405" s="407"/>
      <c r="CG405" s="407"/>
      <c r="CH405" s="407"/>
      <c r="CI405" s="407">
        <v>228431.36629999999</v>
      </c>
      <c r="CJ405" s="407">
        <v>18320.707627999975</v>
      </c>
      <c r="CK405" s="407"/>
      <c r="CL405" s="407"/>
      <c r="CM405" s="407"/>
      <c r="CN405" s="407"/>
      <c r="CO405" s="407">
        <v>-4519.9495600000046</v>
      </c>
      <c r="CP405" s="407">
        <v>23605.13582</v>
      </c>
      <c r="CQ405" s="407">
        <v>31</v>
      </c>
      <c r="CR405" s="407">
        <v>19082.470173830225</v>
      </c>
      <c r="CS405" s="407">
        <v>0</v>
      </c>
      <c r="CT405" s="407">
        <v>0</v>
      </c>
      <c r="CU405" s="407">
        <v>0</v>
      </c>
      <c r="CV405" s="407">
        <v>0</v>
      </c>
      <c r="CW405" s="407">
        <v>0</v>
      </c>
      <c r="CX405" s="407">
        <v>0</v>
      </c>
      <c r="CY405" s="407">
        <v>0</v>
      </c>
      <c r="CZ405" s="407">
        <v>0</v>
      </c>
      <c r="DA405" s="407">
        <v>0</v>
      </c>
      <c r="DB405" s="407">
        <v>0</v>
      </c>
      <c r="DC405" s="407">
        <v>26277.393715465587</v>
      </c>
      <c r="DD405" s="407">
        <v>0</v>
      </c>
      <c r="DE405" s="407">
        <v>0</v>
      </c>
      <c r="DF405" s="407">
        <v>0</v>
      </c>
      <c r="DG405" s="407">
        <v>884.2361286392852</v>
      </c>
      <c r="DH405" s="407">
        <v>0</v>
      </c>
      <c r="DI405" s="407">
        <v>-3244.9553024818742</v>
      </c>
      <c r="DJ405" s="407"/>
      <c r="DK405" s="407">
        <v>0</v>
      </c>
      <c r="DL405" s="407">
        <v>0</v>
      </c>
      <c r="DM405" s="407">
        <v>0</v>
      </c>
      <c r="DN405" s="407">
        <v>0</v>
      </c>
      <c r="DO405" s="407">
        <v>-502.04808889835022</v>
      </c>
      <c r="DP405" s="407">
        <v>-58.79002065014447</v>
      </c>
      <c r="DQ405" s="407">
        <v>0</v>
      </c>
      <c r="DR405" s="407">
        <v>-4273.3662582442867</v>
      </c>
      <c r="DS405" s="407"/>
      <c r="DT405" s="407"/>
      <c r="DU405" s="407"/>
      <c r="DV405" s="407">
        <v>0</v>
      </c>
      <c r="DW405" s="407">
        <v>0</v>
      </c>
      <c r="DX405" s="407">
        <v>0</v>
      </c>
      <c r="DY405" s="407">
        <v>-4519.9495600000082</v>
      </c>
      <c r="DZ405" s="407">
        <v>23605.135820000025</v>
      </c>
      <c r="EA405" s="407">
        <v>0</v>
      </c>
      <c r="EB405" s="407">
        <v>0</v>
      </c>
      <c r="EC405" s="407">
        <v>0</v>
      </c>
      <c r="ED405" s="407">
        <v>0</v>
      </c>
      <c r="EE405" s="407">
        <v>0</v>
      </c>
      <c r="EF405" s="407">
        <v>0</v>
      </c>
      <c r="EG405" s="407">
        <v>0</v>
      </c>
      <c r="EH405" s="407">
        <v>0</v>
      </c>
      <c r="EI405" s="407">
        <v>0</v>
      </c>
      <c r="EJ405" s="407">
        <v>0</v>
      </c>
      <c r="EK405" s="407">
        <v>0</v>
      </c>
      <c r="EL405" s="407">
        <v>0</v>
      </c>
      <c r="EM405" s="407">
        <v>0</v>
      </c>
      <c r="EN405" s="407">
        <v>0</v>
      </c>
      <c r="EO405" s="407">
        <v>0</v>
      </c>
      <c r="EP405" s="407">
        <v>21945.08875227028</v>
      </c>
      <c r="EQ405" s="407">
        <v>0</v>
      </c>
      <c r="ER405" s="407">
        <v>0</v>
      </c>
      <c r="ES405" s="407">
        <v>0</v>
      </c>
      <c r="ET405" s="407">
        <v>0</v>
      </c>
      <c r="EU405" s="407">
        <v>0</v>
      </c>
      <c r="EV405" s="407">
        <v>246</v>
      </c>
      <c r="EW405" s="407">
        <v>0</v>
      </c>
      <c r="EX405" s="407">
        <v>0</v>
      </c>
      <c r="EY405" s="407">
        <v>0</v>
      </c>
      <c r="EZ405" s="407"/>
      <c r="FA405" s="407">
        <v>0</v>
      </c>
      <c r="FB405" s="407"/>
      <c r="FC405" s="407"/>
      <c r="FD405" s="407"/>
      <c r="FE405" s="407"/>
      <c r="FF405" s="407">
        <v>0</v>
      </c>
      <c r="FG405" s="407">
        <v>0</v>
      </c>
      <c r="FH405" s="407">
        <v>0</v>
      </c>
      <c r="FI405" s="407">
        <v>0</v>
      </c>
    </row>
    <row r="406" spans="1:165">
      <c r="A406" s="407">
        <v>423</v>
      </c>
      <c r="B406" s="407" t="s">
        <v>2309</v>
      </c>
      <c r="C406" s="407" t="s">
        <v>2314</v>
      </c>
      <c r="D406" s="407" t="s">
        <v>650</v>
      </c>
      <c r="E406" s="407" t="s">
        <v>1026</v>
      </c>
      <c r="F406" s="407" t="s">
        <v>97</v>
      </c>
      <c r="G406" s="407" t="s">
        <v>97</v>
      </c>
      <c r="H406" s="407" t="s">
        <v>97</v>
      </c>
      <c r="I406" s="407" t="s">
        <v>2290</v>
      </c>
      <c r="J406" s="407" t="s">
        <v>2307</v>
      </c>
      <c r="K406" s="818">
        <v>44562</v>
      </c>
      <c r="L406" s="407">
        <v>0</v>
      </c>
      <c r="M406" s="407">
        <v>0</v>
      </c>
      <c r="N406" s="407">
        <v>63.93</v>
      </c>
      <c r="O406" s="407">
        <v>61.372799999999998</v>
      </c>
      <c r="P406" s="407">
        <v>63.93</v>
      </c>
      <c r="Q406" s="407">
        <v>61.372799999999998</v>
      </c>
      <c r="R406" s="407"/>
      <c r="S406" s="407">
        <v>95.29</v>
      </c>
      <c r="T406" s="407">
        <v>159.41</v>
      </c>
      <c r="U406" s="407"/>
      <c r="V406" s="407">
        <v>16282.971000000001</v>
      </c>
      <c r="W406" s="407">
        <v>16282.971000000001</v>
      </c>
      <c r="X406" s="407">
        <v>17702.856299999999</v>
      </c>
      <c r="Y406" s="407">
        <v>0</v>
      </c>
      <c r="Z406" s="407">
        <v>3446.7295668154038</v>
      </c>
      <c r="AA406" s="407">
        <v>0</v>
      </c>
      <c r="AB406" s="407">
        <v>0</v>
      </c>
      <c r="AC406" s="407">
        <v>0</v>
      </c>
      <c r="AD406" s="407">
        <v>0</v>
      </c>
      <c r="AE406" s="407">
        <v>0</v>
      </c>
      <c r="AF406" s="407">
        <v>9859.969719469058</v>
      </c>
      <c r="AG406" s="407">
        <v>331.2691009324177</v>
      </c>
      <c r="AH406" s="407">
        <v>0</v>
      </c>
      <c r="AI406" s="407">
        <v>0</v>
      </c>
      <c r="AJ406" s="407">
        <v>0</v>
      </c>
      <c r="AK406" s="407">
        <v>0</v>
      </c>
      <c r="AL406" s="407">
        <v>612.19721857294439</v>
      </c>
      <c r="AM406" s="407"/>
      <c r="AN406" s="407">
        <v>68.643775227030204</v>
      </c>
      <c r="AO406" s="407">
        <v>0</v>
      </c>
      <c r="AP406" s="407">
        <v>0</v>
      </c>
      <c r="AQ406" s="407">
        <v>0</v>
      </c>
      <c r="AR406" s="407">
        <v>0</v>
      </c>
      <c r="AS406" s="407">
        <v>0</v>
      </c>
      <c r="AT406" s="407">
        <v>0</v>
      </c>
      <c r="AU406" s="407">
        <v>0</v>
      </c>
      <c r="AV406" s="407">
        <v>0</v>
      </c>
      <c r="AW406" s="407">
        <v>0</v>
      </c>
      <c r="AX406" s="407">
        <v>0</v>
      </c>
      <c r="AY406" s="407">
        <v>0</v>
      </c>
      <c r="AZ406" s="407">
        <v>0</v>
      </c>
      <c r="BA406" s="407"/>
      <c r="BB406" s="407">
        <v>0</v>
      </c>
      <c r="BC406" s="407">
        <v>0</v>
      </c>
      <c r="BD406" s="407">
        <v>0</v>
      </c>
      <c r="BE406" s="407">
        <v>0</v>
      </c>
      <c r="BF406" s="407">
        <v>0</v>
      </c>
      <c r="BG406" s="407">
        <v>331.78866776702336</v>
      </c>
      <c r="BH406" s="407">
        <v>0</v>
      </c>
      <c r="BI406" s="407">
        <v>0</v>
      </c>
      <c r="BJ406" s="407">
        <v>0</v>
      </c>
      <c r="BK406" s="407">
        <v>0</v>
      </c>
      <c r="BL406" s="407">
        <v>0</v>
      </c>
      <c r="BM406" s="407"/>
      <c r="BN406" s="407"/>
      <c r="BO406" s="407"/>
      <c r="BP406" s="407"/>
      <c r="BQ406" s="407"/>
      <c r="BR406" s="407">
        <v>708.11425200000042</v>
      </c>
      <c r="BS406" s="407"/>
      <c r="BT406" s="407"/>
      <c r="BU406" s="407"/>
      <c r="BV406" s="407">
        <v>10191.758387236081</v>
      </c>
      <c r="BW406" s="407"/>
      <c r="BX406" s="407"/>
      <c r="BY406" s="407"/>
      <c r="BZ406" s="407"/>
      <c r="CA406" s="407"/>
      <c r="CB406" s="407"/>
      <c r="CC406" s="407"/>
      <c r="CD406" s="407"/>
      <c r="CE406" s="407"/>
      <c r="CF406" s="407"/>
      <c r="CG406" s="407"/>
      <c r="CH406" s="407"/>
      <c r="CI406" s="407">
        <v>16993.966700000001</v>
      </c>
      <c r="CJ406" s="407">
        <v>1362.2845399999987</v>
      </c>
      <c r="CK406" s="407"/>
      <c r="CL406" s="407"/>
      <c r="CM406" s="407"/>
      <c r="CN406" s="407"/>
      <c r="CO406" s="407">
        <v>-336.27180000000033</v>
      </c>
      <c r="CP406" s="407">
        <v>1756.1570999999999</v>
      </c>
      <c r="CQ406" s="407">
        <v>31</v>
      </c>
      <c r="CR406" s="407">
        <v>1419.6832306686592</v>
      </c>
      <c r="CS406" s="407">
        <v>0</v>
      </c>
      <c r="CT406" s="407">
        <v>0</v>
      </c>
      <c r="CU406" s="407">
        <v>0</v>
      </c>
      <c r="CV406" s="407">
        <v>0</v>
      </c>
      <c r="CW406" s="407">
        <v>0</v>
      </c>
      <c r="CX406" s="407">
        <v>0</v>
      </c>
      <c r="CY406" s="407">
        <v>0</v>
      </c>
      <c r="CZ406" s="407">
        <v>0</v>
      </c>
      <c r="DA406" s="407">
        <v>0</v>
      </c>
      <c r="DB406" s="407">
        <v>0</v>
      </c>
      <c r="DC406" s="407">
        <v>1954.9657284246987</v>
      </c>
      <c r="DD406" s="407">
        <v>0</v>
      </c>
      <c r="DE406" s="407">
        <v>0</v>
      </c>
      <c r="DF406" s="407">
        <v>0</v>
      </c>
      <c r="DG406" s="407">
        <v>65.784732916923076</v>
      </c>
      <c r="DH406" s="407">
        <v>0</v>
      </c>
      <c r="DI406" s="407">
        <v>-241.41573838384284</v>
      </c>
      <c r="DJ406" s="407"/>
      <c r="DK406" s="407">
        <v>0</v>
      </c>
      <c r="DL406" s="407">
        <v>0</v>
      </c>
      <c r="DM406" s="407">
        <v>0</v>
      </c>
      <c r="DN406" s="407">
        <v>0</v>
      </c>
      <c r="DO406" s="407">
        <v>-37.35099524880718</v>
      </c>
      <c r="DP406" s="407">
        <v>-4.3738156374606234</v>
      </c>
      <c r="DQ406" s="407">
        <v>0</v>
      </c>
      <c r="DR406" s="407">
        <v>-317.92668140284979</v>
      </c>
      <c r="DS406" s="407"/>
      <c r="DT406" s="407"/>
      <c r="DU406" s="407"/>
      <c r="DV406" s="407">
        <v>0</v>
      </c>
      <c r="DW406" s="407">
        <v>0</v>
      </c>
      <c r="DX406" s="407">
        <v>0</v>
      </c>
      <c r="DY406" s="407">
        <v>-336.27180000000044</v>
      </c>
      <c r="DZ406" s="407">
        <v>1756.1571000000004</v>
      </c>
      <c r="EA406" s="407">
        <v>0</v>
      </c>
      <c r="EB406" s="407">
        <v>0</v>
      </c>
      <c r="EC406" s="407">
        <v>0</v>
      </c>
      <c r="ED406" s="407">
        <v>0</v>
      </c>
      <c r="EE406" s="407">
        <v>0</v>
      </c>
      <c r="EF406" s="407">
        <v>0</v>
      </c>
      <c r="EG406" s="407">
        <v>0</v>
      </c>
      <c r="EH406" s="407">
        <v>0</v>
      </c>
      <c r="EI406" s="407">
        <v>0</v>
      </c>
      <c r="EJ406" s="407">
        <v>0</v>
      </c>
      <c r="EK406" s="407">
        <v>0</v>
      </c>
      <c r="EL406" s="407">
        <v>0</v>
      </c>
      <c r="EM406" s="407">
        <v>0</v>
      </c>
      <c r="EN406" s="407">
        <v>0</v>
      </c>
      <c r="EO406" s="407">
        <v>0</v>
      </c>
      <c r="EP406" s="407">
        <v>1632.6541696818581</v>
      </c>
      <c r="EQ406" s="407">
        <v>0</v>
      </c>
      <c r="ER406" s="407">
        <v>0</v>
      </c>
      <c r="ES406" s="407">
        <v>0</v>
      </c>
      <c r="ET406" s="407">
        <v>0</v>
      </c>
      <c r="EU406" s="407">
        <v>0</v>
      </c>
      <c r="EV406" s="407">
        <v>246</v>
      </c>
      <c r="EW406" s="407">
        <v>0</v>
      </c>
      <c r="EX406" s="407">
        <v>0</v>
      </c>
      <c r="EY406" s="407">
        <v>0</v>
      </c>
      <c r="EZ406" s="407"/>
      <c r="FA406" s="407">
        <v>0</v>
      </c>
      <c r="FB406" s="407"/>
      <c r="FC406" s="407"/>
      <c r="FD406" s="407"/>
      <c r="FE406" s="407"/>
      <c r="FF406" s="407">
        <v>0</v>
      </c>
      <c r="FG406" s="407">
        <v>0</v>
      </c>
      <c r="FH406" s="407">
        <v>0</v>
      </c>
      <c r="FI406" s="407">
        <v>0</v>
      </c>
    </row>
    <row r="407" spans="1:165">
      <c r="A407" s="407">
        <v>424</v>
      </c>
      <c r="B407" s="407" t="s">
        <v>1090</v>
      </c>
      <c r="C407" s="407" t="s">
        <v>2314</v>
      </c>
      <c r="D407" s="407" t="s">
        <v>650</v>
      </c>
      <c r="E407" s="407" t="s">
        <v>1026</v>
      </c>
      <c r="F407" s="407" t="s">
        <v>97</v>
      </c>
      <c r="G407" s="407" t="s">
        <v>97</v>
      </c>
      <c r="H407" s="407" t="s">
        <v>97</v>
      </c>
      <c r="I407" s="407" t="s">
        <v>97</v>
      </c>
      <c r="J407" s="407" t="s">
        <v>2307</v>
      </c>
      <c r="K407" s="818">
        <v>44562</v>
      </c>
      <c r="L407" s="407">
        <v>3774</v>
      </c>
      <c r="M407" s="407">
        <v>3623.04</v>
      </c>
      <c r="N407" s="407">
        <v>0</v>
      </c>
      <c r="O407" s="407">
        <v>0</v>
      </c>
      <c r="P407" s="407">
        <v>0</v>
      </c>
      <c r="Q407" s="407">
        <v>0</v>
      </c>
      <c r="R407" s="407">
        <v>43.29</v>
      </c>
      <c r="S407" s="407"/>
      <c r="T407" s="407"/>
      <c r="U407" s="407">
        <v>163376.46</v>
      </c>
      <c r="V407" s="407"/>
      <c r="W407" s="407">
        <v>163376.46</v>
      </c>
      <c r="X407" s="407">
        <v>126391.26000000001</v>
      </c>
      <c r="Y407" s="407">
        <v>0</v>
      </c>
      <c r="Z407" s="407">
        <v>0</v>
      </c>
      <c r="AA407" s="407">
        <v>0</v>
      </c>
      <c r="AB407" s="407">
        <v>0</v>
      </c>
      <c r="AC407" s="407">
        <v>0</v>
      </c>
      <c r="AD407" s="407">
        <v>89307.887535945018</v>
      </c>
      <c r="AE407" s="407">
        <v>74080.55213189841</v>
      </c>
      <c r="AF407" s="407"/>
      <c r="AG407" s="407"/>
      <c r="AH407" s="407"/>
      <c r="AI407" s="407">
        <v>0</v>
      </c>
      <c r="AJ407" s="407">
        <v>0</v>
      </c>
      <c r="AK407" s="407">
        <v>0</v>
      </c>
      <c r="AL407" s="407">
        <v>0</v>
      </c>
      <c r="AM407" s="407"/>
      <c r="AN407" s="407">
        <v>0</v>
      </c>
      <c r="AO407" s="407">
        <v>0</v>
      </c>
      <c r="AP407" s="407">
        <v>0</v>
      </c>
      <c r="AQ407" s="407">
        <v>0</v>
      </c>
      <c r="AR407" s="407">
        <v>0</v>
      </c>
      <c r="AS407" s="407"/>
      <c r="AT407" s="407"/>
      <c r="AU407" s="407">
        <v>0</v>
      </c>
      <c r="AV407" s="407">
        <v>0</v>
      </c>
      <c r="AW407" s="407">
        <v>0</v>
      </c>
      <c r="AX407" s="407"/>
      <c r="AY407" s="407"/>
      <c r="AZ407" s="407">
        <v>0</v>
      </c>
      <c r="BA407" s="407"/>
      <c r="BB407" s="407">
        <v>0</v>
      </c>
      <c r="BC407" s="407">
        <v>0</v>
      </c>
      <c r="BD407" s="407">
        <v>0</v>
      </c>
      <c r="BE407" s="407">
        <v>0</v>
      </c>
      <c r="BF407" s="407"/>
      <c r="BG407" s="407">
        <v>0</v>
      </c>
      <c r="BH407" s="407">
        <v>0</v>
      </c>
      <c r="BI407" s="407">
        <v>346.49</v>
      </c>
      <c r="BJ407" s="407">
        <v>1617.32</v>
      </c>
      <c r="BK407" s="407">
        <v>157.78</v>
      </c>
      <c r="BL407" s="407">
        <v>23</v>
      </c>
      <c r="BM407" s="407"/>
      <c r="BN407" s="407"/>
      <c r="BO407" s="407"/>
      <c r="BP407" s="407"/>
      <c r="BQ407" s="407"/>
      <c r="BR407" s="407">
        <v>5055.6504000000014</v>
      </c>
      <c r="BS407" s="407"/>
      <c r="BT407" s="407"/>
      <c r="BU407" s="407"/>
      <c r="BV407" s="407">
        <v>0</v>
      </c>
      <c r="BW407" s="407"/>
      <c r="BX407" s="407"/>
      <c r="BY407" s="407"/>
      <c r="BZ407" s="407"/>
      <c r="CA407" s="407"/>
      <c r="CB407" s="407"/>
      <c r="CC407" s="407"/>
      <c r="CD407" s="407"/>
      <c r="CE407" s="407"/>
      <c r="CF407" s="407"/>
      <c r="CG407" s="407"/>
      <c r="CH407" s="407"/>
      <c r="CI407" s="407">
        <v>121335.60960000001</v>
      </c>
      <c r="CJ407" s="407">
        <v>-35505.822</v>
      </c>
      <c r="CK407" s="407"/>
      <c r="CL407" s="407"/>
      <c r="CM407" s="407"/>
      <c r="CN407" s="407"/>
      <c r="CO407" s="407">
        <v>-36985.19999999999</v>
      </c>
      <c r="CP407" s="407">
        <v>0</v>
      </c>
      <c r="CQ407" s="407">
        <v>31</v>
      </c>
      <c r="CR407" s="407">
        <v>844.09338804012805</v>
      </c>
      <c r="CS407" s="407">
        <v>0</v>
      </c>
      <c r="CT407" s="407">
        <v>0</v>
      </c>
      <c r="CU407" s="407">
        <v>0</v>
      </c>
      <c r="CV407" s="407">
        <v>0</v>
      </c>
      <c r="CW407" s="407"/>
      <c r="CX407" s="407"/>
      <c r="CY407" s="407"/>
      <c r="CZ407" s="407">
        <v>4034.2143605740566</v>
      </c>
      <c r="DA407" s="407">
        <v>0</v>
      </c>
      <c r="DB407" s="407">
        <v>0</v>
      </c>
      <c r="DC407" s="407"/>
      <c r="DD407" s="407"/>
      <c r="DE407" s="407">
        <v>0</v>
      </c>
      <c r="DF407" s="407">
        <v>0</v>
      </c>
      <c r="DG407" s="407">
        <v>0</v>
      </c>
      <c r="DH407" s="407">
        <v>0</v>
      </c>
      <c r="DI407" s="407">
        <v>0</v>
      </c>
      <c r="DJ407" s="407"/>
      <c r="DK407" s="407">
        <v>0</v>
      </c>
      <c r="DL407" s="407">
        <v>0</v>
      </c>
      <c r="DM407" s="407"/>
      <c r="DN407" s="407">
        <v>0</v>
      </c>
      <c r="DO407" s="407">
        <v>0</v>
      </c>
      <c r="DP407" s="407">
        <v>0</v>
      </c>
      <c r="DQ407" s="407">
        <v>0</v>
      </c>
      <c r="DR407" s="407">
        <v>-3190.1209725339227</v>
      </c>
      <c r="DS407" s="407"/>
      <c r="DT407" s="407"/>
      <c r="DU407" s="407">
        <v>74080.55213189841</v>
      </c>
      <c r="DV407" s="407"/>
      <c r="DW407" s="407">
        <v>0</v>
      </c>
      <c r="DX407" s="407">
        <v>0</v>
      </c>
      <c r="DY407" s="407">
        <v>-36985.199999999983</v>
      </c>
      <c r="DZ407" s="407"/>
      <c r="EA407" s="407">
        <v>0</v>
      </c>
      <c r="EB407" s="407"/>
      <c r="EC407" s="407">
        <v>-37840.518090194309</v>
      </c>
      <c r="ED407" s="407"/>
      <c r="EE407" s="407">
        <v>0</v>
      </c>
      <c r="EF407" s="407">
        <v>0</v>
      </c>
      <c r="EG407" s="407"/>
      <c r="EH407" s="407">
        <v>0</v>
      </c>
      <c r="EI407" s="407">
        <v>0</v>
      </c>
      <c r="EJ407" s="407">
        <v>0</v>
      </c>
      <c r="EK407" s="407">
        <v>0</v>
      </c>
      <c r="EL407" s="407">
        <v>0</v>
      </c>
      <c r="EM407" s="407"/>
      <c r="EN407" s="407"/>
      <c r="EO407" s="407">
        <v>0</v>
      </c>
      <c r="EP407" s="407">
        <v>0</v>
      </c>
      <c r="EQ407" s="407"/>
      <c r="ER407" s="407">
        <v>0</v>
      </c>
      <c r="ES407" s="407"/>
      <c r="ET407" s="407">
        <v>0</v>
      </c>
      <c r="EU407" s="407"/>
      <c r="EV407" s="407">
        <v>246</v>
      </c>
      <c r="EW407" s="407"/>
      <c r="EX407" s="407"/>
      <c r="EY407" s="407"/>
      <c r="EZ407" s="407"/>
      <c r="FA407" s="407">
        <v>0</v>
      </c>
      <c r="FB407" s="407"/>
      <c r="FC407" s="407"/>
      <c r="FD407" s="407"/>
      <c r="FE407" s="407"/>
      <c r="FF407" s="407">
        <v>0</v>
      </c>
      <c r="FG407" s="407">
        <v>0</v>
      </c>
      <c r="FH407" s="407">
        <v>0</v>
      </c>
      <c r="FI407" s="407">
        <v>0</v>
      </c>
    </row>
    <row r="408" spans="1:165">
      <c r="A408" s="407">
        <v>425</v>
      </c>
      <c r="B408" s="407" t="s">
        <v>2309</v>
      </c>
      <c r="C408" s="407" t="s">
        <v>2314</v>
      </c>
      <c r="D408" s="407" t="s">
        <v>650</v>
      </c>
      <c r="E408" s="407" t="s">
        <v>1026</v>
      </c>
      <c r="F408" s="407" t="s">
        <v>97</v>
      </c>
      <c r="G408" s="407" t="s">
        <v>97</v>
      </c>
      <c r="H408" s="407" t="s">
        <v>97</v>
      </c>
      <c r="I408" s="407" t="s">
        <v>97</v>
      </c>
      <c r="J408" s="407" t="s">
        <v>2307</v>
      </c>
      <c r="K408" s="818">
        <v>44562</v>
      </c>
      <c r="L408" s="407">
        <v>451</v>
      </c>
      <c r="M408" s="407">
        <v>432.96</v>
      </c>
      <c r="N408" s="407">
        <v>0</v>
      </c>
      <c r="O408" s="407">
        <v>0</v>
      </c>
      <c r="P408" s="407">
        <v>0</v>
      </c>
      <c r="Q408" s="407">
        <v>0</v>
      </c>
      <c r="R408" s="407">
        <v>43.29</v>
      </c>
      <c r="S408" s="407"/>
      <c r="T408" s="407"/>
      <c r="U408" s="407">
        <v>19523.79</v>
      </c>
      <c r="V408" s="407"/>
      <c r="W408" s="407">
        <v>19523.79</v>
      </c>
      <c r="X408" s="407">
        <v>15103.990000000002</v>
      </c>
      <c r="Y408" s="407">
        <v>0</v>
      </c>
      <c r="Z408" s="407">
        <v>0</v>
      </c>
      <c r="AA408" s="407">
        <v>0</v>
      </c>
      <c r="AB408" s="407">
        <v>0</v>
      </c>
      <c r="AC408" s="407">
        <v>0</v>
      </c>
      <c r="AD408" s="407">
        <v>10672.458208455539</v>
      </c>
      <c r="AE408" s="407">
        <v>8852.7633840715916</v>
      </c>
      <c r="AF408" s="407"/>
      <c r="AG408" s="407"/>
      <c r="AH408" s="407"/>
      <c r="AI408" s="407">
        <v>0</v>
      </c>
      <c r="AJ408" s="407">
        <v>0</v>
      </c>
      <c r="AK408" s="407">
        <v>0</v>
      </c>
      <c r="AL408" s="407">
        <v>0</v>
      </c>
      <c r="AM408" s="407"/>
      <c r="AN408" s="407">
        <v>0</v>
      </c>
      <c r="AO408" s="407">
        <v>0</v>
      </c>
      <c r="AP408" s="407">
        <v>0</v>
      </c>
      <c r="AQ408" s="407">
        <v>0</v>
      </c>
      <c r="AR408" s="407">
        <v>0</v>
      </c>
      <c r="AS408" s="407"/>
      <c r="AT408" s="407"/>
      <c r="AU408" s="407">
        <v>0</v>
      </c>
      <c r="AV408" s="407">
        <v>0</v>
      </c>
      <c r="AW408" s="407">
        <v>0</v>
      </c>
      <c r="AX408" s="407"/>
      <c r="AY408" s="407"/>
      <c r="AZ408" s="407">
        <v>0</v>
      </c>
      <c r="BA408" s="407"/>
      <c r="BB408" s="407">
        <v>0</v>
      </c>
      <c r="BC408" s="407">
        <v>0</v>
      </c>
      <c r="BD408" s="407">
        <v>0</v>
      </c>
      <c r="BE408" s="407">
        <v>0</v>
      </c>
      <c r="BF408" s="407"/>
      <c r="BG408" s="407">
        <v>0</v>
      </c>
      <c r="BH408" s="407">
        <v>0</v>
      </c>
      <c r="BI408" s="407">
        <v>36.93</v>
      </c>
      <c r="BJ408" s="407">
        <v>172.44</v>
      </c>
      <c r="BK408" s="407">
        <v>37.729999999999997</v>
      </c>
      <c r="BL408" s="407">
        <v>3</v>
      </c>
      <c r="BM408" s="407"/>
      <c r="BN408" s="407"/>
      <c r="BO408" s="407"/>
      <c r="BP408" s="407"/>
      <c r="BQ408" s="407"/>
      <c r="BR408" s="407">
        <v>604.15960000000075</v>
      </c>
      <c r="BS408" s="407"/>
      <c r="BT408" s="407"/>
      <c r="BU408" s="407"/>
      <c r="BV408" s="407">
        <v>0</v>
      </c>
      <c r="BW408" s="407"/>
      <c r="BX408" s="407"/>
      <c r="BY408" s="407"/>
      <c r="BZ408" s="407"/>
      <c r="CA408" s="407"/>
      <c r="CB408" s="407"/>
      <c r="CC408" s="407"/>
      <c r="CD408" s="407"/>
      <c r="CE408" s="407"/>
      <c r="CF408" s="407"/>
      <c r="CG408" s="407"/>
      <c r="CH408" s="407"/>
      <c r="CI408" s="407">
        <v>14499.830400000001</v>
      </c>
      <c r="CJ408" s="407">
        <v>-4243.037999999995</v>
      </c>
      <c r="CK408" s="407"/>
      <c r="CL408" s="407"/>
      <c r="CM408" s="407"/>
      <c r="CN408" s="407"/>
      <c r="CO408" s="407">
        <v>-4419.7999999999984</v>
      </c>
      <c r="CP408" s="407">
        <v>0</v>
      </c>
      <c r="CQ408" s="407">
        <v>31</v>
      </c>
      <c r="CR408" s="407">
        <v>100.87072549181175</v>
      </c>
      <c r="CS408" s="407">
        <v>0</v>
      </c>
      <c r="CT408" s="407">
        <v>0</v>
      </c>
      <c r="CU408" s="407">
        <v>0</v>
      </c>
      <c r="CV408" s="407">
        <v>0</v>
      </c>
      <c r="CW408" s="407"/>
      <c r="CX408" s="407"/>
      <c r="CY408" s="407"/>
      <c r="CZ408" s="407">
        <v>482.0960987331473</v>
      </c>
      <c r="DA408" s="407">
        <v>0</v>
      </c>
      <c r="DB408" s="407">
        <v>0</v>
      </c>
      <c r="DC408" s="407"/>
      <c r="DD408" s="407"/>
      <c r="DE408" s="407">
        <v>0</v>
      </c>
      <c r="DF408" s="407">
        <v>0</v>
      </c>
      <c r="DG408" s="407">
        <v>0</v>
      </c>
      <c r="DH408" s="407">
        <v>0</v>
      </c>
      <c r="DI408" s="407">
        <v>0</v>
      </c>
      <c r="DJ408" s="407"/>
      <c r="DK408" s="407">
        <v>0</v>
      </c>
      <c r="DL408" s="407">
        <v>0</v>
      </c>
      <c r="DM408" s="407"/>
      <c r="DN408" s="407">
        <v>0</v>
      </c>
      <c r="DO408" s="407">
        <v>0</v>
      </c>
      <c r="DP408" s="407">
        <v>0</v>
      </c>
      <c r="DQ408" s="407">
        <v>0</v>
      </c>
      <c r="DR408" s="407">
        <v>-381.22537324133521</v>
      </c>
      <c r="DS408" s="407"/>
      <c r="DT408" s="407"/>
      <c r="DU408" s="407">
        <v>8852.7633840715916</v>
      </c>
      <c r="DV408" s="407"/>
      <c r="DW408" s="407">
        <v>0</v>
      </c>
      <c r="DX408" s="407">
        <v>0</v>
      </c>
      <c r="DY408" s="407">
        <v>-4419.7999999999993</v>
      </c>
      <c r="DZ408" s="407"/>
      <c r="EA408" s="407">
        <v>0</v>
      </c>
      <c r="EB408" s="407"/>
      <c r="EC408" s="407">
        <v>-4522.01209821877</v>
      </c>
      <c r="ED408" s="407"/>
      <c r="EE408" s="407">
        <v>0</v>
      </c>
      <c r="EF408" s="407">
        <v>0</v>
      </c>
      <c r="EG408" s="407"/>
      <c r="EH408" s="407">
        <v>0</v>
      </c>
      <c r="EI408" s="407">
        <v>0</v>
      </c>
      <c r="EJ408" s="407">
        <v>0</v>
      </c>
      <c r="EK408" s="407">
        <v>0</v>
      </c>
      <c r="EL408" s="407">
        <v>0</v>
      </c>
      <c r="EM408" s="407"/>
      <c r="EN408" s="407"/>
      <c r="EO408" s="407">
        <v>0</v>
      </c>
      <c r="EP408" s="407">
        <v>0</v>
      </c>
      <c r="EQ408" s="407"/>
      <c r="ER408" s="407">
        <v>0</v>
      </c>
      <c r="ES408" s="407"/>
      <c r="ET408" s="407">
        <v>0</v>
      </c>
      <c r="EU408" s="407"/>
      <c r="EV408" s="407">
        <v>246</v>
      </c>
      <c r="EW408" s="407"/>
      <c r="EX408" s="407"/>
      <c r="EY408" s="407"/>
      <c r="EZ408" s="407"/>
      <c r="FA408" s="407">
        <v>0</v>
      </c>
      <c r="FB408" s="407"/>
      <c r="FC408" s="407"/>
      <c r="FD408" s="407"/>
      <c r="FE408" s="407"/>
      <c r="FF408" s="407">
        <v>0</v>
      </c>
      <c r="FG408" s="407">
        <v>0</v>
      </c>
      <c r="FH408" s="407">
        <v>0</v>
      </c>
      <c r="FI408" s="407">
        <v>0</v>
      </c>
    </row>
    <row r="409" spans="1:165">
      <c r="A409" s="407">
        <v>426</v>
      </c>
      <c r="B409" s="407" t="s">
        <v>1090</v>
      </c>
      <c r="C409" s="407" t="s">
        <v>2306</v>
      </c>
      <c r="D409" s="407" t="s">
        <v>1219</v>
      </c>
      <c r="E409" s="407" t="s">
        <v>2316</v>
      </c>
      <c r="F409" s="407" t="s">
        <v>97</v>
      </c>
      <c r="G409" s="407" t="s">
        <v>97</v>
      </c>
      <c r="H409" s="407" t="s">
        <v>97</v>
      </c>
      <c r="I409" s="407" t="s">
        <v>97</v>
      </c>
      <c r="J409" s="407" t="s">
        <v>2307</v>
      </c>
      <c r="K409" s="818">
        <v>44562</v>
      </c>
      <c r="L409" s="407">
        <v>0</v>
      </c>
      <c r="M409" s="407">
        <v>0</v>
      </c>
      <c r="N409" s="407">
        <v>310.08999999999997</v>
      </c>
      <c r="O409" s="407">
        <v>310.08999999999997</v>
      </c>
      <c r="P409" s="407">
        <v>310.08999999999997</v>
      </c>
      <c r="Q409" s="407">
        <v>310.08999999999997</v>
      </c>
      <c r="R409" s="407"/>
      <c r="S409" s="407">
        <v>648.44000000000005</v>
      </c>
      <c r="T409" s="407">
        <v>159.41</v>
      </c>
      <c r="U409" s="407"/>
      <c r="V409" s="407">
        <v>250506.20649999997</v>
      </c>
      <c r="W409" s="407">
        <v>250506.20649999997</v>
      </c>
      <c r="X409" s="407">
        <v>189719.26379999999</v>
      </c>
      <c r="Y409" s="407">
        <v>0</v>
      </c>
      <c r="Z409" s="407">
        <v>19216.355017858776</v>
      </c>
      <c r="AA409" s="407">
        <v>0</v>
      </c>
      <c r="AB409" s="407">
        <v>0</v>
      </c>
      <c r="AC409" s="407">
        <v>0</v>
      </c>
      <c r="AD409" s="407">
        <v>36170.27012405303</v>
      </c>
      <c r="AE409" s="407">
        <v>129476.8362831647</v>
      </c>
      <c r="AF409" s="407">
        <v>47825.402945567963</v>
      </c>
      <c r="AG409" s="407">
        <v>1606.80800106575</v>
      </c>
      <c r="AH409" s="407">
        <v>0</v>
      </c>
      <c r="AI409" s="407">
        <v>0</v>
      </c>
      <c r="AJ409" s="407">
        <v>0</v>
      </c>
      <c r="AK409" s="407">
        <v>0</v>
      </c>
      <c r="AL409" s="407">
        <v>2969.4390037116273</v>
      </c>
      <c r="AM409" s="407"/>
      <c r="AN409" s="407">
        <v>643.46640715593458</v>
      </c>
      <c r="AO409" s="407">
        <v>0</v>
      </c>
      <c r="AP409" s="407">
        <v>0</v>
      </c>
      <c r="AQ409" s="407">
        <v>0</v>
      </c>
      <c r="AR409" s="407">
        <v>0</v>
      </c>
      <c r="AS409" s="407">
        <v>0</v>
      </c>
      <c r="AT409" s="407">
        <v>0</v>
      </c>
      <c r="AU409" s="407">
        <v>0</v>
      </c>
      <c r="AV409" s="407">
        <v>0</v>
      </c>
      <c r="AW409" s="407">
        <v>0</v>
      </c>
      <c r="AX409" s="407">
        <v>0</v>
      </c>
      <c r="AY409" s="407">
        <v>0</v>
      </c>
      <c r="AZ409" s="407">
        <v>0</v>
      </c>
      <c r="BA409" s="407"/>
      <c r="BB409" s="407">
        <v>0</v>
      </c>
      <c r="BC409" s="407">
        <v>0</v>
      </c>
      <c r="BD409" s="407">
        <v>0</v>
      </c>
      <c r="BE409" s="407">
        <v>0</v>
      </c>
      <c r="BF409" s="407">
        <v>0</v>
      </c>
      <c r="BG409" s="407">
        <v>3495.8842374742276</v>
      </c>
      <c r="BH409" s="407">
        <v>0</v>
      </c>
      <c r="BI409" s="407">
        <v>192.6</v>
      </c>
      <c r="BJ409" s="407">
        <v>906.95</v>
      </c>
      <c r="BK409" s="407">
        <v>74247.320000000007</v>
      </c>
      <c r="BL409" s="407">
        <v>358</v>
      </c>
      <c r="BM409" s="407"/>
      <c r="BN409" s="407"/>
      <c r="BO409" s="407"/>
      <c r="BP409" s="407"/>
      <c r="BQ409" s="407"/>
      <c r="BR409" s="407"/>
      <c r="BS409" s="407"/>
      <c r="BT409" s="407"/>
      <c r="BU409" s="407"/>
      <c r="BV409" s="407">
        <v>51321.287183042194</v>
      </c>
      <c r="BW409" s="407"/>
      <c r="BX409" s="407"/>
      <c r="BY409" s="407"/>
      <c r="BZ409" s="407"/>
      <c r="CA409" s="407"/>
      <c r="CB409" s="407"/>
      <c r="CC409" s="407"/>
      <c r="CD409" s="407"/>
      <c r="CE409" s="407"/>
      <c r="CF409" s="407"/>
      <c r="CG409" s="407"/>
      <c r="CH409" s="407"/>
      <c r="CI409" s="407">
        <v>189719.26379999999</v>
      </c>
      <c r="CJ409" s="407">
        <v>-60786.972700000013</v>
      </c>
      <c r="CK409" s="407"/>
      <c r="CL409" s="407"/>
      <c r="CM409" s="407"/>
      <c r="CN409" s="407"/>
      <c r="CO409" s="407">
        <v>-69305.115000000005</v>
      </c>
      <c r="CP409" s="407">
        <v>8518.1722999999984</v>
      </c>
      <c r="CQ409" s="407">
        <v>31</v>
      </c>
      <c r="CR409" s="407">
        <v>5350.2984464755282</v>
      </c>
      <c r="CS409" s="407">
        <v>0</v>
      </c>
      <c r="CT409" s="407">
        <v>0</v>
      </c>
      <c r="CU409" s="407">
        <v>0</v>
      </c>
      <c r="CV409" s="407">
        <v>0</v>
      </c>
      <c r="CW409" s="407">
        <v>0</v>
      </c>
      <c r="CX409" s="407">
        <v>0</v>
      </c>
      <c r="CY409" s="407">
        <v>0</v>
      </c>
      <c r="CZ409" s="407">
        <v>1633.8828202780278</v>
      </c>
      <c r="DA409" s="407">
        <v>0</v>
      </c>
      <c r="DB409" s="407">
        <v>0</v>
      </c>
      <c r="DC409" s="407">
        <v>9482.4858865511487</v>
      </c>
      <c r="DD409" s="407">
        <v>0</v>
      </c>
      <c r="DE409" s="407">
        <v>0</v>
      </c>
      <c r="DF409" s="407">
        <v>0</v>
      </c>
      <c r="DG409" s="407">
        <v>693.13943848199551</v>
      </c>
      <c r="DH409" s="407">
        <v>0</v>
      </c>
      <c r="DI409" s="407">
        <v>-1345.9514144501627</v>
      </c>
      <c r="DJ409" s="407"/>
      <c r="DK409" s="407">
        <v>0</v>
      </c>
      <c r="DL409" s="407">
        <v>0</v>
      </c>
      <c r="DM409" s="407">
        <v>0</v>
      </c>
      <c r="DN409" s="407">
        <v>0</v>
      </c>
      <c r="DO409" s="407">
        <v>-181.16956228222489</v>
      </c>
      <c r="DP409" s="407">
        <v>-41.000126005470179</v>
      </c>
      <c r="DQ409" s="407">
        <v>0</v>
      </c>
      <c r="DR409" s="407">
        <v>-4891.0885960978003</v>
      </c>
      <c r="DS409" s="407"/>
      <c r="DT409" s="407"/>
      <c r="DU409" s="407"/>
      <c r="DV409" s="407">
        <v>129476.8362831647</v>
      </c>
      <c r="DW409" s="407">
        <v>0</v>
      </c>
      <c r="DX409" s="407">
        <v>0</v>
      </c>
      <c r="DY409" s="407">
        <v>-69305.114999999991</v>
      </c>
      <c r="DZ409" s="407">
        <v>8518.1722999999984</v>
      </c>
      <c r="EA409" s="407">
        <v>0</v>
      </c>
      <c r="EB409" s="407">
        <v>0</v>
      </c>
      <c r="EC409" s="407">
        <v>-66137.068699364434</v>
      </c>
      <c r="ED409" s="407">
        <v>0</v>
      </c>
      <c r="EE409" s="407">
        <v>0</v>
      </c>
      <c r="EF409" s="407">
        <v>0</v>
      </c>
      <c r="EG409" s="407">
        <v>0</v>
      </c>
      <c r="EH409" s="407">
        <v>0</v>
      </c>
      <c r="EI409" s="407">
        <v>0</v>
      </c>
      <c r="EJ409" s="407">
        <v>0</v>
      </c>
      <c r="EK409" s="407">
        <v>0</v>
      </c>
      <c r="EL409" s="407">
        <v>0</v>
      </c>
      <c r="EM409" s="407">
        <v>0</v>
      </c>
      <c r="EN409" s="407">
        <v>0</v>
      </c>
      <c r="EO409" s="407">
        <v>0</v>
      </c>
      <c r="EP409" s="407">
        <v>9102.4437913710863</v>
      </c>
      <c r="EQ409" s="407">
        <v>0</v>
      </c>
      <c r="ER409" s="407">
        <v>0</v>
      </c>
      <c r="ES409" s="407">
        <v>0</v>
      </c>
      <c r="ET409" s="407">
        <v>0</v>
      </c>
      <c r="EU409" s="407">
        <v>0</v>
      </c>
      <c r="EV409" s="407">
        <v>246</v>
      </c>
      <c r="EW409" s="407">
        <v>0</v>
      </c>
      <c r="EX409" s="407">
        <v>0</v>
      </c>
      <c r="EY409" s="407">
        <v>0</v>
      </c>
      <c r="EZ409" s="407"/>
      <c r="FA409" s="407">
        <v>0</v>
      </c>
      <c r="FB409" s="407"/>
      <c r="FC409" s="407"/>
      <c r="FD409" s="407"/>
      <c r="FE409" s="407"/>
      <c r="FF409" s="407">
        <v>0</v>
      </c>
      <c r="FG409" s="407">
        <v>0</v>
      </c>
      <c r="FH409" s="407">
        <v>0</v>
      </c>
      <c r="FI409" s="407">
        <v>0</v>
      </c>
    </row>
    <row r="410" spans="1:165">
      <c r="A410" s="407">
        <v>427</v>
      </c>
      <c r="B410" s="407" t="s">
        <v>2308</v>
      </c>
      <c r="C410" s="407" t="s">
        <v>2306</v>
      </c>
      <c r="D410" s="407" t="s">
        <v>1219</v>
      </c>
      <c r="E410" s="407" t="s">
        <v>2316</v>
      </c>
      <c r="F410" s="407" t="s">
        <v>97</v>
      </c>
      <c r="G410" s="407" t="s">
        <v>97</v>
      </c>
      <c r="H410" s="407" t="s">
        <v>97</v>
      </c>
      <c r="I410" s="407" t="s">
        <v>97</v>
      </c>
      <c r="J410" s="407" t="s">
        <v>2307</v>
      </c>
      <c r="K410" s="818">
        <v>44562</v>
      </c>
      <c r="L410" s="407">
        <v>0</v>
      </c>
      <c r="M410" s="407">
        <v>0</v>
      </c>
      <c r="N410" s="407">
        <v>-1</v>
      </c>
      <c r="O410" s="407">
        <v>-1</v>
      </c>
      <c r="P410" s="407">
        <v>-1</v>
      </c>
      <c r="Q410" s="407">
        <v>-1</v>
      </c>
      <c r="R410" s="407"/>
      <c r="S410" s="407">
        <v>648.44000000000005</v>
      </c>
      <c r="T410" s="407">
        <v>159.41</v>
      </c>
      <c r="U410" s="407"/>
      <c r="V410" s="407">
        <v>-807.85</v>
      </c>
      <c r="W410" s="407">
        <v>-807.85</v>
      </c>
      <c r="X410" s="407">
        <v>-611.81999999999994</v>
      </c>
      <c r="Y410" s="407">
        <v>0</v>
      </c>
      <c r="Z410" s="407">
        <v>-61.970250630006703</v>
      </c>
      <c r="AA410" s="407">
        <v>0</v>
      </c>
      <c r="AB410" s="407">
        <v>0</v>
      </c>
      <c r="AC410" s="407">
        <v>0</v>
      </c>
      <c r="AD410" s="407">
        <v>-116.644426211916</v>
      </c>
      <c r="AE410" s="407">
        <v>-417.54599078707702</v>
      </c>
      <c r="AF410" s="407">
        <v>-154.23071671310899</v>
      </c>
      <c r="AG410" s="407">
        <v>-5.1817472381107104</v>
      </c>
      <c r="AH410" s="407">
        <v>0</v>
      </c>
      <c r="AI410" s="407">
        <v>0</v>
      </c>
      <c r="AJ410" s="407">
        <v>0</v>
      </c>
      <c r="AK410" s="407">
        <v>0</v>
      </c>
      <c r="AL410" s="407">
        <v>-9.5760553507421307</v>
      </c>
      <c r="AM410" s="407"/>
      <c r="AN410" s="407">
        <v>-2.0750956404783598</v>
      </c>
      <c r="AO410" s="407">
        <v>0</v>
      </c>
      <c r="AP410" s="407">
        <v>0</v>
      </c>
      <c r="AQ410" s="407">
        <v>0</v>
      </c>
      <c r="AR410" s="407">
        <v>0</v>
      </c>
      <c r="AS410" s="407">
        <v>0</v>
      </c>
      <c r="AT410" s="407">
        <v>0</v>
      </c>
      <c r="AU410" s="407">
        <v>0</v>
      </c>
      <c r="AV410" s="407">
        <v>0</v>
      </c>
      <c r="AW410" s="407">
        <v>0</v>
      </c>
      <c r="AX410" s="407">
        <v>0</v>
      </c>
      <c r="AY410" s="407">
        <v>0</v>
      </c>
      <c r="AZ410" s="407">
        <v>0</v>
      </c>
      <c r="BA410" s="407"/>
      <c r="BB410" s="407">
        <v>0</v>
      </c>
      <c r="BC410" s="407">
        <v>0</v>
      </c>
      <c r="BD410" s="407">
        <v>0</v>
      </c>
      <c r="BE410" s="407">
        <v>0</v>
      </c>
      <c r="BF410" s="407">
        <v>0</v>
      </c>
      <c r="BG410" s="407">
        <v>-11.2737728964953</v>
      </c>
      <c r="BH410" s="407">
        <v>0</v>
      </c>
      <c r="BI410" s="407">
        <v>-2.5299999999999998</v>
      </c>
      <c r="BJ410" s="407">
        <v>-11.95</v>
      </c>
      <c r="BK410" s="407">
        <v>-380.82</v>
      </c>
      <c r="BL410" s="407">
        <v>0</v>
      </c>
      <c r="BM410" s="407"/>
      <c r="BN410" s="407"/>
      <c r="BO410" s="407"/>
      <c r="BP410" s="407"/>
      <c r="BQ410" s="407"/>
      <c r="BR410" s="407"/>
      <c r="BS410" s="407"/>
      <c r="BT410" s="407"/>
      <c r="BU410" s="407"/>
      <c r="BV410" s="407">
        <v>-165.50448960960429</v>
      </c>
      <c r="BW410" s="407"/>
      <c r="BX410" s="407"/>
      <c r="BY410" s="407"/>
      <c r="BZ410" s="407"/>
      <c r="CA410" s="407"/>
      <c r="CB410" s="407"/>
      <c r="CC410" s="407"/>
      <c r="CD410" s="407"/>
      <c r="CE410" s="407"/>
      <c r="CF410" s="407"/>
      <c r="CG410" s="407"/>
      <c r="CH410" s="407"/>
      <c r="CI410" s="407">
        <v>-611.81999999999994</v>
      </c>
      <c r="CJ410" s="407">
        <v>196.00000000000011</v>
      </c>
      <c r="CK410" s="407"/>
      <c r="CL410" s="407"/>
      <c r="CM410" s="407"/>
      <c r="CN410" s="407"/>
      <c r="CO410" s="407">
        <v>223.50000000000006</v>
      </c>
      <c r="CP410" s="407">
        <v>-27.47</v>
      </c>
      <c r="CQ410" s="407">
        <v>31</v>
      </c>
      <c r="CR410" s="407">
        <v>-17.254018015658346</v>
      </c>
      <c r="CS410" s="407">
        <v>0</v>
      </c>
      <c r="CT410" s="407">
        <v>0</v>
      </c>
      <c r="CU410" s="407">
        <v>0</v>
      </c>
      <c r="CV410" s="407">
        <v>0</v>
      </c>
      <c r="CW410" s="407">
        <v>0</v>
      </c>
      <c r="CX410" s="407">
        <v>0</v>
      </c>
      <c r="CY410" s="407">
        <v>0</v>
      </c>
      <c r="CZ410" s="407">
        <v>-5.2690600157310001</v>
      </c>
      <c r="DA410" s="407">
        <v>0</v>
      </c>
      <c r="DB410" s="407">
        <v>0</v>
      </c>
      <c r="DC410" s="407">
        <v>-30.579786147735007</v>
      </c>
      <c r="DD410" s="407">
        <v>0</v>
      </c>
      <c r="DE410" s="407">
        <v>0</v>
      </c>
      <c r="DF410" s="407">
        <v>0</v>
      </c>
      <c r="DG410" s="407">
        <v>-2.2352847188944995</v>
      </c>
      <c r="DH410" s="407">
        <v>0</v>
      </c>
      <c r="DI410" s="407">
        <v>4.340518605727901</v>
      </c>
      <c r="DJ410" s="407"/>
      <c r="DK410" s="407">
        <v>0</v>
      </c>
      <c r="DL410" s="407">
        <v>0</v>
      </c>
      <c r="DM410" s="407">
        <v>0</v>
      </c>
      <c r="DN410" s="407">
        <v>0</v>
      </c>
      <c r="DO410" s="407">
        <v>0.58424832236519997</v>
      </c>
      <c r="DP410" s="407">
        <v>0.13222008450923983</v>
      </c>
      <c r="DQ410" s="407">
        <v>0</v>
      </c>
      <c r="DR410" s="407">
        <v>15.77312585409978</v>
      </c>
      <c r="DS410" s="407"/>
      <c r="DT410" s="407"/>
      <c r="DU410" s="407"/>
      <c r="DV410" s="407">
        <v>-417.54599078707702</v>
      </c>
      <c r="DW410" s="407">
        <v>0</v>
      </c>
      <c r="DX410" s="407">
        <v>0</v>
      </c>
      <c r="DY410" s="407">
        <v>223.50000000000006</v>
      </c>
      <c r="DZ410" s="407">
        <v>-27.47</v>
      </c>
      <c r="EA410" s="407">
        <v>0</v>
      </c>
      <c r="EB410" s="407">
        <v>0</v>
      </c>
      <c r="EC410" s="407">
        <v>213.283461896109</v>
      </c>
      <c r="ED410" s="407">
        <v>0</v>
      </c>
      <c r="EE410" s="407">
        <v>0</v>
      </c>
      <c r="EF410" s="407">
        <v>0</v>
      </c>
      <c r="EG410" s="407">
        <v>0</v>
      </c>
      <c r="EH410" s="407">
        <v>0</v>
      </c>
      <c r="EI410" s="407">
        <v>0</v>
      </c>
      <c r="EJ410" s="407">
        <v>0</v>
      </c>
      <c r="EK410" s="407">
        <v>0</v>
      </c>
      <c r="EL410" s="407">
        <v>0</v>
      </c>
      <c r="EM410" s="407">
        <v>0</v>
      </c>
      <c r="EN410" s="407">
        <v>0</v>
      </c>
      <c r="EO410" s="407">
        <v>0</v>
      </c>
      <c r="EP410" s="407">
        <v>-29.354199720633002</v>
      </c>
      <c r="EQ410" s="407">
        <v>0</v>
      </c>
      <c r="ER410" s="407">
        <v>0</v>
      </c>
      <c r="ES410" s="407">
        <v>0</v>
      </c>
      <c r="ET410" s="407">
        <v>0</v>
      </c>
      <c r="EU410" s="407">
        <v>0</v>
      </c>
      <c r="EV410" s="407">
        <v>246</v>
      </c>
      <c r="EW410" s="407">
        <v>0</v>
      </c>
      <c r="EX410" s="407">
        <v>0</v>
      </c>
      <c r="EY410" s="407">
        <v>0</v>
      </c>
      <c r="EZ410" s="407"/>
      <c r="FA410" s="407">
        <v>0</v>
      </c>
      <c r="FB410" s="407"/>
      <c r="FC410" s="407"/>
      <c r="FD410" s="407"/>
      <c r="FE410" s="407"/>
      <c r="FF410" s="407">
        <v>0</v>
      </c>
      <c r="FG410" s="407">
        <v>0</v>
      </c>
      <c r="FH410" s="407">
        <v>0</v>
      </c>
      <c r="FI410" s="407">
        <v>0</v>
      </c>
    </row>
    <row r="411" spans="1:165">
      <c r="A411" s="407">
        <v>428</v>
      </c>
      <c r="B411" s="407" t="s">
        <v>1090</v>
      </c>
      <c r="C411" s="407" t="s">
        <v>2317</v>
      </c>
      <c r="D411" s="407" t="s">
        <v>650</v>
      </c>
      <c r="E411" s="407" t="s">
        <v>2316</v>
      </c>
      <c r="F411" s="407" t="s">
        <v>97</v>
      </c>
      <c r="G411" s="407" t="s">
        <v>97</v>
      </c>
      <c r="H411" s="407" t="s">
        <v>97</v>
      </c>
      <c r="I411" s="407" t="s">
        <v>1025</v>
      </c>
      <c r="J411" s="407" t="s">
        <v>2307</v>
      </c>
      <c r="K411" s="818">
        <v>44562</v>
      </c>
      <c r="L411" s="407">
        <v>200</v>
      </c>
      <c r="M411" s="407">
        <v>200</v>
      </c>
      <c r="N411" s="407">
        <v>2.5539999999999998</v>
      </c>
      <c r="O411" s="407">
        <v>2.5539999999999998</v>
      </c>
      <c r="P411" s="407">
        <v>2.5539999999999998</v>
      </c>
      <c r="Q411" s="407">
        <v>2.5539999999999998</v>
      </c>
      <c r="R411" s="407">
        <v>112.91</v>
      </c>
      <c r="S411" s="407">
        <v>95.29</v>
      </c>
      <c r="T411" s="407">
        <v>159.41</v>
      </c>
      <c r="U411" s="407">
        <v>22582</v>
      </c>
      <c r="V411" s="407">
        <v>650.50379999999996</v>
      </c>
      <c r="W411" s="407">
        <v>23232.503800000002</v>
      </c>
      <c r="X411" s="407">
        <v>14135.228140000001</v>
      </c>
      <c r="Y411" s="407">
        <v>0</v>
      </c>
      <c r="Z411" s="407">
        <v>137.69665749486219</v>
      </c>
      <c r="AA411" s="407">
        <v>0</v>
      </c>
      <c r="AB411" s="407">
        <v>0</v>
      </c>
      <c r="AC411" s="407">
        <v>0</v>
      </c>
      <c r="AD411" s="407">
        <v>5077.0827132346003</v>
      </c>
      <c r="AE411" s="407">
        <v>17504.269107723037</v>
      </c>
      <c r="AF411" s="407">
        <v>393.90525048528031</v>
      </c>
      <c r="AG411" s="407">
        <v>13.234182446134753</v>
      </c>
      <c r="AH411" s="407">
        <v>0</v>
      </c>
      <c r="AI411" s="407">
        <v>0</v>
      </c>
      <c r="AJ411" s="407">
        <v>0</v>
      </c>
      <c r="AK411" s="407">
        <v>0</v>
      </c>
      <c r="AL411" s="407">
        <v>24.457245365795401</v>
      </c>
      <c r="AM411" s="407"/>
      <c r="AN411" s="407">
        <v>2.742315062253013</v>
      </c>
      <c r="AO411" s="407">
        <v>0</v>
      </c>
      <c r="AP411" s="407">
        <v>0</v>
      </c>
      <c r="AQ411" s="407">
        <v>0</v>
      </c>
      <c r="AR411" s="407">
        <v>0</v>
      </c>
      <c r="AS411" s="407">
        <v>0</v>
      </c>
      <c r="AT411" s="407">
        <v>0</v>
      </c>
      <c r="AU411" s="407">
        <v>0</v>
      </c>
      <c r="AV411" s="407">
        <v>0</v>
      </c>
      <c r="AW411" s="407">
        <v>0</v>
      </c>
      <c r="AX411" s="407">
        <v>0</v>
      </c>
      <c r="AY411" s="407">
        <v>0</v>
      </c>
      <c r="AZ411" s="407">
        <v>0</v>
      </c>
      <c r="BA411" s="407"/>
      <c r="BB411" s="407">
        <v>0</v>
      </c>
      <c r="BC411" s="407">
        <v>0</v>
      </c>
      <c r="BD411" s="407">
        <v>0</v>
      </c>
      <c r="BE411" s="407">
        <v>0</v>
      </c>
      <c r="BF411" s="407">
        <v>0</v>
      </c>
      <c r="BG411" s="407">
        <v>13.254939112732325</v>
      </c>
      <c r="BH411" s="407">
        <v>0</v>
      </c>
      <c r="BI411" s="407">
        <v>0</v>
      </c>
      <c r="BJ411" s="407">
        <v>0</v>
      </c>
      <c r="BK411" s="407">
        <v>0</v>
      </c>
      <c r="BL411" s="407">
        <v>0</v>
      </c>
      <c r="BM411" s="407"/>
      <c r="BN411" s="407"/>
      <c r="BO411" s="407"/>
      <c r="BP411" s="407"/>
      <c r="BQ411" s="407"/>
      <c r="BR411" s="407"/>
      <c r="BS411" s="407"/>
      <c r="BT411" s="407"/>
      <c r="BU411" s="407"/>
      <c r="BV411" s="407">
        <v>407.16018959801261</v>
      </c>
      <c r="BW411" s="407"/>
      <c r="BX411" s="407"/>
      <c r="BY411" s="407"/>
      <c r="BZ411" s="407"/>
      <c r="CA411" s="407"/>
      <c r="CB411" s="407"/>
      <c r="CC411" s="407"/>
      <c r="CD411" s="407"/>
      <c r="CE411" s="407"/>
      <c r="CF411" s="407"/>
      <c r="CG411" s="407"/>
      <c r="CH411" s="407"/>
      <c r="CI411" s="407">
        <v>14134.120499999999</v>
      </c>
      <c r="CJ411" s="407">
        <v>-9098.4132999999983</v>
      </c>
      <c r="CK411" s="407"/>
      <c r="CL411" s="407"/>
      <c r="CM411" s="407"/>
      <c r="CN411" s="407"/>
      <c r="CO411" s="407">
        <v>-9167.4340400000001</v>
      </c>
      <c r="CP411" s="407">
        <v>70.158379999999994</v>
      </c>
      <c r="CQ411" s="407">
        <v>31</v>
      </c>
      <c r="CR411" s="407">
        <v>-154.83743894905547</v>
      </c>
      <c r="CS411" s="407">
        <v>0</v>
      </c>
      <c r="CT411" s="407">
        <v>0</v>
      </c>
      <c r="CU411" s="407">
        <v>0</v>
      </c>
      <c r="CV411" s="407">
        <v>0</v>
      </c>
      <c r="CW411" s="407">
        <v>0</v>
      </c>
      <c r="CX411" s="407">
        <v>0</v>
      </c>
      <c r="CY411" s="407">
        <v>0</v>
      </c>
      <c r="CZ411" s="407">
        <v>229.34189304735992</v>
      </c>
      <c r="DA411" s="407">
        <v>0</v>
      </c>
      <c r="DB411" s="407">
        <v>0</v>
      </c>
      <c r="DC411" s="407">
        <v>78.100773821315215</v>
      </c>
      <c r="DD411" s="407">
        <v>0</v>
      </c>
      <c r="DE411" s="407">
        <v>0</v>
      </c>
      <c r="DF411" s="407">
        <v>0</v>
      </c>
      <c r="DG411" s="407">
        <v>2.6280964784893097</v>
      </c>
      <c r="DH411" s="407">
        <v>0</v>
      </c>
      <c r="DI411" s="407">
        <v>-9.6445455315553374</v>
      </c>
      <c r="DJ411" s="407"/>
      <c r="DK411" s="407">
        <v>0</v>
      </c>
      <c r="DL411" s="407">
        <v>0</v>
      </c>
      <c r="DM411" s="407">
        <v>0</v>
      </c>
      <c r="DN411" s="407">
        <v>0</v>
      </c>
      <c r="DO411" s="407">
        <v>-1.4921702153207228</v>
      </c>
      <c r="DP411" s="407">
        <v>-0.17473369526160498</v>
      </c>
      <c r="DQ411" s="407">
        <v>0</v>
      </c>
      <c r="DR411" s="407">
        <v>-453.59675285408298</v>
      </c>
      <c r="DS411" s="407"/>
      <c r="DT411" s="407"/>
      <c r="DU411" s="407">
        <v>17504.269107723037</v>
      </c>
      <c r="DV411" s="407">
        <v>0</v>
      </c>
      <c r="DW411" s="407">
        <v>0</v>
      </c>
      <c r="DX411" s="407">
        <v>0</v>
      </c>
      <c r="DY411" s="407">
        <v>-9167.4340400000001</v>
      </c>
      <c r="DZ411" s="407">
        <v>70.158379999999966</v>
      </c>
      <c r="EA411" s="407">
        <v>0</v>
      </c>
      <c r="EB411" s="407">
        <v>0</v>
      </c>
      <c r="EC411" s="407">
        <v>-8941.2213160491574</v>
      </c>
      <c r="ED411" s="407">
        <v>0</v>
      </c>
      <c r="EE411" s="407">
        <v>0</v>
      </c>
      <c r="EF411" s="407">
        <v>0</v>
      </c>
      <c r="EG411" s="407">
        <v>0</v>
      </c>
      <c r="EH411" s="407">
        <v>0</v>
      </c>
      <c r="EI411" s="407">
        <v>0</v>
      </c>
      <c r="EJ411" s="407">
        <v>0</v>
      </c>
      <c r="EK411" s="407">
        <v>0</v>
      </c>
      <c r="EL411" s="407">
        <v>0</v>
      </c>
      <c r="EM411" s="407">
        <v>0</v>
      </c>
      <c r="EN411" s="407">
        <v>0</v>
      </c>
      <c r="EO411" s="407">
        <v>0</v>
      </c>
      <c r="EP411" s="407">
        <v>65.224444695252075</v>
      </c>
      <c r="EQ411" s="407">
        <v>0</v>
      </c>
      <c r="ER411" s="407">
        <v>0</v>
      </c>
      <c r="ES411" s="407">
        <v>0</v>
      </c>
      <c r="ET411" s="407">
        <v>0</v>
      </c>
      <c r="EU411" s="407">
        <v>0</v>
      </c>
      <c r="EV411" s="407">
        <v>246</v>
      </c>
      <c r="EW411" s="407">
        <v>0</v>
      </c>
      <c r="EX411" s="407">
        <v>0</v>
      </c>
      <c r="EY411" s="407">
        <v>0</v>
      </c>
      <c r="EZ411" s="407"/>
      <c r="FA411" s="407">
        <v>0</v>
      </c>
      <c r="FB411" s="407"/>
      <c r="FC411" s="407"/>
      <c r="FD411" s="407"/>
      <c r="FE411" s="407"/>
      <c r="FF411" s="407">
        <v>0</v>
      </c>
      <c r="FG411" s="407">
        <v>0</v>
      </c>
      <c r="FH411" s="407">
        <v>0</v>
      </c>
      <c r="FI411" s="407">
        <v>0</v>
      </c>
    </row>
    <row r="412" spans="1:165">
      <c r="A412" s="407">
        <v>429</v>
      </c>
      <c r="B412" s="407" t="s">
        <v>1090</v>
      </c>
      <c r="C412" s="407" t="s">
        <v>2317</v>
      </c>
      <c r="D412" s="407" t="s">
        <v>650</v>
      </c>
      <c r="E412" s="407" t="s">
        <v>2316</v>
      </c>
      <c r="F412" s="407" t="s">
        <v>97</v>
      </c>
      <c r="G412" s="407" t="s">
        <v>97</v>
      </c>
      <c r="H412" s="407" t="s">
        <v>97</v>
      </c>
      <c r="I412" s="407" t="s">
        <v>2290</v>
      </c>
      <c r="J412" s="407" t="s">
        <v>2307</v>
      </c>
      <c r="K412" s="818">
        <v>44562</v>
      </c>
      <c r="L412" s="407">
        <v>230</v>
      </c>
      <c r="M412" s="407">
        <v>230</v>
      </c>
      <c r="N412" s="407">
        <v>26.222000000000001</v>
      </c>
      <c r="O412" s="407">
        <v>26.222000000000001</v>
      </c>
      <c r="P412" s="407">
        <v>26.222000000000001</v>
      </c>
      <c r="Q412" s="407">
        <v>26.222000000000001</v>
      </c>
      <c r="R412" s="407">
        <v>43.29</v>
      </c>
      <c r="S412" s="407">
        <v>95.29</v>
      </c>
      <c r="T412" s="407">
        <v>159.41</v>
      </c>
      <c r="U412" s="407">
        <v>9956.6999999999989</v>
      </c>
      <c r="V412" s="407">
        <v>6678.7434000000012</v>
      </c>
      <c r="W412" s="407">
        <v>16635.4434</v>
      </c>
      <c r="X412" s="407">
        <v>14963.834020000002</v>
      </c>
      <c r="Y412" s="407">
        <v>0</v>
      </c>
      <c r="Z412" s="407">
        <v>1413.7360034574303</v>
      </c>
      <c r="AA412" s="407">
        <v>0</v>
      </c>
      <c r="AB412" s="407">
        <v>0</v>
      </c>
      <c r="AC412" s="407">
        <v>0</v>
      </c>
      <c r="AD412" s="407">
        <v>5442.71704644074</v>
      </c>
      <c r="AE412" s="407">
        <v>4514.7130340054682</v>
      </c>
      <c r="AF412" s="407">
        <v>4044.2378536511442</v>
      </c>
      <c r="AG412" s="407">
        <v>135.87577607773906</v>
      </c>
      <c r="AH412" s="407">
        <v>0</v>
      </c>
      <c r="AI412" s="407">
        <v>0</v>
      </c>
      <c r="AJ412" s="407">
        <v>0</v>
      </c>
      <c r="AK412" s="407">
        <v>0</v>
      </c>
      <c r="AL412" s="407">
        <v>251.10332340716016</v>
      </c>
      <c r="AM412" s="407"/>
      <c r="AN412" s="407">
        <v>28.155436790289158</v>
      </c>
      <c r="AO412" s="407">
        <v>0</v>
      </c>
      <c r="AP412" s="407">
        <v>0</v>
      </c>
      <c r="AQ412" s="407">
        <v>0</v>
      </c>
      <c r="AR412" s="407">
        <v>0</v>
      </c>
      <c r="AS412" s="407">
        <v>0</v>
      </c>
      <c r="AT412" s="407">
        <v>0</v>
      </c>
      <c r="AU412" s="407">
        <v>0</v>
      </c>
      <c r="AV412" s="407">
        <v>0</v>
      </c>
      <c r="AW412" s="407">
        <v>0</v>
      </c>
      <c r="AX412" s="407">
        <v>0</v>
      </c>
      <c r="AY412" s="407">
        <v>0</v>
      </c>
      <c r="AZ412" s="407">
        <v>0</v>
      </c>
      <c r="BA412" s="407"/>
      <c r="BB412" s="407">
        <v>0</v>
      </c>
      <c r="BC412" s="407">
        <v>0</v>
      </c>
      <c r="BD412" s="407">
        <v>0</v>
      </c>
      <c r="BE412" s="407">
        <v>0</v>
      </c>
      <c r="BF412" s="407">
        <v>0</v>
      </c>
      <c r="BG412" s="407">
        <v>136.08888544012024</v>
      </c>
      <c r="BH412" s="407">
        <v>0</v>
      </c>
      <c r="BI412" s="407">
        <v>0</v>
      </c>
      <c r="BJ412" s="407">
        <v>0</v>
      </c>
      <c r="BK412" s="407">
        <v>0</v>
      </c>
      <c r="BL412" s="407">
        <v>0</v>
      </c>
      <c r="BM412" s="407"/>
      <c r="BN412" s="407"/>
      <c r="BO412" s="407"/>
      <c r="BP412" s="407"/>
      <c r="BQ412" s="407"/>
      <c r="BR412" s="407"/>
      <c r="BS412" s="407"/>
      <c r="BT412" s="407"/>
      <c r="BU412" s="407"/>
      <c r="BV412" s="407">
        <v>4180.3267390912642</v>
      </c>
      <c r="BW412" s="407"/>
      <c r="BX412" s="407"/>
      <c r="BY412" s="407"/>
      <c r="BZ412" s="407"/>
      <c r="CA412" s="407"/>
      <c r="CB412" s="407"/>
      <c r="CC412" s="407"/>
      <c r="CD412" s="407"/>
      <c r="CE412" s="407"/>
      <c r="CF412" s="407"/>
      <c r="CG412" s="407"/>
      <c r="CH412" s="407"/>
      <c r="CI412" s="407">
        <v>14963.280200000001</v>
      </c>
      <c r="CJ412" s="407">
        <v>-1672.1931999999979</v>
      </c>
      <c r="CK412" s="407"/>
      <c r="CL412" s="407"/>
      <c r="CM412" s="407"/>
      <c r="CN412" s="407"/>
      <c r="CO412" s="407">
        <v>-2391.9277199999997</v>
      </c>
      <c r="CP412" s="407">
        <v>720.31834000000003</v>
      </c>
      <c r="CQ412" s="407">
        <v>31</v>
      </c>
      <c r="CR412" s="407">
        <v>633.74957115306279</v>
      </c>
      <c r="CS412" s="407">
        <v>0</v>
      </c>
      <c r="CT412" s="407">
        <v>0</v>
      </c>
      <c r="CU412" s="407">
        <v>0</v>
      </c>
      <c r="CV412" s="407">
        <v>0</v>
      </c>
      <c r="CW412" s="407">
        <v>0</v>
      </c>
      <c r="CX412" s="407">
        <v>0</v>
      </c>
      <c r="CY412" s="407">
        <v>0</v>
      </c>
      <c r="CZ412" s="407">
        <v>245.85832086169376</v>
      </c>
      <c r="DA412" s="407">
        <v>0</v>
      </c>
      <c r="DB412" s="407">
        <v>0</v>
      </c>
      <c r="DC412" s="407">
        <v>801.8631523659069</v>
      </c>
      <c r="DD412" s="407">
        <v>0</v>
      </c>
      <c r="DE412" s="407">
        <v>0</v>
      </c>
      <c r="DF412" s="407">
        <v>0</v>
      </c>
      <c r="DG412" s="407">
        <v>26.982750923628288</v>
      </c>
      <c r="DH412" s="407">
        <v>0</v>
      </c>
      <c r="DI412" s="407">
        <v>-99.020858625076244</v>
      </c>
      <c r="DJ412" s="407"/>
      <c r="DK412" s="407">
        <v>0</v>
      </c>
      <c r="DL412" s="407">
        <v>0</v>
      </c>
      <c r="DM412" s="407">
        <v>0</v>
      </c>
      <c r="DN412" s="407">
        <v>0</v>
      </c>
      <c r="DO412" s="407">
        <v>-15.320159509060261</v>
      </c>
      <c r="DP412" s="407">
        <v>-1.7939964593382172</v>
      </c>
      <c r="DQ412" s="407">
        <v>0</v>
      </c>
      <c r="DR412" s="407">
        <v>-324.81963840468882</v>
      </c>
      <c r="DS412" s="407"/>
      <c r="DT412" s="407"/>
      <c r="DU412" s="407">
        <v>4514.7130340054682</v>
      </c>
      <c r="DV412" s="407">
        <v>0</v>
      </c>
      <c r="DW412" s="407">
        <v>0</v>
      </c>
      <c r="DX412" s="407">
        <v>0</v>
      </c>
      <c r="DY412" s="407">
        <v>-2391.9277199999979</v>
      </c>
      <c r="DZ412" s="407">
        <v>720.31833999999981</v>
      </c>
      <c r="EA412" s="407">
        <v>0</v>
      </c>
      <c r="EB412" s="407">
        <v>0</v>
      </c>
      <c r="EC412" s="407">
        <v>-2306.1259037479317</v>
      </c>
      <c r="ED412" s="407">
        <v>0</v>
      </c>
      <c r="EE412" s="407">
        <v>0</v>
      </c>
      <c r="EF412" s="407">
        <v>0</v>
      </c>
      <c r="EG412" s="407">
        <v>0</v>
      </c>
      <c r="EH412" s="407">
        <v>0</v>
      </c>
      <c r="EI412" s="407">
        <v>0</v>
      </c>
      <c r="EJ412" s="407">
        <v>0</v>
      </c>
      <c r="EK412" s="407">
        <v>0</v>
      </c>
      <c r="EL412" s="407">
        <v>0</v>
      </c>
      <c r="EM412" s="407">
        <v>0</v>
      </c>
      <c r="EN412" s="407">
        <v>0</v>
      </c>
      <c r="EO412" s="407">
        <v>0</v>
      </c>
      <c r="EP412" s="407">
        <v>669.66146781476129</v>
      </c>
      <c r="EQ412" s="407">
        <v>0</v>
      </c>
      <c r="ER412" s="407">
        <v>0</v>
      </c>
      <c r="ES412" s="407">
        <v>0</v>
      </c>
      <c r="ET412" s="407">
        <v>0</v>
      </c>
      <c r="EU412" s="407">
        <v>0</v>
      </c>
      <c r="EV412" s="407">
        <v>246</v>
      </c>
      <c r="EW412" s="407">
        <v>0</v>
      </c>
      <c r="EX412" s="407">
        <v>0</v>
      </c>
      <c r="EY412" s="407">
        <v>0</v>
      </c>
      <c r="EZ412" s="407"/>
      <c r="FA412" s="407">
        <v>0</v>
      </c>
      <c r="FB412" s="407"/>
      <c r="FC412" s="407"/>
      <c r="FD412" s="407"/>
      <c r="FE412" s="407"/>
      <c r="FF412" s="407">
        <v>0</v>
      </c>
      <c r="FG412" s="407">
        <v>0</v>
      </c>
      <c r="FH412" s="407">
        <v>0</v>
      </c>
      <c r="FI412" s="407">
        <v>0</v>
      </c>
    </row>
    <row r="413" spans="1:165">
      <c r="A413" s="407">
        <v>430</v>
      </c>
      <c r="B413" s="407" t="s">
        <v>1090</v>
      </c>
      <c r="C413" s="407" t="s">
        <v>2317</v>
      </c>
      <c r="D413" s="407" t="s">
        <v>650</v>
      </c>
      <c r="E413" s="407" t="s">
        <v>2316</v>
      </c>
      <c r="F413" s="407" t="s">
        <v>97</v>
      </c>
      <c r="G413" s="407" t="s">
        <v>97</v>
      </c>
      <c r="H413" s="407" t="s">
        <v>97</v>
      </c>
      <c r="I413" s="407" t="s">
        <v>97</v>
      </c>
      <c r="J413" s="407" t="s">
        <v>2307</v>
      </c>
      <c r="K413" s="818">
        <v>44562</v>
      </c>
      <c r="L413" s="407">
        <v>0</v>
      </c>
      <c r="M413" s="407">
        <v>0</v>
      </c>
      <c r="N413" s="407">
        <v>0</v>
      </c>
      <c r="O413" s="407">
        <v>0</v>
      </c>
      <c r="P413" s="407">
        <v>0</v>
      </c>
      <c r="Q413" s="407">
        <v>0</v>
      </c>
      <c r="R413" s="407"/>
      <c r="S413" s="407"/>
      <c r="T413" s="407"/>
      <c r="U413" s="407"/>
      <c r="V413" s="407"/>
      <c r="W413" s="407"/>
      <c r="X413" s="407"/>
      <c r="Y413" s="407"/>
      <c r="Z413" s="407"/>
      <c r="AA413" s="407">
        <v>0</v>
      </c>
      <c r="AB413" s="407"/>
      <c r="AC413" s="407"/>
      <c r="AD413" s="407"/>
      <c r="AE413" s="407"/>
      <c r="AF413" s="407"/>
      <c r="AG413" s="407"/>
      <c r="AH413" s="407"/>
      <c r="AI413" s="407"/>
      <c r="AJ413" s="407"/>
      <c r="AK413" s="407"/>
      <c r="AL413" s="407"/>
      <c r="AM413" s="407"/>
      <c r="AN413" s="407"/>
      <c r="AO413" s="407"/>
      <c r="AP413" s="407"/>
      <c r="AQ413" s="407"/>
      <c r="AR413" s="407"/>
      <c r="AS413" s="407"/>
      <c r="AT413" s="407"/>
      <c r="AU413" s="407"/>
      <c r="AV413" s="407"/>
      <c r="AW413" s="407"/>
      <c r="AX413" s="407"/>
      <c r="AY413" s="407"/>
      <c r="AZ413" s="407">
        <v>0</v>
      </c>
      <c r="BA413" s="407"/>
      <c r="BB413" s="407"/>
      <c r="BC413" s="407"/>
      <c r="BD413" s="407"/>
      <c r="BE413" s="407"/>
      <c r="BF413" s="407"/>
      <c r="BG413" s="407"/>
      <c r="BH413" s="407"/>
      <c r="BI413" s="407">
        <v>23.79</v>
      </c>
      <c r="BJ413" s="407">
        <v>111.09</v>
      </c>
      <c r="BK413" s="407">
        <v>6350.28</v>
      </c>
      <c r="BL413" s="407">
        <v>1</v>
      </c>
      <c r="BM413" s="407"/>
      <c r="BN413" s="407"/>
      <c r="BO413" s="407"/>
      <c r="BP413" s="407"/>
      <c r="BQ413" s="407"/>
      <c r="BR413" s="407"/>
      <c r="BS413" s="407"/>
      <c r="BT413" s="407"/>
      <c r="BU413" s="407"/>
      <c r="BV413" s="407"/>
      <c r="BW413" s="407"/>
      <c r="BX413" s="407"/>
      <c r="BY413" s="407"/>
      <c r="BZ413" s="407"/>
      <c r="CA413" s="407"/>
      <c r="CB413" s="407"/>
      <c r="CC413" s="407"/>
      <c r="CD413" s="407"/>
      <c r="CE413" s="407"/>
      <c r="CF413" s="407"/>
      <c r="CG413" s="407"/>
      <c r="CH413" s="407"/>
      <c r="CI413" s="407"/>
      <c r="CJ413" s="407">
        <v>-0.03</v>
      </c>
      <c r="CK413" s="407"/>
      <c r="CL413" s="407"/>
      <c r="CM413" s="407"/>
      <c r="CN413" s="407"/>
      <c r="CO413" s="407">
        <v>0</v>
      </c>
      <c r="CP413" s="407">
        <v>0</v>
      </c>
      <c r="CQ413" s="407">
        <v>31</v>
      </c>
      <c r="CR413" s="407"/>
      <c r="CS413" s="407"/>
      <c r="CT413" s="407"/>
      <c r="CU413" s="407"/>
      <c r="CV413" s="407"/>
      <c r="CW413" s="407"/>
      <c r="CX413" s="407"/>
      <c r="CY413" s="407"/>
      <c r="CZ413" s="407"/>
      <c r="DA413" s="407"/>
      <c r="DB413" s="407"/>
      <c r="DC413" s="407"/>
      <c r="DD413" s="407"/>
      <c r="DE413" s="407"/>
      <c r="DF413" s="407"/>
      <c r="DG413" s="407"/>
      <c r="DH413" s="407"/>
      <c r="DI413" s="407"/>
      <c r="DJ413" s="407"/>
      <c r="DK413" s="407">
        <v>0</v>
      </c>
      <c r="DL413" s="407"/>
      <c r="DM413" s="407"/>
      <c r="DN413" s="407"/>
      <c r="DO413" s="407"/>
      <c r="DP413" s="407"/>
      <c r="DQ413" s="407"/>
      <c r="DR413" s="407"/>
      <c r="DS413" s="407"/>
      <c r="DT413" s="407"/>
      <c r="DU413" s="407"/>
      <c r="DV413" s="407"/>
      <c r="DW413" s="407"/>
      <c r="DX413" s="407"/>
      <c r="DY413" s="407"/>
      <c r="DZ413" s="407"/>
      <c r="EA413" s="407"/>
      <c r="EB413" s="407"/>
      <c r="EC413" s="407"/>
      <c r="ED413" s="407"/>
      <c r="EE413" s="407"/>
      <c r="EF413" s="407"/>
      <c r="EG413" s="407"/>
      <c r="EH413" s="407"/>
      <c r="EI413" s="407"/>
      <c r="EJ413" s="407"/>
      <c r="EK413" s="407"/>
      <c r="EL413" s="407"/>
      <c r="EM413" s="407"/>
      <c r="EN413" s="407"/>
      <c r="EO413" s="407"/>
      <c r="EP413" s="407"/>
      <c r="EQ413" s="407"/>
      <c r="ER413" s="407"/>
      <c r="ES413" s="407"/>
      <c r="ET413" s="407"/>
      <c r="EU413" s="407"/>
      <c r="EV413" s="407">
        <v>246</v>
      </c>
      <c r="EW413" s="407"/>
      <c r="EX413" s="407"/>
      <c r="EY413" s="407"/>
      <c r="EZ413" s="407"/>
      <c r="FA413" s="407">
        <v>0</v>
      </c>
      <c r="FB413" s="407"/>
      <c r="FC413" s="407"/>
      <c r="FD413" s="407"/>
      <c r="FE413" s="407"/>
      <c r="FF413" s="407">
        <v>0</v>
      </c>
      <c r="FG413" s="407">
        <v>0</v>
      </c>
      <c r="FH413" s="407">
        <v>0</v>
      </c>
      <c r="FI413" s="407">
        <v>0</v>
      </c>
    </row>
    <row r="414" spans="1:165">
      <c r="A414" s="407">
        <v>431</v>
      </c>
      <c r="B414" s="407" t="s">
        <v>1090</v>
      </c>
      <c r="C414" s="407" t="s">
        <v>2314</v>
      </c>
      <c r="D414" s="407" t="s">
        <v>650</v>
      </c>
      <c r="E414" s="407" t="s">
        <v>2316</v>
      </c>
      <c r="F414" s="407" t="s">
        <v>97</v>
      </c>
      <c r="G414" s="407" t="s">
        <v>97</v>
      </c>
      <c r="H414" s="407" t="s">
        <v>97</v>
      </c>
      <c r="I414" s="407" t="s">
        <v>1025</v>
      </c>
      <c r="J414" s="407" t="s">
        <v>2307</v>
      </c>
      <c r="K414" s="818">
        <v>44562</v>
      </c>
      <c r="L414" s="407">
        <v>0</v>
      </c>
      <c r="M414" s="407">
        <v>0</v>
      </c>
      <c r="N414" s="407">
        <v>0.71899999999999997</v>
      </c>
      <c r="O414" s="407">
        <v>0.71899999999999997</v>
      </c>
      <c r="P414" s="407">
        <v>0.71899999999999997</v>
      </c>
      <c r="Q414" s="407">
        <v>0.71899999999999997</v>
      </c>
      <c r="R414" s="407"/>
      <c r="S414" s="407">
        <v>2810.7</v>
      </c>
      <c r="T414" s="407">
        <v>159.41</v>
      </c>
      <c r="U414" s="407"/>
      <c r="V414" s="407">
        <v>2135.5090899999996</v>
      </c>
      <c r="W414" s="407">
        <v>2135.5090899999996</v>
      </c>
      <c r="X414" s="407">
        <v>1360.1251099999999</v>
      </c>
      <c r="Y414" s="407">
        <v>0</v>
      </c>
      <c r="Z414" s="407">
        <v>38.764250876588065</v>
      </c>
      <c r="AA414" s="407">
        <v>0</v>
      </c>
      <c r="AB414" s="407">
        <v>0</v>
      </c>
      <c r="AC414" s="407">
        <v>0</v>
      </c>
      <c r="AD414" s="407">
        <v>438.96071164502507</v>
      </c>
      <c r="AE414" s="407">
        <v>1513.4151220413785</v>
      </c>
      <c r="AF414" s="407">
        <v>110.89188531672536</v>
      </c>
      <c r="AG414" s="407">
        <v>3.7256762642016006</v>
      </c>
      <c r="AH414" s="407">
        <v>0</v>
      </c>
      <c r="AI414" s="407">
        <v>0</v>
      </c>
      <c r="AJ414" s="407">
        <v>0</v>
      </c>
      <c r="AK414" s="407">
        <v>0</v>
      </c>
      <c r="AL414" s="407">
        <v>6.8851837971835916</v>
      </c>
      <c r="AM414" s="407"/>
      <c r="AN414" s="407">
        <v>0.77201430296002993</v>
      </c>
      <c r="AO414" s="407">
        <v>0</v>
      </c>
      <c r="AP414" s="407">
        <v>0</v>
      </c>
      <c r="AQ414" s="407">
        <v>0</v>
      </c>
      <c r="AR414" s="407">
        <v>0</v>
      </c>
      <c r="AS414" s="407">
        <v>0</v>
      </c>
      <c r="AT414" s="407">
        <v>0</v>
      </c>
      <c r="AU414" s="407">
        <v>0</v>
      </c>
      <c r="AV414" s="407">
        <v>0</v>
      </c>
      <c r="AW414" s="407">
        <v>0</v>
      </c>
      <c r="AX414" s="407">
        <v>0</v>
      </c>
      <c r="AY414" s="407">
        <v>0</v>
      </c>
      <c r="AZ414" s="407">
        <v>0</v>
      </c>
      <c r="BA414" s="407"/>
      <c r="BB414" s="407">
        <v>0</v>
      </c>
      <c r="BC414" s="407">
        <v>0</v>
      </c>
      <c r="BD414" s="407">
        <v>0</v>
      </c>
      <c r="BE414" s="407">
        <v>0</v>
      </c>
      <c r="BF414" s="407">
        <v>0</v>
      </c>
      <c r="BG414" s="407">
        <v>3.7315196640777377</v>
      </c>
      <c r="BH414" s="407">
        <v>0</v>
      </c>
      <c r="BI414" s="407">
        <v>0</v>
      </c>
      <c r="BJ414" s="407">
        <v>0</v>
      </c>
      <c r="BK414" s="407">
        <v>0</v>
      </c>
      <c r="BL414" s="407">
        <v>0</v>
      </c>
      <c r="BM414" s="407"/>
      <c r="BN414" s="407"/>
      <c r="BO414" s="407"/>
      <c r="BP414" s="407"/>
      <c r="BQ414" s="407"/>
      <c r="BR414" s="407"/>
      <c r="BS414" s="407"/>
      <c r="BT414" s="407"/>
      <c r="BU414" s="407"/>
      <c r="BV414" s="407">
        <v>114.6234049808031</v>
      </c>
      <c r="BW414" s="407"/>
      <c r="BX414" s="407"/>
      <c r="BY414" s="407"/>
      <c r="BZ414" s="407"/>
      <c r="CA414" s="407"/>
      <c r="CB414" s="407"/>
      <c r="CC414" s="407"/>
      <c r="CD414" s="407"/>
      <c r="CE414" s="407"/>
      <c r="CF414" s="407"/>
      <c r="CG414" s="407"/>
      <c r="CH414" s="407"/>
      <c r="CI414" s="407">
        <v>1362.0167999999999</v>
      </c>
      <c r="CJ414" s="407">
        <v>-773.52228999999988</v>
      </c>
      <c r="CK414" s="407"/>
      <c r="CL414" s="407"/>
      <c r="CM414" s="407"/>
      <c r="CN414" s="407"/>
      <c r="CO414" s="407">
        <v>-795.13490999999988</v>
      </c>
      <c r="CP414" s="407">
        <v>19.750929999999997</v>
      </c>
      <c r="CQ414" s="407">
        <v>31</v>
      </c>
      <c r="CR414" s="407">
        <v>-2.3242372393625601</v>
      </c>
      <c r="CS414" s="407">
        <v>0</v>
      </c>
      <c r="CT414" s="407">
        <v>0</v>
      </c>
      <c r="CU414" s="407">
        <v>0</v>
      </c>
      <c r="CV414" s="407">
        <v>0</v>
      </c>
      <c r="CW414" s="407">
        <v>0</v>
      </c>
      <c r="CX414" s="407">
        <v>0</v>
      </c>
      <c r="CY414" s="407">
        <v>0</v>
      </c>
      <c r="CZ414" s="407">
        <v>19.828725720709372</v>
      </c>
      <c r="DA414" s="407">
        <v>0</v>
      </c>
      <c r="DB414" s="407">
        <v>0</v>
      </c>
      <c r="DC414" s="407">
        <v>21.986866240221474</v>
      </c>
      <c r="DD414" s="407">
        <v>0</v>
      </c>
      <c r="DE414" s="407">
        <v>0</v>
      </c>
      <c r="DF414" s="407">
        <v>0</v>
      </c>
      <c r="DG414" s="407">
        <v>0.73985958027948806</v>
      </c>
      <c r="DH414" s="407">
        <v>0</v>
      </c>
      <c r="DI414" s="407">
        <v>-2.7151246034409908</v>
      </c>
      <c r="DJ414" s="407"/>
      <c r="DK414" s="407">
        <v>0</v>
      </c>
      <c r="DL414" s="407">
        <v>0</v>
      </c>
      <c r="DM414" s="407">
        <v>0</v>
      </c>
      <c r="DN414" s="407">
        <v>0</v>
      </c>
      <c r="DO414" s="407">
        <v>-0.4200745437805784</v>
      </c>
      <c r="DP414" s="407">
        <v>-4.9190887585393139E-2</v>
      </c>
      <c r="DQ414" s="407">
        <v>0</v>
      </c>
      <c r="DR414" s="407">
        <v>-41.69529874576601</v>
      </c>
      <c r="DS414" s="407"/>
      <c r="DT414" s="407"/>
      <c r="DU414" s="407"/>
      <c r="DV414" s="407">
        <v>1513.4151220413785</v>
      </c>
      <c r="DW414" s="407">
        <v>0</v>
      </c>
      <c r="DX414" s="407">
        <v>0</v>
      </c>
      <c r="DY414" s="407">
        <v>-795.13490999999976</v>
      </c>
      <c r="DZ414" s="407">
        <v>19.750929999999997</v>
      </c>
      <c r="EA414" s="407">
        <v>0</v>
      </c>
      <c r="EB414" s="407">
        <v>0</v>
      </c>
      <c r="EC414" s="407">
        <v>-773.05595943204048</v>
      </c>
      <c r="ED414" s="407">
        <v>0</v>
      </c>
      <c r="EE414" s="407">
        <v>0</v>
      </c>
      <c r="EF414" s="407">
        <v>0</v>
      </c>
      <c r="EG414" s="407">
        <v>0</v>
      </c>
      <c r="EH414" s="407">
        <v>0</v>
      </c>
      <c r="EI414" s="407">
        <v>0</v>
      </c>
      <c r="EJ414" s="407">
        <v>0</v>
      </c>
      <c r="EK414" s="407">
        <v>0</v>
      </c>
      <c r="EL414" s="407">
        <v>0</v>
      </c>
      <c r="EM414" s="407">
        <v>0</v>
      </c>
      <c r="EN414" s="407">
        <v>0</v>
      </c>
      <c r="EO414" s="407">
        <v>0</v>
      </c>
      <c r="EP414" s="407">
        <v>18.361932551247552</v>
      </c>
      <c r="EQ414" s="407">
        <v>0</v>
      </c>
      <c r="ER414" s="407">
        <v>0</v>
      </c>
      <c r="ES414" s="407">
        <v>0</v>
      </c>
      <c r="ET414" s="407">
        <v>0</v>
      </c>
      <c r="EU414" s="407">
        <v>0</v>
      </c>
      <c r="EV414" s="407">
        <v>246</v>
      </c>
      <c r="EW414" s="407">
        <v>0</v>
      </c>
      <c r="EX414" s="407">
        <v>0</v>
      </c>
      <c r="EY414" s="407">
        <v>0</v>
      </c>
      <c r="EZ414" s="407"/>
      <c r="FA414" s="407">
        <v>0</v>
      </c>
      <c r="FB414" s="407"/>
      <c r="FC414" s="407"/>
      <c r="FD414" s="407"/>
      <c r="FE414" s="407"/>
      <c r="FF414" s="407">
        <v>0</v>
      </c>
      <c r="FG414" s="407">
        <v>0</v>
      </c>
      <c r="FH414" s="407">
        <v>0</v>
      </c>
      <c r="FI414" s="407">
        <v>0</v>
      </c>
    </row>
    <row r="415" spans="1:165">
      <c r="A415" s="407">
        <v>432</v>
      </c>
      <c r="B415" s="407" t="s">
        <v>1090</v>
      </c>
      <c r="C415" s="407" t="s">
        <v>2314</v>
      </c>
      <c r="D415" s="407" t="s">
        <v>650</v>
      </c>
      <c r="E415" s="407" t="s">
        <v>2316</v>
      </c>
      <c r="F415" s="407" t="s">
        <v>97</v>
      </c>
      <c r="G415" s="407" t="s">
        <v>97</v>
      </c>
      <c r="H415" s="407" t="s">
        <v>97</v>
      </c>
      <c r="I415" s="407" t="s">
        <v>2290</v>
      </c>
      <c r="J415" s="407" t="s">
        <v>2307</v>
      </c>
      <c r="K415" s="818">
        <v>44562</v>
      </c>
      <c r="L415" s="407">
        <v>0</v>
      </c>
      <c r="M415" s="407">
        <v>0</v>
      </c>
      <c r="N415" s="407">
        <v>7.6420000000000003</v>
      </c>
      <c r="O415" s="407">
        <v>7.6420000000000003</v>
      </c>
      <c r="P415" s="407">
        <v>7.6420000000000003</v>
      </c>
      <c r="Q415" s="407">
        <v>7.6420000000000003</v>
      </c>
      <c r="R415" s="407"/>
      <c r="S415" s="407">
        <v>95.29</v>
      </c>
      <c r="T415" s="407">
        <v>159.41</v>
      </c>
      <c r="U415" s="407"/>
      <c r="V415" s="407">
        <v>1946.4174000000003</v>
      </c>
      <c r="W415" s="407">
        <v>1946.4174000000003</v>
      </c>
      <c r="X415" s="407">
        <v>2116.1462200000001</v>
      </c>
      <c r="Y415" s="407">
        <v>0</v>
      </c>
      <c r="Z415" s="407">
        <v>412.01169012362453</v>
      </c>
      <c r="AA415" s="407">
        <v>0</v>
      </c>
      <c r="AB415" s="407">
        <v>0</v>
      </c>
      <c r="AC415" s="407">
        <v>0</v>
      </c>
      <c r="AD415" s="407">
        <v>0</v>
      </c>
      <c r="AE415" s="407">
        <v>0</v>
      </c>
      <c r="AF415" s="407">
        <v>1178.6311371215791</v>
      </c>
      <c r="AG415" s="407">
        <v>39.598912393642053</v>
      </c>
      <c r="AH415" s="407">
        <v>0</v>
      </c>
      <c r="AI415" s="407">
        <v>0</v>
      </c>
      <c r="AJ415" s="407">
        <v>0</v>
      </c>
      <c r="AK415" s="407">
        <v>0</v>
      </c>
      <c r="AL415" s="407">
        <v>73.180214990371368</v>
      </c>
      <c r="AM415" s="407"/>
      <c r="AN415" s="407">
        <v>8.2054705190828212</v>
      </c>
      <c r="AO415" s="407">
        <v>0</v>
      </c>
      <c r="AP415" s="407">
        <v>0</v>
      </c>
      <c r="AQ415" s="407">
        <v>0</v>
      </c>
      <c r="AR415" s="407">
        <v>0</v>
      </c>
      <c r="AS415" s="407">
        <v>0</v>
      </c>
      <c r="AT415" s="407">
        <v>0</v>
      </c>
      <c r="AU415" s="407">
        <v>0</v>
      </c>
      <c r="AV415" s="407">
        <v>0</v>
      </c>
      <c r="AW415" s="407">
        <v>0</v>
      </c>
      <c r="AX415" s="407">
        <v>0</v>
      </c>
      <c r="AY415" s="407">
        <v>0</v>
      </c>
      <c r="AZ415" s="407">
        <v>0</v>
      </c>
      <c r="BA415" s="407"/>
      <c r="BB415" s="407">
        <v>0</v>
      </c>
      <c r="BC415" s="407">
        <v>0</v>
      </c>
      <c r="BD415" s="407">
        <v>0</v>
      </c>
      <c r="BE415" s="407">
        <v>0</v>
      </c>
      <c r="BF415" s="407">
        <v>0</v>
      </c>
      <c r="BG415" s="407">
        <v>39.661019851018189</v>
      </c>
      <c r="BH415" s="407">
        <v>0</v>
      </c>
      <c r="BI415" s="407">
        <v>0</v>
      </c>
      <c r="BJ415" s="407">
        <v>0</v>
      </c>
      <c r="BK415" s="407">
        <v>0</v>
      </c>
      <c r="BL415" s="407">
        <v>0</v>
      </c>
      <c r="BM415" s="407"/>
      <c r="BN415" s="407"/>
      <c r="BO415" s="407"/>
      <c r="BP415" s="407"/>
      <c r="BQ415" s="407"/>
      <c r="BR415" s="407"/>
      <c r="BS415" s="407"/>
      <c r="BT415" s="407"/>
      <c r="BU415" s="407"/>
      <c r="BV415" s="407">
        <v>1218.2921569725972</v>
      </c>
      <c r="BW415" s="407"/>
      <c r="BX415" s="407"/>
      <c r="BY415" s="407"/>
      <c r="BZ415" s="407"/>
      <c r="CA415" s="407"/>
      <c r="CB415" s="407"/>
      <c r="CC415" s="407"/>
      <c r="CD415" s="407"/>
      <c r="CE415" s="407"/>
      <c r="CF415" s="407"/>
      <c r="CG415" s="407"/>
      <c r="CH415" s="407"/>
      <c r="CI415" s="407">
        <v>2115.5924</v>
      </c>
      <c r="CJ415" s="407">
        <v>169.14499999999975</v>
      </c>
      <c r="CK415" s="407"/>
      <c r="CL415" s="407"/>
      <c r="CM415" s="407"/>
      <c r="CN415" s="407"/>
      <c r="CO415" s="407">
        <v>-40.196920000000041</v>
      </c>
      <c r="CP415" s="407">
        <v>209.92573999999999</v>
      </c>
      <c r="CQ415" s="407">
        <v>31</v>
      </c>
      <c r="CR415" s="407">
        <v>169.70466523963546</v>
      </c>
      <c r="CS415" s="407">
        <v>0</v>
      </c>
      <c r="CT415" s="407">
        <v>0</v>
      </c>
      <c r="CU415" s="407">
        <v>0</v>
      </c>
      <c r="CV415" s="407">
        <v>0</v>
      </c>
      <c r="CW415" s="407">
        <v>0</v>
      </c>
      <c r="CX415" s="407">
        <v>0</v>
      </c>
      <c r="CY415" s="407">
        <v>0</v>
      </c>
      <c r="CZ415" s="407">
        <v>0</v>
      </c>
      <c r="DA415" s="407">
        <v>0</v>
      </c>
      <c r="DB415" s="407">
        <v>0</v>
      </c>
      <c r="DC415" s="407">
        <v>233.69072574099073</v>
      </c>
      <c r="DD415" s="407">
        <v>0</v>
      </c>
      <c r="DE415" s="407">
        <v>0</v>
      </c>
      <c r="DF415" s="407">
        <v>0</v>
      </c>
      <c r="DG415" s="407">
        <v>7.8637091967953339</v>
      </c>
      <c r="DH415" s="407">
        <v>0</v>
      </c>
      <c r="DI415" s="407">
        <v>-28.858111570926383</v>
      </c>
      <c r="DJ415" s="407"/>
      <c r="DK415" s="407">
        <v>0</v>
      </c>
      <c r="DL415" s="407">
        <v>0</v>
      </c>
      <c r="DM415" s="407">
        <v>0</v>
      </c>
      <c r="DN415" s="407">
        <v>0</v>
      </c>
      <c r="DO415" s="407">
        <v>-4.4648256795148598</v>
      </c>
      <c r="DP415" s="407">
        <v>-0.52283277180469234</v>
      </c>
      <c r="DQ415" s="407">
        <v>0</v>
      </c>
      <c r="DR415" s="407">
        <v>-38.003999675904552</v>
      </c>
      <c r="DS415" s="407"/>
      <c r="DT415" s="407"/>
      <c r="DU415" s="407"/>
      <c r="DV415" s="407">
        <v>0</v>
      </c>
      <c r="DW415" s="407">
        <v>0</v>
      </c>
      <c r="DX415" s="407">
        <v>0</v>
      </c>
      <c r="DY415" s="407">
        <v>-40.196920000000091</v>
      </c>
      <c r="DZ415" s="407">
        <v>209.92573999999991</v>
      </c>
      <c r="EA415" s="407">
        <v>0</v>
      </c>
      <c r="EB415" s="407">
        <v>0</v>
      </c>
      <c r="EC415" s="407">
        <v>0</v>
      </c>
      <c r="ED415" s="407">
        <v>0</v>
      </c>
      <c r="EE415" s="407">
        <v>0</v>
      </c>
      <c r="EF415" s="407">
        <v>0</v>
      </c>
      <c r="EG415" s="407">
        <v>0</v>
      </c>
      <c r="EH415" s="407">
        <v>0</v>
      </c>
      <c r="EI415" s="407">
        <v>0</v>
      </c>
      <c r="EJ415" s="407">
        <v>0</v>
      </c>
      <c r="EK415" s="407">
        <v>0</v>
      </c>
      <c r="EL415" s="407">
        <v>0</v>
      </c>
      <c r="EM415" s="407">
        <v>0</v>
      </c>
      <c r="EN415" s="407">
        <v>0</v>
      </c>
      <c r="EO415" s="407">
        <v>0</v>
      </c>
      <c r="EP415" s="407">
        <v>195.16257101061726</v>
      </c>
      <c r="EQ415" s="407">
        <v>0</v>
      </c>
      <c r="ER415" s="407">
        <v>0</v>
      </c>
      <c r="ES415" s="407">
        <v>0</v>
      </c>
      <c r="ET415" s="407">
        <v>0</v>
      </c>
      <c r="EU415" s="407">
        <v>0</v>
      </c>
      <c r="EV415" s="407">
        <v>246</v>
      </c>
      <c r="EW415" s="407">
        <v>0</v>
      </c>
      <c r="EX415" s="407">
        <v>0</v>
      </c>
      <c r="EY415" s="407">
        <v>0</v>
      </c>
      <c r="EZ415" s="407"/>
      <c r="FA415" s="407">
        <v>0</v>
      </c>
      <c r="FB415" s="407"/>
      <c r="FC415" s="407"/>
      <c r="FD415" s="407"/>
      <c r="FE415" s="407"/>
      <c r="FF415" s="407">
        <v>0</v>
      </c>
      <c r="FG415" s="407">
        <v>0</v>
      </c>
      <c r="FH415" s="407">
        <v>0</v>
      </c>
      <c r="FI415" s="407">
        <v>0</v>
      </c>
    </row>
    <row r="416" spans="1:165">
      <c r="A416" s="407">
        <v>433</v>
      </c>
      <c r="B416" s="407" t="s">
        <v>1090</v>
      </c>
      <c r="C416" s="407" t="s">
        <v>2314</v>
      </c>
      <c r="D416" s="407" t="s">
        <v>650</v>
      </c>
      <c r="E416" s="407" t="s">
        <v>2316</v>
      </c>
      <c r="F416" s="407" t="s">
        <v>97</v>
      </c>
      <c r="G416" s="407" t="s">
        <v>97</v>
      </c>
      <c r="H416" s="407" t="s">
        <v>97</v>
      </c>
      <c r="I416" s="407" t="s">
        <v>97</v>
      </c>
      <c r="J416" s="407" t="s">
        <v>2307</v>
      </c>
      <c r="K416" s="818">
        <v>44562</v>
      </c>
      <c r="L416" s="407">
        <v>62</v>
      </c>
      <c r="M416" s="407">
        <v>62</v>
      </c>
      <c r="N416" s="407">
        <v>0</v>
      </c>
      <c r="O416" s="407">
        <v>0</v>
      </c>
      <c r="P416" s="407">
        <v>0</v>
      </c>
      <c r="Q416" s="407">
        <v>0</v>
      </c>
      <c r="R416" s="407">
        <v>43.29</v>
      </c>
      <c r="S416" s="407"/>
      <c r="T416" s="407"/>
      <c r="U416" s="407">
        <v>2683.98</v>
      </c>
      <c r="V416" s="407"/>
      <c r="W416" s="407">
        <v>2683.98</v>
      </c>
      <c r="X416" s="407">
        <v>2076.38</v>
      </c>
      <c r="Y416" s="407">
        <v>0</v>
      </c>
      <c r="Z416" s="407">
        <v>0</v>
      </c>
      <c r="AA416" s="407">
        <v>0</v>
      </c>
      <c r="AB416" s="407">
        <v>0</v>
      </c>
      <c r="AC416" s="407">
        <v>0</v>
      </c>
      <c r="AD416" s="407">
        <v>1467.1672038231561</v>
      </c>
      <c r="AE416" s="407">
        <v>1217.0096004710392</v>
      </c>
      <c r="AF416" s="407"/>
      <c r="AG416" s="407"/>
      <c r="AH416" s="407"/>
      <c r="AI416" s="407">
        <v>0</v>
      </c>
      <c r="AJ416" s="407">
        <v>0</v>
      </c>
      <c r="AK416" s="407">
        <v>0</v>
      </c>
      <c r="AL416" s="407">
        <v>0</v>
      </c>
      <c r="AM416" s="407"/>
      <c r="AN416" s="407">
        <v>0</v>
      </c>
      <c r="AO416" s="407">
        <v>0</v>
      </c>
      <c r="AP416" s="407">
        <v>0</v>
      </c>
      <c r="AQ416" s="407">
        <v>0</v>
      </c>
      <c r="AR416" s="407">
        <v>0</v>
      </c>
      <c r="AS416" s="407"/>
      <c r="AT416" s="407"/>
      <c r="AU416" s="407">
        <v>0</v>
      </c>
      <c r="AV416" s="407">
        <v>0</v>
      </c>
      <c r="AW416" s="407">
        <v>0</v>
      </c>
      <c r="AX416" s="407"/>
      <c r="AY416" s="407"/>
      <c r="AZ416" s="407">
        <v>0</v>
      </c>
      <c r="BA416" s="407"/>
      <c r="BB416" s="407">
        <v>0</v>
      </c>
      <c r="BC416" s="407">
        <v>0</v>
      </c>
      <c r="BD416" s="407">
        <v>0</v>
      </c>
      <c r="BE416" s="407">
        <v>0</v>
      </c>
      <c r="BF416" s="407"/>
      <c r="BG416" s="407">
        <v>0</v>
      </c>
      <c r="BH416" s="407">
        <v>0</v>
      </c>
      <c r="BI416" s="407">
        <v>4.74</v>
      </c>
      <c r="BJ416" s="407">
        <v>22.14</v>
      </c>
      <c r="BK416" s="407">
        <v>0</v>
      </c>
      <c r="BL416" s="407">
        <v>1</v>
      </c>
      <c r="BM416" s="407"/>
      <c r="BN416" s="407"/>
      <c r="BO416" s="407"/>
      <c r="BP416" s="407"/>
      <c r="BQ416" s="407"/>
      <c r="BR416" s="407"/>
      <c r="BS416" s="407"/>
      <c r="BT416" s="407"/>
      <c r="BU416" s="407"/>
      <c r="BV416" s="407">
        <v>0</v>
      </c>
      <c r="BW416" s="407"/>
      <c r="BX416" s="407"/>
      <c r="BY416" s="407"/>
      <c r="BZ416" s="407"/>
      <c r="CA416" s="407"/>
      <c r="CB416" s="407"/>
      <c r="CC416" s="407"/>
      <c r="CD416" s="407"/>
      <c r="CE416" s="407"/>
      <c r="CF416" s="407"/>
      <c r="CG416" s="407"/>
      <c r="CH416" s="407"/>
      <c r="CI416" s="407">
        <v>2076.38</v>
      </c>
      <c r="CJ416" s="407">
        <v>-607.63000000000056</v>
      </c>
      <c r="CK416" s="407"/>
      <c r="CL416" s="407"/>
      <c r="CM416" s="407"/>
      <c r="CN416" s="407"/>
      <c r="CO416" s="407">
        <v>-607.5999999999998</v>
      </c>
      <c r="CP416" s="407">
        <v>0</v>
      </c>
      <c r="CQ416" s="407">
        <v>31</v>
      </c>
      <c r="CR416" s="407">
        <v>13.866929003308996</v>
      </c>
      <c r="CS416" s="407">
        <v>0</v>
      </c>
      <c r="CT416" s="407">
        <v>0</v>
      </c>
      <c r="CU416" s="407">
        <v>0</v>
      </c>
      <c r="CV416" s="407">
        <v>0</v>
      </c>
      <c r="CW416" s="407"/>
      <c r="CX416" s="407"/>
      <c r="CY416" s="407"/>
      <c r="CZ416" s="407">
        <v>66.274851710543544</v>
      </c>
      <c r="DA416" s="407">
        <v>0</v>
      </c>
      <c r="DB416" s="407">
        <v>0</v>
      </c>
      <c r="DC416" s="407"/>
      <c r="DD416" s="407"/>
      <c r="DE416" s="407">
        <v>0</v>
      </c>
      <c r="DF416" s="407">
        <v>0</v>
      </c>
      <c r="DG416" s="407">
        <v>0</v>
      </c>
      <c r="DH416" s="407">
        <v>0</v>
      </c>
      <c r="DI416" s="407">
        <v>0</v>
      </c>
      <c r="DJ416" s="407"/>
      <c r="DK416" s="407">
        <v>0</v>
      </c>
      <c r="DL416" s="407">
        <v>0</v>
      </c>
      <c r="DM416" s="407"/>
      <c r="DN416" s="407">
        <v>0</v>
      </c>
      <c r="DO416" s="407">
        <v>0</v>
      </c>
      <c r="DP416" s="407">
        <v>0</v>
      </c>
      <c r="DQ416" s="407">
        <v>0</v>
      </c>
      <c r="DR416" s="407">
        <v>-52.407922707234555</v>
      </c>
      <c r="DS416" s="407"/>
      <c r="DT416" s="407"/>
      <c r="DU416" s="407">
        <v>1217.0096004710392</v>
      </c>
      <c r="DV416" s="407"/>
      <c r="DW416" s="407">
        <v>0</v>
      </c>
      <c r="DX416" s="407">
        <v>0</v>
      </c>
      <c r="DY416" s="407">
        <v>-607.59999999999991</v>
      </c>
      <c r="DZ416" s="407"/>
      <c r="EA416" s="407">
        <v>0</v>
      </c>
      <c r="EB416" s="407"/>
      <c r="EC416" s="407">
        <v>-621.6513305755293</v>
      </c>
      <c r="ED416" s="407"/>
      <c r="EE416" s="407">
        <v>0</v>
      </c>
      <c r="EF416" s="407">
        <v>0</v>
      </c>
      <c r="EG416" s="407"/>
      <c r="EH416" s="407">
        <v>0</v>
      </c>
      <c r="EI416" s="407">
        <v>0</v>
      </c>
      <c r="EJ416" s="407">
        <v>0</v>
      </c>
      <c r="EK416" s="407">
        <v>0</v>
      </c>
      <c r="EL416" s="407">
        <v>0</v>
      </c>
      <c r="EM416" s="407"/>
      <c r="EN416" s="407"/>
      <c r="EO416" s="407">
        <v>0</v>
      </c>
      <c r="EP416" s="407">
        <v>0</v>
      </c>
      <c r="EQ416" s="407"/>
      <c r="ER416" s="407">
        <v>0</v>
      </c>
      <c r="ES416" s="407"/>
      <c r="ET416" s="407">
        <v>0</v>
      </c>
      <c r="EU416" s="407"/>
      <c r="EV416" s="407">
        <v>246</v>
      </c>
      <c r="EW416" s="407"/>
      <c r="EX416" s="407"/>
      <c r="EY416" s="407"/>
      <c r="EZ416" s="407"/>
      <c r="FA416" s="407">
        <v>0</v>
      </c>
      <c r="FB416" s="407"/>
      <c r="FC416" s="407"/>
      <c r="FD416" s="407"/>
      <c r="FE416" s="407"/>
      <c r="FF416" s="407">
        <v>0</v>
      </c>
      <c r="FG416" s="407">
        <v>0</v>
      </c>
      <c r="FH416" s="407">
        <v>0</v>
      </c>
      <c r="FI416" s="407">
        <v>0</v>
      </c>
    </row>
    <row r="417" spans="1:165">
      <c r="A417" s="407">
        <v>434</v>
      </c>
      <c r="B417" s="407" t="s">
        <v>1090</v>
      </c>
      <c r="C417" s="407" t="s">
        <v>2306</v>
      </c>
      <c r="D417" s="407" t="s">
        <v>2318</v>
      </c>
      <c r="E417" s="407" t="s">
        <v>2319</v>
      </c>
      <c r="F417" s="407" t="s">
        <v>2320</v>
      </c>
      <c r="G417" s="407" t="s">
        <v>97</v>
      </c>
      <c r="H417" s="407" t="s">
        <v>97</v>
      </c>
      <c r="I417" s="407" t="s">
        <v>97</v>
      </c>
      <c r="J417" s="407" t="s">
        <v>2307</v>
      </c>
      <c r="K417" s="818">
        <v>44562</v>
      </c>
      <c r="L417" s="407">
        <v>0</v>
      </c>
      <c r="M417" s="407">
        <v>0</v>
      </c>
      <c r="N417" s="407">
        <v>533.13099999999997</v>
      </c>
      <c r="O417" s="407">
        <v>533.13099999999997</v>
      </c>
      <c r="P417" s="407">
        <v>533.13099999999997</v>
      </c>
      <c r="Q417" s="407">
        <v>533.13099999999997</v>
      </c>
      <c r="R417" s="407"/>
      <c r="S417" s="407">
        <v>356.64</v>
      </c>
      <c r="T417" s="407">
        <v>87.68</v>
      </c>
      <c r="U417" s="407"/>
      <c r="V417" s="407">
        <v>236880.76591999998</v>
      </c>
      <c r="W417" s="407">
        <v>236880.76591999998</v>
      </c>
      <c r="X417" s="407">
        <v>179398.5815</v>
      </c>
      <c r="Y417" s="407">
        <v>0</v>
      </c>
      <c r="Z417" s="407">
        <v>18171.043928744362</v>
      </c>
      <c r="AA417" s="407">
        <v>0</v>
      </c>
      <c r="AB417" s="407">
        <v>0</v>
      </c>
      <c r="AC417" s="407">
        <v>0</v>
      </c>
      <c r="AD417" s="407">
        <v>34202.717774931691</v>
      </c>
      <c r="AE417" s="407">
        <v>122433.69138786764</v>
      </c>
      <c r="AF417" s="407">
        <v>45223.846927587001</v>
      </c>
      <c r="AG417" s="407">
        <v>1519.4025477406603</v>
      </c>
      <c r="AH417" s="407">
        <v>0</v>
      </c>
      <c r="AI417" s="407">
        <v>0</v>
      </c>
      <c r="AJ417" s="407">
        <v>0</v>
      </c>
      <c r="AK417" s="407">
        <v>0</v>
      </c>
      <c r="AL417" s="407">
        <v>2807.9105808580757</v>
      </c>
      <c r="AM417" s="407"/>
      <c r="AN417" s="407">
        <v>608.46379764712879</v>
      </c>
      <c r="AO417" s="407">
        <v>0</v>
      </c>
      <c r="AP417" s="407">
        <v>0</v>
      </c>
      <c r="AQ417" s="407">
        <v>0</v>
      </c>
      <c r="AR417" s="407">
        <v>0</v>
      </c>
      <c r="AS417" s="407">
        <v>0</v>
      </c>
      <c r="AT417" s="407">
        <v>0</v>
      </c>
      <c r="AU417" s="407">
        <v>0</v>
      </c>
      <c r="AV417" s="407">
        <v>0</v>
      </c>
      <c r="AW417" s="407">
        <v>0</v>
      </c>
      <c r="AX417" s="407">
        <v>0</v>
      </c>
      <c r="AY417" s="407">
        <v>0</v>
      </c>
      <c r="AZ417" s="407">
        <v>0</v>
      </c>
      <c r="BA417" s="407"/>
      <c r="BB417" s="407">
        <v>0</v>
      </c>
      <c r="BC417" s="407">
        <v>0</v>
      </c>
      <c r="BD417" s="407">
        <v>0</v>
      </c>
      <c r="BE417" s="407">
        <v>0</v>
      </c>
      <c r="BF417" s="407">
        <v>0</v>
      </c>
      <c r="BG417" s="407">
        <v>3305.7187999447979</v>
      </c>
      <c r="BH417" s="407">
        <v>0</v>
      </c>
      <c r="BI417" s="407">
        <v>191.86</v>
      </c>
      <c r="BJ417" s="407">
        <v>896.64</v>
      </c>
      <c r="BK417" s="407">
        <v>64047.55</v>
      </c>
      <c r="BL417" s="407">
        <v>62</v>
      </c>
      <c r="BM417" s="407"/>
      <c r="BN417" s="407"/>
      <c r="BO417" s="407"/>
      <c r="BP417" s="407"/>
      <c r="BQ417" s="407"/>
      <c r="BR417" s="407"/>
      <c r="BS417" s="407"/>
      <c r="BT417" s="407"/>
      <c r="BU417" s="407"/>
      <c r="BV417" s="407">
        <v>48529.565727531801</v>
      </c>
      <c r="BW417" s="407"/>
      <c r="BX417" s="407"/>
      <c r="BY417" s="407"/>
      <c r="BZ417" s="407"/>
      <c r="CA417" s="407"/>
      <c r="CB417" s="407"/>
      <c r="CC417" s="407"/>
      <c r="CD417" s="407"/>
      <c r="CE417" s="407"/>
      <c r="CF417" s="407"/>
      <c r="CG417" s="407"/>
      <c r="CH417" s="407"/>
      <c r="CI417" s="407">
        <v>179398.245</v>
      </c>
      <c r="CJ417" s="407">
        <v>-57482.550920000009</v>
      </c>
      <c r="CK417" s="407"/>
      <c r="CL417" s="407"/>
      <c r="CM417" s="407"/>
      <c r="CN417" s="407"/>
      <c r="CO417" s="407">
        <v>-65532.462519999986</v>
      </c>
      <c r="CP417" s="407">
        <v>8050.2780999999968</v>
      </c>
      <c r="CQ417" s="407">
        <v>31</v>
      </c>
      <c r="CR417" s="407">
        <v>5059.2585332882591</v>
      </c>
      <c r="CS417" s="407">
        <v>0</v>
      </c>
      <c r="CT417" s="407">
        <v>0</v>
      </c>
      <c r="CU417" s="407">
        <v>0</v>
      </c>
      <c r="CV417" s="407">
        <v>0</v>
      </c>
      <c r="CW417" s="407">
        <v>0</v>
      </c>
      <c r="CX417" s="407">
        <v>0</v>
      </c>
      <c r="CY417" s="407">
        <v>0</v>
      </c>
      <c r="CZ417" s="407">
        <v>1545.0045793856989</v>
      </c>
      <c r="DA417" s="407">
        <v>0</v>
      </c>
      <c r="DB417" s="407">
        <v>0</v>
      </c>
      <c r="DC417" s="407">
        <v>8966.6675828004372</v>
      </c>
      <c r="DD417" s="407">
        <v>0</v>
      </c>
      <c r="DE417" s="407">
        <v>0</v>
      </c>
      <c r="DF417" s="407">
        <v>0</v>
      </c>
      <c r="DG417" s="407">
        <v>655.434767607916</v>
      </c>
      <c r="DH417" s="407">
        <v>0</v>
      </c>
      <c r="DI417" s="407">
        <v>-1272.7357636347042</v>
      </c>
      <c r="DJ417" s="407"/>
      <c r="DK417" s="407">
        <v>0</v>
      </c>
      <c r="DL417" s="407">
        <v>0</v>
      </c>
      <c r="DM417" s="407">
        <v>0</v>
      </c>
      <c r="DN417" s="407">
        <v>0</v>
      </c>
      <c r="DO417" s="407">
        <v>-171.314490792985</v>
      </c>
      <c r="DP417" s="407">
        <v>-38.769844230976901</v>
      </c>
      <c r="DQ417" s="407">
        <v>0</v>
      </c>
      <c r="DR417" s="407">
        <v>-4625.0282978471332</v>
      </c>
      <c r="DS417" s="407"/>
      <c r="DT417" s="407"/>
      <c r="DU417" s="407"/>
      <c r="DV417" s="407">
        <v>122433.69138786764</v>
      </c>
      <c r="DW417" s="407">
        <v>0</v>
      </c>
      <c r="DX417" s="407">
        <v>0</v>
      </c>
      <c r="DY417" s="407">
        <v>-65532.462519999972</v>
      </c>
      <c r="DZ417" s="407">
        <v>8050.2780999999959</v>
      </c>
      <c r="EA417" s="407">
        <v>0</v>
      </c>
      <c r="EB417" s="407">
        <v>0</v>
      </c>
      <c r="EC417" s="407">
        <v>-62539.413928273461</v>
      </c>
      <c r="ED417" s="407">
        <v>0</v>
      </c>
      <c r="EE417" s="407">
        <v>0</v>
      </c>
      <c r="EF417" s="407">
        <v>0</v>
      </c>
      <c r="EG417" s="407">
        <v>0</v>
      </c>
      <c r="EH417" s="407">
        <v>0</v>
      </c>
      <c r="EI417" s="407">
        <v>0</v>
      </c>
      <c r="EJ417" s="407">
        <v>0</v>
      </c>
      <c r="EK417" s="407">
        <v>0</v>
      </c>
      <c r="EL417" s="407">
        <v>0</v>
      </c>
      <c r="EM417" s="407">
        <v>0</v>
      </c>
      <c r="EN417" s="407">
        <v>0</v>
      </c>
      <c r="EO417" s="407">
        <v>0</v>
      </c>
      <c r="EP417" s="407">
        <v>8607.2986181934084</v>
      </c>
      <c r="EQ417" s="407">
        <v>0</v>
      </c>
      <c r="ER417" s="407">
        <v>0</v>
      </c>
      <c r="ES417" s="407">
        <v>0</v>
      </c>
      <c r="ET417" s="407">
        <v>0</v>
      </c>
      <c r="EU417" s="407">
        <v>0</v>
      </c>
      <c r="EV417" s="407">
        <v>246</v>
      </c>
      <c r="EW417" s="407">
        <v>0</v>
      </c>
      <c r="EX417" s="407">
        <v>0</v>
      </c>
      <c r="EY417" s="407">
        <v>0</v>
      </c>
      <c r="EZ417" s="407"/>
      <c r="FA417" s="407">
        <v>0</v>
      </c>
      <c r="FB417" s="407"/>
      <c r="FC417" s="407"/>
      <c r="FD417" s="407"/>
      <c r="FE417" s="407"/>
      <c r="FF417" s="407">
        <v>0</v>
      </c>
      <c r="FG417" s="407">
        <v>0</v>
      </c>
      <c r="FH417" s="407">
        <v>0</v>
      </c>
      <c r="FI417" s="407">
        <v>0</v>
      </c>
    </row>
    <row r="418" spans="1:165">
      <c r="A418" s="407">
        <v>435</v>
      </c>
      <c r="B418" s="407" t="s">
        <v>1090</v>
      </c>
      <c r="C418" s="407" t="s">
        <v>2306</v>
      </c>
      <c r="D418" s="407" t="s">
        <v>1219</v>
      </c>
      <c r="E418" s="407" t="s">
        <v>1052</v>
      </c>
      <c r="F418" s="407" t="s">
        <v>2321</v>
      </c>
      <c r="G418" s="407" t="s">
        <v>97</v>
      </c>
      <c r="H418" s="407" t="s">
        <v>97</v>
      </c>
      <c r="I418" s="407" t="s">
        <v>97</v>
      </c>
      <c r="J418" s="407" t="s">
        <v>2307</v>
      </c>
      <c r="K418" s="818">
        <v>44562</v>
      </c>
      <c r="L418" s="407">
        <v>0</v>
      </c>
      <c r="M418" s="407">
        <v>0</v>
      </c>
      <c r="N418" s="407">
        <v>55.131999999999998</v>
      </c>
      <c r="O418" s="407">
        <v>51.824080000000002</v>
      </c>
      <c r="P418" s="407">
        <v>55.131999999999998</v>
      </c>
      <c r="Q418" s="407">
        <v>51.824080000000002</v>
      </c>
      <c r="R418" s="407"/>
      <c r="S418" s="407">
        <v>648.44000000000005</v>
      </c>
      <c r="T418" s="407">
        <v>159.41</v>
      </c>
      <c r="U418" s="407"/>
      <c r="V418" s="407">
        <v>44538.386200000001</v>
      </c>
      <c r="W418" s="407">
        <v>44538.386200000001</v>
      </c>
      <c r="X418" s="407">
        <v>33730.860239999995</v>
      </c>
      <c r="Y418" s="407">
        <v>0</v>
      </c>
      <c r="Z418" s="407">
        <v>3416.5438577335294</v>
      </c>
      <c r="AA418" s="407">
        <v>0</v>
      </c>
      <c r="AB418" s="407">
        <v>0</v>
      </c>
      <c r="AC418" s="407">
        <v>0</v>
      </c>
      <c r="AD418" s="407">
        <v>6430.8405059153529</v>
      </c>
      <c r="AE418" s="407">
        <v>23020.145564073129</v>
      </c>
      <c r="AF418" s="407">
        <v>8503.0478738271249</v>
      </c>
      <c r="AG418" s="407">
        <v>285.68008873151967</v>
      </c>
      <c r="AH418" s="407">
        <v>0</v>
      </c>
      <c r="AI418" s="407">
        <v>0</v>
      </c>
      <c r="AJ418" s="407">
        <v>0</v>
      </c>
      <c r="AK418" s="407">
        <v>0</v>
      </c>
      <c r="AL418" s="407">
        <v>527.94708359711512</v>
      </c>
      <c r="AM418" s="407"/>
      <c r="AN418" s="407">
        <v>114.40417285085293</v>
      </c>
      <c r="AO418" s="407">
        <v>0</v>
      </c>
      <c r="AP418" s="407">
        <v>0</v>
      </c>
      <c r="AQ418" s="407">
        <v>0</v>
      </c>
      <c r="AR418" s="407">
        <v>0</v>
      </c>
      <c r="AS418" s="407">
        <v>0</v>
      </c>
      <c r="AT418" s="407">
        <v>0</v>
      </c>
      <c r="AU418" s="407">
        <v>0</v>
      </c>
      <c r="AV418" s="407">
        <v>0</v>
      </c>
      <c r="AW418" s="407">
        <v>0</v>
      </c>
      <c r="AX418" s="407">
        <v>0</v>
      </c>
      <c r="AY418" s="407">
        <v>0</v>
      </c>
      <c r="AZ418" s="407">
        <v>0</v>
      </c>
      <c r="BA418" s="407"/>
      <c r="BB418" s="407">
        <v>0</v>
      </c>
      <c r="BC418" s="407">
        <v>0</v>
      </c>
      <c r="BD418" s="407">
        <v>0</v>
      </c>
      <c r="BE418" s="407">
        <v>0</v>
      </c>
      <c r="BF418" s="407">
        <v>0</v>
      </c>
      <c r="BG418" s="407">
        <v>621.54564732957886</v>
      </c>
      <c r="BH418" s="407">
        <v>0</v>
      </c>
      <c r="BI418" s="407">
        <v>33.5</v>
      </c>
      <c r="BJ418" s="407">
        <v>156.65</v>
      </c>
      <c r="BK418" s="407">
        <v>13916.16</v>
      </c>
      <c r="BL418" s="407">
        <v>13</v>
      </c>
      <c r="BM418" s="407"/>
      <c r="BN418" s="407"/>
      <c r="BO418" s="407"/>
      <c r="BP418" s="407"/>
      <c r="BQ418" s="407">
        <v>2023.8516143999973</v>
      </c>
      <c r="BR418" s="407"/>
      <c r="BS418" s="407"/>
      <c r="BT418" s="407"/>
      <c r="BU418" s="407"/>
      <c r="BV418" s="407">
        <v>9124.593521156703</v>
      </c>
      <c r="BW418" s="407"/>
      <c r="BX418" s="407"/>
      <c r="BY418" s="407"/>
      <c r="BZ418" s="407"/>
      <c r="CA418" s="407"/>
      <c r="CB418" s="407"/>
      <c r="CC418" s="407"/>
      <c r="CD418" s="407"/>
      <c r="CE418" s="407"/>
      <c r="CF418" s="407"/>
      <c r="CG418" s="407"/>
      <c r="CH418" s="407"/>
      <c r="CI418" s="407">
        <v>31704.5124</v>
      </c>
      <c r="CJ418" s="407">
        <v>-10161.600628000015</v>
      </c>
      <c r="CK418" s="407"/>
      <c r="CL418" s="407"/>
      <c r="CM418" s="407"/>
      <c r="CN418" s="407"/>
      <c r="CO418" s="407">
        <v>-12322.002000000002</v>
      </c>
      <c r="CP418" s="407">
        <v>1514.4760399999998</v>
      </c>
      <c r="CQ418" s="407">
        <v>31</v>
      </c>
      <c r="CR418" s="407">
        <v>951.24852123927485</v>
      </c>
      <c r="CS418" s="407">
        <v>0</v>
      </c>
      <c r="CT418" s="407">
        <v>0</v>
      </c>
      <c r="CU418" s="407">
        <v>0</v>
      </c>
      <c r="CV418" s="407">
        <v>0</v>
      </c>
      <c r="CW418" s="407">
        <v>0</v>
      </c>
      <c r="CX418" s="407">
        <v>0</v>
      </c>
      <c r="CY418" s="407">
        <v>0</v>
      </c>
      <c r="CZ418" s="407">
        <v>290.4938167872815</v>
      </c>
      <c r="DA418" s="407">
        <v>0</v>
      </c>
      <c r="DB418" s="407">
        <v>0</v>
      </c>
      <c r="DC418" s="407">
        <v>1685.9247698969266</v>
      </c>
      <c r="DD418" s="407">
        <v>0</v>
      </c>
      <c r="DE418" s="407">
        <v>0</v>
      </c>
      <c r="DF418" s="407">
        <v>0</v>
      </c>
      <c r="DG418" s="407">
        <v>123.23571712209161</v>
      </c>
      <c r="DH418" s="407">
        <v>0</v>
      </c>
      <c r="DI418" s="407">
        <v>-239.3014717709907</v>
      </c>
      <c r="DJ418" s="407"/>
      <c r="DK418" s="407">
        <v>0</v>
      </c>
      <c r="DL418" s="407">
        <v>0</v>
      </c>
      <c r="DM418" s="407">
        <v>0</v>
      </c>
      <c r="DN418" s="407">
        <v>0</v>
      </c>
      <c r="DO418" s="407">
        <v>-32.210778508638214</v>
      </c>
      <c r="DP418" s="407">
        <v>-7.2895576991634101</v>
      </c>
      <c r="DQ418" s="407">
        <v>0</v>
      </c>
      <c r="DR418" s="407">
        <v>-869.60397458822911</v>
      </c>
      <c r="DS418" s="407"/>
      <c r="DT418" s="407"/>
      <c r="DU418" s="407"/>
      <c r="DV418" s="407">
        <v>23020.145564073129</v>
      </c>
      <c r="DW418" s="407">
        <v>0</v>
      </c>
      <c r="DX418" s="407">
        <v>0</v>
      </c>
      <c r="DY418" s="407">
        <v>-12322.002</v>
      </c>
      <c r="DZ418" s="407">
        <v>1514.4760399999996</v>
      </c>
      <c r="EA418" s="407">
        <v>0</v>
      </c>
      <c r="EB418" s="407">
        <v>0</v>
      </c>
      <c r="EC418" s="407">
        <v>-11758.743821256281</v>
      </c>
      <c r="ED418" s="407">
        <v>0</v>
      </c>
      <c r="EE418" s="407">
        <v>0</v>
      </c>
      <c r="EF418" s="407">
        <v>0</v>
      </c>
      <c r="EG418" s="407">
        <v>0</v>
      </c>
      <c r="EH418" s="407">
        <v>0</v>
      </c>
      <c r="EI418" s="407">
        <v>0</v>
      </c>
      <c r="EJ418" s="407">
        <v>0</v>
      </c>
      <c r="EK418" s="407">
        <v>0</v>
      </c>
      <c r="EL418" s="407">
        <v>0</v>
      </c>
      <c r="EM418" s="407">
        <v>0</v>
      </c>
      <c r="EN418" s="407">
        <v>0</v>
      </c>
      <c r="EO418" s="407">
        <v>0</v>
      </c>
      <c r="EP418" s="407">
        <v>1618.3557389979385</v>
      </c>
      <c r="EQ418" s="407">
        <v>0</v>
      </c>
      <c r="ER418" s="407">
        <v>0</v>
      </c>
      <c r="ES418" s="407">
        <v>0</v>
      </c>
      <c r="ET418" s="407">
        <v>0</v>
      </c>
      <c r="EU418" s="407">
        <v>0</v>
      </c>
      <c r="EV418" s="407">
        <v>246</v>
      </c>
      <c r="EW418" s="407">
        <v>0</v>
      </c>
      <c r="EX418" s="407">
        <v>0</v>
      </c>
      <c r="EY418" s="407">
        <v>0</v>
      </c>
      <c r="EZ418" s="407"/>
      <c r="FA418" s="407">
        <v>0</v>
      </c>
      <c r="FB418" s="407"/>
      <c r="FC418" s="407"/>
      <c r="FD418" s="407"/>
      <c r="FE418" s="407"/>
      <c r="FF418" s="407">
        <v>0</v>
      </c>
      <c r="FG418" s="407">
        <v>0</v>
      </c>
      <c r="FH418" s="407">
        <v>0</v>
      </c>
      <c r="FI418" s="407">
        <v>0</v>
      </c>
    </row>
    <row r="419" spans="1:165">
      <c r="A419" s="407">
        <v>436</v>
      </c>
      <c r="B419" s="407" t="s">
        <v>1090</v>
      </c>
      <c r="C419" s="407" t="s">
        <v>2317</v>
      </c>
      <c r="D419" s="407" t="s">
        <v>650</v>
      </c>
      <c r="E419" s="407" t="s">
        <v>1052</v>
      </c>
      <c r="F419" s="407" t="s">
        <v>2321</v>
      </c>
      <c r="G419" s="407" t="s">
        <v>97</v>
      </c>
      <c r="H419" s="407" t="s">
        <v>97</v>
      </c>
      <c r="I419" s="407" t="s">
        <v>1025</v>
      </c>
      <c r="J419" s="407" t="s">
        <v>2307</v>
      </c>
      <c r="K419" s="818">
        <v>44562</v>
      </c>
      <c r="L419" s="407">
        <v>708</v>
      </c>
      <c r="M419" s="407">
        <v>665.52</v>
      </c>
      <c r="N419" s="407">
        <v>36.963000000000001</v>
      </c>
      <c r="O419" s="407">
        <v>34.745220000000003</v>
      </c>
      <c r="P419" s="407">
        <v>36.963000000000001</v>
      </c>
      <c r="Q419" s="407">
        <v>34.745220000000003</v>
      </c>
      <c r="R419" s="407">
        <v>112.91</v>
      </c>
      <c r="S419" s="407">
        <v>95.29</v>
      </c>
      <c r="T419" s="407">
        <v>159.41</v>
      </c>
      <c r="U419" s="407">
        <v>79940.28</v>
      </c>
      <c r="V419" s="407">
        <v>9414.4760999999999</v>
      </c>
      <c r="W419" s="407">
        <v>89354.756099999999</v>
      </c>
      <c r="X419" s="407">
        <v>57770.544330000004</v>
      </c>
      <c r="Y419" s="407">
        <v>0</v>
      </c>
      <c r="Z419" s="407">
        <v>1992.8275454121347</v>
      </c>
      <c r="AA419" s="407">
        <v>0</v>
      </c>
      <c r="AB419" s="407">
        <v>0</v>
      </c>
      <c r="AC419" s="407">
        <v>0</v>
      </c>
      <c r="AD419" s="407">
        <v>17972.872804850485</v>
      </c>
      <c r="AE419" s="407">
        <v>61965.112641339554</v>
      </c>
      <c r="AF419" s="407">
        <v>5700.8299818666474</v>
      </c>
      <c r="AG419" s="407">
        <v>191.53292316228618</v>
      </c>
      <c r="AH419" s="407">
        <v>0</v>
      </c>
      <c r="AI419" s="407">
        <v>0</v>
      </c>
      <c r="AJ419" s="407">
        <v>0</v>
      </c>
      <c r="AK419" s="407">
        <v>0</v>
      </c>
      <c r="AL419" s="407">
        <v>353.95973392948139</v>
      </c>
      <c r="AM419" s="407"/>
      <c r="AN419" s="407">
        <v>39.688407065801925</v>
      </c>
      <c r="AO419" s="407">
        <v>0</v>
      </c>
      <c r="AP419" s="407">
        <v>0</v>
      </c>
      <c r="AQ419" s="407">
        <v>0</v>
      </c>
      <c r="AR419" s="407">
        <v>0</v>
      </c>
      <c r="AS419" s="407">
        <v>0</v>
      </c>
      <c r="AT419" s="407">
        <v>0</v>
      </c>
      <c r="AU419" s="407">
        <v>0</v>
      </c>
      <c r="AV419" s="407">
        <v>0</v>
      </c>
      <c r="AW419" s="407">
        <v>0</v>
      </c>
      <c r="AX419" s="407">
        <v>0</v>
      </c>
      <c r="AY419" s="407">
        <v>0</v>
      </c>
      <c r="AZ419" s="407">
        <v>0</v>
      </c>
      <c r="BA419" s="407"/>
      <c r="BB419" s="407">
        <v>0</v>
      </c>
      <c r="BC419" s="407">
        <v>0</v>
      </c>
      <c r="BD419" s="407">
        <v>0</v>
      </c>
      <c r="BE419" s="407">
        <v>0</v>
      </c>
      <c r="BF419" s="407">
        <v>0</v>
      </c>
      <c r="BG419" s="407">
        <v>191.83332592949296</v>
      </c>
      <c r="BH419" s="407">
        <v>0</v>
      </c>
      <c r="BI419" s="407">
        <v>0</v>
      </c>
      <c r="BJ419" s="407">
        <v>0</v>
      </c>
      <c r="BK419" s="407">
        <v>0</v>
      </c>
      <c r="BL419" s="407">
        <v>0</v>
      </c>
      <c r="BM419" s="407"/>
      <c r="BN419" s="407"/>
      <c r="BO419" s="407"/>
      <c r="BP419" s="407"/>
      <c r="BQ419" s="407">
        <v>3466.2326598000009</v>
      </c>
      <c r="BR419" s="407"/>
      <c r="BS419" s="407"/>
      <c r="BT419" s="407"/>
      <c r="BU419" s="407"/>
      <c r="BV419" s="407">
        <v>5892.6633077961405</v>
      </c>
      <c r="BW419" s="407"/>
      <c r="BX419" s="407"/>
      <c r="BY419" s="407"/>
      <c r="BZ419" s="407"/>
      <c r="CA419" s="407"/>
      <c r="CB419" s="407"/>
      <c r="CC419" s="407"/>
      <c r="CD419" s="407"/>
      <c r="CE419" s="407"/>
      <c r="CF419" s="407"/>
      <c r="CG419" s="407"/>
      <c r="CH419" s="407"/>
      <c r="CI419" s="407">
        <v>54305.635300000002</v>
      </c>
      <c r="CJ419" s="407">
        <v>-29687.865433999985</v>
      </c>
      <c r="CK419" s="407"/>
      <c r="CL419" s="407"/>
      <c r="CM419" s="407"/>
      <c r="CN419" s="407"/>
      <c r="CO419" s="407">
        <v>-32599.585379999997</v>
      </c>
      <c r="CP419" s="407">
        <v>1015.37361</v>
      </c>
      <c r="CQ419" s="407">
        <v>31</v>
      </c>
      <c r="CR419" s="407">
        <v>71.931277436047822</v>
      </c>
      <c r="CS419" s="407">
        <v>0</v>
      </c>
      <c r="CT419" s="407">
        <v>0</v>
      </c>
      <c r="CU419" s="407">
        <v>0</v>
      </c>
      <c r="CV419" s="407">
        <v>0</v>
      </c>
      <c r="CW419" s="407">
        <v>0</v>
      </c>
      <c r="CX419" s="407">
        <v>0</v>
      </c>
      <c r="CY419" s="407">
        <v>0</v>
      </c>
      <c r="CZ419" s="407">
        <v>811.87030138765112</v>
      </c>
      <c r="DA419" s="407">
        <v>0</v>
      </c>
      <c r="DB419" s="407">
        <v>0</v>
      </c>
      <c r="DC419" s="407">
        <v>1130.3206353787291</v>
      </c>
      <c r="DD419" s="407">
        <v>0</v>
      </c>
      <c r="DE419" s="407">
        <v>0</v>
      </c>
      <c r="DF419" s="407">
        <v>0</v>
      </c>
      <c r="DG419" s="407">
        <v>38.035368102740932</v>
      </c>
      <c r="DH419" s="407">
        <v>0</v>
      </c>
      <c r="DI419" s="407">
        <v>-139.58157262446389</v>
      </c>
      <c r="DJ419" s="407"/>
      <c r="DK419" s="407">
        <v>0</v>
      </c>
      <c r="DL419" s="407">
        <v>0</v>
      </c>
      <c r="DM419" s="407">
        <v>0</v>
      </c>
      <c r="DN419" s="407">
        <v>0</v>
      </c>
      <c r="DO419" s="407">
        <v>-21.5955707395849</v>
      </c>
      <c r="DP419" s="407">
        <v>-2.528849482362844</v>
      </c>
      <c r="DQ419" s="407">
        <v>0</v>
      </c>
      <c r="DR419" s="407">
        <v>-1744.5890345866596</v>
      </c>
      <c r="DS419" s="407"/>
      <c r="DT419" s="407"/>
      <c r="DU419" s="407">
        <v>61965.112641339554</v>
      </c>
      <c r="DV419" s="407">
        <v>0</v>
      </c>
      <c r="DW419" s="407">
        <v>0</v>
      </c>
      <c r="DX419" s="407">
        <v>0</v>
      </c>
      <c r="DY419" s="407">
        <v>-32599.585379999997</v>
      </c>
      <c r="DZ419" s="407">
        <v>1015.3736100000006</v>
      </c>
      <c r="EA419" s="407">
        <v>0</v>
      </c>
      <c r="EB419" s="407">
        <v>0</v>
      </c>
      <c r="EC419" s="407">
        <v>-31651.923458814021</v>
      </c>
      <c r="ED419" s="407">
        <v>0</v>
      </c>
      <c r="EE419" s="407">
        <v>0</v>
      </c>
      <c r="EF419" s="407">
        <v>0</v>
      </c>
      <c r="EG419" s="407">
        <v>0</v>
      </c>
      <c r="EH419" s="407">
        <v>0</v>
      </c>
      <c r="EI419" s="407">
        <v>0</v>
      </c>
      <c r="EJ419" s="407">
        <v>0</v>
      </c>
      <c r="EK419" s="407">
        <v>0</v>
      </c>
      <c r="EL419" s="407">
        <v>0</v>
      </c>
      <c r="EM419" s="407">
        <v>0</v>
      </c>
      <c r="EN419" s="407">
        <v>0</v>
      </c>
      <c r="EO419" s="407">
        <v>0</v>
      </c>
      <c r="EP419" s="407">
        <v>943.96677731816874</v>
      </c>
      <c r="EQ419" s="407">
        <v>0</v>
      </c>
      <c r="ER419" s="407">
        <v>0</v>
      </c>
      <c r="ES419" s="407">
        <v>0</v>
      </c>
      <c r="ET419" s="407">
        <v>0</v>
      </c>
      <c r="EU419" s="407">
        <v>0</v>
      </c>
      <c r="EV419" s="407">
        <v>246</v>
      </c>
      <c r="EW419" s="407">
        <v>0</v>
      </c>
      <c r="EX419" s="407">
        <v>0</v>
      </c>
      <c r="EY419" s="407">
        <v>0</v>
      </c>
      <c r="EZ419" s="407"/>
      <c r="FA419" s="407">
        <v>0</v>
      </c>
      <c r="FB419" s="407"/>
      <c r="FC419" s="407"/>
      <c r="FD419" s="407"/>
      <c r="FE419" s="407"/>
      <c r="FF419" s="407">
        <v>0</v>
      </c>
      <c r="FG419" s="407">
        <v>0</v>
      </c>
      <c r="FH419" s="407">
        <v>0</v>
      </c>
      <c r="FI419" s="407">
        <v>0</v>
      </c>
    </row>
    <row r="420" spans="1:165">
      <c r="A420" s="407">
        <v>437</v>
      </c>
      <c r="B420" s="407" t="s">
        <v>1090</v>
      </c>
      <c r="C420" s="407" t="s">
        <v>2317</v>
      </c>
      <c r="D420" s="407" t="s">
        <v>650</v>
      </c>
      <c r="E420" s="407" t="s">
        <v>1052</v>
      </c>
      <c r="F420" s="407" t="s">
        <v>2321</v>
      </c>
      <c r="G420" s="407" t="s">
        <v>97</v>
      </c>
      <c r="H420" s="407" t="s">
        <v>97</v>
      </c>
      <c r="I420" s="407" t="s">
        <v>2290</v>
      </c>
      <c r="J420" s="407" t="s">
        <v>2307</v>
      </c>
      <c r="K420" s="818">
        <v>44562</v>
      </c>
      <c r="L420" s="407">
        <v>718</v>
      </c>
      <c r="M420" s="407">
        <v>674.92</v>
      </c>
      <c r="N420" s="407">
        <v>382.291</v>
      </c>
      <c r="O420" s="407">
        <v>359.35354000000001</v>
      </c>
      <c r="P420" s="407">
        <v>382.291</v>
      </c>
      <c r="Q420" s="407">
        <v>359.35354000000001</v>
      </c>
      <c r="R420" s="407">
        <v>43.29</v>
      </c>
      <c r="S420" s="407">
        <v>95.29</v>
      </c>
      <c r="T420" s="407">
        <v>159.41</v>
      </c>
      <c r="U420" s="407">
        <v>31082.22</v>
      </c>
      <c r="V420" s="407">
        <v>97369.517699999997</v>
      </c>
      <c r="W420" s="407">
        <v>128451.7377</v>
      </c>
      <c r="X420" s="407">
        <v>129906.02081</v>
      </c>
      <c r="Y420" s="407">
        <v>0</v>
      </c>
      <c r="Z420" s="407">
        <v>20610.882102728414</v>
      </c>
      <c r="AA420" s="407">
        <v>0</v>
      </c>
      <c r="AB420" s="407">
        <v>0</v>
      </c>
      <c r="AC420" s="407">
        <v>0</v>
      </c>
      <c r="AD420" s="407">
        <v>16990.742779758486</v>
      </c>
      <c r="AE420" s="407">
        <v>14093.756340938808</v>
      </c>
      <c r="AF420" s="407">
        <v>58961.014922971146</v>
      </c>
      <c r="AG420" s="407">
        <v>1980.9353334045816</v>
      </c>
      <c r="AH420" s="407">
        <v>0</v>
      </c>
      <c r="AI420" s="407">
        <v>0</v>
      </c>
      <c r="AJ420" s="407">
        <v>0</v>
      </c>
      <c r="AK420" s="407">
        <v>0</v>
      </c>
      <c r="AL420" s="407">
        <v>3660.83977609056</v>
      </c>
      <c r="AM420" s="407"/>
      <c r="AN420" s="407">
        <v>410.47860903044892</v>
      </c>
      <c r="AO420" s="407">
        <v>0</v>
      </c>
      <c r="AP420" s="407">
        <v>0</v>
      </c>
      <c r="AQ420" s="407">
        <v>0</v>
      </c>
      <c r="AR420" s="407">
        <v>0</v>
      </c>
      <c r="AS420" s="407">
        <v>0</v>
      </c>
      <c r="AT420" s="407">
        <v>0</v>
      </c>
      <c r="AU420" s="407">
        <v>0</v>
      </c>
      <c r="AV420" s="407">
        <v>0</v>
      </c>
      <c r="AW420" s="407">
        <v>0</v>
      </c>
      <c r="AX420" s="407">
        <v>0</v>
      </c>
      <c r="AY420" s="407">
        <v>0</v>
      </c>
      <c r="AZ420" s="407">
        <v>0</v>
      </c>
      <c r="BA420" s="407"/>
      <c r="BB420" s="407">
        <v>0</v>
      </c>
      <c r="BC420" s="407">
        <v>0</v>
      </c>
      <c r="BD420" s="407">
        <v>0</v>
      </c>
      <c r="BE420" s="407">
        <v>0</v>
      </c>
      <c r="BF420" s="407">
        <v>0</v>
      </c>
      <c r="BG420" s="407">
        <v>1984.0422585534666</v>
      </c>
      <c r="BH420" s="407">
        <v>0</v>
      </c>
      <c r="BI420" s="407">
        <v>0</v>
      </c>
      <c r="BJ420" s="407">
        <v>0</v>
      </c>
      <c r="BK420" s="407">
        <v>0</v>
      </c>
      <c r="BL420" s="407">
        <v>0</v>
      </c>
      <c r="BM420" s="407"/>
      <c r="BN420" s="407"/>
      <c r="BO420" s="407"/>
      <c r="BP420" s="407"/>
      <c r="BQ420" s="407">
        <v>7794.3612485999984</v>
      </c>
      <c r="BR420" s="407"/>
      <c r="BS420" s="407"/>
      <c r="BT420" s="407"/>
      <c r="BU420" s="407"/>
      <c r="BV420" s="407">
        <v>60945.057181524615</v>
      </c>
      <c r="BW420" s="407"/>
      <c r="BX420" s="407"/>
      <c r="BY420" s="407"/>
      <c r="BZ420" s="407"/>
      <c r="CA420" s="407"/>
      <c r="CB420" s="407"/>
      <c r="CC420" s="407"/>
      <c r="CD420" s="407"/>
      <c r="CE420" s="407"/>
      <c r="CF420" s="407"/>
      <c r="CG420" s="407"/>
      <c r="CH420" s="407"/>
      <c r="CI420" s="407">
        <v>122110.67930000002</v>
      </c>
      <c r="CJ420" s="407">
        <v>1366.0158620000147</v>
      </c>
      <c r="CK420" s="407"/>
      <c r="CL420" s="407"/>
      <c r="CM420" s="407"/>
      <c r="CN420" s="407"/>
      <c r="CO420" s="407">
        <v>-9047.2506599999997</v>
      </c>
      <c r="CP420" s="407">
        <v>10501.53377</v>
      </c>
      <c r="CQ420" s="407">
        <v>31</v>
      </c>
      <c r="CR420" s="407">
        <v>8650.0627525349264</v>
      </c>
      <c r="CS420" s="407">
        <v>0</v>
      </c>
      <c r="CT420" s="407">
        <v>0</v>
      </c>
      <c r="CU420" s="407">
        <v>0</v>
      </c>
      <c r="CV420" s="407">
        <v>0</v>
      </c>
      <c r="CW420" s="407">
        <v>0</v>
      </c>
      <c r="CX420" s="407">
        <v>0</v>
      </c>
      <c r="CY420" s="407">
        <v>0</v>
      </c>
      <c r="CZ420" s="407">
        <v>767.5055407769396</v>
      </c>
      <c r="DA420" s="407">
        <v>0</v>
      </c>
      <c r="DB420" s="407">
        <v>0</v>
      </c>
      <c r="DC420" s="407">
        <v>11690.377026203765</v>
      </c>
      <c r="DD420" s="407">
        <v>0</v>
      </c>
      <c r="DE420" s="407">
        <v>0</v>
      </c>
      <c r="DF420" s="407">
        <v>0</v>
      </c>
      <c r="DG420" s="407">
        <v>393.38200111909009</v>
      </c>
      <c r="DH420" s="407">
        <v>0</v>
      </c>
      <c r="DI420" s="407">
        <v>-1443.6268425230337</v>
      </c>
      <c r="DJ420" s="407"/>
      <c r="DK420" s="407">
        <v>0</v>
      </c>
      <c r="DL420" s="407">
        <v>0</v>
      </c>
      <c r="DM420" s="407">
        <v>0</v>
      </c>
      <c r="DN420" s="407">
        <v>0</v>
      </c>
      <c r="DO420" s="407">
        <v>-223.35287540531499</v>
      </c>
      <c r="DP420" s="407">
        <v>-26.154705988744752</v>
      </c>
      <c r="DQ420" s="407">
        <v>0</v>
      </c>
      <c r="DR420" s="407">
        <v>-2508.0673916477549</v>
      </c>
      <c r="DS420" s="407"/>
      <c r="DT420" s="407"/>
      <c r="DU420" s="407">
        <v>14093.756340938808</v>
      </c>
      <c r="DV420" s="407">
        <v>0</v>
      </c>
      <c r="DW420" s="407">
        <v>0</v>
      </c>
      <c r="DX420" s="407">
        <v>0</v>
      </c>
      <c r="DY420" s="407">
        <v>-9047.2506599999906</v>
      </c>
      <c r="DZ420" s="407">
        <v>10501.533770000002</v>
      </c>
      <c r="EA420" s="407">
        <v>0</v>
      </c>
      <c r="EB420" s="407">
        <v>0</v>
      </c>
      <c r="EC420" s="407">
        <v>-7199.1234734391937</v>
      </c>
      <c r="ED420" s="407">
        <v>0</v>
      </c>
      <c r="EE420" s="407">
        <v>0</v>
      </c>
      <c r="EF420" s="407">
        <v>0</v>
      </c>
      <c r="EG420" s="407">
        <v>0</v>
      </c>
      <c r="EH420" s="407">
        <v>0</v>
      </c>
      <c r="EI420" s="407">
        <v>0</v>
      </c>
      <c r="EJ420" s="407">
        <v>0</v>
      </c>
      <c r="EK420" s="407">
        <v>0</v>
      </c>
      <c r="EL420" s="407">
        <v>0</v>
      </c>
      <c r="EM420" s="407">
        <v>0</v>
      </c>
      <c r="EN420" s="407">
        <v>0</v>
      </c>
      <c r="EO420" s="407">
        <v>0</v>
      </c>
      <c r="EP420" s="407">
        <v>9763.0063378984396</v>
      </c>
      <c r="EQ420" s="407">
        <v>0</v>
      </c>
      <c r="ER420" s="407">
        <v>0</v>
      </c>
      <c r="ES420" s="407">
        <v>0</v>
      </c>
      <c r="ET420" s="407">
        <v>0</v>
      </c>
      <c r="EU420" s="407">
        <v>0</v>
      </c>
      <c r="EV420" s="407">
        <v>246</v>
      </c>
      <c r="EW420" s="407">
        <v>0</v>
      </c>
      <c r="EX420" s="407">
        <v>0</v>
      </c>
      <c r="EY420" s="407">
        <v>0</v>
      </c>
      <c r="EZ420" s="407"/>
      <c r="FA420" s="407">
        <v>0</v>
      </c>
      <c r="FB420" s="407"/>
      <c r="FC420" s="407"/>
      <c r="FD420" s="407"/>
      <c r="FE420" s="407"/>
      <c r="FF420" s="407">
        <v>0</v>
      </c>
      <c r="FG420" s="407">
        <v>0</v>
      </c>
      <c r="FH420" s="407">
        <v>0</v>
      </c>
      <c r="FI420" s="407">
        <v>0</v>
      </c>
    </row>
    <row r="421" spans="1:165">
      <c r="A421" s="407">
        <v>438</v>
      </c>
      <c r="B421" s="407" t="s">
        <v>1090</v>
      </c>
      <c r="C421" s="407" t="s">
        <v>2317</v>
      </c>
      <c r="D421" s="407" t="s">
        <v>650</v>
      </c>
      <c r="E421" s="407" t="s">
        <v>1052</v>
      </c>
      <c r="F421" s="407" t="s">
        <v>2321</v>
      </c>
      <c r="G421" s="407" t="s">
        <v>97</v>
      </c>
      <c r="H421" s="407" t="s">
        <v>97</v>
      </c>
      <c r="I421" s="407" t="s">
        <v>97</v>
      </c>
      <c r="J421" s="407" t="s">
        <v>2307</v>
      </c>
      <c r="K421" s="818">
        <v>44562</v>
      </c>
      <c r="L421" s="407">
        <v>0</v>
      </c>
      <c r="M421" s="407">
        <v>0</v>
      </c>
      <c r="N421" s="407">
        <v>0</v>
      </c>
      <c r="O421" s="407">
        <v>0</v>
      </c>
      <c r="P421" s="407">
        <v>0</v>
      </c>
      <c r="Q421" s="407">
        <v>0</v>
      </c>
      <c r="R421" s="407"/>
      <c r="S421" s="407"/>
      <c r="T421" s="407"/>
      <c r="U421" s="407"/>
      <c r="V421" s="407"/>
      <c r="W421" s="407"/>
      <c r="X421" s="407"/>
      <c r="Y421" s="407"/>
      <c r="Z421" s="407"/>
      <c r="AA421" s="407">
        <v>0</v>
      </c>
      <c r="AB421" s="407"/>
      <c r="AC421" s="407"/>
      <c r="AD421" s="407"/>
      <c r="AE421" s="407"/>
      <c r="AF421" s="407"/>
      <c r="AG421" s="407"/>
      <c r="AH421" s="407"/>
      <c r="AI421" s="407"/>
      <c r="AJ421" s="407"/>
      <c r="AK421" s="407"/>
      <c r="AL421" s="407"/>
      <c r="AM421" s="407"/>
      <c r="AN421" s="407"/>
      <c r="AO421" s="407"/>
      <c r="AP421" s="407"/>
      <c r="AQ421" s="407"/>
      <c r="AR421" s="407"/>
      <c r="AS421" s="407"/>
      <c r="AT421" s="407"/>
      <c r="AU421" s="407"/>
      <c r="AV421" s="407"/>
      <c r="AW421" s="407"/>
      <c r="AX421" s="407"/>
      <c r="AY421" s="407"/>
      <c r="AZ421" s="407">
        <v>0</v>
      </c>
      <c r="BA421" s="407"/>
      <c r="BB421" s="407"/>
      <c r="BC421" s="407"/>
      <c r="BD421" s="407"/>
      <c r="BE421" s="407"/>
      <c r="BF421" s="407"/>
      <c r="BG421" s="407"/>
      <c r="BH421" s="407"/>
      <c r="BI421" s="407">
        <v>190.51</v>
      </c>
      <c r="BJ421" s="407">
        <v>889.12</v>
      </c>
      <c r="BK421" s="407">
        <v>80509.2</v>
      </c>
      <c r="BL421" s="407">
        <v>3</v>
      </c>
      <c r="BM421" s="407"/>
      <c r="BN421" s="407"/>
      <c r="BO421" s="407"/>
      <c r="BP421" s="407"/>
      <c r="BQ421" s="407"/>
      <c r="BR421" s="407"/>
      <c r="BS421" s="407"/>
      <c r="BT421" s="407"/>
      <c r="BU421" s="407"/>
      <c r="BV421" s="407"/>
      <c r="BW421" s="407"/>
      <c r="BX421" s="407"/>
      <c r="BY421" s="407"/>
      <c r="BZ421" s="407"/>
      <c r="CA421" s="407"/>
      <c r="CB421" s="407"/>
      <c r="CC421" s="407"/>
      <c r="CD421" s="407"/>
      <c r="CE421" s="407"/>
      <c r="CF421" s="407"/>
      <c r="CG421" s="407"/>
      <c r="CH421" s="407"/>
      <c r="CI421" s="407"/>
      <c r="CJ421" s="407">
        <v>-0.03</v>
      </c>
      <c r="CK421" s="407"/>
      <c r="CL421" s="407"/>
      <c r="CM421" s="407"/>
      <c r="CN421" s="407"/>
      <c r="CO421" s="407">
        <v>0</v>
      </c>
      <c r="CP421" s="407">
        <v>0</v>
      </c>
      <c r="CQ421" s="407">
        <v>31</v>
      </c>
      <c r="CR421" s="407"/>
      <c r="CS421" s="407"/>
      <c r="CT421" s="407"/>
      <c r="CU421" s="407"/>
      <c r="CV421" s="407"/>
      <c r="CW421" s="407"/>
      <c r="CX421" s="407"/>
      <c r="CY421" s="407"/>
      <c r="CZ421" s="407"/>
      <c r="DA421" s="407"/>
      <c r="DB421" s="407"/>
      <c r="DC421" s="407"/>
      <c r="DD421" s="407"/>
      <c r="DE421" s="407"/>
      <c r="DF421" s="407"/>
      <c r="DG421" s="407"/>
      <c r="DH421" s="407"/>
      <c r="DI421" s="407"/>
      <c r="DJ421" s="407"/>
      <c r="DK421" s="407">
        <v>0</v>
      </c>
      <c r="DL421" s="407"/>
      <c r="DM421" s="407"/>
      <c r="DN421" s="407"/>
      <c r="DO421" s="407"/>
      <c r="DP421" s="407"/>
      <c r="DQ421" s="407"/>
      <c r="DR421" s="407"/>
      <c r="DS421" s="407"/>
      <c r="DT421" s="407"/>
      <c r="DU421" s="407"/>
      <c r="DV421" s="407"/>
      <c r="DW421" s="407"/>
      <c r="DX421" s="407"/>
      <c r="DY421" s="407"/>
      <c r="DZ421" s="407"/>
      <c r="EA421" s="407"/>
      <c r="EB421" s="407"/>
      <c r="EC421" s="407"/>
      <c r="ED421" s="407"/>
      <c r="EE421" s="407"/>
      <c r="EF421" s="407"/>
      <c r="EG421" s="407"/>
      <c r="EH421" s="407"/>
      <c r="EI421" s="407"/>
      <c r="EJ421" s="407"/>
      <c r="EK421" s="407"/>
      <c r="EL421" s="407"/>
      <c r="EM421" s="407"/>
      <c r="EN421" s="407"/>
      <c r="EO421" s="407"/>
      <c r="EP421" s="407"/>
      <c r="EQ421" s="407"/>
      <c r="ER421" s="407"/>
      <c r="ES421" s="407"/>
      <c r="ET421" s="407"/>
      <c r="EU421" s="407"/>
      <c r="EV421" s="407">
        <v>246</v>
      </c>
      <c r="EW421" s="407"/>
      <c r="EX421" s="407"/>
      <c r="EY421" s="407"/>
      <c r="EZ421" s="407"/>
      <c r="FA421" s="407">
        <v>0</v>
      </c>
      <c r="FB421" s="407"/>
      <c r="FC421" s="407"/>
      <c r="FD421" s="407"/>
      <c r="FE421" s="407"/>
      <c r="FF421" s="407">
        <v>0</v>
      </c>
      <c r="FG421" s="407">
        <v>0</v>
      </c>
      <c r="FH421" s="407">
        <v>0</v>
      </c>
      <c r="FI421" s="407">
        <v>0</v>
      </c>
    </row>
    <row r="422" spans="1:165">
      <c r="A422" s="407">
        <v>439</v>
      </c>
      <c r="B422" s="407" t="s">
        <v>1090</v>
      </c>
      <c r="C422" s="407" t="s">
        <v>2306</v>
      </c>
      <c r="D422" s="407" t="s">
        <v>1219</v>
      </c>
      <c r="E422" s="407" t="s">
        <v>2322</v>
      </c>
      <c r="F422" s="407" t="s">
        <v>97</v>
      </c>
      <c r="G422" s="407" t="s">
        <v>97</v>
      </c>
      <c r="H422" s="407" t="s">
        <v>97</v>
      </c>
      <c r="I422" s="407" t="s">
        <v>97</v>
      </c>
      <c r="J422" s="407" t="s">
        <v>2307</v>
      </c>
      <c r="K422" s="818">
        <v>44562</v>
      </c>
      <c r="L422" s="407">
        <v>0</v>
      </c>
      <c r="M422" s="407">
        <v>0</v>
      </c>
      <c r="N422" s="407">
        <v>4.4249999999999998</v>
      </c>
      <c r="O422" s="407">
        <v>4.4249999999999998</v>
      </c>
      <c r="P422" s="407">
        <v>4.4249999999999998</v>
      </c>
      <c r="Q422" s="407">
        <v>4.4249999999999998</v>
      </c>
      <c r="R422" s="407"/>
      <c r="S422" s="407">
        <v>648.44000000000005</v>
      </c>
      <c r="T422" s="407">
        <v>159.41</v>
      </c>
      <c r="U422" s="407"/>
      <c r="V422" s="407">
        <v>3574.7362499999999</v>
      </c>
      <c r="W422" s="407">
        <v>3574.7362499999999</v>
      </c>
      <c r="X422" s="407">
        <v>2707.3035</v>
      </c>
      <c r="Y422" s="407">
        <v>0</v>
      </c>
      <c r="Z422" s="407">
        <v>274.21835903777963</v>
      </c>
      <c r="AA422" s="407">
        <v>0</v>
      </c>
      <c r="AB422" s="407">
        <v>0</v>
      </c>
      <c r="AC422" s="407">
        <v>0</v>
      </c>
      <c r="AD422" s="407">
        <v>516.15158598772825</v>
      </c>
      <c r="AE422" s="407">
        <v>1847.6410092328158</v>
      </c>
      <c r="AF422" s="407">
        <v>682.47092145550721</v>
      </c>
      <c r="AG422" s="407">
        <v>22.929231528639892</v>
      </c>
      <c r="AH422" s="407">
        <v>0</v>
      </c>
      <c r="AI422" s="407">
        <v>0</v>
      </c>
      <c r="AJ422" s="407">
        <v>0</v>
      </c>
      <c r="AK422" s="407">
        <v>0</v>
      </c>
      <c r="AL422" s="407">
        <v>42.374044927033928</v>
      </c>
      <c r="AM422" s="407"/>
      <c r="AN422" s="407">
        <v>9.1822982091167411</v>
      </c>
      <c r="AO422" s="407">
        <v>0</v>
      </c>
      <c r="AP422" s="407">
        <v>0</v>
      </c>
      <c r="AQ422" s="407">
        <v>0</v>
      </c>
      <c r="AR422" s="407">
        <v>0</v>
      </c>
      <c r="AS422" s="407">
        <v>0</v>
      </c>
      <c r="AT422" s="407">
        <v>0</v>
      </c>
      <c r="AU422" s="407">
        <v>0</v>
      </c>
      <c r="AV422" s="407">
        <v>0</v>
      </c>
      <c r="AW422" s="407">
        <v>0</v>
      </c>
      <c r="AX422" s="407">
        <v>0</v>
      </c>
      <c r="AY422" s="407">
        <v>0</v>
      </c>
      <c r="AZ422" s="407">
        <v>0</v>
      </c>
      <c r="BA422" s="407"/>
      <c r="BB422" s="407">
        <v>0</v>
      </c>
      <c r="BC422" s="407">
        <v>0</v>
      </c>
      <c r="BD422" s="407">
        <v>0</v>
      </c>
      <c r="BE422" s="407">
        <v>0</v>
      </c>
      <c r="BF422" s="407">
        <v>0</v>
      </c>
      <c r="BG422" s="407">
        <v>49.886445066991705</v>
      </c>
      <c r="BH422" s="407">
        <v>0</v>
      </c>
      <c r="BI422" s="407">
        <v>2.76</v>
      </c>
      <c r="BJ422" s="407">
        <v>12.98</v>
      </c>
      <c r="BK422" s="407">
        <v>1116.9100000000001</v>
      </c>
      <c r="BL422" s="407">
        <v>5</v>
      </c>
      <c r="BM422" s="407"/>
      <c r="BN422" s="407"/>
      <c r="BO422" s="407"/>
      <c r="BP422" s="407"/>
      <c r="BQ422" s="407"/>
      <c r="BR422" s="407"/>
      <c r="BS422" s="407"/>
      <c r="BT422" s="407"/>
      <c r="BU422" s="407"/>
      <c r="BV422" s="407">
        <v>732.35736652249886</v>
      </c>
      <c r="BW422" s="407"/>
      <c r="BX422" s="407"/>
      <c r="BY422" s="407"/>
      <c r="BZ422" s="407"/>
      <c r="CA422" s="407"/>
      <c r="CB422" s="407"/>
      <c r="CC422" s="407"/>
      <c r="CD422" s="407"/>
      <c r="CE422" s="407"/>
      <c r="CF422" s="407"/>
      <c r="CG422" s="407"/>
      <c r="CH422" s="407"/>
      <c r="CI422" s="407">
        <v>2710.3625999999999</v>
      </c>
      <c r="CJ422" s="407">
        <v>-864.40365000000065</v>
      </c>
      <c r="CK422" s="407"/>
      <c r="CL422" s="407"/>
      <c r="CM422" s="407"/>
      <c r="CN422" s="407"/>
      <c r="CO422" s="407">
        <v>-988.98750000000018</v>
      </c>
      <c r="CP422" s="407">
        <v>121.55474999999998</v>
      </c>
      <c r="CQ422" s="407">
        <v>31</v>
      </c>
      <c r="CR422" s="407">
        <v>76.349029719288865</v>
      </c>
      <c r="CS422" s="407">
        <v>0</v>
      </c>
      <c r="CT422" s="407">
        <v>0</v>
      </c>
      <c r="CU422" s="407">
        <v>0</v>
      </c>
      <c r="CV422" s="407">
        <v>0</v>
      </c>
      <c r="CW422" s="407">
        <v>0</v>
      </c>
      <c r="CX422" s="407">
        <v>0</v>
      </c>
      <c r="CY422" s="407">
        <v>0</v>
      </c>
      <c r="CZ422" s="407">
        <v>23.31559056960964</v>
      </c>
      <c r="DA422" s="407">
        <v>0</v>
      </c>
      <c r="DB422" s="407">
        <v>0</v>
      </c>
      <c r="DC422" s="407">
        <v>135.31555370372746</v>
      </c>
      <c r="DD422" s="407">
        <v>0</v>
      </c>
      <c r="DE422" s="407">
        <v>0</v>
      </c>
      <c r="DF422" s="407">
        <v>0</v>
      </c>
      <c r="DG422" s="407">
        <v>9.8911348811081581</v>
      </c>
      <c r="DH422" s="407">
        <v>0</v>
      </c>
      <c r="DI422" s="407">
        <v>-19.206794830345956</v>
      </c>
      <c r="DJ422" s="407"/>
      <c r="DK422" s="407">
        <v>0</v>
      </c>
      <c r="DL422" s="407">
        <v>0</v>
      </c>
      <c r="DM422" s="407">
        <v>0</v>
      </c>
      <c r="DN422" s="407">
        <v>0</v>
      </c>
      <c r="DO422" s="407">
        <v>-2.5852988264660084</v>
      </c>
      <c r="DP422" s="407">
        <v>-0.58507387395338561</v>
      </c>
      <c r="DQ422" s="407">
        <v>0</v>
      </c>
      <c r="DR422" s="407">
        <v>-69.796081904391528</v>
      </c>
      <c r="DS422" s="407"/>
      <c r="DT422" s="407"/>
      <c r="DU422" s="407"/>
      <c r="DV422" s="407">
        <v>1847.6410092328158</v>
      </c>
      <c r="DW422" s="407">
        <v>0</v>
      </c>
      <c r="DX422" s="407">
        <v>0</v>
      </c>
      <c r="DY422" s="407">
        <v>-988.98750000000018</v>
      </c>
      <c r="DZ422" s="407">
        <v>121.55475000000001</v>
      </c>
      <c r="EA422" s="407">
        <v>0</v>
      </c>
      <c r="EB422" s="407">
        <v>0</v>
      </c>
      <c r="EC422" s="407">
        <v>-943.77931889028241</v>
      </c>
      <c r="ED422" s="407">
        <v>0</v>
      </c>
      <c r="EE422" s="407">
        <v>0</v>
      </c>
      <c r="EF422" s="407">
        <v>0</v>
      </c>
      <c r="EG422" s="407">
        <v>0</v>
      </c>
      <c r="EH422" s="407">
        <v>0</v>
      </c>
      <c r="EI422" s="407">
        <v>0</v>
      </c>
      <c r="EJ422" s="407">
        <v>0</v>
      </c>
      <c r="EK422" s="407">
        <v>0</v>
      </c>
      <c r="EL422" s="407">
        <v>0</v>
      </c>
      <c r="EM422" s="407">
        <v>0</v>
      </c>
      <c r="EN422" s="407">
        <v>0</v>
      </c>
      <c r="EO422" s="407">
        <v>0</v>
      </c>
      <c r="EP422" s="407">
        <v>129.89233376380102</v>
      </c>
      <c r="EQ422" s="407">
        <v>0</v>
      </c>
      <c r="ER422" s="407">
        <v>0</v>
      </c>
      <c r="ES422" s="407">
        <v>0</v>
      </c>
      <c r="ET422" s="407">
        <v>0</v>
      </c>
      <c r="EU422" s="407">
        <v>0</v>
      </c>
      <c r="EV422" s="407">
        <v>246</v>
      </c>
      <c r="EW422" s="407">
        <v>0</v>
      </c>
      <c r="EX422" s="407">
        <v>0</v>
      </c>
      <c r="EY422" s="407">
        <v>0</v>
      </c>
      <c r="EZ422" s="407"/>
      <c r="FA422" s="407">
        <v>0</v>
      </c>
      <c r="FB422" s="407"/>
      <c r="FC422" s="407"/>
      <c r="FD422" s="407"/>
      <c r="FE422" s="407"/>
      <c r="FF422" s="407">
        <v>0</v>
      </c>
      <c r="FG422" s="407">
        <v>0</v>
      </c>
      <c r="FH422" s="407">
        <v>0</v>
      </c>
      <c r="FI422" s="407">
        <v>0</v>
      </c>
    </row>
    <row r="423" spans="1:165">
      <c r="A423" s="407">
        <v>440</v>
      </c>
      <c r="B423" s="407" t="s">
        <v>1090</v>
      </c>
      <c r="C423" s="407" t="s">
        <v>2306</v>
      </c>
      <c r="D423" s="407" t="s">
        <v>2315</v>
      </c>
      <c r="E423" s="407" t="s">
        <v>1026</v>
      </c>
      <c r="F423" s="407" t="s">
        <v>2323</v>
      </c>
      <c r="G423" s="407" t="s">
        <v>2324</v>
      </c>
      <c r="H423" s="407" t="s">
        <v>97</v>
      </c>
      <c r="I423" s="407" t="s">
        <v>97</v>
      </c>
      <c r="J423" s="407" t="s">
        <v>2307</v>
      </c>
      <c r="K423" s="818">
        <v>44562</v>
      </c>
      <c r="L423" s="407">
        <v>0</v>
      </c>
      <c r="M423" s="407">
        <v>0</v>
      </c>
      <c r="N423" s="407">
        <v>0</v>
      </c>
      <c r="O423" s="407">
        <v>0</v>
      </c>
      <c r="P423" s="407">
        <v>0</v>
      </c>
      <c r="Q423" s="407">
        <v>0</v>
      </c>
      <c r="R423" s="407"/>
      <c r="S423" s="407"/>
      <c r="T423" s="407"/>
      <c r="U423" s="407"/>
      <c r="V423" s="407"/>
      <c r="W423" s="407"/>
      <c r="X423" s="407"/>
      <c r="Y423" s="407"/>
      <c r="Z423" s="407"/>
      <c r="AA423" s="407">
        <v>0</v>
      </c>
      <c r="AB423" s="407"/>
      <c r="AC423" s="407"/>
      <c r="AD423" s="407"/>
      <c r="AE423" s="407"/>
      <c r="AF423" s="407"/>
      <c r="AG423" s="407"/>
      <c r="AH423" s="407"/>
      <c r="AI423" s="407"/>
      <c r="AJ423" s="407"/>
      <c r="AK423" s="407"/>
      <c r="AL423" s="407"/>
      <c r="AM423" s="407"/>
      <c r="AN423" s="407"/>
      <c r="AO423" s="407"/>
      <c r="AP423" s="407"/>
      <c r="AQ423" s="407"/>
      <c r="AR423" s="407"/>
      <c r="AS423" s="407"/>
      <c r="AT423" s="407"/>
      <c r="AU423" s="407"/>
      <c r="AV423" s="407"/>
      <c r="AW423" s="407"/>
      <c r="AX423" s="407"/>
      <c r="AY423" s="407"/>
      <c r="AZ423" s="407">
        <v>0</v>
      </c>
      <c r="BA423" s="407"/>
      <c r="BB423" s="407"/>
      <c r="BC423" s="407"/>
      <c r="BD423" s="407"/>
      <c r="BE423" s="407"/>
      <c r="BF423" s="407"/>
      <c r="BG423" s="407"/>
      <c r="BH423" s="407"/>
      <c r="BI423" s="407">
        <v>78.069999999999993</v>
      </c>
      <c r="BJ423" s="407">
        <v>365.22</v>
      </c>
      <c r="BK423" s="407">
        <v>381.46</v>
      </c>
      <c r="BL423" s="407">
        <v>38</v>
      </c>
      <c r="BM423" s="407"/>
      <c r="BN423" s="407"/>
      <c r="BO423" s="407"/>
      <c r="BP423" s="407"/>
      <c r="BQ423" s="407"/>
      <c r="BR423" s="407"/>
      <c r="BS423" s="407"/>
      <c r="BT423" s="407"/>
      <c r="BU423" s="407"/>
      <c r="BV423" s="407"/>
      <c r="BW423" s="407"/>
      <c r="BX423" s="407"/>
      <c r="BY423" s="407"/>
      <c r="BZ423" s="407"/>
      <c r="CA423" s="407"/>
      <c r="CB423" s="407"/>
      <c r="CC423" s="407"/>
      <c r="CD423" s="407"/>
      <c r="CE423" s="407"/>
      <c r="CF423" s="407"/>
      <c r="CG423" s="407"/>
      <c r="CH423" s="407"/>
      <c r="CI423" s="407"/>
      <c r="CJ423" s="407">
        <v>-0.03</v>
      </c>
      <c r="CK423" s="407"/>
      <c r="CL423" s="407"/>
      <c r="CM423" s="407"/>
      <c r="CN423" s="407"/>
      <c r="CO423" s="407">
        <v>0</v>
      </c>
      <c r="CP423" s="407">
        <v>0</v>
      </c>
      <c r="CQ423" s="407">
        <v>31</v>
      </c>
      <c r="CR423" s="407"/>
      <c r="CS423" s="407"/>
      <c r="CT423" s="407"/>
      <c r="CU423" s="407"/>
      <c r="CV423" s="407"/>
      <c r="CW423" s="407"/>
      <c r="CX423" s="407"/>
      <c r="CY423" s="407"/>
      <c r="CZ423" s="407"/>
      <c r="DA423" s="407"/>
      <c r="DB423" s="407"/>
      <c r="DC423" s="407"/>
      <c r="DD423" s="407"/>
      <c r="DE423" s="407"/>
      <c r="DF423" s="407"/>
      <c r="DG423" s="407"/>
      <c r="DH423" s="407"/>
      <c r="DI423" s="407"/>
      <c r="DJ423" s="407"/>
      <c r="DK423" s="407">
        <v>0</v>
      </c>
      <c r="DL423" s="407"/>
      <c r="DM423" s="407"/>
      <c r="DN423" s="407"/>
      <c r="DO423" s="407"/>
      <c r="DP423" s="407"/>
      <c r="DQ423" s="407"/>
      <c r="DR423" s="407"/>
      <c r="DS423" s="407"/>
      <c r="DT423" s="407"/>
      <c r="DU423" s="407"/>
      <c r="DV423" s="407"/>
      <c r="DW423" s="407"/>
      <c r="DX423" s="407"/>
      <c r="DY423" s="407"/>
      <c r="DZ423" s="407"/>
      <c r="EA423" s="407"/>
      <c r="EB423" s="407"/>
      <c r="EC423" s="407"/>
      <c r="ED423" s="407"/>
      <c r="EE423" s="407"/>
      <c r="EF423" s="407"/>
      <c r="EG423" s="407"/>
      <c r="EH423" s="407"/>
      <c r="EI423" s="407"/>
      <c r="EJ423" s="407"/>
      <c r="EK423" s="407"/>
      <c r="EL423" s="407"/>
      <c r="EM423" s="407"/>
      <c r="EN423" s="407"/>
      <c r="EO423" s="407"/>
      <c r="EP423" s="407"/>
      <c r="EQ423" s="407"/>
      <c r="ER423" s="407"/>
      <c r="ES423" s="407"/>
      <c r="ET423" s="407"/>
      <c r="EU423" s="407"/>
      <c r="EV423" s="407">
        <v>246</v>
      </c>
      <c r="EW423" s="407"/>
      <c r="EX423" s="407"/>
      <c r="EY423" s="407"/>
      <c r="EZ423" s="407"/>
      <c r="FA423" s="407">
        <v>0</v>
      </c>
      <c r="FB423" s="407"/>
      <c r="FC423" s="407"/>
      <c r="FD423" s="407"/>
      <c r="FE423" s="407"/>
      <c r="FF423" s="407">
        <v>0</v>
      </c>
      <c r="FG423" s="407">
        <v>0</v>
      </c>
      <c r="FH423" s="407">
        <v>0</v>
      </c>
      <c r="FI423" s="407">
        <v>0</v>
      </c>
    </row>
    <row r="424" spans="1:165">
      <c r="A424" s="407">
        <v>441</v>
      </c>
      <c r="B424" s="407" t="s">
        <v>2309</v>
      </c>
      <c r="C424" s="407" t="s">
        <v>2306</v>
      </c>
      <c r="D424" s="407" t="s">
        <v>2315</v>
      </c>
      <c r="E424" s="407" t="s">
        <v>1026</v>
      </c>
      <c r="F424" s="407" t="s">
        <v>2323</v>
      </c>
      <c r="G424" s="407" t="s">
        <v>2324</v>
      </c>
      <c r="H424" s="407" t="s">
        <v>97</v>
      </c>
      <c r="I424" s="407" t="s">
        <v>97</v>
      </c>
      <c r="J424" s="407" t="s">
        <v>2307</v>
      </c>
      <c r="K424" s="818">
        <v>44562</v>
      </c>
      <c r="L424" s="407">
        <v>0</v>
      </c>
      <c r="M424" s="407">
        <v>0</v>
      </c>
      <c r="N424" s="407">
        <v>0</v>
      </c>
      <c r="O424" s="407">
        <v>0</v>
      </c>
      <c r="P424" s="407">
        <v>0</v>
      </c>
      <c r="Q424" s="407">
        <v>0</v>
      </c>
      <c r="R424" s="407"/>
      <c r="S424" s="407"/>
      <c r="T424" s="407"/>
      <c r="U424" s="407"/>
      <c r="V424" s="407"/>
      <c r="W424" s="407"/>
      <c r="X424" s="407"/>
      <c r="Y424" s="407"/>
      <c r="Z424" s="407"/>
      <c r="AA424" s="407">
        <v>0</v>
      </c>
      <c r="AB424" s="407"/>
      <c r="AC424" s="407"/>
      <c r="AD424" s="407"/>
      <c r="AE424" s="407"/>
      <c r="AF424" s="407"/>
      <c r="AG424" s="407"/>
      <c r="AH424" s="407"/>
      <c r="AI424" s="407"/>
      <c r="AJ424" s="407"/>
      <c r="AK424" s="407"/>
      <c r="AL424" s="407"/>
      <c r="AM424" s="407"/>
      <c r="AN424" s="407"/>
      <c r="AO424" s="407"/>
      <c r="AP424" s="407"/>
      <c r="AQ424" s="407"/>
      <c r="AR424" s="407"/>
      <c r="AS424" s="407"/>
      <c r="AT424" s="407"/>
      <c r="AU424" s="407"/>
      <c r="AV424" s="407"/>
      <c r="AW424" s="407"/>
      <c r="AX424" s="407"/>
      <c r="AY424" s="407"/>
      <c r="AZ424" s="407">
        <v>0</v>
      </c>
      <c r="BA424" s="407"/>
      <c r="BB424" s="407"/>
      <c r="BC424" s="407"/>
      <c r="BD424" s="407"/>
      <c r="BE424" s="407"/>
      <c r="BF424" s="407"/>
      <c r="BG424" s="407"/>
      <c r="BH424" s="407"/>
      <c r="BI424" s="407">
        <v>16.14</v>
      </c>
      <c r="BJ424" s="407">
        <v>75.489999999999995</v>
      </c>
      <c r="BK424" s="407">
        <v>58.1</v>
      </c>
      <c r="BL424" s="407">
        <v>6</v>
      </c>
      <c r="BM424" s="407"/>
      <c r="BN424" s="407"/>
      <c r="BO424" s="407"/>
      <c r="BP424" s="407"/>
      <c r="BQ424" s="407"/>
      <c r="BR424" s="407"/>
      <c r="BS424" s="407"/>
      <c r="BT424" s="407"/>
      <c r="BU424" s="407"/>
      <c r="BV424" s="407"/>
      <c r="BW424" s="407"/>
      <c r="BX424" s="407"/>
      <c r="BY424" s="407"/>
      <c r="BZ424" s="407"/>
      <c r="CA424" s="407"/>
      <c r="CB424" s="407"/>
      <c r="CC424" s="407"/>
      <c r="CD424" s="407"/>
      <c r="CE424" s="407"/>
      <c r="CF424" s="407"/>
      <c r="CG424" s="407"/>
      <c r="CH424" s="407"/>
      <c r="CI424" s="407"/>
      <c r="CJ424" s="407">
        <v>-0.03</v>
      </c>
      <c r="CK424" s="407"/>
      <c r="CL424" s="407"/>
      <c r="CM424" s="407"/>
      <c r="CN424" s="407"/>
      <c r="CO424" s="407">
        <v>0</v>
      </c>
      <c r="CP424" s="407">
        <v>0</v>
      </c>
      <c r="CQ424" s="407">
        <v>31</v>
      </c>
      <c r="CR424" s="407"/>
      <c r="CS424" s="407"/>
      <c r="CT424" s="407"/>
      <c r="CU424" s="407"/>
      <c r="CV424" s="407"/>
      <c r="CW424" s="407"/>
      <c r="CX424" s="407"/>
      <c r="CY424" s="407"/>
      <c r="CZ424" s="407"/>
      <c r="DA424" s="407"/>
      <c r="DB424" s="407"/>
      <c r="DC424" s="407"/>
      <c r="DD424" s="407"/>
      <c r="DE424" s="407"/>
      <c r="DF424" s="407"/>
      <c r="DG424" s="407"/>
      <c r="DH424" s="407"/>
      <c r="DI424" s="407"/>
      <c r="DJ424" s="407"/>
      <c r="DK424" s="407">
        <v>0</v>
      </c>
      <c r="DL424" s="407"/>
      <c r="DM424" s="407"/>
      <c r="DN424" s="407"/>
      <c r="DO424" s="407"/>
      <c r="DP424" s="407"/>
      <c r="DQ424" s="407"/>
      <c r="DR424" s="407"/>
      <c r="DS424" s="407"/>
      <c r="DT424" s="407"/>
      <c r="DU424" s="407"/>
      <c r="DV424" s="407"/>
      <c r="DW424" s="407"/>
      <c r="DX424" s="407"/>
      <c r="DY424" s="407"/>
      <c r="DZ424" s="407"/>
      <c r="EA424" s="407"/>
      <c r="EB424" s="407"/>
      <c r="EC424" s="407"/>
      <c r="ED424" s="407"/>
      <c r="EE424" s="407"/>
      <c r="EF424" s="407"/>
      <c r="EG424" s="407"/>
      <c r="EH424" s="407"/>
      <c r="EI424" s="407"/>
      <c r="EJ424" s="407"/>
      <c r="EK424" s="407"/>
      <c r="EL424" s="407"/>
      <c r="EM424" s="407"/>
      <c r="EN424" s="407"/>
      <c r="EO424" s="407"/>
      <c r="EP424" s="407"/>
      <c r="EQ424" s="407"/>
      <c r="ER424" s="407"/>
      <c r="ES424" s="407"/>
      <c r="ET424" s="407"/>
      <c r="EU424" s="407"/>
      <c r="EV424" s="407">
        <v>246</v>
      </c>
      <c r="EW424" s="407"/>
      <c r="EX424" s="407"/>
      <c r="EY424" s="407"/>
      <c r="EZ424" s="407"/>
      <c r="FA424" s="407">
        <v>0</v>
      </c>
      <c r="FB424" s="407"/>
      <c r="FC424" s="407"/>
      <c r="FD424" s="407"/>
      <c r="FE424" s="407"/>
      <c r="FF424" s="407">
        <v>0</v>
      </c>
      <c r="FG424" s="407">
        <v>0</v>
      </c>
      <c r="FH424" s="407">
        <v>0</v>
      </c>
      <c r="FI424" s="407">
        <v>0</v>
      </c>
    </row>
    <row r="425" spans="1:165">
      <c r="A425" s="407">
        <v>442</v>
      </c>
      <c r="B425" s="407" t="s">
        <v>1090</v>
      </c>
      <c r="C425" s="407" t="s">
        <v>2306</v>
      </c>
      <c r="D425" s="407" t="s">
        <v>2315</v>
      </c>
      <c r="E425" s="407" t="s">
        <v>1026</v>
      </c>
      <c r="F425" s="407" t="s">
        <v>2323</v>
      </c>
      <c r="G425" s="407" t="s">
        <v>2324</v>
      </c>
      <c r="H425" s="407" t="s">
        <v>97</v>
      </c>
      <c r="I425" s="407" t="s">
        <v>97</v>
      </c>
      <c r="J425" s="407" t="s">
        <v>2307</v>
      </c>
      <c r="K425" s="818">
        <v>44562</v>
      </c>
      <c r="L425" s="407">
        <v>0</v>
      </c>
      <c r="M425" s="407">
        <v>0</v>
      </c>
      <c r="N425" s="407">
        <v>136.084</v>
      </c>
      <c r="O425" s="407">
        <v>136.084</v>
      </c>
      <c r="P425" s="407">
        <v>136.084</v>
      </c>
      <c r="Q425" s="407">
        <v>136.084</v>
      </c>
      <c r="R425" s="407"/>
      <c r="S425" s="407">
        <v>648.44000000000005</v>
      </c>
      <c r="T425" s="407">
        <v>159.41</v>
      </c>
      <c r="U425" s="407"/>
      <c r="V425" s="407">
        <v>109935.45940000001</v>
      </c>
      <c r="W425" s="407">
        <v>109935.45940000001</v>
      </c>
      <c r="X425" s="407">
        <v>83258.912880000003</v>
      </c>
      <c r="Y425" s="407">
        <v>0</v>
      </c>
      <c r="Z425" s="407">
        <v>8433.1595867338328</v>
      </c>
      <c r="AA425" s="407">
        <v>0</v>
      </c>
      <c r="AB425" s="407">
        <v>0</v>
      </c>
      <c r="AC425" s="407">
        <v>0</v>
      </c>
      <c r="AD425" s="407">
        <v>15873.440096622377</v>
      </c>
      <c r="AE425" s="407">
        <v>56821.328610268589</v>
      </c>
      <c r="AF425" s="407">
        <v>20988.332853186723</v>
      </c>
      <c r="AG425" s="407">
        <v>705.15289115105793</v>
      </c>
      <c r="AH425" s="407">
        <v>0</v>
      </c>
      <c r="AI425" s="407">
        <v>0</v>
      </c>
      <c r="AJ425" s="407">
        <v>0</v>
      </c>
      <c r="AK425" s="407">
        <v>0</v>
      </c>
      <c r="AL425" s="407">
        <v>1303.1479163503921</v>
      </c>
      <c r="AM425" s="407"/>
      <c r="AN425" s="407">
        <v>282.3873151388571</v>
      </c>
      <c r="AO425" s="407">
        <v>0</v>
      </c>
      <c r="AP425" s="407">
        <v>0</v>
      </c>
      <c r="AQ425" s="407">
        <v>0</v>
      </c>
      <c r="AR425" s="407">
        <v>0</v>
      </c>
      <c r="AS425" s="407">
        <v>0</v>
      </c>
      <c r="AT425" s="407">
        <v>0</v>
      </c>
      <c r="AU425" s="407">
        <v>0</v>
      </c>
      <c r="AV425" s="407">
        <v>0</v>
      </c>
      <c r="AW425" s="407">
        <v>0</v>
      </c>
      <c r="AX425" s="407">
        <v>0</v>
      </c>
      <c r="AY425" s="407">
        <v>0</v>
      </c>
      <c r="AZ425" s="407">
        <v>0</v>
      </c>
      <c r="BA425" s="407"/>
      <c r="BB425" s="407">
        <v>0</v>
      </c>
      <c r="BC425" s="407">
        <v>0</v>
      </c>
      <c r="BD425" s="407">
        <v>0</v>
      </c>
      <c r="BE425" s="407">
        <v>0</v>
      </c>
      <c r="BF425" s="407">
        <v>0</v>
      </c>
      <c r="BG425" s="407">
        <v>1534.1801108466666</v>
      </c>
      <c r="BH425" s="407">
        <v>0</v>
      </c>
      <c r="BI425" s="407">
        <v>0</v>
      </c>
      <c r="BJ425" s="407">
        <v>0</v>
      </c>
      <c r="BK425" s="407">
        <v>0</v>
      </c>
      <c r="BL425" s="407">
        <v>0</v>
      </c>
      <c r="BM425" s="407"/>
      <c r="BN425" s="407"/>
      <c r="BO425" s="407"/>
      <c r="BP425" s="407"/>
      <c r="BQ425" s="407"/>
      <c r="BR425" s="407">
        <v>9991.2872800000023</v>
      </c>
      <c r="BS425" s="407"/>
      <c r="BT425" s="407"/>
      <c r="BU425" s="407"/>
      <c r="BV425" s="407">
        <v>22522.512964033391</v>
      </c>
      <c r="BW425" s="407"/>
      <c r="BX425" s="407"/>
      <c r="BY425" s="407"/>
      <c r="BZ425" s="407"/>
      <c r="CA425" s="407"/>
      <c r="CB425" s="407"/>
      <c r="CC425" s="407"/>
      <c r="CD425" s="407"/>
      <c r="CE425" s="407"/>
      <c r="CF425" s="407"/>
      <c r="CG425" s="407"/>
      <c r="CH425" s="407"/>
      <c r="CI425" s="407">
        <v>73265.472000000009</v>
      </c>
      <c r="CJ425" s="407">
        <v>-23478.034439999974</v>
      </c>
      <c r="CK425" s="407"/>
      <c r="CL425" s="407"/>
      <c r="CM425" s="407"/>
      <c r="CN425" s="407"/>
      <c r="CO425" s="407">
        <v>-30414.774000000009</v>
      </c>
      <c r="CP425" s="407">
        <v>3738.22748</v>
      </c>
      <c r="CQ425" s="407">
        <v>31</v>
      </c>
      <c r="CR425" s="407">
        <v>2347.9957876428671</v>
      </c>
      <c r="CS425" s="407">
        <v>0</v>
      </c>
      <c r="CT425" s="407">
        <v>0</v>
      </c>
      <c r="CU425" s="407">
        <v>0</v>
      </c>
      <c r="CV425" s="407">
        <v>0</v>
      </c>
      <c r="CW425" s="407">
        <v>0</v>
      </c>
      <c r="CX425" s="407">
        <v>0</v>
      </c>
      <c r="CY425" s="407">
        <v>0</v>
      </c>
      <c r="CZ425" s="407">
        <v>717.03476318073808</v>
      </c>
      <c r="DA425" s="407">
        <v>0</v>
      </c>
      <c r="DB425" s="407">
        <v>0</v>
      </c>
      <c r="DC425" s="407">
        <v>4161.4196181283733</v>
      </c>
      <c r="DD425" s="407">
        <v>0</v>
      </c>
      <c r="DE425" s="407">
        <v>0</v>
      </c>
      <c r="DF425" s="407">
        <v>0</v>
      </c>
      <c r="DG425" s="407">
        <v>304.18648568603908</v>
      </c>
      <c r="DH425" s="407">
        <v>0</v>
      </c>
      <c r="DI425" s="407">
        <v>-590.67513394187608</v>
      </c>
      <c r="DJ425" s="407"/>
      <c r="DK425" s="407">
        <v>0</v>
      </c>
      <c r="DL425" s="407">
        <v>0</v>
      </c>
      <c r="DM425" s="407">
        <v>0</v>
      </c>
      <c r="DN425" s="407">
        <v>0</v>
      </c>
      <c r="DO425" s="407">
        <v>-79.506848700745877</v>
      </c>
      <c r="DP425" s="407">
        <v>-17.993037980355382</v>
      </c>
      <c r="DQ425" s="407">
        <v>0</v>
      </c>
      <c r="DR425" s="407">
        <v>-2146.4700587293146</v>
      </c>
      <c r="DS425" s="407"/>
      <c r="DT425" s="407"/>
      <c r="DU425" s="407"/>
      <c r="DV425" s="407">
        <v>56821.328610268589</v>
      </c>
      <c r="DW425" s="407">
        <v>0</v>
      </c>
      <c r="DX425" s="407">
        <v>0</v>
      </c>
      <c r="DY425" s="407">
        <v>-30414.774000000005</v>
      </c>
      <c r="DZ425" s="407">
        <v>3738.2274799999977</v>
      </c>
      <c r="EA425" s="407">
        <v>0</v>
      </c>
      <c r="EB425" s="407">
        <v>0</v>
      </c>
      <c r="EC425" s="407">
        <v>-29024.466628670096</v>
      </c>
      <c r="ED425" s="407">
        <v>0</v>
      </c>
      <c r="EE425" s="407">
        <v>0</v>
      </c>
      <c r="EF425" s="407">
        <v>0</v>
      </c>
      <c r="EG425" s="407">
        <v>0</v>
      </c>
      <c r="EH425" s="407">
        <v>0</v>
      </c>
      <c r="EI425" s="407">
        <v>0</v>
      </c>
      <c r="EJ425" s="407">
        <v>0</v>
      </c>
      <c r="EK425" s="407">
        <v>0</v>
      </c>
      <c r="EL425" s="407">
        <v>0</v>
      </c>
      <c r="EM425" s="407">
        <v>0</v>
      </c>
      <c r="EN425" s="407">
        <v>0</v>
      </c>
      <c r="EO425" s="407">
        <v>0</v>
      </c>
      <c r="EP425" s="407">
        <v>3994.6369147826217</v>
      </c>
      <c r="EQ425" s="407">
        <v>0</v>
      </c>
      <c r="ER425" s="407">
        <v>0</v>
      </c>
      <c r="ES425" s="407">
        <v>0</v>
      </c>
      <c r="ET425" s="407">
        <v>0</v>
      </c>
      <c r="EU425" s="407">
        <v>0</v>
      </c>
      <c r="EV425" s="407">
        <v>246</v>
      </c>
      <c r="EW425" s="407">
        <v>0</v>
      </c>
      <c r="EX425" s="407">
        <v>0</v>
      </c>
      <c r="EY425" s="407">
        <v>0</v>
      </c>
      <c r="EZ425" s="407"/>
      <c r="FA425" s="407">
        <v>0</v>
      </c>
      <c r="FB425" s="407"/>
      <c r="FC425" s="407"/>
      <c r="FD425" s="407"/>
      <c r="FE425" s="407"/>
      <c r="FF425" s="407">
        <v>0</v>
      </c>
      <c r="FG425" s="407">
        <v>0</v>
      </c>
      <c r="FH425" s="407">
        <v>0</v>
      </c>
      <c r="FI425" s="407">
        <v>0</v>
      </c>
    </row>
    <row r="426" spans="1:165">
      <c r="A426" s="407">
        <v>443</v>
      </c>
      <c r="B426" s="407" t="s">
        <v>2309</v>
      </c>
      <c r="C426" s="407" t="s">
        <v>2306</v>
      </c>
      <c r="D426" s="407" t="s">
        <v>2315</v>
      </c>
      <c r="E426" s="407" t="s">
        <v>1026</v>
      </c>
      <c r="F426" s="407" t="s">
        <v>2323</v>
      </c>
      <c r="G426" s="407" t="s">
        <v>2324</v>
      </c>
      <c r="H426" s="407" t="s">
        <v>97</v>
      </c>
      <c r="I426" s="407" t="s">
        <v>97</v>
      </c>
      <c r="J426" s="407" t="s">
        <v>2307</v>
      </c>
      <c r="K426" s="818">
        <v>44562</v>
      </c>
      <c r="L426" s="407">
        <v>0</v>
      </c>
      <c r="M426" s="407">
        <v>0</v>
      </c>
      <c r="N426" s="407">
        <v>28.855</v>
      </c>
      <c r="O426" s="407">
        <v>28.855</v>
      </c>
      <c r="P426" s="407">
        <v>28.855</v>
      </c>
      <c r="Q426" s="407">
        <v>28.855</v>
      </c>
      <c r="R426" s="407"/>
      <c r="S426" s="407">
        <v>648.44000000000005</v>
      </c>
      <c r="T426" s="407">
        <v>159.41</v>
      </c>
      <c r="U426" s="407"/>
      <c r="V426" s="407">
        <v>23310.511750000005</v>
      </c>
      <c r="W426" s="407">
        <v>23310.511750000005</v>
      </c>
      <c r="X426" s="407">
        <v>17654.0661</v>
      </c>
      <c r="Y426" s="407">
        <v>0</v>
      </c>
      <c r="Z426" s="407">
        <v>1788.1515819288434</v>
      </c>
      <c r="AA426" s="407">
        <v>0</v>
      </c>
      <c r="AB426" s="407">
        <v>0</v>
      </c>
      <c r="AC426" s="407">
        <v>0</v>
      </c>
      <c r="AD426" s="407">
        <v>3365.7749183448364</v>
      </c>
      <c r="AE426" s="407">
        <v>12048.289564161107</v>
      </c>
      <c r="AF426" s="407">
        <v>4450.3273307567597</v>
      </c>
      <c r="AG426" s="407">
        <v>149.51931655568455</v>
      </c>
      <c r="AH426" s="407">
        <v>0</v>
      </c>
      <c r="AI426" s="407">
        <v>0</v>
      </c>
      <c r="AJ426" s="407">
        <v>0</v>
      </c>
      <c r="AK426" s="407">
        <v>0</v>
      </c>
      <c r="AL426" s="407">
        <v>276.3170771456642</v>
      </c>
      <c r="AM426" s="407"/>
      <c r="AN426" s="407">
        <v>59.876884706003075</v>
      </c>
      <c r="AO426" s="407">
        <v>0</v>
      </c>
      <c r="AP426" s="407">
        <v>0</v>
      </c>
      <c r="AQ426" s="407">
        <v>0</v>
      </c>
      <c r="AR426" s="407">
        <v>0</v>
      </c>
      <c r="AS426" s="407">
        <v>0</v>
      </c>
      <c r="AT426" s="407">
        <v>0</v>
      </c>
      <c r="AU426" s="407">
        <v>0</v>
      </c>
      <c r="AV426" s="407">
        <v>0</v>
      </c>
      <c r="AW426" s="407">
        <v>0</v>
      </c>
      <c r="AX426" s="407">
        <v>0</v>
      </c>
      <c r="AY426" s="407">
        <v>0</v>
      </c>
      <c r="AZ426" s="407">
        <v>0</v>
      </c>
      <c r="BA426" s="407"/>
      <c r="BB426" s="407">
        <v>0</v>
      </c>
      <c r="BC426" s="407">
        <v>0</v>
      </c>
      <c r="BD426" s="407">
        <v>0</v>
      </c>
      <c r="BE426" s="407">
        <v>0</v>
      </c>
      <c r="BF426" s="407">
        <v>0</v>
      </c>
      <c r="BG426" s="407">
        <v>325.30471692837187</v>
      </c>
      <c r="BH426" s="407">
        <v>0</v>
      </c>
      <c r="BI426" s="407">
        <v>0</v>
      </c>
      <c r="BJ426" s="407">
        <v>0</v>
      </c>
      <c r="BK426" s="407">
        <v>0</v>
      </c>
      <c r="BL426" s="407">
        <v>0</v>
      </c>
      <c r="BM426" s="407"/>
      <c r="BN426" s="407"/>
      <c r="BO426" s="407"/>
      <c r="BP426" s="407"/>
      <c r="BQ426" s="407"/>
      <c r="BR426" s="407">
        <v>2118.5341000000003</v>
      </c>
      <c r="BS426" s="407"/>
      <c r="BT426" s="407"/>
      <c r="BU426" s="407"/>
      <c r="BV426" s="407">
        <v>4775.6320476851315</v>
      </c>
      <c r="BW426" s="407"/>
      <c r="BX426" s="407"/>
      <c r="BY426" s="407"/>
      <c r="BZ426" s="407"/>
      <c r="CA426" s="407"/>
      <c r="CB426" s="407"/>
      <c r="CC426" s="407"/>
      <c r="CD426" s="407"/>
      <c r="CE426" s="407"/>
      <c r="CF426" s="407"/>
      <c r="CG426" s="407"/>
      <c r="CH426" s="407"/>
      <c r="CI426" s="407">
        <v>15538.223999999998</v>
      </c>
      <c r="CJ426" s="407">
        <v>-4975.1140499999965</v>
      </c>
      <c r="CK426" s="407"/>
      <c r="CL426" s="407"/>
      <c r="CM426" s="407"/>
      <c r="CN426" s="407"/>
      <c r="CO426" s="407">
        <v>-6449.0925000000016</v>
      </c>
      <c r="CP426" s="407">
        <v>792.64684999999997</v>
      </c>
      <c r="CQ426" s="407">
        <v>31</v>
      </c>
      <c r="CR426" s="407">
        <v>497.86468984182102</v>
      </c>
      <c r="CS426" s="407">
        <v>0</v>
      </c>
      <c r="CT426" s="407">
        <v>0</v>
      </c>
      <c r="CU426" s="407">
        <v>0</v>
      </c>
      <c r="CV426" s="407">
        <v>0</v>
      </c>
      <c r="CW426" s="407">
        <v>0</v>
      </c>
      <c r="CX426" s="407">
        <v>0</v>
      </c>
      <c r="CY426" s="407">
        <v>0</v>
      </c>
      <c r="CZ426" s="407">
        <v>152.03872675391767</v>
      </c>
      <c r="DA426" s="407">
        <v>0</v>
      </c>
      <c r="DB426" s="407">
        <v>0</v>
      </c>
      <c r="DC426" s="407">
        <v>882.3797292928939</v>
      </c>
      <c r="DD426" s="407">
        <v>0</v>
      </c>
      <c r="DE426" s="407">
        <v>0</v>
      </c>
      <c r="DF426" s="407">
        <v>0</v>
      </c>
      <c r="DG426" s="407">
        <v>64.499140563700792</v>
      </c>
      <c r="DH426" s="407">
        <v>0</v>
      </c>
      <c r="DI426" s="407">
        <v>-125.24566436827854</v>
      </c>
      <c r="DJ426" s="407"/>
      <c r="DK426" s="407">
        <v>0</v>
      </c>
      <c r="DL426" s="407">
        <v>0</v>
      </c>
      <c r="DM426" s="407">
        <v>0</v>
      </c>
      <c r="DN426" s="407">
        <v>0</v>
      </c>
      <c r="DO426" s="407">
        <v>-16.858485341847882</v>
      </c>
      <c r="DP426" s="407">
        <v>-3.8152105385141155</v>
      </c>
      <c r="DQ426" s="407">
        <v>0</v>
      </c>
      <c r="DR426" s="407">
        <v>-455.13354652004915</v>
      </c>
      <c r="DS426" s="407"/>
      <c r="DT426" s="407"/>
      <c r="DU426" s="407"/>
      <c r="DV426" s="407">
        <v>12048.289564161107</v>
      </c>
      <c r="DW426" s="407">
        <v>0</v>
      </c>
      <c r="DX426" s="407">
        <v>0</v>
      </c>
      <c r="DY426" s="407">
        <v>-6449.0925000000025</v>
      </c>
      <c r="DZ426" s="407">
        <v>792.64685000000009</v>
      </c>
      <c r="EA426" s="407">
        <v>0</v>
      </c>
      <c r="EB426" s="407">
        <v>0</v>
      </c>
      <c r="EC426" s="407">
        <v>-6154.2942930122244</v>
      </c>
      <c r="ED426" s="407">
        <v>0</v>
      </c>
      <c r="EE426" s="407">
        <v>0</v>
      </c>
      <c r="EF426" s="407">
        <v>0</v>
      </c>
      <c r="EG426" s="407">
        <v>0</v>
      </c>
      <c r="EH426" s="407">
        <v>0</v>
      </c>
      <c r="EI426" s="407">
        <v>0</v>
      </c>
      <c r="EJ426" s="407">
        <v>0</v>
      </c>
      <c r="EK426" s="407">
        <v>0</v>
      </c>
      <c r="EL426" s="407">
        <v>0</v>
      </c>
      <c r="EM426" s="407">
        <v>0</v>
      </c>
      <c r="EN426" s="407">
        <v>0</v>
      </c>
      <c r="EO426" s="407">
        <v>0</v>
      </c>
      <c r="EP426" s="407">
        <v>847.01543293886527</v>
      </c>
      <c r="EQ426" s="407">
        <v>0</v>
      </c>
      <c r="ER426" s="407">
        <v>0</v>
      </c>
      <c r="ES426" s="407">
        <v>0</v>
      </c>
      <c r="ET426" s="407">
        <v>0</v>
      </c>
      <c r="EU426" s="407">
        <v>0</v>
      </c>
      <c r="EV426" s="407">
        <v>246</v>
      </c>
      <c r="EW426" s="407">
        <v>0</v>
      </c>
      <c r="EX426" s="407">
        <v>0</v>
      </c>
      <c r="EY426" s="407">
        <v>0</v>
      </c>
      <c r="EZ426" s="407"/>
      <c r="FA426" s="407">
        <v>0</v>
      </c>
      <c r="FB426" s="407"/>
      <c r="FC426" s="407"/>
      <c r="FD426" s="407"/>
      <c r="FE426" s="407"/>
      <c r="FF426" s="407">
        <v>0</v>
      </c>
      <c r="FG426" s="407">
        <v>0</v>
      </c>
      <c r="FH426" s="407">
        <v>0</v>
      </c>
      <c r="FI426" s="407">
        <v>0</v>
      </c>
    </row>
    <row r="427" spans="1:165">
      <c r="A427" s="407">
        <v>444</v>
      </c>
      <c r="B427" s="407" t="s">
        <v>1090</v>
      </c>
      <c r="C427" s="407" t="s">
        <v>2306</v>
      </c>
      <c r="D427" s="407" t="s">
        <v>2315</v>
      </c>
      <c r="E427" s="407" t="s">
        <v>1026</v>
      </c>
      <c r="F427" s="407" t="s">
        <v>2323</v>
      </c>
      <c r="G427" s="407" t="s">
        <v>2325</v>
      </c>
      <c r="H427" s="407" t="s">
        <v>97</v>
      </c>
      <c r="I427" s="407" t="s">
        <v>97</v>
      </c>
      <c r="J427" s="407" t="s">
        <v>2307</v>
      </c>
      <c r="K427" s="818">
        <v>44562</v>
      </c>
      <c r="L427" s="407">
        <v>0</v>
      </c>
      <c r="M427" s="407">
        <v>0</v>
      </c>
      <c r="N427" s="407">
        <v>136.04900000000001</v>
      </c>
      <c r="O427" s="407">
        <v>54.419600000000003</v>
      </c>
      <c r="P427" s="407">
        <v>136.04900000000001</v>
      </c>
      <c r="Q427" s="407">
        <v>54.419600000000003</v>
      </c>
      <c r="R427" s="407"/>
      <c r="S427" s="407">
        <v>648.44000000000005</v>
      </c>
      <c r="T427" s="407">
        <v>159.41</v>
      </c>
      <c r="U427" s="407"/>
      <c r="V427" s="407">
        <v>109907.18465000001</v>
      </c>
      <c r="W427" s="407">
        <v>109907.18465000001</v>
      </c>
      <c r="X427" s="407">
        <v>83237.499179999999</v>
      </c>
      <c r="Y427" s="407">
        <v>0</v>
      </c>
      <c r="Z427" s="407">
        <v>8430.9906279617826</v>
      </c>
      <c r="AA427" s="407">
        <v>0</v>
      </c>
      <c r="AB427" s="407">
        <v>0</v>
      </c>
      <c r="AC427" s="407">
        <v>0</v>
      </c>
      <c r="AD427" s="407">
        <v>15869.35754170496</v>
      </c>
      <c r="AE427" s="407">
        <v>56806.714500591042</v>
      </c>
      <c r="AF427" s="407">
        <v>20982.934778101768</v>
      </c>
      <c r="AG427" s="407">
        <v>704.97152999772402</v>
      </c>
      <c r="AH427" s="407">
        <v>0</v>
      </c>
      <c r="AI427" s="407">
        <v>0</v>
      </c>
      <c r="AJ427" s="407">
        <v>0</v>
      </c>
      <c r="AK427" s="407">
        <v>0</v>
      </c>
      <c r="AL427" s="407">
        <v>1302.8127544131162</v>
      </c>
      <c r="AM427" s="407"/>
      <c r="AN427" s="407">
        <v>282.31468679144041</v>
      </c>
      <c r="AO427" s="407">
        <v>0</v>
      </c>
      <c r="AP427" s="407">
        <v>0</v>
      </c>
      <c r="AQ427" s="407">
        <v>0</v>
      </c>
      <c r="AR427" s="407">
        <v>0</v>
      </c>
      <c r="AS427" s="407">
        <v>0</v>
      </c>
      <c r="AT427" s="407">
        <v>0</v>
      </c>
      <c r="AU427" s="407">
        <v>0</v>
      </c>
      <c r="AV427" s="407">
        <v>0</v>
      </c>
      <c r="AW427" s="407">
        <v>0</v>
      </c>
      <c r="AX427" s="407">
        <v>0</v>
      </c>
      <c r="AY427" s="407">
        <v>0</v>
      </c>
      <c r="AZ427" s="407">
        <v>0</v>
      </c>
      <c r="BA427" s="407"/>
      <c r="BB427" s="407">
        <v>0</v>
      </c>
      <c r="BC427" s="407">
        <v>0</v>
      </c>
      <c r="BD427" s="407">
        <v>0</v>
      </c>
      <c r="BE427" s="407">
        <v>0</v>
      </c>
      <c r="BF427" s="407">
        <v>0</v>
      </c>
      <c r="BG427" s="407">
        <v>1533.7855287952891</v>
      </c>
      <c r="BH427" s="407">
        <v>0</v>
      </c>
      <c r="BI427" s="407">
        <v>0</v>
      </c>
      <c r="BJ427" s="407">
        <v>0</v>
      </c>
      <c r="BK427" s="407">
        <v>0</v>
      </c>
      <c r="BL427" s="407">
        <v>0</v>
      </c>
      <c r="BM427" s="407"/>
      <c r="BN427" s="407"/>
      <c r="BO427" s="407"/>
      <c r="BP427" s="407"/>
      <c r="BQ427" s="407"/>
      <c r="BR427" s="407"/>
      <c r="BS427" s="407">
        <v>53937.986540000005</v>
      </c>
      <c r="BT427" s="407"/>
      <c r="BU427" s="407"/>
      <c r="BV427" s="407">
        <v>22516.720306897056</v>
      </c>
      <c r="BW427" s="407"/>
      <c r="BX427" s="407"/>
      <c r="BY427" s="407"/>
      <c r="BZ427" s="407"/>
      <c r="CA427" s="407"/>
      <c r="CB427" s="407"/>
      <c r="CC427" s="407"/>
      <c r="CD427" s="407"/>
      <c r="CE427" s="407"/>
      <c r="CF427" s="407"/>
      <c r="CG427" s="407"/>
      <c r="CH427" s="407"/>
      <c r="CI427" s="407">
        <v>29299.727999999999</v>
      </c>
      <c r="CJ427" s="407">
        <v>-9387.739835999997</v>
      </c>
      <c r="CK427" s="407"/>
      <c r="CL427" s="407"/>
      <c r="CM427" s="407"/>
      <c r="CN427" s="407"/>
      <c r="CO427" s="407">
        <v>-30406.95150000001</v>
      </c>
      <c r="CP427" s="407">
        <v>3737.2660300000002</v>
      </c>
      <c r="CQ427" s="407">
        <v>31</v>
      </c>
      <c r="CR427" s="407">
        <v>2347.3918970123268</v>
      </c>
      <c r="CS427" s="407">
        <v>0</v>
      </c>
      <c r="CT427" s="407">
        <v>0</v>
      </c>
      <c r="CU427" s="407">
        <v>0</v>
      </c>
      <c r="CV427" s="407">
        <v>0</v>
      </c>
      <c r="CW427" s="407">
        <v>0</v>
      </c>
      <c r="CX427" s="407">
        <v>0</v>
      </c>
      <c r="CY427" s="407">
        <v>0</v>
      </c>
      <c r="CZ427" s="407">
        <v>716.85034608018941</v>
      </c>
      <c r="DA427" s="407">
        <v>0</v>
      </c>
      <c r="DB427" s="407">
        <v>0</v>
      </c>
      <c r="DC427" s="407">
        <v>4160.3493256131987</v>
      </c>
      <c r="DD427" s="407">
        <v>0</v>
      </c>
      <c r="DE427" s="407">
        <v>0</v>
      </c>
      <c r="DF427" s="407">
        <v>0</v>
      </c>
      <c r="DG427" s="407">
        <v>304.10825072087778</v>
      </c>
      <c r="DH427" s="407">
        <v>0</v>
      </c>
      <c r="DI427" s="407">
        <v>-590.52321579067575</v>
      </c>
      <c r="DJ427" s="407"/>
      <c r="DK427" s="407">
        <v>0</v>
      </c>
      <c r="DL427" s="407">
        <v>0</v>
      </c>
      <c r="DM427" s="407">
        <v>0</v>
      </c>
      <c r="DN427" s="407">
        <v>0</v>
      </c>
      <c r="DO427" s="407">
        <v>-79.486400009463068</v>
      </c>
      <c r="DP427" s="407">
        <v>-17.988410277397577</v>
      </c>
      <c r="DQ427" s="407">
        <v>0</v>
      </c>
      <c r="DR427" s="407">
        <v>-2145.9179993244211</v>
      </c>
      <c r="DS427" s="407"/>
      <c r="DT427" s="407"/>
      <c r="DU427" s="407"/>
      <c r="DV427" s="407">
        <v>56806.714500591042</v>
      </c>
      <c r="DW427" s="407">
        <v>0</v>
      </c>
      <c r="DX427" s="407">
        <v>0</v>
      </c>
      <c r="DY427" s="407">
        <v>-30406.95150000001</v>
      </c>
      <c r="DZ427" s="407">
        <v>3737.2660299999989</v>
      </c>
      <c r="EA427" s="407">
        <v>0</v>
      </c>
      <c r="EB427" s="407">
        <v>0</v>
      </c>
      <c r="EC427" s="407">
        <v>-29017.001707503732</v>
      </c>
      <c r="ED427" s="407">
        <v>0</v>
      </c>
      <c r="EE427" s="407">
        <v>0</v>
      </c>
      <c r="EF427" s="407">
        <v>0</v>
      </c>
      <c r="EG427" s="407">
        <v>0</v>
      </c>
      <c r="EH427" s="407">
        <v>0</v>
      </c>
      <c r="EI427" s="407">
        <v>0</v>
      </c>
      <c r="EJ427" s="407">
        <v>0</v>
      </c>
      <c r="EK427" s="407">
        <v>0</v>
      </c>
      <c r="EL427" s="407">
        <v>0</v>
      </c>
      <c r="EM427" s="407">
        <v>0</v>
      </c>
      <c r="EN427" s="407">
        <v>0</v>
      </c>
      <c r="EO427" s="407">
        <v>0</v>
      </c>
      <c r="EP427" s="407">
        <v>3993.6095177923994</v>
      </c>
      <c r="EQ427" s="407">
        <v>0</v>
      </c>
      <c r="ER427" s="407">
        <v>0</v>
      </c>
      <c r="ES427" s="407">
        <v>0</v>
      </c>
      <c r="ET427" s="407">
        <v>0</v>
      </c>
      <c r="EU427" s="407">
        <v>0</v>
      </c>
      <c r="EV427" s="407">
        <v>246</v>
      </c>
      <c r="EW427" s="407">
        <v>0</v>
      </c>
      <c r="EX427" s="407">
        <v>0</v>
      </c>
      <c r="EY427" s="407">
        <v>0</v>
      </c>
      <c r="EZ427" s="407"/>
      <c r="FA427" s="407">
        <v>0</v>
      </c>
      <c r="FB427" s="407"/>
      <c r="FC427" s="407"/>
      <c r="FD427" s="407"/>
      <c r="FE427" s="407"/>
      <c r="FF427" s="407">
        <v>0</v>
      </c>
      <c r="FG427" s="407">
        <v>0</v>
      </c>
      <c r="FH427" s="407">
        <v>0</v>
      </c>
      <c r="FI427" s="407">
        <v>0</v>
      </c>
    </row>
    <row r="428" spans="1:165">
      <c r="A428" s="407">
        <v>445</v>
      </c>
      <c r="B428" s="407" t="s">
        <v>2309</v>
      </c>
      <c r="C428" s="407" t="s">
        <v>2306</v>
      </c>
      <c r="D428" s="407" t="s">
        <v>2315</v>
      </c>
      <c r="E428" s="407" t="s">
        <v>1026</v>
      </c>
      <c r="F428" s="407" t="s">
        <v>2323</v>
      </c>
      <c r="G428" s="407" t="s">
        <v>2325</v>
      </c>
      <c r="H428" s="407" t="s">
        <v>97</v>
      </c>
      <c r="I428" s="407" t="s">
        <v>97</v>
      </c>
      <c r="J428" s="407" t="s">
        <v>2307</v>
      </c>
      <c r="K428" s="818">
        <v>44562</v>
      </c>
      <c r="L428" s="407">
        <v>0</v>
      </c>
      <c r="M428" s="407">
        <v>0</v>
      </c>
      <c r="N428" s="407">
        <v>26.370999999999999</v>
      </c>
      <c r="O428" s="407">
        <v>10.548400000000001</v>
      </c>
      <c r="P428" s="407">
        <v>26.370999999999999</v>
      </c>
      <c r="Q428" s="407">
        <v>10.548400000000001</v>
      </c>
      <c r="R428" s="407"/>
      <c r="S428" s="407">
        <v>648.44000000000005</v>
      </c>
      <c r="T428" s="407">
        <v>159.41</v>
      </c>
      <c r="U428" s="407"/>
      <c r="V428" s="407">
        <v>21303.81235</v>
      </c>
      <c r="W428" s="407">
        <v>21303.81235</v>
      </c>
      <c r="X428" s="407">
        <v>16134.305219999998</v>
      </c>
      <c r="Y428" s="407">
        <v>0</v>
      </c>
      <c r="Z428" s="407">
        <v>1634.2174793639067</v>
      </c>
      <c r="AA428" s="407">
        <v>0</v>
      </c>
      <c r="AB428" s="407">
        <v>0</v>
      </c>
      <c r="AC428" s="407">
        <v>0</v>
      </c>
      <c r="AD428" s="407">
        <v>3076.0301636344366</v>
      </c>
      <c r="AE428" s="407">
        <v>11011.105323046007</v>
      </c>
      <c r="AF428" s="407">
        <v>4067.2182304413968</v>
      </c>
      <c r="AG428" s="407">
        <v>136.64785641621754</v>
      </c>
      <c r="AH428" s="407">
        <v>0</v>
      </c>
      <c r="AI428" s="407">
        <v>0</v>
      </c>
      <c r="AJ428" s="407">
        <v>0</v>
      </c>
      <c r="AK428" s="407">
        <v>0</v>
      </c>
      <c r="AL428" s="407">
        <v>252.53015565442072</v>
      </c>
      <c r="AM428" s="407"/>
      <c r="AN428" s="407">
        <v>54.722347135054825</v>
      </c>
      <c r="AO428" s="407">
        <v>0</v>
      </c>
      <c r="AP428" s="407">
        <v>0</v>
      </c>
      <c r="AQ428" s="407">
        <v>0</v>
      </c>
      <c r="AR428" s="407">
        <v>0</v>
      </c>
      <c r="AS428" s="407">
        <v>0</v>
      </c>
      <c r="AT428" s="407">
        <v>0</v>
      </c>
      <c r="AU428" s="407">
        <v>0</v>
      </c>
      <c r="AV428" s="407">
        <v>0</v>
      </c>
      <c r="AW428" s="407">
        <v>0</v>
      </c>
      <c r="AX428" s="407">
        <v>0</v>
      </c>
      <c r="AY428" s="407">
        <v>0</v>
      </c>
      <c r="AZ428" s="407">
        <v>0</v>
      </c>
      <c r="BA428" s="407"/>
      <c r="BB428" s="407">
        <v>0</v>
      </c>
      <c r="BC428" s="407">
        <v>0</v>
      </c>
      <c r="BD428" s="407">
        <v>0</v>
      </c>
      <c r="BE428" s="407">
        <v>0</v>
      </c>
      <c r="BF428" s="407">
        <v>0</v>
      </c>
      <c r="BG428" s="407">
        <v>297.30066505347753</v>
      </c>
      <c r="BH428" s="407">
        <v>0</v>
      </c>
      <c r="BI428" s="407">
        <v>0</v>
      </c>
      <c r="BJ428" s="407">
        <v>0</v>
      </c>
      <c r="BK428" s="407">
        <v>0</v>
      </c>
      <c r="BL428" s="407">
        <v>0</v>
      </c>
      <c r="BM428" s="407"/>
      <c r="BN428" s="407"/>
      <c r="BO428" s="407"/>
      <c r="BP428" s="407"/>
      <c r="BQ428" s="407"/>
      <c r="BR428" s="407"/>
      <c r="BS428" s="407">
        <v>10455.046659999998</v>
      </c>
      <c r="BT428" s="407"/>
      <c r="BU428" s="407"/>
      <c r="BV428" s="407">
        <v>4364.5188954948744</v>
      </c>
      <c r="BW428" s="407"/>
      <c r="BX428" s="407"/>
      <c r="BY428" s="407"/>
      <c r="BZ428" s="407"/>
      <c r="CA428" s="407"/>
      <c r="CB428" s="407"/>
      <c r="CC428" s="407"/>
      <c r="CD428" s="407"/>
      <c r="CE428" s="407"/>
      <c r="CF428" s="407"/>
      <c r="CG428" s="407"/>
      <c r="CH428" s="407"/>
      <c r="CI428" s="407">
        <v>5680.12</v>
      </c>
      <c r="CJ428" s="407">
        <v>-1818.8730440000008</v>
      </c>
      <c r="CK428" s="407"/>
      <c r="CL428" s="407"/>
      <c r="CM428" s="407"/>
      <c r="CN428" s="407"/>
      <c r="CO428" s="407">
        <v>-5893.9185000000016</v>
      </c>
      <c r="CP428" s="407">
        <v>724.41136999999992</v>
      </c>
      <c r="CQ428" s="407">
        <v>31</v>
      </c>
      <c r="CR428" s="407">
        <v>455.00570909092858</v>
      </c>
      <c r="CS428" s="407">
        <v>0</v>
      </c>
      <c r="CT428" s="407">
        <v>0</v>
      </c>
      <c r="CU428" s="407">
        <v>0</v>
      </c>
      <c r="CV428" s="407">
        <v>0</v>
      </c>
      <c r="CW428" s="407">
        <v>0</v>
      </c>
      <c r="CX428" s="407">
        <v>0</v>
      </c>
      <c r="CY428" s="407">
        <v>0</v>
      </c>
      <c r="CZ428" s="407">
        <v>138.95038167484245</v>
      </c>
      <c r="DA428" s="407">
        <v>0</v>
      </c>
      <c r="DB428" s="407">
        <v>0</v>
      </c>
      <c r="DC428" s="407">
        <v>806.41954050191953</v>
      </c>
      <c r="DD428" s="407">
        <v>0</v>
      </c>
      <c r="DE428" s="407">
        <v>0</v>
      </c>
      <c r="DF428" s="407">
        <v>0</v>
      </c>
      <c r="DG428" s="407">
        <v>58.946693321966848</v>
      </c>
      <c r="DH428" s="407">
        <v>0</v>
      </c>
      <c r="DI428" s="407">
        <v>-114.46381615165046</v>
      </c>
      <c r="DJ428" s="407"/>
      <c r="DK428" s="407">
        <v>0</v>
      </c>
      <c r="DL428" s="407">
        <v>0</v>
      </c>
      <c r="DM428" s="407">
        <v>0</v>
      </c>
      <c r="DN428" s="407">
        <v>0</v>
      </c>
      <c r="DO428" s="407">
        <v>-15.407212509092687</v>
      </c>
      <c r="DP428" s="407">
        <v>-3.4867758485931617</v>
      </c>
      <c r="DQ428" s="407">
        <v>0</v>
      </c>
      <c r="DR428" s="407">
        <v>-415.95310189846532</v>
      </c>
      <c r="DS428" s="407"/>
      <c r="DT428" s="407"/>
      <c r="DU428" s="407"/>
      <c r="DV428" s="407">
        <v>11011.105323046007</v>
      </c>
      <c r="DW428" s="407">
        <v>0</v>
      </c>
      <c r="DX428" s="407">
        <v>0</v>
      </c>
      <c r="DY428" s="407">
        <v>-5893.9184999999998</v>
      </c>
      <c r="DZ428" s="407">
        <v>724.41136999999981</v>
      </c>
      <c r="EA428" s="407">
        <v>0</v>
      </c>
      <c r="EB428" s="407">
        <v>0</v>
      </c>
      <c r="EC428" s="407">
        <v>-5624.4981736622904</v>
      </c>
      <c r="ED428" s="407">
        <v>0</v>
      </c>
      <c r="EE428" s="407">
        <v>0</v>
      </c>
      <c r="EF428" s="407">
        <v>0</v>
      </c>
      <c r="EG428" s="407">
        <v>0</v>
      </c>
      <c r="EH428" s="407">
        <v>0</v>
      </c>
      <c r="EI428" s="407">
        <v>0</v>
      </c>
      <c r="EJ428" s="407">
        <v>0</v>
      </c>
      <c r="EK428" s="407">
        <v>0</v>
      </c>
      <c r="EL428" s="407">
        <v>0</v>
      </c>
      <c r="EM428" s="407">
        <v>0</v>
      </c>
      <c r="EN428" s="407">
        <v>0</v>
      </c>
      <c r="EO428" s="407">
        <v>0</v>
      </c>
      <c r="EP428" s="407">
        <v>774.09960083281283</v>
      </c>
      <c r="EQ428" s="407">
        <v>0</v>
      </c>
      <c r="ER428" s="407">
        <v>0</v>
      </c>
      <c r="ES428" s="407">
        <v>0</v>
      </c>
      <c r="ET428" s="407">
        <v>0</v>
      </c>
      <c r="EU428" s="407">
        <v>0</v>
      </c>
      <c r="EV428" s="407">
        <v>246</v>
      </c>
      <c r="EW428" s="407">
        <v>0</v>
      </c>
      <c r="EX428" s="407">
        <v>0</v>
      </c>
      <c r="EY428" s="407">
        <v>0</v>
      </c>
      <c r="EZ428" s="407"/>
      <c r="FA428" s="407">
        <v>0</v>
      </c>
      <c r="FB428" s="407"/>
      <c r="FC428" s="407"/>
      <c r="FD428" s="407"/>
      <c r="FE428" s="407"/>
      <c r="FF428" s="407">
        <v>0</v>
      </c>
      <c r="FG428" s="407">
        <v>0</v>
      </c>
      <c r="FH428" s="407">
        <v>0</v>
      </c>
      <c r="FI428" s="407">
        <v>0</v>
      </c>
    </row>
    <row r="429" spans="1:165">
      <c r="A429" s="407">
        <v>446</v>
      </c>
      <c r="B429" s="407" t="s">
        <v>1090</v>
      </c>
      <c r="C429" s="407" t="s">
        <v>2314</v>
      </c>
      <c r="D429" s="407" t="s">
        <v>650</v>
      </c>
      <c r="E429" s="407" t="s">
        <v>1026</v>
      </c>
      <c r="F429" s="407" t="s">
        <v>2323</v>
      </c>
      <c r="G429" s="407" t="s">
        <v>97</v>
      </c>
      <c r="H429" s="407" t="s">
        <v>97</v>
      </c>
      <c r="I429" s="407" t="s">
        <v>1025</v>
      </c>
      <c r="J429" s="407" t="s">
        <v>2307</v>
      </c>
      <c r="K429" s="818">
        <v>44562</v>
      </c>
      <c r="L429" s="407">
        <v>0</v>
      </c>
      <c r="M429" s="407">
        <v>0</v>
      </c>
      <c r="N429" s="407">
        <v>21.824999999999999</v>
      </c>
      <c r="O429" s="407">
        <v>20.952000000000002</v>
      </c>
      <c r="P429" s="407">
        <v>21.824999999999999</v>
      </c>
      <c r="Q429" s="407">
        <v>20.952000000000002</v>
      </c>
      <c r="R429" s="407"/>
      <c r="S429" s="407">
        <v>2810.7</v>
      </c>
      <c r="T429" s="407">
        <v>159.41</v>
      </c>
      <c r="U429" s="407"/>
      <c r="V429" s="407">
        <v>64822.650749999993</v>
      </c>
      <c r="W429" s="407">
        <v>64822.650749999993</v>
      </c>
      <c r="X429" s="407">
        <v>41286.134250000003</v>
      </c>
      <c r="Y429" s="407">
        <v>0</v>
      </c>
      <c r="Z429" s="407">
        <v>1176.6756263999091</v>
      </c>
      <c r="AA429" s="407">
        <v>0</v>
      </c>
      <c r="AB429" s="407">
        <v>0</v>
      </c>
      <c r="AC429" s="407">
        <v>0</v>
      </c>
      <c r="AD429" s="407">
        <v>13324.502825664356</v>
      </c>
      <c r="AE429" s="407">
        <v>45939.200331784545</v>
      </c>
      <c r="AF429" s="407">
        <v>3366.0853922636038</v>
      </c>
      <c r="AG429" s="407">
        <v>113.09163347176624</v>
      </c>
      <c r="AH429" s="407">
        <v>0</v>
      </c>
      <c r="AI429" s="407">
        <v>0</v>
      </c>
      <c r="AJ429" s="407">
        <v>0</v>
      </c>
      <c r="AK429" s="407">
        <v>0</v>
      </c>
      <c r="AL429" s="407">
        <v>208.997408029947</v>
      </c>
      <c r="AM429" s="407"/>
      <c r="AN429" s="407">
        <v>23.434231101672673</v>
      </c>
      <c r="AO429" s="407">
        <v>0</v>
      </c>
      <c r="AP429" s="407">
        <v>0</v>
      </c>
      <c r="AQ429" s="407">
        <v>0</v>
      </c>
      <c r="AR429" s="407">
        <v>0</v>
      </c>
      <c r="AS429" s="407">
        <v>0</v>
      </c>
      <c r="AT429" s="407">
        <v>0</v>
      </c>
      <c r="AU429" s="407">
        <v>0</v>
      </c>
      <c r="AV429" s="407">
        <v>0</v>
      </c>
      <c r="AW429" s="407">
        <v>0</v>
      </c>
      <c r="AX429" s="407">
        <v>0</v>
      </c>
      <c r="AY429" s="407">
        <v>0</v>
      </c>
      <c r="AZ429" s="407">
        <v>0</v>
      </c>
      <c r="BA429" s="407"/>
      <c r="BB429" s="407">
        <v>0</v>
      </c>
      <c r="BC429" s="407">
        <v>0</v>
      </c>
      <c r="BD429" s="407">
        <v>0</v>
      </c>
      <c r="BE429" s="407">
        <v>0</v>
      </c>
      <c r="BF429" s="407">
        <v>0</v>
      </c>
      <c r="BG429" s="407">
        <v>113.26900788386179</v>
      </c>
      <c r="BH429" s="407">
        <v>0</v>
      </c>
      <c r="BI429" s="407">
        <v>0</v>
      </c>
      <c r="BJ429" s="407">
        <v>0</v>
      </c>
      <c r="BK429" s="407">
        <v>0</v>
      </c>
      <c r="BL429" s="407">
        <v>0</v>
      </c>
      <c r="BM429" s="407"/>
      <c r="BN429" s="407"/>
      <c r="BO429" s="407"/>
      <c r="BP429" s="407"/>
      <c r="BQ429" s="407"/>
      <c r="BR429" s="407">
        <v>1651.4453699999954</v>
      </c>
      <c r="BS429" s="407"/>
      <c r="BT429" s="407"/>
      <c r="BU429" s="407"/>
      <c r="BV429" s="407">
        <v>3479.3544001474656</v>
      </c>
      <c r="BW429" s="407"/>
      <c r="BX429" s="407"/>
      <c r="BY429" s="407"/>
      <c r="BZ429" s="407"/>
      <c r="CA429" s="407"/>
      <c r="CB429" s="407"/>
      <c r="CC429" s="407"/>
      <c r="CD429" s="407"/>
      <c r="CE429" s="407"/>
      <c r="CF429" s="407"/>
      <c r="CG429" s="407"/>
      <c r="CH429" s="407"/>
      <c r="CI429" s="407">
        <v>39630.905499999993</v>
      </c>
      <c r="CJ429" s="407">
        <v>-22598.869220000015</v>
      </c>
      <c r="CK429" s="407"/>
      <c r="CL429" s="407"/>
      <c r="CM429" s="407"/>
      <c r="CN429" s="407"/>
      <c r="CO429" s="407">
        <v>-24136.049249999996</v>
      </c>
      <c r="CP429" s="407">
        <v>599.53274999999996</v>
      </c>
      <c r="CQ429" s="407">
        <v>31</v>
      </c>
      <c r="CR429" s="407">
        <v>-70.55142941459053</v>
      </c>
      <c r="CS429" s="407">
        <v>0</v>
      </c>
      <c r="CT429" s="407">
        <v>0</v>
      </c>
      <c r="CU429" s="407">
        <v>0</v>
      </c>
      <c r="CV429" s="407">
        <v>0</v>
      </c>
      <c r="CW429" s="407">
        <v>0</v>
      </c>
      <c r="CX429" s="407">
        <v>0</v>
      </c>
      <c r="CY429" s="407">
        <v>0</v>
      </c>
      <c r="CZ429" s="407">
        <v>601.89421259316077</v>
      </c>
      <c r="DA429" s="407">
        <v>0</v>
      </c>
      <c r="DB429" s="407">
        <v>0</v>
      </c>
      <c r="DC429" s="407">
        <v>667.40383267431616</v>
      </c>
      <c r="DD429" s="407">
        <v>0</v>
      </c>
      <c r="DE429" s="407">
        <v>0</v>
      </c>
      <c r="DF429" s="407">
        <v>0</v>
      </c>
      <c r="DG429" s="407">
        <v>22.458185451460125</v>
      </c>
      <c r="DH429" s="407">
        <v>0</v>
      </c>
      <c r="DI429" s="407">
        <v>-82.416682155910621</v>
      </c>
      <c r="DJ429" s="407"/>
      <c r="DK429" s="407">
        <v>0</v>
      </c>
      <c r="DL429" s="407">
        <v>0</v>
      </c>
      <c r="DM429" s="407">
        <v>0</v>
      </c>
      <c r="DN429" s="407">
        <v>0</v>
      </c>
      <c r="DO429" s="407">
        <v>-12.751219635620487</v>
      </c>
      <c r="DP429" s="407">
        <v>-1.4931726308083491</v>
      </c>
      <c r="DQ429" s="407">
        <v>0</v>
      </c>
      <c r="DR429" s="407">
        <v>-1265.6465857111866</v>
      </c>
      <c r="DS429" s="407"/>
      <c r="DT429" s="407"/>
      <c r="DU429" s="407"/>
      <c r="DV429" s="407">
        <v>45939.200331784545</v>
      </c>
      <c r="DW429" s="407">
        <v>0</v>
      </c>
      <c r="DX429" s="407">
        <v>0</v>
      </c>
      <c r="DY429" s="407">
        <v>-24136.049249999996</v>
      </c>
      <c r="DZ429" s="407">
        <v>599.53275000000031</v>
      </c>
      <c r="EA429" s="407">
        <v>0</v>
      </c>
      <c r="EB429" s="407">
        <v>0</v>
      </c>
      <c r="EC429" s="407">
        <v>-23465.850228935029</v>
      </c>
      <c r="ED429" s="407">
        <v>0</v>
      </c>
      <c r="EE429" s="407">
        <v>0</v>
      </c>
      <c r="EF429" s="407">
        <v>0</v>
      </c>
      <c r="EG429" s="407">
        <v>0</v>
      </c>
      <c r="EH429" s="407">
        <v>0</v>
      </c>
      <c r="EI429" s="407">
        <v>0</v>
      </c>
      <c r="EJ429" s="407">
        <v>0</v>
      </c>
      <c r="EK429" s="407">
        <v>0</v>
      </c>
      <c r="EL429" s="407">
        <v>0</v>
      </c>
      <c r="EM429" s="407">
        <v>0</v>
      </c>
      <c r="EN429" s="407">
        <v>0</v>
      </c>
      <c r="EO429" s="407">
        <v>0</v>
      </c>
      <c r="EP429" s="407">
        <v>557.37020574544897</v>
      </c>
      <c r="EQ429" s="407">
        <v>0</v>
      </c>
      <c r="ER429" s="407">
        <v>0</v>
      </c>
      <c r="ES429" s="407">
        <v>0</v>
      </c>
      <c r="ET429" s="407">
        <v>0</v>
      </c>
      <c r="EU429" s="407">
        <v>0</v>
      </c>
      <c r="EV429" s="407">
        <v>246</v>
      </c>
      <c r="EW429" s="407">
        <v>0</v>
      </c>
      <c r="EX429" s="407">
        <v>0</v>
      </c>
      <c r="EY429" s="407">
        <v>0</v>
      </c>
      <c r="EZ429" s="407"/>
      <c r="FA429" s="407">
        <v>0</v>
      </c>
      <c r="FB429" s="407"/>
      <c r="FC429" s="407"/>
      <c r="FD429" s="407"/>
      <c r="FE429" s="407"/>
      <c r="FF429" s="407">
        <v>0</v>
      </c>
      <c r="FG429" s="407">
        <v>0</v>
      </c>
      <c r="FH429" s="407">
        <v>0</v>
      </c>
      <c r="FI429" s="407">
        <v>0</v>
      </c>
    </row>
    <row r="430" spans="1:165">
      <c r="A430" s="407">
        <v>447</v>
      </c>
      <c r="B430" s="407" t="s">
        <v>2309</v>
      </c>
      <c r="C430" s="407" t="s">
        <v>2314</v>
      </c>
      <c r="D430" s="407" t="s">
        <v>650</v>
      </c>
      <c r="E430" s="407" t="s">
        <v>1026</v>
      </c>
      <c r="F430" s="407" t="s">
        <v>2323</v>
      </c>
      <c r="G430" s="407" t="s">
        <v>97</v>
      </c>
      <c r="H430" s="407" t="s">
        <v>97</v>
      </c>
      <c r="I430" s="407" t="s">
        <v>1025</v>
      </c>
      <c r="J430" s="407" t="s">
        <v>2307</v>
      </c>
      <c r="K430" s="818">
        <v>44562</v>
      </c>
      <c r="L430" s="407">
        <v>0</v>
      </c>
      <c r="M430" s="407">
        <v>0</v>
      </c>
      <c r="N430" s="407">
        <v>0.13300000000000001</v>
      </c>
      <c r="O430" s="407">
        <v>0.12767999999999999</v>
      </c>
      <c r="P430" s="407">
        <v>0.13300000000000001</v>
      </c>
      <c r="Q430" s="407">
        <v>0.12767999999999999</v>
      </c>
      <c r="R430" s="407"/>
      <c r="S430" s="407">
        <v>2810.7</v>
      </c>
      <c r="T430" s="407">
        <v>159.41</v>
      </c>
      <c r="U430" s="407"/>
      <c r="V430" s="407">
        <v>395.02463</v>
      </c>
      <c r="W430" s="407">
        <v>395.02463</v>
      </c>
      <c r="X430" s="407">
        <v>251.59477000000001</v>
      </c>
      <c r="Y430" s="407">
        <v>0</v>
      </c>
      <c r="Z430" s="407">
        <v>7.1705777003980717</v>
      </c>
      <c r="AA430" s="407">
        <v>0</v>
      </c>
      <c r="AB430" s="407">
        <v>0</v>
      </c>
      <c r="AC430" s="407">
        <v>0</v>
      </c>
      <c r="AD430" s="407">
        <v>81.198573920428842</v>
      </c>
      <c r="AE430" s="407">
        <v>279.9502242440937</v>
      </c>
      <c r="AF430" s="407">
        <v>20.512685322843495</v>
      </c>
      <c r="AG430" s="407">
        <v>0.68917238266872449</v>
      </c>
      <c r="AH430" s="407">
        <v>0</v>
      </c>
      <c r="AI430" s="407">
        <v>0</v>
      </c>
      <c r="AJ430" s="407">
        <v>0</v>
      </c>
      <c r="AK430" s="407">
        <v>0</v>
      </c>
      <c r="AL430" s="407">
        <v>1.2736153616487034</v>
      </c>
      <c r="AM430" s="407"/>
      <c r="AN430" s="407">
        <v>0.14280654004684837</v>
      </c>
      <c r="AO430" s="407">
        <v>0</v>
      </c>
      <c r="AP430" s="407">
        <v>0</v>
      </c>
      <c r="AQ430" s="407">
        <v>0</v>
      </c>
      <c r="AR430" s="407">
        <v>0</v>
      </c>
      <c r="AS430" s="407">
        <v>0</v>
      </c>
      <c r="AT430" s="407">
        <v>0</v>
      </c>
      <c r="AU430" s="407">
        <v>0</v>
      </c>
      <c r="AV430" s="407">
        <v>0</v>
      </c>
      <c r="AW430" s="407">
        <v>0</v>
      </c>
      <c r="AX430" s="407">
        <v>0</v>
      </c>
      <c r="AY430" s="407">
        <v>0</v>
      </c>
      <c r="AZ430" s="407">
        <v>0</v>
      </c>
      <c r="BA430" s="407"/>
      <c r="BB430" s="407">
        <v>0</v>
      </c>
      <c r="BC430" s="407">
        <v>0</v>
      </c>
      <c r="BD430" s="407">
        <v>0</v>
      </c>
      <c r="BE430" s="407">
        <v>0</v>
      </c>
      <c r="BF430" s="407">
        <v>0</v>
      </c>
      <c r="BG430" s="407">
        <v>0.69025328973899747</v>
      </c>
      <c r="BH430" s="407">
        <v>0</v>
      </c>
      <c r="BI430" s="407">
        <v>0</v>
      </c>
      <c r="BJ430" s="407">
        <v>0</v>
      </c>
      <c r="BK430" s="407">
        <v>0</v>
      </c>
      <c r="BL430" s="407">
        <v>0</v>
      </c>
      <c r="BM430" s="407"/>
      <c r="BN430" s="407"/>
      <c r="BO430" s="407"/>
      <c r="BP430" s="407"/>
      <c r="BQ430" s="407"/>
      <c r="BR430" s="407">
        <v>10.063790800000037</v>
      </c>
      <c r="BS430" s="407"/>
      <c r="BT430" s="407"/>
      <c r="BU430" s="407"/>
      <c r="BV430" s="407">
        <v>21.202938612582493</v>
      </c>
      <c r="BW430" s="407"/>
      <c r="BX430" s="407"/>
      <c r="BY430" s="407"/>
      <c r="BZ430" s="407"/>
      <c r="CA430" s="407"/>
      <c r="CB430" s="407"/>
      <c r="CC430" s="407"/>
      <c r="CD430" s="407"/>
      <c r="CE430" s="407"/>
      <c r="CF430" s="407"/>
      <c r="CG430" s="407"/>
      <c r="CH430" s="407"/>
      <c r="CI430" s="407">
        <v>245.91970000000001</v>
      </c>
      <c r="CJ430" s="407">
        <v>-133.3339447999999</v>
      </c>
      <c r="CK430" s="407"/>
      <c r="CL430" s="407"/>
      <c r="CM430" s="407"/>
      <c r="CN430" s="407"/>
      <c r="CO430" s="407">
        <v>-147.08337</v>
      </c>
      <c r="CP430" s="407">
        <v>3.6535100000000003</v>
      </c>
      <c r="CQ430" s="407">
        <v>31</v>
      </c>
      <c r="CR430" s="407">
        <v>-0.42993540032716737</v>
      </c>
      <c r="CS430" s="407">
        <v>0</v>
      </c>
      <c r="CT430" s="407">
        <v>0</v>
      </c>
      <c r="CU430" s="407">
        <v>0</v>
      </c>
      <c r="CV430" s="407">
        <v>0</v>
      </c>
      <c r="CW430" s="407">
        <v>0</v>
      </c>
      <c r="CX430" s="407">
        <v>0</v>
      </c>
      <c r="CY430" s="407">
        <v>0</v>
      </c>
      <c r="CZ430" s="407">
        <v>3.6679005853328874</v>
      </c>
      <c r="DA430" s="407">
        <v>0</v>
      </c>
      <c r="DB430" s="407">
        <v>0</v>
      </c>
      <c r="DC430" s="407">
        <v>4.067111557648758</v>
      </c>
      <c r="DD430" s="407">
        <v>0</v>
      </c>
      <c r="DE430" s="407">
        <v>0</v>
      </c>
      <c r="DF430" s="407">
        <v>0</v>
      </c>
      <c r="DG430" s="407">
        <v>0.13685858717270094</v>
      </c>
      <c r="DH430" s="407">
        <v>0</v>
      </c>
      <c r="DI430" s="407">
        <v>-0.50224140786877935</v>
      </c>
      <c r="DJ430" s="407"/>
      <c r="DK430" s="407">
        <v>0</v>
      </c>
      <c r="DL430" s="407">
        <v>0</v>
      </c>
      <c r="DM430" s="407">
        <v>0</v>
      </c>
      <c r="DN430" s="407">
        <v>0</v>
      </c>
      <c r="DO430" s="407">
        <v>-7.7705026874571592E-2</v>
      </c>
      <c r="DP430" s="407">
        <v>-9.0992879678126193E-3</v>
      </c>
      <c r="DQ430" s="407">
        <v>0</v>
      </c>
      <c r="DR430" s="407">
        <v>-7.7127604077703475</v>
      </c>
      <c r="DS430" s="407"/>
      <c r="DT430" s="407"/>
      <c r="DU430" s="407"/>
      <c r="DV430" s="407">
        <v>279.9502242440937</v>
      </c>
      <c r="DW430" s="407">
        <v>0</v>
      </c>
      <c r="DX430" s="407">
        <v>0</v>
      </c>
      <c r="DY430" s="407">
        <v>-147.08337</v>
      </c>
      <c r="DZ430" s="407">
        <v>3.6535100000000007</v>
      </c>
      <c r="EA430" s="407">
        <v>0</v>
      </c>
      <c r="EB430" s="407">
        <v>0</v>
      </c>
      <c r="EC430" s="407">
        <v>-142.99922476281142</v>
      </c>
      <c r="ED430" s="407">
        <v>0</v>
      </c>
      <c r="EE430" s="407">
        <v>0</v>
      </c>
      <c r="EF430" s="407">
        <v>0</v>
      </c>
      <c r="EG430" s="407">
        <v>0</v>
      </c>
      <c r="EH430" s="407">
        <v>0</v>
      </c>
      <c r="EI430" s="407">
        <v>0</v>
      </c>
      <c r="EJ430" s="407">
        <v>0</v>
      </c>
      <c r="EK430" s="407">
        <v>0</v>
      </c>
      <c r="EL430" s="407">
        <v>0</v>
      </c>
      <c r="EM430" s="407">
        <v>0</v>
      </c>
      <c r="EN430" s="407">
        <v>0</v>
      </c>
      <c r="EO430" s="407">
        <v>0</v>
      </c>
      <c r="EP430" s="407">
        <v>3.3965744496744432</v>
      </c>
      <c r="EQ430" s="407">
        <v>0</v>
      </c>
      <c r="ER430" s="407">
        <v>0</v>
      </c>
      <c r="ES430" s="407">
        <v>0</v>
      </c>
      <c r="ET430" s="407">
        <v>0</v>
      </c>
      <c r="EU430" s="407">
        <v>0</v>
      </c>
      <c r="EV430" s="407">
        <v>246</v>
      </c>
      <c r="EW430" s="407">
        <v>0</v>
      </c>
      <c r="EX430" s="407">
        <v>0</v>
      </c>
      <c r="EY430" s="407">
        <v>0</v>
      </c>
      <c r="EZ430" s="407"/>
      <c r="FA430" s="407">
        <v>0</v>
      </c>
      <c r="FB430" s="407"/>
      <c r="FC430" s="407"/>
      <c r="FD430" s="407"/>
      <c r="FE430" s="407"/>
      <c r="FF430" s="407">
        <v>0</v>
      </c>
      <c r="FG430" s="407">
        <v>0</v>
      </c>
      <c r="FH430" s="407">
        <v>0</v>
      </c>
      <c r="FI430" s="407">
        <v>0</v>
      </c>
    </row>
    <row r="431" spans="1:165">
      <c r="A431" s="407">
        <v>448</v>
      </c>
      <c r="B431" s="407" t="s">
        <v>1090</v>
      </c>
      <c r="C431" s="407" t="s">
        <v>2314</v>
      </c>
      <c r="D431" s="407" t="s">
        <v>650</v>
      </c>
      <c r="E431" s="407" t="s">
        <v>1026</v>
      </c>
      <c r="F431" s="407" t="s">
        <v>2323</v>
      </c>
      <c r="G431" s="407" t="s">
        <v>97</v>
      </c>
      <c r="H431" s="407" t="s">
        <v>97</v>
      </c>
      <c r="I431" s="407" t="s">
        <v>2290</v>
      </c>
      <c r="J431" s="407" t="s">
        <v>2307</v>
      </c>
      <c r="K431" s="818">
        <v>44562</v>
      </c>
      <c r="L431" s="407">
        <v>0</v>
      </c>
      <c r="M431" s="407">
        <v>0</v>
      </c>
      <c r="N431" s="407">
        <v>747.18</v>
      </c>
      <c r="O431" s="407">
        <v>717.29280000000006</v>
      </c>
      <c r="P431" s="407">
        <v>747.18</v>
      </c>
      <c r="Q431" s="407">
        <v>717.29280000000006</v>
      </c>
      <c r="R431" s="407"/>
      <c r="S431" s="407">
        <v>95.29</v>
      </c>
      <c r="T431" s="407">
        <v>159.41</v>
      </c>
      <c r="U431" s="407"/>
      <c r="V431" s="407">
        <v>190306.74599999998</v>
      </c>
      <c r="W431" s="407">
        <v>190306.74599999998</v>
      </c>
      <c r="X431" s="407">
        <v>206901.61379999999</v>
      </c>
      <c r="Y431" s="407">
        <v>0</v>
      </c>
      <c r="Z431" s="407">
        <v>40283.550723183689</v>
      </c>
      <c r="AA431" s="407">
        <v>0</v>
      </c>
      <c r="AB431" s="407">
        <v>0</v>
      </c>
      <c r="AC431" s="407">
        <v>0</v>
      </c>
      <c r="AD431" s="407">
        <v>0</v>
      </c>
      <c r="AE431" s="407">
        <v>0</v>
      </c>
      <c r="AF431" s="407">
        <v>115238.10691370077</v>
      </c>
      <c r="AG431" s="407">
        <v>3871.6979013715604</v>
      </c>
      <c r="AH431" s="407">
        <v>0</v>
      </c>
      <c r="AI431" s="407">
        <v>0</v>
      </c>
      <c r="AJ431" s="407">
        <v>0</v>
      </c>
      <c r="AK431" s="407">
        <v>0</v>
      </c>
      <c r="AL431" s="407">
        <v>7155.0370369675047</v>
      </c>
      <c r="AM431" s="407"/>
      <c r="AN431" s="407">
        <v>802.27210971582076</v>
      </c>
      <c r="AO431" s="407">
        <v>0</v>
      </c>
      <c r="AP431" s="407">
        <v>0</v>
      </c>
      <c r="AQ431" s="407">
        <v>0</v>
      </c>
      <c r="AR431" s="407">
        <v>0</v>
      </c>
      <c r="AS431" s="407">
        <v>0</v>
      </c>
      <c r="AT431" s="407">
        <v>0</v>
      </c>
      <c r="AU431" s="407">
        <v>0</v>
      </c>
      <c r="AV431" s="407">
        <v>0</v>
      </c>
      <c r="AW431" s="407">
        <v>0</v>
      </c>
      <c r="AX431" s="407">
        <v>0</v>
      </c>
      <c r="AY431" s="407">
        <v>0</v>
      </c>
      <c r="AZ431" s="407">
        <v>0</v>
      </c>
      <c r="BA431" s="407"/>
      <c r="BB431" s="407">
        <v>0</v>
      </c>
      <c r="BC431" s="407">
        <v>0</v>
      </c>
      <c r="BD431" s="407">
        <v>0</v>
      </c>
      <c r="BE431" s="407">
        <v>0</v>
      </c>
      <c r="BF431" s="407">
        <v>0</v>
      </c>
      <c r="BG431" s="407">
        <v>3877.7703235126623</v>
      </c>
      <c r="BH431" s="407">
        <v>0</v>
      </c>
      <c r="BI431" s="407">
        <v>0</v>
      </c>
      <c r="BJ431" s="407">
        <v>0</v>
      </c>
      <c r="BK431" s="407">
        <v>0</v>
      </c>
      <c r="BL431" s="407">
        <v>0</v>
      </c>
      <c r="BM431" s="407"/>
      <c r="BN431" s="407"/>
      <c r="BO431" s="407"/>
      <c r="BP431" s="407"/>
      <c r="BQ431" s="407"/>
      <c r="BR431" s="407">
        <v>8276.0645519999707</v>
      </c>
      <c r="BS431" s="407"/>
      <c r="BT431" s="407"/>
      <c r="BU431" s="407"/>
      <c r="BV431" s="407">
        <v>119115.87723721344</v>
      </c>
      <c r="BW431" s="407"/>
      <c r="BX431" s="407"/>
      <c r="BY431" s="407"/>
      <c r="BZ431" s="407"/>
      <c r="CA431" s="407"/>
      <c r="CB431" s="407"/>
      <c r="CC431" s="407"/>
      <c r="CD431" s="407"/>
      <c r="CE431" s="407"/>
      <c r="CF431" s="407"/>
      <c r="CG431" s="407"/>
      <c r="CH431" s="407"/>
      <c r="CI431" s="407">
        <v>198624.77389999997</v>
      </c>
      <c r="CJ431" s="407">
        <v>15930.267739999981</v>
      </c>
      <c r="CK431" s="407"/>
      <c r="CL431" s="407"/>
      <c r="CM431" s="407"/>
      <c r="CN431" s="407"/>
      <c r="CO431" s="407">
        <v>-3930.1668000000036</v>
      </c>
      <c r="CP431" s="407">
        <v>20525.034599999999</v>
      </c>
      <c r="CQ431" s="407">
        <v>31</v>
      </c>
      <c r="CR431" s="407">
        <v>16592.506120616483</v>
      </c>
      <c r="CS431" s="407">
        <v>0</v>
      </c>
      <c r="CT431" s="407">
        <v>0</v>
      </c>
      <c r="CU431" s="407">
        <v>0</v>
      </c>
      <c r="CV431" s="407">
        <v>0</v>
      </c>
      <c r="CW431" s="407">
        <v>0</v>
      </c>
      <c r="CX431" s="407">
        <v>0</v>
      </c>
      <c r="CY431" s="407">
        <v>0</v>
      </c>
      <c r="CZ431" s="407">
        <v>0</v>
      </c>
      <c r="DA431" s="407">
        <v>0</v>
      </c>
      <c r="DB431" s="407">
        <v>0</v>
      </c>
      <c r="DC431" s="407">
        <v>22848.604613864634</v>
      </c>
      <c r="DD431" s="407">
        <v>0</v>
      </c>
      <c r="DE431" s="407">
        <v>0</v>
      </c>
      <c r="DF431" s="407">
        <v>0</v>
      </c>
      <c r="DG431" s="407">
        <v>768.85713656916278</v>
      </c>
      <c r="DH431" s="407">
        <v>0</v>
      </c>
      <c r="DI431" s="407">
        <v>-2821.5393618901871</v>
      </c>
      <c r="DJ431" s="407"/>
      <c r="DK431" s="407">
        <v>0</v>
      </c>
      <c r="DL431" s="407">
        <v>0</v>
      </c>
      <c r="DM431" s="407">
        <v>0</v>
      </c>
      <c r="DN431" s="407">
        <v>0</v>
      </c>
      <c r="DO431" s="407">
        <v>-436.53866150483009</v>
      </c>
      <c r="DP431" s="407">
        <v>-51.118841983385323</v>
      </c>
      <c r="DQ431" s="407">
        <v>0</v>
      </c>
      <c r="DR431" s="407">
        <v>-3715.7587644389378</v>
      </c>
      <c r="DS431" s="407"/>
      <c r="DT431" s="407"/>
      <c r="DU431" s="407"/>
      <c r="DV431" s="407">
        <v>0</v>
      </c>
      <c r="DW431" s="407">
        <v>0</v>
      </c>
      <c r="DX431" s="407">
        <v>0</v>
      </c>
      <c r="DY431" s="407">
        <v>-3930.1668000000063</v>
      </c>
      <c r="DZ431" s="407">
        <v>20525.034599999999</v>
      </c>
      <c r="EA431" s="407">
        <v>0</v>
      </c>
      <c r="EB431" s="407">
        <v>0</v>
      </c>
      <c r="EC431" s="407">
        <v>0</v>
      </c>
      <c r="ED431" s="407">
        <v>0</v>
      </c>
      <c r="EE431" s="407">
        <v>0</v>
      </c>
      <c r="EF431" s="407">
        <v>0</v>
      </c>
      <c r="EG431" s="407">
        <v>0</v>
      </c>
      <c r="EH431" s="407">
        <v>0</v>
      </c>
      <c r="EI431" s="407">
        <v>0</v>
      </c>
      <c r="EJ431" s="407">
        <v>0</v>
      </c>
      <c r="EK431" s="407">
        <v>0</v>
      </c>
      <c r="EL431" s="407">
        <v>0</v>
      </c>
      <c r="EM431" s="407">
        <v>0</v>
      </c>
      <c r="EN431" s="407">
        <v>0</v>
      </c>
      <c r="EO431" s="407">
        <v>0</v>
      </c>
      <c r="EP431" s="407">
        <v>19081.597724118423</v>
      </c>
      <c r="EQ431" s="407">
        <v>0</v>
      </c>
      <c r="ER431" s="407">
        <v>0</v>
      </c>
      <c r="ES431" s="407">
        <v>0</v>
      </c>
      <c r="ET431" s="407">
        <v>0</v>
      </c>
      <c r="EU431" s="407">
        <v>0</v>
      </c>
      <c r="EV431" s="407">
        <v>246</v>
      </c>
      <c r="EW431" s="407">
        <v>0</v>
      </c>
      <c r="EX431" s="407">
        <v>0</v>
      </c>
      <c r="EY431" s="407">
        <v>0</v>
      </c>
      <c r="EZ431" s="407"/>
      <c r="FA431" s="407">
        <v>0</v>
      </c>
      <c r="FB431" s="407"/>
      <c r="FC431" s="407"/>
      <c r="FD431" s="407"/>
      <c r="FE431" s="407"/>
      <c r="FF431" s="407">
        <v>0</v>
      </c>
      <c r="FG431" s="407">
        <v>0</v>
      </c>
      <c r="FH431" s="407">
        <v>0</v>
      </c>
      <c r="FI431" s="407">
        <v>0</v>
      </c>
    </row>
    <row r="432" spans="1:165">
      <c r="A432" s="407">
        <v>449</v>
      </c>
      <c r="B432" s="407" t="s">
        <v>2309</v>
      </c>
      <c r="C432" s="407" t="s">
        <v>2314</v>
      </c>
      <c r="D432" s="407" t="s">
        <v>650</v>
      </c>
      <c r="E432" s="407" t="s">
        <v>1026</v>
      </c>
      <c r="F432" s="407" t="s">
        <v>2323</v>
      </c>
      <c r="G432" s="407" t="s">
        <v>97</v>
      </c>
      <c r="H432" s="407" t="s">
        <v>97</v>
      </c>
      <c r="I432" s="407" t="s">
        <v>2290</v>
      </c>
      <c r="J432" s="407" t="s">
        <v>2307</v>
      </c>
      <c r="K432" s="818">
        <v>44562</v>
      </c>
      <c r="L432" s="407">
        <v>0</v>
      </c>
      <c r="M432" s="407">
        <v>0</v>
      </c>
      <c r="N432" s="407">
        <v>19.213999999999999</v>
      </c>
      <c r="O432" s="407">
        <v>18.445440000000001</v>
      </c>
      <c r="P432" s="407">
        <v>19.213999999999999</v>
      </c>
      <c r="Q432" s="407">
        <v>18.445440000000001</v>
      </c>
      <c r="R432" s="407"/>
      <c r="S432" s="407">
        <v>95.29</v>
      </c>
      <c r="T432" s="407">
        <v>159.41</v>
      </c>
      <c r="U432" s="407"/>
      <c r="V432" s="407">
        <v>4893.8058000000001</v>
      </c>
      <c r="W432" s="407">
        <v>4893.8058000000001</v>
      </c>
      <c r="X432" s="407">
        <v>5320.5487399999993</v>
      </c>
      <c r="Y432" s="407">
        <v>0</v>
      </c>
      <c r="Z432" s="407">
        <v>1035.9058641763047</v>
      </c>
      <c r="AA432" s="407">
        <v>0</v>
      </c>
      <c r="AB432" s="407">
        <v>0</v>
      </c>
      <c r="AC432" s="407">
        <v>0</v>
      </c>
      <c r="AD432" s="407">
        <v>0</v>
      </c>
      <c r="AE432" s="407">
        <v>0</v>
      </c>
      <c r="AF432" s="407">
        <v>2963.3889909256759</v>
      </c>
      <c r="AG432" s="407">
        <v>99.56209143305918</v>
      </c>
      <c r="AH432" s="407">
        <v>0</v>
      </c>
      <c r="AI432" s="407">
        <v>0</v>
      </c>
      <c r="AJ432" s="407">
        <v>0</v>
      </c>
      <c r="AK432" s="407">
        <v>0</v>
      </c>
      <c r="AL432" s="407">
        <v>183.99432750915929</v>
      </c>
      <c r="AM432" s="407"/>
      <c r="AN432" s="407">
        <v>20.630713236542441</v>
      </c>
      <c r="AO432" s="407">
        <v>0</v>
      </c>
      <c r="AP432" s="407">
        <v>0</v>
      </c>
      <c r="AQ432" s="407">
        <v>0</v>
      </c>
      <c r="AR432" s="407">
        <v>0</v>
      </c>
      <c r="AS432" s="407">
        <v>0</v>
      </c>
      <c r="AT432" s="407">
        <v>0</v>
      </c>
      <c r="AU432" s="407">
        <v>0</v>
      </c>
      <c r="AV432" s="407">
        <v>0</v>
      </c>
      <c r="AW432" s="407">
        <v>0</v>
      </c>
      <c r="AX432" s="407">
        <v>0</v>
      </c>
      <c r="AY432" s="407">
        <v>0</v>
      </c>
      <c r="AZ432" s="407">
        <v>0</v>
      </c>
      <c r="BA432" s="407"/>
      <c r="BB432" s="407">
        <v>0</v>
      </c>
      <c r="BC432" s="407">
        <v>0</v>
      </c>
      <c r="BD432" s="407">
        <v>0</v>
      </c>
      <c r="BE432" s="407">
        <v>0</v>
      </c>
      <c r="BF432" s="407">
        <v>0</v>
      </c>
      <c r="BG432" s="407">
        <v>99.718245932669888</v>
      </c>
      <c r="BH432" s="407">
        <v>0</v>
      </c>
      <c r="BI432" s="407">
        <v>0</v>
      </c>
      <c r="BJ432" s="407">
        <v>0</v>
      </c>
      <c r="BK432" s="407">
        <v>0</v>
      </c>
      <c r="BL432" s="407">
        <v>0</v>
      </c>
      <c r="BM432" s="407"/>
      <c r="BN432" s="407"/>
      <c r="BO432" s="407"/>
      <c r="BP432" s="407"/>
      <c r="BQ432" s="407"/>
      <c r="BR432" s="407">
        <v>212.82194959999924</v>
      </c>
      <c r="BS432" s="407"/>
      <c r="BT432" s="407"/>
      <c r="BU432" s="407"/>
      <c r="BV432" s="407">
        <v>3063.1072368583459</v>
      </c>
      <c r="BW432" s="407"/>
      <c r="BX432" s="407"/>
      <c r="BY432" s="407"/>
      <c r="BZ432" s="407"/>
      <c r="CA432" s="407"/>
      <c r="CB432" s="407"/>
      <c r="CC432" s="407"/>
      <c r="CD432" s="407"/>
      <c r="CE432" s="407"/>
      <c r="CF432" s="407"/>
      <c r="CG432" s="407"/>
      <c r="CH432" s="407"/>
      <c r="CI432" s="407">
        <v>5108.9894999999997</v>
      </c>
      <c r="CJ432" s="407">
        <v>410.90593199999876</v>
      </c>
      <c r="CK432" s="407"/>
      <c r="CL432" s="407"/>
      <c r="CM432" s="407"/>
      <c r="CN432" s="407"/>
      <c r="CO432" s="407">
        <v>-101.06564000000009</v>
      </c>
      <c r="CP432" s="407">
        <v>527.80857999999989</v>
      </c>
      <c r="CQ432" s="407">
        <v>31</v>
      </c>
      <c r="CR432" s="407">
        <v>426.68220857293363</v>
      </c>
      <c r="CS432" s="407">
        <v>0</v>
      </c>
      <c r="CT432" s="407">
        <v>0</v>
      </c>
      <c r="CU432" s="407">
        <v>0</v>
      </c>
      <c r="CV432" s="407">
        <v>0</v>
      </c>
      <c r="CW432" s="407">
        <v>0</v>
      </c>
      <c r="CX432" s="407">
        <v>0</v>
      </c>
      <c r="CY432" s="407">
        <v>0</v>
      </c>
      <c r="CZ432" s="407">
        <v>0</v>
      </c>
      <c r="DA432" s="407">
        <v>0</v>
      </c>
      <c r="DB432" s="407">
        <v>0</v>
      </c>
      <c r="DC432" s="407">
        <v>587.5600110425803</v>
      </c>
      <c r="DD432" s="407">
        <v>0</v>
      </c>
      <c r="DE432" s="407">
        <v>0</v>
      </c>
      <c r="DF432" s="407">
        <v>0</v>
      </c>
      <c r="DG432" s="407">
        <v>19.771435292753949</v>
      </c>
      <c r="DH432" s="407">
        <v>0</v>
      </c>
      <c r="DI432" s="407">
        <v>-72.556890306697142</v>
      </c>
      <c r="DJ432" s="407"/>
      <c r="DK432" s="407">
        <v>0</v>
      </c>
      <c r="DL432" s="407">
        <v>0</v>
      </c>
      <c r="DM432" s="407">
        <v>0</v>
      </c>
      <c r="DN432" s="407">
        <v>0</v>
      </c>
      <c r="DO432" s="407">
        <v>-11.225747265924952</v>
      </c>
      <c r="DP432" s="407">
        <v>-1.3145392407034002</v>
      </c>
      <c r="DQ432" s="407">
        <v>0</v>
      </c>
      <c r="DR432" s="407">
        <v>-95.552060949074843</v>
      </c>
      <c r="DS432" s="407"/>
      <c r="DT432" s="407"/>
      <c r="DU432" s="407"/>
      <c r="DV432" s="407">
        <v>0</v>
      </c>
      <c r="DW432" s="407">
        <v>0</v>
      </c>
      <c r="DX432" s="407">
        <v>0</v>
      </c>
      <c r="DY432" s="407">
        <v>-101.06564000000003</v>
      </c>
      <c r="DZ432" s="407">
        <v>527.80857999999989</v>
      </c>
      <c r="EA432" s="407">
        <v>0</v>
      </c>
      <c r="EB432" s="407">
        <v>0</v>
      </c>
      <c r="EC432" s="407">
        <v>0</v>
      </c>
      <c r="ED432" s="407">
        <v>0</v>
      </c>
      <c r="EE432" s="407">
        <v>0</v>
      </c>
      <c r="EF432" s="407">
        <v>0</v>
      </c>
      <c r="EG432" s="407">
        <v>0</v>
      </c>
      <c r="EH432" s="407">
        <v>0</v>
      </c>
      <c r="EI432" s="407">
        <v>0</v>
      </c>
      <c r="EJ432" s="407">
        <v>0</v>
      </c>
      <c r="EK432" s="407">
        <v>0</v>
      </c>
      <c r="EL432" s="407">
        <v>0</v>
      </c>
      <c r="EM432" s="407">
        <v>0</v>
      </c>
      <c r="EN432" s="407">
        <v>0</v>
      </c>
      <c r="EO432" s="407">
        <v>0</v>
      </c>
      <c r="EP432" s="407">
        <v>490.6900862860507</v>
      </c>
      <c r="EQ432" s="407">
        <v>0</v>
      </c>
      <c r="ER432" s="407">
        <v>0</v>
      </c>
      <c r="ES432" s="407">
        <v>0</v>
      </c>
      <c r="ET432" s="407">
        <v>0</v>
      </c>
      <c r="EU432" s="407">
        <v>0</v>
      </c>
      <c r="EV432" s="407">
        <v>246</v>
      </c>
      <c r="EW432" s="407">
        <v>0</v>
      </c>
      <c r="EX432" s="407">
        <v>0</v>
      </c>
      <c r="EY432" s="407">
        <v>0</v>
      </c>
      <c r="EZ432" s="407"/>
      <c r="FA432" s="407">
        <v>0</v>
      </c>
      <c r="FB432" s="407"/>
      <c r="FC432" s="407"/>
      <c r="FD432" s="407"/>
      <c r="FE432" s="407"/>
      <c r="FF432" s="407">
        <v>0</v>
      </c>
      <c r="FG432" s="407">
        <v>0</v>
      </c>
      <c r="FH432" s="407">
        <v>0</v>
      </c>
      <c r="FI432" s="407">
        <v>0</v>
      </c>
    </row>
    <row r="433" spans="1:165">
      <c r="A433" s="407">
        <v>450</v>
      </c>
      <c r="B433" s="407" t="s">
        <v>1090</v>
      </c>
      <c r="C433" s="407" t="s">
        <v>2314</v>
      </c>
      <c r="D433" s="407" t="s">
        <v>650</v>
      </c>
      <c r="E433" s="407" t="s">
        <v>1026</v>
      </c>
      <c r="F433" s="407" t="s">
        <v>2323</v>
      </c>
      <c r="G433" s="407" t="s">
        <v>97</v>
      </c>
      <c r="H433" s="407" t="s">
        <v>97</v>
      </c>
      <c r="I433" s="407" t="s">
        <v>97</v>
      </c>
      <c r="J433" s="407" t="s">
        <v>2307</v>
      </c>
      <c r="K433" s="818">
        <v>44562</v>
      </c>
      <c r="L433" s="407">
        <v>8496</v>
      </c>
      <c r="M433" s="407">
        <v>8156.16</v>
      </c>
      <c r="N433" s="407">
        <v>0</v>
      </c>
      <c r="O433" s="407">
        <v>0</v>
      </c>
      <c r="P433" s="407">
        <v>0</v>
      </c>
      <c r="Q433" s="407">
        <v>0</v>
      </c>
      <c r="R433" s="407">
        <v>43.29</v>
      </c>
      <c r="S433" s="407"/>
      <c r="T433" s="407"/>
      <c r="U433" s="407">
        <v>367791.83999999997</v>
      </c>
      <c r="V433" s="407"/>
      <c r="W433" s="407">
        <v>367791.83999999997</v>
      </c>
      <c r="X433" s="407">
        <v>284531.04000000004</v>
      </c>
      <c r="Y433" s="407">
        <v>0</v>
      </c>
      <c r="Z433" s="407">
        <v>0</v>
      </c>
      <c r="AA433" s="407">
        <v>0</v>
      </c>
      <c r="AB433" s="407">
        <v>0</v>
      </c>
      <c r="AC433" s="407">
        <v>0</v>
      </c>
      <c r="AD433" s="407">
        <v>201049.23489808926</v>
      </c>
      <c r="AE433" s="407">
        <v>166769.5736387411</v>
      </c>
      <c r="AF433" s="407"/>
      <c r="AG433" s="407"/>
      <c r="AH433" s="407"/>
      <c r="AI433" s="407">
        <v>0</v>
      </c>
      <c r="AJ433" s="407">
        <v>0</v>
      </c>
      <c r="AK433" s="407">
        <v>0</v>
      </c>
      <c r="AL433" s="407">
        <v>0</v>
      </c>
      <c r="AM433" s="407"/>
      <c r="AN433" s="407">
        <v>0</v>
      </c>
      <c r="AO433" s="407">
        <v>0</v>
      </c>
      <c r="AP433" s="407">
        <v>0</v>
      </c>
      <c r="AQ433" s="407">
        <v>0</v>
      </c>
      <c r="AR433" s="407">
        <v>0</v>
      </c>
      <c r="AS433" s="407"/>
      <c r="AT433" s="407"/>
      <c r="AU433" s="407">
        <v>0</v>
      </c>
      <c r="AV433" s="407">
        <v>0</v>
      </c>
      <c r="AW433" s="407">
        <v>0</v>
      </c>
      <c r="AX433" s="407"/>
      <c r="AY433" s="407"/>
      <c r="AZ433" s="407">
        <v>0</v>
      </c>
      <c r="BA433" s="407"/>
      <c r="BB433" s="407">
        <v>0</v>
      </c>
      <c r="BC433" s="407">
        <v>0</v>
      </c>
      <c r="BD433" s="407">
        <v>0</v>
      </c>
      <c r="BE433" s="407">
        <v>0</v>
      </c>
      <c r="BF433" s="407"/>
      <c r="BG433" s="407">
        <v>0</v>
      </c>
      <c r="BH433" s="407">
        <v>0</v>
      </c>
      <c r="BI433" s="407">
        <v>436.69</v>
      </c>
      <c r="BJ433" s="407">
        <v>2038.53</v>
      </c>
      <c r="BK433" s="407">
        <v>733.81</v>
      </c>
      <c r="BL433" s="407">
        <v>44</v>
      </c>
      <c r="BM433" s="407"/>
      <c r="BN433" s="407"/>
      <c r="BO433" s="407"/>
      <c r="BP433" s="407"/>
      <c r="BQ433" s="407"/>
      <c r="BR433" s="407">
        <v>11381.241600000005</v>
      </c>
      <c r="BS433" s="407"/>
      <c r="BT433" s="407"/>
      <c r="BU433" s="407"/>
      <c r="BV433" s="407">
        <v>0</v>
      </c>
      <c r="BW433" s="407"/>
      <c r="BX433" s="407"/>
      <c r="BY433" s="407"/>
      <c r="BZ433" s="407"/>
      <c r="CA433" s="407"/>
      <c r="CB433" s="407"/>
      <c r="CC433" s="407"/>
      <c r="CD433" s="407"/>
      <c r="CE433" s="407"/>
      <c r="CF433" s="407"/>
      <c r="CG433" s="407"/>
      <c r="CH433" s="407"/>
      <c r="CI433" s="407">
        <v>273149.79840000003</v>
      </c>
      <c r="CJ433" s="407">
        <v>-79930.397999999986</v>
      </c>
      <c r="CK433" s="407"/>
      <c r="CL433" s="407"/>
      <c r="CM433" s="407"/>
      <c r="CN433" s="407"/>
      <c r="CO433" s="407">
        <v>-83260.799999999974</v>
      </c>
      <c r="CP433" s="407">
        <v>0</v>
      </c>
      <c r="CQ433" s="407">
        <v>31</v>
      </c>
      <c r="CR433" s="407">
        <v>1900.2165937437676</v>
      </c>
      <c r="CS433" s="407">
        <v>0</v>
      </c>
      <c r="CT433" s="407">
        <v>0</v>
      </c>
      <c r="CU433" s="407">
        <v>0</v>
      </c>
      <c r="CV433" s="407">
        <v>0</v>
      </c>
      <c r="CW433" s="407"/>
      <c r="CX433" s="407"/>
      <c r="CY433" s="407"/>
      <c r="CZ433" s="407">
        <v>9081.7925827867584</v>
      </c>
      <c r="DA433" s="407">
        <v>0</v>
      </c>
      <c r="DB433" s="407">
        <v>0</v>
      </c>
      <c r="DC433" s="407"/>
      <c r="DD433" s="407"/>
      <c r="DE433" s="407">
        <v>0</v>
      </c>
      <c r="DF433" s="407">
        <v>0</v>
      </c>
      <c r="DG433" s="407">
        <v>0</v>
      </c>
      <c r="DH433" s="407">
        <v>0</v>
      </c>
      <c r="DI433" s="407">
        <v>0</v>
      </c>
      <c r="DJ433" s="407"/>
      <c r="DK433" s="407">
        <v>0</v>
      </c>
      <c r="DL433" s="407">
        <v>0</v>
      </c>
      <c r="DM433" s="407"/>
      <c r="DN433" s="407">
        <v>0</v>
      </c>
      <c r="DO433" s="407">
        <v>0</v>
      </c>
      <c r="DP433" s="407">
        <v>0</v>
      </c>
      <c r="DQ433" s="407">
        <v>0</v>
      </c>
      <c r="DR433" s="407">
        <v>-7181.5759890429799</v>
      </c>
      <c r="DS433" s="407"/>
      <c r="DT433" s="407"/>
      <c r="DU433" s="407">
        <v>166769.5736387411</v>
      </c>
      <c r="DV433" s="407"/>
      <c r="DW433" s="407">
        <v>0</v>
      </c>
      <c r="DX433" s="407">
        <v>0</v>
      </c>
      <c r="DY433" s="407">
        <v>-83260.79999999993</v>
      </c>
      <c r="DZ433" s="407"/>
      <c r="EA433" s="407">
        <v>0</v>
      </c>
      <c r="EB433" s="407"/>
      <c r="EC433" s="407">
        <v>-85186.285557575757</v>
      </c>
      <c r="ED433" s="407"/>
      <c r="EE433" s="407">
        <v>0</v>
      </c>
      <c r="EF433" s="407">
        <v>0</v>
      </c>
      <c r="EG433" s="407"/>
      <c r="EH433" s="407">
        <v>0</v>
      </c>
      <c r="EI433" s="407">
        <v>0</v>
      </c>
      <c r="EJ433" s="407">
        <v>0</v>
      </c>
      <c r="EK433" s="407">
        <v>0</v>
      </c>
      <c r="EL433" s="407">
        <v>0</v>
      </c>
      <c r="EM433" s="407"/>
      <c r="EN433" s="407"/>
      <c r="EO433" s="407">
        <v>0</v>
      </c>
      <c r="EP433" s="407">
        <v>0</v>
      </c>
      <c r="EQ433" s="407"/>
      <c r="ER433" s="407">
        <v>0</v>
      </c>
      <c r="ES433" s="407"/>
      <c r="ET433" s="407">
        <v>0</v>
      </c>
      <c r="EU433" s="407"/>
      <c r="EV433" s="407">
        <v>246</v>
      </c>
      <c r="EW433" s="407"/>
      <c r="EX433" s="407"/>
      <c r="EY433" s="407"/>
      <c r="EZ433" s="407"/>
      <c r="FA433" s="407">
        <v>0</v>
      </c>
      <c r="FB433" s="407"/>
      <c r="FC433" s="407"/>
      <c r="FD433" s="407"/>
      <c r="FE433" s="407"/>
      <c r="FF433" s="407">
        <v>0</v>
      </c>
      <c r="FG433" s="407">
        <v>0</v>
      </c>
      <c r="FH433" s="407">
        <v>0</v>
      </c>
      <c r="FI433" s="407">
        <v>0</v>
      </c>
    </row>
    <row r="434" spans="1:165">
      <c r="A434" s="407">
        <v>451</v>
      </c>
      <c r="B434" s="407" t="s">
        <v>2309</v>
      </c>
      <c r="C434" s="407" t="s">
        <v>2314</v>
      </c>
      <c r="D434" s="407" t="s">
        <v>650</v>
      </c>
      <c r="E434" s="407" t="s">
        <v>1026</v>
      </c>
      <c r="F434" s="407" t="s">
        <v>2323</v>
      </c>
      <c r="G434" s="407" t="s">
        <v>97</v>
      </c>
      <c r="H434" s="407" t="s">
        <v>97</v>
      </c>
      <c r="I434" s="407" t="s">
        <v>97</v>
      </c>
      <c r="J434" s="407" t="s">
        <v>2307</v>
      </c>
      <c r="K434" s="818">
        <v>44562</v>
      </c>
      <c r="L434" s="407">
        <v>182</v>
      </c>
      <c r="M434" s="407">
        <v>174.72</v>
      </c>
      <c r="N434" s="407">
        <v>0</v>
      </c>
      <c r="O434" s="407">
        <v>0</v>
      </c>
      <c r="P434" s="407">
        <v>0</v>
      </c>
      <c r="Q434" s="407">
        <v>0</v>
      </c>
      <c r="R434" s="407">
        <v>43.29</v>
      </c>
      <c r="S434" s="407"/>
      <c r="T434" s="407"/>
      <c r="U434" s="407">
        <v>7878.78</v>
      </c>
      <c r="V434" s="407"/>
      <c r="W434" s="407">
        <v>7878.78</v>
      </c>
      <c r="X434" s="407">
        <v>6095.18</v>
      </c>
      <c r="Y434" s="407">
        <v>0</v>
      </c>
      <c r="Z434" s="407">
        <v>0</v>
      </c>
      <c r="AA434" s="407">
        <v>0</v>
      </c>
      <c r="AB434" s="407">
        <v>0</v>
      </c>
      <c r="AC434" s="407">
        <v>0</v>
      </c>
      <c r="AD434" s="407">
        <v>4306.8456628357162</v>
      </c>
      <c r="AE434" s="407">
        <v>3572.5120529956312</v>
      </c>
      <c r="AF434" s="407"/>
      <c r="AG434" s="407"/>
      <c r="AH434" s="407"/>
      <c r="AI434" s="407">
        <v>0</v>
      </c>
      <c r="AJ434" s="407">
        <v>0</v>
      </c>
      <c r="AK434" s="407">
        <v>0</v>
      </c>
      <c r="AL434" s="407">
        <v>0</v>
      </c>
      <c r="AM434" s="407"/>
      <c r="AN434" s="407">
        <v>0</v>
      </c>
      <c r="AO434" s="407">
        <v>0</v>
      </c>
      <c r="AP434" s="407">
        <v>0</v>
      </c>
      <c r="AQ434" s="407">
        <v>0</v>
      </c>
      <c r="AR434" s="407">
        <v>0</v>
      </c>
      <c r="AS434" s="407"/>
      <c r="AT434" s="407"/>
      <c r="AU434" s="407">
        <v>0</v>
      </c>
      <c r="AV434" s="407">
        <v>0</v>
      </c>
      <c r="AW434" s="407">
        <v>0</v>
      </c>
      <c r="AX434" s="407"/>
      <c r="AY434" s="407"/>
      <c r="AZ434" s="407">
        <v>0</v>
      </c>
      <c r="BA434" s="407"/>
      <c r="BB434" s="407">
        <v>0</v>
      </c>
      <c r="BC434" s="407">
        <v>0</v>
      </c>
      <c r="BD434" s="407">
        <v>0</v>
      </c>
      <c r="BE434" s="407">
        <v>0</v>
      </c>
      <c r="BF434" s="407"/>
      <c r="BG434" s="407">
        <v>0</v>
      </c>
      <c r="BH434" s="407">
        <v>0</v>
      </c>
      <c r="BI434" s="407">
        <v>7.05</v>
      </c>
      <c r="BJ434" s="407">
        <v>32.950000000000003</v>
      </c>
      <c r="BK434" s="407">
        <v>119.08</v>
      </c>
      <c r="BL434" s="407">
        <v>1</v>
      </c>
      <c r="BM434" s="407"/>
      <c r="BN434" s="407"/>
      <c r="BO434" s="407"/>
      <c r="BP434" s="407"/>
      <c r="BQ434" s="407"/>
      <c r="BR434" s="407">
        <v>243.80720000000005</v>
      </c>
      <c r="BS434" s="407"/>
      <c r="BT434" s="407"/>
      <c r="BU434" s="407"/>
      <c r="BV434" s="407">
        <v>0</v>
      </c>
      <c r="BW434" s="407"/>
      <c r="BX434" s="407"/>
      <c r="BY434" s="407"/>
      <c r="BZ434" s="407"/>
      <c r="CA434" s="407"/>
      <c r="CB434" s="407"/>
      <c r="CC434" s="407"/>
      <c r="CD434" s="407"/>
      <c r="CE434" s="407"/>
      <c r="CF434" s="407"/>
      <c r="CG434" s="407"/>
      <c r="CH434" s="407"/>
      <c r="CI434" s="407">
        <v>5851.3728000000001</v>
      </c>
      <c r="CJ434" s="407">
        <v>-1712.2860000000001</v>
      </c>
      <c r="CK434" s="407"/>
      <c r="CL434" s="407"/>
      <c r="CM434" s="407"/>
      <c r="CN434" s="407"/>
      <c r="CO434" s="407">
        <v>-1783.5999999999995</v>
      </c>
      <c r="CP434" s="407">
        <v>0</v>
      </c>
      <c r="CQ434" s="407">
        <v>31</v>
      </c>
      <c r="CR434" s="407">
        <v>40.706146429068212</v>
      </c>
      <c r="CS434" s="407">
        <v>0</v>
      </c>
      <c r="CT434" s="407">
        <v>0</v>
      </c>
      <c r="CU434" s="407">
        <v>0</v>
      </c>
      <c r="CV434" s="407">
        <v>0</v>
      </c>
      <c r="CW434" s="407"/>
      <c r="CX434" s="407"/>
      <c r="CY434" s="407"/>
      <c r="CZ434" s="407">
        <v>194.5487582470796</v>
      </c>
      <c r="DA434" s="407">
        <v>0</v>
      </c>
      <c r="DB434" s="407">
        <v>0</v>
      </c>
      <c r="DC434" s="407"/>
      <c r="DD434" s="407"/>
      <c r="DE434" s="407">
        <v>0</v>
      </c>
      <c r="DF434" s="407">
        <v>0</v>
      </c>
      <c r="DG434" s="407">
        <v>0</v>
      </c>
      <c r="DH434" s="407">
        <v>0</v>
      </c>
      <c r="DI434" s="407">
        <v>0</v>
      </c>
      <c r="DJ434" s="407"/>
      <c r="DK434" s="407">
        <v>0</v>
      </c>
      <c r="DL434" s="407">
        <v>0</v>
      </c>
      <c r="DM434" s="407"/>
      <c r="DN434" s="407">
        <v>0</v>
      </c>
      <c r="DO434" s="407">
        <v>0</v>
      </c>
      <c r="DP434" s="407">
        <v>0</v>
      </c>
      <c r="DQ434" s="407">
        <v>0</v>
      </c>
      <c r="DR434" s="407">
        <v>-153.84261181801111</v>
      </c>
      <c r="DS434" s="407"/>
      <c r="DT434" s="407"/>
      <c r="DU434" s="407">
        <v>3572.5120529956312</v>
      </c>
      <c r="DV434" s="407"/>
      <c r="DW434" s="407">
        <v>0</v>
      </c>
      <c r="DX434" s="407">
        <v>0</v>
      </c>
      <c r="DY434" s="407">
        <v>-1783.5999999999995</v>
      </c>
      <c r="DZ434" s="407"/>
      <c r="EA434" s="407">
        <v>0</v>
      </c>
      <c r="EB434" s="407"/>
      <c r="EC434" s="407">
        <v>-1824.8474542701022</v>
      </c>
      <c r="ED434" s="407"/>
      <c r="EE434" s="407">
        <v>0</v>
      </c>
      <c r="EF434" s="407">
        <v>0</v>
      </c>
      <c r="EG434" s="407"/>
      <c r="EH434" s="407">
        <v>0</v>
      </c>
      <c r="EI434" s="407">
        <v>0</v>
      </c>
      <c r="EJ434" s="407">
        <v>0</v>
      </c>
      <c r="EK434" s="407">
        <v>0</v>
      </c>
      <c r="EL434" s="407">
        <v>0</v>
      </c>
      <c r="EM434" s="407"/>
      <c r="EN434" s="407"/>
      <c r="EO434" s="407">
        <v>0</v>
      </c>
      <c r="EP434" s="407">
        <v>0</v>
      </c>
      <c r="EQ434" s="407"/>
      <c r="ER434" s="407">
        <v>0</v>
      </c>
      <c r="ES434" s="407"/>
      <c r="ET434" s="407">
        <v>0</v>
      </c>
      <c r="EU434" s="407"/>
      <c r="EV434" s="407">
        <v>246</v>
      </c>
      <c r="EW434" s="407"/>
      <c r="EX434" s="407"/>
      <c r="EY434" s="407"/>
      <c r="EZ434" s="407"/>
      <c r="FA434" s="407">
        <v>0</v>
      </c>
      <c r="FB434" s="407"/>
      <c r="FC434" s="407"/>
      <c r="FD434" s="407"/>
      <c r="FE434" s="407"/>
      <c r="FF434" s="407">
        <v>0</v>
      </c>
      <c r="FG434" s="407">
        <v>0</v>
      </c>
      <c r="FH434" s="407">
        <v>0</v>
      </c>
      <c r="FI434" s="407">
        <v>0</v>
      </c>
    </row>
    <row r="435" spans="1:165">
      <c r="A435" s="407">
        <v>452</v>
      </c>
      <c r="B435" s="407" t="s">
        <v>1090</v>
      </c>
      <c r="C435" s="407" t="s">
        <v>2314</v>
      </c>
      <c r="D435" s="407" t="s">
        <v>650</v>
      </c>
      <c r="E435" s="407" t="s">
        <v>1026</v>
      </c>
      <c r="F435" s="407" t="s">
        <v>2323</v>
      </c>
      <c r="G435" s="407" t="s">
        <v>2325</v>
      </c>
      <c r="H435" s="407" t="s">
        <v>97</v>
      </c>
      <c r="I435" s="407" t="s">
        <v>2290</v>
      </c>
      <c r="J435" s="407" t="s">
        <v>2307</v>
      </c>
      <c r="K435" s="818">
        <v>44562</v>
      </c>
      <c r="L435" s="407">
        <v>0</v>
      </c>
      <c r="M435" s="407">
        <v>0</v>
      </c>
      <c r="N435" s="407">
        <v>660.40499999999997</v>
      </c>
      <c r="O435" s="407">
        <v>198.1215</v>
      </c>
      <c r="P435" s="407">
        <v>660.40499999999997</v>
      </c>
      <c r="Q435" s="407">
        <v>198.1215</v>
      </c>
      <c r="R435" s="407"/>
      <c r="S435" s="407">
        <v>95.29</v>
      </c>
      <c r="T435" s="407">
        <v>159.41</v>
      </c>
      <c r="U435" s="407"/>
      <c r="V435" s="407">
        <v>168205.15349999999</v>
      </c>
      <c r="W435" s="407">
        <v>168205.15349999999</v>
      </c>
      <c r="X435" s="407">
        <v>182872.74854999999</v>
      </c>
      <c r="Y435" s="407">
        <v>0</v>
      </c>
      <c r="Z435" s="407">
        <v>35605.153129559309</v>
      </c>
      <c r="AA435" s="407">
        <v>0</v>
      </c>
      <c r="AB435" s="407">
        <v>0</v>
      </c>
      <c r="AC435" s="407">
        <v>0</v>
      </c>
      <c r="AD435" s="407">
        <v>0</v>
      </c>
      <c r="AE435" s="407">
        <v>0</v>
      </c>
      <c r="AF435" s="407">
        <v>101854.73647092073</v>
      </c>
      <c r="AG435" s="407">
        <v>3422.0517847845035</v>
      </c>
      <c r="AH435" s="407">
        <v>0</v>
      </c>
      <c r="AI435" s="407">
        <v>0</v>
      </c>
      <c r="AJ435" s="407">
        <v>0</v>
      </c>
      <c r="AK435" s="407">
        <v>0</v>
      </c>
      <c r="AL435" s="407">
        <v>6324.0748339068568</v>
      </c>
      <c r="AM435" s="407"/>
      <c r="AN435" s="407">
        <v>709.0988953356308</v>
      </c>
      <c r="AO435" s="407">
        <v>0</v>
      </c>
      <c r="AP435" s="407">
        <v>0</v>
      </c>
      <c r="AQ435" s="407">
        <v>0</v>
      </c>
      <c r="AR435" s="407">
        <v>0</v>
      </c>
      <c r="AS435" s="407">
        <v>0</v>
      </c>
      <c r="AT435" s="407">
        <v>0</v>
      </c>
      <c r="AU435" s="407">
        <v>0</v>
      </c>
      <c r="AV435" s="407">
        <v>0</v>
      </c>
      <c r="AW435" s="407">
        <v>0</v>
      </c>
      <c r="AX435" s="407">
        <v>0</v>
      </c>
      <c r="AY435" s="407">
        <v>0</v>
      </c>
      <c r="AZ435" s="407">
        <v>0</v>
      </c>
      <c r="BA435" s="407"/>
      <c r="BB435" s="407">
        <v>0</v>
      </c>
      <c r="BC435" s="407">
        <v>0</v>
      </c>
      <c r="BD435" s="407">
        <v>0</v>
      </c>
      <c r="BE435" s="407">
        <v>0</v>
      </c>
      <c r="BF435" s="407">
        <v>0</v>
      </c>
      <c r="BG435" s="407">
        <v>3427.4189760156587</v>
      </c>
      <c r="BH435" s="407">
        <v>0</v>
      </c>
      <c r="BI435" s="407">
        <v>0</v>
      </c>
      <c r="BJ435" s="407">
        <v>0</v>
      </c>
      <c r="BK435" s="407">
        <v>0</v>
      </c>
      <c r="BL435" s="407">
        <v>0</v>
      </c>
      <c r="BM435" s="407"/>
      <c r="BN435" s="407"/>
      <c r="BO435" s="407"/>
      <c r="BP435" s="407"/>
      <c r="BQ435" s="407"/>
      <c r="BR435" s="407"/>
      <c r="BS435" s="407">
        <v>128010.923985</v>
      </c>
      <c r="BT435" s="407"/>
      <c r="BU435" s="407"/>
      <c r="BV435" s="407">
        <v>105282.15544693639</v>
      </c>
      <c r="BW435" s="407"/>
      <c r="BX435" s="407"/>
      <c r="BY435" s="407"/>
      <c r="BZ435" s="407"/>
      <c r="CA435" s="407"/>
      <c r="CB435" s="407"/>
      <c r="CC435" s="407"/>
      <c r="CD435" s="407"/>
      <c r="CE435" s="407"/>
      <c r="CF435" s="407"/>
      <c r="CG435" s="407"/>
      <c r="CH435" s="407"/>
      <c r="CI435" s="407">
        <v>54861.409200000002</v>
      </c>
      <c r="CJ435" s="407">
        <v>4399.8331500000058</v>
      </c>
      <c r="CK435" s="407"/>
      <c r="CL435" s="407"/>
      <c r="CM435" s="407"/>
      <c r="CN435" s="407"/>
      <c r="CO435" s="407">
        <v>-3473.7303000000034</v>
      </c>
      <c r="CP435" s="407">
        <v>18141.325349999999</v>
      </c>
      <c r="CQ435" s="407">
        <v>31</v>
      </c>
      <c r="CR435" s="407">
        <v>14665.50764820489</v>
      </c>
      <c r="CS435" s="407">
        <v>0</v>
      </c>
      <c r="CT435" s="407">
        <v>0</v>
      </c>
      <c r="CU435" s="407">
        <v>0</v>
      </c>
      <c r="CV435" s="407">
        <v>0</v>
      </c>
      <c r="CW435" s="407">
        <v>0</v>
      </c>
      <c r="CX435" s="407">
        <v>0</v>
      </c>
      <c r="CY435" s="407">
        <v>0</v>
      </c>
      <c r="CZ435" s="407">
        <v>0</v>
      </c>
      <c r="DA435" s="407">
        <v>0</v>
      </c>
      <c r="DB435" s="407">
        <v>0</v>
      </c>
      <c r="DC435" s="407">
        <v>20195.043670894942</v>
      </c>
      <c r="DD435" s="407">
        <v>0</v>
      </c>
      <c r="DE435" s="407">
        <v>0</v>
      </c>
      <c r="DF435" s="407">
        <v>0</v>
      </c>
      <c r="DG435" s="407">
        <v>679.56462602847751</v>
      </c>
      <c r="DH435" s="407">
        <v>0</v>
      </c>
      <c r="DI435" s="407">
        <v>-2493.8551651397065</v>
      </c>
      <c r="DJ435" s="407"/>
      <c r="DK435" s="407">
        <v>0</v>
      </c>
      <c r="DL435" s="407">
        <v>0</v>
      </c>
      <c r="DM435" s="407">
        <v>0</v>
      </c>
      <c r="DN435" s="407">
        <v>0</v>
      </c>
      <c r="DO435" s="407">
        <v>-385.84051333159005</v>
      </c>
      <c r="DP435" s="407">
        <v>-45.182069702130093</v>
      </c>
      <c r="DQ435" s="407">
        <v>0</v>
      </c>
      <c r="DR435" s="407">
        <v>-3284.2229005451118</v>
      </c>
      <c r="DS435" s="407"/>
      <c r="DT435" s="407"/>
      <c r="DU435" s="407"/>
      <c r="DV435" s="407">
        <v>0</v>
      </c>
      <c r="DW435" s="407">
        <v>0</v>
      </c>
      <c r="DX435" s="407">
        <v>0</v>
      </c>
      <c r="DY435" s="407">
        <v>-3473.7303000000029</v>
      </c>
      <c r="DZ435" s="407">
        <v>18141.325349999999</v>
      </c>
      <c r="EA435" s="407">
        <v>0</v>
      </c>
      <c r="EB435" s="407">
        <v>0</v>
      </c>
      <c r="EC435" s="407">
        <v>0</v>
      </c>
      <c r="ED435" s="407">
        <v>0</v>
      </c>
      <c r="EE435" s="407">
        <v>0</v>
      </c>
      <c r="EF435" s="407">
        <v>0</v>
      </c>
      <c r="EG435" s="407">
        <v>0</v>
      </c>
      <c r="EH435" s="407">
        <v>0</v>
      </c>
      <c r="EI435" s="407">
        <v>0</v>
      </c>
      <c r="EJ435" s="407">
        <v>0</v>
      </c>
      <c r="EK435" s="407">
        <v>0</v>
      </c>
      <c r="EL435" s="407">
        <v>0</v>
      </c>
      <c r="EM435" s="407">
        <v>0</v>
      </c>
      <c r="EN435" s="407">
        <v>0</v>
      </c>
      <c r="EO435" s="407">
        <v>0</v>
      </c>
      <c r="EP435" s="407">
        <v>16865.524431859027</v>
      </c>
      <c r="EQ435" s="407">
        <v>0</v>
      </c>
      <c r="ER435" s="407">
        <v>0</v>
      </c>
      <c r="ES435" s="407">
        <v>0</v>
      </c>
      <c r="ET435" s="407">
        <v>0</v>
      </c>
      <c r="EU435" s="407">
        <v>0</v>
      </c>
      <c r="EV435" s="407">
        <v>246</v>
      </c>
      <c r="EW435" s="407">
        <v>0</v>
      </c>
      <c r="EX435" s="407">
        <v>0</v>
      </c>
      <c r="EY435" s="407">
        <v>0</v>
      </c>
      <c r="EZ435" s="407"/>
      <c r="FA435" s="407">
        <v>0</v>
      </c>
      <c r="FB435" s="407"/>
      <c r="FC435" s="407"/>
      <c r="FD435" s="407"/>
      <c r="FE435" s="407"/>
      <c r="FF435" s="407">
        <v>0</v>
      </c>
      <c r="FG435" s="407">
        <v>0</v>
      </c>
      <c r="FH435" s="407">
        <v>0</v>
      </c>
      <c r="FI435" s="407">
        <v>0</v>
      </c>
    </row>
    <row r="436" spans="1:165">
      <c r="A436" s="407">
        <v>454</v>
      </c>
      <c r="B436" s="407" t="s">
        <v>1090</v>
      </c>
      <c r="C436" s="407" t="s">
        <v>2306</v>
      </c>
      <c r="D436" s="407" t="s">
        <v>2315</v>
      </c>
      <c r="E436" s="407" t="s">
        <v>1026</v>
      </c>
      <c r="F436" s="407" t="s">
        <v>2326</v>
      </c>
      <c r="G436" s="407" t="s">
        <v>2324</v>
      </c>
      <c r="H436" s="407" t="s">
        <v>97</v>
      </c>
      <c r="I436" s="407" t="s">
        <v>97</v>
      </c>
      <c r="J436" s="407" t="s">
        <v>2307</v>
      </c>
      <c r="K436" s="818">
        <v>44562</v>
      </c>
      <c r="L436" s="407">
        <v>0</v>
      </c>
      <c r="M436" s="407">
        <v>0</v>
      </c>
      <c r="N436" s="407">
        <v>0</v>
      </c>
      <c r="O436" s="407">
        <v>0</v>
      </c>
      <c r="P436" s="407">
        <v>0</v>
      </c>
      <c r="Q436" s="407">
        <v>0</v>
      </c>
      <c r="R436" s="407"/>
      <c r="S436" s="407"/>
      <c r="T436" s="407"/>
      <c r="U436" s="407"/>
      <c r="V436" s="407"/>
      <c r="W436" s="407"/>
      <c r="X436" s="407"/>
      <c r="Y436" s="407"/>
      <c r="Z436" s="407"/>
      <c r="AA436" s="407">
        <v>0</v>
      </c>
      <c r="AB436" s="407"/>
      <c r="AC436" s="407"/>
      <c r="AD436" s="407"/>
      <c r="AE436" s="407"/>
      <c r="AF436" s="407"/>
      <c r="AG436" s="407"/>
      <c r="AH436" s="407"/>
      <c r="AI436" s="407"/>
      <c r="AJ436" s="407"/>
      <c r="AK436" s="407"/>
      <c r="AL436" s="407"/>
      <c r="AM436" s="407"/>
      <c r="AN436" s="407"/>
      <c r="AO436" s="407"/>
      <c r="AP436" s="407"/>
      <c r="AQ436" s="407"/>
      <c r="AR436" s="407"/>
      <c r="AS436" s="407"/>
      <c r="AT436" s="407"/>
      <c r="AU436" s="407"/>
      <c r="AV436" s="407"/>
      <c r="AW436" s="407"/>
      <c r="AX436" s="407"/>
      <c r="AY436" s="407"/>
      <c r="AZ436" s="407">
        <v>0</v>
      </c>
      <c r="BA436" s="407"/>
      <c r="BB436" s="407"/>
      <c r="BC436" s="407"/>
      <c r="BD436" s="407"/>
      <c r="BE436" s="407"/>
      <c r="BF436" s="407"/>
      <c r="BG436" s="407"/>
      <c r="BH436" s="407"/>
      <c r="BI436" s="407">
        <v>5.88</v>
      </c>
      <c r="BJ436" s="407">
        <v>27.54</v>
      </c>
      <c r="BK436" s="407">
        <v>47.22</v>
      </c>
      <c r="BL436" s="407">
        <v>5</v>
      </c>
      <c r="BM436" s="407"/>
      <c r="BN436" s="407"/>
      <c r="BO436" s="407"/>
      <c r="BP436" s="407"/>
      <c r="BQ436" s="407"/>
      <c r="BR436" s="407"/>
      <c r="BS436" s="407"/>
      <c r="BT436" s="407"/>
      <c r="BU436" s="407"/>
      <c r="BV436" s="407"/>
      <c r="BW436" s="407"/>
      <c r="BX436" s="407"/>
      <c r="BY436" s="407"/>
      <c r="BZ436" s="407"/>
      <c r="CA436" s="407"/>
      <c r="CB436" s="407"/>
      <c r="CC436" s="407"/>
      <c r="CD436" s="407"/>
      <c r="CE436" s="407"/>
      <c r="CF436" s="407"/>
      <c r="CG436" s="407"/>
      <c r="CH436" s="407"/>
      <c r="CI436" s="407"/>
      <c r="CJ436" s="407">
        <v>-0.03</v>
      </c>
      <c r="CK436" s="407"/>
      <c r="CL436" s="407"/>
      <c r="CM436" s="407"/>
      <c r="CN436" s="407"/>
      <c r="CO436" s="407">
        <v>0</v>
      </c>
      <c r="CP436" s="407">
        <v>0</v>
      </c>
      <c r="CQ436" s="407">
        <v>31</v>
      </c>
      <c r="CR436" s="407"/>
      <c r="CS436" s="407"/>
      <c r="CT436" s="407"/>
      <c r="CU436" s="407"/>
      <c r="CV436" s="407"/>
      <c r="CW436" s="407"/>
      <c r="CX436" s="407"/>
      <c r="CY436" s="407"/>
      <c r="CZ436" s="407"/>
      <c r="DA436" s="407"/>
      <c r="DB436" s="407"/>
      <c r="DC436" s="407"/>
      <c r="DD436" s="407"/>
      <c r="DE436" s="407"/>
      <c r="DF436" s="407"/>
      <c r="DG436" s="407"/>
      <c r="DH436" s="407"/>
      <c r="DI436" s="407"/>
      <c r="DJ436" s="407"/>
      <c r="DK436" s="407">
        <v>0</v>
      </c>
      <c r="DL436" s="407"/>
      <c r="DM436" s="407"/>
      <c r="DN436" s="407"/>
      <c r="DO436" s="407"/>
      <c r="DP436" s="407"/>
      <c r="DQ436" s="407"/>
      <c r="DR436" s="407"/>
      <c r="DS436" s="407"/>
      <c r="DT436" s="407"/>
      <c r="DU436" s="407"/>
      <c r="DV436" s="407"/>
      <c r="DW436" s="407"/>
      <c r="DX436" s="407"/>
      <c r="DY436" s="407"/>
      <c r="DZ436" s="407"/>
      <c r="EA436" s="407"/>
      <c r="EB436" s="407"/>
      <c r="EC436" s="407"/>
      <c r="ED436" s="407"/>
      <c r="EE436" s="407"/>
      <c r="EF436" s="407"/>
      <c r="EG436" s="407"/>
      <c r="EH436" s="407"/>
      <c r="EI436" s="407"/>
      <c r="EJ436" s="407"/>
      <c r="EK436" s="407"/>
      <c r="EL436" s="407"/>
      <c r="EM436" s="407"/>
      <c r="EN436" s="407"/>
      <c r="EO436" s="407"/>
      <c r="EP436" s="407"/>
      <c r="EQ436" s="407"/>
      <c r="ER436" s="407"/>
      <c r="ES436" s="407"/>
      <c r="ET436" s="407"/>
      <c r="EU436" s="407"/>
      <c r="EV436" s="407">
        <v>246</v>
      </c>
      <c r="EW436" s="407"/>
      <c r="EX436" s="407"/>
      <c r="EY436" s="407"/>
      <c r="EZ436" s="407"/>
      <c r="FA436" s="407">
        <v>0</v>
      </c>
      <c r="FB436" s="407"/>
      <c r="FC436" s="407"/>
      <c r="FD436" s="407"/>
      <c r="FE436" s="407"/>
      <c r="FF436" s="407">
        <v>0</v>
      </c>
      <c r="FG436" s="407">
        <v>0</v>
      </c>
      <c r="FH436" s="407">
        <v>0</v>
      </c>
      <c r="FI436" s="407">
        <v>0</v>
      </c>
    </row>
    <row r="437" spans="1:165">
      <c r="A437" s="407">
        <v>455</v>
      </c>
      <c r="B437" s="407" t="s">
        <v>1090</v>
      </c>
      <c r="C437" s="407" t="s">
        <v>2306</v>
      </c>
      <c r="D437" s="407" t="s">
        <v>2315</v>
      </c>
      <c r="E437" s="407" t="s">
        <v>1026</v>
      </c>
      <c r="F437" s="407" t="s">
        <v>2326</v>
      </c>
      <c r="G437" s="407" t="s">
        <v>2324</v>
      </c>
      <c r="H437" s="407" t="s">
        <v>97</v>
      </c>
      <c r="I437" s="407" t="s">
        <v>97</v>
      </c>
      <c r="J437" s="407" t="s">
        <v>2307</v>
      </c>
      <c r="K437" s="818">
        <v>44562</v>
      </c>
      <c r="L437" s="407">
        <v>0</v>
      </c>
      <c r="M437" s="407">
        <v>0</v>
      </c>
      <c r="N437" s="407">
        <v>9.3279999999999994</v>
      </c>
      <c r="O437" s="407">
        <v>9.3279999999999994</v>
      </c>
      <c r="P437" s="407">
        <v>9.3279999999999994</v>
      </c>
      <c r="Q437" s="407">
        <v>9.3279999999999994</v>
      </c>
      <c r="R437" s="407"/>
      <c r="S437" s="407">
        <v>648.44000000000005</v>
      </c>
      <c r="T437" s="407">
        <v>159.41</v>
      </c>
      <c r="U437" s="407"/>
      <c r="V437" s="407">
        <v>7535.6247999999996</v>
      </c>
      <c r="W437" s="407">
        <v>7535.6247999999996</v>
      </c>
      <c r="X437" s="407">
        <v>5707.0569599999999</v>
      </c>
      <c r="Y437" s="407">
        <v>0</v>
      </c>
      <c r="Z437" s="407">
        <v>578.05849787670252</v>
      </c>
      <c r="AA437" s="407">
        <v>0</v>
      </c>
      <c r="AB437" s="407">
        <v>0</v>
      </c>
      <c r="AC437" s="407">
        <v>0</v>
      </c>
      <c r="AD437" s="407">
        <v>1088.0592077047525</v>
      </c>
      <c r="AE437" s="407">
        <v>3894.8690020618542</v>
      </c>
      <c r="AF437" s="407">
        <v>1438.6641254998806</v>
      </c>
      <c r="AG437" s="407">
        <v>48.3353382370967</v>
      </c>
      <c r="AH437" s="407">
        <v>0</v>
      </c>
      <c r="AI437" s="407">
        <v>0</v>
      </c>
      <c r="AJ437" s="407">
        <v>0</v>
      </c>
      <c r="AK437" s="407">
        <v>0</v>
      </c>
      <c r="AL437" s="407">
        <v>89.325444311722592</v>
      </c>
      <c r="AM437" s="407"/>
      <c r="AN437" s="407">
        <v>19.35649213438214</v>
      </c>
      <c r="AO437" s="407">
        <v>0</v>
      </c>
      <c r="AP437" s="407">
        <v>0</v>
      </c>
      <c r="AQ437" s="407">
        <v>0</v>
      </c>
      <c r="AR437" s="407">
        <v>0</v>
      </c>
      <c r="AS437" s="407">
        <v>0</v>
      </c>
      <c r="AT437" s="407">
        <v>0</v>
      </c>
      <c r="AU437" s="407">
        <v>0</v>
      </c>
      <c r="AV437" s="407">
        <v>0</v>
      </c>
      <c r="AW437" s="407">
        <v>0</v>
      </c>
      <c r="AX437" s="407">
        <v>0</v>
      </c>
      <c r="AY437" s="407">
        <v>0</v>
      </c>
      <c r="AZ437" s="407">
        <v>0</v>
      </c>
      <c r="BA437" s="407"/>
      <c r="BB437" s="407">
        <v>0</v>
      </c>
      <c r="BC437" s="407">
        <v>0</v>
      </c>
      <c r="BD437" s="407">
        <v>0</v>
      </c>
      <c r="BE437" s="407">
        <v>0</v>
      </c>
      <c r="BF437" s="407">
        <v>0</v>
      </c>
      <c r="BG437" s="407">
        <v>105.16175357850815</v>
      </c>
      <c r="BH437" s="407">
        <v>0</v>
      </c>
      <c r="BI437" s="407">
        <v>0</v>
      </c>
      <c r="BJ437" s="407">
        <v>0</v>
      </c>
      <c r="BK437" s="407">
        <v>0</v>
      </c>
      <c r="BL437" s="407">
        <v>0</v>
      </c>
      <c r="BM437" s="407"/>
      <c r="BN437" s="407"/>
      <c r="BO437" s="407"/>
      <c r="BP437" s="407"/>
      <c r="BQ437" s="407"/>
      <c r="BR437" s="407">
        <v>684.86176000000012</v>
      </c>
      <c r="BS437" s="407"/>
      <c r="BT437" s="407"/>
      <c r="BU437" s="407"/>
      <c r="BV437" s="407">
        <v>1543.8258790783887</v>
      </c>
      <c r="BW437" s="407"/>
      <c r="BX437" s="407"/>
      <c r="BY437" s="407"/>
      <c r="BZ437" s="407"/>
      <c r="CA437" s="407"/>
      <c r="CB437" s="407"/>
      <c r="CC437" s="407"/>
      <c r="CD437" s="407"/>
      <c r="CE437" s="407"/>
      <c r="CF437" s="407"/>
      <c r="CG437" s="407"/>
      <c r="CH437" s="407"/>
      <c r="CI437" s="407">
        <v>5023.2719999999999</v>
      </c>
      <c r="CJ437" s="407">
        <v>-1608.1264799999999</v>
      </c>
      <c r="CK437" s="407"/>
      <c r="CL437" s="407"/>
      <c r="CM437" s="407"/>
      <c r="CN437" s="407"/>
      <c r="CO437" s="407">
        <v>-2084.8080000000004</v>
      </c>
      <c r="CP437" s="407">
        <v>256.24015999999995</v>
      </c>
      <c r="CQ437" s="407">
        <v>31</v>
      </c>
      <c r="CR437" s="407">
        <v>160.94548005006209</v>
      </c>
      <c r="CS437" s="407">
        <v>0</v>
      </c>
      <c r="CT437" s="407">
        <v>0</v>
      </c>
      <c r="CU437" s="407">
        <v>0</v>
      </c>
      <c r="CV437" s="407">
        <v>0</v>
      </c>
      <c r="CW437" s="407">
        <v>0</v>
      </c>
      <c r="CX437" s="407">
        <v>0</v>
      </c>
      <c r="CY437" s="407">
        <v>0</v>
      </c>
      <c r="CZ437" s="407">
        <v>49.149791826738692</v>
      </c>
      <c r="DA437" s="407">
        <v>0</v>
      </c>
      <c r="DB437" s="407">
        <v>0</v>
      </c>
      <c r="DC437" s="407">
        <v>285.24824518607215</v>
      </c>
      <c r="DD437" s="407">
        <v>0</v>
      </c>
      <c r="DE437" s="407">
        <v>0</v>
      </c>
      <c r="DF437" s="407">
        <v>0</v>
      </c>
      <c r="DG437" s="407">
        <v>20.850735857847894</v>
      </c>
      <c r="DH437" s="407">
        <v>0</v>
      </c>
      <c r="DI437" s="407">
        <v>-40.488357554229879</v>
      </c>
      <c r="DJ437" s="407"/>
      <c r="DK437" s="407">
        <v>0</v>
      </c>
      <c r="DL437" s="407">
        <v>0</v>
      </c>
      <c r="DM437" s="407">
        <v>0</v>
      </c>
      <c r="DN437" s="407">
        <v>0</v>
      </c>
      <c r="DO437" s="407">
        <v>-5.4498683510225874</v>
      </c>
      <c r="DP437" s="407">
        <v>-1.23334894830219</v>
      </c>
      <c r="DQ437" s="407">
        <v>0</v>
      </c>
      <c r="DR437" s="407">
        <v>-147.13171796704273</v>
      </c>
      <c r="DS437" s="407"/>
      <c r="DT437" s="407"/>
      <c r="DU437" s="407"/>
      <c r="DV437" s="407">
        <v>3894.8690020618542</v>
      </c>
      <c r="DW437" s="407">
        <v>0</v>
      </c>
      <c r="DX437" s="407">
        <v>0</v>
      </c>
      <c r="DY437" s="407">
        <v>-2084.8080000000004</v>
      </c>
      <c r="DZ437" s="407">
        <v>256.24016000000006</v>
      </c>
      <c r="EA437" s="407">
        <v>0</v>
      </c>
      <c r="EB437" s="407">
        <v>0</v>
      </c>
      <c r="EC437" s="407">
        <v>-1989.5081325669046</v>
      </c>
      <c r="ED437" s="407">
        <v>0</v>
      </c>
      <c r="EE437" s="407">
        <v>0</v>
      </c>
      <c r="EF437" s="407">
        <v>0</v>
      </c>
      <c r="EG437" s="407">
        <v>0</v>
      </c>
      <c r="EH437" s="407">
        <v>0</v>
      </c>
      <c r="EI437" s="407">
        <v>0</v>
      </c>
      <c r="EJ437" s="407">
        <v>0</v>
      </c>
      <c r="EK437" s="407">
        <v>0</v>
      </c>
      <c r="EL437" s="407">
        <v>0</v>
      </c>
      <c r="EM437" s="407">
        <v>0</v>
      </c>
      <c r="EN437" s="407">
        <v>0</v>
      </c>
      <c r="EO437" s="407">
        <v>0</v>
      </c>
      <c r="EP437" s="407">
        <v>273.81597499406462</v>
      </c>
      <c r="EQ437" s="407">
        <v>0</v>
      </c>
      <c r="ER437" s="407">
        <v>0</v>
      </c>
      <c r="ES437" s="407">
        <v>0</v>
      </c>
      <c r="ET437" s="407">
        <v>0</v>
      </c>
      <c r="EU437" s="407">
        <v>0</v>
      </c>
      <c r="EV437" s="407">
        <v>246</v>
      </c>
      <c r="EW437" s="407">
        <v>0</v>
      </c>
      <c r="EX437" s="407">
        <v>0</v>
      </c>
      <c r="EY437" s="407">
        <v>0</v>
      </c>
      <c r="EZ437" s="407"/>
      <c r="FA437" s="407">
        <v>0</v>
      </c>
      <c r="FB437" s="407"/>
      <c r="FC437" s="407"/>
      <c r="FD437" s="407"/>
      <c r="FE437" s="407"/>
      <c r="FF437" s="407">
        <v>0</v>
      </c>
      <c r="FG437" s="407">
        <v>0</v>
      </c>
      <c r="FH437" s="407">
        <v>0</v>
      </c>
      <c r="FI437" s="407">
        <v>0</v>
      </c>
    </row>
    <row r="438" spans="1:165">
      <c r="A438" s="407">
        <v>456</v>
      </c>
      <c r="B438" s="407" t="s">
        <v>1090</v>
      </c>
      <c r="C438" s="407" t="s">
        <v>2306</v>
      </c>
      <c r="D438" s="407" t="s">
        <v>2315</v>
      </c>
      <c r="E438" s="407" t="s">
        <v>1026</v>
      </c>
      <c r="F438" s="407" t="s">
        <v>2326</v>
      </c>
      <c r="G438" s="407" t="s">
        <v>2325</v>
      </c>
      <c r="H438" s="407" t="s">
        <v>97</v>
      </c>
      <c r="I438" s="407" t="s">
        <v>97</v>
      </c>
      <c r="J438" s="407" t="s">
        <v>2307</v>
      </c>
      <c r="K438" s="818">
        <v>44562</v>
      </c>
      <c r="L438" s="407">
        <v>0</v>
      </c>
      <c r="M438" s="407">
        <v>0</v>
      </c>
      <c r="N438" s="407">
        <v>12.526</v>
      </c>
      <c r="O438" s="407">
        <v>5.0103999999999997</v>
      </c>
      <c r="P438" s="407">
        <v>12.526</v>
      </c>
      <c r="Q438" s="407">
        <v>5.0103999999999997</v>
      </c>
      <c r="R438" s="407"/>
      <c r="S438" s="407">
        <v>648.44000000000005</v>
      </c>
      <c r="T438" s="407">
        <v>159.41</v>
      </c>
      <c r="U438" s="407"/>
      <c r="V438" s="407">
        <v>10119.1291</v>
      </c>
      <c r="W438" s="407">
        <v>10119.1291</v>
      </c>
      <c r="X438" s="407">
        <v>7663.6573199999993</v>
      </c>
      <c r="Y438" s="407">
        <v>0</v>
      </c>
      <c r="Z438" s="407">
        <v>776.23935939146395</v>
      </c>
      <c r="AA438" s="407">
        <v>0</v>
      </c>
      <c r="AB438" s="407">
        <v>0</v>
      </c>
      <c r="AC438" s="407">
        <v>0</v>
      </c>
      <c r="AD438" s="407">
        <v>1461.0880827304597</v>
      </c>
      <c r="AE438" s="407">
        <v>5230.1810805989262</v>
      </c>
      <c r="AF438" s="407">
        <v>1931.8939575484033</v>
      </c>
      <c r="AG438" s="407">
        <v>64.906565904574762</v>
      </c>
      <c r="AH438" s="407">
        <v>0</v>
      </c>
      <c r="AI438" s="407">
        <v>0</v>
      </c>
      <c r="AJ438" s="407">
        <v>0</v>
      </c>
      <c r="AK438" s="407">
        <v>0</v>
      </c>
      <c r="AL438" s="407">
        <v>119.94966932339592</v>
      </c>
      <c r="AM438" s="407"/>
      <c r="AN438" s="407">
        <v>25.992647992631934</v>
      </c>
      <c r="AO438" s="407">
        <v>0</v>
      </c>
      <c r="AP438" s="407">
        <v>0</v>
      </c>
      <c r="AQ438" s="407">
        <v>0</v>
      </c>
      <c r="AR438" s="407">
        <v>0</v>
      </c>
      <c r="AS438" s="407">
        <v>0</v>
      </c>
      <c r="AT438" s="407">
        <v>0</v>
      </c>
      <c r="AU438" s="407">
        <v>0</v>
      </c>
      <c r="AV438" s="407">
        <v>0</v>
      </c>
      <c r="AW438" s="407">
        <v>0</v>
      </c>
      <c r="AX438" s="407">
        <v>0</v>
      </c>
      <c r="AY438" s="407">
        <v>0</v>
      </c>
      <c r="AZ438" s="407">
        <v>0</v>
      </c>
      <c r="BA438" s="407"/>
      <c r="BB438" s="407">
        <v>0</v>
      </c>
      <c r="BC438" s="407">
        <v>0</v>
      </c>
      <c r="BD438" s="407">
        <v>0</v>
      </c>
      <c r="BE438" s="407">
        <v>0</v>
      </c>
      <c r="BF438" s="407">
        <v>0</v>
      </c>
      <c r="BG438" s="407">
        <v>141.21527930150012</v>
      </c>
      <c r="BH438" s="407">
        <v>0</v>
      </c>
      <c r="BI438" s="407">
        <v>0</v>
      </c>
      <c r="BJ438" s="407">
        <v>0</v>
      </c>
      <c r="BK438" s="407">
        <v>0</v>
      </c>
      <c r="BL438" s="407">
        <v>0</v>
      </c>
      <c r="BM438" s="407"/>
      <c r="BN438" s="407"/>
      <c r="BO438" s="407"/>
      <c r="BP438" s="407"/>
      <c r="BQ438" s="407"/>
      <c r="BR438" s="407"/>
      <c r="BS438" s="407">
        <v>4966.0579600000001</v>
      </c>
      <c r="BT438" s="407"/>
      <c r="BU438" s="407"/>
      <c r="BV438" s="407">
        <v>2073.1092368499035</v>
      </c>
      <c r="BW438" s="407"/>
      <c r="BX438" s="407"/>
      <c r="BY438" s="407"/>
      <c r="BZ438" s="407"/>
      <c r="CA438" s="407"/>
      <c r="CB438" s="407"/>
      <c r="CC438" s="407"/>
      <c r="CD438" s="407"/>
      <c r="CE438" s="407"/>
      <c r="CF438" s="407"/>
      <c r="CG438" s="407"/>
      <c r="CH438" s="407"/>
      <c r="CI438" s="407">
        <v>2697.384</v>
      </c>
      <c r="CJ438" s="407">
        <v>-864.58946400000059</v>
      </c>
      <c r="CK438" s="407"/>
      <c r="CL438" s="407"/>
      <c r="CM438" s="407"/>
      <c r="CN438" s="407"/>
      <c r="CO438" s="407">
        <v>-2799.5610000000006</v>
      </c>
      <c r="CP438" s="407">
        <v>344.08921999999995</v>
      </c>
      <c r="CQ438" s="407">
        <v>31</v>
      </c>
      <c r="CR438" s="407">
        <v>216.1238296641377</v>
      </c>
      <c r="CS438" s="407">
        <v>0</v>
      </c>
      <c r="CT438" s="407">
        <v>0</v>
      </c>
      <c r="CU438" s="407">
        <v>0</v>
      </c>
      <c r="CV438" s="407">
        <v>0</v>
      </c>
      <c r="CW438" s="407">
        <v>0</v>
      </c>
      <c r="CX438" s="407">
        <v>0</v>
      </c>
      <c r="CY438" s="407">
        <v>0</v>
      </c>
      <c r="CZ438" s="407">
        <v>66.000245757046514</v>
      </c>
      <c r="DA438" s="407">
        <v>0</v>
      </c>
      <c r="DB438" s="407">
        <v>0</v>
      </c>
      <c r="DC438" s="407">
        <v>383.04240128652873</v>
      </c>
      <c r="DD438" s="407">
        <v>0</v>
      </c>
      <c r="DE438" s="407">
        <v>0</v>
      </c>
      <c r="DF438" s="407">
        <v>0</v>
      </c>
      <c r="DG438" s="407">
        <v>27.999176388872513</v>
      </c>
      <c r="DH438" s="407">
        <v>0</v>
      </c>
      <c r="DI438" s="407">
        <v>-54.369336055347731</v>
      </c>
      <c r="DJ438" s="407"/>
      <c r="DK438" s="407">
        <v>0</v>
      </c>
      <c r="DL438" s="407">
        <v>0</v>
      </c>
      <c r="DM438" s="407">
        <v>0</v>
      </c>
      <c r="DN438" s="407">
        <v>0</v>
      </c>
      <c r="DO438" s="407">
        <v>-7.3182944859464953</v>
      </c>
      <c r="DP438" s="407">
        <v>-1.6561887785627363</v>
      </c>
      <c r="DQ438" s="407">
        <v>0</v>
      </c>
      <c r="DR438" s="407">
        <v>-197.57417444845385</v>
      </c>
      <c r="DS438" s="407"/>
      <c r="DT438" s="407"/>
      <c r="DU438" s="407"/>
      <c r="DV438" s="407">
        <v>5230.1810805989262</v>
      </c>
      <c r="DW438" s="407">
        <v>0</v>
      </c>
      <c r="DX438" s="407">
        <v>0</v>
      </c>
      <c r="DY438" s="407">
        <v>-2799.5610000000006</v>
      </c>
      <c r="DZ438" s="407">
        <v>344.08921999999984</v>
      </c>
      <c r="EA438" s="407">
        <v>0</v>
      </c>
      <c r="EB438" s="407">
        <v>0</v>
      </c>
      <c r="EC438" s="407">
        <v>-2671.588643710661</v>
      </c>
      <c r="ED438" s="407">
        <v>0</v>
      </c>
      <c r="EE438" s="407">
        <v>0</v>
      </c>
      <c r="EF438" s="407">
        <v>0</v>
      </c>
      <c r="EG438" s="407">
        <v>0</v>
      </c>
      <c r="EH438" s="407">
        <v>0</v>
      </c>
      <c r="EI438" s="407">
        <v>0</v>
      </c>
      <c r="EJ438" s="407">
        <v>0</v>
      </c>
      <c r="EK438" s="407">
        <v>0</v>
      </c>
      <c r="EL438" s="407">
        <v>0</v>
      </c>
      <c r="EM438" s="407">
        <v>0</v>
      </c>
      <c r="EN438" s="407">
        <v>0</v>
      </c>
      <c r="EO438" s="407">
        <v>0</v>
      </c>
      <c r="EP438" s="407">
        <v>367.69070570064895</v>
      </c>
      <c r="EQ438" s="407">
        <v>0</v>
      </c>
      <c r="ER438" s="407">
        <v>0</v>
      </c>
      <c r="ES438" s="407">
        <v>0</v>
      </c>
      <c r="ET438" s="407">
        <v>0</v>
      </c>
      <c r="EU438" s="407">
        <v>0</v>
      </c>
      <c r="EV438" s="407">
        <v>246</v>
      </c>
      <c r="EW438" s="407">
        <v>0</v>
      </c>
      <c r="EX438" s="407">
        <v>0</v>
      </c>
      <c r="EY438" s="407">
        <v>0</v>
      </c>
      <c r="EZ438" s="407"/>
      <c r="FA438" s="407">
        <v>0</v>
      </c>
      <c r="FB438" s="407"/>
      <c r="FC438" s="407"/>
      <c r="FD438" s="407"/>
      <c r="FE438" s="407"/>
      <c r="FF438" s="407">
        <v>0</v>
      </c>
      <c r="FG438" s="407">
        <v>0</v>
      </c>
      <c r="FH438" s="407">
        <v>0</v>
      </c>
      <c r="FI438" s="407">
        <v>0</v>
      </c>
    </row>
    <row r="439" spans="1:165">
      <c r="A439" s="407">
        <v>457</v>
      </c>
      <c r="B439" s="407" t="s">
        <v>1090</v>
      </c>
      <c r="C439" s="407" t="s">
        <v>2306</v>
      </c>
      <c r="D439" s="407" t="s">
        <v>1218</v>
      </c>
      <c r="E439" s="407" t="s">
        <v>1021</v>
      </c>
      <c r="F439" s="407" t="s">
        <v>1021</v>
      </c>
      <c r="G439" s="407" t="s">
        <v>97</v>
      </c>
      <c r="H439" s="407" t="s">
        <v>97</v>
      </c>
      <c r="I439" s="407" t="s">
        <v>97</v>
      </c>
      <c r="J439" s="407" t="s">
        <v>2307</v>
      </c>
      <c r="K439" s="818">
        <v>44593</v>
      </c>
      <c r="L439" s="407">
        <v>0</v>
      </c>
      <c r="M439" s="407">
        <v>0</v>
      </c>
      <c r="N439" s="407">
        <v>1653.1849999999999</v>
      </c>
      <c r="O439" s="407">
        <v>1653.1849999999999</v>
      </c>
      <c r="P439" s="407">
        <v>1653.1849999999999</v>
      </c>
      <c r="Q439" s="407">
        <v>1653.1849999999999</v>
      </c>
      <c r="R439" s="407"/>
      <c r="S439" s="407">
        <v>648.44000000000005</v>
      </c>
      <c r="T439" s="407">
        <v>159.41</v>
      </c>
      <c r="U439" s="407"/>
      <c r="V439" s="407">
        <v>1335525.5022499999</v>
      </c>
      <c r="W439" s="407">
        <v>1335525.5022499999</v>
      </c>
      <c r="X439" s="407">
        <v>1011451.6466999999</v>
      </c>
      <c r="Y439" s="407">
        <v>0</v>
      </c>
      <c r="Z439" s="407">
        <v>102448.28878776763</v>
      </c>
      <c r="AA439" s="407">
        <v>0</v>
      </c>
      <c r="AB439" s="407">
        <v>0</v>
      </c>
      <c r="AC439" s="407">
        <v>0</v>
      </c>
      <c r="AD439" s="407">
        <v>192834.81574714635</v>
      </c>
      <c r="AE439" s="407">
        <v>690280.76877933391</v>
      </c>
      <c r="AF439" s="407">
        <v>254971.90740936107</v>
      </c>
      <c r="AG439" s="407">
        <v>8566.3868078360538</v>
      </c>
      <c r="AH439" s="407">
        <v>0</v>
      </c>
      <c r="AI439" s="407">
        <v>0</v>
      </c>
      <c r="AJ439" s="407">
        <v>0</v>
      </c>
      <c r="AK439" s="407">
        <v>0</v>
      </c>
      <c r="AL439" s="407">
        <v>15830.991065016629</v>
      </c>
      <c r="AM439" s="407"/>
      <c r="AN439" s="407">
        <v>3430.5169864042173</v>
      </c>
      <c r="AO439" s="407">
        <v>0</v>
      </c>
      <c r="AP439" s="407">
        <v>0</v>
      </c>
      <c r="AQ439" s="407">
        <v>0</v>
      </c>
      <c r="AR439" s="407">
        <v>0</v>
      </c>
      <c r="AS439" s="407">
        <v>0</v>
      </c>
      <c r="AT439" s="407">
        <v>0</v>
      </c>
      <c r="AU439" s="407">
        <v>0</v>
      </c>
      <c r="AV439" s="407">
        <v>0</v>
      </c>
      <c r="AW439" s="407">
        <v>0</v>
      </c>
      <c r="AX439" s="407">
        <v>0</v>
      </c>
      <c r="AY439" s="407">
        <v>0</v>
      </c>
      <c r="AZ439" s="407">
        <v>0</v>
      </c>
      <c r="BA439" s="407"/>
      <c r="BB439" s="407">
        <v>0</v>
      </c>
      <c r="BC439" s="407">
        <v>0</v>
      </c>
      <c r="BD439" s="407">
        <v>0</v>
      </c>
      <c r="BE439" s="407">
        <v>0</v>
      </c>
      <c r="BF439" s="407">
        <v>0</v>
      </c>
      <c r="BG439" s="407">
        <v>18637.632245892582</v>
      </c>
      <c r="BH439" s="407">
        <v>0</v>
      </c>
      <c r="BI439" s="407">
        <v>1976.04</v>
      </c>
      <c r="BJ439" s="407">
        <v>8671.7999999999993</v>
      </c>
      <c r="BK439" s="407">
        <v>415713.95</v>
      </c>
      <c r="BL439" s="407">
        <v>6996</v>
      </c>
      <c r="BM439" s="407"/>
      <c r="BN439" s="407"/>
      <c r="BO439" s="407"/>
      <c r="BP439" s="407"/>
      <c r="BQ439" s="407"/>
      <c r="BR439" s="407"/>
      <c r="BS439" s="407"/>
      <c r="BT439" s="407"/>
      <c r="BU439" s="407"/>
      <c r="BV439" s="407">
        <v>273609.53965525364</v>
      </c>
      <c r="BW439" s="407"/>
      <c r="BX439" s="407"/>
      <c r="BY439" s="407"/>
      <c r="BZ439" s="407"/>
      <c r="CA439" s="407"/>
      <c r="CB439" s="407"/>
      <c r="CC439" s="407"/>
      <c r="CD439" s="407"/>
      <c r="CE439" s="407"/>
      <c r="CF439" s="407"/>
      <c r="CG439" s="407"/>
      <c r="CH439" s="407"/>
      <c r="CI439" s="407">
        <v>1011454.7058</v>
      </c>
      <c r="CJ439" s="407">
        <v>-324070.82644999993</v>
      </c>
      <c r="CK439" s="407"/>
      <c r="CL439" s="407"/>
      <c r="CM439" s="407"/>
      <c r="CN439" s="407"/>
      <c r="CO439" s="407">
        <v>-369486.84750000009</v>
      </c>
      <c r="CP439" s="407">
        <v>45412.991949999996</v>
      </c>
      <c r="CQ439" s="407">
        <v>29</v>
      </c>
      <c r="CR439" s="407">
        <v>28524.083773216233</v>
      </c>
      <c r="CS439" s="407">
        <v>0</v>
      </c>
      <c r="CT439" s="407">
        <v>0</v>
      </c>
      <c r="CU439" s="407">
        <v>0</v>
      </c>
      <c r="CV439" s="407">
        <v>0</v>
      </c>
      <c r="CW439" s="407">
        <v>0</v>
      </c>
      <c r="CX439" s="407">
        <v>0</v>
      </c>
      <c r="CY439" s="407">
        <v>0</v>
      </c>
      <c r="CZ439" s="407">
        <v>8710.7309821062372</v>
      </c>
      <c r="DA439" s="407">
        <v>0</v>
      </c>
      <c r="DB439" s="407">
        <v>0</v>
      </c>
      <c r="DC439" s="407">
        <v>50554.043762643327</v>
      </c>
      <c r="DD439" s="407">
        <v>0</v>
      </c>
      <c r="DE439" s="407">
        <v>0</v>
      </c>
      <c r="DF439" s="407">
        <v>0</v>
      </c>
      <c r="DG439" s="407">
        <v>3695.3391680056047</v>
      </c>
      <c r="DH439" s="407">
        <v>0</v>
      </c>
      <c r="DI439" s="407">
        <v>-7175.6802512102731</v>
      </c>
      <c r="DJ439" s="407"/>
      <c r="DK439" s="407">
        <v>0</v>
      </c>
      <c r="DL439" s="407">
        <v>0</v>
      </c>
      <c r="DM439" s="407">
        <v>0</v>
      </c>
      <c r="DN439" s="407">
        <v>0</v>
      </c>
      <c r="DO439" s="407">
        <v>-965.87056280931392</v>
      </c>
      <c r="DP439" s="407">
        <v>-218.58426040940776</v>
      </c>
      <c r="DQ439" s="407">
        <v>0</v>
      </c>
      <c r="DR439" s="407">
        <v>-26075.895065109944</v>
      </c>
      <c r="DS439" s="407"/>
      <c r="DT439" s="407"/>
      <c r="DU439" s="407"/>
      <c r="DV439" s="407">
        <v>690280.76877933391</v>
      </c>
      <c r="DW439" s="407">
        <v>0</v>
      </c>
      <c r="DX439" s="407">
        <v>0</v>
      </c>
      <c r="DY439" s="407">
        <v>-369486.84750000003</v>
      </c>
      <c r="DZ439" s="407">
        <v>45412.991949999996</v>
      </c>
      <c r="EA439" s="407">
        <v>0</v>
      </c>
      <c r="EB439" s="407">
        <v>0</v>
      </c>
      <c r="EC439" s="407">
        <v>-352597.01995471894</v>
      </c>
      <c r="ED439" s="407">
        <v>0</v>
      </c>
      <c r="EE439" s="407">
        <v>0</v>
      </c>
      <c r="EF439" s="407">
        <v>0</v>
      </c>
      <c r="EG439" s="407">
        <v>0</v>
      </c>
      <c r="EH439" s="407">
        <v>0</v>
      </c>
      <c r="EI439" s="407">
        <v>0</v>
      </c>
      <c r="EJ439" s="407">
        <v>0</v>
      </c>
      <c r="EK439" s="407">
        <v>0</v>
      </c>
      <c r="EL439" s="407">
        <v>0</v>
      </c>
      <c r="EM439" s="407">
        <v>0</v>
      </c>
      <c r="EN439" s="407">
        <v>0</v>
      </c>
      <c r="EO439" s="407">
        <v>0</v>
      </c>
      <c r="EP439" s="407">
        <v>48527.922665154671</v>
      </c>
      <c r="EQ439" s="407">
        <v>0</v>
      </c>
      <c r="ER439" s="407">
        <v>0</v>
      </c>
      <c r="ES439" s="407">
        <v>0</v>
      </c>
      <c r="ET439" s="407">
        <v>0</v>
      </c>
      <c r="EU439" s="407">
        <v>0</v>
      </c>
      <c r="EV439" s="407">
        <v>246</v>
      </c>
      <c r="EW439" s="407">
        <v>0</v>
      </c>
      <c r="EX439" s="407">
        <v>0</v>
      </c>
      <c r="EY439" s="407">
        <v>0</v>
      </c>
      <c r="EZ439" s="407"/>
      <c r="FA439" s="407">
        <v>0</v>
      </c>
      <c r="FB439" s="407"/>
      <c r="FC439" s="407"/>
      <c r="FD439" s="407"/>
      <c r="FE439" s="407"/>
      <c r="FF439" s="407">
        <v>0</v>
      </c>
      <c r="FG439" s="407">
        <v>0</v>
      </c>
      <c r="FH439" s="407">
        <v>0</v>
      </c>
      <c r="FI439" s="407">
        <v>0</v>
      </c>
    </row>
    <row r="440" spans="1:165">
      <c r="A440" s="407">
        <v>458</v>
      </c>
      <c r="B440" s="407" t="s">
        <v>2308</v>
      </c>
      <c r="C440" s="407" t="s">
        <v>2306</v>
      </c>
      <c r="D440" s="407" t="s">
        <v>1218</v>
      </c>
      <c r="E440" s="407" t="s">
        <v>1021</v>
      </c>
      <c r="F440" s="407" t="s">
        <v>1021</v>
      </c>
      <c r="G440" s="407" t="s">
        <v>97</v>
      </c>
      <c r="H440" s="407" t="s">
        <v>97</v>
      </c>
      <c r="I440" s="407" t="s">
        <v>97</v>
      </c>
      <c r="J440" s="407" t="s">
        <v>2307</v>
      </c>
      <c r="K440" s="818">
        <v>44593</v>
      </c>
      <c r="L440" s="407">
        <v>0</v>
      </c>
      <c r="M440" s="407">
        <v>0</v>
      </c>
      <c r="N440" s="407">
        <v>-0.253</v>
      </c>
      <c r="O440" s="407">
        <v>-0.253</v>
      </c>
      <c r="P440" s="407">
        <v>-0.253</v>
      </c>
      <c r="Q440" s="407">
        <v>-0.253</v>
      </c>
      <c r="R440" s="407"/>
      <c r="S440" s="407">
        <v>648.44000000000005</v>
      </c>
      <c r="T440" s="407">
        <v>159.41</v>
      </c>
      <c r="U440" s="407"/>
      <c r="V440" s="407">
        <v>-204.38605000000001</v>
      </c>
      <c r="W440" s="407">
        <v>-204.38605000000001</v>
      </c>
      <c r="X440" s="407">
        <v>-154.79046</v>
      </c>
      <c r="Y440" s="407">
        <v>0</v>
      </c>
      <c r="Z440" s="407">
        <v>-15.678473409391696</v>
      </c>
      <c r="AA440" s="407">
        <v>0</v>
      </c>
      <c r="AB440" s="407">
        <v>0</v>
      </c>
      <c r="AC440" s="407">
        <v>0</v>
      </c>
      <c r="AD440" s="407">
        <v>-29.511039831614749</v>
      </c>
      <c r="AE440" s="407">
        <v>-105.63913566913048</v>
      </c>
      <c r="AF440" s="407">
        <v>-39.020371328416573</v>
      </c>
      <c r="AG440" s="407">
        <v>-1.3109820512420098</v>
      </c>
      <c r="AH440" s="407">
        <v>0</v>
      </c>
      <c r="AI440" s="407">
        <v>0</v>
      </c>
      <c r="AJ440" s="407">
        <v>0</v>
      </c>
      <c r="AK440" s="407">
        <v>0</v>
      </c>
      <c r="AL440" s="407">
        <v>-2.4227420037377589</v>
      </c>
      <c r="AM440" s="407"/>
      <c r="AN440" s="407">
        <v>-0.52499919704102505</v>
      </c>
      <c r="AO440" s="407">
        <v>0</v>
      </c>
      <c r="AP440" s="407">
        <v>0</v>
      </c>
      <c r="AQ440" s="407">
        <v>0</v>
      </c>
      <c r="AR440" s="407">
        <v>0</v>
      </c>
      <c r="AS440" s="407">
        <v>0</v>
      </c>
      <c r="AT440" s="407">
        <v>0</v>
      </c>
      <c r="AU440" s="407">
        <v>0</v>
      </c>
      <c r="AV440" s="407">
        <v>0</v>
      </c>
      <c r="AW440" s="407">
        <v>0</v>
      </c>
      <c r="AX440" s="407">
        <v>0</v>
      </c>
      <c r="AY440" s="407">
        <v>0</v>
      </c>
      <c r="AZ440" s="407">
        <v>0</v>
      </c>
      <c r="BA440" s="407"/>
      <c r="BB440" s="407">
        <v>0</v>
      </c>
      <c r="BC440" s="407">
        <v>0</v>
      </c>
      <c r="BD440" s="407">
        <v>0</v>
      </c>
      <c r="BE440" s="407">
        <v>0</v>
      </c>
      <c r="BF440" s="407">
        <v>0</v>
      </c>
      <c r="BG440" s="407">
        <v>-2.8522645428133111</v>
      </c>
      <c r="BH440" s="407">
        <v>0</v>
      </c>
      <c r="BI440" s="407">
        <v>-0.17</v>
      </c>
      <c r="BJ440" s="407">
        <v>-0.76</v>
      </c>
      <c r="BK440" s="407">
        <v>-68.34</v>
      </c>
      <c r="BL440" s="407">
        <v>0</v>
      </c>
      <c r="BM440" s="407"/>
      <c r="BN440" s="407"/>
      <c r="BO440" s="407"/>
      <c r="BP440" s="407"/>
      <c r="BQ440" s="407"/>
      <c r="BR440" s="407"/>
      <c r="BS440" s="407"/>
      <c r="BT440" s="407"/>
      <c r="BU440" s="407"/>
      <c r="BV440" s="407">
        <v>-41.872635871229882</v>
      </c>
      <c r="BW440" s="407"/>
      <c r="BX440" s="407"/>
      <c r="BY440" s="407"/>
      <c r="BZ440" s="407"/>
      <c r="CA440" s="407"/>
      <c r="CB440" s="407"/>
      <c r="CC440" s="407"/>
      <c r="CD440" s="407"/>
      <c r="CE440" s="407"/>
      <c r="CF440" s="407"/>
      <c r="CG440" s="407"/>
      <c r="CH440" s="407"/>
      <c r="CI440" s="407">
        <v>-152.95499999999998</v>
      </c>
      <c r="CJ440" s="407">
        <v>51.401050000000055</v>
      </c>
      <c r="CK440" s="407"/>
      <c r="CL440" s="407"/>
      <c r="CM440" s="407"/>
      <c r="CN440" s="407"/>
      <c r="CO440" s="407">
        <v>56.545500000000018</v>
      </c>
      <c r="CP440" s="407">
        <v>-6.94991</v>
      </c>
      <c r="CQ440" s="407">
        <v>29</v>
      </c>
      <c r="CR440" s="407">
        <v>-4.3652665579615757</v>
      </c>
      <c r="CS440" s="407">
        <v>0</v>
      </c>
      <c r="CT440" s="407">
        <v>0</v>
      </c>
      <c r="CU440" s="407">
        <v>0</v>
      </c>
      <c r="CV440" s="407">
        <v>0</v>
      </c>
      <c r="CW440" s="407">
        <v>0</v>
      </c>
      <c r="CX440" s="407">
        <v>0</v>
      </c>
      <c r="CY440" s="407">
        <v>0</v>
      </c>
      <c r="CZ440" s="407">
        <v>-1.3330721839799438</v>
      </c>
      <c r="DA440" s="407">
        <v>0</v>
      </c>
      <c r="DB440" s="407">
        <v>0</v>
      </c>
      <c r="DC440" s="407">
        <v>-7.7366858953769579</v>
      </c>
      <c r="DD440" s="407">
        <v>0</v>
      </c>
      <c r="DE440" s="407">
        <v>0</v>
      </c>
      <c r="DF440" s="407">
        <v>0</v>
      </c>
      <c r="DG440" s="407">
        <v>-0.56552703388030823</v>
      </c>
      <c r="DH440" s="407">
        <v>0</v>
      </c>
      <c r="DI440" s="407">
        <v>1.0981512072491597</v>
      </c>
      <c r="DJ440" s="407"/>
      <c r="DK440" s="407">
        <v>0</v>
      </c>
      <c r="DL440" s="407">
        <v>0</v>
      </c>
      <c r="DM440" s="407">
        <v>0</v>
      </c>
      <c r="DN440" s="407">
        <v>0</v>
      </c>
      <c r="DO440" s="407">
        <v>0.14781482555839531</v>
      </c>
      <c r="DP440" s="407">
        <v>3.3451681380837706E-2</v>
      </c>
      <c r="DQ440" s="407">
        <v>0</v>
      </c>
      <c r="DR440" s="407">
        <v>3.9906008410872444</v>
      </c>
      <c r="DS440" s="407"/>
      <c r="DT440" s="407"/>
      <c r="DU440" s="407"/>
      <c r="DV440" s="407">
        <v>-105.63913566913048</v>
      </c>
      <c r="DW440" s="407">
        <v>0</v>
      </c>
      <c r="DX440" s="407">
        <v>0</v>
      </c>
      <c r="DY440" s="407">
        <v>56.545500000000018</v>
      </c>
      <c r="DZ440" s="407">
        <v>-6.9499099999999956</v>
      </c>
      <c r="EA440" s="407">
        <v>0</v>
      </c>
      <c r="EB440" s="407">
        <v>0</v>
      </c>
      <c r="EC440" s="407">
        <v>53.960715859715577</v>
      </c>
      <c r="ED440" s="407">
        <v>0</v>
      </c>
      <c r="EE440" s="407">
        <v>0</v>
      </c>
      <c r="EF440" s="407">
        <v>0</v>
      </c>
      <c r="EG440" s="407">
        <v>0</v>
      </c>
      <c r="EH440" s="407">
        <v>0</v>
      </c>
      <c r="EI440" s="407">
        <v>0</v>
      </c>
      <c r="EJ440" s="407">
        <v>0</v>
      </c>
      <c r="EK440" s="407">
        <v>0</v>
      </c>
      <c r="EL440" s="407">
        <v>0</v>
      </c>
      <c r="EM440" s="407">
        <v>0</v>
      </c>
      <c r="EN440" s="407">
        <v>0</v>
      </c>
      <c r="EO440" s="407">
        <v>0</v>
      </c>
      <c r="EP440" s="407">
        <v>-7.4266125293201499</v>
      </c>
      <c r="EQ440" s="407">
        <v>0</v>
      </c>
      <c r="ER440" s="407">
        <v>0</v>
      </c>
      <c r="ES440" s="407">
        <v>0</v>
      </c>
      <c r="ET440" s="407">
        <v>0</v>
      </c>
      <c r="EU440" s="407">
        <v>0</v>
      </c>
      <c r="EV440" s="407">
        <v>246</v>
      </c>
      <c r="EW440" s="407">
        <v>0</v>
      </c>
      <c r="EX440" s="407">
        <v>0</v>
      </c>
      <c r="EY440" s="407">
        <v>0</v>
      </c>
      <c r="EZ440" s="407"/>
      <c r="FA440" s="407">
        <v>0</v>
      </c>
      <c r="FB440" s="407"/>
      <c r="FC440" s="407"/>
      <c r="FD440" s="407"/>
      <c r="FE440" s="407"/>
      <c r="FF440" s="407">
        <v>0</v>
      </c>
      <c r="FG440" s="407">
        <v>0</v>
      </c>
      <c r="FH440" s="407">
        <v>0</v>
      </c>
      <c r="FI440" s="407">
        <v>0</v>
      </c>
    </row>
    <row r="441" spans="1:165">
      <c r="A441" s="407">
        <v>459</v>
      </c>
      <c r="B441" s="407" t="s">
        <v>2309</v>
      </c>
      <c r="C441" s="407" t="s">
        <v>2306</v>
      </c>
      <c r="D441" s="407" t="s">
        <v>1218</v>
      </c>
      <c r="E441" s="407" t="s">
        <v>1021</v>
      </c>
      <c r="F441" s="407" t="s">
        <v>1021</v>
      </c>
      <c r="G441" s="407" t="s">
        <v>97</v>
      </c>
      <c r="H441" s="407" t="s">
        <v>97</v>
      </c>
      <c r="I441" s="407" t="s">
        <v>97</v>
      </c>
      <c r="J441" s="407" t="s">
        <v>2307</v>
      </c>
      <c r="K441" s="818">
        <v>44593</v>
      </c>
      <c r="L441" s="407">
        <v>0</v>
      </c>
      <c r="M441" s="407">
        <v>0</v>
      </c>
      <c r="N441" s="407">
        <v>26.757999999999999</v>
      </c>
      <c r="O441" s="407">
        <v>26.757999999999999</v>
      </c>
      <c r="P441" s="407">
        <v>26.757999999999999</v>
      </c>
      <c r="Q441" s="407">
        <v>26.757999999999999</v>
      </c>
      <c r="R441" s="407"/>
      <c r="S441" s="407">
        <v>648.44000000000005</v>
      </c>
      <c r="T441" s="407">
        <v>159.41</v>
      </c>
      <c r="U441" s="407"/>
      <c r="V441" s="407">
        <v>21616.4503</v>
      </c>
      <c r="W441" s="407">
        <v>21616.4503</v>
      </c>
      <c r="X441" s="407">
        <v>16371.079559999998</v>
      </c>
      <c r="Y441" s="407">
        <v>0</v>
      </c>
      <c r="Z441" s="407">
        <v>1658.1999663577194</v>
      </c>
      <c r="AA441" s="407">
        <v>0</v>
      </c>
      <c r="AB441" s="407">
        <v>0</v>
      </c>
      <c r="AC441" s="407">
        <v>0</v>
      </c>
      <c r="AD441" s="407">
        <v>3121.1715565784484</v>
      </c>
      <c r="AE441" s="407">
        <v>11172.695621480607</v>
      </c>
      <c r="AF441" s="407">
        <v>4126.9055178093704</v>
      </c>
      <c r="AG441" s="407">
        <v>138.65319259736637</v>
      </c>
      <c r="AH441" s="407">
        <v>0</v>
      </c>
      <c r="AI441" s="407">
        <v>0</v>
      </c>
      <c r="AJ441" s="407">
        <v>0</v>
      </c>
      <c r="AK441" s="407">
        <v>0</v>
      </c>
      <c r="AL441" s="407">
        <v>256.23608907515791</v>
      </c>
      <c r="AM441" s="407"/>
      <c r="AN441" s="407">
        <v>55.525409147919952</v>
      </c>
      <c r="AO441" s="407">
        <v>0</v>
      </c>
      <c r="AP441" s="407">
        <v>0</v>
      </c>
      <c r="AQ441" s="407">
        <v>0</v>
      </c>
      <c r="AR441" s="407">
        <v>0</v>
      </c>
      <c r="AS441" s="407">
        <v>0</v>
      </c>
      <c r="AT441" s="407">
        <v>0</v>
      </c>
      <c r="AU441" s="407">
        <v>0</v>
      </c>
      <c r="AV441" s="407">
        <v>0</v>
      </c>
      <c r="AW441" s="407">
        <v>0</v>
      </c>
      <c r="AX441" s="407">
        <v>0</v>
      </c>
      <c r="AY441" s="407">
        <v>0</v>
      </c>
      <c r="AZ441" s="407">
        <v>0</v>
      </c>
      <c r="BA441" s="407"/>
      <c r="BB441" s="407">
        <v>0</v>
      </c>
      <c r="BC441" s="407">
        <v>0</v>
      </c>
      <c r="BD441" s="407">
        <v>0</v>
      </c>
      <c r="BE441" s="407">
        <v>0</v>
      </c>
      <c r="BF441" s="407">
        <v>0</v>
      </c>
      <c r="BG441" s="407">
        <v>301.66361516442123</v>
      </c>
      <c r="BH441" s="407">
        <v>0</v>
      </c>
      <c r="BI441" s="407">
        <v>31.58</v>
      </c>
      <c r="BJ441" s="407">
        <v>140.19999999999999</v>
      </c>
      <c r="BK441" s="407">
        <v>22287.23</v>
      </c>
      <c r="BL441" s="407">
        <v>238</v>
      </c>
      <c r="BM441" s="407"/>
      <c r="BN441" s="407"/>
      <c r="BO441" s="407"/>
      <c r="BP441" s="407"/>
      <c r="BQ441" s="407"/>
      <c r="BR441" s="407"/>
      <c r="BS441" s="407"/>
      <c r="BT441" s="407"/>
      <c r="BU441" s="407"/>
      <c r="BV441" s="407">
        <v>4428.569132973792</v>
      </c>
      <c r="BW441" s="407"/>
      <c r="BX441" s="407"/>
      <c r="BY441" s="407"/>
      <c r="BZ441" s="407"/>
      <c r="CA441" s="407"/>
      <c r="CB441" s="407"/>
      <c r="CC441" s="407"/>
      <c r="CD441" s="407"/>
      <c r="CE441" s="407"/>
      <c r="CF441" s="407"/>
      <c r="CG441" s="407"/>
      <c r="CH441" s="407"/>
      <c r="CI441" s="407">
        <v>16372.303200000002</v>
      </c>
      <c r="CJ441" s="407">
        <v>-5244.1770999999935</v>
      </c>
      <c r="CK441" s="407"/>
      <c r="CL441" s="407"/>
      <c r="CM441" s="407"/>
      <c r="CN441" s="407"/>
      <c r="CO441" s="407">
        <v>-5980.4130000000014</v>
      </c>
      <c r="CP441" s="407">
        <v>735.04225999999994</v>
      </c>
      <c r="CQ441" s="407">
        <v>29</v>
      </c>
      <c r="CR441" s="407">
        <v>461.68301406298451</v>
      </c>
      <c r="CS441" s="407">
        <v>0</v>
      </c>
      <c r="CT441" s="407">
        <v>0</v>
      </c>
      <c r="CU441" s="407">
        <v>0</v>
      </c>
      <c r="CV441" s="407">
        <v>0</v>
      </c>
      <c r="CW441" s="407">
        <v>0</v>
      </c>
      <c r="CX441" s="407">
        <v>0</v>
      </c>
      <c r="CY441" s="407">
        <v>0</v>
      </c>
      <c r="CZ441" s="407">
        <v>140.98950790092977</v>
      </c>
      <c r="DA441" s="407">
        <v>0</v>
      </c>
      <c r="DB441" s="407">
        <v>0</v>
      </c>
      <c r="DC441" s="407">
        <v>818.25391774109266</v>
      </c>
      <c r="DD441" s="407">
        <v>0</v>
      </c>
      <c r="DE441" s="407">
        <v>0</v>
      </c>
      <c r="DF441" s="407">
        <v>0</v>
      </c>
      <c r="DG441" s="407">
        <v>59.811748508179051</v>
      </c>
      <c r="DH441" s="407">
        <v>0</v>
      </c>
      <c r="DI441" s="407">
        <v>-116.14359685206728</v>
      </c>
      <c r="DJ441" s="407"/>
      <c r="DK441" s="407">
        <v>0</v>
      </c>
      <c r="DL441" s="407">
        <v>0</v>
      </c>
      <c r="DM441" s="407">
        <v>0</v>
      </c>
      <c r="DN441" s="407">
        <v>0</v>
      </c>
      <c r="DO441" s="407">
        <v>-15.633316609848009</v>
      </c>
      <c r="DP441" s="407">
        <v>-3.537945021298242</v>
      </c>
      <c r="DQ441" s="407">
        <v>0</v>
      </c>
      <c r="DR441" s="407">
        <v>-422.05730160400191</v>
      </c>
      <c r="DS441" s="407"/>
      <c r="DT441" s="407"/>
      <c r="DU441" s="407"/>
      <c r="DV441" s="407">
        <v>11172.695621480607</v>
      </c>
      <c r="DW441" s="407">
        <v>0</v>
      </c>
      <c r="DX441" s="407">
        <v>0</v>
      </c>
      <c r="DY441" s="407">
        <v>-5980.4130000000005</v>
      </c>
      <c r="DZ441" s="407">
        <v>735.04226000000017</v>
      </c>
      <c r="EA441" s="407">
        <v>0</v>
      </c>
      <c r="EB441" s="407">
        <v>0</v>
      </c>
      <c r="EC441" s="407">
        <v>-5707.0388734160852</v>
      </c>
      <c r="ED441" s="407">
        <v>0</v>
      </c>
      <c r="EE441" s="407">
        <v>0</v>
      </c>
      <c r="EF441" s="407">
        <v>0</v>
      </c>
      <c r="EG441" s="407">
        <v>0</v>
      </c>
      <c r="EH441" s="407">
        <v>0</v>
      </c>
      <c r="EI441" s="407">
        <v>0</v>
      </c>
      <c r="EJ441" s="407">
        <v>0</v>
      </c>
      <c r="EK441" s="407">
        <v>0</v>
      </c>
      <c r="EL441" s="407">
        <v>0</v>
      </c>
      <c r="EM441" s="407">
        <v>0</v>
      </c>
      <c r="EN441" s="407">
        <v>0</v>
      </c>
      <c r="EO441" s="407">
        <v>0</v>
      </c>
      <c r="EP441" s="407">
        <v>785.45967612469781</v>
      </c>
      <c r="EQ441" s="407">
        <v>0</v>
      </c>
      <c r="ER441" s="407">
        <v>0</v>
      </c>
      <c r="ES441" s="407">
        <v>0</v>
      </c>
      <c r="ET441" s="407">
        <v>0</v>
      </c>
      <c r="EU441" s="407">
        <v>0</v>
      </c>
      <c r="EV441" s="407">
        <v>246</v>
      </c>
      <c r="EW441" s="407">
        <v>0</v>
      </c>
      <c r="EX441" s="407">
        <v>0</v>
      </c>
      <c r="EY441" s="407">
        <v>0</v>
      </c>
      <c r="EZ441" s="407"/>
      <c r="FA441" s="407">
        <v>0</v>
      </c>
      <c r="FB441" s="407"/>
      <c r="FC441" s="407"/>
      <c r="FD441" s="407"/>
      <c r="FE441" s="407"/>
      <c r="FF441" s="407">
        <v>0</v>
      </c>
      <c r="FG441" s="407">
        <v>0</v>
      </c>
      <c r="FH441" s="407">
        <v>0</v>
      </c>
      <c r="FI441" s="407">
        <v>0</v>
      </c>
    </row>
    <row r="442" spans="1:165">
      <c r="A442" s="407">
        <v>460</v>
      </c>
      <c r="B442" s="407" t="s">
        <v>2309</v>
      </c>
      <c r="C442" s="407" t="s">
        <v>2306</v>
      </c>
      <c r="D442" s="407" t="s">
        <v>1218</v>
      </c>
      <c r="E442" s="407" t="s">
        <v>1021</v>
      </c>
      <c r="F442" s="407" t="s">
        <v>1021</v>
      </c>
      <c r="G442" s="407" t="s">
        <v>97</v>
      </c>
      <c r="H442" s="407" t="s">
        <v>97</v>
      </c>
      <c r="I442" s="407" t="s">
        <v>97</v>
      </c>
      <c r="J442" s="407" t="s">
        <v>2307</v>
      </c>
      <c r="K442" s="818">
        <v>44593</v>
      </c>
      <c r="L442" s="407">
        <v>0</v>
      </c>
      <c r="M442" s="407">
        <v>0</v>
      </c>
      <c r="N442" s="407">
        <v>-3.722</v>
      </c>
      <c r="O442" s="407">
        <v>-3.722</v>
      </c>
      <c r="P442" s="407">
        <v>-3.722</v>
      </c>
      <c r="Q442" s="407">
        <v>-3.722</v>
      </c>
      <c r="R442" s="407"/>
      <c r="S442" s="407">
        <v>648.44000000000005</v>
      </c>
      <c r="T442" s="407">
        <v>159.41</v>
      </c>
      <c r="U442" s="407"/>
      <c r="V442" s="407">
        <v>-3006.8177000000001</v>
      </c>
      <c r="W442" s="407">
        <v>-3006.8177000000001</v>
      </c>
      <c r="X442" s="407">
        <v>-2277.1940400000003</v>
      </c>
      <c r="Y442" s="407">
        <v>0</v>
      </c>
      <c r="Z442" s="407">
        <v>-230.65327284488495</v>
      </c>
      <c r="AA442" s="407">
        <v>0</v>
      </c>
      <c r="AB442" s="407">
        <v>0</v>
      </c>
      <c r="AC442" s="407">
        <v>0</v>
      </c>
      <c r="AD442" s="407">
        <v>-434.15055436075136</v>
      </c>
      <c r="AE442" s="407">
        <v>-1554.1061777095006</v>
      </c>
      <c r="AF442" s="407">
        <v>-574.04672760619167</v>
      </c>
      <c r="AG442" s="407">
        <v>-19.286463220248063</v>
      </c>
      <c r="AH442" s="407">
        <v>0</v>
      </c>
      <c r="AI442" s="407">
        <v>0</v>
      </c>
      <c r="AJ442" s="407">
        <v>0</v>
      </c>
      <c r="AK442" s="407">
        <v>0</v>
      </c>
      <c r="AL442" s="407">
        <v>-35.642078015462211</v>
      </c>
      <c r="AM442" s="407"/>
      <c r="AN442" s="407">
        <v>-7.7235059738604548</v>
      </c>
      <c r="AO442" s="407">
        <v>0</v>
      </c>
      <c r="AP442" s="407">
        <v>0</v>
      </c>
      <c r="AQ442" s="407">
        <v>0</v>
      </c>
      <c r="AR442" s="407">
        <v>0</v>
      </c>
      <c r="AS442" s="407">
        <v>0</v>
      </c>
      <c r="AT442" s="407">
        <v>0</v>
      </c>
      <c r="AU442" s="407">
        <v>0</v>
      </c>
      <c r="AV442" s="407">
        <v>0</v>
      </c>
      <c r="AW442" s="407">
        <v>0</v>
      </c>
      <c r="AX442" s="407">
        <v>0</v>
      </c>
      <c r="AY442" s="407">
        <v>0</v>
      </c>
      <c r="AZ442" s="407">
        <v>0</v>
      </c>
      <c r="BA442" s="407"/>
      <c r="BB442" s="407">
        <v>0</v>
      </c>
      <c r="BC442" s="407">
        <v>0</v>
      </c>
      <c r="BD442" s="407">
        <v>0</v>
      </c>
      <c r="BE442" s="407">
        <v>0</v>
      </c>
      <c r="BF442" s="407">
        <v>0</v>
      </c>
      <c r="BG442" s="407">
        <v>-41.96098272075551</v>
      </c>
      <c r="BH442" s="407">
        <v>0</v>
      </c>
      <c r="BI442" s="407">
        <v>-13.02</v>
      </c>
      <c r="BJ442" s="407">
        <v>-59.36</v>
      </c>
      <c r="BK442" s="407">
        <v>-1202.55</v>
      </c>
      <c r="BL442" s="407">
        <v>11</v>
      </c>
      <c r="BM442" s="407"/>
      <c r="BN442" s="407"/>
      <c r="BO442" s="407"/>
      <c r="BP442" s="407"/>
      <c r="BQ442" s="407"/>
      <c r="BR442" s="407"/>
      <c r="BS442" s="407"/>
      <c r="BT442" s="407"/>
      <c r="BU442" s="407"/>
      <c r="BV442" s="407">
        <v>-616.00771032694718</v>
      </c>
      <c r="BW442" s="407"/>
      <c r="BX442" s="407"/>
      <c r="BY442" s="407"/>
      <c r="BZ442" s="407"/>
      <c r="CA442" s="407"/>
      <c r="CB442" s="407"/>
      <c r="CC442" s="407"/>
      <c r="CD442" s="407"/>
      <c r="CE442" s="407"/>
      <c r="CF442" s="407"/>
      <c r="CG442" s="407"/>
      <c r="CH442" s="407"/>
      <c r="CI442" s="407">
        <v>-2275.9704000000002</v>
      </c>
      <c r="CJ442" s="407">
        <v>730.81729999999925</v>
      </c>
      <c r="CK442" s="407"/>
      <c r="CL442" s="407"/>
      <c r="CM442" s="407"/>
      <c r="CN442" s="407"/>
      <c r="CO442" s="407">
        <v>831.86700000000019</v>
      </c>
      <c r="CP442" s="407">
        <v>-102.24333999999999</v>
      </c>
      <c r="CQ442" s="407">
        <v>29</v>
      </c>
      <c r="CR442" s="407">
        <v>-64.219455054280388</v>
      </c>
      <c r="CS442" s="407">
        <v>0</v>
      </c>
      <c r="CT442" s="407">
        <v>0</v>
      </c>
      <c r="CU442" s="407">
        <v>0</v>
      </c>
      <c r="CV442" s="407">
        <v>0</v>
      </c>
      <c r="CW442" s="407">
        <v>0</v>
      </c>
      <c r="CX442" s="407">
        <v>0</v>
      </c>
      <c r="CY442" s="407">
        <v>0</v>
      </c>
      <c r="CZ442" s="407">
        <v>-19.611441378550751</v>
      </c>
      <c r="DA442" s="407">
        <v>0</v>
      </c>
      <c r="DB442" s="407">
        <v>0</v>
      </c>
      <c r="DC442" s="407">
        <v>-113.81796404186969</v>
      </c>
      <c r="DD442" s="407">
        <v>0</v>
      </c>
      <c r="DE442" s="407">
        <v>0</v>
      </c>
      <c r="DF442" s="407">
        <v>0</v>
      </c>
      <c r="DG442" s="407">
        <v>-8.3197297237253238</v>
      </c>
      <c r="DH442" s="407">
        <v>0</v>
      </c>
      <c r="DI442" s="407">
        <v>16.155410250519253</v>
      </c>
      <c r="DJ442" s="407"/>
      <c r="DK442" s="407">
        <v>0</v>
      </c>
      <c r="DL442" s="407">
        <v>0</v>
      </c>
      <c r="DM442" s="407">
        <v>0</v>
      </c>
      <c r="DN442" s="407">
        <v>0</v>
      </c>
      <c r="DO442" s="407">
        <v>2.1745722558432732</v>
      </c>
      <c r="DP442" s="407">
        <v>0.49212315454338995</v>
      </c>
      <c r="DQ442" s="407">
        <v>0</v>
      </c>
      <c r="DR442" s="407">
        <v>58.707574428959376</v>
      </c>
      <c r="DS442" s="407"/>
      <c r="DT442" s="407"/>
      <c r="DU442" s="407"/>
      <c r="DV442" s="407">
        <v>-1554.1061777095006</v>
      </c>
      <c r="DW442" s="407">
        <v>0</v>
      </c>
      <c r="DX442" s="407">
        <v>0</v>
      </c>
      <c r="DY442" s="407">
        <v>831.86699999999996</v>
      </c>
      <c r="DZ442" s="407">
        <v>-102.24333999999999</v>
      </c>
      <c r="EA442" s="407">
        <v>0</v>
      </c>
      <c r="EB442" s="407">
        <v>0</v>
      </c>
      <c r="EC442" s="407">
        <v>793.8410451773176</v>
      </c>
      <c r="ED442" s="407">
        <v>0</v>
      </c>
      <c r="EE442" s="407">
        <v>0</v>
      </c>
      <c r="EF442" s="407">
        <v>0</v>
      </c>
      <c r="EG442" s="407">
        <v>0</v>
      </c>
      <c r="EH442" s="407">
        <v>0</v>
      </c>
      <c r="EI442" s="407">
        <v>0</v>
      </c>
      <c r="EJ442" s="407">
        <v>0</v>
      </c>
      <c r="EK442" s="407">
        <v>0</v>
      </c>
      <c r="EL442" s="407">
        <v>0</v>
      </c>
      <c r="EM442" s="407">
        <v>0</v>
      </c>
      <c r="EN442" s="407">
        <v>0</v>
      </c>
      <c r="EO442" s="407">
        <v>0</v>
      </c>
      <c r="EP442" s="407">
        <v>-109.25633136019603</v>
      </c>
      <c r="EQ442" s="407">
        <v>0</v>
      </c>
      <c r="ER442" s="407">
        <v>0</v>
      </c>
      <c r="ES442" s="407">
        <v>0</v>
      </c>
      <c r="ET442" s="407">
        <v>0</v>
      </c>
      <c r="EU442" s="407">
        <v>0</v>
      </c>
      <c r="EV442" s="407">
        <v>246</v>
      </c>
      <c r="EW442" s="407">
        <v>0</v>
      </c>
      <c r="EX442" s="407">
        <v>0</v>
      </c>
      <c r="EY442" s="407">
        <v>0</v>
      </c>
      <c r="EZ442" s="407"/>
      <c r="FA442" s="407">
        <v>0</v>
      </c>
      <c r="FB442" s="407"/>
      <c r="FC442" s="407"/>
      <c r="FD442" s="407"/>
      <c r="FE442" s="407"/>
      <c r="FF442" s="407">
        <v>0</v>
      </c>
      <c r="FG442" s="407">
        <v>0</v>
      </c>
      <c r="FH442" s="407">
        <v>0</v>
      </c>
      <c r="FI442" s="407">
        <v>0</v>
      </c>
    </row>
    <row r="443" spans="1:165">
      <c r="A443" s="407">
        <v>461</v>
      </c>
      <c r="B443" s="407" t="s">
        <v>1090</v>
      </c>
      <c r="C443" s="407" t="s">
        <v>2306</v>
      </c>
      <c r="D443" s="407" t="s">
        <v>1218</v>
      </c>
      <c r="E443" s="407" t="s">
        <v>1021</v>
      </c>
      <c r="F443" s="407" t="s">
        <v>2310</v>
      </c>
      <c r="G443" s="407" t="s">
        <v>97</v>
      </c>
      <c r="H443" s="407" t="s">
        <v>97</v>
      </c>
      <c r="I443" s="407" t="s">
        <v>97</v>
      </c>
      <c r="J443" s="407" t="s">
        <v>2307</v>
      </c>
      <c r="K443" s="818">
        <v>44593</v>
      </c>
      <c r="L443" s="407">
        <v>0</v>
      </c>
      <c r="M443" s="407">
        <v>0</v>
      </c>
      <c r="N443" s="407">
        <v>42.21</v>
      </c>
      <c r="O443" s="407">
        <v>42.21</v>
      </c>
      <c r="P443" s="407">
        <v>42.21</v>
      </c>
      <c r="Q443" s="407">
        <v>42.21</v>
      </c>
      <c r="R443" s="407"/>
      <c r="S443" s="407">
        <v>547.54</v>
      </c>
      <c r="T443" s="407">
        <v>159.41</v>
      </c>
      <c r="U443" s="407"/>
      <c r="V443" s="407">
        <v>29840.359499999999</v>
      </c>
      <c r="W443" s="407">
        <v>29840.359499999999</v>
      </c>
      <c r="X443" s="407">
        <v>21857.182199999999</v>
      </c>
      <c r="Y443" s="407">
        <v>0</v>
      </c>
      <c r="Z443" s="407">
        <v>0</v>
      </c>
      <c r="AA443" s="407">
        <v>0</v>
      </c>
      <c r="AB443" s="407">
        <v>0</v>
      </c>
      <c r="AC443" s="407">
        <v>0</v>
      </c>
      <c r="AD443" s="407">
        <v>4923.5612304049746</v>
      </c>
      <c r="AE443" s="407">
        <v>17624.616271122522</v>
      </c>
      <c r="AF443" s="407">
        <v>6510.0785524603307</v>
      </c>
      <c r="AG443" s="407">
        <v>218.7215509206531</v>
      </c>
      <c r="AH443" s="407">
        <v>0</v>
      </c>
      <c r="AI443" s="407">
        <v>0</v>
      </c>
      <c r="AJ443" s="407">
        <v>0</v>
      </c>
      <c r="AK443" s="407">
        <v>0</v>
      </c>
      <c r="AL443" s="407">
        <v>0</v>
      </c>
      <c r="AM443" s="407"/>
      <c r="AN443" s="407">
        <v>87.589786984591569</v>
      </c>
      <c r="AO443" s="407">
        <v>0</v>
      </c>
      <c r="AP443" s="407">
        <v>0</v>
      </c>
      <c r="AQ443" s="407">
        <v>0</v>
      </c>
      <c r="AR443" s="407">
        <v>0</v>
      </c>
      <c r="AS443" s="407">
        <v>0</v>
      </c>
      <c r="AT443" s="407">
        <v>0</v>
      </c>
      <c r="AU443" s="407">
        <v>0</v>
      </c>
      <c r="AV443" s="407">
        <v>0</v>
      </c>
      <c r="AW443" s="407">
        <v>0</v>
      </c>
      <c r="AX443" s="407">
        <v>0</v>
      </c>
      <c r="AY443" s="407">
        <v>0</v>
      </c>
      <c r="AZ443" s="407">
        <v>0</v>
      </c>
      <c r="BA443" s="407"/>
      <c r="BB443" s="407">
        <v>0</v>
      </c>
      <c r="BC443" s="407">
        <v>0</v>
      </c>
      <c r="BD443" s="407">
        <v>0</v>
      </c>
      <c r="BE443" s="407">
        <v>0</v>
      </c>
      <c r="BF443" s="407">
        <v>0</v>
      </c>
      <c r="BG443" s="407">
        <v>475.86595396106662</v>
      </c>
      <c r="BH443" s="407">
        <v>0</v>
      </c>
      <c r="BI443" s="407">
        <v>12.49</v>
      </c>
      <c r="BJ443" s="407">
        <v>41.91</v>
      </c>
      <c r="BK443" s="407">
        <v>2326.16</v>
      </c>
      <c r="BL443" s="407">
        <v>103</v>
      </c>
      <c r="BM443" s="407"/>
      <c r="BN443" s="407"/>
      <c r="BO443" s="407"/>
      <c r="BP443" s="407"/>
      <c r="BQ443" s="407"/>
      <c r="BR443" s="407"/>
      <c r="BS443" s="407"/>
      <c r="BT443" s="407">
        <v>14207.041800000001</v>
      </c>
      <c r="BU443" s="407"/>
      <c r="BV443" s="407">
        <v>6985.9445064213969</v>
      </c>
      <c r="BW443" s="407"/>
      <c r="BX443" s="407"/>
      <c r="BY443" s="407"/>
      <c r="BZ443" s="407"/>
      <c r="CA443" s="407"/>
      <c r="CB443" s="407"/>
      <c r="CC443" s="407"/>
      <c r="CD443" s="407"/>
      <c r="CE443" s="407"/>
      <c r="CF443" s="407"/>
      <c r="CG443" s="407"/>
      <c r="CH443" s="407"/>
      <c r="CI443" s="407">
        <v>7650.1404000000002</v>
      </c>
      <c r="CJ443" s="407">
        <v>-2793.9099000000006</v>
      </c>
      <c r="CK443" s="407"/>
      <c r="CL443" s="407"/>
      <c r="CM443" s="407"/>
      <c r="CN443" s="407"/>
      <c r="CO443" s="407">
        <v>-9142.6859999999979</v>
      </c>
      <c r="CP443" s="407">
        <v>1159.5086999999999</v>
      </c>
      <c r="CQ443" s="407">
        <v>29</v>
      </c>
      <c r="CR443" s="407">
        <v>1019.3226908047363</v>
      </c>
      <c r="CS443" s="407">
        <v>0</v>
      </c>
      <c r="CT443" s="407">
        <v>0</v>
      </c>
      <c r="CU443" s="407">
        <v>0</v>
      </c>
      <c r="CV443" s="407">
        <v>0</v>
      </c>
      <c r="CW443" s="407">
        <v>0</v>
      </c>
      <c r="CX443" s="407">
        <v>0</v>
      </c>
      <c r="CY443" s="407">
        <v>0</v>
      </c>
      <c r="CZ443" s="407">
        <v>222.40702326400515</v>
      </c>
      <c r="DA443" s="407">
        <v>0</v>
      </c>
      <c r="DB443" s="407">
        <v>0</v>
      </c>
      <c r="DC443" s="407">
        <v>1290.7727732958947</v>
      </c>
      <c r="DD443" s="407">
        <v>0</v>
      </c>
      <c r="DE443" s="407">
        <v>0</v>
      </c>
      <c r="DF443" s="407">
        <v>0</v>
      </c>
      <c r="DG443" s="407">
        <v>94.351367984536807</v>
      </c>
      <c r="DH443" s="407">
        <v>0</v>
      </c>
      <c r="DI443" s="407">
        <v>0</v>
      </c>
      <c r="DJ443" s="407"/>
      <c r="DK443" s="407">
        <v>0</v>
      </c>
      <c r="DL443" s="407">
        <v>0</v>
      </c>
      <c r="DM443" s="407">
        <v>0</v>
      </c>
      <c r="DN443" s="407">
        <v>0</v>
      </c>
      <c r="DO443" s="407">
        <v>0</v>
      </c>
      <c r="DP443" s="407">
        <v>-5.581009767135015</v>
      </c>
      <c r="DQ443" s="407">
        <v>0</v>
      </c>
      <c r="DR443" s="407">
        <v>-582.62746397256535</v>
      </c>
      <c r="DS443" s="407"/>
      <c r="DT443" s="407"/>
      <c r="DU443" s="407"/>
      <c r="DV443" s="407">
        <v>17624.616271122522</v>
      </c>
      <c r="DW443" s="407">
        <v>0</v>
      </c>
      <c r="DX443" s="407">
        <v>0</v>
      </c>
      <c r="DY443" s="407">
        <v>-9142.6859999999979</v>
      </c>
      <c r="DZ443" s="407">
        <v>1159.5086999999994</v>
      </c>
      <c r="EA443" s="407">
        <v>0</v>
      </c>
      <c r="EB443" s="407">
        <v>0</v>
      </c>
      <c r="EC443" s="407">
        <v>-9002.6949266347619</v>
      </c>
      <c r="ED443" s="407">
        <v>0</v>
      </c>
      <c r="EE443" s="407">
        <v>0</v>
      </c>
      <c r="EF443" s="407">
        <v>0</v>
      </c>
      <c r="EG443" s="407">
        <v>0</v>
      </c>
      <c r="EH443" s="407">
        <v>0</v>
      </c>
      <c r="EI443" s="407">
        <v>0</v>
      </c>
      <c r="EJ443" s="407">
        <v>0</v>
      </c>
      <c r="EK443" s="407">
        <v>0</v>
      </c>
      <c r="EL443" s="407">
        <v>0</v>
      </c>
      <c r="EM443" s="407">
        <v>0</v>
      </c>
      <c r="EN443" s="407">
        <v>0</v>
      </c>
      <c r="EO443" s="407">
        <v>0</v>
      </c>
      <c r="EP443" s="407">
        <v>0</v>
      </c>
      <c r="EQ443" s="407">
        <v>0</v>
      </c>
      <c r="ER443" s="407">
        <v>0</v>
      </c>
      <c r="ES443" s="407">
        <v>0</v>
      </c>
      <c r="ET443" s="407">
        <v>0</v>
      </c>
      <c r="EU443" s="407">
        <v>0</v>
      </c>
      <c r="EV443" s="407">
        <v>246</v>
      </c>
      <c r="EW443" s="407">
        <v>0</v>
      </c>
      <c r="EX443" s="407">
        <v>0</v>
      </c>
      <c r="EY443" s="407">
        <v>0</v>
      </c>
      <c r="EZ443" s="407"/>
      <c r="FA443" s="407">
        <v>0</v>
      </c>
      <c r="FB443" s="407"/>
      <c r="FC443" s="407"/>
      <c r="FD443" s="407"/>
      <c r="FE443" s="407"/>
      <c r="FF443" s="407">
        <v>0</v>
      </c>
      <c r="FG443" s="407">
        <v>0</v>
      </c>
      <c r="FH443" s="407">
        <v>0</v>
      </c>
      <c r="FI443" s="407">
        <v>0</v>
      </c>
    </row>
    <row r="444" spans="1:165">
      <c r="A444" s="407">
        <v>462</v>
      </c>
      <c r="B444" s="407" t="s">
        <v>2309</v>
      </c>
      <c r="C444" s="407" t="s">
        <v>2306</v>
      </c>
      <c r="D444" s="407" t="s">
        <v>1218</v>
      </c>
      <c r="E444" s="407" t="s">
        <v>1021</v>
      </c>
      <c r="F444" s="407" t="s">
        <v>2310</v>
      </c>
      <c r="G444" s="407" t="s">
        <v>97</v>
      </c>
      <c r="H444" s="407" t="s">
        <v>97</v>
      </c>
      <c r="I444" s="407" t="s">
        <v>97</v>
      </c>
      <c r="J444" s="407" t="s">
        <v>2307</v>
      </c>
      <c r="K444" s="818">
        <v>44593</v>
      </c>
      <c r="L444" s="407">
        <v>0</v>
      </c>
      <c r="M444" s="407">
        <v>0</v>
      </c>
      <c r="N444" s="407">
        <v>0.03</v>
      </c>
      <c r="O444" s="407">
        <v>0.03</v>
      </c>
      <c r="P444" s="407">
        <v>0.03</v>
      </c>
      <c r="Q444" s="407">
        <v>0.03</v>
      </c>
      <c r="R444" s="407"/>
      <c r="S444" s="407">
        <v>547.54</v>
      </c>
      <c r="T444" s="407">
        <v>159.41</v>
      </c>
      <c r="U444" s="407"/>
      <c r="V444" s="407">
        <v>21.208499999999997</v>
      </c>
      <c r="W444" s="407">
        <v>21.208499999999997</v>
      </c>
      <c r="X444" s="407">
        <v>15.534600000000001</v>
      </c>
      <c r="Y444" s="407">
        <v>0</v>
      </c>
      <c r="Z444" s="407">
        <v>0</v>
      </c>
      <c r="AA444" s="407">
        <v>0</v>
      </c>
      <c r="AB444" s="407">
        <v>0</v>
      </c>
      <c r="AC444" s="407">
        <v>0</v>
      </c>
      <c r="AD444" s="407">
        <v>3.4993327863574799</v>
      </c>
      <c r="AE444" s="407">
        <v>12.52637972361231</v>
      </c>
      <c r="AF444" s="407">
        <v>4.6269215013932694</v>
      </c>
      <c r="AG444" s="407">
        <v>0.15545241714332131</v>
      </c>
      <c r="AH444" s="407">
        <v>0</v>
      </c>
      <c r="AI444" s="407">
        <v>0</v>
      </c>
      <c r="AJ444" s="407">
        <v>0</v>
      </c>
      <c r="AK444" s="407">
        <v>0</v>
      </c>
      <c r="AL444" s="407">
        <v>0</v>
      </c>
      <c r="AM444" s="407"/>
      <c r="AN444" s="407">
        <v>6.2252869214350789E-2</v>
      </c>
      <c r="AO444" s="407">
        <v>0</v>
      </c>
      <c r="AP444" s="407">
        <v>0</v>
      </c>
      <c r="AQ444" s="407">
        <v>0</v>
      </c>
      <c r="AR444" s="407">
        <v>0</v>
      </c>
      <c r="AS444" s="407">
        <v>0</v>
      </c>
      <c r="AT444" s="407">
        <v>0</v>
      </c>
      <c r="AU444" s="407">
        <v>0</v>
      </c>
      <c r="AV444" s="407">
        <v>0</v>
      </c>
      <c r="AW444" s="407">
        <v>0</v>
      </c>
      <c r="AX444" s="407">
        <v>0</v>
      </c>
      <c r="AY444" s="407">
        <v>0</v>
      </c>
      <c r="AZ444" s="407">
        <v>0</v>
      </c>
      <c r="BA444" s="407"/>
      <c r="BB444" s="407">
        <v>0</v>
      </c>
      <c r="BC444" s="407">
        <v>0</v>
      </c>
      <c r="BD444" s="407">
        <v>0</v>
      </c>
      <c r="BE444" s="407">
        <v>0</v>
      </c>
      <c r="BF444" s="407">
        <v>0</v>
      </c>
      <c r="BG444" s="407">
        <v>0.33821318689485902</v>
      </c>
      <c r="BH444" s="407">
        <v>0</v>
      </c>
      <c r="BI444" s="407">
        <v>0.01</v>
      </c>
      <c r="BJ444" s="407">
        <v>0.03</v>
      </c>
      <c r="BK444" s="407">
        <v>4.12</v>
      </c>
      <c r="BL444" s="407">
        <v>0</v>
      </c>
      <c r="BM444" s="407"/>
      <c r="BN444" s="407"/>
      <c r="BO444" s="407"/>
      <c r="BP444" s="407"/>
      <c r="BQ444" s="407"/>
      <c r="BR444" s="407"/>
      <c r="BS444" s="407"/>
      <c r="BT444" s="407">
        <v>10.0974</v>
      </c>
      <c r="BU444" s="407"/>
      <c r="BV444" s="407">
        <v>4.9651346882881287</v>
      </c>
      <c r="BW444" s="407"/>
      <c r="BX444" s="407"/>
      <c r="BY444" s="407"/>
      <c r="BZ444" s="407"/>
      <c r="CA444" s="407"/>
      <c r="CB444" s="407"/>
      <c r="CC444" s="407"/>
      <c r="CD444" s="407"/>
      <c r="CE444" s="407"/>
      <c r="CF444" s="407"/>
      <c r="CG444" s="407"/>
      <c r="CH444" s="407"/>
      <c r="CI444" s="407">
        <v>5.4371999999999998</v>
      </c>
      <c r="CJ444" s="407">
        <v>-2.0156999999999989</v>
      </c>
      <c r="CK444" s="407"/>
      <c r="CL444" s="407"/>
      <c r="CM444" s="407"/>
      <c r="CN444" s="407"/>
      <c r="CO444" s="407">
        <v>-6.4979999999999984</v>
      </c>
      <c r="CP444" s="407">
        <v>0.82409999999999994</v>
      </c>
      <c r="CQ444" s="407">
        <v>29</v>
      </c>
      <c r="CR444" s="407">
        <v>0.72446530974039369</v>
      </c>
      <c r="CS444" s="407">
        <v>0</v>
      </c>
      <c r="CT444" s="407">
        <v>0</v>
      </c>
      <c r="CU444" s="407">
        <v>0</v>
      </c>
      <c r="CV444" s="407">
        <v>0</v>
      </c>
      <c r="CW444" s="407">
        <v>0</v>
      </c>
      <c r="CX444" s="407">
        <v>0</v>
      </c>
      <c r="CY444" s="407">
        <v>0</v>
      </c>
      <c r="CZ444" s="407">
        <v>0.1580718004719297</v>
      </c>
      <c r="DA444" s="407">
        <v>0</v>
      </c>
      <c r="DB444" s="407">
        <v>0</v>
      </c>
      <c r="DC444" s="407">
        <v>0.91739358443204999</v>
      </c>
      <c r="DD444" s="407">
        <v>0</v>
      </c>
      <c r="DE444" s="407">
        <v>0</v>
      </c>
      <c r="DF444" s="407">
        <v>0</v>
      </c>
      <c r="DG444" s="407">
        <v>6.7058541566834939E-2</v>
      </c>
      <c r="DH444" s="407">
        <v>0</v>
      </c>
      <c r="DI444" s="407">
        <v>0</v>
      </c>
      <c r="DJ444" s="407"/>
      <c r="DK444" s="407">
        <v>0</v>
      </c>
      <c r="DL444" s="407">
        <v>0</v>
      </c>
      <c r="DM444" s="407">
        <v>0</v>
      </c>
      <c r="DN444" s="407">
        <v>0</v>
      </c>
      <c r="DO444" s="407">
        <v>0</v>
      </c>
      <c r="DP444" s="407">
        <v>-3.9666025352771903E-3</v>
      </c>
      <c r="DQ444" s="407">
        <v>0</v>
      </c>
      <c r="DR444" s="407">
        <v>-0.41409201419514241</v>
      </c>
      <c r="DS444" s="407"/>
      <c r="DT444" s="407"/>
      <c r="DU444" s="407"/>
      <c r="DV444" s="407">
        <v>12.52637972361231</v>
      </c>
      <c r="DW444" s="407">
        <v>0</v>
      </c>
      <c r="DX444" s="407">
        <v>0</v>
      </c>
      <c r="DY444" s="407">
        <v>-6.4979999999999976</v>
      </c>
      <c r="DZ444" s="407">
        <v>0.8241000000000005</v>
      </c>
      <c r="EA444" s="407">
        <v>0</v>
      </c>
      <c r="EB444" s="407">
        <v>0</v>
      </c>
      <c r="EC444" s="407">
        <v>-6.3985038568832699</v>
      </c>
      <c r="ED444" s="407">
        <v>0</v>
      </c>
      <c r="EE444" s="407">
        <v>0</v>
      </c>
      <c r="EF444" s="407">
        <v>0</v>
      </c>
      <c r="EG444" s="407">
        <v>0</v>
      </c>
      <c r="EH444" s="407">
        <v>0</v>
      </c>
      <c r="EI444" s="407">
        <v>0</v>
      </c>
      <c r="EJ444" s="407">
        <v>0</v>
      </c>
      <c r="EK444" s="407">
        <v>0</v>
      </c>
      <c r="EL444" s="407">
        <v>0</v>
      </c>
      <c r="EM444" s="407">
        <v>0</v>
      </c>
      <c r="EN444" s="407">
        <v>0</v>
      </c>
      <c r="EO444" s="407">
        <v>0</v>
      </c>
      <c r="EP444" s="407">
        <v>0</v>
      </c>
      <c r="EQ444" s="407">
        <v>0</v>
      </c>
      <c r="ER444" s="407">
        <v>0</v>
      </c>
      <c r="ES444" s="407">
        <v>0</v>
      </c>
      <c r="ET444" s="407">
        <v>0</v>
      </c>
      <c r="EU444" s="407">
        <v>0</v>
      </c>
      <c r="EV444" s="407">
        <v>246</v>
      </c>
      <c r="EW444" s="407">
        <v>0</v>
      </c>
      <c r="EX444" s="407">
        <v>0</v>
      </c>
      <c r="EY444" s="407">
        <v>0</v>
      </c>
      <c r="EZ444" s="407"/>
      <c r="FA444" s="407">
        <v>0</v>
      </c>
      <c r="FB444" s="407"/>
      <c r="FC444" s="407"/>
      <c r="FD444" s="407"/>
      <c r="FE444" s="407"/>
      <c r="FF444" s="407">
        <v>0</v>
      </c>
      <c r="FG444" s="407">
        <v>0</v>
      </c>
      <c r="FH444" s="407">
        <v>0</v>
      </c>
      <c r="FI444" s="407">
        <v>0</v>
      </c>
    </row>
    <row r="445" spans="1:165">
      <c r="A445" s="407">
        <v>463</v>
      </c>
      <c r="B445" s="407" t="s">
        <v>1090</v>
      </c>
      <c r="C445" s="407" t="s">
        <v>2306</v>
      </c>
      <c r="D445" s="407" t="s">
        <v>1218</v>
      </c>
      <c r="E445" s="407" t="s">
        <v>1021</v>
      </c>
      <c r="F445" s="407" t="s">
        <v>2311</v>
      </c>
      <c r="G445" s="407" t="s">
        <v>97</v>
      </c>
      <c r="H445" s="407" t="s">
        <v>97</v>
      </c>
      <c r="I445" s="407" t="s">
        <v>97</v>
      </c>
      <c r="J445" s="407" t="s">
        <v>2307</v>
      </c>
      <c r="K445" s="818">
        <v>44593</v>
      </c>
      <c r="L445" s="407">
        <v>0</v>
      </c>
      <c r="M445" s="407">
        <v>0</v>
      </c>
      <c r="N445" s="407">
        <v>82.757000000000005</v>
      </c>
      <c r="O445" s="407">
        <v>82.757000000000005</v>
      </c>
      <c r="P445" s="407">
        <v>82.757000000000005</v>
      </c>
      <c r="Q445" s="407">
        <v>82.757000000000005</v>
      </c>
      <c r="R445" s="407"/>
      <c r="S445" s="407">
        <v>547.54</v>
      </c>
      <c r="T445" s="407">
        <v>159.41</v>
      </c>
      <c r="U445" s="407"/>
      <c r="V445" s="407">
        <v>58505.061150000001</v>
      </c>
      <c r="W445" s="407">
        <v>58505.061150000001</v>
      </c>
      <c r="X445" s="407">
        <v>42853.229740000002</v>
      </c>
      <c r="Y445" s="407">
        <v>0</v>
      </c>
      <c r="Z445" s="407">
        <v>0</v>
      </c>
      <c r="AA445" s="407">
        <v>0</v>
      </c>
      <c r="AB445" s="407">
        <v>0</v>
      </c>
      <c r="AC445" s="407">
        <v>0</v>
      </c>
      <c r="AD445" s="407">
        <v>9653.1427800195324</v>
      </c>
      <c r="AE445" s="407">
        <v>34554.853559566138</v>
      </c>
      <c r="AF445" s="407">
        <v>12763.671423026761</v>
      </c>
      <c r="AG445" s="407">
        <v>428.82585618432807</v>
      </c>
      <c r="AH445" s="407">
        <v>0</v>
      </c>
      <c r="AI445" s="407">
        <v>0</v>
      </c>
      <c r="AJ445" s="407">
        <v>0</v>
      </c>
      <c r="AK445" s="407">
        <v>0</v>
      </c>
      <c r="AL445" s="407">
        <v>0</v>
      </c>
      <c r="AM445" s="407"/>
      <c r="AN445" s="407">
        <v>171.72868991906762</v>
      </c>
      <c r="AO445" s="407">
        <v>0</v>
      </c>
      <c r="AP445" s="407">
        <v>0</v>
      </c>
      <c r="AQ445" s="407">
        <v>0</v>
      </c>
      <c r="AR445" s="407">
        <v>0</v>
      </c>
      <c r="AS445" s="407">
        <v>0</v>
      </c>
      <c r="AT445" s="407">
        <v>0</v>
      </c>
      <c r="AU445" s="407">
        <v>0</v>
      </c>
      <c r="AV445" s="407">
        <v>0</v>
      </c>
      <c r="AW445" s="407">
        <v>0</v>
      </c>
      <c r="AX445" s="407">
        <v>0</v>
      </c>
      <c r="AY445" s="407">
        <v>0</v>
      </c>
      <c r="AZ445" s="407">
        <v>0</v>
      </c>
      <c r="BA445" s="407"/>
      <c r="BB445" s="407">
        <v>0</v>
      </c>
      <c r="BC445" s="407">
        <v>0</v>
      </c>
      <c r="BD445" s="407">
        <v>0</v>
      </c>
      <c r="BE445" s="407">
        <v>0</v>
      </c>
      <c r="BF445" s="407">
        <v>0</v>
      </c>
      <c r="BG445" s="407">
        <v>932.98362359526163</v>
      </c>
      <c r="BH445" s="407">
        <v>0</v>
      </c>
      <c r="BI445" s="407">
        <v>38.19</v>
      </c>
      <c r="BJ445" s="407">
        <v>184.37</v>
      </c>
      <c r="BK445" s="407">
        <v>8540.26</v>
      </c>
      <c r="BL445" s="407">
        <v>299</v>
      </c>
      <c r="BM445" s="407"/>
      <c r="BN445" s="407"/>
      <c r="BO445" s="407"/>
      <c r="BP445" s="407"/>
      <c r="BQ445" s="407"/>
      <c r="BR445" s="407"/>
      <c r="BS445" s="407"/>
      <c r="BT445" s="407">
        <v>17141.457410000003</v>
      </c>
      <c r="BU445" s="407"/>
      <c r="BV445" s="407">
        <v>13696.655046622021</v>
      </c>
      <c r="BW445" s="407"/>
      <c r="BX445" s="407"/>
      <c r="BY445" s="407"/>
      <c r="BZ445" s="407"/>
      <c r="CA445" s="407"/>
      <c r="CB445" s="407"/>
      <c r="CC445" s="407"/>
      <c r="CD445" s="407"/>
      <c r="CE445" s="407"/>
      <c r="CF445" s="407"/>
      <c r="CG445" s="407"/>
      <c r="CH445" s="407"/>
      <c r="CI445" s="407">
        <v>25712.704400000002</v>
      </c>
      <c r="CJ445" s="407">
        <v>-9390.3622899999973</v>
      </c>
      <c r="CK445" s="407"/>
      <c r="CL445" s="407"/>
      <c r="CM445" s="407"/>
      <c r="CN445" s="407"/>
      <c r="CO445" s="407">
        <v>-17925.1662</v>
      </c>
      <c r="CP445" s="407">
        <v>2273.3347899999999</v>
      </c>
      <c r="CQ445" s="407">
        <v>29</v>
      </c>
      <c r="CR445" s="407">
        <v>1998.4858546062023</v>
      </c>
      <c r="CS445" s="407">
        <v>0</v>
      </c>
      <c r="CT445" s="407">
        <v>0</v>
      </c>
      <c r="CU445" s="407">
        <v>0</v>
      </c>
      <c r="CV445" s="407">
        <v>0</v>
      </c>
      <c r="CW445" s="407">
        <v>0</v>
      </c>
      <c r="CX445" s="407">
        <v>0</v>
      </c>
      <c r="CY445" s="407">
        <v>0</v>
      </c>
      <c r="CZ445" s="407">
        <v>436.05159972185174</v>
      </c>
      <c r="DA445" s="407">
        <v>0</v>
      </c>
      <c r="DB445" s="407">
        <v>0</v>
      </c>
      <c r="DC445" s="407">
        <v>2530.6913622281063</v>
      </c>
      <c r="DD445" s="407">
        <v>0</v>
      </c>
      <c r="DE445" s="407">
        <v>0</v>
      </c>
      <c r="DF445" s="407">
        <v>0</v>
      </c>
      <c r="DG445" s="407">
        <v>184.9854574815522</v>
      </c>
      <c r="DH445" s="407">
        <v>0</v>
      </c>
      <c r="DI445" s="407">
        <v>0</v>
      </c>
      <c r="DJ445" s="407"/>
      <c r="DK445" s="407">
        <v>0</v>
      </c>
      <c r="DL445" s="407">
        <v>0</v>
      </c>
      <c r="DM445" s="407">
        <v>0</v>
      </c>
      <c r="DN445" s="407">
        <v>0</v>
      </c>
      <c r="DO445" s="407">
        <v>0</v>
      </c>
      <c r="DP445" s="407">
        <v>-10.942137533731142</v>
      </c>
      <c r="DQ445" s="407">
        <v>0</v>
      </c>
      <c r="DR445" s="407">
        <v>-1142.30042729158</v>
      </c>
      <c r="DS445" s="407"/>
      <c r="DT445" s="407"/>
      <c r="DU445" s="407"/>
      <c r="DV445" s="407">
        <v>34554.853559566138</v>
      </c>
      <c r="DW445" s="407">
        <v>0</v>
      </c>
      <c r="DX445" s="407">
        <v>0</v>
      </c>
      <c r="DY445" s="407">
        <v>-17925.1662</v>
      </c>
      <c r="DZ445" s="407">
        <v>2273.334789999999</v>
      </c>
      <c r="EA445" s="407">
        <v>0</v>
      </c>
      <c r="EB445" s="407">
        <v>0</v>
      </c>
      <c r="EC445" s="407">
        <v>-17650.699456136295</v>
      </c>
      <c r="ED445" s="407">
        <v>0</v>
      </c>
      <c r="EE445" s="407">
        <v>0</v>
      </c>
      <c r="EF445" s="407">
        <v>0</v>
      </c>
      <c r="EG445" s="407">
        <v>0</v>
      </c>
      <c r="EH445" s="407">
        <v>0</v>
      </c>
      <c r="EI445" s="407">
        <v>0</v>
      </c>
      <c r="EJ445" s="407">
        <v>0</v>
      </c>
      <c r="EK445" s="407">
        <v>0</v>
      </c>
      <c r="EL445" s="407">
        <v>0</v>
      </c>
      <c r="EM445" s="407">
        <v>0</v>
      </c>
      <c r="EN445" s="407">
        <v>0</v>
      </c>
      <c r="EO445" s="407">
        <v>0</v>
      </c>
      <c r="EP445" s="407">
        <v>0</v>
      </c>
      <c r="EQ445" s="407">
        <v>0</v>
      </c>
      <c r="ER445" s="407">
        <v>0</v>
      </c>
      <c r="ES445" s="407">
        <v>0</v>
      </c>
      <c r="ET445" s="407">
        <v>0</v>
      </c>
      <c r="EU445" s="407">
        <v>0</v>
      </c>
      <c r="EV445" s="407">
        <v>246</v>
      </c>
      <c r="EW445" s="407">
        <v>0</v>
      </c>
      <c r="EX445" s="407">
        <v>0</v>
      </c>
      <c r="EY445" s="407">
        <v>0</v>
      </c>
      <c r="EZ445" s="407"/>
      <c r="FA445" s="407">
        <v>0</v>
      </c>
      <c r="FB445" s="407"/>
      <c r="FC445" s="407"/>
      <c r="FD445" s="407"/>
      <c r="FE445" s="407"/>
      <c r="FF445" s="407">
        <v>0</v>
      </c>
      <c r="FG445" s="407">
        <v>0</v>
      </c>
      <c r="FH445" s="407">
        <v>0</v>
      </c>
      <c r="FI445" s="407">
        <v>0</v>
      </c>
    </row>
    <row r="446" spans="1:165">
      <c r="A446" s="407">
        <v>464</v>
      </c>
      <c r="B446" s="407" t="s">
        <v>2308</v>
      </c>
      <c r="C446" s="407" t="s">
        <v>2306</v>
      </c>
      <c r="D446" s="407" t="s">
        <v>1218</v>
      </c>
      <c r="E446" s="407" t="s">
        <v>1021</v>
      </c>
      <c r="F446" s="407" t="s">
        <v>2311</v>
      </c>
      <c r="G446" s="407" t="s">
        <v>97</v>
      </c>
      <c r="H446" s="407" t="s">
        <v>97</v>
      </c>
      <c r="I446" s="407" t="s">
        <v>97</v>
      </c>
      <c r="J446" s="407" t="s">
        <v>2307</v>
      </c>
      <c r="K446" s="818">
        <v>44593</v>
      </c>
      <c r="L446" s="407">
        <v>0</v>
      </c>
      <c r="M446" s="407">
        <v>0</v>
      </c>
      <c r="N446" s="407">
        <v>-6.9000000000000006E-2</v>
      </c>
      <c r="O446" s="407">
        <v>-6.9000000000000006E-2</v>
      </c>
      <c r="P446" s="407">
        <v>-6.9000000000000006E-2</v>
      </c>
      <c r="Q446" s="407">
        <v>-6.9000000000000006E-2</v>
      </c>
      <c r="R446" s="407"/>
      <c r="S446" s="407">
        <v>547.54</v>
      </c>
      <c r="T446" s="407">
        <v>159.41</v>
      </c>
      <c r="U446" s="407"/>
      <c r="V446" s="407">
        <v>-48.77955</v>
      </c>
      <c r="W446" s="407">
        <v>-48.77955</v>
      </c>
      <c r="X446" s="407">
        <v>-35.729580000000006</v>
      </c>
      <c r="Y446" s="407">
        <v>0</v>
      </c>
      <c r="Z446" s="407">
        <v>0</v>
      </c>
      <c r="AA446" s="407">
        <v>0</v>
      </c>
      <c r="AB446" s="407">
        <v>0</v>
      </c>
      <c r="AC446" s="407">
        <v>0</v>
      </c>
      <c r="AD446" s="407">
        <v>-8.0484654086222047</v>
      </c>
      <c r="AE446" s="407">
        <v>-28.810673364308318</v>
      </c>
      <c r="AF446" s="407">
        <v>-10.641919453204521</v>
      </c>
      <c r="AG446" s="407">
        <v>-0.35754055942963903</v>
      </c>
      <c r="AH446" s="407">
        <v>0</v>
      </c>
      <c r="AI446" s="407">
        <v>0</v>
      </c>
      <c r="AJ446" s="407">
        <v>0</v>
      </c>
      <c r="AK446" s="407">
        <v>0</v>
      </c>
      <c r="AL446" s="407">
        <v>0</v>
      </c>
      <c r="AM446" s="407"/>
      <c r="AN446" s="407">
        <v>-0.14318159919300683</v>
      </c>
      <c r="AO446" s="407">
        <v>0</v>
      </c>
      <c r="AP446" s="407">
        <v>0</v>
      </c>
      <c r="AQ446" s="407">
        <v>0</v>
      </c>
      <c r="AR446" s="407">
        <v>0</v>
      </c>
      <c r="AS446" s="407">
        <v>0</v>
      </c>
      <c r="AT446" s="407">
        <v>0</v>
      </c>
      <c r="AU446" s="407">
        <v>0</v>
      </c>
      <c r="AV446" s="407">
        <v>0</v>
      </c>
      <c r="AW446" s="407">
        <v>0</v>
      </c>
      <c r="AX446" s="407">
        <v>0</v>
      </c>
      <c r="AY446" s="407">
        <v>0</v>
      </c>
      <c r="AZ446" s="407">
        <v>0</v>
      </c>
      <c r="BA446" s="407"/>
      <c r="BB446" s="407">
        <v>0</v>
      </c>
      <c r="BC446" s="407">
        <v>0</v>
      </c>
      <c r="BD446" s="407">
        <v>0</v>
      </c>
      <c r="BE446" s="407">
        <v>0</v>
      </c>
      <c r="BF446" s="407">
        <v>0</v>
      </c>
      <c r="BG446" s="407">
        <v>-0.77789032985817574</v>
      </c>
      <c r="BH446" s="407">
        <v>0</v>
      </c>
      <c r="BI446" s="407">
        <v>-0.01</v>
      </c>
      <c r="BJ446" s="407">
        <v>-0.05</v>
      </c>
      <c r="BK446" s="407">
        <v>-5.09</v>
      </c>
      <c r="BL446" s="407">
        <v>0</v>
      </c>
      <c r="BM446" s="407"/>
      <c r="BN446" s="407"/>
      <c r="BO446" s="407"/>
      <c r="BP446" s="407"/>
      <c r="BQ446" s="407"/>
      <c r="BR446" s="407"/>
      <c r="BS446" s="407"/>
      <c r="BT446" s="407">
        <v>-14.291970000000001</v>
      </c>
      <c r="BU446" s="407"/>
      <c r="BV446" s="407">
        <v>-11.419809783062696</v>
      </c>
      <c r="BW446" s="407"/>
      <c r="BX446" s="407"/>
      <c r="BY446" s="407"/>
      <c r="BZ446" s="407"/>
      <c r="CA446" s="407"/>
      <c r="CB446" s="407"/>
      <c r="CC446" s="407"/>
      <c r="CD446" s="407"/>
      <c r="CE446" s="407"/>
      <c r="CF446" s="407"/>
      <c r="CG446" s="407"/>
      <c r="CH446" s="407"/>
      <c r="CI446" s="407">
        <v>-21.748300000000004</v>
      </c>
      <c r="CJ446" s="407">
        <v>7.4894299999999916</v>
      </c>
      <c r="CK446" s="407"/>
      <c r="CL446" s="407"/>
      <c r="CM446" s="407"/>
      <c r="CN446" s="407"/>
      <c r="CO446" s="407">
        <v>14.945399999999999</v>
      </c>
      <c r="CP446" s="407">
        <v>-1.8954300000000002</v>
      </c>
      <c r="CQ446" s="407">
        <v>29</v>
      </c>
      <c r="CR446" s="407">
        <v>-1.6662702124029103</v>
      </c>
      <c r="CS446" s="407">
        <v>0</v>
      </c>
      <c r="CT446" s="407">
        <v>0</v>
      </c>
      <c r="CU446" s="407">
        <v>0</v>
      </c>
      <c r="CV446" s="407">
        <v>0</v>
      </c>
      <c r="CW446" s="407">
        <v>0</v>
      </c>
      <c r="CX446" s="407">
        <v>0</v>
      </c>
      <c r="CY446" s="407">
        <v>0</v>
      </c>
      <c r="CZ446" s="407">
        <v>-0.36356514108543969</v>
      </c>
      <c r="DA446" s="407">
        <v>0</v>
      </c>
      <c r="DB446" s="407">
        <v>0</v>
      </c>
      <c r="DC446" s="407">
        <v>-2.1100052441937169</v>
      </c>
      <c r="DD446" s="407">
        <v>0</v>
      </c>
      <c r="DE446" s="407">
        <v>0</v>
      </c>
      <c r="DF446" s="407">
        <v>0</v>
      </c>
      <c r="DG446" s="407">
        <v>-0.15423464560372058</v>
      </c>
      <c r="DH446" s="407">
        <v>0</v>
      </c>
      <c r="DI446" s="407">
        <v>0</v>
      </c>
      <c r="DJ446" s="407"/>
      <c r="DK446" s="407">
        <v>0</v>
      </c>
      <c r="DL446" s="407">
        <v>0</v>
      </c>
      <c r="DM446" s="407">
        <v>0</v>
      </c>
      <c r="DN446" s="407">
        <v>0</v>
      </c>
      <c r="DO446" s="407">
        <v>0</v>
      </c>
      <c r="DP446" s="407">
        <v>9.1231858311375258E-3</v>
      </c>
      <c r="DQ446" s="407">
        <v>0</v>
      </c>
      <c r="DR446" s="407">
        <v>0.95241163264882756</v>
      </c>
      <c r="DS446" s="407"/>
      <c r="DT446" s="407"/>
      <c r="DU446" s="407"/>
      <c r="DV446" s="407">
        <v>-28.810673364308318</v>
      </c>
      <c r="DW446" s="407">
        <v>0</v>
      </c>
      <c r="DX446" s="407">
        <v>0</v>
      </c>
      <c r="DY446" s="407">
        <v>14.945399999999996</v>
      </c>
      <c r="DZ446" s="407">
        <v>-1.8954300000000011</v>
      </c>
      <c r="EA446" s="407">
        <v>0</v>
      </c>
      <c r="EB446" s="407">
        <v>0</v>
      </c>
      <c r="EC446" s="407">
        <v>14.716558870831523</v>
      </c>
      <c r="ED446" s="407">
        <v>0</v>
      </c>
      <c r="EE446" s="407">
        <v>0</v>
      </c>
      <c r="EF446" s="407">
        <v>0</v>
      </c>
      <c r="EG446" s="407">
        <v>0</v>
      </c>
      <c r="EH446" s="407">
        <v>0</v>
      </c>
      <c r="EI446" s="407">
        <v>0</v>
      </c>
      <c r="EJ446" s="407">
        <v>0</v>
      </c>
      <c r="EK446" s="407">
        <v>0</v>
      </c>
      <c r="EL446" s="407">
        <v>0</v>
      </c>
      <c r="EM446" s="407">
        <v>0</v>
      </c>
      <c r="EN446" s="407">
        <v>0</v>
      </c>
      <c r="EO446" s="407">
        <v>0</v>
      </c>
      <c r="EP446" s="407">
        <v>0</v>
      </c>
      <c r="EQ446" s="407">
        <v>0</v>
      </c>
      <c r="ER446" s="407">
        <v>0</v>
      </c>
      <c r="ES446" s="407">
        <v>0</v>
      </c>
      <c r="ET446" s="407">
        <v>0</v>
      </c>
      <c r="EU446" s="407">
        <v>0</v>
      </c>
      <c r="EV446" s="407">
        <v>246</v>
      </c>
      <c r="EW446" s="407">
        <v>0</v>
      </c>
      <c r="EX446" s="407">
        <v>0</v>
      </c>
      <c r="EY446" s="407">
        <v>0</v>
      </c>
      <c r="EZ446" s="407"/>
      <c r="FA446" s="407">
        <v>0</v>
      </c>
      <c r="FB446" s="407"/>
      <c r="FC446" s="407"/>
      <c r="FD446" s="407"/>
      <c r="FE446" s="407"/>
      <c r="FF446" s="407">
        <v>0</v>
      </c>
      <c r="FG446" s="407">
        <v>0</v>
      </c>
      <c r="FH446" s="407">
        <v>0</v>
      </c>
      <c r="FI446" s="407">
        <v>0</v>
      </c>
    </row>
    <row r="447" spans="1:165">
      <c r="A447" s="407">
        <v>465</v>
      </c>
      <c r="B447" s="407" t="s">
        <v>2309</v>
      </c>
      <c r="C447" s="407" t="s">
        <v>2306</v>
      </c>
      <c r="D447" s="407" t="s">
        <v>1218</v>
      </c>
      <c r="E447" s="407" t="s">
        <v>1021</v>
      </c>
      <c r="F447" s="407" t="s">
        <v>2311</v>
      </c>
      <c r="G447" s="407" t="s">
        <v>97</v>
      </c>
      <c r="H447" s="407" t="s">
        <v>97</v>
      </c>
      <c r="I447" s="407" t="s">
        <v>97</v>
      </c>
      <c r="J447" s="407" t="s">
        <v>2307</v>
      </c>
      <c r="K447" s="818">
        <v>44593</v>
      </c>
      <c r="L447" s="407">
        <v>0</v>
      </c>
      <c r="M447" s="407">
        <v>0</v>
      </c>
      <c r="N447" s="407">
        <v>7.0000000000000007E-2</v>
      </c>
      <c r="O447" s="407">
        <v>7.0000000000000007E-2</v>
      </c>
      <c r="P447" s="407">
        <v>7.0000000000000007E-2</v>
      </c>
      <c r="Q447" s="407">
        <v>7.0000000000000007E-2</v>
      </c>
      <c r="R447" s="407"/>
      <c r="S447" s="407">
        <v>547.54</v>
      </c>
      <c r="T447" s="407">
        <v>159.41</v>
      </c>
      <c r="U447" s="407"/>
      <c r="V447" s="407">
        <v>49.486500000000007</v>
      </c>
      <c r="W447" s="407">
        <v>49.486500000000007</v>
      </c>
      <c r="X447" s="407">
        <v>36.247399999999999</v>
      </c>
      <c r="Y447" s="407">
        <v>0</v>
      </c>
      <c r="Z447" s="407">
        <v>0</v>
      </c>
      <c r="AA447" s="407">
        <v>0</v>
      </c>
      <c r="AB447" s="407">
        <v>0</v>
      </c>
      <c r="AC447" s="407">
        <v>0</v>
      </c>
      <c r="AD447" s="407">
        <v>8.1651098348341211</v>
      </c>
      <c r="AE447" s="407">
        <v>29.228219355095394</v>
      </c>
      <c r="AF447" s="407">
        <v>10.796150169917631</v>
      </c>
      <c r="AG447" s="407">
        <v>0.36272230666774974</v>
      </c>
      <c r="AH447" s="407">
        <v>0</v>
      </c>
      <c r="AI447" s="407">
        <v>0</v>
      </c>
      <c r="AJ447" s="407">
        <v>0</v>
      </c>
      <c r="AK447" s="407">
        <v>0</v>
      </c>
      <c r="AL447" s="407">
        <v>0</v>
      </c>
      <c r="AM447" s="407"/>
      <c r="AN447" s="407">
        <v>0.14525669483348519</v>
      </c>
      <c r="AO447" s="407">
        <v>0</v>
      </c>
      <c r="AP447" s="407">
        <v>0</v>
      </c>
      <c r="AQ447" s="407">
        <v>0</v>
      </c>
      <c r="AR447" s="407">
        <v>0</v>
      </c>
      <c r="AS447" s="407">
        <v>0</v>
      </c>
      <c r="AT447" s="407">
        <v>0</v>
      </c>
      <c r="AU447" s="407">
        <v>0</v>
      </c>
      <c r="AV447" s="407">
        <v>0</v>
      </c>
      <c r="AW447" s="407">
        <v>0</v>
      </c>
      <c r="AX447" s="407">
        <v>0</v>
      </c>
      <c r="AY447" s="407">
        <v>0</v>
      </c>
      <c r="AZ447" s="407">
        <v>0</v>
      </c>
      <c r="BA447" s="407"/>
      <c r="BB447" s="407">
        <v>0</v>
      </c>
      <c r="BC447" s="407">
        <v>0</v>
      </c>
      <c r="BD447" s="407">
        <v>0</v>
      </c>
      <c r="BE447" s="407">
        <v>0</v>
      </c>
      <c r="BF447" s="407">
        <v>0</v>
      </c>
      <c r="BG447" s="407">
        <v>0.78916410275467108</v>
      </c>
      <c r="BH447" s="407">
        <v>0</v>
      </c>
      <c r="BI447" s="407">
        <v>0.03</v>
      </c>
      <c r="BJ447" s="407">
        <v>0.16</v>
      </c>
      <c r="BK447" s="407">
        <v>16.57</v>
      </c>
      <c r="BL447" s="407">
        <v>0</v>
      </c>
      <c r="BM447" s="407"/>
      <c r="BN447" s="407"/>
      <c r="BO447" s="407"/>
      <c r="BP447" s="407"/>
      <c r="BQ447" s="407"/>
      <c r="BR447" s="407"/>
      <c r="BS447" s="407"/>
      <c r="BT447" s="407">
        <v>14.499100000000002</v>
      </c>
      <c r="BU447" s="407"/>
      <c r="BV447" s="407">
        <v>11.585314272672303</v>
      </c>
      <c r="BW447" s="407"/>
      <c r="BX447" s="407"/>
      <c r="BY447" s="407"/>
      <c r="BZ447" s="407"/>
      <c r="CA447" s="407"/>
      <c r="CB447" s="407"/>
      <c r="CC447" s="407"/>
      <c r="CD447" s="407"/>
      <c r="CE447" s="407"/>
      <c r="CF447" s="407"/>
      <c r="CG447" s="407"/>
      <c r="CH447" s="407"/>
      <c r="CI447" s="407">
        <v>21.748300000000004</v>
      </c>
      <c r="CJ447" s="407">
        <v>-7.9736000000000047</v>
      </c>
      <c r="CK447" s="407"/>
      <c r="CL447" s="407"/>
      <c r="CM447" s="407"/>
      <c r="CN447" s="407"/>
      <c r="CO447" s="407">
        <v>-15.161999999999999</v>
      </c>
      <c r="CP447" s="407">
        <v>1.9229000000000001</v>
      </c>
      <c r="CQ447" s="407">
        <v>29</v>
      </c>
      <c r="CR447" s="407">
        <v>1.6904190560609216</v>
      </c>
      <c r="CS447" s="407">
        <v>0</v>
      </c>
      <c r="CT447" s="407">
        <v>0</v>
      </c>
      <c r="CU447" s="407">
        <v>0</v>
      </c>
      <c r="CV447" s="407">
        <v>0</v>
      </c>
      <c r="CW447" s="407">
        <v>0</v>
      </c>
      <c r="CX447" s="407">
        <v>0</v>
      </c>
      <c r="CY447" s="407">
        <v>0</v>
      </c>
      <c r="CZ447" s="407">
        <v>0.36883420110116916</v>
      </c>
      <c r="DA447" s="407">
        <v>0</v>
      </c>
      <c r="DB447" s="407">
        <v>0</v>
      </c>
      <c r="DC447" s="407">
        <v>2.14058503034145</v>
      </c>
      <c r="DD447" s="407">
        <v>0</v>
      </c>
      <c r="DE447" s="407">
        <v>0</v>
      </c>
      <c r="DF447" s="407">
        <v>0</v>
      </c>
      <c r="DG447" s="407">
        <v>0.15646993032261503</v>
      </c>
      <c r="DH447" s="407">
        <v>0</v>
      </c>
      <c r="DI447" s="407">
        <v>0</v>
      </c>
      <c r="DJ447" s="407"/>
      <c r="DK447" s="407">
        <v>0</v>
      </c>
      <c r="DL447" s="407">
        <v>0</v>
      </c>
      <c r="DM447" s="407">
        <v>0</v>
      </c>
      <c r="DN447" s="407">
        <v>0</v>
      </c>
      <c r="DO447" s="407">
        <v>0</v>
      </c>
      <c r="DP447" s="407">
        <v>-9.255405915646775E-3</v>
      </c>
      <c r="DQ447" s="407">
        <v>0</v>
      </c>
      <c r="DR447" s="407">
        <v>-0.9662146997886657</v>
      </c>
      <c r="DS447" s="407"/>
      <c r="DT447" s="407"/>
      <c r="DU447" s="407"/>
      <c r="DV447" s="407">
        <v>29.228219355095394</v>
      </c>
      <c r="DW447" s="407">
        <v>0</v>
      </c>
      <c r="DX447" s="407">
        <v>0</v>
      </c>
      <c r="DY447" s="407">
        <v>-15.162000000000003</v>
      </c>
      <c r="DZ447" s="407">
        <v>1.9229000000000003</v>
      </c>
      <c r="EA447" s="407">
        <v>0</v>
      </c>
      <c r="EB447" s="407">
        <v>0</v>
      </c>
      <c r="EC447" s="407">
        <v>-14.929842332727631</v>
      </c>
      <c r="ED447" s="407">
        <v>0</v>
      </c>
      <c r="EE447" s="407">
        <v>0</v>
      </c>
      <c r="EF447" s="407">
        <v>0</v>
      </c>
      <c r="EG447" s="407">
        <v>0</v>
      </c>
      <c r="EH447" s="407">
        <v>0</v>
      </c>
      <c r="EI447" s="407">
        <v>0</v>
      </c>
      <c r="EJ447" s="407">
        <v>0</v>
      </c>
      <c r="EK447" s="407">
        <v>0</v>
      </c>
      <c r="EL447" s="407">
        <v>0</v>
      </c>
      <c r="EM447" s="407">
        <v>0</v>
      </c>
      <c r="EN447" s="407">
        <v>0</v>
      </c>
      <c r="EO447" s="407">
        <v>0</v>
      </c>
      <c r="EP447" s="407">
        <v>0</v>
      </c>
      <c r="EQ447" s="407">
        <v>0</v>
      </c>
      <c r="ER447" s="407">
        <v>0</v>
      </c>
      <c r="ES447" s="407">
        <v>0</v>
      </c>
      <c r="ET447" s="407">
        <v>0</v>
      </c>
      <c r="EU447" s="407">
        <v>0</v>
      </c>
      <c r="EV447" s="407">
        <v>246</v>
      </c>
      <c r="EW447" s="407">
        <v>0</v>
      </c>
      <c r="EX447" s="407">
        <v>0</v>
      </c>
      <c r="EY447" s="407">
        <v>0</v>
      </c>
      <c r="EZ447" s="407"/>
      <c r="FA447" s="407">
        <v>0</v>
      </c>
      <c r="FB447" s="407"/>
      <c r="FC447" s="407"/>
      <c r="FD447" s="407"/>
      <c r="FE447" s="407"/>
      <c r="FF447" s="407">
        <v>0</v>
      </c>
      <c r="FG447" s="407">
        <v>0</v>
      </c>
      <c r="FH447" s="407">
        <v>0</v>
      </c>
      <c r="FI447" s="407">
        <v>0</v>
      </c>
    </row>
    <row r="448" spans="1:165">
      <c r="A448" s="407">
        <v>466</v>
      </c>
      <c r="B448" s="407" t="s">
        <v>1090</v>
      </c>
      <c r="C448" s="407" t="s">
        <v>2306</v>
      </c>
      <c r="D448" s="407" t="s">
        <v>1218</v>
      </c>
      <c r="E448" s="407" t="s">
        <v>1021</v>
      </c>
      <c r="F448" s="407" t="s">
        <v>2312</v>
      </c>
      <c r="G448" s="407" t="s">
        <v>97</v>
      </c>
      <c r="H448" s="407" t="s">
        <v>97</v>
      </c>
      <c r="I448" s="407" t="s">
        <v>97</v>
      </c>
      <c r="J448" s="407" t="s">
        <v>2307</v>
      </c>
      <c r="K448" s="818">
        <v>44593</v>
      </c>
      <c r="L448" s="407">
        <v>0</v>
      </c>
      <c r="M448" s="407">
        <v>0</v>
      </c>
      <c r="N448" s="407">
        <v>77.433999999999997</v>
      </c>
      <c r="O448" s="407">
        <v>77.433999999999997</v>
      </c>
      <c r="P448" s="407">
        <v>77.433999999999997</v>
      </c>
      <c r="Q448" s="407">
        <v>77.433999999999997</v>
      </c>
      <c r="R448" s="407"/>
      <c r="S448" s="407">
        <v>547.54</v>
      </c>
      <c r="T448" s="407">
        <v>159.41</v>
      </c>
      <c r="U448" s="407"/>
      <c r="V448" s="407">
        <v>54741.9663</v>
      </c>
      <c r="W448" s="407">
        <v>54741.9663</v>
      </c>
      <c r="X448" s="407">
        <v>40096.873879999999</v>
      </c>
      <c r="Y448" s="407">
        <v>0</v>
      </c>
      <c r="Z448" s="407">
        <v>0</v>
      </c>
      <c r="AA448" s="407">
        <v>0</v>
      </c>
      <c r="AB448" s="407">
        <v>0</v>
      </c>
      <c r="AC448" s="407">
        <v>0</v>
      </c>
      <c r="AD448" s="407">
        <v>9032.2444992935034</v>
      </c>
      <c r="AE448" s="407">
        <v>32332.256250606522</v>
      </c>
      <c r="AF448" s="407">
        <v>11942.701317962881</v>
      </c>
      <c r="AG448" s="407">
        <v>401.24341563586472</v>
      </c>
      <c r="AH448" s="407">
        <v>0</v>
      </c>
      <c r="AI448" s="407">
        <v>0</v>
      </c>
      <c r="AJ448" s="407">
        <v>0</v>
      </c>
      <c r="AK448" s="407">
        <v>0</v>
      </c>
      <c r="AL448" s="407">
        <v>0</v>
      </c>
      <c r="AM448" s="407"/>
      <c r="AN448" s="407">
        <v>160.6829558248013</v>
      </c>
      <c r="AO448" s="407">
        <v>0</v>
      </c>
      <c r="AP448" s="407">
        <v>0</v>
      </c>
      <c r="AQ448" s="407">
        <v>0</v>
      </c>
      <c r="AR448" s="407">
        <v>0</v>
      </c>
      <c r="AS448" s="407">
        <v>0</v>
      </c>
      <c r="AT448" s="407">
        <v>0</v>
      </c>
      <c r="AU448" s="407">
        <v>0</v>
      </c>
      <c r="AV448" s="407">
        <v>0</v>
      </c>
      <c r="AW448" s="407">
        <v>0</v>
      </c>
      <c r="AX448" s="407">
        <v>0</v>
      </c>
      <c r="AY448" s="407">
        <v>0</v>
      </c>
      <c r="AZ448" s="407">
        <v>0</v>
      </c>
      <c r="BA448" s="407"/>
      <c r="BB448" s="407">
        <v>0</v>
      </c>
      <c r="BC448" s="407">
        <v>0</v>
      </c>
      <c r="BD448" s="407">
        <v>0</v>
      </c>
      <c r="BE448" s="407">
        <v>0</v>
      </c>
      <c r="BF448" s="407">
        <v>0</v>
      </c>
      <c r="BG448" s="407">
        <v>872.97333046721701</v>
      </c>
      <c r="BH448" s="407">
        <v>0</v>
      </c>
      <c r="BI448" s="407">
        <v>55.38</v>
      </c>
      <c r="BJ448" s="407">
        <v>253.1</v>
      </c>
      <c r="BK448" s="407">
        <v>12127.98</v>
      </c>
      <c r="BL448" s="407">
        <v>676</v>
      </c>
      <c r="BM448" s="407"/>
      <c r="BN448" s="407"/>
      <c r="BO448" s="407"/>
      <c r="BP448" s="407"/>
      <c r="BQ448" s="407"/>
      <c r="BR448" s="407"/>
      <c r="BS448" s="407"/>
      <c r="BT448" s="407">
        <v>4010.3068600000015</v>
      </c>
      <c r="BU448" s="407"/>
      <c r="BV448" s="407">
        <v>12815.674648430098</v>
      </c>
      <c r="BW448" s="407"/>
      <c r="BX448" s="407"/>
      <c r="BY448" s="407"/>
      <c r="BZ448" s="407"/>
      <c r="CA448" s="407"/>
      <c r="CB448" s="407"/>
      <c r="CC448" s="407"/>
      <c r="CD448" s="407"/>
      <c r="CE448" s="407"/>
      <c r="CF448" s="407"/>
      <c r="CG448" s="407"/>
      <c r="CH448" s="407"/>
      <c r="CI448" s="407">
        <v>36084.702900000004</v>
      </c>
      <c r="CJ448" s="407">
        <v>-13183.483939999998</v>
      </c>
      <c r="CK448" s="407"/>
      <c r="CL448" s="407"/>
      <c r="CM448" s="407"/>
      <c r="CN448" s="407"/>
      <c r="CO448" s="407">
        <v>-16772.204399999995</v>
      </c>
      <c r="CP448" s="407">
        <v>2127.1119799999997</v>
      </c>
      <c r="CQ448" s="407">
        <v>29</v>
      </c>
      <c r="CR448" s="407">
        <v>1869.9415598145897</v>
      </c>
      <c r="CS448" s="407">
        <v>0</v>
      </c>
      <c r="CT448" s="407">
        <v>0</v>
      </c>
      <c r="CU448" s="407">
        <v>0</v>
      </c>
      <c r="CV448" s="407">
        <v>0</v>
      </c>
      <c r="CW448" s="407">
        <v>0</v>
      </c>
      <c r="CX448" s="407">
        <v>0</v>
      </c>
      <c r="CY448" s="407">
        <v>0</v>
      </c>
      <c r="CZ448" s="407">
        <v>408.00439325811385</v>
      </c>
      <c r="DA448" s="407">
        <v>0</v>
      </c>
      <c r="DB448" s="407">
        <v>0</v>
      </c>
      <c r="DC448" s="407">
        <v>2367.9151605637126</v>
      </c>
      <c r="DD448" s="407">
        <v>0</v>
      </c>
      <c r="DE448" s="407">
        <v>0</v>
      </c>
      <c r="DF448" s="407">
        <v>0</v>
      </c>
      <c r="DG448" s="407">
        <v>173.08703692287668</v>
      </c>
      <c r="DH448" s="407">
        <v>0</v>
      </c>
      <c r="DI448" s="407">
        <v>0</v>
      </c>
      <c r="DJ448" s="407"/>
      <c r="DK448" s="407">
        <v>0</v>
      </c>
      <c r="DL448" s="407">
        <v>0</v>
      </c>
      <c r="DM448" s="407">
        <v>0</v>
      </c>
      <c r="DN448" s="407">
        <v>0</v>
      </c>
      <c r="DO448" s="407">
        <v>0</v>
      </c>
      <c r="DP448" s="407">
        <v>-10.238330023888466</v>
      </c>
      <c r="DQ448" s="407">
        <v>0</v>
      </c>
      <c r="DR448" s="407">
        <v>-1068.8267009062217</v>
      </c>
      <c r="DS448" s="407"/>
      <c r="DT448" s="407"/>
      <c r="DU448" s="407"/>
      <c r="DV448" s="407">
        <v>32332.256250606522</v>
      </c>
      <c r="DW448" s="407">
        <v>0</v>
      </c>
      <c r="DX448" s="407">
        <v>0</v>
      </c>
      <c r="DY448" s="407">
        <v>-16772.204399999999</v>
      </c>
      <c r="DZ448" s="407">
        <v>2127.1119799999997</v>
      </c>
      <c r="EA448" s="407">
        <v>0</v>
      </c>
      <c r="EB448" s="407">
        <v>0</v>
      </c>
      <c r="EC448" s="407">
        <v>-16515.391588463306</v>
      </c>
      <c r="ED448" s="407">
        <v>0</v>
      </c>
      <c r="EE448" s="407">
        <v>0</v>
      </c>
      <c r="EF448" s="407">
        <v>0</v>
      </c>
      <c r="EG448" s="407">
        <v>0</v>
      </c>
      <c r="EH448" s="407">
        <v>0</v>
      </c>
      <c r="EI448" s="407">
        <v>0</v>
      </c>
      <c r="EJ448" s="407">
        <v>0</v>
      </c>
      <c r="EK448" s="407">
        <v>0</v>
      </c>
      <c r="EL448" s="407">
        <v>0</v>
      </c>
      <c r="EM448" s="407">
        <v>0</v>
      </c>
      <c r="EN448" s="407">
        <v>0</v>
      </c>
      <c r="EO448" s="407">
        <v>0</v>
      </c>
      <c r="EP448" s="407">
        <v>0</v>
      </c>
      <c r="EQ448" s="407">
        <v>0</v>
      </c>
      <c r="ER448" s="407">
        <v>0</v>
      </c>
      <c r="ES448" s="407">
        <v>0</v>
      </c>
      <c r="ET448" s="407">
        <v>0</v>
      </c>
      <c r="EU448" s="407">
        <v>0</v>
      </c>
      <c r="EV448" s="407">
        <v>246</v>
      </c>
      <c r="EW448" s="407">
        <v>0</v>
      </c>
      <c r="EX448" s="407">
        <v>0</v>
      </c>
      <c r="EY448" s="407">
        <v>0</v>
      </c>
      <c r="EZ448" s="407"/>
      <c r="FA448" s="407">
        <v>0</v>
      </c>
      <c r="FB448" s="407"/>
      <c r="FC448" s="407"/>
      <c r="FD448" s="407"/>
      <c r="FE448" s="407"/>
      <c r="FF448" s="407">
        <v>0</v>
      </c>
      <c r="FG448" s="407">
        <v>0</v>
      </c>
      <c r="FH448" s="407">
        <v>0</v>
      </c>
      <c r="FI448" s="407">
        <v>0</v>
      </c>
    </row>
    <row r="449" spans="1:165">
      <c r="A449" s="407">
        <v>467</v>
      </c>
      <c r="B449" s="407" t="s">
        <v>2309</v>
      </c>
      <c r="C449" s="407" t="s">
        <v>2306</v>
      </c>
      <c r="D449" s="407" t="s">
        <v>1218</v>
      </c>
      <c r="E449" s="407" t="s">
        <v>1021</v>
      </c>
      <c r="F449" s="407" t="s">
        <v>2312</v>
      </c>
      <c r="G449" s="407" t="s">
        <v>97</v>
      </c>
      <c r="H449" s="407" t="s">
        <v>97</v>
      </c>
      <c r="I449" s="407" t="s">
        <v>97</v>
      </c>
      <c r="J449" s="407" t="s">
        <v>2307</v>
      </c>
      <c r="K449" s="818">
        <v>44593</v>
      </c>
      <c r="L449" s="407">
        <v>0</v>
      </c>
      <c r="M449" s="407">
        <v>0</v>
      </c>
      <c r="N449" s="407">
        <v>1E-3</v>
      </c>
      <c r="O449" s="407">
        <v>1E-3</v>
      </c>
      <c r="P449" s="407">
        <v>1E-3</v>
      </c>
      <c r="Q449" s="407">
        <v>1E-3</v>
      </c>
      <c r="R449" s="407"/>
      <c r="S449" s="407">
        <v>547.54</v>
      </c>
      <c r="T449" s="407">
        <v>159.41</v>
      </c>
      <c r="U449" s="407"/>
      <c r="V449" s="407">
        <v>0.70694999999999997</v>
      </c>
      <c r="W449" s="407">
        <v>0.70694999999999997</v>
      </c>
      <c r="X449" s="407">
        <v>0.51781999999999995</v>
      </c>
      <c r="Y449" s="407">
        <v>0</v>
      </c>
      <c r="Z449" s="407">
        <v>0</v>
      </c>
      <c r="AA449" s="407">
        <v>0</v>
      </c>
      <c r="AB449" s="407">
        <v>0</v>
      </c>
      <c r="AC449" s="407">
        <v>0</v>
      </c>
      <c r="AD449" s="407">
        <v>0.11664442621191601</v>
      </c>
      <c r="AE449" s="407">
        <v>0.41754599078707705</v>
      </c>
      <c r="AF449" s="407">
        <v>0.15423071671310901</v>
      </c>
      <c r="AG449" s="407">
        <v>5.1817472381107104E-3</v>
      </c>
      <c r="AH449" s="407">
        <v>0</v>
      </c>
      <c r="AI449" s="407">
        <v>0</v>
      </c>
      <c r="AJ449" s="407">
        <v>0</v>
      </c>
      <c r="AK449" s="407">
        <v>0</v>
      </c>
      <c r="AL449" s="407">
        <v>0</v>
      </c>
      <c r="AM449" s="407"/>
      <c r="AN449" s="407">
        <v>2.0750956404783599E-3</v>
      </c>
      <c r="AO449" s="407">
        <v>0</v>
      </c>
      <c r="AP449" s="407">
        <v>0</v>
      </c>
      <c r="AQ449" s="407">
        <v>0</v>
      </c>
      <c r="AR449" s="407">
        <v>0</v>
      </c>
      <c r="AS449" s="407">
        <v>0</v>
      </c>
      <c r="AT449" s="407">
        <v>0</v>
      </c>
      <c r="AU449" s="407">
        <v>0</v>
      </c>
      <c r="AV449" s="407">
        <v>0</v>
      </c>
      <c r="AW449" s="407">
        <v>0</v>
      </c>
      <c r="AX449" s="407">
        <v>0</v>
      </c>
      <c r="AY449" s="407">
        <v>0</v>
      </c>
      <c r="AZ449" s="407">
        <v>0</v>
      </c>
      <c r="BA449" s="407"/>
      <c r="BB449" s="407">
        <v>0</v>
      </c>
      <c r="BC449" s="407">
        <v>0</v>
      </c>
      <c r="BD449" s="407">
        <v>0</v>
      </c>
      <c r="BE449" s="407">
        <v>0</v>
      </c>
      <c r="BF449" s="407">
        <v>0</v>
      </c>
      <c r="BG449" s="407">
        <v>1.1273772896495301E-2</v>
      </c>
      <c r="BH449" s="407">
        <v>0</v>
      </c>
      <c r="BI449" s="407">
        <v>0</v>
      </c>
      <c r="BJ449" s="407">
        <v>0</v>
      </c>
      <c r="BK449" s="407">
        <v>35.78</v>
      </c>
      <c r="BL449" s="407">
        <v>0</v>
      </c>
      <c r="BM449" s="407"/>
      <c r="BN449" s="407"/>
      <c r="BO449" s="407"/>
      <c r="BP449" s="407"/>
      <c r="BQ449" s="407"/>
      <c r="BR449" s="407"/>
      <c r="BS449" s="407"/>
      <c r="BT449" s="407">
        <v>5.1790000000000024E-2</v>
      </c>
      <c r="BU449" s="407"/>
      <c r="BV449" s="407">
        <v>0.16550448960960432</v>
      </c>
      <c r="BW449" s="407"/>
      <c r="BX449" s="407"/>
      <c r="BY449" s="407"/>
      <c r="BZ449" s="407"/>
      <c r="CA449" s="407"/>
      <c r="CB449" s="407"/>
      <c r="CC449" s="407"/>
      <c r="CD449" s="407"/>
      <c r="CE449" s="407"/>
      <c r="CF449" s="407"/>
      <c r="CG449" s="407"/>
      <c r="CH449" s="407"/>
      <c r="CI449" s="407">
        <v>0</v>
      </c>
      <c r="CJ449" s="407">
        <v>-0.66625999999999996</v>
      </c>
      <c r="CK449" s="407"/>
      <c r="CL449" s="407"/>
      <c r="CM449" s="407"/>
      <c r="CN449" s="407"/>
      <c r="CO449" s="407">
        <v>-0.21659999999999996</v>
      </c>
      <c r="CP449" s="407">
        <v>2.7469999999999998E-2</v>
      </c>
      <c r="CQ449" s="407">
        <v>29</v>
      </c>
      <c r="CR449" s="407">
        <v>2.4148843658013064E-2</v>
      </c>
      <c r="CS449" s="407">
        <v>0</v>
      </c>
      <c r="CT449" s="407">
        <v>0</v>
      </c>
      <c r="CU449" s="407">
        <v>0</v>
      </c>
      <c r="CV449" s="407">
        <v>0</v>
      </c>
      <c r="CW449" s="407">
        <v>0</v>
      </c>
      <c r="CX449" s="407">
        <v>0</v>
      </c>
      <c r="CY449" s="407">
        <v>0</v>
      </c>
      <c r="CZ449" s="407">
        <v>5.2690600157309919E-3</v>
      </c>
      <c r="DA449" s="407">
        <v>0</v>
      </c>
      <c r="DB449" s="407">
        <v>0</v>
      </c>
      <c r="DC449" s="407">
        <v>3.0579786147734989E-2</v>
      </c>
      <c r="DD449" s="407">
        <v>0</v>
      </c>
      <c r="DE449" s="407">
        <v>0</v>
      </c>
      <c r="DF449" s="407">
        <v>0</v>
      </c>
      <c r="DG449" s="407">
        <v>2.2352847188944983E-3</v>
      </c>
      <c r="DH449" s="407">
        <v>0</v>
      </c>
      <c r="DI449" s="407">
        <v>0</v>
      </c>
      <c r="DJ449" s="407"/>
      <c r="DK449" s="407">
        <v>0</v>
      </c>
      <c r="DL449" s="407">
        <v>0</v>
      </c>
      <c r="DM449" s="407">
        <v>0</v>
      </c>
      <c r="DN449" s="407">
        <v>0</v>
      </c>
      <c r="DO449" s="407">
        <v>0</v>
      </c>
      <c r="DP449" s="407">
        <v>-1.3222008450923983E-4</v>
      </c>
      <c r="DQ449" s="407">
        <v>0</v>
      </c>
      <c r="DR449" s="407">
        <v>-1.3803067139838081E-2</v>
      </c>
      <c r="DS449" s="407"/>
      <c r="DT449" s="407"/>
      <c r="DU449" s="407"/>
      <c r="DV449" s="407">
        <v>0.41754599078707705</v>
      </c>
      <c r="DW449" s="407">
        <v>0</v>
      </c>
      <c r="DX449" s="407">
        <v>0</v>
      </c>
      <c r="DY449" s="407">
        <v>-0.21660000000000001</v>
      </c>
      <c r="DZ449" s="407">
        <v>2.7469999999999994E-2</v>
      </c>
      <c r="EA449" s="407">
        <v>0</v>
      </c>
      <c r="EB449" s="407">
        <v>0</v>
      </c>
      <c r="EC449" s="407">
        <v>-0.21328346189610903</v>
      </c>
      <c r="ED449" s="407">
        <v>0</v>
      </c>
      <c r="EE449" s="407">
        <v>0</v>
      </c>
      <c r="EF449" s="407">
        <v>0</v>
      </c>
      <c r="EG449" s="407">
        <v>0</v>
      </c>
      <c r="EH449" s="407">
        <v>0</v>
      </c>
      <c r="EI449" s="407">
        <v>0</v>
      </c>
      <c r="EJ449" s="407">
        <v>0</v>
      </c>
      <c r="EK449" s="407">
        <v>0</v>
      </c>
      <c r="EL449" s="407">
        <v>0</v>
      </c>
      <c r="EM449" s="407">
        <v>0</v>
      </c>
      <c r="EN449" s="407">
        <v>0</v>
      </c>
      <c r="EO449" s="407">
        <v>0</v>
      </c>
      <c r="EP449" s="407">
        <v>0</v>
      </c>
      <c r="EQ449" s="407">
        <v>0</v>
      </c>
      <c r="ER449" s="407">
        <v>0</v>
      </c>
      <c r="ES449" s="407">
        <v>0</v>
      </c>
      <c r="ET449" s="407">
        <v>0</v>
      </c>
      <c r="EU449" s="407">
        <v>0</v>
      </c>
      <c r="EV449" s="407">
        <v>246</v>
      </c>
      <c r="EW449" s="407">
        <v>0</v>
      </c>
      <c r="EX449" s="407">
        <v>0</v>
      </c>
      <c r="EY449" s="407">
        <v>0</v>
      </c>
      <c r="EZ449" s="407"/>
      <c r="FA449" s="407">
        <v>0</v>
      </c>
      <c r="FB449" s="407"/>
      <c r="FC449" s="407"/>
      <c r="FD449" s="407"/>
      <c r="FE449" s="407"/>
      <c r="FF449" s="407">
        <v>0</v>
      </c>
      <c r="FG449" s="407">
        <v>0</v>
      </c>
      <c r="FH449" s="407">
        <v>0</v>
      </c>
      <c r="FI449" s="407">
        <v>0</v>
      </c>
    </row>
    <row r="450" spans="1:165">
      <c r="A450" s="407">
        <v>468</v>
      </c>
      <c r="B450" s="407" t="s">
        <v>1090</v>
      </c>
      <c r="C450" s="407" t="s">
        <v>2306</v>
      </c>
      <c r="D450" s="407" t="s">
        <v>1218</v>
      </c>
      <c r="E450" s="407" t="s">
        <v>1021</v>
      </c>
      <c r="F450" s="407" t="s">
        <v>2313</v>
      </c>
      <c r="G450" s="407" t="s">
        <v>97</v>
      </c>
      <c r="H450" s="407" t="s">
        <v>97</v>
      </c>
      <c r="I450" s="407" t="s">
        <v>97</v>
      </c>
      <c r="J450" s="407" t="s">
        <v>2307</v>
      </c>
      <c r="K450" s="818">
        <v>44593</v>
      </c>
      <c r="L450" s="407">
        <v>0</v>
      </c>
      <c r="M450" s="407">
        <v>0</v>
      </c>
      <c r="N450" s="407">
        <v>26.314</v>
      </c>
      <c r="O450" s="407">
        <v>26.314</v>
      </c>
      <c r="P450" s="407">
        <v>26.314</v>
      </c>
      <c r="Q450" s="407">
        <v>26.314</v>
      </c>
      <c r="R450" s="407"/>
      <c r="S450" s="407">
        <v>547.54</v>
      </c>
      <c r="T450" s="407">
        <v>159.41</v>
      </c>
      <c r="U450" s="407"/>
      <c r="V450" s="407">
        <v>18602.6823</v>
      </c>
      <c r="W450" s="407">
        <v>18602.6823</v>
      </c>
      <c r="X450" s="407">
        <v>13625.91548</v>
      </c>
      <c r="Y450" s="407">
        <v>0</v>
      </c>
      <c r="Z450" s="407">
        <v>0</v>
      </c>
      <c r="AA450" s="407">
        <v>0</v>
      </c>
      <c r="AB450" s="407">
        <v>0</v>
      </c>
      <c r="AC450" s="407">
        <v>0</v>
      </c>
      <c r="AD450" s="407">
        <v>3069.3814313403577</v>
      </c>
      <c r="AE450" s="407">
        <v>10987.305201571146</v>
      </c>
      <c r="AF450" s="407">
        <v>4058.4270795887501</v>
      </c>
      <c r="AG450" s="407">
        <v>136.35249682364523</v>
      </c>
      <c r="AH450" s="407">
        <v>0</v>
      </c>
      <c r="AI450" s="407">
        <v>0</v>
      </c>
      <c r="AJ450" s="407">
        <v>0</v>
      </c>
      <c r="AK450" s="407">
        <v>0</v>
      </c>
      <c r="AL450" s="407">
        <v>0</v>
      </c>
      <c r="AM450" s="407"/>
      <c r="AN450" s="407">
        <v>54.604066683547558</v>
      </c>
      <c r="AO450" s="407">
        <v>0</v>
      </c>
      <c r="AP450" s="407">
        <v>0</v>
      </c>
      <c r="AQ450" s="407">
        <v>0</v>
      </c>
      <c r="AR450" s="407">
        <v>0</v>
      </c>
      <c r="AS450" s="407">
        <v>0</v>
      </c>
      <c r="AT450" s="407">
        <v>0</v>
      </c>
      <c r="AU450" s="407">
        <v>0</v>
      </c>
      <c r="AV450" s="407">
        <v>0</v>
      </c>
      <c r="AW450" s="407">
        <v>0</v>
      </c>
      <c r="AX450" s="407">
        <v>0</v>
      </c>
      <c r="AY450" s="407">
        <v>0</v>
      </c>
      <c r="AZ450" s="407">
        <v>0</v>
      </c>
      <c r="BA450" s="407"/>
      <c r="BB450" s="407">
        <v>0</v>
      </c>
      <c r="BC450" s="407">
        <v>0</v>
      </c>
      <c r="BD450" s="407">
        <v>0</v>
      </c>
      <c r="BE450" s="407">
        <v>0</v>
      </c>
      <c r="BF450" s="407">
        <v>0</v>
      </c>
      <c r="BG450" s="407">
        <v>296.65805999837733</v>
      </c>
      <c r="BH450" s="407">
        <v>0</v>
      </c>
      <c r="BI450" s="407">
        <v>20.09</v>
      </c>
      <c r="BJ450" s="407">
        <v>95.76</v>
      </c>
      <c r="BK450" s="407">
        <v>4578.97</v>
      </c>
      <c r="BL450" s="407">
        <v>329</v>
      </c>
      <c r="BM450" s="407"/>
      <c r="BN450" s="407"/>
      <c r="BO450" s="407"/>
      <c r="BP450" s="407"/>
      <c r="BQ450" s="407"/>
      <c r="BR450" s="407"/>
      <c r="BS450" s="407"/>
      <c r="BT450" s="407"/>
      <c r="BU450" s="407"/>
      <c r="BV450" s="407">
        <v>4355.0851395871277</v>
      </c>
      <c r="BW450" s="407"/>
      <c r="BX450" s="407"/>
      <c r="BY450" s="407"/>
      <c r="BZ450" s="407"/>
      <c r="CA450" s="407"/>
      <c r="CB450" s="407"/>
      <c r="CC450" s="407"/>
      <c r="CD450" s="407"/>
      <c r="CE450" s="407"/>
      <c r="CF450" s="407"/>
      <c r="CG450" s="407"/>
      <c r="CH450" s="407"/>
      <c r="CI450" s="407">
        <v>13623.8442</v>
      </c>
      <c r="CJ450" s="407">
        <v>-4978.8680999999997</v>
      </c>
      <c r="CK450" s="407"/>
      <c r="CL450" s="407"/>
      <c r="CM450" s="407"/>
      <c r="CN450" s="407"/>
      <c r="CO450" s="407">
        <v>-5699.6123999999991</v>
      </c>
      <c r="CP450" s="407">
        <v>722.84557999999993</v>
      </c>
      <c r="CQ450" s="407">
        <v>29</v>
      </c>
      <c r="CR450" s="407">
        <v>635.45267201695879</v>
      </c>
      <c r="CS450" s="407">
        <v>0</v>
      </c>
      <c r="CT450" s="407">
        <v>0</v>
      </c>
      <c r="CU450" s="407">
        <v>0</v>
      </c>
      <c r="CV450" s="407">
        <v>0</v>
      </c>
      <c r="CW450" s="407">
        <v>0</v>
      </c>
      <c r="CX450" s="407">
        <v>0</v>
      </c>
      <c r="CY450" s="407">
        <v>0</v>
      </c>
      <c r="CZ450" s="407">
        <v>138.65004525394534</v>
      </c>
      <c r="DA450" s="407">
        <v>0</v>
      </c>
      <c r="DB450" s="407">
        <v>0</v>
      </c>
      <c r="DC450" s="407">
        <v>804.67649269149888</v>
      </c>
      <c r="DD450" s="407">
        <v>0</v>
      </c>
      <c r="DE450" s="407">
        <v>0</v>
      </c>
      <c r="DF450" s="407">
        <v>0</v>
      </c>
      <c r="DG450" s="407">
        <v>58.819282092989852</v>
      </c>
      <c r="DH450" s="407">
        <v>0</v>
      </c>
      <c r="DI450" s="407">
        <v>0</v>
      </c>
      <c r="DJ450" s="407"/>
      <c r="DK450" s="407">
        <v>0</v>
      </c>
      <c r="DL450" s="407">
        <v>0</v>
      </c>
      <c r="DM450" s="407">
        <v>0</v>
      </c>
      <c r="DN450" s="407">
        <v>0</v>
      </c>
      <c r="DO450" s="407">
        <v>0</v>
      </c>
      <c r="DP450" s="407">
        <v>-3.4792393037761329</v>
      </c>
      <c r="DQ450" s="407">
        <v>0</v>
      </c>
      <c r="DR450" s="407">
        <v>-363.21390871769927</v>
      </c>
      <c r="DS450" s="407"/>
      <c r="DT450" s="407"/>
      <c r="DU450" s="407"/>
      <c r="DV450" s="407">
        <v>10987.305201571146</v>
      </c>
      <c r="DW450" s="407">
        <v>0</v>
      </c>
      <c r="DX450" s="407">
        <v>0</v>
      </c>
      <c r="DY450" s="407">
        <v>-5699.6124</v>
      </c>
      <c r="DZ450" s="407">
        <v>722.84557999999925</v>
      </c>
      <c r="EA450" s="407">
        <v>0</v>
      </c>
      <c r="EB450" s="407">
        <v>0</v>
      </c>
      <c r="EC450" s="407">
        <v>-5612.3410163342132</v>
      </c>
      <c r="ED450" s="407">
        <v>0</v>
      </c>
      <c r="EE450" s="407">
        <v>0</v>
      </c>
      <c r="EF450" s="407">
        <v>0</v>
      </c>
      <c r="EG450" s="407">
        <v>0</v>
      </c>
      <c r="EH450" s="407">
        <v>0</v>
      </c>
      <c r="EI450" s="407">
        <v>0</v>
      </c>
      <c r="EJ450" s="407">
        <v>0</v>
      </c>
      <c r="EK450" s="407">
        <v>0</v>
      </c>
      <c r="EL450" s="407">
        <v>0</v>
      </c>
      <c r="EM450" s="407">
        <v>0</v>
      </c>
      <c r="EN450" s="407">
        <v>0</v>
      </c>
      <c r="EO450" s="407">
        <v>0</v>
      </c>
      <c r="EP450" s="407">
        <v>0</v>
      </c>
      <c r="EQ450" s="407">
        <v>0</v>
      </c>
      <c r="ER450" s="407">
        <v>0</v>
      </c>
      <c r="ES450" s="407">
        <v>0</v>
      </c>
      <c r="ET450" s="407">
        <v>0</v>
      </c>
      <c r="EU450" s="407">
        <v>0</v>
      </c>
      <c r="EV450" s="407">
        <v>246</v>
      </c>
      <c r="EW450" s="407">
        <v>0</v>
      </c>
      <c r="EX450" s="407">
        <v>0</v>
      </c>
      <c r="EY450" s="407">
        <v>0</v>
      </c>
      <c r="EZ450" s="407"/>
      <c r="FA450" s="407">
        <v>0</v>
      </c>
      <c r="FB450" s="407"/>
      <c r="FC450" s="407"/>
      <c r="FD450" s="407"/>
      <c r="FE450" s="407"/>
      <c r="FF450" s="407">
        <v>0</v>
      </c>
      <c r="FG450" s="407">
        <v>0</v>
      </c>
      <c r="FH450" s="407">
        <v>0</v>
      </c>
      <c r="FI450" s="407">
        <v>0</v>
      </c>
    </row>
    <row r="451" spans="1:165">
      <c r="A451" s="407">
        <v>469</v>
      </c>
      <c r="B451" s="407" t="s">
        <v>2309</v>
      </c>
      <c r="C451" s="407" t="s">
        <v>2306</v>
      </c>
      <c r="D451" s="407" t="s">
        <v>1218</v>
      </c>
      <c r="E451" s="407" t="s">
        <v>1021</v>
      </c>
      <c r="F451" s="407" t="s">
        <v>2313</v>
      </c>
      <c r="G451" s="407" t="s">
        <v>97</v>
      </c>
      <c r="H451" s="407" t="s">
        <v>97</v>
      </c>
      <c r="I451" s="407" t="s">
        <v>97</v>
      </c>
      <c r="J451" s="407" t="s">
        <v>2307</v>
      </c>
      <c r="K451" s="818">
        <v>44593</v>
      </c>
      <c r="L451" s="407">
        <v>0</v>
      </c>
      <c r="M451" s="407">
        <v>0</v>
      </c>
      <c r="N451" s="407">
        <v>0</v>
      </c>
      <c r="O451" s="407">
        <v>0</v>
      </c>
      <c r="P451" s="407">
        <v>0</v>
      </c>
      <c r="Q451" s="407">
        <v>0</v>
      </c>
      <c r="R451" s="407"/>
      <c r="S451" s="407"/>
      <c r="T451" s="407"/>
      <c r="U451" s="407"/>
      <c r="V451" s="407"/>
      <c r="W451" s="407"/>
      <c r="X451" s="407"/>
      <c r="Y451" s="407"/>
      <c r="Z451" s="407"/>
      <c r="AA451" s="407">
        <v>0</v>
      </c>
      <c r="AB451" s="407"/>
      <c r="AC451" s="407"/>
      <c r="AD451" s="407"/>
      <c r="AE451" s="407"/>
      <c r="AF451" s="407"/>
      <c r="AG451" s="407"/>
      <c r="AH451" s="407"/>
      <c r="AI451" s="407"/>
      <c r="AJ451" s="407"/>
      <c r="AK451" s="407"/>
      <c r="AL451" s="407"/>
      <c r="AM451" s="407"/>
      <c r="AN451" s="407"/>
      <c r="AO451" s="407"/>
      <c r="AP451" s="407"/>
      <c r="AQ451" s="407"/>
      <c r="AR451" s="407"/>
      <c r="AS451" s="407"/>
      <c r="AT451" s="407"/>
      <c r="AU451" s="407"/>
      <c r="AV451" s="407"/>
      <c r="AW451" s="407"/>
      <c r="AX451" s="407"/>
      <c r="AY451" s="407"/>
      <c r="AZ451" s="407">
        <v>0</v>
      </c>
      <c r="BA451" s="407"/>
      <c r="BB451" s="407"/>
      <c r="BC451" s="407"/>
      <c r="BD451" s="407"/>
      <c r="BE451" s="407"/>
      <c r="BF451" s="407"/>
      <c r="BG451" s="407"/>
      <c r="BH451" s="407"/>
      <c r="BI451" s="407">
        <v>0</v>
      </c>
      <c r="BJ451" s="407">
        <v>0</v>
      </c>
      <c r="BK451" s="407">
        <v>32.22</v>
      </c>
      <c r="BL451" s="407">
        <v>3</v>
      </c>
      <c r="BM451" s="407"/>
      <c r="BN451" s="407"/>
      <c r="BO451" s="407"/>
      <c r="BP451" s="407"/>
      <c r="BQ451" s="407"/>
      <c r="BR451" s="407"/>
      <c r="BS451" s="407"/>
      <c r="BT451" s="407"/>
      <c r="BU451" s="407"/>
      <c r="BV451" s="407"/>
      <c r="BW451" s="407"/>
      <c r="BX451" s="407"/>
      <c r="BY451" s="407"/>
      <c r="BZ451" s="407"/>
      <c r="CA451" s="407"/>
      <c r="CB451" s="407"/>
      <c r="CC451" s="407"/>
      <c r="CD451" s="407"/>
      <c r="CE451" s="407"/>
      <c r="CF451" s="407"/>
      <c r="CG451" s="407"/>
      <c r="CH451" s="407"/>
      <c r="CI451" s="407"/>
      <c r="CJ451" s="407">
        <v>-0.03</v>
      </c>
      <c r="CK451" s="407"/>
      <c r="CL451" s="407"/>
      <c r="CM451" s="407"/>
      <c r="CN451" s="407"/>
      <c r="CO451" s="407">
        <v>0</v>
      </c>
      <c r="CP451" s="407">
        <v>0</v>
      </c>
      <c r="CQ451" s="407">
        <v>29</v>
      </c>
      <c r="CR451" s="407"/>
      <c r="CS451" s="407"/>
      <c r="CT451" s="407"/>
      <c r="CU451" s="407"/>
      <c r="CV451" s="407"/>
      <c r="CW451" s="407"/>
      <c r="CX451" s="407"/>
      <c r="CY451" s="407"/>
      <c r="CZ451" s="407"/>
      <c r="DA451" s="407"/>
      <c r="DB451" s="407"/>
      <c r="DC451" s="407"/>
      <c r="DD451" s="407"/>
      <c r="DE451" s="407"/>
      <c r="DF451" s="407"/>
      <c r="DG451" s="407"/>
      <c r="DH451" s="407"/>
      <c r="DI451" s="407"/>
      <c r="DJ451" s="407"/>
      <c r="DK451" s="407">
        <v>0</v>
      </c>
      <c r="DL451" s="407"/>
      <c r="DM451" s="407"/>
      <c r="DN451" s="407"/>
      <c r="DO451" s="407"/>
      <c r="DP451" s="407"/>
      <c r="DQ451" s="407"/>
      <c r="DR451" s="407"/>
      <c r="DS451" s="407"/>
      <c r="DT451" s="407"/>
      <c r="DU451" s="407"/>
      <c r="DV451" s="407"/>
      <c r="DW451" s="407"/>
      <c r="DX451" s="407"/>
      <c r="DY451" s="407"/>
      <c r="DZ451" s="407"/>
      <c r="EA451" s="407"/>
      <c r="EB451" s="407"/>
      <c r="EC451" s="407"/>
      <c r="ED451" s="407"/>
      <c r="EE451" s="407"/>
      <c r="EF451" s="407"/>
      <c r="EG451" s="407"/>
      <c r="EH451" s="407"/>
      <c r="EI451" s="407"/>
      <c r="EJ451" s="407"/>
      <c r="EK451" s="407"/>
      <c r="EL451" s="407"/>
      <c r="EM451" s="407"/>
      <c r="EN451" s="407"/>
      <c r="EO451" s="407"/>
      <c r="EP451" s="407"/>
      <c r="EQ451" s="407"/>
      <c r="ER451" s="407"/>
      <c r="ES451" s="407"/>
      <c r="ET451" s="407"/>
      <c r="EU451" s="407"/>
      <c r="EV451" s="407">
        <v>246</v>
      </c>
      <c r="EW451" s="407"/>
      <c r="EX451" s="407"/>
      <c r="EY451" s="407"/>
      <c r="EZ451" s="407"/>
      <c r="FA451" s="407">
        <v>0</v>
      </c>
      <c r="FB451" s="407"/>
      <c r="FC451" s="407"/>
      <c r="FD451" s="407"/>
      <c r="FE451" s="407"/>
      <c r="FF451" s="407">
        <v>0</v>
      </c>
      <c r="FG451" s="407">
        <v>0</v>
      </c>
      <c r="FH451" s="407">
        <v>0</v>
      </c>
      <c r="FI451" s="407">
        <v>0</v>
      </c>
    </row>
    <row r="452" spans="1:165">
      <c r="A452" s="407">
        <v>470</v>
      </c>
      <c r="B452" s="407" t="s">
        <v>1090</v>
      </c>
      <c r="C452" s="407" t="s">
        <v>2306</v>
      </c>
      <c r="D452" s="407" t="s">
        <v>1219</v>
      </c>
      <c r="E452" s="407" t="s">
        <v>1022</v>
      </c>
      <c r="F452" s="407" t="s">
        <v>97</v>
      </c>
      <c r="G452" s="407" t="s">
        <v>97</v>
      </c>
      <c r="H452" s="407" t="s">
        <v>97</v>
      </c>
      <c r="I452" s="407" t="s">
        <v>97</v>
      </c>
      <c r="J452" s="407" t="s">
        <v>2307</v>
      </c>
      <c r="K452" s="818">
        <v>44593</v>
      </c>
      <c r="L452" s="407">
        <v>0</v>
      </c>
      <c r="M452" s="407">
        <v>0</v>
      </c>
      <c r="N452" s="407">
        <v>110.893</v>
      </c>
      <c r="O452" s="407">
        <v>110.893</v>
      </c>
      <c r="P452" s="407">
        <v>110.893</v>
      </c>
      <c r="Q452" s="407">
        <v>110.893</v>
      </c>
      <c r="R452" s="407"/>
      <c r="S452" s="407">
        <v>648.44000000000005</v>
      </c>
      <c r="T452" s="407">
        <v>159.41</v>
      </c>
      <c r="U452" s="407"/>
      <c r="V452" s="407">
        <v>89584.910050000006</v>
      </c>
      <c r="W452" s="407">
        <v>89584.910050000006</v>
      </c>
      <c r="X452" s="407">
        <v>67846.555259999994</v>
      </c>
      <c r="Y452" s="407">
        <v>0</v>
      </c>
      <c r="Z452" s="407">
        <v>6872.0670031133332</v>
      </c>
      <c r="AA452" s="407">
        <v>0</v>
      </c>
      <c r="AB452" s="407">
        <v>0</v>
      </c>
      <c r="AC452" s="407">
        <v>0</v>
      </c>
      <c r="AD452" s="407">
        <v>12935.050355918002</v>
      </c>
      <c r="AE452" s="407">
        <v>46302.927556351329</v>
      </c>
      <c r="AF452" s="407">
        <v>17103.106868466795</v>
      </c>
      <c r="AG452" s="407">
        <v>574.61949647581105</v>
      </c>
      <c r="AH452" s="407">
        <v>0</v>
      </c>
      <c r="AI452" s="407">
        <v>0</v>
      </c>
      <c r="AJ452" s="407">
        <v>0</v>
      </c>
      <c r="AK452" s="407">
        <v>0</v>
      </c>
      <c r="AL452" s="407">
        <v>1061.9175060098471</v>
      </c>
      <c r="AM452" s="407"/>
      <c r="AN452" s="407">
        <v>230.11358085956675</v>
      </c>
      <c r="AO452" s="407">
        <v>0</v>
      </c>
      <c r="AP452" s="407">
        <v>0</v>
      </c>
      <c r="AQ452" s="407">
        <v>0</v>
      </c>
      <c r="AR452" s="407">
        <v>0</v>
      </c>
      <c r="AS452" s="407">
        <v>0</v>
      </c>
      <c r="AT452" s="407">
        <v>0</v>
      </c>
      <c r="AU452" s="407">
        <v>0</v>
      </c>
      <c r="AV452" s="407">
        <v>0</v>
      </c>
      <c r="AW452" s="407">
        <v>0</v>
      </c>
      <c r="AX452" s="407">
        <v>0</v>
      </c>
      <c r="AY452" s="407">
        <v>0</v>
      </c>
      <c r="AZ452" s="407">
        <v>0</v>
      </c>
      <c r="BA452" s="407"/>
      <c r="BB452" s="407">
        <v>0</v>
      </c>
      <c r="BC452" s="407">
        <v>0</v>
      </c>
      <c r="BD452" s="407">
        <v>0</v>
      </c>
      <c r="BE452" s="407">
        <v>0</v>
      </c>
      <c r="BF452" s="407">
        <v>0</v>
      </c>
      <c r="BG452" s="407">
        <v>1250.1824978110533</v>
      </c>
      <c r="BH452" s="407">
        <v>0</v>
      </c>
      <c r="BI452" s="407">
        <v>134.52000000000001</v>
      </c>
      <c r="BJ452" s="407">
        <v>581.69000000000005</v>
      </c>
      <c r="BK452" s="407">
        <v>17267.41</v>
      </c>
      <c r="BL452" s="407">
        <v>86</v>
      </c>
      <c r="BM452" s="407"/>
      <c r="BN452" s="407"/>
      <c r="BO452" s="407"/>
      <c r="BP452" s="407"/>
      <c r="BQ452" s="407"/>
      <c r="BR452" s="407"/>
      <c r="BS452" s="407"/>
      <c r="BT452" s="407"/>
      <c r="BU452" s="407"/>
      <c r="BV452" s="407">
        <v>18353.289366277848</v>
      </c>
      <c r="BW452" s="407"/>
      <c r="BX452" s="407"/>
      <c r="BY452" s="407"/>
      <c r="BZ452" s="407"/>
      <c r="CA452" s="407"/>
      <c r="CB452" s="407"/>
      <c r="CC452" s="407"/>
      <c r="CD452" s="407"/>
      <c r="CE452" s="407"/>
      <c r="CF452" s="407"/>
      <c r="CG452" s="407"/>
      <c r="CH452" s="407"/>
      <c r="CI452" s="407">
        <v>67844.719799999992</v>
      </c>
      <c r="CJ452" s="407">
        <v>-21740.220249999998</v>
      </c>
      <c r="CK452" s="407"/>
      <c r="CL452" s="407"/>
      <c r="CM452" s="407"/>
      <c r="CN452" s="407"/>
      <c r="CO452" s="407">
        <v>-24784.585500000005</v>
      </c>
      <c r="CP452" s="407">
        <v>3046.2307099999998</v>
      </c>
      <c r="CQ452" s="407">
        <v>29</v>
      </c>
      <c r="CR452" s="407">
        <v>1913.3498198104062</v>
      </c>
      <c r="CS452" s="407">
        <v>0</v>
      </c>
      <c r="CT452" s="407">
        <v>0</v>
      </c>
      <c r="CU452" s="407">
        <v>0</v>
      </c>
      <c r="CV452" s="407">
        <v>0</v>
      </c>
      <c r="CW452" s="407">
        <v>0</v>
      </c>
      <c r="CX452" s="407">
        <v>0</v>
      </c>
      <c r="CY452" s="407">
        <v>0</v>
      </c>
      <c r="CZ452" s="407">
        <v>584.30187232445678</v>
      </c>
      <c r="DA452" s="407">
        <v>0</v>
      </c>
      <c r="DB452" s="407">
        <v>0</v>
      </c>
      <c r="DC452" s="407">
        <v>3391.0842252807779</v>
      </c>
      <c r="DD452" s="407">
        <v>0</v>
      </c>
      <c r="DE452" s="407">
        <v>0</v>
      </c>
      <c r="DF452" s="407">
        <v>0</v>
      </c>
      <c r="DG452" s="407">
        <v>247.8774283323678</v>
      </c>
      <c r="DH452" s="407">
        <v>0</v>
      </c>
      <c r="DI452" s="407">
        <v>-481.33312974498403</v>
      </c>
      <c r="DJ452" s="407"/>
      <c r="DK452" s="407">
        <v>0</v>
      </c>
      <c r="DL452" s="407">
        <v>0</v>
      </c>
      <c r="DM452" s="407">
        <v>0</v>
      </c>
      <c r="DN452" s="407">
        <v>0</v>
      </c>
      <c r="DO452" s="407">
        <v>-64.789049212044119</v>
      </c>
      <c r="DP452" s="407">
        <v>-14.662281831483142</v>
      </c>
      <c r="DQ452" s="407">
        <v>0</v>
      </c>
      <c r="DR452" s="407">
        <v>-1749.1292453386868</v>
      </c>
      <c r="DS452" s="407"/>
      <c r="DT452" s="407"/>
      <c r="DU452" s="407"/>
      <c r="DV452" s="407">
        <v>46302.927556351329</v>
      </c>
      <c r="DW452" s="407">
        <v>0</v>
      </c>
      <c r="DX452" s="407">
        <v>0</v>
      </c>
      <c r="DY452" s="407">
        <v>-24784.585500000008</v>
      </c>
      <c r="DZ452" s="407">
        <v>3046.2307099999998</v>
      </c>
      <c r="EA452" s="407">
        <v>0</v>
      </c>
      <c r="EB452" s="407">
        <v>0</v>
      </c>
      <c r="EC452" s="407">
        <v>-23651.642940045214</v>
      </c>
      <c r="ED452" s="407">
        <v>0</v>
      </c>
      <c r="EE452" s="407">
        <v>0</v>
      </c>
      <c r="EF452" s="407">
        <v>0</v>
      </c>
      <c r="EG452" s="407">
        <v>0</v>
      </c>
      <c r="EH452" s="407">
        <v>0</v>
      </c>
      <c r="EI452" s="407">
        <v>0</v>
      </c>
      <c r="EJ452" s="407">
        <v>0</v>
      </c>
      <c r="EK452" s="407">
        <v>0</v>
      </c>
      <c r="EL452" s="407">
        <v>0</v>
      </c>
      <c r="EM452" s="407">
        <v>0</v>
      </c>
      <c r="EN452" s="407">
        <v>0</v>
      </c>
      <c r="EO452" s="407">
        <v>0</v>
      </c>
      <c r="EP452" s="407">
        <v>3255.1752696201556</v>
      </c>
      <c r="EQ452" s="407">
        <v>0</v>
      </c>
      <c r="ER452" s="407">
        <v>0</v>
      </c>
      <c r="ES452" s="407">
        <v>0</v>
      </c>
      <c r="ET452" s="407">
        <v>0</v>
      </c>
      <c r="EU452" s="407">
        <v>0</v>
      </c>
      <c r="EV452" s="407">
        <v>246</v>
      </c>
      <c r="EW452" s="407">
        <v>0</v>
      </c>
      <c r="EX452" s="407">
        <v>0</v>
      </c>
      <c r="EY452" s="407">
        <v>0</v>
      </c>
      <c r="EZ452" s="407"/>
      <c r="FA452" s="407">
        <v>0</v>
      </c>
      <c r="FB452" s="407"/>
      <c r="FC452" s="407"/>
      <c r="FD452" s="407"/>
      <c r="FE452" s="407"/>
      <c r="FF452" s="407">
        <v>0</v>
      </c>
      <c r="FG452" s="407">
        <v>0</v>
      </c>
      <c r="FH452" s="407">
        <v>0</v>
      </c>
      <c r="FI452" s="407">
        <v>0</v>
      </c>
    </row>
    <row r="453" spans="1:165">
      <c r="A453" s="407">
        <v>471</v>
      </c>
      <c r="B453" s="407" t="s">
        <v>2309</v>
      </c>
      <c r="C453" s="407" t="s">
        <v>2306</v>
      </c>
      <c r="D453" s="407" t="s">
        <v>1219</v>
      </c>
      <c r="E453" s="407" t="s">
        <v>1022</v>
      </c>
      <c r="F453" s="407" t="s">
        <v>97</v>
      </c>
      <c r="G453" s="407" t="s">
        <v>97</v>
      </c>
      <c r="H453" s="407" t="s">
        <v>97</v>
      </c>
      <c r="I453" s="407" t="s">
        <v>97</v>
      </c>
      <c r="J453" s="407" t="s">
        <v>2307</v>
      </c>
      <c r="K453" s="818">
        <v>44593</v>
      </c>
      <c r="L453" s="407">
        <v>0</v>
      </c>
      <c r="M453" s="407">
        <v>0</v>
      </c>
      <c r="N453" s="407">
        <v>2.2269999999999999</v>
      </c>
      <c r="O453" s="407">
        <v>2.2269999999999999</v>
      </c>
      <c r="P453" s="407">
        <v>2.2269999999999999</v>
      </c>
      <c r="Q453" s="407">
        <v>2.2269999999999999</v>
      </c>
      <c r="R453" s="407"/>
      <c r="S453" s="407">
        <v>648.44000000000005</v>
      </c>
      <c r="T453" s="407">
        <v>159.41</v>
      </c>
      <c r="U453" s="407"/>
      <c r="V453" s="407">
        <v>1799.08195</v>
      </c>
      <c r="W453" s="407">
        <v>1799.08195</v>
      </c>
      <c r="X453" s="407">
        <v>1362.5231399999998</v>
      </c>
      <c r="Y453" s="407">
        <v>0</v>
      </c>
      <c r="Z453" s="407">
        <v>138.00774815302492</v>
      </c>
      <c r="AA453" s="407">
        <v>0</v>
      </c>
      <c r="AB453" s="407">
        <v>0</v>
      </c>
      <c r="AC453" s="407">
        <v>0</v>
      </c>
      <c r="AD453" s="407">
        <v>259.76713717393693</v>
      </c>
      <c r="AE453" s="407">
        <v>929.87492148282047</v>
      </c>
      <c r="AF453" s="407">
        <v>343.47180612009367</v>
      </c>
      <c r="AG453" s="407">
        <v>11.539751099272552</v>
      </c>
      <c r="AH453" s="407">
        <v>0</v>
      </c>
      <c r="AI453" s="407">
        <v>0</v>
      </c>
      <c r="AJ453" s="407">
        <v>0</v>
      </c>
      <c r="AK453" s="407">
        <v>0</v>
      </c>
      <c r="AL453" s="407">
        <v>21.325875266102724</v>
      </c>
      <c r="AM453" s="407"/>
      <c r="AN453" s="407">
        <v>4.621237991345307</v>
      </c>
      <c r="AO453" s="407">
        <v>0</v>
      </c>
      <c r="AP453" s="407">
        <v>0</v>
      </c>
      <c r="AQ453" s="407">
        <v>0</v>
      </c>
      <c r="AR453" s="407">
        <v>0</v>
      </c>
      <c r="AS453" s="407">
        <v>0</v>
      </c>
      <c r="AT453" s="407">
        <v>0</v>
      </c>
      <c r="AU453" s="407">
        <v>0</v>
      </c>
      <c r="AV453" s="407">
        <v>0</v>
      </c>
      <c r="AW453" s="407">
        <v>0</v>
      </c>
      <c r="AX453" s="407">
        <v>0</v>
      </c>
      <c r="AY453" s="407">
        <v>0</v>
      </c>
      <c r="AZ453" s="407">
        <v>0</v>
      </c>
      <c r="BA453" s="407"/>
      <c r="BB453" s="407">
        <v>0</v>
      </c>
      <c r="BC453" s="407">
        <v>0</v>
      </c>
      <c r="BD453" s="407">
        <v>0</v>
      </c>
      <c r="BE453" s="407">
        <v>0</v>
      </c>
      <c r="BF453" s="407">
        <v>0</v>
      </c>
      <c r="BG453" s="407">
        <v>25.106692240495033</v>
      </c>
      <c r="BH453" s="407">
        <v>0</v>
      </c>
      <c r="BI453" s="407">
        <v>2.67</v>
      </c>
      <c r="BJ453" s="407">
        <v>11.6</v>
      </c>
      <c r="BK453" s="407">
        <v>3253.42</v>
      </c>
      <c r="BL453" s="407">
        <v>20</v>
      </c>
      <c r="BM453" s="407"/>
      <c r="BN453" s="407"/>
      <c r="BO453" s="407"/>
      <c r="BP453" s="407"/>
      <c r="BQ453" s="407"/>
      <c r="BR453" s="407"/>
      <c r="BS453" s="407"/>
      <c r="BT453" s="407"/>
      <c r="BU453" s="407"/>
      <c r="BV453" s="407">
        <v>368.5784983605887</v>
      </c>
      <c r="BW453" s="407"/>
      <c r="BX453" s="407"/>
      <c r="BY453" s="407"/>
      <c r="BZ453" s="407"/>
      <c r="CA453" s="407"/>
      <c r="CB453" s="407"/>
      <c r="CC453" s="407"/>
      <c r="CD453" s="407"/>
      <c r="CE453" s="407"/>
      <c r="CF453" s="407"/>
      <c r="CG453" s="407"/>
      <c r="CH453" s="407"/>
      <c r="CI453" s="407">
        <v>1364.3586</v>
      </c>
      <c r="CJ453" s="407">
        <v>-434.75334999999995</v>
      </c>
      <c r="CK453" s="407"/>
      <c r="CL453" s="407"/>
      <c r="CM453" s="407"/>
      <c r="CN453" s="407"/>
      <c r="CO453" s="407">
        <v>-497.73450000000008</v>
      </c>
      <c r="CP453" s="407">
        <v>61.175689999999996</v>
      </c>
      <c r="CQ453" s="407">
        <v>29</v>
      </c>
      <c r="CR453" s="407">
        <v>38.424698120871199</v>
      </c>
      <c r="CS453" s="407">
        <v>0</v>
      </c>
      <c r="CT453" s="407">
        <v>0</v>
      </c>
      <c r="CU453" s="407">
        <v>0</v>
      </c>
      <c r="CV453" s="407">
        <v>0</v>
      </c>
      <c r="CW453" s="407">
        <v>0</v>
      </c>
      <c r="CX453" s="407">
        <v>0</v>
      </c>
      <c r="CY453" s="407">
        <v>0</v>
      </c>
      <c r="CZ453" s="407">
        <v>11.734196655032918</v>
      </c>
      <c r="DA453" s="407">
        <v>0</v>
      </c>
      <c r="DB453" s="407">
        <v>0</v>
      </c>
      <c r="DC453" s="407">
        <v>68.101183751005863</v>
      </c>
      <c r="DD453" s="407">
        <v>0</v>
      </c>
      <c r="DE453" s="407">
        <v>0</v>
      </c>
      <c r="DF453" s="407">
        <v>0</v>
      </c>
      <c r="DG453" s="407">
        <v>4.9779790689780512</v>
      </c>
      <c r="DH453" s="407">
        <v>0</v>
      </c>
      <c r="DI453" s="407">
        <v>-9.6663349349560406</v>
      </c>
      <c r="DJ453" s="407"/>
      <c r="DK453" s="407">
        <v>0</v>
      </c>
      <c r="DL453" s="407">
        <v>0</v>
      </c>
      <c r="DM453" s="407">
        <v>0</v>
      </c>
      <c r="DN453" s="407">
        <v>0</v>
      </c>
      <c r="DO453" s="407">
        <v>-1.3011210139072986</v>
      </c>
      <c r="DP453" s="407">
        <v>-0.29445412820207739</v>
      </c>
      <c r="DQ453" s="407">
        <v>0</v>
      </c>
      <c r="DR453" s="407">
        <v>-35.12675127708021</v>
      </c>
      <c r="DS453" s="407"/>
      <c r="DT453" s="407"/>
      <c r="DU453" s="407"/>
      <c r="DV453" s="407">
        <v>929.87492148282047</v>
      </c>
      <c r="DW453" s="407">
        <v>0</v>
      </c>
      <c r="DX453" s="407">
        <v>0</v>
      </c>
      <c r="DY453" s="407">
        <v>-497.73450000000014</v>
      </c>
      <c r="DZ453" s="407">
        <v>61.175689999999975</v>
      </c>
      <c r="EA453" s="407">
        <v>0</v>
      </c>
      <c r="EB453" s="407">
        <v>0</v>
      </c>
      <c r="EC453" s="407">
        <v>-474.98226964263472</v>
      </c>
      <c r="ED453" s="407">
        <v>0</v>
      </c>
      <c r="EE453" s="407">
        <v>0</v>
      </c>
      <c r="EF453" s="407">
        <v>0</v>
      </c>
      <c r="EG453" s="407">
        <v>0</v>
      </c>
      <c r="EH453" s="407">
        <v>0</v>
      </c>
      <c r="EI453" s="407">
        <v>0</v>
      </c>
      <c r="EJ453" s="407">
        <v>0</v>
      </c>
      <c r="EK453" s="407">
        <v>0</v>
      </c>
      <c r="EL453" s="407">
        <v>0</v>
      </c>
      <c r="EM453" s="407">
        <v>0</v>
      </c>
      <c r="EN453" s="407">
        <v>0</v>
      </c>
      <c r="EO453" s="407">
        <v>0</v>
      </c>
      <c r="EP453" s="407">
        <v>65.371802777849695</v>
      </c>
      <c r="EQ453" s="407">
        <v>0</v>
      </c>
      <c r="ER453" s="407">
        <v>0</v>
      </c>
      <c r="ES453" s="407">
        <v>0</v>
      </c>
      <c r="ET453" s="407">
        <v>0</v>
      </c>
      <c r="EU453" s="407">
        <v>0</v>
      </c>
      <c r="EV453" s="407">
        <v>246</v>
      </c>
      <c r="EW453" s="407">
        <v>0</v>
      </c>
      <c r="EX453" s="407">
        <v>0</v>
      </c>
      <c r="EY453" s="407">
        <v>0</v>
      </c>
      <c r="EZ453" s="407"/>
      <c r="FA453" s="407">
        <v>0</v>
      </c>
      <c r="FB453" s="407"/>
      <c r="FC453" s="407"/>
      <c r="FD453" s="407"/>
      <c r="FE453" s="407"/>
      <c r="FF453" s="407">
        <v>0</v>
      </c>
      <c r="FG453" s="407">
        <v>0</v>
      </c>
      <c r="FH453" s="407">
        <v>0</v>
      </c>
      <c r="FI453" s="407">
        <v>0</v>
      </c>
    </row>
    <row r="454" spans="1:165">
      <c r="A454" s="407">
        <v>472</v>
      </c>
      <c r="B454" s="407" t="s">
        <v>1090</v>
      </c>
      <c r="C454" s="407" t="s">
        <v>2314</v>
      </c>
      <c r="D454" s="407" t="s">
        <v>650</v>
      </c>
      <c r="E454" s="407" t="s">
        <v>1022</v>
      </c>
      <c r="F454" s="407" t="s">
        <v>97</v>
      </c>
      <c r="G454" s="407" t="s">
        <v>97</v>
      </c>
      <c r="H454" s="407" t="s">
        <v>97</v>
      </c>
      <c r="I454" s="407" t="s">
        <v>1025</v>
      </c>
      <c r="J454" s="407" t="s">
        <v>2307</v>
      </c>
      <c r="K454" s="818">
        <v>44593</v>
      </c>
      <c r="L454" s="407">
        <v>0</v>
      </c>
      <c r="M454" s="407">
        <v>0</v>
      </c>
      <c r="N454" s="407">
        <v>14.005000000000001</v>
      </c>
      <c r="O454" s="407">
        <v>14.005000000000001</v>
      </c>
      <c r="P454" s="407">
        <v>14.005000000000001</v>
      </c>
      <c r="Q454" s="407">
        <v>14.005000000000001</v>
      </c>
      <c r="R454" s="407"/>
      <c r="S454" s="407">
        <v>2810.7</v>
      </c>
      <c r="T454" s="407">
        <v>159.41</v>
      </c>
      <c r="U454" s="407"/>
      <c r="V454" s="407">
        <v>41596.390549999996</v>
      </c>
      <c r="W454" s="407">
        <v>41596.390549999996</v>
      </c>
      <c r="X454" s="407">
        <v>26493.118450000002</v>
      </c>
      <c r="Y454" s="407">
        <v>0</v>
      </c>
      <c r="Z454" s="407">
        <v>755.06722326372176</v>
      </c>
      <c r="AA454" s="407">
        <v>0</v>
      </c>
      <c r="AB454" s="407">
        <v>0</v>
      </c>
      <c r="AC454" s="407">
        <v>0</v>
      </c>
      <c r="AD454" s="407">
        <v>8550.2708853804961</v>
      </c>
      <c r="AE454" s="407">
        <v>29478.969101793475</v>
      </c>
      <c r="AF454" s="407">
        <v>2160.0011875670916</v>
      </c>
      <c r="AG454" s="407">
        <v>72.570370069740505</v>
      </c>
      <c r="AH454" s="407">
        <v>0</v>
      </c>
      <c r="AI454" s="407">
        <v>0</v>
      </c>
      <c r="AJ454" s="407">
        <v>0</v>
      </c>
      <c r="AK454" s="407">
        <v>0</v>
      </c>
      <c r="AL454" s="407">
        <v>134.11265518714356</v>
      </c>
      <c r="AM454" s="407"/>
      <c r="AN454" s="407">
        <v>15.037636040271515</v>
      </c>
      <c r="AO454" s="407">
        <v>0</v>
      </c>
      <c r="AP454" s="407">
        <v>0</v>
      </c>
      <c r="AQ454" s="407">
        <v>0</v>
      </c>
      <c r="AR454" s="407">
        <v>0</v>
      </c>
      <c r="AS454" s="407">
        <v>0</v>
      </c>
      <c r="AT454" s="407">
        <v>0</v>
      </c>
      <c r="AU454" s="407">
        <v>0</v>
      </c>
      <c r="AV454" s="407">
        <v>0</v>
      </c>
      <c r="AW454" s="407">
        <v>0</v>
      </c>
      <c r="AX454" s="407">
        <v>0</v>
      </c>
      <c r="AY454" s="407">
        <v>0</v>
      </c>
      <c r="AZ454" s="407">
        <v>0</v>
      </c>
      <c r="BA454" s="407"/>
      <c r="BB454" s="407">
        <v>0</v>
      </c>
      <c r="BC454" s="407">
        <v>0</v>
      </c>
      <c r="BD454" s="407">
        <v>0</v>
      </c>
      <c r="BE454" s="407">
        <v>0</v>
      </c>
      <c r="BF454" s="407">
        <v>0</v>
      </c>
      <c r="BG454" s="407">
        <v>72.684190396952332</v>
      </c>
      <c r="BH454" s="407">
        <v>0</v>
      </c>
      <c r="BI454" s="407">
        <v>0</v>
      </c>
      <c r="BJ454" s="407">
        <v>0</v>
      </c>
      <c r="BK454" s="407">
        <v>0</v>
      </c>
      <c r="BL454" s="407">
        <v>0</v>
      </c>
      <c r="BM454" s="407"/>
      <c r="BN454" s="407"/>
      <c r="BO454" s="407"/>
      <c r="BP454" s="407"/>
      <c r="BQ454" s="407"/>
      <c r="BR454" s="407"/>
      <c r="BS454" s="407"/>
      <c r="BT454" s="407"/>
      <c r="BU454" s="407"/>
      <c r="BV454" s="407">
        <v>2232.6853779640442</v>
      </c>
      <c r="BW454" s="407"/>
      <c r="BX454" s="407"/>
      <c r="BY454" s="407"/>
      <c r="BZ454" s="407"/>
      <c r="CA454" s="407"/>
      <c r="CB454" s="407"/>
      <c r="CC454" s="407"/>
      <c r="CD454" s="407"/>
      <c r="CE454" s="407"/>
      <c r="CF454" s="407"/>
      <c r="CG454" s="407"/>
      <c r="CH454" s="407"/>
      <c r="CI454" s="407">
        <v>26502.5769</v>
      </c>
      <c r="CJ454" s="407">
        <v>-15093.843650000003</v>
      </c>
      <c r="CK454" s="407"/>
      <c r="CL454" s="407"/>
      <c r="CM454" s="407"/>
      <c r="CN454" s="407"/>
      <c r="CO454" s="407">
        <v>-15487.989449999999</v>
      </c>
      <c r="CP454" s="407">
        <v>384.71735000000001</v>
      </c>
      <c r="CQ454" s="407">
        <v>29</v>
      </c>
      <c r="CR454" s="407">
        <v>-45.272520914149936</v>
      </c>
      <c r="CS454" s="407">
        <v>0</v>
      </c>
      <c r="CT454" s="407">
        <v>0</v>
      </c>
      <c r="CU454" s="407">
        <v>0</v>
      </c>
      <c r="CV454" s="407">
        <v>0</v>
      </c>
      <c r="CW454" s="407">
        <v>0</v>
      </c>
      <c r="CX454" s="407">
        <v>0</v>
      </c>
      <c r="CY454" s="407">
        <v>0</v>
      </c>
      <c r="CZ454" s="407">
        <v>386.23268945554264</v>
      </c>
      <c r="DA454" s="407">
        <v>0</v>
      </c>
      <c r="DB454" s="407">
        <v>0</v>
      </c>
      <c r="DC454" s="407">
        <v>428.26990499902877</v>
      </c>
      <c r="DD454" s="407">
        <v>0</v>
      </c>
      <c r="DE454" s="407">
        <v>0</v>
      </c>
      <c r="DF454" s="407">
        <v>0</v>
      </c>
      <c r="DG454" s="407">
        <v>14.411312130478763</v>
      </c>
      <c r="DH454" s="407">
        <v>0</v>
      </c>
      <c r="DI454" s="407">
        <v>-52.886397873701185</v>
      </c>
      <c r="DJ454" s="407"/>
      <c r="DK454" s="407">
        <v>0</v>
      </c>
      <c r="DL454" s="407">
        <v>0</v>
      </c>
      <c r="DM454" s="407">
        <v>0</v>
      </c>
      <c r="DN454" s="407">
        <v>0</v>
      </c>
      <c r="DO454" s="407">
        <v>-8.1823977547246329</v>
      </c>
      <c r="DP454" s="407">
        <v>-0.9581618645805694</v>
      </c>
      <c r="DQ454" s="407">
        <v>0</v>
      </c>
      <c r="DR454" s="407">
        <v>-812.15947000619337</v>
      </c>
      <c r="DS454" s="407"/>
      <c r="DT454" s="407"/>
      <c r="DU454" s="407"/>
      <c r="DV454" s="407">
        <v>29478.969101793475</v>
      </c>
      <c r="DW454" s="407">
        <v>0</v>
      </c>
      <c r="DX454" s="407">
        <v>0</v>
      </c>
      <c r="DY454" s="407">
        <v>-15487.989449999997</v>
      </c>
      <c r="DZ454" s="407">
        <v>384.71735000000035</v>
      </c>
      <c r="EA454" s="407">
        <v>0</v>
      </c>
      <c r="EB454" s="407">
        <v>0</v>
      </c>
      <c r="EC454" s="407">
        <v>-15057.925885738148</v>
      </c>
      <c r="ED454" s="407">
        <v>0</v>
      </c>
      <c r="EE454" s="407">
        <v>0</v>
      </c>
      <c r="EF454" s="407">
        <v>0</v>
      </c>
      <c r="EG454" s="407">
        <v>0</v>
      </c>
      <c r="EH454" s="407">
        <v>0</v>
      </c>
      <c r="EI454" s="407">
        <v>0</v>
      </c>
      <c r="EJ454" s="407">
        <v>0</v>
      </c>
      <c r="EK454" s="407">
        <v>0</v>
      </c>
      <c r="EL454" s="407">
        <v>0</v>
      </c>
      <c r="EM454" s="407">
        <v>0</v>
      </c>
      <c r="EN454" s="407">
        <v>0</v>
      </c>
      <c r="EO454" s="407">
        <v>0</v>
      </c>
      <c r="EP454" s="407">
        <v>357.66184336609456</v>
      </c>
      <c r="EQ454" s="407">
        <v>0</v>
      </c>
      <c r="ER454" s="407">
        <v>0</v>
      </c>
      <c r="ES454" s="407">
        <v>0</v>
      </c>
      <c r="ET454" s="407">
        <v>0</v>
      </c>
      <c r="EU454" s="407">
        <v>0</v>
      </c>
      <c r="EV454" s="407">
        <v>246</v>
      </c>
      <c r="EW454" s="407">
        <v>0</v>
      </c>
      <c r="EX454" s="407">
        <v>0</v>
      </c>
      <c r="EY454" s="407">
        <v>0</v>
      </c>
      <c r="EZ454" s="407"/>
      <c r="FA454" s="407">
        <v>0</v>
      </c>
      <c r="FB454" s="407"/>
      <c r="FC454" s="407"/>
      <c r="FD454" s="407"/>
      <c r="FE454" s="407"/>
      <c r="FF454" s="407">
        <v>0</v>
      </c>
      <c r="FG454" s="407">
        <v>0</v>
      </c>
      <c r="FH454" s="407">
        <v>0</v>
      </c>
      <c r="FI454" s="407">
        <v>0</v>
      </c>
    </row>
    <row r="455" spans="1:165">
      <c r="A455" s="407">
        <v>473</v>
      </c>
      <c r="B455" s="407" t="s">
        <v>1090</v>
      </c>
      <c r="C455" s="407" t="s">
        <v>2314</v>
      </c>
      <c r="D455" s="407" t="s">
        <v>650</v>
      </c>
      <c r="E455" s="407" t="s">
        <v>1022</v>
      </c>
      <c r="F455" s="407" t="s">
        <v>97</v>
      </c>
      <c r="G455" s="407" t="s">
        <v>97</v>
      </c>
      <c r="H455" s="407" t="s">
        <v>97</v>
      </c>
      <c r="I455" s="407" t="s">
        <v>2290</v>
      </c>
      <c r="J455" s="407" t="s">
        <v>2307</v>
      </c>
      <c r="K455" s="818">
        <v>44593</v>
      </c>
      <c r="L455" s="407">
        <v>0</v>
      </c>
      <c r="M455" s="407">
        <v>0</v>
      </c>
      <c r="N455" s="407">
        <v>481.31299999999999</v>
      </c>
      <c r="O455" s="407">
        <v>481.31299999999999</v>
      </c>
      <c r="P455" s="407">
        <v>481.31299999999999</v>
      </c>
      <c r="Q455" s="407">
        <v>481.31299999999999</v>
      </c>
      <c r="R455" s="407"/>
      <c r="S455" s="407">
        <v>95.29</v>
      </c>
      <c r="T455" s="407">
        <v>159.41</v>
      </c>
      <c r="U455" s="407"/>
      <c r="V455" s="407">
        <v>122590.42109999999</v>
      </c>
      <c r="W455" s="407">
        <v>122590.42109999999</v>
      </c>
      <c r="X455" s="407">
        <v>133280.38282999999</v>
      </c>
      <c r="Y455" s="407">
        <v>0</v>
      </c>
      <c r="Z455" s="407">
        <v>25949.565900087946</v>
      </c>
      <c r="AA455" s="407">
        <v>0</v>
      </c>
      <c r="AB455" s="407">
        <v>0</v>
      </c>
      <c r="AC455" s="407">
        <v>0</v>
      </c>
      <c r="AD455" s="407">
        <v>0</v>
      </c>
      <c r="AE455" s="407">
        <v>0</v>
      </c>
      <c r="AF455" s="407">
        <v>74233.248953336632</v>
      </c>
      <c r="AG455" s="407">
        <v>2494.0423084167801</v>
      </c>
      <c r="AH455" s="407">
        <v>0</v>
      </c>
      <c r="AI455" s="407">
        <v>0</v>
      </c>
      <c r="AJ455" s="407">
        <v>0</v>
      </c>
      <c r="AK455" s="407">
        <v>0</v>
      </c>
      <c r="AL455" s="407">
        <v>4609.0799290317473</v>
      </c>
      <c r="AM455" s="407"/>
      <c r="AN455" s="407">
        <v>516.80183616217084</v>
      </c>
      <c r="AO455" s="407">
        <v>0</v>
      </c>
      <c r="AP455" s="407">
        <v>0</v>
      </c>
      <c r="AQ455" s="407">
        <v>0</v>
      </c>
      <c r="AR455" s="407">
        <v>0</v>
      </c>
      <c r="AS455" s="407">
        <v>0</v>
      </c>
      <c r="AT455" s="407">
        <v>0</v>
      </c>
      <c r="AU455" s="407">
        <v>0</v>
      </c>
      <c r="AV455" s="407">
        <v>0</v>
      </c>
      <c r="AW455" s="407">
        <v>0</v>
      </c>
      <c r="AX455" s="407">
        <v>0</v>
      </c>
      <c r="AY455" s="407">
        <v>0</v>
      </c>
      <c r="AZ455" s="407">
        <v>0</v>
      </c>
      <c r="BA455" s="407"/>
      <c r="BB455" s="407">
        <v>0</v>
      </c>
      <c r="BC455" s="407">
        <v>0</v>
      </c>
      <c r="BD455" s="407">
        <v>0</v>
      </c>
      <c r="BE455" s="407">
        <v>0</v>
      </c>
      <c r="BF455" s="407">
        <v>0</v>
      </c>
      <c r="BG455" s="407">
        <v>2497.9539973244064</v>
      </c>
      <c r="BH455" s="407">
        <v>0</v>
      </c>
      <c r="BI455" s="407">
        <v>0</v>
      </c>
      <c r="BJ455" s="407">
        <v>0</v>
      </c>
      <c r="BK455" s="407">
        <v>0</v>
      </c>
      <c r="BL455" s="407">
        <v>0</v>
      </c>
      <c r="BM455" s="407"/>
      <c r="BN455" s="407"/>
      <c r="BO455" s="407"/>
      <c r="BP455" s="407"/>
      <c r="BQ455" s="407"/>
      <c r="BR455" s="407"/>
      <c r="BS455" s="407"/>
      <c r="BT455" s="407"/>
      <c r="BU455" s="407"/>
      <c r="BV455" s="407">
        <v>76731.202950661042</v>
      </c>
      <c r="BW455" s="407"/>
      <c r="BX455" s="407"/>
      <c r="BY455" s="407"/>
      <c r="BZ455" s="407"/>
      <c r="CA455" s="407"/>
      <c r="CB455" s="407"/>
      <c r="CC455" s="407"/>
      <c r="CD455" s="407"/>
      <c r="CE455" s="407"/>
      <c r="CF455" s="407"/>
      <c r="CG455" s="407"/>
      <c r="CH455" s="407"/>
      <c r="CI455" s="407">
        <v>133279.5521</v>
      </c>
      <c r="CJ455" s="407">
        <v>10689.10100000001</v>
      </c>
      <c r="CK455" s="407"/>
      <c r="CL455" s="407"/>
      <c r="CM455" s="407"/>
      <c r="CN455" s="407"/>
      <c r="CO455" s="407">
        <v>-2531.7063800000024</v>
      </c>
      <c r="CP455" s="407">
        <v>13221.668109999999</v>
      </c>
      <c r="CQ455" s="407">
        <v>29</v>
      </c>
      <c r="CR455" s="407">
        <v>10688.44040048217</v>
      </c>
      <c r="CS455" s="407">
        <v>0</v>
      </c>
      <c r="CT455" s="407">
        <v>0</v>
      </c>
      <c r="CU455" s="407">
        <v>0</v>
      </c>
      <c r="CV455" s="407">
        <v>0</v>
      </c>
      <c r="CW455" s="407">
        <v>0</v>
      </c>
      <c r="CX455" s="407">
        <v>0</v>
      </c>
      <c r="CY455" s="407">
        <v>0</v>
      </c>
      <c r="CZ455" s="407">
        <v>0</v>
      </c>
      <c r="DA455" s="407">
        <v>0</v>
      </c>
      <c r="DB455" s="407">
        <v>0</v>
      </c>
      <c r="DC455" s="407">
        <v>14718.448610124775</v>
      </c>
      <c r="DD455" s="407">
        <v>0</v>
      </c>
      <c r="DE455" s="407">
        <v>0</v>
      </c>
      <c r="DF455" s="407">
        <v>0</v>
      </c>
      <c r="DG455" s="407">
        <v>495.27682081093371</v>
      </c>
      <c r="DH455" s="407">
        <v>0</v>
      </c>
      <c r="DI455" s="407">
        <v>-1817.5587875604942</v>
      </c>
      <c r="DJ455" s="407"/>
      <c r="DK455" s="407">
        <v>0</v>
      </c>
      <c r="DL455" s="407">
        <v>0</v>
      </c>
      <c r="DM455" s="407">
        <v>0</v>
      </c>
      <c r="DN455" s="407">
        <v>0</v>
      </c>
      <c r="DO455" s="407">
        <v>-281.20631278256133</v>
      </c>
      <c r="DP455" s="407">
        <v>-32.929365335727766</v>
      </c>
      <c r="DQ455" s="407">
        <v>0</v>
      </c>
      <c r="DR455" s="407">
        <v>-2393.5905647747509</v>
      </c>
      <c r="DS455" s="407"/>
      <c r="DT455" s="407"/>
      <c r="DU455" s="407"/>
      <c r="DV455" s="407">
        <v>0</v>
      </c>
      <c r="DW455" s="407">
        <v>0</v>
      </c>
      <c r="DX455" s="407">
        <v>0</v>
      </c>
      <c r="DY455" s="407">
        <v>-2531.7063800000033</v>
      </c>
      <c r="DZ455" s="407">
        <v>13221.668109999999</v>
      </c>
      <c r="EA455" s="407">
        <v>0</v>
      </c>
      <c r="EB455" s="407">
        <v>0</v>
      </c>
      <c r="EC455" s="407">
        <v>0</v>
      </c>
      <c r="ED455" s="407">
        <v>0</v>
      </c>
      <c r="EE455" s="407">
        <v>0</v>
      </c>
      <c r="EF455" s="407">
        <v>0</v>
      </c>
      <c r="EG455" s="407">
        <v>0</v>
      </c>
      <c r="EH455" s="407">
        <v>0</v>
      </c>
      <c r="EI455" s="407">
        <v>0</v>
      </c>
      <c r="EJ455" s="407">
        <v>0</v>
      </c>
      <c r="EK455" s="407">
        <v>0</v>
      </c>
      <c r="EL455" s="407">
        <v>0</v>
      </c>
      <c r="EM455" s="407">
        <v>0</v>
      </c>
      <c r="EN455" s="407">
        <v>0</v>
      </c>
      <c r="EO455" s="407">
        <v>0</v>
      </c>
      <c r="EP455" s="407">
        <v>12291.845399219212</v>
      </c>
      <c r="EQ455" s="407">
        <v>0</v>
      </c>
      <c r="ER455" s="407">
        <v>0</v>
      </c>
      <c r="ES455" s="407">
        <v>0</v>
      </c>
      <c r="ET455" s="407">
        <v>0</v>
      </c>
      <c r="EU455" s="407">
        <v>0</v>
      </c>
      <c r="EV455" s="407">
        <v>246</v>
      </c>
      <c r="EW455" s="407">
        <v>0</v>
      </c>
      <c r="EX455" s="407">
        <v>0</v>
      </c>
      <c r="EY455" s="407">
        <v>0</v>
      </c>
      <c r="EZ455" s="407"/>
      <c r="FA455" s="407">
        <v>0</v>
      </c>
      <c r="FB455" s="407"/>
      <c r="FC455" s="407"/>
      <c r="FD455" s="407"/>
      <c r="FE455" s="407"/>
      <c r="FF455" s="407">
        <v>0</v>
      </c>
      <c r="FG455" s="407">
        <v>0</v>
      </c>
      <c r="FH455" s="407">
        <v>0</v>
      </c>
      <c r="FI455" s="407">
        <v>0</v>
      </c>
    </row>
    <row r="456" spans="1:165">
      <c r="A456" s="407">
        <v>474</v>
      </c>
      <c r="B456" s="407" t="s">
        <v>1090</v>
      </c>
      <c r="C456" s="407" t="s">
        <v>2314</v>
      </c>
      <c r="D456" s="407" t="s">
        <v>650</v>
      </c>
      <c r="E456" s="407" t="s">
        <v>1022</v>
      </c>
      <c r="F456" s="407" t="s">
        <v>97</v>
      </c>
      <c r="G456" s="407" t="s">
        <v>97</v>
      </c>
      <c r="H456" s="407" t="s">
        <v>97</v>
      </c>
      <c r="I456" s="407" t="s">
        <v>97</v>
      </c>
      <c r="J456" s="407" t="s">
        <v>2307</v>
      </c>
      <c r="K456" s="818">
        <v>44593</v>
      </c>
      <c r="L456" s="407">
        <v>2270</v>
      </c>
      <c r="M456" s="407">
        <v>2270</v>
      </c>
      <c r="N456" s="407">
        <v>0</v>
      </c>
      <c r="O456" s="407">
        <v>0</v>
      </c>
      <c r="P456" s="407">
        <v>0</v>
      </c>
      <c r="Q456" s="407">
        <v>0</v>
      </c>
      <c r="R456" s="407">
        <v>43.29</v>
      </c>
      <c r="S456" s="407"/>
      <c r="T456" s="407"/>
      <c r="U456" s="407">
        <v>98268.3</v>
      </c>
      <c r="V456" s="407"/>
      <c r="W456" s="407">
        <v>98268.3</v>
      </c>
      <c r="X456" s="407">
        <v>76022.3</v>
      </c>
      <c r="Y456" s="407">
        <v>0</v>
      </c>
      <c r="Z456" s="407">
        <v>0</v>
      </c>
      <c r="AA456" s="407">
        <v>0</v>
      </c>
      <c r="AB456" s="407">
        <v>0</v>
      </c>
      <c r="AC456" s="407">
        <v>0</v>
      </c>
      <c r="AD456" s="407">
        <v>53717.250849654265</v>
      </c>
      <c r="AE456" s="407">
        <v>44558.254726923529</v>
      </c>
      <c r="AF456" s="407"/>
      <c r="AG456" s="407"/>
      <c r="AH456" s="407"/>
      <c r="AI456" s="407">
        <v>0</v>
      </c>
      <c r="AJ456" s="407">
        <v>0</v>
      </c>
      <c r="AK456" s="407">
        <v>0</v>
      </c>
      <c r="AL456" s="407">
        <v>0</v>
      </c>
      <c r="AM456" s="407"/>
      <c r="AN456" s="407">
        <v>0</v>
      </c>
      <c r="AO456" s="407">
        <v>0</v>
      </c>
      <c r="AP456" s="407">
        <v>0</v>
      </c>
      <c r="AQ456" s="407">
        <v>0</v>
      </c>
      <c r="AR456" s="407">
        <v>0</v>
      </c>
      <c r="AS456" s="407"/>
      <c r="AT456" s="407"/>
      <c r="AU456" s="407">
        <v>0</v>
      </c>
      <c r="AV456" s="407">
        <v>0</v>
      </c>
      <c r="AW456" s="407">
        <v>0</v>
      </c>
      <c r="AX456" s="407"/>
      <c r="AY456" s="407"/>
      <c r="AZ456" s="407">
        <v>0</v>
      </c>
      <c r="BA456" s="407"/>
      <c r="BB456" s="407">
        <v>0</v>
      </c>
      <c r="BC456" s="407">
        <v>0</v>
      </c>
      <c r="BD456" s="407">
        <v>0</v>
      </c>
      <c r="BE456" s="407">
        <v>0</v>
      </c>
      <c r="BF456" s="407"/>
      <c r="BG456" s="407">
        <v>0</v>
      </c>
      <c r="BH456" s="407">
        <v>0</v>
      </c>
      <c r="BI456" s="407">
        <v>498.47</v>
      </c>
      <c r="BJ456" s="407">
        <v>2150.0100000000002</v>
      </c>
      <c r="BK456" s="407">
        <v>61952.09</v>
      </c>
      <c r="BL456" s="407">
        <v>13</v>
      </c>
      <c r="BM456" s="407"/>
      <c r="BN456" s="407"/>
      <c r="BO456" s="407"/>
      <c r="BP456" s="407"/>
      <c r="BQ456" s="407"/>
      <c r="BR456" s="407"/>
      <c r="BS456" s="407"/>
      <c r="BT456" s="407"/>
      <c r="BU456" s="407"/>
      <c r="BV456" s="407">
        <v>0</v>
      </c>
      <c r="BW456" s="407"/>
      <c r="BX456" s="407"/>
      <c r="BY456" s="407"/>
      <c r="BZ456" s="407"/>
      <c r="CA456" s="407"/>
      <c r="CB456" s="407"/>
      <c r="CC456" s="407"/>
      <c r="CD456" s="407"/>
      <c r="CE456" s="407"/>
      <c r="CF456" s="407"/>
      <c r="CG456" s="407"/>
      <c r="CH456" s="407"/>
      <c r="CI456" s="407">
        <v>76022.3</v>
      </c>
      <c r="CJ456" s="407">
        <v>-22246.029999999984</v>
      </c>
      <c r="CK456" s="407"/>
      <c r="CL456" s="407"/>
      <c r="CM456" s="407"/>
      <c r="CN456" s="407"/>
      <c r="CO456" s="407">
        <v>-22245.999999999993</v>
      </c>
      <c r="CP456" s="407">
        <v>0</v>
      </c>
      <c r="CQ456" s="407">
        <v>29</v>
      </c>
      <c r="CR456" s="407">
        <v>507.70852963728248</v>
      </c>
      <c r="CS456" s="407">
        <v>0</v>
      </c>
      <c r="CT456" s="407">
        <v>0</v>
      </c>
      <c r="CU456" s="407">
        <v>0</v>
      </c>
      <c r="CV456" s="407">
        <v>0</v>
      </c>
      <c r="CW456" s="407"/>
      <c r="CX456" s="407"/>
      <c r="CY456" s="407"/>
      <c r="CZ456" s="407">
        <v>2426.5147319828029</v>
      </c>
      <c r="DA456" s="407">
        <v>0</v>
      </c>
      <c r="DB456" s="407">
        <v>0</v>
      </c>
      <c r="DC456" s="407"/>
      <c r="DD456" s="407"/>
      <c r="DE456" s="407">
        <v>0</v>
      </c>
      <c r="DF456" s="407">
        <v>0</v>
      </c>
      <c r="DG456" s="407">
        <v>0</v>
      </c>
      <c r="DH456" s="407">
        <v>0</v>
      </c>
      <c r="DI456" s="407">
        <v>0</v>
      </c>
      <c r="DJ456" s="407"/>
      <c r="DK456" s="407">
        <v>0</v>
      </c>
      <c r="DL456" s="407">
        <v>0</v>
      </c>
      <c r="DM456" s="407"/>
      <c r="DN456" s="407">
        <v>0</v>
      </c>
      <c r="DO456" s="407">
        <v>0</v>
      </c>
      <c r="DP456" s="407">
        <v>0</v>
      </c>
      <c r="DQ456" s="407">
        <v>0</v>
      </c>
      <c r="DR456" s="407">
        <v>-1918.8062023455232</v>
      </c>
      <c r="DS456" s="407"/>
      <c r="DT456" s="407"/>
      <c r="DU456" s="407">
        <v>44558.254726923529</v>
      </c>
      <c r="DV456" s="407"/>
      <c r="DW456" s="407">
        <v>0</v>
      </c>
      <c r="DX456" s="407">
        <v>0</v>
      </c>
      <c r="DY456" s="407">
        <v>-22246</v>
      </c>
      <c r="DZ456" s="407"/>
      <c r="EA456" s="407">
        <v>0</v>
      </c>
      <c r="EB456" s="407"/>
      <c r="EC456" s="407">
        <v>-22760.46000655567</v>
      </c>
      <c r="ED456" s="407"/>
      <c r="EE456" s="407">
        <v>0</v>
      </c>
      <c r="EF456" s="407">
        <v>0</v>
      </c>
      <c r="EG456" s="407"/>
      <c r="EH456" s="407">
        <v>0</v>
      </c>
      <c r="EI456" s="407">
        <v>0</v>
      </c>
      <c r="EJ456" s="407">
        <v>0</v>
      </c>
      <c r="EK456" s="407">
        <v>0</v>
      </c>
      <c r="EL456" s="407">
        <v>0</v>
      </c>
      <c r="EM456" s="407"/>
      <c r="EN456" s="407"/>
      <c r="EO456" s="407">
        <v>0</v>
      </c>
      <c r="EP456" s="407">
        <v>0</v>
      </c>
      <c r="EQ456" s="407"/>
      <c r="ER456" s="407">
        <v>0</v>
      </c>
      <c r="ES456" s="407"/>
      <c r="ET456" s="407">
        <v>0</v>
      </c>
      <c r="EU456" s="407"/>
      <c r="EV456" s="407">
        <v>246</v>
      </c>
      <c r="EW456" s="407"/>
      <c r="EX456" s="407"/>
      <c r="EY456" s="407"/>
      <c r="EZ456" s="407"/>
      <c r="FA456" s="407">
        <v>0</v>
      </c>
      <c r="FB456" s="407"/>
      <c r="FC456" s="407"/>
      <c r="FD456" s="407"/>
      <c r="FE456" s="407"/>
      <c r="FF456" s="407">
        <v>0</v>
      </c>
      <c r="FG456" s="407">
        <v>0</v>
      </c>
      <c r="FH456" s="407">
        <v>0</v>
      </c>
      <c r="FI456" s="407">
        <v>0</v>
      </c>
    </row>
    <row r="457" spans="1:165">
      <c r="A457" s="407">
        <v>475</v>
      </c>
      <c r="B457" s="407" t="s">
        <v>1090</v>
      </c>
      <c r="C457" s="407" t="s">
        <v>2306</v>
      </c>
      <c r="D457" s="407" t="s">
        <v>1219</v>
      </c>
      <c r="E457" s="407" t="s">
        <v>1049</v>
      </c>
      <c r="F457" s="407" t="s">
        <v>97</v>
      </c>
      <c r="G457" s="407" t="s">
        <v>97</v>
      </c>
      <c r="H457" s="407" t="s">
        <v>97</v>
      </c>
      <c r="I457" s="407" t="s">
        <v>97</v>
      </c>
      <c r="J457" s="407" t="s">
        <v>2307</v>
      </c>
      <c r="K457" s="818">
        <v>44593</v>
      </c>
      <c r="L457" s="407">
        <v>0</v>
      </c>
      <c r="M457" s="407">
        <v>0</v>
      </c>
      <c r="N457" s="407">
        <v>887.71100000000001</v>
      </c>
      <c r="O457" s="407">
        <v>887.71100000000001</v>
      </c>
      <c r="P457" s="407">
        <v>887.71100000000001</v>
      </c>
      <c r="Q457" s="407">
        <v>887.71100000000001</v>
      </c>
      <c r="R457" s="407"/>
      <c r="S457" s="407">
        <v>648.44000000000005</v>
      </c>
      <c r="T457" s="407">
        <v>159.41</v>
      </c>
      <c r="U457" s="407"/>
      <c r="V457" s="407">
        <v>717137.33135000011</v>
      </c>
      <c r="W457" s="407">
        <v>717137.33135000011</v>
      </c>
      <c r="X457" s="407">
        <v>543119.34401999996</v>
      </c>
      <c r="Y457" s="407">
        <v>0</v>
      </c>
      <c r="Z457" s="407">
        <v>55011.67315701388</v>
      </c>
      <c r="AA457" s="407">
        <v>0</v>
      </c>
      <c r="AB457" s="407">
        <v>0</v>
      </c>
      <c r="AC457" s="407">
        <v>0</v>
      </c>
      <c r="AD457" s="407">
        <v>103546.54023700616</v>
      </c>
      <c r="AE457" s="407">
        <v>370660.16902758693</v>
      </c>
      <c r="AF457" s="407">
        <v>136912.30376411069</v>
      </c>
      <c r="AG457" s="407">
        <v>4599.8940224904973</v>
      </c>
      <c r="AH457" s="407">
        <v>0</v>
      </c>
      <c r="AI457" s="407">
        <v>0</v>
      </c>
      <c r="AJ457" s="407">
        <v>0</v>
      </c>
      <c r="AK457" s="407">
        <v>0</v>
      </c>
      <c r="AL457" s="407">
        <v>8500.7696714626472</v>
      </c>
      <c r="AM457" s="407"/>
      <c r="AN457" s="407">
        <v>1842.0852261046853</v>
      </c>
      <c r="AO457" s="407">
        <v>0</v>
      </c>
      <c r="AP457" s="407">
        <v>0</v>
      </c>
      <c r="AQ457" s="407">
        <v>0</v>
      </c>
      <c r="AR457" s="407">
        <v>0</v>
      </c>
      <c r="AS457" s="407">
        <v>0</v>
      </c>
      <c r="AT457" s="407">
        <v>0</v>
      </c>
      <c r="AU457" s="407">
        <v>0</v>
      </c>
      <c r="AV457" s="407">
        <v>0</v>
      </c>
      <c r="AW457" s="407">
        <v>0</v>
      </c>
      <c r="AX457" s="407">
        <v>0</v>
      </c>
      <c r="AY457" s="407">
        <v>0</v>
      </c>
      <c r="AZ457" s="407">
        <v>0</v>
      </c>
      <c r="BA457" s="407"/>
      <c r="BB457" s="407">
        <v>0</v>
      </c>
      <c r="BC457" s="407">
        <v>0</v>
      </c>
      <c r="BD457" s="407">
        <v>0</v>
      </c>
      <c r="BE457" s="407">
        <v>0</v>
      </c>
      <c r="BF457" s="407">
        <v>0</v>
      </c>
      <c r="BG457" s="407">
        <v>10007.852211720739</v>
      </c>
      <c r="BH457" s="407">
        <v>0</v>
      </c>
      <c r="BI457" s="407">
        <v>1072.17</v>
      </c>
      <c r="BJ457" s="407">
        <v>4656.8999999999996</v>
      </c>
      <c r="BK457" s="407">
        <v>224953.43</v>
      </c>
      <c r="BL457" s="407">
        <v>1548</v>
      </c>
      <c r="BM457" s="407"/>
      <c r="BN457" s="407"/>
      <c r="BO457" s="407"/>
      <c r="BP457" s="407"/>
      <c r="BQ457" s="407"/>
      <c r="BR457" s="407"/>
      <c r="BS457" s="407"/>
      <c r="BT457" s="407"/>
      <c r="BU457" s="407"/>
      <c r="BV457" s="407">
        <v>146920.15597583144</v>
      </c>
      <c r="BW457" s="407"/>
      <c r="BX457" s="407"/>
      <c r="BY457" s="407"/>
      <c r="BZ457" s="407"/>
      <c r="CA457" s="407"/>
      <c r="CB457" s="407"/>
      <c r="CC457" s="407"/>
      <c r="CD457" s="407"/>
      <c r="CE457" s="407"/>
      <c r="CF457" s="407"/>
      <c r="CG457" s="407"/>
      <c r="CH457" s="407"/>
      <c r="CI457" s="407">
        <v>543118.73220000009</v>
      </c>
      <c r="CJ457" s="407">
        <v>-174018.62915000005</v>
      </c>
      <c r="CK457" s="407"/>
      <c r="CL457" s="407"/>
      <c r="CM457" s="407"/>
      <c r="CN457" s="407"/>
      <c r="CO457" s="407">
        <v>-198403.40850000005</v>
      </c>
      <c r="CP457" s="407">
        <v>24385.421169999998</v>
      </c>
      <c r="CQ457" s="407">
        <v>29</v>
      </c>
      <c r="CR457" s="407">
        <v>15316.58158669807</v>
      </c>
      <c r="CS457" s="407">
        <v>0</v>
      </c>
      <c r="CT457" s="407">
        <v>0</v>
      </c>
      <c r="CU457" s="407">
        <v>0</v>
      </c>
      <c r="CV457" s="407">
        <v>0</v>
      </c>
      <c r="CW457" s="407">
        <v>0</v>
      </c>
      <c r="CX457" s="407">
        <v>0</v>
      </c>
      <c r="CY457" s="407">
        <v>0</v>
      </c>
      <c r="CZ457" s="407">
        <v>4677.4025356245838</v>
      </c>
      <c r="DA457" s="407">
        <v>0</v>
      </c>
      <c r="DB457" s="407">
        <v>0</v>
      </c>
      <c r="DC457" s="407">
        <v>27146.012540992</v>
      </c>
      <c r="DD457" s="407">
        <v>0</v>
      </c>
      <c r="DE457" s="407">
        <v>0</v>
      </c>
      <c r="DF457" s="407">
        <v>0</v>
      </c>
      <c r="DG457" s="407">
        <v>1984.2868330945548</v>
      </c>
      <c r="DH457" s="407">
        <v>0</v>
      </c>
      <c r="DI457" s="407">
        <v>-3853.1261120093186</v>
      </c>
      <c r="DJ457" s="407"/>
      <c r="DK457" s="407">
        <v>0</v>
      </c>
      <c r="DL457" s="407">
        <v>0</v>
      </c>
      <c r="DM457" s="407">
        <v>0</v>
      </c>
      <c r="DN457" s="407">
        <v>0</v>
      </c>
      <c r="DO457" s="407">
        <v>-518.64366249513387</v>
      </c>
      <c r="DP457" s="407">
        <v>-117.37322343978167</v>
      </c>
      <c r="DQ457" s="407">
        <v>0</v>
      </c>
      <c r="DR457" s="407">
        <v>-14001.97732506877</v>
      </c>
      <c r="DS457" s="407"/>
      <c r="DT457" s="407"/>
      <c r="DU457" s="407"/>
      <c r="DV457" s="407">
        <v>370660.16902758693</v>
      </c>
      <c r="DW457" s="407">
        <v>0</v>
      </c>
      <c r="DX457" s="407">
        <v>0</v>
      </c>
      <c r="DY457" s="407">
        <v>-198403.40850000008</v>
      </c>
      <c r="DZ457" s="407">
        <v>24385.421170000016</v>
      </c>
      <c r="EA457" s="407">
        <v>0</v>
      </c>
      <c r="EB457" s="407">
        <v>0</v>
      </c>
      <c r="EC457" s="407">
        <v>-189334.07524325681</v>
      </c>
      <c r="ED457" s="407">
        <v>0</v>
      </c>
      <c r="EE457" s="407">
        <v>0</v>
      </c>
      <c r="EF457" s="407">
        <v>0</v>
      </c>
      <c r="EG457" s="407">
        <v>0</v>
      </c>
      <c r="EH457" s="407">
        <v>0</v>
      </c>
      <c r="EI457" s="407">
        <v>0</v>
      </c>
      <c r="EJ457" s="407">
        <v>0</v>
      </c>
      <c r="EK457" s="407">
        <v>0</v>
      </c>
      <c r="EL457" s="407">
        <v>0</v>
      </c>
      <c r="EM457" s="407">
        <v>0</v>
      </c>
      <c r="EN457" s="407">
        <v>0</v>
      </c>
      <c r="EO457" s="407">
        <v>0</v>
      </c>
      <c r="EP457" s="407">
        <v>26058.045988202844</v>
      </c>
      <c r="EQ457" s="407">
        <v>0</v>
      </c>
      <c r="ER457" s="407">
        <v>0</v>
      </c>
      <c r="ES457" s="407">
        <v>0</v>
      </c>
      <c r="ET457" s="407">
        <v>0</v>
      </c>
      <c r="EU457" s="407">
        <v>0</v>
      </c>
      <c r="EV457" s="407">
        <v>246</v>
      </c>
      <c r="EW457" s="407">
        <v>0</v>
      </c>
      <c r="EX457" s="407">
        <v>0</v>
      </c>
      <c r="EY457" s="407">
        <v>0</v>
      </c>
      <c r="EZ457" s="407"/>
      <c r="FA457" s="407">
        <v>0</v>
      </c>
      <c r="FB457" s="407"/>
      <c r="FC457" s="407"/>
      <c r="FD457" s="407"/>
      <c r="FE457" s="407"/>
      <c r="FF457" s="407">
        <v>0</v>
      </c>
      <c r="FG457" s="407">
        <v>0</v>
      </c>
      <c r="FH457" s="407">
        <v>0</v>
      </c>
      <c r="FI457" s="407">
        <v>0</v>
      </c>
    </row>
    <row r="458" spans="1:165">
      <c r="A458" s="407">
        <v>476</v>
      </c>
      <c r="B458" s="407" t="s">
        <v>2308</v>
      </c>
      <c r="C458" s="407" t="s">
        <v>2306</v>
      </c>
      <c r="D458" s="407" t="s">
        <v>1219</v>
      </c>
      <c r="E458" s="407" t="s">
        <v>1049</v>
      </c>
      <c r="F458" s="407" t="s">
        <v>97</v>
      </c>
      <c r="G458" s="407" t="s">
        <v>97</v>
      </c>
      <c r="H458" s="407" t="s">
        <v>97</v>
      </c>
      <c r="I458" s="407" t="s">
        <v>97</v>
      </c>
      <c r="J458" s="407" t="s">
        <v>2307</v>
      </c>
      <c r="K458" s="818">
        <v>44593</v>
      </c>
      <c r="L458" s="407">
        <v>0</v>
      </c>
      <c r="M458" s="407">
        <v>0</v>
      </c>
      <c r="N458" s="407">
        <v>-0.127</v>
      </c>
      <c r="O458" s="407">
        <v>-0.127</v>
      </c>
      <c r="P458" s="407">
        <v>-0.127</v>
      </c>
      <c r="Q458" s="407">
        <v>-0.127</v>
      </c>
      <c r="R458" s="407"/>
      <c r="S458" s="407">
        <v>648.44000000000005</v>
      </c>
      <c r="T458" s="407">
        <v>159.41</v>
      </c>
      <c r="U458" s="407"/>
      <c r="V458" s="407">
        <v>-102.59695000000001</v>
      </c>
      <c r="W458" s="407">
        <v>-102.59695000000001</v>
      </c>
      <c r="X458" s="407">
        <v>-77.701139999999995</v>
      </c>
      <c r="Y458" s="407">
        <v>0</v>
      </c>
      <c r="Z458" s="407">
        <v>-7.8702218300108511</v>
      </c>
      <c r="AA458" s="407">
        <v>0</v>
      </c>
      <c r="AB458" s="407">
        <v>0</v>
      </c>
      <c r="AC458" s="407">
        <v>0</v>
      </c>
      <c r="AD458" s="407">
        <v>-14.813842128913333</v>
      </c>
      <c r="AE458" s="407">
        <v>-53.028340829958779</v>
      </c>
      <c r="AF458" s="407">
        <v>-19.587301022564841</v>
      </c>
      <c r="AG458" s="407">
        <v>-0.65808189924006022</v>
      </c>
      <c r="AH458" s="407">
        <v>0</v>
      </c>
      <c r="AI458" s="407">
        <v>0</v>
      </c>
      <c r="AJ458" s="407">
        <v>0</v>
      </c>
      <c r="AK458" s="407">
        <v>0</v>
      </c>
      <c r="AL458" s="407">
        <v>-1.2161590295442506</v>
      </c>
      <c r="AM458" s="407"/>
      <c r="AN458" s="407">
        <v>-0.2635371463407517</v>
      </c>
      <c r="AO458" s="407">
        <v>0</v>
      </c>
      <c r="AP458" s="407">
        <v>0</v>
      </c>
      <c r="AQ458" s="407">
        <v>0</v>
      </c>
      <c r="AR458" s="407">
        <v>0</v>
      </c>
      <c r="AS458" s="407">
        <v>0</v>
      </c>
      <c r="AT458" s="407">
        <v>0</v>
      </c>
      <c r="AU458" s="407">
        <v>0</v>
      </c>
      <c r="AV458" s="407">
        <v>0</v>
      </c>
      <c r="AW458" s="407">
        <v>0</v>
      </c>
      <c r="AX458" s="407">
        <v>0</v>
      </c>
      <c r="AY458" s="407">
        <v>0</v>
      </c>
      <c r="AZ458" s="407">
        <v>0</v>
      </c>
      <c r="BA458" s="407"/>
      <c r="BB458" s="407">
        <v>0</v>
      </c>
      <c r="BC458" s="407">
        <v>0</v>
      </c>
      <c r="BD458" s="407">
        <v>0</v>
      </c>
      <c r="BE458" s="407">
        <v>0</v>
      </c>
      <c r="BF458" s="407">
        <v>0</v>
      </c>
      <c r="BG458" s="407">
        <v>-1.4317691578549032</v>
      </c>
      <c r="BH458" s="407">
        <v>0</v>
      </c>
      <c r="BI458" s="407">
        <v>-7.0000000000000007E-2</v>
      </c>
      <c r="BJ458" s="407">
        <v>-0.38</v>
      </c>
      <c r="BK458" s="407">
        <v>-32.06</v>
      </c>
      <c r="BL458" s="407">
        <v>0</v>
      </c>
      <c r="BM458" s="407"/>
      <c r="BN458" s="407"/>
      <c r="BO458" s="407"/>
      <c r="BP458" s="407"/>
      <c r="BQ458" s="407"/>
      <c r="BR458" s="407"/>
      <c r="BS458" s="407"/>
      <c r="BT458" s="407"/>
      <c r="BU458" s="407"/>
      <c r="BV458" s="407">
        <v>-21.019070180419742</v>
      </c>
      <c r="BW458" s="407"/>
      <c r="BX458" s="407"/>
      <c r="BY458" s="407"/>
      <c r="BZ458" s="407"/>
      <c r="CA458" s="407"/>
      <c r="CB458" s="407"/>
      <c r="CC458" s="407"/>
      <c r="CD458" s="407"/>
      <c r="CE458" s="407"/>
      <c r="CF458" s="407"/>
      <c r="CG458" s="407"/>
      <c r="CH458" s="407"/>
      <c r="CI458" s="407">
        <v>-79.536600000000007</v>
      </c>
      <c r="CJ458" s="407">
        <v>23.030349999999984</v>
      </c>
      <c r="CK458" s="407"/>
      <c r="CL458" s="407"/>
      <c r="CM458" s="407"/>
      <c r="CN458" s="407"/>
      <c r="CO458" s="407">
        <v>28.384500000000006</v>
      </c>
      <c r="CP458" s="407">
        <v>-3.4886900000000001</v>
      </c>
      <c r="CQ458" s="407">
        <v>29</v>
      </c>
      <c r="CR458" s="407">
        <v>-2.1912602879886052</v>
      </c>
      <c r="CS458" s="407">
        <v>0</v>
      </c>
      <c r="CT458" s="407">
        <v>0</v>
      </c>
      <c r="CU458" s="407">
        <v>0</v>
      </c>
      <c r="CV458" s="407">
        <v>0</v>
      </c>
      <c r="CW458" s="407">
        <v>0</v>
      </c>
      <c r="CX458" s="407">
        <v>0</v>
      </c>
      <c r="CY458" s="407">
        <v>0</v>
      </c>
      <c r="CZ458" s="407">
        <v>-0.66917062199783572</v>
      </c>
      <c r="DA458" s="407">
        <v>0</v>
      </c>
      <c r="DB458" s="407">
        <v>0</v>
      </c>
      <c r="DC458" s="407">
        <v>-3.8836328407623455</v>
      </c>
      <c r="DD458" s="407">
        <v>0</v>
      </c>
      <c r="DE458" s="407">
        <v>0</v>
      </c>
      <c r="DF458" s="407">
        <v>0</v>
      </c>
      <c r="DG458" s="407">
        <v>-0.28388115929960134</v>
      </c>
      <c r="DH458" s="407">
        <v>0</v>
      </c>
      <c r="DI458" s="407">
        <v>0.55124586292744304</v>
      </c>
      <c r="DJ458" s="407"/>
      <c r="DK458" s="407">
        <v>0</v>
      </c>
      <c r="DL458" s="407">
        <v>0</v>
      </c>
      <c r="DM458" s="407">
        <v>0</v>
      </c>
      <c r="DN458" s="407">
        <v>0</v>
      </c>
      <c r="DO458" s="407">
        <v>7.4199536940380284E-2</v>
      </c>
      <c r="DP458" s="407">
        <v>1.679195073267345E-2</v>
      </c>
      <c r="DQ458" s="407">
        <v>0</v>
      </c>
      <c r="DR458" s="407">
        <v>2.0031869834706724</v>
      </c>
      <c r="DS458" s="407"/>
      <c r="DT458" s="407"/>
      <c r="DU458" s="407"/>
      <c r="DV458" s="407">
        <v>-53.028340829958779</v>
      </c>
      <c r="DW458" s="407">
        <v>0</v>
      </c>
      <c r="DX458" s="407">
        <v>0</v>
      </c>
      <c r="DY458" s="407">
        <v>28.38450000000001</v>
      </c>
      <c r="DZ458" s="407">
        <v>-3.4886900000000018</v>
      </c>
      <c r="EA458" s="407">
        <v>0</v>
      </c>
      <c r="EB458" s="407">
        <v>0</v>
      </c>
      <c r="EC458" s="407">
        <v>27.086999660805841</v>
      </c>
      <c r="ED458" s="407">
        <v>0</v>
      </c>
      <c r="EE458" s="407">
        <v>0</v>
      </c>
      <c r="EF458" s="407">
        <v>0</v>
      </c>
      <c r="EG458" s="407">
        <v>0</v>
      </c>
      <c r="EH458" s="407">
        <v>0</v>
      </c>
      <c r="EI458" s="407">
        <v>0</v>
      </c>
      <c r="EJ458" s="407">
        <v>0</v>
      </c>
      <c r="EK458" s="407">
        <v>0</v>
      </c>
      <c r="EL458" s="407">
        <v>0</v>
      </c>
      <c r="EM458" s="407">
        <v>0</v>
      </c>
      <c r="EN458" s="407">
        <v>0</v>
      </c>
      <c r="EO458" s="407">
        <v>0</v>
      </c>
      <c r="EP458" s="407">
        <v>-3.7279833645203913</v>
      </c>
      <c r="EQ458" s="407">
        <v>0</v>
      </c>
      <c r="ER458" s="407">
        <v>0</v>
      </c>
      <c r="ES458" s="407">
        <v>0</v>
      </c>
      <c r="ET458" s="407">
        <v>0</v>
      </c>
      <c r="EU458" s="407">
        <v>0</v>
      </c>
      <c r="EV458" s="407">
        <v>246</v>
      </c>
      <c r="EW458" s="407">
        <v>0</v>
      </c>
      <c r="EX458" s="407">
        <v>0</v>
      </c>
      <c r="EY458" s="407">
        <v>0</v>
      </c>
      <c r="EZ458" s="407"/>
      <c r="FA458" s="407">
        <v>0</v>
      </c>
      <c r="FB458" s="407"/>
      <c r="FC458" s="407"/>
      <c r="FD458" s="407"/>
      <c r="FE458" s="407"/>
      <c r="FF458" s="407">
        <v>0</v>
      </c>
      <c r="FG458" s="407">
        <v>0</v>
      </c>
      <c r="FH458" s="407">
        <v>0</v>
      </c>
      <c r="FI458" s="407">
        <v>0</v>
      </c>
    </row>
    <row r="459" spans="1:165">
      <c r="A459" s="407">
        <v>477</v>
      </c>
      <c r="B459" s="407" t="s">
        <v>2309</v>
      </c>
      <c r="C459" s="407" t="s">
        <v>2306</v>
      </c>
      <c r="D459" s="407" t="s">
        <v>1219</v>
      </c>
      <c r="E459" s="407" t="s">
        <v>1049</v>
      </c>
      <c r="F459" s="407" t="s">
        <v>97</v>
      </c>
      <c r="G459" s="407" t="s">
        <v>97</v>
      </c>
      <c r="H459" s="407" t="s">
        <v>97</v>
      </c>
      <c r="I459" s="407" t="s">
        <v>97</v>
      </c>
      <c r="J459" s="407" t="s">
        <v>2307</v>
      </c>
      <c r="K459" s="818">
        <v>44593</v>
      </c>
      <c r="L459" s="407">
        <v>0</v>
      </c>
      <c r="M459" s="407">
        <v>0</v>
      </c>
      <c r="N459" s="407">
        <v>68.165000000000006</v>
      </c>
      <c r="O459" s="407">
        <v>68.165000000000006</v>
      </c>
      <c r="P459" s="407">
        <v>68.165000000000006</v>
      </c>
      <c r="Q459" s="407">
        <v>68.165000000000006</v>
      </c>
      <c r="R459" s="407"/>
      <c r="S459" s="407">
        <v>648.44000000000005</v>
      </c>
      <c r="T459" s="407">
        <v>159.41</v>
      </c>
      <c r="U459" s="407"/>
      <c r="V459" s="407">
        <v>55067.095250000013</v>
      </c>
      <c r="W459" s="407">
        <v>55067.095250000013</v>
      </c>
      <c r="X459" s="407">
        <v>41704.710300000006</v>
      </c>
      <c r="Y459" s="407">
        <v>0</v>
      </c>
      <c r="Z459" s="407">
        <v>4224.2021341944073</v>
      </c>
      <c r="AA459" s="407">
        <v>0</v>
      </c>
      <c r="AB459" s="407">
        <v>0</v>
      </c>
      <c r="AC459" s="407">
        <v>0</v>
      </c>
      <c r="AD459" s="407">
        <v>7951.0673127352547</v>
      </c>
      <c r="AE459" s="407">
        <v>28462.022462001107</v>
      </c>
      <c r="AF459" s="407">
        <v>10513.136804749076</v>
      </c>
      <c r="AG459" s="407">
        <v>353.21380048581659</v>
      </c>
      <c r="AH459" s="407">
        <v>0</v>
      </c>
      <c r="AI459" s="407">
        <v>0</v>
      </c>
      <c r="AJ459" s="407">
        <v>0</v>
      </c>
      <c r="AK459" s="407">
        <v>0</v>
      </c>
      <c r="AL459" s="407">
        <v>652.75181298333735</v>
      </c>
      <c r="AM459" s="407"/>
      <c r="AN459" s="407">
        <v>141.44889433320742</v>
      </c>
      <c r="AO459" s="407">
        <v>0</v>
      </c>
      <c r="AP459" s="407">
        <v>0</v>
      </c>
      <c r="AQ459" s="407">
        <v>0</v>
      </c>
      <c r="AR459" s="407">
        <v>0</v>
      </c>
      <c r="AS459" s="407">
        <v>0</v>
      </c>
      <c r="AT459" s="407">
        <v>0</v>
      </c>
      <c r="AU459" s="407">
        <v>0</v>
      </c>
      <c r="AV459" s="407">
        <v>0</v>
      </c>
      <c r="AW459" s="407">
        <v>0</v>
      </c>
      <c r="AX459" s="407">
        <v>0</v>
      </c>
      <c r="AY459" s="407">
        <v>0</v>
      </c>
      <c r="AZ459" s="407">
        <v>0</v>
      </c>
      <c r="BA459" s="407"/>
      <c r="BB459" s="407">
        <v>0</v>
      </c>
      <c r="BC459" s="407">
        <v>0</v>
      </c>
      <c r="BD459" s="407">
        <v>0</v>
      </c>
      <c r="BE459" s="407">
        <v>0</v>
      </c>
      <c r="BF459" s="407">
        <v>0</v>
      </c>
      <c r="BG459" s="407">
        <v>768.47672948960223</v>
      </c>
      <c r="BH459" s="407">
        <v>0</v>
      </c>
      <c r="BI459" s="407">
        <v>82.58</v>
      </c>
      <c r="BJ459" s="407">
        <v>357.32</v>
      </c>
      <c r="BK459" s="407">
        <v>36688.839999999997</v>
      </c>
      <c r="BL459" s="407">
        <v>125</v>
      </c>
      <c r="BM459" s="407"/>
      <c r="BN459" s="407"/>
      <c r="BO459" s="407"/>
      <c r="BP459" s="407"/>
      <c r="BQ459" s="407"/>
      <c r="BR459" s="407"/>
      <c r="BS459" s="407"/>
      <c r="BT459" s="407"/>
      <c r="BU459" s="407"/>
      <c r="BV459" s="407">
        <v>11281.613534238679</v>
      </c>
      <c r="BW459" s="407"/>
      <c r="BX459" s="407"/>
      <c r="BY459" s="407"/>
      <c r="BZ459" s="407"/>
      <c r="CA459" s="407"/>
      <c r="CB459" s="407"/>
      <c r="CC459" s="407"/>
      <c r="CD459" s="407"/>
      <c r="CE459" s="407"/>
      <c r="CF459" s="407"/>
      <c r="CG459" s="407"/>
      <c r="CH459" s="407"/>
      <c r="CI459" s="407">
        <v>41707.769400000005</v>
      </c>
      <c r="CJ459" s="407">
        <v>-13359.355850000014</v>
      </c>
      <c r="CK459" s="407"/>
      <c r="CL459" s="407"/>
      <c r="CM459" s="407"/>
      <c r="CN459" s="407"/>
      <c r="CO459" s="407">
        <v>-15234.877500000006</v>
      </c>
      <c r="CP459" s="407">
        <v>1872.4925500000002</v>
      </c>
      <c r="CQ459" s="407">
        <v>29</v>
      </c>
      <c r="CR459" s="407">
        <v>1176.1201380373604</v>
      </c>
      <c r="CS459" s="407">
        <v>0</v>
      </c>
      <c r="CT459" s="407">
        <v>0</v>
      </c>
      <c r="CU459" s="407">
        <v>0</v>
      </c>
      <c r="CV459" s="407">
        <v>0</v>
      </c>
      <c r="CW459" s="407">
        <v>0</v>
      </c>
      <c r="CX459" s="407">
        <v>0</v>
      </c>
      <c r="CY459" s="407">
        <v>0</v>
      </c>
      <c r="CZ459" s="407">
        <v>359.16547597230419</v>
      </c>
      <c r="DA459" s="407">
        <v>0</v>
      </c>
      <c r="DB459" s="407">
        <v>0</v>
      </c>
      <c r="DC459" s="407">
        <v>2084.4711227603566</v>
      </c>
      <c r="DD459" s="407">
        <v>0</v>
      </c>
      <c r="DE459" s="407">
        <v>0</v>
      </c>
      <c r="DF459" s="407">
        <v>0</v>
      </c>
      <c r="DG459" s="407">
        <v>152.36818286344351</v>
      </c>
      <c r="DH459" s="407">
        <v>0</v>
      </c>
      <c r="DI459" s="407">
        <v>-295.87145075944227</v>
      </c>
      <c r="DJ459" s="407"/>
      <c r="DK459" s="407">
        <v>0</v>
      </c>
      <c r="DL459" s="407">
        <v>0</v>
      </c>
      <c r="DM459" s="407">
        <v>0</v>
      </c>
      <c r="DN459" s="407">
        <v>0</v>
      </c>
      <c r="DO459" s="407">
        <v>-39.825286894023861</v>
      </c>
      <c r="DP459" s="407">
        <v>-9.0127820605723343</v>
      </c>
      <c r="DQ459" s="407">
        <v>0</v>
      </c>
      <c r="DR459" s="407">
        <v>-1075.1751238447116</v>
      </c>
      <c r="DS459" s="407"/>
      <c r="DT459" s="407"/>
      <c r="DU459" s="407"/>
      <c r="DV459" s="407">
        <v>28462.022462001107</v>
      </c>
      <c r="DW459" s="407">
        <v>0</v>
      </c>
      <c r="DX459" s="407">
        <v>0</v>
      </c>
      <c r="DY459" s="407">
        <v>-15234.87750000001</v>
      </c>
      <c r="DZ459" s="407">
        <v>1872.4925500000008</v>
      </c>
      <c r="EA459" s="407">
        <v>0</v>
      </c>
      <c r="EB459" s="407">
        <v>0</v>
      </c>
      <c r="EC459" s="407">
        <v>-14538.467180148271</v>
      </c>
      <c r="ED459" s="407">
        <v>0</v>
      </c>
      <c r="EE459" s="407">
        <v>0</v>
      </c>
      <c r="EF459" s="407">
        <v>0</v>
      </c>
      <c r="EG459" s="407">
        <v>0</v>
      </c>
      <c r="EH459" s="407">
        <v>0</v>
      </c>
      <c r="EI459" s="407">
        <v>0</v>
      </c>
      <c r="EJ459" s="407">
        <v>0</v>
      </c>
      <c r="EK459" s="407">
        <v>0</v>
      </c>
      <c r="EL459" s="407">
        <v>0</v>
      </c>
      <c r="EM459" s="407">
        <v>0</v>
      </c>
      <c r="EN459" s="407">
        <v>0</v>
      </c>
      <c r="EO459" s="407">
        <v>0</v>
      </c>
      <c r="EP459" s="407">
        <v>2000.9290239569486</v>
      </c>
      <c r="EQ459" s="407">
        <v>0</v>
      </c>
      <c r="ER459" s="407">
        <v>0</v>
      </c>
      <c r="ES459" s="407">
        <v>0</v>
      </c>
      <c r="ET459" s="407">
        <v>0</v>
      </c>
      <c r="EU459" s="407">
        <v>0</v>
      </c>
      <c r="EV459" s="407">
        <v>246</v>
      </c>
      <c r="EW459" s="407">
        <v>0</v>
      </c>
      <c r="EX459" s="407">
        <v>0</v>
      </c>
      <c r="EY459" s="407">
        <v>0</v>
      </c>
      <c r="EZ459" s="407"/>
      <c r="FA459" s="407">
        <v>0</v>
      </c>
      <c r="FB459" s="407"/>
      <c r="FC459" s="407"/>
      <c r="FD459" s="407"/>
      <c r="FE459" s="407"/>
      <c r="FF459" s="407">
        <v>0</v>
      </c>
      <c r="FG459" s="407">
        <v>0</v>
      </c>
      <c r="FH459" s="407">
        <v>0</v>
      </c>
      <c r="FI459" s="407">
        <v>0</v>
      </c>
    </row>
    <row r="460" spans="1:165">
      <c r="A460" s="407">
        <v>478</v>
      </c>
      <c r="B460" s="407" t="s">
        <v>1090</v>
      </c>
      <c r="C460" s="407" t="s">
        <v>2314</v>
      </c>
      <c r="D460" s="407" t="s">
        <v>650</v>
      </c>
      <c r="E460" s="407" t="s">
        <v>1049</v>
      </c>
      <c r="F460" s="407" t="s">
        <v>97</v>
      </c>
      <c r="G460" s="407" t="s">
        <v>97</v>
      </c>
      <c r="H460" s="407" t="s">
        <v>97</v>
      </c>
      <c r="I460" s="407" t="s">
        <v>1025</v>
      </c>
      <c r="J460" s="407" t="s">
        <v>2307</v>
      </c>
      <c r="K460" s="818">
        <v>44593</v>
      </c>
      <c r="L460" s="407">
        <v>0</v>
      </c>
      <c r="M460" s="407">
        <v>0</v>
      </c>
      <c r="N460" s="407">
        <v>9.1259999999999994</v>
      </c>
      <c r="O460" s="407">
        <v>9.1259999999999994</v>
      </c>
      <c r="P460" s="407">
        <v>9.1259999999999994</v>
      </c>
      <c r="Q460" s="407">
        <v>9.1259999999999994</v>
      </c>
      <c r="R460" s="407"/>
      <c r="S460" s="407">
        <v>2810.7</v>
      </c>
      <c r="T460" s="407">
        <v>159.41</v>
      </c>
      <c r="U460" s="407"/>
      <c r="V460" s="407">
        <v>27105.223859999995</v>
      </c>
      <c r="W460" s="407">
        <v>27105.223859999995</v>
      </c>
      <c r="X460" s="407">
        <v>17263.562939999996</v>
      </c>
      <c r="Y460" s="407">
        <v>0</v>
      </c>
      <c r="Z460" s="407">
        <v>492.02024130701346</v>
      </c>
      <c r="AA460" s="407">
        <v>0</v>
      </c>
      <c r="AB460" s="407">
        <v>0</v>
      </c>
      <c r="AC460" s="407">
        <v>0</v>
      </c>
      <c r="AD460" s="407">
        <v>5571.5653052468688</v>
      </c>
      <c r="AE460" s="407">
        <v>19209.216138733824</v>
      </c>
      <c r="AF460" s="407">
        <v>1407.5095207238326</v>
      </c>
      <c r="AG460" s="407">
        <v>47.28862529499834</v>
      </c>
      <c r="AH460" s="407">
        <v>0</v>
      </c>
      <c r="AI460" s="407">
        <v>0</v>
      </c>
      <c r="AJ460" s="407">
        <v>0</v>
      </c>
      <c r="AK460" s="407">
        <v>0</v>
      </c>
      <c r="AL460" s="407">
        <v>87.391081130872678</v>
      </c>
      <c r="AM460" s="407"/>
      <c r="AN460" s="407">
        <v>9.7988908606581813</v>
      </c>
      <c r="AO460" s="407">
        <v>0</v>
      </c>
      <c r="AP460" s="407">
        <v>0</v>
      </c>
      <c r="AQ460" s="407">
        <v>0</v>
      </c>
      <c r="AR460" s="407">
        <v>0</v>
      </c>
      <c r="AS460" s="407">
        <v>0</v>
      </c>
      <c r="AT460" s="407">
        <v>0</v>
      </c>
      <c r="AU460" s="407">
        <v>0</v>
      </c>
      <c r="AV460" s="407">
        <v>0</v>
      </c>
      <c r="AW460" s="407">
        <v>0</v>
      </c>
      <c r="AX460" s="407">
        <v>0</v>
      </c>
      <c r="AY460" s="407">
        <v>0</v>
      </c>
      <c r="AZ460" s="407">
        <v>0</v>
      </c>
      <c r="BA460" s="407"/>
      <c r="BB460" s="407">
        <v>0</v>
      </c>
      <c r="BC460" s="407">
        <v>0</v>
      </c>
      <c r="BD460" s="407">
        <v>0</v>
      </c>
      <c r="BE460" s="407">
        <v>0</v>
      </c>
      <c r="BF460" s="407">
        <v>0</v>
      </c>
      <c r="BG460" s="407">
        <v>47.36279339968489</v>
      </c>
      <c r="BH460" s="407">
        <v>0</v>
      </c>
      <c r="BI460" s="407">
        <v>0</v>
      </c>
      <c r="BJ460" s="407">
        <v>0</v>
      </c>
      <c r="BK460" s="407">
        <v>0</v>
      </c>
      <c r="BL460" s="407">
        <v>0</v>
      </c>
      <c r="BM460" s="407"/>
      <c r="BN460" s="407"/>
      <c r="BO460" s="407"/>
      <c r="BP460" s="407"/>
      <c r="BQ460" s="407"/>
      <c r="BR460" s="407"/>
      <c r="BS460" s="407"/>
      <c r="BT460" s="407"/>
      <c r="BU460" s="407"/>
      <c r="BV460" s="407">
        <v>1454.8723141235175</v>
      </c>
      <c r="BW460" s="407"/>
      <c r="BX460" s="407"/>
      <c r="BY460" s="407"/>
      <c r="BZ460" s="407"/>
      <c r="CA460" s="407"/>
      <c r="CB460" s="407"/>
      <c r="CC460" s="407"/>
      <c r="CD460" s="407"/>
      <c r="CE460" s="407"/>
      <c r="CF460" s="407"/>
      <c r="CG460" s="407"/>
      <c r="CH460" s="407"/>
      <c r="CI460" s="407">
        <v>17271.129700000001</v>
      </c>
      <c r="CJ460" s="407">
        <v>-9834.1241599999885</v>
      </c>
      <c r="CK460" s="407"/>
      <c r="CL460" s="407"/>
      <c r="CM460" s="407"/>
      <c r="CN460" s="407"/>
      <c r="CO460" s="407">
        <v>-10092.352139999999</v>
      </c>
      <c r="CP460" s="407">
        <v>250.69121999999999</v>
      </c>
      <c r="CQ460" s="407">
        <v>29</v>
      </c>
      <c r="CR460" s="407">
        <v>-29.500680175832713</v>
      </c>
      <c r="CS460" s="407">
        <v>0</v>
      </c>
      <c r="CT460" s="407">
        <v>0</v>
      </c>
      <c r="CU460" s="407">
        <v>0</v>
      </c>
      <c r="CV460" s="407">
        <v>0</v>
      </c>
      <c r="CW460" s="407">
        <v>0</v>
      </c>
      <c r="CX460" s="407">
        <v>0</v>
      </c>
      <c r="CY460" s="407">
        <v>0</v>
      </c>
      <c r="CZ460" s="407">
        <v>251.67865219359373</v>
      </c>
      <c r="DA460" s="407">
        <v>0</v>
      </c>
      <c r="DB460" s="407">
        <v>0</v>
      </c>
      <c r="DC460" s="407">
        <v>279.07112838422972</v>
      </c>
      <c r="DD460" s="407">
        <v>0</v>
      </c>
      <c r="DE460" s="407">
        <v>0</v>
      </c>
      <c r="DF460" s="407">
        <v>0</v>
      </c>
      <c r="DG460" s="407">
        <v>9.3907629063012621</v>
      </c>
      <c r="DH460" s="407">
        <v>0</v>
      </c>
      <c r="DI460" s="407">
        <v>-34.462068332409615</v>
      </c>
      <c r="DJ460" s="407"/>
      <c r="DK460" s="407">
        <v>0</v>
      </c>
      <c r="DL460" s="407">
        <v>0</v>
      </c>
      <c r="DM460" s="407">
        <v>0</v>
      </c>
      <c r="DN460" s="407">
        <v>0</v>
      </c>
      <c r="DO460" s="407">
        <v>-5.331850189904813</v>
      </c>
      <c r="DP460" s="407">
        <v>-0.62436166912975999</v>
      </c>
      <c r="DQ460" s="407">
        <v>0</v>
      </c>
      <c r="DR460" s="407">
        <v>-529.22294346851265</v>
      </c>
      <c r="DS460" s="407"/>
      <c r="DT460" s="407"/>
      <c r="DU460" s="407"/>
      <c r="DV460" s="407">
        <v>19209.216138733824</v>
      </c>
      <c r="DW460" s="407">
        <v>0</v>
      </c>
      <c r="DX460" s="407">
        <v>0</v>
      </c>
      <c r="DY460" s="407">
        <v>-10092.352139999997</v>
      </c>
      <c r="DZ460" s="407">
        <v>250.69122000000016</v>
      </c>
      <c r="EA460" s="407">
        <v>0</v>
      </c>
      <c r="EB460" s="407">
        <v>0</v>
      </c>
      <c r="EC460" s="407">
        <v>-9812.112219439221</v>
      </c>
      <c r="ED460" s="407">
        <v>0</v>
      </c>
      <c r="EE460" s="407">
        <v>0</v>
      </c>
      <c r="EF460" s="407">
        <v>0</v>
      </c>
      <c r="EG460" s="407">
        <v>0</v>
      </c>
      <c r="EH460" s="407">
        <v>0</v>
      </c>
      <c r="EI460" s="407">
        <v>0</v>
      </c>
      <c r="EJ460" s="407">
        <v>0</v>
      </c>
      <c r="EK460" s="407">
        <v>0</v>
      </c>
      <c r="EL460" s="407">
        <v>0</v>
      </c>
      <c r="EM460" s="407">
        <v>0</v>
      </c>
      <c r="EN460" s="407">
        <v>0</v>
      </c>
      <c r="EO460" s="407">
        <v>0</v>
      </c>
      <c r="EP460" s="407">
        <v>233.06119118593207</v>
      </c>
      <c r="EQ460" s="407">
        <v>0</v>
      </c>
      <c r="ER460" s="407">
        <v>0</v>
      </c>
      <c r="ES460" s="407">
        <v>0</v>
      </c>
      <c r="ET460" s="407">
        <v>0</v>
      </c>
      <c r="EU460" s="407">
        <v>0</v>
      </c>
      <c r="EV460" s="407">
        <v>246</v>
      </c>
      <c r="EW460" s="407">
        <v>0</v>
      </c>
      <c r="EX460" s="407">
        <v>0</v>
      </c>
      <c r="EY460" s="407">
        <v>0</v>
      </c>
      <c r="EZ460" s="407"/>
      <c r="FA460" s="407">
        <v>0</v>
      </c>
      <c r="FB460" s="407"/>
      <c r="FC460" s="407"/>
      <c r="FD460" s="407"/>
      <c r="FE460" s="407"/>
      <c r="FF460" s="407">
        <v>0</v>
      </c>
      <c r="FG460" s="407">
        <v>0</v>
      </c>
      <c r="FH460" s="407">
        <v>0</v>
      </c>
      <c r="FI460" s="407">
        <v>0</v>
      </c>
    </row>
    <row r="461" spans="1:165">
      <c r="A461" s="407">
        <v>479</v>
      </c>
      <c r="B461" s="407" t="s">
        <v>2309</v>
      </c>
      <c r="C461" s="407" t="s">
        <v>2314</v>
      </c>
      <c r="D461" s="407" t="s">
        <v>650</v>
      </c>
      <c r="E461" s="407" t="s">
        <v>1049</v>
      </c>
      <c r="F461" s="407" t="s">
        <v>97</v>
      </c>
      <c r="G461" s="407" t="s">
        <v>97</v>
      </c>
      <c r="H461" s="407" t="s">
        <v>97</v>
      </c>
      <c r="I461" s="407" t="s">
        <v>1025</v>
      </c>
      <c r="J461" s="407" t="s">
        <v>2307</v>
      </c>
      <c r="K461" s="818">
        <v>44593</v>
      </c>
      <c r="L461" s="407">
        <v>0</v>
      </c>
      <c r="M461" s="407">
        <v>0</v>
      </c>
      <c r="N461" s="407">
        <v>5.17</v>
      </c>
      <c r="O461" s="407">
        <v>5.17</v>
      </c>
      <c r="P461" s="407">
        <v>5.17</v>
      </c>
      <c r="Q461" s="407">
        <v>5.17</v>
      </c>
      <c r="R461" s="407"/>
      <c r="S461" s="407">
        <v>2810.7</v>
      </c>
      <c r="T461" s="407">
        <v>159.41</v>
      </c>
      <c r="U461" s="407"/>
      <c r="V461" s="407">
        <v>15355.468699999999</v>
      </c>
      <c r="W461" s="407">
        <v>15355.468699999999</v>
      </c>
      <c r="X461" s="407">
        <v>9780.0372999999981</v>
      </c>
      <c r="Y461" s="407">
        <v>0</v>
      </c>
      <c r="Z461" s="407">
        <v>278.73599030870696</v>
      </c>
      <c r="AA461" s="407">
        <v>0</v>
      </c>
      <c r="AB461" s="407">
        <v>0</v>
      </c>
      <c r="AC461" s="407">
        <v>0</v>
      </c>
      <c r="AD461" s="407">
        <v>3156.365617809151</v>
      </c>
      <c r="AE461" s="407">
        <v>10882.275634150106</v>
      </c>
      <c r="AF461" s="407">
        <v>797.37280540677352</v>
      </c>
      <c r="AG461" s="407">
        <v>26.789633221032371</v>
      </c>
      <c r="AH461" s="407">
        <v>0</v>
      </c>
      <c r="AI461" s="407">
        <v>0</v>
      </c>
      <c r="AJ461" s="407">
        <v>0</v>
      </c>
      <c r="AK461" s="407">
        <v>0</v>
      </c>
      <c r="AL461" s="407">
        <v>49.508206163336816</v>
      </c>
      <c r="AM461" s="407"/>
      <c r="AN461" s="407">
        <v>5.5512015943023014</v>
      </c>
      <c r="AO461" s="407">
        <v>0</v>
      </c>
      <c r="AP461" s="407">
        <v>0</v>
      </c>
      <c r="AQ461" s="407">
        <v>0</v>
      </c>
      <c r="AR461" s="407">
        <v>0</v>
      </c>
      <c r="AS461" s="407">
        <v>0</v>
      </c>
      <c r="AT461" s="407">
        <v>0</v>
      </c>
      <c r="AU461" s="407">
        <v>0</v>
      </c>
      <c r="AV461" s="407">
        <v>0</v>
      </c>
      <c r="AW461" s="407">
        <v>0</v>
      </c>
      <c r="AX461" s="407">
        <v>0</v>
      </c>
      <c r="AY461" s="407">
        <v>0</v>
      </c>
      <c r="AZ461" s="407">
        <v>0</v>
      </c>
      <c r="BA461" s="407"/>
      <c r="BB461" s="407">
        <v>0</v>
      </c>
      <c r="BC461" s="407">
        <v>0</v>
      </c>
      <c r="BD461" s="407">
        <v>0</v>
      </c>
      <c r="BE461" s="407">
        <v>0</v>
      </c>
      <c r="BF461" s="407">
        <v>0</v>
      </c>
      <c r="BG461" s="407">
        <v>26.831650435718924</v>
      </c>
      <c r="BH461" s="407">
        <v>0</v>
      </c>
      <c r="BI461" s="407">
        <v>0</v>
      </c>
      <c r="BJ461" s="407">
        <v>0</v>
      </c>
      <c r="BK461" s="407">
        <v>0</v>
      </c>
      <c r="BL461" s="407">
        <v>0</v>
      </c>
      <c r="BM461" s="407"/>
      <c r="BN461" s="407"/>
      <c r="BO461" s="407"/>
      <c r="BP461" s="407"/>
      <c r="BQ461" s="407"/>
      <c r="BR461" s="407"/>
      <c r="BS461" s="407"/>
      <c r="BT461" s="407"/>
      <c r="BU461" s="407"/>
      <c r="BV461" s="407">
        <v>824.20445584249239</v>
      </c>
      <c r="BW461" s="407"/>
      <c r="BX461" s="407"/>
      <c r="BY461" s="407"/>
      <c r="BZ461" s="407"/>
      <c r="CA461" s="407"/>
      <c r="CB461" s="407"/>
      <c r="CC461" s="407"/>
      <c r="CD461" s="407"/>
      <c r="CE461" s="407"/>
      <c r="CF461" s="407"/>
      <c r="CG461" s="407"/>
      <c r="CH461" s="407"/>
      <c r="CI461" s="407">
        <v>9780.0372999999981</v>
      </c>
      <c r="CJ461" s="407">
        <v>-5575.461400000002</v>
      </c>
      <c r="CK461" s="407"/>
      <c r="CL461" s="407"/>
      <c r="CM461" s="407"/>
      <c r="CN461" s="407"/>
      <c r="CO461" s="407">
        <v>-5717.4512999999988</v>
      </c>
      <c r="CP461" s="407">
        <v>142.01989999999998</v>
      </c>
      <c r="CQ461" s="407">
        <v>29</v>
      </c>
      <c r="CR461" s="407">
        <v>-16.712526463845279</v>
      </c>
      <c r="CS461" s="407">
        <v>0</v>
      </c>
      <c r="CT461" s="407">
        <v>0</v>
      </c>
      <c r="CU461" s="407">
        <v>0</v>
      </c>
      <c r="CV461" s="407">
        <v>0</v>
      </c>
      <c r="CW461" s="407">
        <v>0</v>
      </c>
      <c r="CX461" s="407">
        <v>0</v>
      </c>
      <c r="CY461" s="407">
        <v>0</v>
      </c>
      <c r="CZ461" s="407">
        <v>142.57929342985744</v>
      </c>
      <c r="DA461" s="407">
        <v>0</v>
      </c>
      <c r="DB461" s="407">
        <v>0</v>
      </c>
      <c r="DC461" s="407">
        <v>158.09749438378992</v>
      </c>
      <c r="DD461" s="407">
        <v>0</v>
      </c>
      <c r="DE461" s="407">
        <v>0</v>
      </c>
      <c r="DF461" s="407">
        <v>0</v>
      </c>
      <c r="DG461" s="407">
        <v>5.3199916968636352</v>
      </c>
      <c r="DH461" s="407">
        <v>0</v>
      </c>
      <c r="DI461" s="407">
        <v>-19.523218636703632</v>
      </c>
      <c r="DJ461" s="407"/>
      <c r="DK461" s="407">
        <v>0</v>
      </c>
      <c r="DL461" s="407">
        <v>0</v>
      </c>
      <c r="DM461" s="407">
        <v>0</v>
      </c>
      <c r="DN461" s="407">
        <v>0</v>
      </c>
      <c r="DO461" s="407">
        <v>-3.0205638266280843</v>
      </c>
      <c r="DP461" s="407">
        <v>-0.35370916386158857</v>
      </c>
      <c r="DQ461" s="407">
        <v>0</v>
      </c>
      <c r="DR461" s="407">
        <v>-299.81181434716314</v>
      </c>
      <c r="DS461" s="407"/>
      <c r="DT461" s="407"/>
      <c r="DU461" s="407"/>
      <c r="DV461" s="407">
        <v>10882.275634150106</v>
      </c>
      <c r="DW461" s="407">
        <v>0</v>
      </c>
      <c r="DX461" s="407">
        <v>0</v>
      </c>
      <c r="DY461" s="407">
        <v>-5717.4513000000006</v>
      </c>
      <c r="DZ461" s="407">
        <v>142.01990000000001</v>
      </c>
      <c r="EA461" s="407">
        <v>0</v>
      </c>
      <c r="EB461" s="407">
        <v>0</v>
      </c>
      <c r="EC461" s="407">
        <v>-5558.6916693513886</v>
      </c>
      <c r="ED461" s="407">
        <v>0</v>
      </c>
      <c r="EE461" s="407">
        <v>0</v>
      </c>
      <c r="EF461" s="407">
        <v>0</v>
      </c>
      <c r="EG461" s="407">
        <v>0</v>
      </c>
      <c r="EH461" s="407">
        <v>0</v>
      </c>
      <c r="EI461" s="407">
        <v>0</v>
      </c>
      <c r="EJ461" s="407">
        <v>0</v>
      </c>
      <c r="EK461" s="407">
        <v>0</v>
      </c>
      <c r="EL461" s="407">
        <v>0</v>
      </c>
      <c r="EM461" s="407">
        <v>0</v>
      </c>
      <c r="EN461" s="407">
        <v>0</v>
      </c>
      <c r="EO461" s="407">
        <v>0</v>
      </c>
      <c r="EP461" s="407">
        <v>132.03225492343512</v>
      </c>
      <c r="EQ461" s="407">
        <v>0</v>
      </c>
      <c r="ER461" s="407">
        <v>0</v>
      </c>
      <c r="ES461" s="407">
        <v>0</v>
      </c>
      <c r="ET461" s="407">
        <v>0</v>
      </c>
      <c r="EU461" s="407">
        <v>0</v>
      </c>
      <c r="EV461" s="407">
        <v>246</v>
      </c>
      <c r="EW461" s="407">
        <v>0</v>
      </c>
      <c r="EX461" s="407">
        <v>0</v>
      </c>
      <c r="EY461" s="407">
        <v>0</v>
      </c>
      <c r="EZ461" s="407"/>
      <c r="FA461" s="407">
        <v>0</v>
      </c>
      <c r="FB461" s="407"/>
      <c r="FC461" s="407"/>
      <c r="FD461" s="407"/>
      <c r="FE461" s="407"/>
      <c r="FF461" s="407">
        <v>0</v>
      </c>
      <c r="FG461" s="407">
        <v>0</v>
      </c>
      <c r="FH461" s="407">
        <v>0</v>
      </c>
      <c r="FI461" s="407">
        <v>0</v>
      </c>
    </row>
    <row r="462" spans="1:165">
      <c r="A462" s="407">
        <v>480</v>
      </c>
      <c r="B462" s="407" t="s">
        <v>1090</v>
      </c>
      <c r="C462" s="407" t="s">
        <v>2314</v>
      </c>
      <c r="D462" s="407" t="s">
        <v>650</v>
      </c>
      <c r="E462" s="407" t="s">
        <v>1049</v>
      </c>
      <c r="F462" s="407" t="s">
        <v>97</v>
      </c>
      <c r="G462" s="407" t="s">
        <v>97</v>
      </c>
      <c r="H462" s="407" t="s">
        <v>97</v>
      </c>
      <c r="I462" s="407" t="s">
        <v>2290</v>
      </c>
      <c r="J462" s="407" t="s">
        <v>2307</v>
      </c>
      <c r="K462" s="818">
        <v>44593</v>
      </c>
      <c r="L462" s="407">
        <v>0</v>
      </c>
      <c r="M462" s="407">
        <v>0</v>
      </c>
      <c r="N462" s="407">
        <v>130.99700000000001</v>
      </c>
      <c r="O462" s="407">
        <v>130.99700000000001</v>
      </c>
      <c r="P462" s="407">
        <v>130.99700000000001</v>
      </c>
      <c r="Q462" s="407">
        <v>130.99700000000001</v>
      </c>
      <c r="R462" s="407"/>
      <c r="S462" s="407">
        <v>95.29</v>
      </c>
      <c r="T462" s="407">
        <v>159.41</v>
      </c>
      <c r="U462" s="407"/>
      <c r="V462" s="407">
        <v>33364.935900000004</v>
      </c>
      <c r="W462" s="407">
        <v>33364.935900000004</v>
      </c>
      <c r="X462" s="407">
        <v>36274.379270000005</v>
      </c>
      <c r="Y462" s="407">
        <v>0</v>
      </c>
      <c r="Z462" s="407">
        <v>7062.5877219477161</v>
      </c>
      <c r="AA462" s="407">
        <v>0</v>
      </c>
      <c r="AB462" s="407">
        <v>0</v>
      </c>
      <c r="AC462" s="407">
        <v>0</v>
      </c>
      <c r="AD462" s="407">
        <v>0</v>
      </c>
      <c r="AE462" s="407">
        <v>0</v>
      </c>
      <c r="AF462" s="407">
        <v>20203.76119726714</v>
      </c>
      <c r="AG462" s="407">
        <v>678.79334295078877</v>
      </c>
      <c r="AH462" s="407">
        <v>0</v>
      </c>
      <c r="AI462" s="407">
        <v>0</v>
      </c>
      <c r="AJ462" s="407">
        <v>0</v>
      </c>
      <c r="AK462" s="407">
        <v>0</v>
      </c>
      <c r="AL462" s="407">
        <v>1254.4345227811671</v>
      </c>
      <c r="AM462" s="407"/>
      <c r="AN462" s="407">
        <v>140.65585207907517</v>
      </c>
      <c r="AO462" s="407">
        <v>0</v>
      </c>
      <c r="AP462" s="407">
        <v>0</v>
      </c>
      <c r="AQ462" s="407">
        <v>0</v>
      </c>
      <c r="AR462" s="407">
        <v>0</v>
      </c>
      <c r="AS462" s="407">
        <v>0</v>
      </c>
      <c r="AT462" s="407">
        <v>0</v>
      </c>
      <c r="AU462" s="407">
        <v>0</v>
      </c>
      <c r="AV462" s="407">
        <v>0</v>
      </c>
      <c r="AW462" s="407">
        <v>0</v>
      </c>
      <c r="AX462" s="407">
        <v>0</v>
      </c>
      <c r="AY462" s="407">
        <v>0</v>
      </c>
      <c r="AZ462" s="407">
        <v>0</v>
      </c>
      <c r="BA462" s="407"/>
      <c r="BB462" s="407">
        <v>0</v>
      </c>
      <c r="BC462" s="407">
        <v>0</v>
      </c>
      <c r="BD462" s="407">
        <v>0</v>
      </c>
      <c r="BE462" s="407">
        <v>0</v>
      </c>
      <c r="BF462" s="407">
        <v>0</v>
      </c>
      <c r="BG462" s="407">
        <v>679.85797139804106</v>
      </c>
      <c r="BH462" s="407">
        <v>0</v>
      </c>
      <c r="BI462" s="407">
        <v>0</v>
      </c>
      <c r="BJ462" s="407">
        <v>0</v>
      </c>
      <c r="BK462" s="407">
        <v>0</v>
      </c>
      <c r="BL462" s="407">
        <v>0</v>
      </c>
      <c r="BM462" s="407"/>
      <c r="BN462" s="407"/>
      <c r="BO462" s="407"/>
      <c r="BP462" s="407"/>
      <c r="BQ462" s="407"/>
      <c r="BR462" s="407"/>
      <c r="BS462" s="407"/>
      <c r="BT462" s="407"/>
      <c r="BU462" s="407"/>
      <c r="BV462" s="407">
        <v>20883.61916866518</v>
      </c>
      <c r="BW462" s="407"/>
      <c r="BX462" s="407"/>
      <c r="BY462" s="407"/>
      <c r="BZ462" s="407"/>
      <c r="CA462" s="407"/>
      <c r="CB462" s="407"/>
      <c r="CC462" s="407"/>
      <c r="CD462" s="407"/>
      <c r="CE462" s="407"/>
      <c r="CF462" s="407"/>
      <c r="CG462" s="407"/>
      <c r="CH462" s="407"/>
      <c r="CI462" s="407">
        <v>36275.21</v>
      </c>
      <c r="CJ462" s="407">
        <v>2910.2440999999963</v>
      </c>
      <c r="CK462" s="407"/>
      <c r="CL462" s="407"/>
      <c r="CM462" s="407"/>
      <c r="CN462" s="407"/>
      <c r="CO462" s="407">
        <v>-689.04422000000079</v>
      </c>
      <c r="CP462" s="407">
        <v>3598.4875900000002</v>
      </c>
      <c r="CQ462" s="407">
        <v>29</v>
      </c>
      <c r="CR462" s="407">
        <v>2909.0293159377834</v>
      </c>
      <c r="CS462" s="407">
        <v>0</v>
      </c>
      <c r="CT462" s="407">
        <v>0</v>
      </c>
      <c r="CU462" s="407">
        <v>0</v>
      </c>
      <c r="CV462" s="407">
        <v>0</v>
      </c>
      <c r="CW462" s="407">
        <v>0</v>
      </c>
      <c r="CX462" s="407">
        <v>0</v>
      </c>
      <c r="CY462" s="407">
        <v>0</v>
      </c>
      <c r="CZ462" s="407">
        <v>0</v>
      </c>
      <c r="DA462" s="407">
        <v>0</v>
      </c>
      <c r="DB462" s="407">
        <v>0</v>
      </c>
      <c r="DC462" s="407">
        <v>4005.8602459948452</v>
      </c>
      <c r="DD462" s="407">
        <v>0</v>
      </c>
      <c r="DE462" s="407">
        <v>0</v>
      </c>
      <c r="DF462" s="407">
        <v>0</v>
      </c>
      <c r="DG462" s="407">
        <v>134.79747626964138</v>
      </c>
      <c r="DH462" s="407">
        <v>0</v>
      </c>
      <c r="DI462" s="407">
        <v>-494.67757674125187</v>
      </c>
      <c r="DJ462" s="407"/>
      <c r="DK462" s="407">
        <v>0</v>
      </c>
      <c r="DL462" s="407">
        <v>0</v>
      </c>
      <c r="DM462" s="407">
        <v>0</v>
      </c>
      <c r="DN462" s="407">
        <v>0</v>
      </c>
      <c r="DO462" s="407">
        <v>-76.534777484874212</v>
      </c>
      <c r="DP462" s="407">
        <v>-8.9622513227033949</v>
      </c>
      <c r="DQ462" s="407">
        <v>0</v>
      </c>
      <c r="DR462" s="407">
        <v>-651.4538007778682</v>
      </c>
      <c r="DS462" s="407"/>
      <c r="DT462" s="407"/>
      <c r="DU462" s="407"/>
      <c r="DV462" s="407">
        <v>0</v>
      </c>
      <c r="DW462" s="407">
        <v>0</v>
      </c>
      <c r="DX462" s="407">
        <v>0</v>
      </c>
      <c r="DY462" s="407">
        <v>-689.04421999999977</v>
      </c>
      <c r="DZ462" s="407">
        <v>3598.4875900000006</v>
      </c>
      <c r="EA462" s="407">
        <v>0</v>
      </c>
      <c r="EB462" s="407">
        <v>0</v>
      </c>
      <c r="EC462" s="407">
        <v>0</v>
      </c>
      <c r="ED462" s="407">
        <v>0</v>
      </c>
      <c r="EE462" s="407">
        <v>0</v>
      </c>
      <c r="EF462" s="407">
        <v>0</v>
      </c>
      <c r="EG462" s="407">
        <v>0</v>
      </c>
      <c r="EH462" s="407">
        <v>0</v>
      </c>
      <c r="EI462" s="407">
        <v>0</v>
      </c>
      <c r="EJ462" s="407">
        <v>0</v>
      </c>
      <c r="EK462" s="407">
        <v>0</v>
      </c>
      <c r="EL462" s="407">
        <v>0</v>
      </c>
      <c r="EM462" s="407">
        <v>0</v>
      </c>
      <c r="EN462" s="407">
        <v>0</v>
      </c>
      <c r="EO462" s="407">
        <v>0</v>
      </c>
      <c r="EP462" s="407">
        <v>3345.4215276992709</v>
      </c>
      <c r="EQ462" s="407">
        <v>0</v>
      </c>
      <c r="ER462" s="407">
        <v>0</v>
      </c>
      <c r="ES462" s="407">
        <v>0</v>
      </c>
      <c r="ET462" s="407">
        <v>0</v>
      </c>
      <c r="EU462" s="407">
        <v>0</v>
      </c>
      <c r="EV462" s="407">
        <v>246</v>
      </c>
      <c r="EW462" s="407">
        <v>0</v>
      </c>
      <c r="EX462" s="407">
        <v>0</v>
      </c>
      <c r="EY462" s="407">
        <v>0</v>
      </c>
      <c r="EZ462" s="407"/>
      <c r="FA462" s="407">
        <v>0</v>
      </c>
      <c r="FB462" s="407"/>
      <c r="FC462" s="407"/>
      <c r="FD462" s="407"/>
      <c r="FE462" s="407"/>
      <c r="FF462" s="407">
        <v>0</v>
      </c>
      <c r="FG462" s="407">
        <v>0</v>
      </c>
      <c r="FH462" s="407">
        <v>0</v>
      </c>
      <c r="FI462" s="407">
        <v>0</v>
      </c>
    </row>
    <row r="463" spans="1:165">
      <c r="A463" s="407">
        <v>481</v>
      </c>
      <c r="B463" s="407" t="s">
        <v>2309</v>
      </c>
      <c r="C463" s="407" t="s">
        <v>2314</v>
      </c>
      <c r="D463" s="407" t="s">
        <v>650</v>
      </c>
      <c r="E463" s="407" t="s">
        <v>1049</v>
      </c>
      <c r="F463" s="407" t="s">
        <v>97</v>
      </c>
      <c r="G463" s="407" t="s">
        <v>97</v>
      </c>
      <c r="H463" s="407" t="s">
        <v>97</v>
      </c>
      <c r="I463" s="407" t="s">
        <v>2290</v>
      </c>
      <c r="J463" s="407" t="s">
        <v>2307</v>
      </c>
      <c r="K463" s="818">
        <v>44593</v>
      </c>
      <c r="L463" s="407">
        <v>0</v>
      </c>
      <c r="M463" s="407">
        <v>0</v>
      </c>
      <c r="N463" s="407">
        <v>9.6129999999999995</v>
      </c>
      <c r="O463" s="407">
        <v>9.6129999999999995</v>
      </c>
      <c r="P463" s="407">
        <v>9.6129999999999995</v>
      </c>
      <c r="Q463" s="407">
        <v>9.6129999999999995</v>
      </c>
      <c r="R463" s="407"/>
      <c r="S463" s="407">
        <v>95.29</v>
      </c>
      <c r="T463" s="407">
        <v>159.41</v>
      </c>
      <c r="U463" s="407"/>
      <c r="V463" s="407">
        <v>2448.4310999999998</v>
      </c>
      <c r="W463" s="407">
        <v>2448.4310999999998</v>
      </c>
      <c r="X463" s="407">
        <v>2661.9358299999999</v>
      </c>
      <c r="Y463" s="407">
        <v>0</v>
      </c>
      <c r="Z463" s="407">
        <v>518.27641679644103</v>
      </c>
      <c r="AA463" s="407">
        <v>0</v>
      </c>
      <c r="AB463" s="407">
        <v>0</v>
      </c>
      <c r="AC463" s="407">
        <v>0</v>
      </c>
      <c r="AD463" s="407">
        <v>0</v>
      </c>
      <c r="AE463" s="407">
        <v>0</v>
      </c>
      <c r="AF463" s="407">
        <v>1482.6198797631166</v>
      </c>
      <c r="AG463" s="407">
        <v>49.812136199958253</v>
      </c>
      <c r="AH463" s="407">
        <v>0</v>
      </c>
      <c r="AI463" s="407">
        <v>0</v>
      </c>
      <c r="AJ463" s="407">
        <v>0</v>
      </c>
      <c r="AK463" s="407">
        <v>0</v>
      </c>
      <c r="AL463" s="407">
        <v>92.054620086684096</v>
      </c>
      <c r="AM463" s="407"/>
      <c r="AN463" s="407">
        <v>10.321799018574085</v>
      </c>
      <c r="AO463" s="407">
        <v>0</v>
      </c>
      <c r="AP463" s="407">
        <v>0</v>
      </c>
      <c r="AQ463" s="407">
        <v>0</v>
      </c>
      <c r="AR463" s="407">
        <v>0</v>
      </c>
      <c r="AS463" s="407">
        <v>0</v>
      </c>
      <c r="AT463" s="407">
        <v>0</v>
      </c>
      <c r="AU463" s="407">
        <v>0</v>
      </c>
      <c r="AV463" s="407">
        <v>0</v>
      </c>
      <c r="AW463" s="407">
        <v>0</v>
      </c>
      <c r="AX463" s="407">
        <v>0</v>
      </c>
      <c r="AY463" s="407">
        <v>0</v>
      </c>
      <c r="AZ463" s="407">
        <v>0</v>
      </c>
      <c r="BA463" s="407"/>
      <c r="BB463" s="407">
        <v>0</v>
      </c>
      <c r="BC463" s="407">
        <v>0</v>
      </c>
      <c r="BD463" s="407">
        <v>0</v>
      </c>
      <c r="BE463" s="407">
        <v>0</v>
      </c>
      <c r="BF463" s="407">
        <v>0</v>
      </c>
      <c r="BG463" s="407">
        <v>49.890262212488587</v>
      </c>
      <c r="BH463" s="407">
        <v>0</v>
      </c>
      <c r="BI463" s="407">
        <v>0</v>
      </c>
      <c r="BJ463" s="407">
        <v>0</v>
      </c>
      <c r="BK463" s="407">
        <v>0</v>
      </c>
      <c r="BL463" s="407">
        <v>0</v>
      </c>
      <c r="BM463" s="407"/>
      <c r="BN463" s="407"/>
      <c r="BO463" s="407"/>
      <c r="BP463" s="407"/>
      <c r="BQ463" s="407"/>
      <c r="BR463" s="407"/>
      <c r="BS463" s="407"/>
      <c r="BT463" s="407"/>
      <c r="BU463" s="407"/>
      <c r="BV463" s="407">
        <v>1532.5101419756052</v>
      </c>
      <c r="BW463" s="407"/>
      <c r="BX463" s="407"/>
      <c r="BY463" s="407"/>
      <c r="BZ463" s="407"/>
      <c r="CA463" s="407"/>
      <c r="CB463" s="407"/>
      <c r="CC463" s="407"/>
      <c r="CD463" s="407"/>
      <c r="CE463" s="407"/>
      <c r="CF463" s="407"/>
      <c r="CG463" s="407"/>
      <c r="CH463" s="407"/>
      <c r="CI463" s="407">
        <v>2661.1050999999998</v>
      </c>
      <c r="CJ463" s="407">
        <v>212.64399999999932</v>
      </c>
      <c r="CK463" s="407"/>
      <c r="CL463" s="407"/>
      <c r="CM463" s="407"/>
      <c r="CN463" s="407"/>
      <c r="CO463" s="407">
        <v>-50.56438000000005</v>
      </c>
      <c r="CP463" s="407">
        <v>264.06910999999997</v>
      </c>
      <c r="CQ463" s="407">
        <v>29</v>
      </c>
      <c r="CR463" s="407">
        <v>213.47434532172429</v>
      </c>
      <c r="CS463" s="407">
        <v>0</v>
      </c>
      <c r="CT463" s="407">
        <v>0</v>
      </c>
      <c r="CU463" s="407">
        <v>0</v>
      </c>
      <c r="CV463" s="407">
        <v>0</v>
      </c>
      <c r="CW463" s="407">
        <v>0</v>
      </c>
      <c r="CX463" s="407">
        <v>0</v>
      </c>
      <c r="CY463" s="407">
        <v>0</v>
      </c>
      <c r="CZ463" s="407">
        <v>0</v>
      </c>
      <c r="DA463" s="407">
        <v>0</v>
      </c>
      <c r="DB463" s="407">
        <v>0</v>
      </c>
      <c r="DC463" s="407">
        <v>293.96348423817653</v>
      </c>
      <c r="DD463" s="407">
        <v>0</v>
      </c>
      <c r="DE463" s="407">
        <v>0</v>
      </c>
      <c r="DF463" s="407">
        <v>0</v>
      </c>
      <c r="DG463" s="407">
        <v>9.8918917179787513</v>
      </c>
      <c r="DH463" s="407">
        <v>0</v>
      </c>
      <c r="DI463" s="407">
        <v>-36.301102660470463</v>
      </c>
      <c r="DJ463" s="407"/>
      <c r="DK463" s="407">
        <v>0</v>
      </c>
      <c r="DL463" s="407">
        <v>0</v>
      </c>
      <c r="DM463" s="407">
        <v>0</v>
      </c>
      <c r="DN463" s="407">
        <v>0</v>
      </c>
      <c r="DO463" s="407">
        <v>-5.6163791228966602</v>
      </c>
      <c r="DP463" s="407">
        <v>-0.65768011454573561</v>
      </c>
      <c r="DQ463" s="407">
        <v>0</v>
      </c>
      <c r="DR463" s="407">
        <v>-47.805868736517979</v>
      </c>
      <c r="DS463" s="407"/>
      <c r="DT463" s="407"/>
      <c r="DU463" s="407"/>
      <c r="DV463" s="407">
        <v>0</v>
      </c>
      <c r="DW463" s="407">
        <v>0</v>
      </c>
      <c r="DX463" s="407">
        <v>0</v>
      </c>
      <c r="DY463" s="407">
        <v>-50.564380000000028</v>
      </c>
      <c r="DZ463" s="407">
        <v>264.06910999999991</v>
      </c>
      <c r="EA463" s="407">
        <v>0</v>
      </c>
      <c r="EB463" s="407">
        <v>0</v>
      </c>
      <c r="EC463" s="407">
        <v>0</v>
      </c>
      <c r="ED463" s="407">
        <v>0</v>
      </c>
      <c r="EE463" s="407">
        <v>0</v>
      </c>
      <c r="EF463" s="407">
        <v>0</v>
      </c>
      <c r="EG463" s="407">
        <v>0</v>
      </c>
      <c r="EH463" s="407">
        <v>0</v>
      </c>
      <c r="EI463" s="407">
        <v>0</v>
      </c>
      <c r="EJ463" s="407">
        <v>0</v>
      </c>
      <c r="EK463" s="407">
        <v>0</v>
      </c>
      <c r="EL463" s="407">
        <v>0</v>
      </c>
      <c r="EM463" s="407">
        <v>0</v>
      </c>
      <c r="EN463" s="407">
        <v>0</v>
      </c>
      <c r="EO463" s="407">
        <v>0</v>
      </c>
      <c r="EP463" s="407">
        <v>245.49827206556705</v>
      </c>
      <c r="EQ463" s="407">
        <v>0</v>
      </c>
      <c r="ER463" s="407">
        <v>0</v>
      </c>
      <c r="ES463" s="407">
        <v>0</v>
      </c>
      <c r="ET463" s="407">
        <v>0</v>
      </c>
      <c r="EU463" s="407">
        <v>0</v>
      </c>
      <c r="EV463" s="407">
        <v>246</v>
      </c>
      <c r="EW463" s="407">
        <v>0</v>
      </c>
      <c r="EX463" s="407">
        <v>0</v>
      </c>
      <c r="EY463" s="407">
        <v>0</v>
      </c>
      <c r="EZ463" s="407"/>
      <c r="FA463" s="407">
        <v>0</v>
      </c>
      <c r="FB463" s="407"/>
      <c r="FC463" s="407"/>
      <c r="FD463" s="407"/>
      <c r="FE463" s="407"/>
      <c r="FF463" s="407">
        <v>0</v>
      </c>
      <c r="FG463" s="407">
        <v>0</v>
      </c>
      <c r="FH463" s="407">
        <v>0</v>
      </c>
      <c r="FI463" s="407">
        <v>0</v>
      </c>
    </row>
    <row r="464" spans="1:165">
      <c r="A464" s="407">
        <v>482</v>
      </c>
      <c r="B464" s="407" t="s">
        <v>1090</v>
      </c>
      <c r="C464" s="407" t="s">
        <v>2314</v>
      </c>
      <c r="D464" s="407" t="s">
        <v>650</v>
      </c>
      <c r="E464" s="407" t="s">
        <v>1049</v>
      </c>
      <c r="F464" s="407" t="s">
        <v>97</v>
      </c>
      <c r="G464" s="407" t="s">
        <v>97</v>
      </c>
      <c r="H464" s="407" t="s">
        <v>97</v>
      </c>
      <c r="I464" s="407" t="s">
        <v>97</v>
      </c>
      <c r="J464" s="407" t="s">
        <v>2307</v>
      </c>
      <c r="K464" s="818">
        <v>44593</v>
      </c>
      <c r="L464" s="407">
        <v>1247</v>
      </c>
      <c r="M464" s="407">
        <v>1247</v>
      </c>
      <c r="N464" s="407">
        <v>0</v>
      </c>
      <c r="O464" s="407">
        <v>0</v>
      </c>
      <c r="P464" s="407">
        <v>0</v>
      </c>
      <c r="Q464" s="407">
        <v>0</v>
      </c>
      <c r="R464" s="407">
        <v>43.29</v>
      </c>
      <c r="S464" s="407"/>
      <c r="T464" s="407"/>
      <c r="U464" s="407">
        <v>53982.63</v>
      </c>
      <c r="V464" s="407"/>
      <c r="W464" s="407">
        <v>53982.63</v>
      </c>
      <c r="X464" s="407">
        <v>41762.030000000006</v>
      </c>
      <c r="Y464" s="407">
        <v>0</v>
      </c>
      <c r="Z464" s="407">
        <v>0</v>
      </c>
      <c r="AA464" s="407">
        <v>0</v>
      </c>
      <c r="AB464" s="407">
        <v>0</v>
      </c>
      <c r="AC464" s="407">
        <v>0</v>
      </c>
      <c r="AD464" s="407">
        <v>29508.991986572186</v>
      </c>
      <c r="AE464" s="407">
        <v>24477.596319151384</v>
      </c>
      <c r="AF464" s="407"/>
      <c r="AG464" s="407"/>
      <c r="AH464" s="407"/>
      <c r="AI464" s="407">
        <v>0</v>
      </c>
      <c r="AJ464" s="407">
        <v>0</v>
      </c>
      <c r="AK464" s="407">
        <v>0</v>
      </c>
      <c r="AL464" s="407">
        <v>0</v>
      </c>
      <c r="AM464" s="407"/>
      <c r="AN464" s="407">
        <v>0</v>
      </c>
      <c r="AO464" s="407">
        <v>0</v>
      </c>
      <c r="AP464" s="407">
        <v>0</v>
      </c>
      <c r="AQ464" s="407">
        <v>0</v>
      </c>
      <c r="AR464" s="407">
        <v>0</v>
      </c>
      <c r="AS464" s="407"/>
      <c r="AT464" s="407"/>
      <c r="AU464" s="407">
        <v>0</v>
      </c>
      <c r="AV464" s="407">
        <v>0</v>
      </c>
      <c r="AW464" s="407">
        <v>0</v>
      </c>
      <c r="AX464" s="407"/>
      <c r="AY464" s="407"/>
      <c r="AZ464" s="407">
        <v>0</v>
      </c>
      <c r="BA464" s="407"/>
      <c r="BB464" s="407">
        <v>0</v>
      </c>
      <c r="BC464" s="407">
        <v>0</v>
      </c>
      <c r="BD464" s="407">
        <v>0</v>
      </c>
      <c r="BE464" s="407">
        <v>0</v>
      </c>
      <c r="BF464" s="407"/>
      <c r="BG464" s="407">
        <v>0</v>
      </c>
      <c r="BH464" s="407">
        <v>0</v>
      </c>
      <c r="BI464" s="407">
        <v>189.51</v>
      </c>
      <c r="BJ464" s="407">
        <v>817.53</v>
      </c>
      <c r="BK464" s="407">
        <v>37129.39</v>
      </c>
      <c r="BL464" s="407">
        <v>12</v>
      </c>
      <c r="BM464" s="407"/>
      <c r="BN464" s="407"/>
      <c r="BO464" s="407"/>
      <c r="BP464" s="407"/>
      <c r="BQ464" s="407"/>
      <c r="BR464" s="407"/>
      <c r="BS464" s="407"/>
      <c r="BT464" s="407"/>
      <c r="BU464" s="407"/>
      <c r="BV464" s="407">
        <v>0</v>
      </c>
      <c r="BW464" s="407"/>
      <c r="BX464" s="407"/>
      <c r="BY464" s="407"/>
      <c r="BZ464" s="407"/>
      <c r="CA464" s="407"/>
      <c r="CB464" s="407"/>
      <c r="CC464" s="407"/>
      <c r="CD464" s="407"/>
      <c r="CE464" s="407"/>
      <c r="CF464" s="407"/>
      <c r="CG464" s="407"/>
      <c r="CH464" s="407"/>
      <c r="CI464" s="407">
        <v>41762.030000000006</v>
      </c>
      <c r="CJ464" s="407">
        <v>-12220.629999999997</v>
      </c>
      <c r="CK464" s="407"/>
      <c r="CL464" s="407"/>
      <c r="CM464" s="407"/>
      <c r="CN464" s="407"/>
      <c r="CO464" s="407">
        <v>-12220.599999999997</v>
      </c>
      <c r="CP464" s="407">
        <v>0</v>
      </c>
      <c r="CQ464" s="407">
        <v>29</v>
      </c>
      <c r="CR464" s="407">
        <v>278.90420108268518</v>
      </c>
      <c r="CS464" s="407">
        <v>0</v>
      </c>
      <c r="CT464" s="407">
        <v>0</v>
      </c>
      <c r="CU464" s="407">
        <v>0</v>
      </c>
      <c r="CV464" s="407">
        <v>0</v>
      </c>
      <c r="CW464" s="407"/>
      <c r="CX464" s="407"/>
      <c r="CY464" s="407"/>
      <c r="CZ464" s="407">
        <v>1332.9796787588384</v>
      </c>
      <c r="DA464" s="407">
        <v>0</v>
      </c>
      <c r="DB464" s="407">
        <v>0</v>
      </c>
      <c r="DC464" s="407"/>
      <c r="DD464" s="407"/>
      <c r="DE464" s="407">
        <v>0</v>
      </c>
      <c r="DF464" s="407">
        <v>0</v>
      </c>
      <c r="DG464" s="407">
        <v>0</v>
      </c>
      <c r="DH464" s="407">
        <v>0</v>
      </c>
      <c r="DI464" s="407">
        <v>0</v>
      </c>
      <c r="DJ464" s="407"/>
      <c r="DK464" s="407">
        <v>0</v>
      </c>
      <c r="DL464" s="407">
        <v>0</v>
      </c>
      <c r="DM464" s="407"/>
      <c r="DN464" s="407">
        <v>0</v>
      </c>
      <c r="DO464" s="407">
        <v>0</v>
      </c>
      <c r="DP464" s="407">
        <v>0</v>
      </c>
      <c r="DQ464" s="407">
        <v>0</v>
      </c>
      <c r="DR464" s="407">
        <v>-1054.075477676153</v>
      </c>
      <c r="DS464" s="407"/>
      <c r="DT464" s="407"/>
      <c r="DU464" s="407">
        <v>24477.596319151384</v>
      </c>
      <c r="DV464" s="407"/>
      <c r="DW464" s="407">
        <v>0</v>
      </c>
      <c r="DX464" s="407">
        <v>0</v>
      </c>
      <c r="DY464" s="407">
        <v>-12220.599999999991</v>
      </c>
      <c r="DZ464" s="407"/>
      <c r="EA464" s="407">
        <v>0</v>
      </c>
      <c r="EB464" s="407"/>
      <c r="EC464" s="407">
        <v>-12503.213052059435</v>
      </c>
      <c r="ED464" s="407"/>
      <c r="EE464" s="407">
        <v>0</v>
      </c>
      <c r="EF464" s="407">
        <v>0</v>
      </c>
      <c r="EG464" s="407"/>
      <c r="EH464" s="407">
        <v>0</v>
      </c>
      <c r="EI464" s="407">
        <v>0</v>
      </c>
      <c r="EJ464" s="407">
        <v>0</v>
      </c>
      <c r="EK464" s="407">
        <v>0</v>
      </c>
      <c r="EL464" s="407">
        <v>0</v>
      </c>
      <c r="EM464" s="407"/>
      <c r="EN464" s="407"/>
      <c r="EO464" s="407">
        <v>0</v>
      </c>
      <c r="EP464" s="407">
        <v>0</v>
      </c>
      <c r="EQ464" s="407"/>
      <c r="ER464" s="407">
        <v>0</v>
      </c>
      <c r="ES464" s="407"/>
      <c r="ET464" s="407">
        <v>0</v>
      </c>
      <c r="EU464" s="407"/>
      <c r="EV464" s="407">
        <v>246</v>
      </c>
      <c r="EW464" s="407"/>
      <c r="EX464" s="407"/>
      <c r="EY464" s="407"/>
      <c r="EZ464" s="407"/>
      <c r="FA464" s="407">
        <v>0</v>
      </c>
      <c r="FB464" s="407"/>
      <c r="FC464" s="407"/>
      <c r="FD464" s="407"/>
      <c r="FE464" s="407"/>
      <c r="FF464" s="407">
        <v>0</v>
      </c>
      <c r="FG464" s="407">
        <v>0</v>
      </c>
      <c r="FH464" s="407">
        <v>0</v>
      </c>
      <c r="FI464" s="407">
        <v>0</v>
      </c>
    </row>
    <row r="465" spans="1:165">
      <c r="A465" s="407">
        <v>483</v>
      </c>
      <c r="B465" s="407" t="s">
        <v>2309</v>
      </c>
      <c r="C465" s="407" t="s">
        <v>2314</v>
      </c>
      <c r="D465" s="407" t="s">
        <v>650</v>
      </c>
      <c r="E465" s="407" t="s">
        <v>1049</v>
      </c>
      <c r="F465" s="407" t="s">
        <v>97</v>
      </c>
      <c r="G465" s="407" t="s">
        <v>97</v>
      </c>
      <c r="H465" s="407" t="s">
        <v>97</v>
      </c>
      <c r="I465" s="407" t="s">
        <v>97</v>
      </c>
      <c r="J465" s="407" t="s">
        <v>2307</v>
      </c>
      <c r="K465" s="818">
        <v>44593</v>
      </c>
      <c r="L465" s="407">
        <v>1195</v>
      </c>
      <c r="M465" s="407">
        <v>1195</v>
      </c>
      <c r="N465" s="407">
        <v>0</v>
      </c>
      <c r="O465" s="407">
        <v>0</v>
      </c>
      <c r="P465" s="407">
        <v>0</v>
      </c>
      <c r="Q465" s="407">
        <v>0</v>
      </c>
      <c r="R465" s="407">
        <v>43.29</v>
      </c>
      <c r="S465" s="407"/>
      <c r="T465" s="407"/>
      <c r="U465" s="407">
        <v>51731.549999999996</v>
      </c>
      <c r="V465" s="407"/>
      <c r="W465" s="407">
        <v>51731.549999999996</v>
      </c>
      <c r="X465" s="407">
        <v>40020.550000000003</v>
      </c>
      <c r="Y465" s="407">
        <v>0</v>
      </c>
      <c r="Z465" s="407">
        <v>0</v>
      </c>
      <c r="AA465" s="407">
        <v>0</v>
      </c>
      <c r="AB465" s="407">
        <v>0</v>
      </c>
      <c r="AC465" s="407">
        <v>0</v>
      </c>
      <c r="AD465" s="407">
        <v>28278.464654333413</v>
      </c>
      <c r="AE465" s="407">
        <v>23456.87858972406</v>
      </c>
      <c r="AF465" s="407"/>
      <c r="AG465" s="407"/>
      <c r="AH465" s="407"/>
      <c r="AI465" s="407">
        <v>0</v>
      </c>
      <c r="AJ465" s="407">
        <v>0</v>
      </c>
      <c r="AK465" s="407">
        <v>0</v>
      </c>
      <c r="AL465" s="407">
        <v>0</v>
      </c>
      <c r="AM465" s="407"/>
      <c r="AN465" s="407">
        <v>0</v>
      </c>
      <c r="AO465" s="407">
        <v>0</v>
      </c>
      <c r="AP465" s="407">
        <v>0</v>
      </c>
      <c r="AQ465" s="407">
        <v>0</v>
      </c>
      <c r="AR465" s="407">
        <v>0</v>
      </c>
      <c r="AS465" s="407"/>
      <c r="AT465" s="407"/>
      <c r="AU465" s="407">
        <v>0</v>
      </c>
      <c r="AV465" s="407">
        <v>0</v>
      </c>
      <c r="AW465" s="407">
        <v>0</v>
      </c>
      <c r="AX465" s="407"/>
      <c r="AY465" s="407"/>
      <c r="AZ465" s="407">
        <v>0</v>
      </c>
      <c r="BA465" s="407"/>
      <c r="BB465" s="407">
        <v>0</v>
      </c>
      <c r="BC465" s="407">
        <v>0</v>
      </c>
      <c r="BD465" s="407">
        <v>0</v>
      </c>
      <c r="BE465" s="407">
        <v>0</v>
      </c>
      <c r="BF465" s="407"/>
      <c r="BG465" s="407">
        <v>0</v>
      </c>
      <c r="BH465" s="407">
        <v>0</v>
      </c>
      <c r="BI465" s="407">
        <v>91.85</v>
      </c>
      <c r="BJ465" s="407">
        <v>396.23</v>
      </c>
      <c r="BK465" s="407">
        <v>18801.72</v>
      </c>
      <c r="BL465" s="407">
        <v>6</v>
      </c>
      <c r="BM465" s="407"/>
      <c r="BN465" s="407"/>
      <c r="BO465" s="407"/>
      <c r="BP465" s="407"/>
      <c r="BQ465" s="407"/>
      <c r="BR465" s="407"/>
      <c r="BS465" s="407"/>
      <c r="BT465" s="407"/>
      <c r="BU465" s="407"/>
      <c r="BV465" s="407">
        <v>0</v>
      </c>
      <c r="BW465" s="407"/>
      <c r="BX465" s="407"/>
      <c r="BY465" s="407"/>
      <c r="BZ465" s="407"/>
      <c r="CA465" s="407"/>
      <c r="CB465" s="407"/>
      <c r="CC465" s="407"/>
      <c r="CD465" s="407"/>
      <c r="CE465" s="407"/>
      <c r="CF465" s="407"/>
      <c r="CG465" s="407"/>
      <c r="CH465" s="407"/>
      <c r="CI465" s="407">
        <v>40020.550000000003</v>
      </c>
      <c r="CJ465" s="407">
        <v>-11711.029999999999</v>
      </c>
      <c r="CK465" s="407"/>
      <c r="CL465" s="407"/>
      <c r="CM465" s="407"/>
      <c r="CN465" s="407"/>
      <c r="CO465" s="407">
        <v>-11710.999999999996</v>
      </c>
      <c r="CP465" s="407">
        <v>0</v>
      </c>
      <c r="CQ465" s="407">
        <v>29</v>
      </c>
      <c r="CR465" s="407">
        <v>267.27387353151789</v>
      </c>
      <c r="CS465" s="407">
        <v>0</v>
      </c>
      <c r="CT465" s="407">
        <v>0</v>
      </c>
      <c r="CU465" s="407">
        <v>0</v>
      </c>
      <c r="CV465" s="407">
        <v>0</v>
      </c>
      <c r="CW465" s="407"/>
      <c r="CX465" s="407"/>
      <c r="CY465" s="407"/>
      <c r="CZ465" s="407">
        <v>1277.3943192596671</v>
      </c>
      <c r="DA465" s="407">
        <v>0</v>
      </c>
      <c r="DB465" s="407">
        <v>0</v>
      </c>
      <c r="DC465" s="407"/>
      <c r="DD465" s="407"/>
      <c r="DE465" s="407">
        <v>0</v>
      </c>
      <c r="DF465" s="407">
        <v>0</v>
      </c>
      <c r="DG465" s="407">
        <v>0</v>
      </c>
      <c r="DH465" s="407">
        <v>0</v>
      </c>
      <c r="DI465" s="407">
        <v>0</v>
      </c>
      <c r="DJ465" s="407"/>
      <c r="DK465" s="407">
        <v>0</v>
      </c>
      <c r="DL465" s="407">
        <v>0</v>
      </c>
      <c r="DM465" s="407"/>
      <c r="DN465" s="407">
        <v>0</v>
      </c>
      <c r="DO465" s="407">
        <v>0</v>
      </c>
      <c r="DP465" s="407">
        <v>0</v>
      </c>
      <c r="DQ465" s="407">
        <v>0</v>
      </c>
      <c r="DR465" s="407">
        <v>-1010.1204457281499</v>
      </c>
      <c r="DS465" s="407"/>
      <c r="DT465" s="407"/>
      <c r="DU465" s="407">
        <v>23456.87858972406</v>
      </c>
      <c r="DV465" s="407"/>
      <c r="DW465" s="407">
        <v>0</v>
      </c>
      <c r="DX465" s="407">
        <v>0</v>
      </c>
      <c r="DY465" s="407">
        <v>-11710.999999999993</v>
      </c>
      <c r="DZ465" s="407"/>
      <c r="EA465" s="407">
        <v>0</v>
      </c>
      <c r="EB465" s="407"/>
      <c r="EC465" s="407">
        <v>-11981.828065125119</v>
      </c>
      <c r="ED465" s="407"/>
      <c r="EE465" s="407">
        <v>0</v>
      </c>
      <c r="EF465" s="407">
        <v>0</v>
      </c>
      <c r="EG465" s="407"/>
      <c r="EH465" s="407">
        <v>0</v>
      </c>
      <c r="EI465" s="407">
        <v>0</v>
      </c>
      <c r="EJ465" s="407">
        <v>0</v>
      </c>
      <c r="EK465" s="407">
        <v>0</v>
      </c>
      <c r="EL465" s="407">
        <v>0</v>
      </c>
      <c r="EM465" s="407"/>
      <c r="EN465" s="407"/>
      <c r="EO465" s="407">
        <v>0</v>
      </c>
      <c r="EP465" s="407">
        <v>0</v>
      </c>
      <c r="EQ465" s="407"/>
      <c r="ER465" s="407">
        <v>0</v>
      </c>
      <c r="ES465" s="407"/>
      <c r="ET465" s="407">
        <v>0</v>
      </c>
      <c r="EU465" s="407"/>
      <c r="EV465" s="407">
        <v>246</v>
      </c>
      <c r="EW465" s="407"/>
      <c r="EX465" s="407"/>
      <c r="EY465" s="407"/>
      <c r="EZ465" s="407"/>
      <c r="FA465" s="407">
        <v>0</v>
      </c>
      <c r="FB465" s="407"/>
      <c r="FC465" s="407"/>
      <c r="FD465" s="407"/>
      <c r="FE465" s="407"/>
      <c r="FF465" s="407">
        <v>0</v>
      </c>
      <c r="FG465" s="407">
        <v>0</v>
      </c>
      <c r="FH465" s="407">
        <v>0</v>
      </c>
      <c r="FI465" s="407">
        <v>0</v>
      </c>
    </row>
    <row r="466" spans="1:165">
      <c r="A466" s="407">
        <v>484</v>
      </c>
      <c r="B466" s="407" t="s">
        <v>1090</v>
      </c>
      <c r="C466" s="407" t="s">
        <v>2306</v>
      </c>
      <c r="D466" s="407" t="s">
        <v>2315</v>
      </c>
      <c r="E466" s="407" t="s">
        <v>1026</v>
      </c>
      <c r="F466" s="407" t="s">
        <v>97</v>
      </c>
      <c r="G466" s="407" t="s">
        <v>97</v>
      </c>
      <c r="H466" s="407" t="s">
        <v>97</v>
      </c>
      <c r="I466" s="407" t="s">
        <v>97</v>
      </c>
      <c r="J466" s="407" t="s">
        <v>2307</v>
      </c>
      <c r="K466" s="818">
        <v>44593</v>
      </c>
      <c r="L466" s="407">
        <v>0</v>
      </c>
      <c r="M466" s="407">
        <v>0</v>
      </c>
      <c r="N466" s="407">
        <v>4889.1859999999997</v>
      </c>
      <c r="O466" s="407">
        <v>4889.1859999999997</v>
      </c>
      <c r="P466" s="407">
        <v>4889.1859999999997</v>
      </c>
      <c r="Q466" s="407">
        <v>4889.1859999999997</v>
      </c>
      <c r="R466" s="407"/>
      <c r="S466" s="407">
        <v>648.44000000000005</v>
      </c>
      <c r="T466" s="407">
        <v>159.41</v>
      </c>
      <c r="U466" s="407"/>
      <c r="V466" s="407">
        <v>3949728.9101</v>
      </c>
      <c r="W466" s="407">
        <v>3949728.9101</v>
      </c>
      <c r="X466" s="407">
        <v>2991301.7785200002</v>
      </c>
      <c r="Y466" s="407">
        <v>0</v>
      </c>
      <c r="Z466" s="407">
        <v>302984.08179671993</v>
      </c>
      <c r="AA466" s="407">
        <v>0</v>
      </c>
      <c r="AB466" s="407">
        <v>0</v>
      </c>
      <c r="AC466" s="407">
        <v>0</v>
      </c>
      <c r="AD466" s="407">
        <v>570296.29561333265</v>
      </c>
      <c r="AE466" s="407">
        <v>2041460.0125123058</v>
      </c>
      <c r="AF466" s="407">
        <v>754062.66092369845</v>
      </c>
      <c r="AG466" s="407">
        <v>25334.526052109552</v>
      </c>
      <c r="AH466" s="407">
        <v>0</v>
      </c>
      <c r="AI466" s="407">
        <v>0</v>
      </c>
      <c r="AJ466" s="407">
        <v>0</v>
      </c>
      <c r="AK466" s="407">
        <v>0</v>
      </c>
      <c r="AL466" s="407">
        <v>46819.115756073516</v>
      </c>
      <c r="AM466" s="407"/>
      <c r="AN466" s="407">
        <v>10145.52855408783</v>
      </c>
      <c r="AO466" s="407">
        <v>0</v>
      </c>
      <c r="AP466" s="407">
        <v>0</v>
      </c>
      <c r="AQ466" s="407">
        <v>0</v>
      </c>
      <c r="AR466" s="407">
        <v>0</v>
      </c>
      <c r="AS466" s="407">
        <v>0</v>
      </c>
      <c r="AT466" s="407">
        <v>0</v>
      </c>
      <c r="AU466" s="407">
        <v>0</v>
      </c>
      <c r="AV466" s="407">
        <v>0</v>
      </c>
      <c r="AW466" s="407">
        <v>0</v>
      </c>
      <c r="AX466" s="407">
        <v>0</v>
      </c>
      <c r="AY466" s="407">
        <v>0</v>
      </c>
      <c r="AZ466" s="407">
        <v>0</v>
      </c>
      <c r="BA466" s="407"/>
      <c r="BB466" s="407">
        <v>0</v>
      </c>
      <c r="BC466" s="407">
        <v>0</v>
      </c>
      <c r="BD466" s="407">
        <v>0</v>
      </c>
      <c r="BE466" s="407">
        <v>0</v>
      </c>
      <c r="BF466" s="407">
        <v>0</v>
      </c>
      <c r="BG466" s="407">
        <v>55119.572612724267</v>
      </c>
      <c r="BH466" s="407">
        <v>0</v>
      </c>
      <c r="BI466" s="407">
        <v>5301.94</v>
      </c>
      <c r="BJ466" s="407">
        <v>23147.27</v>
      </c>
      <c r="BK466" s="407">
        <v>215678.47</v>
      </c>
      <c r="BL466" s="407">
        <v>13351</v>
      </c>
      <c r="BM466" s="407"/>
      <c r="BN466" s="407"/>
      <c r="BO466" s="407"/>
      <c r="BP466" s="407"/>
      <c r="BQ466" s="407"/>
      <c r="BR466" s="407">
        <v>358964.03612000006</v>
      </c>
      <c r="BS466" s="407"/>
      <c r="BT466" s="407"/>
      <c r="BU466" s="407"/>
      <c r="BV466" s="407">
        <v>809182.23353642272</v>
      </c>
      <c r="BW466" s="407"/>
      <c r="BX466" s="407"/>
      <c r="BY466" s="407"/>
      <c r="BZ466" s="407"/>
      <c r="CA466" s="407"/>
      <c r="CB466" s="407"/>
      <c r="CC466" s="407"/>
      <c r="CD466" s="407"/>
      <c r="CE466" s="407"/>
      <c r="CF466" s="407"/>
      <c r="CG466" s="407"/>
      <c r="CH466" s="407"/>
      <c r="CI466" s="407">
        <v>2632339.8959999997</v>
      </c>
      <c r="CJ466" s="407">
        <v>-843431.35325999931</v>
      </c>
      <c r="CK466" s="407"/>
      <c r="CL466" s="407"/>
      <c r="CM466" s="407"/>
      <c r="CN466" s="407"/>
      <c r="CO466" s="407">
        <v>-1092733.0710000002</v>
      </c>
      <c r="CP466" s="407">
        <v>134305.93941999998</v>
      </c>
      <c r="CQ466" s="407">
        <v>29</v>
      </c>
      <c r="CR466" s="407">
        <v>84358.103325904813</v>
      </c>
      <c r="CS466" s="407">
        <v>0</v>
      </c>
      <c r="CT466" s="407">
        <v>0</v>
      </c>
      <c r="CU466" s="407">
        <v>0</v>
      </c>
      <c r="CV466" s="407">
        <v>0</v>
      </c>
      <c r="CW466" s="407">
        <v>0</v>
      </c>
      <c r="CX466" s="407">
        <v>0</v>
      </c>
      <c r="CY466" s="407">
        <v>0</v>
      </c>
      <c r="CZ466" s="407">
        <v>25761.414462071843</v>
      </c>
      <c r="DA466" s="407">
        <v>0</v>
      </c>
      <c r="DB466" s="407">
        <v>0</v>
      </c>
      <c r="DC466" s="407">
        <v>149510.26231649995</v>
      </c>
      <c r="DD466" s="407">
        <v>0</v>
      </c>
      <c r="DE466" s="407">
        <v>0</v>
      </c>
      <c r="DF466" s="407">
        <v>0</v>
      </c>
      <c r="DG466" s="407">
        <v>10928.72275363293</v>
      </c>
      <c r="DH466" s="407">
        <v>0</v>
      </c>
      <c r="DI466" s="407">
        <v>-21221.602799864369</v>
      </c>
      <c r="DJ466" s="407"/>
      <c r="DK466" s="407">
        <v>0</v>
      </c>
      <c r="DL466" s="407">
        <v>0</v>
      </c>
      <c r="DM466" s="407">
        <v>0</v>
      </c>
      <c r="DN466" s="407">
        <v>0</v>
      </c>
      <c r="DO466" s="407">
        <v>-2856.4987182314289</v>
      </c>
      <c r="DP466" s="407">
        <v>-646.44858610139272</v>
      </c>
      <c r="DQ466" s="407">
        <v>0</v>
      </c>
      <c r="DR466" s="407">
        <v>-77117.746102102683</v>
      </c>
      <c r="DS466" s="407"/>
      <c r="DT466" s="407"/>
      <c r="DU466" s="407"/>
      <c r="DV466" s="407">
        <v>2041460.0125123058</v>
      </c>
      <c r="DW466" s="407">
        <v>0</v>
      </c>
      <c r="DX466" s="407">
        <v>0</v>
      </c>
      <c r="DY466" s="407">
        <v>-1092733.0710000002</v>
      </c>
      <c r="DZ466" s="407">
        <v>134305.93942000007</v>
      </c>
      <c r="EA466" s="407">
        <v>0</v>
      </c>
      <c r="EB466" s="407">
        <v>0</v>
      </c>
      <c r="EC466" s="407">
        <v>-1042782.5159339894</v>
      </c>
      <c r="ED466" s="407">
        <v>0</v>
      </c>
      <c r="EE466" s="407">
        <v>0</v>
      </c>
      <c r="EF466" s="407">
        <v>0</v>
      </c>
      <c r="EG466" s="407">
        <v>0</v>
      </c>
      <c r="EH466" s="407">
        <v>0</v>
      </c>
      <c r="EI466" s="407">
        <v>0</v>
      </c>
      <c r="EJ466" s="407">
        <v>0</v>
      </c>
      <c r="EK466" s="407">
        <v>0</v>
      </c>
      <c r="EL466" s="407">
        <v>0</v>
      </c>
      <c r="EM466" s="407">
        <v>0</v>
      </c>
      <c r="EN466" s="407">
        <v>0</v>
      </c>
      <c r="EO466" s="407">
        <v>0</v>
      </c>
      <c r="EP466" s="407">
        <v>143518.14231532277</v>
      </c>
      <c r="EQ466" s="407">
        <v>0</v>
      </c>
      <c r="ER466" s="407">
        <v>0</v>
      </c>
      <c r="ES466" s="407">
        <v>0</v>
      </c>
      <c r="ET466" s="407">
        <v>0</v>
      </c>
      <c r="EU466" s="407">
        <v>0</v>
      </c>
      <c r="EV466" s="407">
        <v>246</v>
      </c>
      <c r="EW466" s="407">
        <v>0</v>
      </c>
      <c r="EX466" s="407">
        <v>0</v>
      </c>
      <c r="EY466" s="407">
        <v>0</v>
      </c>
      <c r="EZ466" s="407"/>
      <c r="FA466" s="407">
        <v>0</v>
      </c>
      <c r="FB466" s="407"/>
      <c r="FC466" s="407"/>
      <c r="FD466" s="407"/>
      <c r="FE466" s="407"/>
      <c r="FF466" s="407">
        <v>0</v>
      </c>
      <c r="FG466" s="407">
        <v>0</v>
      </c>
      <c r="FH466" s="407">
        <v>0</v>
      </c>
      <c r="FI466" s="407">
        <v>0</v>
      </c>
    </row>
    <row r="467" spans="1:165">
      <c r="A467" s="407">
        <v>485</v>
      </c>
      <c r="B467" s="407" t="s">
        <v>2308</v>
      </c>
      <c r="C467" s="407" t="s">
        <v>2306</v>
      </c>
      <c r="D467" s="407" t="s">
        <v>2315</v>
      </c>
      <c r="E467" s="407" t="s">
        <v>1026</v>
      </c>
      <c r="F467" s="407" t="s">
        <v>97</v>
      </c>
      <c r="G467" s="407" t="s">
        <v>97</v>
      </c>
      <c r="H467" s="407" t="s">
        <v>97</v>
      </c>
      <c r="I467" s="407" t="s">
        <v>97</v>
      </c>
      <c r="J467" s="407" t="s">
        <v>2307</v>
      </c>
      <c r="K467" s="818">
        <v>44593</v>
      </c>
      <c r="L467" s="407">
        <v>0</v>
      </c>
      <c r="M467" s="407">
        <v>0</v>
      </c>
      <c r="N467" s="407">
        <v>-4.8659999999999997</v>
      </c>
      <c r="O467" s="407">
        <v>-4.8659999999999997</v>
      </c>
      <c r="P467" s="407">
        <v>-4.8659999999999997</v>
      </c>
      <c r="Q467" s="407">
        <v>-4.8659999999999997</v>
      </c>
      <c r="R467" s="407"/>
      <c r="S467" s="407">
        <v>648.44000000000005</v>
      </c>
      <c r="T467" s="407">
        <v>159.41</v>
      </c>
      <c r="U467" s="407"/>
      <c r="V467" s="407">
        <v>-3930.9980999999998</v>
      </c>
      <c r="W467" s="407">
        <v>-3930.9980999999998</v>
      </c>
      <c r="X467" s="407">
        <v>-2977.1161199999997</v>
      </c>
      <c r="Y467" s="407">
        <v>0</v>
      </c>
      <c r="Z467" s="407">
        <v>-301.54723956561259</v>
      </c>
      <c r="AA467" s="407">
        <v>0</v>
      </c>
      <c r="AB467" s="407">
        <v>0</v>
      </c>
      <c r="AC467" s="407">
        <v>0</v>
      </c>
      <c r="AD467" s="407">
        <v>-567.59177794718323</v>
      </c>
      <c r="AE467" s="407">
        <v>-2031.7787911699165</v>
      </c>
      <c r="AF467" s="407">
        <v>-750.48666752598831</v>
      </c>
      <c r="AG467" s="407">
        <v>-25.214382060646717</v>
      </c>
      <c r="AH467" s="407">
        <v>0</v>
      </c>
      <c r="AI467" s="407">
        <v>0</v>
      </c>
      <c r="AJ467" s="407">
        <v>0</v>
      </c>
      <c r="AK467" s="407">
        <v>0</v>
      </c>
      <c r="AL467" s="407">
        <v>-46.597085336711203</v>
      </c>
      <c r="AM467" s="407"/>
      <c r="AN467" s="407">
        <v>-10.097415386567699</v>
      </c>
      <c r="AO467" s="407">
        <v>0</v>
      </c>
      <c r="AP467" s="407">
        <v>0</v>
      </c>
      <c r="AQ467" s="407">
        <v>0</v>
      </c>
      <c r="AR467" s="407">
        <v>0</v>
      </c>
      <c r="AS467" s="407">
        <v>0</v>
      </c>
      <c r="AT467" s="407">
        <v>0</v>
      </c>
      <c r="AU467" s="407">
        <v>0</v>
      </c>
      <c r="AV467" s="407">
        <v>0</v>
      </c>
      <c r="AW467" s="407">
        <v>0</v>
      </c>
      <c r="AX467" s="407">
        <v>0</v>
      </c>
      <c r="AY467" s="407">
        <v>0</v>
      </c>
      <c r="AZ467" s="407">
        <v>0</v>
      </c>
      <c r="BA467" s="407"/>
      <c r="BB467" s="407">
        <v>0</v>
      </c>
      <c r="BC467" s="407">
        <v>0</v>
      </c>
      <c r="BD467" s="407">
        <v>0</v>
      </c>
      <c r="BE467" s="407">
        <v>0</v>
      </c>
      <c r="BF467" s="407">
        <v>0</v>
      </c>
      <c r="BG467" s="407">
        <v>-54.858178914346126</v>
      </c>
      <c r="BH467" s="407">
        <v>0</v>
      </c>
      <c r="BI467" s="407">
        <v>-2.19</v>
      </c>
      <c r="BJ467" s="407">
        <v>-10.1</v>
      </c>
      <c r="BK467" s="407">
        <v>-11.55</v>
      </c>
      <c r="BL467" s="407">
        <v>0</v>
      </c>
      <c r="BM467" s="407"/>
      <c r="BN467" s="407"/>
      <c r="BO467" s="407"/>
      <c r="BP467" s="407"/>
      <c r="BQ467" s="407"/>
      <c r="BR467" s="407">
        <v>-357.26172000000003</v>
      </c>
      <c r="BS467" s="407"/>
      <c r="BT467" s="407"/>
      <c r="BU467" s="407"/>
      <c r="BV467" s="407">
        <v>-805.34484644033444</v>
      </c>
      <c r="BW467" s="407"/>
      <c r="BX467" s="407"/>
      <c r="BY467" s="407"/>
      <c r="BZ467" s="407"/>
      <c r="CA467" s="407"/>
      <c r="CB467" s="407"/>
      <c r="CC467" s="407"/>
      <c r="CD467" s="407"/>
      <c r="CE467" s="407"/>
      <c r="CF467" s="407"/>
      <c r="CG467" s="407"/>
      <c r="CH467" s="407"/>
      <c r="CI467" s="407">
        <v>-2622.0079999999998</v>
      </c>
      <c r="CJ467" s="407">
        <v>837.25005999999939</v>
      </c>
      <c r="CK467" s="407"/>
      <c r="CL467" s="407"/>
      <c r="CM467" s="407"/>
      <c r="CN467" s="407"/>
      <c r="CO467" s="407">
        <v>1087.5510000000002</v>
      </c>
      <c r="CP467" s="407">
        <v>-133.66901999999999</v>
      </c>
      <c r="CQ467" s="407">
        <v>29</v>
      </c>
      <c r="CR467" s="407">
        <v>-83.958051664193817</v>
      </c>
      <c r="CS467" s="407">
        <v>0</v>
      </c>
      <c r="CT467" s="407">
        <v>0</v>
      </c>
      <c r="CU467" s="407">
        <v>0</v>
      </c>
      <c r="CV467" s="407">
        <v>0</v>
      </c>
      <c r="CW467" s="407">
        <v>0</v>
      </c>
      <c r="CX467" s="407">
        <v>0</v>
      </c>
      <c r="CY467" s="407">
        <v>0</v>
      </c>
      <c r="CZ467" s="407">
        <v>-25.639246036546979</v>
      </c>
      <c r="DA467" s="407">
        <v>0</v>
      </c>
      <c r="DB467" s="407">
        <v>0</v>
      </c>
      <c r="DC467" s="407">
        <v>-148.80123939487851</v>
      </c>
      <c r="DD467" s="407">
        <v>0</v>
      </c>
      <c r="DE467" s="407">
        <v>0</v>
      </c>
      <c r="DF467" s="407">
        <v>0</v>
      </c>
      <c r="DG467" s="407">
        <v>-10.876895442140636</v>
      </c>
      <c r="DH467" s="407">
        <v>0</v>
      </c>
      <c r="DI467" s="407">
        <v>21.120963535471958</v>
      </c>
      <c r="DJ467" s="407"/>
      <c r="DK467" s="407">
        <v>0</v>
      </c>
      <c r="DL467" s="407">
        <v>0</v>
      </c>
      <c r="DM467" s="407">
        <v>0</v>
      </c>
      <c r="DN467" s="407">
        <v>0</v>
      </c>
      <c r="DO467" s="407">
        <v>2.842952336629061</v>
      </c>
      <c r="DP467" s="407">
        <v>0.64338293122196077</v>
      </c>
      <c r="DQ467" s="407">
        <v>0</v>
      </c>
      <c r="DR467" s="407">
        <v>76.752030406049528</v>
      </c>
      <c r="DS467" s="407"/>
      <c r="DT467" s="407"/>
      <c r="DU467" s="407"/>
      <c r="DV467" s="407">
        <v>-2031.7787911699165</v>
      </c>
      <c r="DW467" s="407">
        <v>0</v>
      </c>
      <c r="DX467" s="407">
        <v>0</v>
      </c>
      <c r="DY467" s="407">
        <v>1087.5510000000004</v>
      </c>
      <c r="DZ467" s="407">
        <v>-133.66901999999993</v>
      </c>
      <c r="EA467" s="407">
        <v>0</v>
      </c>
      <c r="EB467" s="407">
        <v>0</v>
      </c>
      <c r="EC467" s="407">
        <v>1037.8373255864662</v>
      </c>
      <c r="ED467" s="407">
        <v>0</v>
      </c>
      <c r="EE467" s="407">
        <v>0</v>
      </c>
      <c r="EF467" s="407">
        <v>0</v>
      </c>
      <c r="EG467" s="407">
        <v>0</v>
      </c>
      <c r="EH467" s="407">
        <v>0</v>
      </c>
      <c r="EI467" s="407">
        <v>0</v>
      </c>
      <c r="EJ467" s="407">
        <v>0</v>
      </c>
      <c r="EK467" s="407">
        <v>0</v>
      </c>
      <c r="EL467" s="407">
        <v>0</v>
      </c>
      <c r="EM467" s="407">
        <v>0</v>
      </c>
      <c r="EN467" s="407">
        <v>0</v>
      </c>
      <c r="EO467" s="407">
        <v>0</v>
      </c>
      <c r="EP467" s="407">
        <v>-142.83753584060017</v>
      </c>
      <c r="EQ467" s="407">
        <v>0</v>
      </c>
      <c r="ER467" s="407">
        <v>0</v>
      </c>
      <c r="ES467" s="407">
        <v>0</v>
      </c>
      <c r="ET467" s="407">
        <v>0</v>
      </c>
      <c r="EU467" s="407">
        <v>0</v>
      </c>
      <c r="EV467" s="407">
        <v>246</v>
      </c>
      <c r="EW467" s="407">
        <v>0</v>
      </c>
      <c r="EX467" s="407">
        <v>0</v>
      </c>
      <c r="EY467" s="407">
        <v>0</v>
      </c>
      <c r="EZ467" s="407"/>
      <c r="FA467" s="407">
        <v>0</v>
      </c>
      <c r="FB467" s="407"/>
      <c r="FC467" s="407"/>
      <c r="FD467" s="407"/>
      <c r="FE467" s="407"/>
      <c r="FF467" s="407">
        <v>0</v>
      </c>
      <c r="FG467" s="407">
        <v>0</v>
      </c>
      <c r="FH467" s="407">
        <v>0</v>
      </c>
      <c r="FI467" s="407">
        <v>0</v>
      </c>
    </row>
    <row r="468" spans="1:165">
      <c r="A468" s="407">
        <v>486</v>
      </c>
      <c r="B468" s="407" t="s">
        <v>2309</v>
      </c>
      <c r="C468" s="407" t="s">
        <v>2306</v>
      </c>
      <c r="D468" s="407" t="s">
        <v>2315</v>
      </c>
      <c r="E468" s="407" t="s">
        <v>1026</v>
      </c>
      <c r="F468" s="407" t="s">
        <v>97</v>
      </c>
      <c r="G468" s="407" t="s">
        <v>97</v>
      </c>
      <c r="H468" s="407" t="s">
        <v>97</v>
      </c>
      <c r="I468" s="407" t="s">
        <v>97</v>
      </c>
      <c r="J468" s="407" t="s">
        <v>2307</v>
      </c>
      <c r="K468" s="818">
        <v>44593</v>
      </c>
      <c r="L468" s="407">
        <v>0</v>
      </c>
      <c r="M468" s="407">
        <v>0</v>
      </c>
      <c r="N468" s="407">
        <v>98.78</v>
      </c>
      <c r="O468" s="407">
        <v>98.78</v>
      </c>
      <c r="P468" s="407">
        <v>98.78</v>
      </c>
      <c r="Q468" s="407">
        <v>98.78</v>
      </c>
      <c r="R468" s="407"/>
      <c r="S468" s="407">
        <v>648.44000000000005</v>
      </c>
      <c r="T468" s="407">
        <v>159.41</v>
      </c>
      <c r="U468" s="407"/>
      <c r="V468" s="407">
        <v>79799.42300000001</v>
      </c>
      <c r="W468" s="407">
        <v>79799.42300000001</v>
      </c>
      <c r="X468" s="407">
        <v>60435.579599999997</v>
      </c>
      <c r="Y468" s="407">
        <v>0</v>
      </c>
      <c r="Z468" s="407">
        <v>6121.4213572320623</v>
      </c>
      <c r="AA468" s="407">
        <v>0</v>
      </c>
      <c r="AB468" s="407">
        <v>0</v>
      </c>
      <c r="AC468" s="407">
        <v>0</v>
      </c>
      <c r="AD468" s="407">
        <v>11522.136421213063</v>
      </c>
      <c r="AE468" s="407">
        <v>41245.192969947471</v>
      </c>
      <c r="AF468" s="407">
        <v>15234.910196920906</v>
      </c>
      <c r="AG468" s="407">
        <v>511.852992180576</v>
      </c>
      <c r="AH468" s="407">
        <v>0</v>
      </c>
      <c r="AI468" s="407">
        <v>0</v>
      </c>
      <c r="AJ468" s="407">
        <v>0</v>
      </c>
      <c r="AK468" s="407">
        <v>0</v>
      </c>
      <c r="AL468" s="407">
        <v>945.92274754630773</v>
      </c>
      <c r="AM468" s="407"/>
      <c r="AN468" s="407">
        <v>204.97794736645238</v>
      </c>
      <c r="AO468" s="407">
        <v>0</v>
      </c>
      <c r="AP468" s="407">
        <v>0</v>
      </c>
      <c r="AQ468" s="407">
        <v>0</v>
      </c>
      <c r="AR468" s="407">
        <v>0</v>
      </c>
      <c r="AS468" s="407">
        <v>0</v>
      </c>
      <c r="AT468" s="407">
        <v>0</v>
      </c>
      <c r="AU468" s="407">
        <v>0</v>
      </c>
      <c r="AV468" s="407">
        <v>0</v>
      </c>
      <c r="AW468" s="407">
        <v>0</v>
      </c>
      <c r="AX468" s="407">
        <v>0</v>
      </c>
      <c r="AY468" s="407">
        <v>0</v>
      </c>
      <c r="AZ468" s="407">
        <v>0</v>
      </c>
      <c r="BA468" s="407"/>
      <c r="BB468" s="407">
        <v>0</v>
      </c>
      <c r="BC468" s="407">
        <v>0</v>
      </c>
      <c r="BD468" s="407">
        <v>0</v>
      </c>
      <c r="BE468" s="407">
        <v>0</v>
      </c>
      <c r="BF468" s="407">
        <v>0</v>
      </c>
      <c r="BG468" s="407">
        <v>1113.6232867158058</v>
      </c>
      <c r="BH468" s="407">
        <v>0</v>
      </c>
      <c r="BI468" s="407">
        <v>107.98</v>
      </c>
      <c r="BJ468" s="407">
        <v>478.59</v>
      </c>
      <c r="BK468" s="407">
        <v>5502.24</v>
      </c>
      <c r="BL468" s="407">
        <v>413</v>
      </c>
      <c r="BM468" s="407"/>
      <c r="BN468" s="407"/>
      <c r="BO468" s="407"/>
      <c r="BP468" s="407"/>
      <c r="BQ468" s="407"/>
      <c r="BR468" s="407">
        <v>7252.4276000000009</v>
      </c>
      <c r="BS468" s="407"/>
      <c r="BT468" s="407"/>
      <c r="BU468" s="407"/>
      <c r="BV468" s="407">
        <v>16348.533483636711</v>
      </c>
      <c r="BW468" s="407"/>
      <c r="BX468" s="407"/>
      <c r="BY468" s="407"/>
      <c r="BZ468" s="407"/>
      <c r="CA468" s="407"/>
      <c r="CB468" s="407"/>
      <c r="CC468" s="407"/>
      <c r="CD468" s="407"/>
      <c r="CE468" s="407"/>
      <c r="CF468" s="407"/>
      <c r="CG468" s="407"/>
      <c r="CH468" s="407"/>
      <c r="CI468" s="407">
        <v>53183.152000000002</v>
      </c>
      <c r="CJ468" s="407">
        <v>-17040.567800000004</v>
      </c>
      <c r="CK468" s="407"/>
      <c r="CL468" s="407"/>
      <c r="CM468" s="407"/>
      <c r="CN468" s="407"/>
      <c r="CO468" s="407">
        <v>-22077.330000000005</v>
      </c>
      <c r="CP468" s="407">
        <v>2713.4865999999997</v>
      </c>
      <c r="CQ468" s="407">
        <v>29</v>
      </c>
      <c r="CR468" s="407">
        <v>1704.3518995867344</v>
      </c>
      <c r="CS468" s="407">
        <v>0</v>
      </c>
      <c r="CT468" s="407">
        <v>0</v>
      </c>
      <c r="CU468" s="407">
        <v>0</v>
      </c>
      <c r="CV468" s="407">
        <v>0</v>
      </c>
      <c r="CW468" s="407">
        <v>0</v>
      </c>
      <c r="CX468" s="407">
        <v>0</v>
      </c>
      <c r="CY468" s="407">
        <v>0</v>
      </c>
      <c r="CZ468" s="407">
        <v>520.47774835390737</v>
      </c>
      <c r="DA468" s="407">
        <v>0</v>
      </c>
      <c r="DB468" s="407">
        <v>0</v>
      </c>
      <c r="DC468" s="407">
        <v>3020.671275673265</v>
      </c>
      <c r="DD468" s="407">
        <v>0</v>
      </c>
      <c r="DE468" s="407">
        <v>0</v>
      </c>
      <c r="DF468" s="407">
        <v>0</v>
      </c>
      <c r="DG468" s="407">
        <v>220.80142453239864</v>
      </c>
      <c r="DH468" s="407">
        <v>0</v>
      </c>
      <c r="DI468" s="407">
        <v>-428.75642787380184</v>
      </c>
      <c r="DJ468" s="407"/>
      <c r="DK468" s="407">
        <v>0</v>
      </c>
      <c r="DL468" s="407">
        <v>0</v>
      </c>
      <c r="DM468" s="407">
        <v>0</v>
      </c>
      <c r="DN468" s="407">
        <v>0</v>
      </c>
      <c r="DO468" s="407">
        <v>-57.712049283234478</v>
      </c>
      <c r="DP468" s="407">
        <v>-13.060699947822712</v>
      </c>
      <c r="DQ468" s="407">
        <v>0</v>
      </c>
      <c r="DR468" s="407">
        <v>-1558.0693718679763</v>
      </c>
      <c r="DS468" s="407"/>
      <c r="DT468" s="407"/>
      <c r="DU468" s="407"/>
      <c r="DV468" s="407">
        <v>41245.192969947471</v>
      </c>
      <c r="DW468" s="407">
        <v>0</v>
      </c>
      <c r="DX468" s="407">
        <v>0</v>
      </c>
      <c r="DY468" s="407">
        <v>-22077.330000000009</v>
      </c>
      <c r="DZ468" s="407">
        <v>2713.4865999999984</v>
      </c>
      <c r="EA468" s="407">
        <v>0</v>
      </c>
      <c r="EB468" s="407">
        <v>0</v>
      </c>
      <c r="EC468" s="407">
        <v>-21068.14036609765</v>
      </c>
      <c r="ED468" s="407">
        <v>0</v>
      </c>
      <c r="EE468" s="407">
        <v>0</v>
      </c>
      <c r="EF468" s="407">
        <v>0</v>
      </c>
      <c r="EG468" s="407">
        <v>0</v>
      </c>
      <c r="EH468" s="407">
        <v>0</v>
      </c>
      <c r="EI468" s="407">
        <v>0</v>
      </c>
      <c r="EJ468" s="407">
        <v>0</v>
      </c>
      <c r="EK468" s="407">
        <v>0</v>
      </c>
      <c r="EL468" s="407">
        <v>0</v>
      </c>
      <c r="EM468" s="407">
        <v>0</v>
      </c>
      <c r="EN468" s="407">
        <v>0</v>
      </c>
      <c r="EO468" s="407">
        <v>0</v>
      </c>
      <c r="EP468" s="407">
        <v>2899.6078484041282</v>
      </c>
      <c r="EQ468" s="407">
        <v>0</v>
      </c>
      <c r="ER468" s="407">
        <v>0</v>
      </c>
      <c r="ES468" s="407">
        <v>0</v>
      </c>
      <c r="ET468" s="407">
        <v>0</v>
      </c>
      <c r="EU468" s="407">
        <v>0</v>
      </c>
      <c r="EV468" s="407">
        <v>246</v>
      </c>
      <c r="EW468" s="407">
        <v>0</v>
      </c>
      <c r="EX468" s="407">
        <v>0</v>
      </c>
      <c r="EY468" s="407">
        <v>0</v>
      </c>
      <c r="EZ468" s="407"/>
      <c r="FA468" s="407">
        <v>0</v>
      </c>
      <c r="FB468" s="407"/>
      <c r="FC468" s="407"/>
      <c r="FD468" s="407"/>
      <c r="FE468" s="407"/>
      <c r="FF468" s="407">
        <v>0</v>
      </c>
      <c r="FG468" s="407">
        <v>0</v>
      </c>
      <c r="FH468" s="407">
        <v>0</v>
      </c>
      <c r="FI468" s="407">
        <v>0</v>
      </c>
    </row>
    <row r="469" spans="1:165">
      <c r="A469" s="407">
        <v>487</v>
      </c>
      <c r="B469" s="407" t="s">
        <v>1090</v>
      </c>
      <c r="C469" s="407" t="s">
        <v>2314</v>
      </c>
      <c r="D469" s="407" t="s">
        <v>650</v>
      </c>
      <c r="E469" s="407" t="s">
        <v>1026</v>
      </c>
      <c r="F469" s="407" t="s">
        <v>97</v>
      </c>
      <c r="G469" s="407" t="s">
        <v>97</v>
      </c>
      <c r="H469" s="407" t="s">
        <v>97</v>
      </c>
      <c r="I469" s="407" t="s">
        <v>1025</v>
      </c>
      <c r="J469" s="407" t="s">
        <v>2307</v>
      </c>
      <c r="K469" s="818">
        <v>44593</v>
      </c>
      <c r="L469" s="407">
        <v>0</v>
      </c>
      <c r="M469" s="407">
        <v>0</v>
      </c>
      <c r="N469" s="407">
        <v>32.465000000000003</v>
      </c>
      <c r="O469" s="407">
        <v>31.166399999999999</v>
      </c>
      <c r="P469" s="407">
        <v>32.465000000000003</v>
      </c>
      <c r="Q469" s="407">
        <v>31.166399999999999</v>
      </c>
      <c r="R469" s="407"/>
      <c r="S469" s="407">
        <v>2810.7</v>
      </c>
      <c r="T469" s="407">
        <v>159.41</v>
      </c>
      <c r="U469" s="407"/>
      <c r="V469" s="407">
        <v>96424.621150000006</v>
      </c>
      <c r="W469" s="407">
        <v>96424.621150000006</v>
      </c>
      <c r="X469" s="407">
        <v>61413.715850000008</v>
      </c>
      <c r="Y469" s="407">
        <v>0</v>
      </c>
      <c r="Z469" s="407">
        <v>1750.3218424317549</v>
      </c>
      <c r="AA469" s="407">
        <v>0</v>
      </c>
      <c r="AB469" s="407">
        <v>0</v>
      </c>
      <c r="AC469" s="407">
        <v>0</v>
      </c>
      <c r="AD469" s="407">
        <v>19820.388739298665</v>
      </c>
      <c r="AE469" s="407">
        <v>68335.218271312042</v>
      </c>
      <c r="AF469" s="407">
        <v>5007.1002180910837</v>
      </c>
      <c r="AG469" s="407">
        <v>168.22542408526422</v>
      </c>
      <c r="AH469" s="407">
        <v>0</v>
      </c>
      <c r="AI469" s="407">
        <v>0</v>
      </c>
      <c r="AJ469" s="407">
        <v>0</v>
      </c>
      <c r="AK469" s="407">
        <v>0</v>
      </c>
      <c r="AL469" s="407">
        <v>310.88663696184329</v>
      </c>
      <c r="AM469" s="407"/>
      <c r="AN469" s="407">
        <v>34.858754305420547</v>
      </c>
      <c r="AO469" s="407">
        <v>0</v>
      </c>
      <c r="AP469" s="407">
        <v>0</v>
      </c>
      <c r="AQ469" s="407">
        <v>0</v>
      </c>
      <c r="AR469" s="407">
        <v>0</v>
      </c>
      <c r="AS469" s="407">
        <v>0</v>
      </c>
      <c r="AT469" s="407">
        <v>0</v>
      </c>
      <c r="AU469" s="407">
        <v>0</v>
      </c>
      <c r="AV469" s="407">
        <v>0</v>
      </c>
      <c r="AW469" s="407">
        <v>0</v>
      </c>
      <c r="AX469" s="407">
        <v>0</v>
      </c>
      <c r="AY469" s="407">
        <v>0</v>
      </c>
      <c r="AZ469" s="407">
        <v>0</v>
      </c>
      <c r="BA469" s="407"/>
      <c r="BB469" s="407">
        <v>0</v>
      </c>
      <c r="BC469" s="407">
        <v>0</v>
      </c>
      <c r="BD469" s="407">
        <v>0</v>
      </c>
      <c r="BE469" s="407">
        <v>0</v>
      </c>
      <c r="BF469" s="407">
        <v>0</v>
      </c>
      <c r="BG469" s="407">
        <v>168.4892710629816</v>
      </c>
      <c r="BH469" s="407">
        <v>0</v>
      </c>
      <c r="BI469" s="407">
        <v>0</v>
      </c>
      <c r="BJ469" s="407">
        <v>0</v>
      </c>
      <c r="BK469" s="407">
        <v>0</v>
      </c>
      <c r="BL469" s="407">
        <v>0</v>
      </c>
      <c r="BM469" s="407"/>
      <c r="BN469" s="407"/>
      <c r="BO469" s="407"/>
      <c r="BP469" s="407"/>
      <c r="BQ469" s="407"/>
      <c r="BR469" s="407">
        <v>2456.5486340000075</v>
      </c>
      <c r="BS469" s="407"/>
      <c r="BT469" s="407"/>
      <c r="BU469" s="407"/>
      <c r="BV469" s="407">
        <v>5175.5894891540656</v>
      </c>
      <c r="BW469" s="407"/>
      <c r="BX469" s="407"/>
      <c r="BY469" s="407"/>
      <c r="BZ469" s="407"/>
      <c r="CA469" s="407"/>
      <c r="CB469" s="407"/>
      <c r="CC469" s="407"/>
      <c r="CD469" s="407"/>
      <c r="CE469" s="407"/>
      <c r="CF469" s="407"/>
      <c r="CG469" s="407"/>
      <c r="CH469" s="407"/>
      <c r="CI469" s="407">
        <v>58963.977299999999</v>
      </c>
      <c r="CJ469" s="407">
        <v>-33603.689003999985</v>
      </c>
      <c r="CK469" s="407"/>
      <c r="CL469" s="407"/>
      <c r="CM469" s="407"/>
      <c r="CN469" s="407"/>
      <c r="CO469" s="407">
        <v>-35902.718849999997</v>
      </c>
      <c r="CP469" s="407">
        <v>891.81355000000008</v>
      </c>
      <c r="CQ469" s="407">
        <v>29</v>
      </c>
      <c r="CR469" s="407">
        <v>-104.94626144076028</v>
      </c>
      <c r="CS469" s="407">
        <v>0</v>
      </c>
      <c r="CT469" s="407">
        <v>0</v>
      </c>
      <c r="CU469" s="407">
        <v>0</v>
      </c>
      <c r="CV469" s="407">
        <v>0</v>
      </c>
      <c r="CW469" s="407">
        <v>0</v>
      </c>
      <c r="CX469" s="407">
        <v>0</v>
      </c>
      <c r="CY469" s="407">
        <v>0</v>
      </c>
      <c r="CZ469" s="407">
        <v>895.32625941979131</v>
      </c>
      <c r="DA469" s="407">
        <v>0</v>
      </c>
      <c r="DB469" s="407">
        <v>0</v>
      </c>
      <c r="DC469" s="407">
        <v>992.77275728621771</v>
      </c>
      <c r="DD469" s="407">
        <v>0</v>
      </c>
      <c r="DE469" s="407">
        <v>0</v>
      </c>
      <c r="DF469" s="407">
        <v>0</v>
      </c>
      <c r="DG469" s="407">
        <v>33.406872425276219</v>
      </c>
      <c r="DH469" s="407">
        <v>0</v>
      </c>
      <c r="DI469" s="407">
        <v>-122.59599478541281</v>
      </c>
      <c r="DJ469" s="407"/>
      <c r="DK469" s="407">
        <v>0</v>
      </c>
      <c r="DL469" s="407">
        <v>0</v>
      </c>
      <c r="DM469" s="407">
        <v>0</v>
      </c>
      <c r="DN469" s="407">
        <v>0</v>
      </c>
      <c r="DO469" s="407">
        <v>-18.967621785586232</v>
      </c>
      <c r="DP469" s="407">
        <v>-2.2211156682333595</v>
      </c>
      <c r="DQ469" s="407">
        <v>0</v>
      </c>
      <c r="DR469" s="407">
        <v>-1882.6674183328146</v>
      </c>
      <c r="DS469" s="407"/>
      <c r="DT469" s="407"/>
      <c r="DU469" s="407"/>
      <c r="DV469" s="407">
        <v>68335.218271312042</v>
      </c>
      <c r="DW469" s="407">
        <v>0</v>
      </c>
      <c r="DX469" s="407">
        <v>0</v>
      </c>
      <c r="DY469" s="407">
        <v>-35902.718850000005</v>
      </c>
      <c r="DZ469" s="407">
        <v>891.81354999999985</v>
      </c>
      <c r="EA469" s="407">
        <v>0</v>
      </c>
      <c r="EB469" s="407">
        <v>0</v>
      </c>
      <c r="EC469" s="407">
        <v>-34905.788209959937</v>
      </c>
      <c r="ED469" s="407">
        <v>0</v>
      </c>
      <c r="EE469" s="407">
        <v>0</v>
      </c>
      <c r="EF469" s="407">
        <v>0</v>
      </c>
      <c r="EG469" s="407">
        <v>0</v>
      </c>
      <c r="EH469" s="407">
        <v>0</v>
      </c>
      <c r="EI469" s="407">
        <v>0</v>
      </c>
      <c r="EJ469" s="407">
        <v>0</v>
      </c>
      <c r="EK469" s="407">
        <v>0</v>
      </c>
      <c r="EL469" s="407">
        <v>0</v>
      </c>
      <c r="EM469" s="407">
        <v>0</v>
      </c>
      <c r="EN469" s="407">
        <v>0</v>
      </c>
      <c r="EO469" s="407">
        <v>0</v>
      </c>
      <c r="EP469" s="407">
        <v>829.09616171940456</v>
      </c>
      <c r="EQ469" s="407">
        <v>0</v>
      </c>
      <c r="ER469" s="407">
        <v>0</v>
      </c>
      <c r="ES469" s="407">
        <v>0</v>
      </c>
      <c r="ET469" s="407">
        <v>0</v>
      </c>
      <c r="EU469" s="407">
        <v>0</v>
      </c>
      <c r="EV469" s="407">
        <v>246</v>
      </c>
      <c r="EW469" s="407">
        <v>0</v>
      </c>
      <c r="EX469" s="407">
        <v>0</v>
      </c>
      <c r="EY469" s="407">
        <v>0</v>
      </c>
      <c r="EZ469" s="407"/>
      <c r="FA469" s="407">
        <v>0</v>
      </c>
      <c r="FB469" s="407"/>
      <c r="FC469" s="407"/>
      <c r="FD469" s="407"/>
      <c r="FE469" s="407"/>
      <c r="FF469" s="407">
        <v>0</v>
      </c>
      <c r="FG469" s="407">
        <v>0</v>
      </c>
      <c r="FH469" s="407">
        <v>0</v>
      </c>
      <c r="FI469" s="407">
        <v>0</v>
      </c>
    </row>
    <row r="470" spans="1:165">
      <c r="A470" s="407">
        <v>488</v>
      </c>
      <c r="B470" s="407" t="s">
        <v>2309</v>
      </c>
      <c r="C470" s="407" t="s">
        <v>2314</v>
      </c>
      <c r="D470" s="407" t="s">
        <v>650</v>
      </c>
      <c r="E470" s="407" t="s">
        <v>1026</v>
      </c>
      <c r="F470" s="407" t="s">
        <v>97</v>
      </c>
      <c r="G470" s="407" t="s">
        <v>97</v>
      </c>
      <c r="H470" s="407" t="s">
        <v>97</v>
      </c>
      <c r="I470" s="407" t="s">
        <v>1025</v>
      </c>
      <c r="J470" s="407" t="s">
        <v>2307</v>
      </c>
      <c r="K470" s="818">
        <v>44593</v>
      </c>
      <c r="L470" s="407">
        <v>0</v>
      </c>
      <c r="M470" s="407">
        <v>0</v>
      </c>
      <c r="N470" s="407">
        <v>1.8420000000000001</v>
      </c>
      <c r="O470" s="407">
        <v>1.7683199999999999</v>
      </c>
      <c r="P470" s="407">
        <v>1.8420000000000001</v>
      </c>
      <c r="Q470" s="407">
        <v>1.7683199999999999</v>
      </c>
      <c r="R470" s="407"/>
      <c r="S470" s="407">
        <v>2810.7</v>
      </c>
      <c r="T470" s="407">
        <v>159.41</v>
      </c>
      <c r="U470" s="407"/>
      <c r="V470" s="407">
        <v>5470.9426199999998</v>
      </c>
      <c r="W470" s="407">
        <v>5470.9426199999998</v>
      </c>
      <c r="X470" s="407">
        <v>3484.49298</v>
      </c>
      <c r="Y470" s="407">
        <v>0</v>
      </c>
      <c r="Z470" s="407">
        <v>99.309805444610888</v>
      </c>
      <c r="AA470" s="407">
        <v>0</v>
      </c>
      <c r="AB470" s="407">
        <v>0</v>
      </c>
      <c r="AC470" s="407">
        <v>0</v>
      </c>
      <c r="AD470" s="407">
        <v>1124.5697230182702</v>
      </c>
      <c r="AE470" s="407">
        <v>3877.2053613354929</v>
      </c>
      <c r="AF470" s="407">
        <v>284.09298018554676</v>
      </c>
      <c r="AG470" s="407">
        <v>9.5447784125999284</v>
      </c>
      <c r="AH470" s="407">
        <v>0</v>
      </c>
      <c r="AI470" s="407">
        <v>0</v>
      </c>
      <c r="AJ470" s="407">
        <v>0</v>
      </c>
      <c r="AK470" s="407">
        <v>0</v>
      </c>
      <c r="AL470" s="407">
        <v>17.639093956067004</v>
      </c>
      <c r="AM470" s="407"/>
      <c r="AN470" s="407">
        <v>1.9778168929796596</v>
      </c>
      <c r="AO470" s="407">
        <v>0</v>
      </c>
      <c r="AP470" s="407">
        <v>0</v>
      </c>
      <c r="AQ470" s="407">
        <v>0</v>
      </c>
      <c r="AR470" s="407">
        <v>0</v>
      </c>
      <c r="AS470" s="407">
        <v>0</v>
      </c>
      <c r="AT470" s="407">
        <v>0</v>
      </c>
      <c r="AU470" s="407">
        <v>0</v>
      </c>
      <c r="AV470" s="407">
        <v>0</v>
      </c>
      <c r="AW470" s="407">
        <v>0</v>
      </c>
      <c r="AX470" s="407">
        <v>0</v>
      </c>
      <c r="AY470" s="407">
        <v>0</v>
      </c>
      <c r="AZ470" s="407">
        <v>0</v>
      </c>
      <c r="BA470" s="407"/>
      <c r="BB470" s="407">
        <v>0</v>
      </c>
      <c r="BC470" s="407">
        <v>0</v>
      </c>
      <c r="BD470" s="407">
        <v>0</v>
      </c>
      <c r="BE470" s="407">
        <v>0</v>
      </c>
      <c r="BF470" s="407">
        <v>0</v>
      </c>
      <c r="BG470" s="407">
        <v>9.5597485691671675</v>
      </c>
      <c r="BH470" s="407">
        <v>0</v>
      </c>
      <c r="BI470" s="407">
        <v>0</v>
      </c>
      <c r="BJ470" s="407">
        <v>0</v>
      </c>
      <c r="BK470" s="407">
        <v>0</v>
      </c>
      <c r="BL470" s="407">
        <v>0</v>
      </c>
      <c r="BM470" s="407"/>
      <c r="BN470" s="407"/>
      <c r="BO470" s="407"/>
      <c r="BP470" s="407"/>
      <c r="BQ470" s="407"/>
      <c r="BR470" s="407">
        <v>139.37971920000035</v>
      </c>
      <c r="BS470" s="407"/>
      <c r="BT470" s="407"/>
      <c r="BU470" s="407"/>
      <c r="BV470" s="407">
        <v>293.65272875471391</v>
      </c>
      <c r="BW470" s="407"/>
      <c r="BX470" s="407"/>
      <c r="BY470" s="407"/>
      <c r="BZ470" s="407"/>
      <c r="CA470" s="407"/>
      <c r="CB470" s="407"/>
      <c r="CC470" s="407"/>
      <c r="CD470" s="407"/>
      <c r="CE470" s="407"/>
      <c r="CF470" s="407"/>
      <c r="CG470" s="407"/>
      <c r="CH470" s="407"/>
      <c r="CI470" s="407">
        <v>3348.2912999999999</v>
      </c>
      <c r="CJ470" s="407">
        <v>-1903.8436152000004</v>
      </c>
      <c r="CK470" s="407"/>
      <c r="CL470" s="407"/>
      <c r="CM470" s="407"/>
      <c r="CN470" s="407"/>
      <c r="CO470" s="407">
        <v>-2037.0493799999999</v>
      </c>
      <c r="CP470" s="407">
        <v>50.599739999999997</v>
      </c>
      <c r="CQ470" s="407">
        <v>29</v>
      </c>
      <c r="CR470" s="407">
        <v>-5.9544436646817758</v>
      </c>
      <c r="CS470" s="407">
        <v>0</v>
      </c>
      <c r="CT470" s="407">
        <v>0</v>
      </c>
      <c r="CU470" s="407">
        <v>0</v>
      </c>
      <c r="CV470" s="407">
        <v>0</v>
      </c>
      <c r="CW470" s="407">
        <v>0</v>
      </c>
      <c r="CX470" s="407">
        <v>0</v>
      </c>
      <c r="CY470" s="407">
        <v>0</v>
      </c>
      <c r="CZ470" s="407">
        <v>50.799044196865907</v>
      </c>
      <c r="DA470" s="407">
        <v>0</v>
      </c>
      <c r="DB470" s="407">
        <v>0</v>
      </c>
      <c r="DC470" s="407">
        <v>56.327966084127866</v>
      </c>
      <c r="DD470" s="407">
        <v>0</v>
      </c>
      <c r="DE470" s="407">
        <v>0</v>
      </c>
      <c r="DF470" s="407">
        <v>0</v>
      </c>
      <c r="DG470" s="407">
        <v>1.895439981745227</v>
      </c>
      <c r="DH470" s="407">
        <v>0</v>
      </c>
      <c r="DI470" s="407">
        <v>-6.9558546864232511</v>
      </c>
      <c r="DJ470" s="407"/>
      <c r="DK470" s="407">
        <v>0</v>
      </c>
      <c r="DL470" s="407">
        <v>0</v>
      </c>
      <c r="DM470" s="407">
        <v>0</v>
      </c>
      <c r="DN470" s="407">
        <v>0</v>
      </c>
      <c r="DO470" s="407">
        <v>-1.0761854097966967</v>
      </c>
      <c r="DP470" s="407">
        <v>-0.12602171756925462</v>
      </c>
      <c r="DQ470" s="407">
        <v>0</v>
      </c>
      <c r="DR470" s="407">
        <v>-106.81883211363143</v>
      </c>
      <c r="DS470" s="407"/>
      <c r="DT470" s="407"/>
      <c r="DU470" s="407"/>
      <c r="DV470" s="407">
        <v>3877.2053613354929</v>
      </c>
      <c r="DW470" s="407">
        <v>0</v>
      </c>
      <c r="DX470" s="407">
        <v>0</v>
      </c>
      <c r="DY470" s="407">
        <v>-2037.0493799999999</v>
      </c>
      <c r="DZ470" s="407">
        <v>50.599739999999997</v>
      </c>
      <c r="EA470" s="407">
        <v>0</v>
      </c>
      <c r="EB470" s="407">
        <v>0</v>
      </c>
      <c r="EC470" s="407">
        <v>-1980.4855038578839</v>
      </c>
      <c r="ED470" s="407">
        <v>0</v>
      </c>
      <c r="EE470" s="407">
        <v>0</v>
      </c>
      <c r="EF470" s="407">
        <v>0</v>
      </c>
      <c r="EG470" s="407">
        <v>0</v>
      </c>
      <c r="EH470" s="407">
        <v>0</v>
      </c>
      <c r="EI470" s="407">
        <v>0</v>
      </c>
      <c r="EJ470" s="407">
        <v>0</v>
      </c>
      <c r="EK470" s="407">
        <v>0</v>
      </c>
      <c r="EL470" s="407">
        <v>0</v>
      </c>
      <c r="EM470" s="407">
        <v>0</v>
      </c>
      <c r="EN470" s="407">
        <v>0</v>
      </c>
      <c r="EO470" s="407">
        <v>0</v>
      </c>
      <c r="EP470" s="407">
        <v>47.041279220303188</v>
      </c>
      <c r="EQ470" s="407">
        <v>0</v>
      </c>
      <c r="ER470" s="407">
        <v>0</v>
      </c>
      <c r="ES470" s="407">
        <v>0</v>
      </c>
      <c r="ET470" s="407">
        <v>0</v>
      </c>
      <c r="EU470" s="407">
        <v>0</v>
      </c>
      <c r="EV470" s="407">
        <v>246</v>
      </c>
      <c r="EW470" s="407">
        <v>0</v>
      </c>
      <c r="EX470" s="407">
        <v>0</v>
      </c>
      <c r="EY470" s="407">
        <v>0</v>
      </c>
      <c r="EZ470" s="407"/>
      <c r="FA470" s="407">
        <v>0</v>
      </c>
      <c r="FB470" s="407"/>
      <c r="FC470" s="407"/>
      <c r="FD470" s="407"/>
      <c r="FE470" s="407"/>
      <c r="FF470" s="407">
        <v>0</v>
      </c>
      <c r="FG470" s="407">
        <v>0</v>
      </c>
      <c r="FH470" s="407">
        <v>0</v>
      </c>
      <c r="FI470" s="407">
        <v>0</v>
      </c>
    </row>
    <row r="471" spans="1:165">
      <c r="A471" s="407">
        <v>489</v>
      </c>
      <c r="B471" s="407" t="s">
        <v>1090</v>
      </c>
      <c r="C471" s="407" t="s">
        <v>2314</v>
      </c>
      <c r="D471" s="407" t="s">
        <v>650</v>
      </c>
      <c r="E471" s="407" t="s">
        <v>1026</v>
      </c>
      <c r="F471" s="407" t="s">
        <v>97</v>
      </c>
      <c r="G471" s="407" t="s">
        <v>97</v>
      </c>
      <c r="H471" s="407" t="s">
        <v>97</v>
      </c>
      <c r="I471" s="407" t="s">
        <v>2290</v>
      </c>
      <c r="J471" s="407" t="s">
        <v>2307</v>
      </c>
      <c r="K471" s="818">
        <v>44593</v>
      </c>
      <c r="L471" s="407">
        <v>0</v>
      </c>
      <c r="M471" s="407">
        <v>0</v>
      </c>
      <c r="N471" s="407">
        <v>696.35599999999999</v>
      </c>
      <c r="O471" s="407">
        <v>668.50175999999999</v>
      </c>
      <c r="P471" s="407">
        <v>696.35599999999999</v>
      </c>
      <c r="Q471" s="407">
        <v>668.50175999999999</v>
      </c>
      <c r="R471" s="407"/>
      <c r="S471" s="407">
        <v>95.29</v>
      </c>
      <c r="T471" s="407">
        <v>159.41</v>
      </c>
      <c r="U471" s="407"/>
      <c r="V471" s="407">
        <v>177361.8732</v>
      </c>
      <c r="W471" s="407">
        <v>177361.8732</v>
      </c>
      <c r="X471" s="407">
        <v>192827.93995999999</v>
      </c>
      <c r="Y471" s="407">
        <v>0</v>
      </c>
      <c r="Z471" s="407">
        <v>37543.41958750676</v>
      </c>
      <c r="AA471" s="407">
        <v>0</v>
      </c>
      <c r="AB471" s="407">
        <v>0</v>
      </c>
      <c r="AC471" s="407">
        <v>0</v>
      </c>
      <c r="AD471" s="407">
        <v>0</v>
      </c>
      <c r="AE471" s="407">
        <v>0</v>
      </c>
      <c r="AF471" s="407">
        <v>107399.48496747372</v>
      </c>
      <c r="AG471" s="407">
        <v>3608.3407797418217</v>
      </c>
      <c r="AH471" s="407">
        <v>0</v>
      </c>
      <c r="AI471" s="407">
        <v>0</v>
      </c>
      <c r="AJ471" s="407">
        <v>0</v>
      </c>
      <c r="AK471" s="407">
        <v>0</v>
      </c>
      <c r="AL471" s="407">
        <v>6668.3435998213872</v>
      </c>
      <c r="AM471" s="407"/>
      <c r="AN471" s="407">
        <v>747.70068421701615</v>
      </c>
      <c r="AO471" s="407">
        <v>0</v>
      </c>
      <c r="AP471" s="407">
        <v>0</v>
      </c>
      <c r="AQ471" s="407">
        <v>0</v>
      </c>
      <c r="AR471" s="407">
        <v>0</v>
      </c>
      <c r="AS471" s="407">
        <v>0</v>
      </c>
      <c r="AT471" s="407">
        <v>0</v>
      </c>
      <c r="AU471" s="407">
        <v>0</v>
      </c>
      <c r="AV471" s="407">
        <v>0</v>
      </c>
      <c r="AW471" s="407">
        <v>0</v>
      </c>
      <c r="AX471" s="407">
        <v>0</v>
      </c>
      <c r="AY471" s="407">
        <v>0</v>
      </c>
      <c r="AZ471" s="407">
        <v>0</v>
      </c>
      <c r="BA471" s="407"/>
      <c r="BB471" s="407">
        <v>0</v>
      </c>
      <c r="BC471" s="407">
        <v>0</v>
      </c>
      <c r="BD471" s="407">
        <v>0</v>
      </c>
      <c r="BE471" s="407">
        <v>0</v>
      </c>
      <c r="BF471" s="407">
        <v>0</v>
      </c>
      <c r="BG471" s="407">
        <v>3614.0001490939044</v>
      </c>
      <c r="BH471" s="407">
        <v>0</v>
      </c>
      <c r="BI471" s="407">
        <v>0</v>
      </c>
      <c r="BJ471" s="407">
        <v>0</v>
      </c>
      <c r="BK471" s="407">
        <v>0</v>
      </c>
      <c r="BL471" s="407">
        <v>0</v>
      </c>
      <c r="BM471" s="407"/>
      <c r="BN471" s="407"/>
      <c r="BO471" s="407"/>
      <c r="BP471" s="407"/>
      <c r="BQ471" s="407"/>
      <c r="BR471" s="407">
        <v>7713.1175984000001</v>
      </c>
      <c r="BS471" s="407"/>
      <c r="BT471" s="407"/>
      <c r="BU471" s="407"/>
      <c r="BV471" s="407">
        <v>111013.48511656762</v>
      </c>
      <c r="BW471" s="407"/>
      <c r="BX471" s="407"/>
      <c r="BY471" s="407"/>
      <c r="BZ471" s="407"/>
      <c r="CA471" s="407"/>
      <c r="CB471" s="407"/>
      <c r="CC471" s="407"/>
      <c r="CD471" s="407"/>
      <c r="CE471" s="407"/>
      <c r="CF471" s="407"/>
      <c r="CG471" s="407"/>
      <c r="CH471" s="407"/>
      <c r="CI471" s="407">
        <v>185114.33499999999</v>
      </c>
      <c r="CJ471" s="407">
        <v>14846.906727999973</v>
      </c>
      <c r="CK471" s="407"/>
      <c r="CL471" s="407"/>
      <c r="CM471" s="407"/>
      <c r="CN471" s="407"/>
      <c r="CO471" s="407">
        <v>-3662.8325600000035</v>
      </c>
      <c r="CP471" s="407">
        <v>19128.89932</v>
      </c>
      <c r="CQ471" s="407">
        <v>29</v>
      </c>
      <c r="CR471" s="407">
        <v>15463.865724628646</v>
      </c>
      <c r="CS471" s="407">
        <v>0</v>
      </c>
      <c r="CT471" s="407">
        <v>0</v>
      </c>
      <c r="CU471" s="407">
        <v>0</v>
      </c>
      <c r="CV471" s="407">
        <v>0</v>
      </c>
      <c r="CW471" s="407">
        <v>0</v>
      </c>
      <c r="CX471" s="407">
        <v>0</v>
      </c>
      <c r="CY471" s="407">
        <v>0</v>
      </c>
      <c r="CZ471" s="407">
        <v>0</v>
      </c>
      <c r="DA471" s="407">
        <v>0</v>
      </c>
      <c r="DB471" s="407">
        <v>0</v>
      </c>
      <c r="DC471" s="407">
        <v>21294.417562692164</v>
      </c>
      <c r="DD471" s="407">
        <v>0</v>
      </c>
      <c r="DE471" s="407">
        <v>0</v>
      </c>
      <c r="DF471" s="407">
        <v>0</v>
      </c>
      <c r="DG471" s="407">
        <v>716.55863405438549</v>
      </c>
      <c r="DH471" s="407">
        <v>0</v>
      </c>
      <c r="DI471" s="407">
        <v>-2629.6151715629458</v>
      </c>
      <c r="DJ471" s="407"/>
      <c r="DK471" s="407">
        <v>0</v>
      </c>
      <c r="DL471" s="407">
        <v>0</v>
      </c>
      <c r="DM471" s="407">
        <v>0</v>
      </c>
      <c r="DN471" s="407">
        <v>0</v>
      </c>
      <c r="DO471" s="407">
        <v>-406.84482476894118</v>
      </c>
      <c r="DP471" s="407">
        <v>-47.641682497098714</v>
      </c>
      <c r="DQ471" s="407">
        <v>0</v>
      </c>
      <c r="DR471" s="407">
        <v>-3463.0087932889542</v>
      </c>
      <c r="DS471" s="407"/>
      <c r="DT471" s="407"/>
      <c r="DU471" s="407"/>
      <c r="DV471" s="407">
        <v>0</v>
      </c>
      <c r="DW471" s="407">
        <v>0</v>
      </c>
      <c r="DX471" s="407">
        <v>0</v>
      </c>
      <c r="DY471" s="407">
        <v>-3662.8325600000026</v>
      </c>
      <c r="DZ471" s="407">
        <v>19128.899319999997</v>
      </c>
      <c r="EA471" s="407">
        <v>0</v>
      </c>
      <c r="EB471" s="407">
        <v>0</v>
      </c>
      <c r="EC471" s="407">
        <v>0</v>
      </c>
      <c r="ED471" s="407">
        <v>0</v>
      </c>
      <c r="EE471" s="407">
        <v>0</v>
      </c>
      <c r="EF471" s="407">
        <v>0</v>
      </c>
      <c r="EG471" s="407">
        <v>0</v>
      </c>
      <c r="EH471" s="407">
        <v>0</v>
      </c>
      <c r="EI471" s="407">
        <v>0</v>
      </c>
      <c r="EJ471" s="407">
        <v>0</v>
      </c>
      <c r="EK471" s="407">
        <v>0</v>
      </c>
      <c r="EL471" s="407">
        <v>0</v>
      </c>
      <c r="EM471" s="407">
        <v>0</v>
      </c>
      <c r="EN471" s="407">
        <v>0</v>
      </c>
      <c r="EO471" s="407">
        <v>0</v>
      </c>
      <c r="EP471" s="407">
        <v>17783.64659757516</v>
      </c>
      <c r="EQ471" s="407">
        <v>0</v>
      </c>
      <c r="ER471" s="407">
        <v>0</v>
      </c>
      <c r="ES471" s="407">
        <v>0</v>
      </c>
      <c r="ET471" s="407">
        <v>0</v>
      </c>
      <c r="EU471" s="407">
        <v>0</v>
      </c>
      <c r="EV471" s="407">
        <v>246</v>
      </c>
      <c r="EW471" s="407">
        <v>0</v>
      </c>
      <c r="EX471" s="407">
        <v>0</v>
      </c>
      <c r="EY471" s="407">
        <v>0</v>
      </c>
      <c r="EZ471" s="407"/>
      <c r="FA471" s="407">
        <v>0</v>
      </c>
      <c r="FB471" s="407"/>
      <c r="FC471" s="407"/>
      <c r="FD471" s="407"/>
      <c r="FE471" s="407"/>
      <c r="FF471" s="407">
        <v>0</v>
      </c>
      <c r="FG471" s="407">
        <v>0</v>
      </c>
      <c r="FH471" s="407">
        <v>0</v>
      </c>
      <c r="FI471" s="407">
        <v>0</v>
      </c>
    </row>
    <row r="472" spans="1:165">
      <c r="A472" s="407">
        <v>490</v>
      </c>
      <c r="B472" s="407" t="s">
        <v>2309</v>
      </c>
      <c r="C472" s="407" t="s">
        <v>2314</v>
      </c>
      <c r="D472" s="407" t="s">
        <v>650</v>
      </c>
      <c r="E472" s="407" t="s">
        <v>1026</v>
      </c>
      <c r="F472" s="407" t="s">
        <v>97</v>
      </c>
      <c r="G472" s="407" t="s">
        <v>97</v>
      </c>
      <c r="H472" s="407" t="s">
        <v>97</v>
      </c>
      <c r="I472" s="407" t="s">
        <v>2290</v>
      </c>
      <c r="J472" s="407" t="s">
        <v>2307</v>
      </c>
      <c r="K472" s="818">
        <v>44593</v>
      </c>
      <c r="L472" s="407">
        <v>0</v>
      </c>
      <c r="M472" s="407">
        <v>0</v>
      </c>
      <c r="N472" s="407">
        <v>28.381</v>
      </c>
      <c r="O472" s="407">
        <v>27.245760000000001</v>
      </c>
      <c r="P472" s="407">
        <v>28.381</v>
      </c>
      <c r="Q472" s="407">
        <v>27.245760000000001</v>
      </c>
      <c r="R472" s="407"/>
      <c r="S472" s="407">
        <v>95.29</v>
      </c>
      <c r="T472" s="407">
        <v>159.41</v>
      </c>
      <c r="U472" s="407"/>
      <c r="V472" s="407">
        <v>7228.6406999999999</v>
      </c>
      <c r="W472" s="407">
        <v>7228.6406999999999</v>
      </c>
      <c r="X472" s="407">
        <v>7858.9827100000002</v>
      </c>
      <c r="Y472" s="407">
        <v>0</v>
      </c>
      <c r="Z472" s="407">
        <v>1530.1365843232907</v>
      </c>
      <c r="AA472" s="407">
        <v>0</v>
      </c>
      <c r="AB472" s="407">
        <v>0</v>
      </c>
      <c r="AC472" s="407">
        <v>0</v>
      </c>
      <c r="AD472" s="407">
        <v>0</v>
      </c>
      <c r="AE472" s="407">
        <v>0</v>
      </c>
      <c r="AF472" s="407">
        <v>4377.2219710347463</v>
      </c>
      <c r="AG472" s="407">
        <v>147.06316836482006</v>
      </c>
      <c r="AH472" s="407">
        <v>0</v>
      </c>
      <c r="AI472" s="407">
        <v>0</v>
      </c>
      <c r="AJ472" s="407">
        <v>0</v>
      </c>
      <c r="AK472" s="407">
        <v>0</v>
      </c>
      <c r="AL472" s="407">
        <v>271.7780269094124</v>
      </c>
      <c r="AM472" s="407"/>
      <c r="AN472" s="407">
        <v>30.473627165936868</v>
      </c>
      <c r="AO472" s="407">
        <v>0</v>
      </c>
      <c r="AP472" s="407">
        <v>0</v>
      </c>
      <c r="AQ472" s="407">
        <v>0</v>
      </c>
      <c r="AR472" s="407">
        <v>0</v>
      </c>
      <c r="AS472" s="407">
        <v>0</v>
      </c>
      <c r="AT472" s="407">
        <v>0</v>
      </c>
      <c r="AU472" s="407">
        <v>0</v>
      </c>
      <c r="AV472" s="407">
        <v>0</v>
      </c>
      <c r="AW472" s="407">
        <v>0</v>
      </c>
      <c r="AX472" s="407">
        <v>0</v>
      </c>
      <c r="AY472" s="407">
        <v>0</v>
      </c>
      <c r="AZ472" s="407">
        <v>0</v>
      </c>
      <c r="BA472" s="407"/>
      <c r="BB472" s="407">
        <v>0</v>
      </c>
      <c r="BC472" s="407">
        <v>0</v>
      </c>
      <c r="BD472" s="407">
        <v>0</v>
      </c>
      <c r="BE472" s="407">
        <v>0</v>
      </c>
      <c r="BF472" s="407">
        <v>0</v>
      </c>
      <c r="BG472" s="407">
        <v>147.29382418107133</v>
      </c>
      <c r="BH472" s="407">
        <v>0</v>
      </c>
      <c r="BI472" s="407">
        <v>0</v>
      </c>
      <c r="BJ472" s="407">
        <v>0</v>
      </c>
      <c r="BK472" s="407">
        <v>0</v>
      </c>
      <c r="BL472" s="407">
        <v>0</v>
      </c>
      <c r="BM472" s="407"/>
      <c r="BN472" s="407"/>
      <c r="BO472" s="407"/>
      <c r="BP472" s="407"/>
      <c r="BQ472" s="407"/>
      <c r="BR472" s="407">
        <v>314.35930839999992</v>
      </c>
      <c r="BS472" s="407"/>
      <c r="BT472" s="407"/>
      <c r="BU472" s="407"/>
      <c r="BV472" s="407">
        <v>4524.5157952158179</v>
      </c>
      <c r="BW472" s="407"/>
      <c r="BX472" s="407"/>
      <c r="BY472" s="407"/>
      <c r="BZ472" s="407"/>
      <c r="CA472" s="407"/>
      <c r="CB472" s="407"/>
      <c r="CC472" s="407"/>
      <c r="CD472" s="407"/>
      <c r="CE472" s="407"/>
      <c r="CF472" s="407"/>
      <c r="CG472" s="407"/>
      <c r="CH472" s="407"/>
      <c r="CI472" s="407">
        <v>7545.7974999999997</v>
      </c>
      <c r="CJ472" s="407">
        <v>606.27242799999931</v>
      </c>
      <c r="CK472" s="407"/>
      <c r="CL472" s="407"/>
      <c r="CM472" s="407"/>
      <c r="CN472" s="407"/>
      <c r="CO472" s="407">
        <v>-149.28406000000015</v>
      </c>
      <c r="CP472" s="407">
        <v>779.62607000000003</v>
      </c>
      <c r="CQ472" s="407">
        <v>29</v>
      </c>
      <c r="CR472" s="407">
        <v>630.25230360718251</v>
      </c>
      <c r="CS472" s="407">
        <v>0</v>
      </c>
      <c r="CT472" s="407">
        <v>0</v>
      </c>
      <c r="CU472" s="407">
        <v>0</v>
      </c>
      <c r="CV472" s="407">
        <v>0</v>
      </c>
      <c r="CW472" s="407">
        <v>0</v>
      </c>
      <c r="CX472" s="407">
        <v>0</v>
      </c>
      <c r="CY472" s="407">
        <v>0</v>
      </c>
      <c r="CZ472" s="407">
        <v>0</v>
      </c>
      <c r="DA472" s="407">
        <v>0</v>
      </c>
      <c r="DB472" s="407">
        <v>0</v>
      </c>
      <c r="DC472" s="407">
        <v>867.88491065886683</v>
      </c>
      <c r="DD472" s="407">
        <v>0</v>
      </c>
      <c r="DE472" s="407">
        <v>0</v>
      </c>
      <c r="DF472" s="407">
        <v>0</v>
      </c>
      <c r="DG472" s="407">
        <v>29.204387688334009</v>
      </c>
      <c r="DH472" s="407">
        <v>0</v>
      </c>
      <c r="DI472" s="407">
        <v>-107.17378493777301</v>
      </c>
      <c r="DJ472" s="407"/>
      <c r="DK472" s="407">
        <v>0</v>
      </c>
      <c r="DL472" s="407">
        <v>0</v>
      </c>
      <c r="DM472" s="407">
        <v>0</v>
      </c>
      <c r="DN472" s="407">
        <v>0</v>
      </c>
      <c r="DO472" s="407">
        <v>-16.581551637046744</v>
      </c>
      <c r="DP472" s="407">
        <v>-1.9417059534924057</v>
      </c>
      <c r="DQ472" s="407">
        <v>0</v>
      </c>
      <c r="DR472" s="407">
        <v>-141.13995221170467</v>
      </c>
      <c r="DS472" s="407"/>
      <c r="DT472" s="407"/>
      <c r="DU472" s="407"/>
      <c r="DV472" s="407">
        <v>0</v>
      </c>
      <c r="DW472" s="407">
        <v>0</v>
      </c>
      <c r="DX472" s="407">
        <v>0</v>
      </c>
      <c r="DY472" s="407">
        <v>-149.28405999999995</v>
      </c>
      <c r="DZ472" s="407">
        <v>779.62606999999934</v>
      </c>
      <c r="EA472" s="407">
        <v>0</v>
      </c>
      <c r="EB472" s="407">
        <v>0</v>
      </c>
      <c r="EC472" s="407">
        <v>0</v>
      </c>
      <c r="ED472" s="407">
        <v>0</v>
      </c>
      <c r="EE472" s="407">
        <v>0</v>
      </c>
      <c r="EF472" s="407">
        <v>0</v>
      </c>
      <c r="EG472" s="407">
        <v>0</v>
      </c>
      <c r="EH472" s="407">
        <v>0</v>
      </c>
      <c r="EI472" s="407">
        <v>0</v>
      </c>
      <c r="EJ472" s="407">
        <v>0</v>
      </c>
      <c r="EK472" s="407">
        <v>0</v>
      </c>
      <c r="EL472" s="407">
        <v>0</v>
      </c>
      <c r="EM472" s="407">
        <v>0</v>
      </c>
      <c r="EN472" s="407">
        <v>0</v>
      </c>
      <c r="EO472" s="407">
        <v>0</v>
      </c>
      <c r="EP472" s="407">
        <v>724.79834177601776</v>
      </c>
      <c r="EQ472" s="407">
        <v>0</v>
      </c>
      <c r="ER472" s="407">
        <v>0</v>
      </c>
      <c r="ES472" s="407">
        <v>0</v>
      </c>
      <c r="ET472" s="407">
        <v>0</v>
      </c>
      <c r="EU472" s="407">
        <v>0</v>
      </c>
      <c r="EV472" s="407">
        <v>246</v>
      </c>
      <c r="EW472" s="407">
        <v>0</v>
      </c>
      <c r="EX472" s="407">
        <v>0</v>
      </c>
      <c r="EY472" s="407">
        <v>0</v>
      </c>
      <c r="EZ472" s="407"/>
      <c r="FA472" s="407">
        <v>0</v>
      </c>
      <c r="FB472" s="407"/>
      <c r="FC472" s="407"/>
      <c r="FD472" s="407"/>
      <c r="FE472" s="407"/>
      <c r="FF472" s="407">
        <v>0</v>
      </c>
      <c r="FG472" s="407">
        <v>0</v>
      </c>
      <c r="FH472" s="407">
        <v>0</v>
      </c>
      <c r="FI472" s="407">
        <v>0</v>
      </c>
    </row>
    <row r="473" spans="1:165">
      <c r="A473" s="407">
        <v>491</v>
      </c>
      <c r="B473" s="407" t="s">
        <v>1090</v>
      </c>
      <c r="C473" s="407" t="s">
        <v>2314</v>
      </c>
      <c r="D473" s="407" t="s">
        <v>650</v>
      </c>
      <c r="E473" s="407" t="s">
        <v>1026</v>
      </c>
      <c r="F473" s="407" t="s">
        <v>97</v>
      </c>
      <c r="G473" s="407" t="s">
        <v>97</v>
      </c>
      <c r="H473" s="407" t="s">
        <v>97</v>
      </c>
      <c r="I473" s="407" t="s">
        <v>97</v>
      </c>
      <c r="J473" s="407" t="s">
        <v>2307</v>
      </c>
      <c r="K473" s="818">
        <v>44593</v>
      </c>
      <c r="L473" s="407">
        <v>3299</v>
      </c>
      <c r="M473" s="407">
        <v>3167.04</v>
      </c>
      <c r="N473" s="407">
        <v>0</v>
      </c>
      <c r="O473" s="407">
        <v>0</v>
      </c>
      <c r="P473" s="407">
        <v>0</v>
      </c>
      <c r="Q473" s="407">
        <v>0</v>
      </c>
      <c r="R473" s="407">
        <v>43.29</v>
      </c>
      <c r="S473" s="407"/>
      <c r="T473" s="407"/>
      <c r="U473" s="407">
        <v>142813.71</v>
      </c>
      <c r="V473" s="407"/>
      <c r="W473" s="407">
        <v>142813.71</v>
      </c>
      <c r="X473" s="407">
        <v>110483.51000000001</v>
      </c>
      <c r="Y473" s="407">
        <v>0</v>
      </c>
      <c r="Z473" s="407">
        <v>0</v>
      </c>
      <c r="AA473" s="407">
        <v>0</v>
      </c>
      <c r="AB473" s="407">
        <v>0</v>
      </c>
      <c r="AC473" s="407">
        <v>0</v>
      </c>
      <c r="AD473" s="407">
        <v>78067.493635686958</v>
      </c>
      <c r="AE473" s="407">
        <v>64756.688257321905</v>
      </c>
      <c r="AF473" s="407"/>
      <c r="AG473" s="407"/>
      <c r="AH473" s="407"/>
      <c r="AI473" s="407">
        <v>0</v>
      </c>
      <c r="AJ473" s="407">
        <v>0</v>
      </c>
      <c r="AK473" s="407">
        <v>0</v>
      </c>
      <c r="AL473" s="407">
        <v>0</v>
      </c>
      <c r="AM473" s="407"/>
      <c r="AN473" s="407">
        <v>0</v>
      </c>
      <c r="AO473" s="407">
        <v>0</v>
      </c>
      <c r="AP473" s="407">
        <v>0</v>
      </c>
      <c r="AQ473" s="407">
        <v>0</v>
      </c>
      <c r="AR473" s="407">
        <v>0</v>
      </c>
      <c r="AS473" s="407"/>
      <c r="AT473" s="407"/>
      <c r="AU473" s="407">
        <v>0</v>
      </c>
      <c r="AV473" s="407">
        <v>0</v>
      </c>
      <c r="AW473" s="407">
        <v>0</v>
      </c>
      <c r="AX473" s="407"/>
      <c r="AY473" s="407"/>
      <c r="AZ473" s="407">
        <v>0</v>
      </c>
      <c r="BA473" s="407"/>
      <c r="BB473" s="407">
        <v>0</v>
      </c>
      <c r="BC473" s="407">
        <v>0</v>
      </c>
      <c r="BD473" s="407">
        <v>0</v>
      </c>
      <c r="BE473" s="407">
        <v>0</v>
      </c>
      <c r="BF473" s="407"/>
      <c r="BG473" s="407">
        <v>0</v>
      </c>
      <c r="BH473" s="407">
        <v>0</v>
      </c>
      <c r="BI473" s="407">
        <v>732.86</v>
      </c>
      <c r="BJ473" s="407">
        <v>3160.88</v>
      </c>
      <c r="BK473" s="407">
        <v>161.35</v>
      </c>
      <c r="BL473" s="407">
        <v>23</v>
      </c>
      <c r="BM473" s="407"/>
      <c r="BN473" s="407"/>
      <c r="BO473" s="407"/>
      <c r="BP473" s="407"/>
      <c r="BQ473" s="407"/>
      <c r="BR473" s="407">
        <v>4419.3404000000019</v>
      </c>
      <c r="BS473" s="407"/>
      <c r="BT473" s="407"/>
      <c r="BU473" s="407"/>
      <c r="BV473" s="407">
        <v>0</v>
      </c>
      <c r="BW473" s="407"/>
      <c r="BX473" s="407"/>
      <c r="BY473" s="407"/>
      <c r="BZ473" s="407"/>
      <c r="CA473" s="407"/>
      <c r="CB473" s="407"/>
      <c r="CC473" s="407"/>
      <c r="CD473" s="407"/>
      <c r="CE473" s="407"/>
      <c r="CF473" s="407"/>
      <c r="CG473" s="407"/>
      <c r="CH473" s="407"/>
      <c r="CI473" s="407">
        <v>106064.16960000001</v>
      </c>
      <c r="CJ473" s="407">
        <v>-31037.022000000012</v>
      </c>
      <c r="CK473" s="407"/>
      <c r="CL473" s="407"/>
      <c r="CM473" s="407"/>
      <c r="CN473" s="407"/>
      <c r="CO473" s="407">
        <v>-32330.19999999999</v>
      </c>
      <c r="CP473" s="407">
        <v>0</v>
      </c>
      <c r="CQ473" s="407">
        <v>29</v>
      </c>
      <c r="CR473" s="407">
        <v>737.85481906318455</v>
      </c>
      <c r="CS473" s="407">
        <v>0</v>
      </c>
      <c r="CT473" s="407">
        <v>0</v>
      </c>
      <c r="CU473" s="407">
        <v>0</v>
      </c>
      <c r="CV473" s="407">
        <v>0</v>
      </c>
      <c r="CW473" s="407"/>
      <c r="CX473" s="407"/>
      <c r="CY473" s="407"/>
      <c r="CZ473" s="407">
        <v>3526.46348053361</v>
      </c>
      <c r="DA473" s="407">
        <v>0</v>
      </c>
      <c r="DB473" s="407">
        <v>0</v>
      </c>
      <c r="DC473" s="407"/>
      <c r="DD473" s="407"/>
      <c r="DE473" s="407">
        <v>0</v>
      </c>
      <c r="DF473" s="407">
        <v>0</v>
      </c>
      <c r="DG473" s="407">
        <v>0</v>
      </c>
      <c r="DH473" s="407">
        <v>0</v>
      </c>
      <c r="DI473" s="407">
        <v>0</v>
      </c>
      <c r="DJ473" s="407"/>
      <c r="DK473" s="407">
        <v>0</v>
      </c>
      <c r="DL473" s="407">
        <v>0</v>
      </c>
      <c r="DM473" s="407"/>
      <c r="DN473" s="407">
        <v>0</v>
      </c>
      <c r="DO473" s="407">
        <v>0</v>
      </c>
      <c r="DP473" s="407">
        <v>0</v>
      </c>
      <c r="DQ473" s="407">
        <v>0</v>
      </c>
      <c r="DR473" s="407">
        <v>-2788.6086614704323</v>
      </c>
      <c r="DS473" s="407"/>
      <c r="DT473" s="407"/>
      <c r="DU473" s="407">
        <v>64756.688257321905</v>
      </c>
      <c r="DV473" s="407"/>
      <c r="DW473" s="407">
        <v>0</v>
      </c>
      <c r="DX473" s="407">
        <v>0</v>
      </c>
      <c r="DY473" s="407">
        <v>-32330.199999999983</v>
      </c>
      <c r="DZ473" s="407"/>
      <c r="EA473" s="407">
        <v>0</v>
      </c>
      <c r="EB473" s="407"/>
      <c r="EC473" s="407">
        <v>-33077.866767236628</v>
      </c>
      <c r="ED473" s="407"/>
      <c r="EE473" s="407">
        <v>0</v>
      </c>
      <c r="EF473" s="407">
        <v>0</v>
      </c>
      <c r="EG473" s="407"/>
      <c r="EH473" s="407">
        <v>0</v>
      </c>
      <c r="EI473" s="407">
        <v>0</v>
      </c>
      <c r="EJ473" s="407">
        <v>0</v>
      </c>
      <c r="EK473" s="407">
        <v>0</v>
      </c>
      <c r="EL473" s="407">
        <v>0</v>
      </c>
      <c r="EM473" s="407"/>
      <c r="EN473" s="407"/>
      <c r="EO473" s="407">
        <v>0</v>
      </c>
      <c r="EP473" s="407">
        <v>0</v>
      </c>
      <c r="EQ473" s="407"/>
      <c r="ER473" s="407">
        <v>0</v>
      </c>
      <c r="ES473" s="407"/>
      <c r="ET473" s="407">
        <v>0</v>
      </c>
      <c r="EU473" s="407"/>
      <c r="EV473" s="407">
        <v>246</v>
      </c>
      <c r="EW473" s="407"/>
      <c r="EX473" s="407"/>
      <c r="EY473" s="407"/>
      <c r="EZ473" s="407"/>
      <c r="FA473" s="407">
        <v>0</v>
      </c>
      <c r="FB473" s="407"/>
      <c r="FC473" s="407"/>
      <c r="FD473" s="407"/>
      <c r="FE473" s="407"/>
      <c r="FF473" s="407">
        <v>0</v>
      </c>
      <c r="FG473" s="407">
        <v>0</v>
      </c>
      <c r="FH473" s="407">
        <v>0</v>
      </c>
      <c r="FI473" s="407">
        <v>0</v>
      </c>
    </row>
    <row r="474" spans="1:165">
      <c r="A474" s="407">
        <v>492</v>
      </c>
      <c r="B474" s="407" t="s">
        <v>2309</v>
      </c>
      <c r="C474" s="407" t="s">
        <v>2314</v>
      </c>
      <c r="D474" s="407" t="s">
        <v>650</v>
      </c>
      <c r="E474" s="407" t="s">
        <v>1026</v>
      </c>
      <c r="F474" s="407" t="s">
        <v>97</v>
      </c>
      <c r="G474" s="407" t="s">
        <v>97</v>
      </c>
      <c r="H474" s="407" t="s">
        <v>97</v>
      </c>
      <c r="I474" s="407" t="s">
        <v>97</v>
      </c>
      <c r="J474" s="407" t="s">
        <v>2307</v>
      </c>
      <c r="K474" s="818">
        <v>44593</v>
      </c>
      <c r="L474" s="407">
        <v>467</v>
      </c>
      <c r="M474" s="407">
        <v>448.32</v>
      </c>
      <c r="N474" s="407">
        <v>0</v>
      </c>
      <c r="O474" s="407">
        <v>0</v>
      </c>
      <c r="P474" s="407">
        <v>0</v>
      </c>
      <c r="Q474" s="407">
        <v>0</v>
      </c>
      <c r="R474" s="407">
        <v>43.29</v>
      </c>
      <c r="S474" s="407"/>
      <c r="T474" s="407"/>
      <c r="U474" s="407">
        <v>20216.43</v>
      </c>
      <c r="V474" s="407"/>
      <c r="W474" s="407">
        <v>20216.43</v>
      </c>
      <c r="X474" s="407">
        <v>15639.830000000002</v>
      </c>
      <c r="Y474" s="407">
        <v>0</v>
      </c>
      <c r="Z474" s="407">
        <v>0</v>
      </c>
      <c r="AA474" s="407">
        <v>0</v>
      </c>
      <c r="AB474" s="407">
        <v>0</v>
      </c>
      <c r="AC474" s="407">
        <v>0</v>
      </c>
      <c r="AD474" s="407">
        <v>11051.082002990546</v>
      </c>
      <c r="AE474" s="407">
        <v>9166.8303777415367</v>
      </c>
      <c r="AF474" s="407"/>
      <c r="AG474" s="407"/>
      <c r="AH474" s="407"/>
      <c r="AI474" s="407">
        <v>0</v>
      </c>
      <c r="AJ474" s="407">
        <v>0</v>
      </c>
      <c r="AK474" s="407">
        <v>0</v>
      </c>
      <c r="AL474" s="407">
        <v>0</v>
      </c>
      <c r="AM474" s="407"/>
      <c r="AN474" s="407">
        <v>0</v>
      </c>
      <c r="AO474" s="407">
        <v>0</v>
      </c>
      <c r="AP474" s="407">
        <v>0</v>
      </c>
      <c r="AQ474" s="407">
        <v>0</v>
      </c>
      <c r="AR474" s="407">
        <v>0</v>
      </c>
      <c r="AS474" s="407"/>
      <c r="AT474" s="407"/>
      <c r="AU474" s="407">
        <v>0</v>
      </c>
      <c r="AV474" s="407">
        <v>0</v>
      </c>
      <c r="AW474" s="407">
        <v>0</v>
      </c>
      <c r="AX474" s="407"/>
      <c r="AY474" s="407"/>
      <c r="AZ474" s="407">
        <v>0</v>
      </c>
      <c r="BA474" s="407"/>
      <c r="BB474" s="407">
        <v>0</v>
      </c>
      <c r="BC474" s="407">
        <v>0</v>
      </c>
      <c r="BD474" s="407">
        <v>0</v>
      </c>
      <c r="BE474" s="407">
        <v>0</v>
      </c>
      <c r="BF474" s="407"/>
      <c r="BG474" s="407">
        <v>0</v>
      </c>
      <c r="BH474" s="407">
        <v>0</v>
      </c>
      <c r="BI474" s="407">
        <v>59.74</v>
      </c>
      <c r="BJ474" s="407">
        <v>257.7</v>
      </c>
      <c r="BK474" s="407">
        <v>23</v>
      </c>
      <c r="BL474" s="407">
        <v>3</v>
      </c>
      <c r="BM474" s="407"/>
      <c r="BN474" s="407"/>
      <c r="BO474" s="407"/>
      <c r="BP474" s="407"/>
      <c r="BQ474" s="407"/>
      <c r="BR474" s="407">
        <v>625.59320000000025</v>
      </c>
      <c r="BS474" s="407"/>
      <c r="BT474" s="407"/>
      <c r="BU474" s="407"/>
      <c r="BV474" s="407">
        <v>0</v>
      </c>
      <c r="BW474" s="407"/>
      <c r="BX474" s="407"/>
      <c r="BY474" s="407"/>
      <c r="BZ474" s="407"/>
      <c r="CA474" s="407"/>
      <c r="CB474" s="407"/>
      <c r="CC474" s="407"/>
      <c r="CD474" s="407"/>
      <c r="CE474" s="407"/>
      <c r="CF474" s="407"/>
      <c r="CG474" s="407"/>
      <c r="CH474" s="407"/>
      <c r="CI474" s="407">
        <v>15014.236800000001</v>
      </c>
      <c r="CJ474" s="407">
        <v>-4393.5659999999934</v>
      </c>
      <c r="CK474" s="407"/>
      <c r="CL474" s="407"/>
      <c r="CM474" s="407"/>
      <c r="CN474" s="407"/>
      <c r="CO474" s="407">
        <v>-4576.5999999999985</v>
      </c>
      <c r="CP474" s="407">
        <v>0</v>
      </c>
      <c r="CQ474" s="407">
        <v>29</v>
      </c>
      <c r="CR474" s="407">
        <v>104.44928781524686</v>
      </c>
      <c r="CS474" s="407">
        <v>0</v>
      </c>
      <c r="CT474" s="407">
        <v>0</v>
      </c>
      <c r="CU474" s="407">
        <v>0</v>
      </c>
      <c r="CV474" s="407">
        <v>0</v>
      </c>
      <c r="CW474" s="407"/>
      <c r="CX474" s="407"/>
      <c r="CY474" s="407"/>
      <c r="CZ474" s="407">
        <v>499.19928627135232</v>
      </c>
      <c r="DA474" s="407">
        <v>0</v>
      </c>
      <c r="DB474" s="407">
        <v>0</v>
      </c>
      <c r="DC474" s="407"/>
      <c r="DD474" s="407"/>
      <c r="DE474" s="407">
        <v>0</v>
      </c>
      <c r="DF474" s="407">
        <v>0</v>
      </c>
      <c r="DG474" s="407">
        <v>0</v>
      </c>
      <c r="DH474" s="407">
        <v>0</v>
      </c>
      <c r="DI474" s="407">
        <v>0</v>
      </c>
      <c r="DJ474" s="407"/>
      <c r="DK474" s="407">
        <v>0</v>
      </c>
      <c r="DL474" s="407">
        <v>0</v>
      </c>
      <c r="DM474" s="407"/>
      <c r="DN474" s="407">
        <v>0</v>
      </c>
      <c r="DO474" s="407">
        <v>0</v>
      </c>
      <c r="DP474" s="407">
        <v>0</v>
      </c>
      <c r="DQ474" s="407">
        <v>0</v>
      </c>
      <c r="DR474" s="407">
        <v>-394.7499984561054</v>
      </c>
      <c r="DS474" s="407"/>
      <c r="DT474" s="407"/>
      <c r="DU474" s="407">
        <v>9166.8303777415367</v>
      </c>
      <c r="DV474" s="407"/>
      <c r="DW474" s="407">
        <v>0</v>
      </c>
      <c r="DX474" s="407">
        <v>0</v>
      </c>
      <c r="DY474" s="407">
        <v>-4576.5999999999985</v>
      </c>
      <c r="DZ474" s="407"/>
      <c r="EA474" s="407">
        <v>0</v>
      </c>
      <c r="EB474" s="407"/>
      <c r="EC474" s="407">
        <v>-4682.4382480447121</v>
      </c>
      <c r="ED474" s="407"/>
      <c r="EE474" s="407">
        <v>0</v>
      </c>
      <c r="EF474" s="407">
        <v>0</v>
      </c>
      <c r="EG474" s="407"/>
      <c r="EH474" s="407">
        <v>0</v>
      </c>
      <c r="EI474" s="407">
        <v>0</v>
      </c>
      <c r="EJ474" s="407">
        <v>0</v>
      </c>
      <c r="EK474" s="407">
        <v>0</v>
      </c>
      <c r="EL474" s="407">
        <v>0</v>
      </c>
      <c r="EM474" s="407"/>
      <c r="EN474" s="407"/>
      <c r="EO474" s="407">
        <v>0</v>
      </c>
      <c r="EP474" s="407">
        <v>0</v>
      </c>
      <c r="EQ474" s="407"/>
      <c r="ER474" s="407">
        <v>0</v>
      </c>
      <c r="ES474" s="407"/>
      <c r="ET474" s="407">
        <v>0</v>
      </c>
      <c r="EU474" s="407"/>
      <c r="EV474" s="407">
        <v>246</v>
      </c>
      <c r="EW474" s="407"/>
      <c r="EX474" s="407"/>
      <c r="EY474" s="407"/>
      <c r="EZ474" s="407"/>
      <c r="FA474" s="407">
        <v>0</v>
      </c>
      <c r="FB474" s="407"/>
      <c r="FC474" s="407"/>
      <c r="FD474" s="407"/>
      <c r="FE474" s="407"/>
      <c r="FF474" s="407">
        <v>0</v>
      </c>
      <c r="FG474" s="407">
        <v>0</v>
      </c>
      <c r="FH474" s="407">
        <v>0</v>
      </c>
      <c r="FI474" s="407">
        <v>0</v>
      </c>
    </row>
    <row r="475" spans="1:165">
      <c r="A475" s="407">
        <v>493</v>
      </c>
      <c r="B475" s="407" t="s">
        <v>1090</v>
      </c>
      <c r="C475" s="407" t="s">
        <v>2306</v>
      </c>
      <c r="D475" s="407" t="s">
        <v>1219</v>
      </c>
      <c r="E475" s="407" t="s">
        <v>2316</v>
      </c>
      <c r="F475" s="407" t="s">
        <v>97</v>
      </c>
      <c r="G475" s="407" t="s">
        <v>97</v>
      </c>
      <c r="H475" s="407" t="s">
        <v>97</v>
      </c>
      <c r="I475" s="407" t="s">
        <v>97</v>
      </c>
      <c r="J475" s="407" t="s">
        <v>2307</v>
      </c>
      <c r="K475" s="818">
        <v>44593</v>
      </c>
      <c r="L475" s="407">
        <v>0</v>
      </c>
      <c r="M475" s="407">
        <v>0</v>
      </c>
      <c r="N475" s="407">
        <v>304.161</v>
      </c>
      <c r="O475" s="407">
        <v>304.161</v>
      </c>
      <c r="P475" s="407">
        <v>304.161</v>
      </c>
      <c r="Q475" s="407">
        <v>304.161</v>
      </c>
      <c r="R475" s="407"/>
      <c r="S475" s="407">
        <v>648.44000000000005</v>
      </c>
      <c r="T475" s="407">
        <v>159.41</v>
      </c>
      <c r="U475" s="407"/>
      <c r="V475" s="407">
        <v>245716.46385</v>
      </c>
      <c r="W475" s="407">
        <v>245716.46385</v>
      </c>
      <c r="X475" s="407">
        <v>186091.78302</v>
      </c>
      <c r="Y475" s="407">
        <v>0</v>
      </c>
      <c r="Z475" s="407">
        <v>18848.93340187347</v>
      </c>
      <c r="AA475" s="407">
        <v>0</v>
      </c>
      <c r="AB475" s="407">
        <v>0</v>
      </c>
      <c r="AC475" s="407">
        <v>0</v>
      </c>
      <c r="AD475" s="407">
        <v>35478.685321042583</v>
      </c>
      <c r="AE475" s="407">
        <v>127001.20610378814</v>
      </c>
      <c r="AF475" s="407">
        <v>46910.969026175946</v>
      </c>
      <c r="AG475" s="407">
        <v>1576.0854216909918</v>
      </c>
      <c r="AH475" s="407">
        <v>0</v>
      </c>
      <c r="AI475" s="407">
        <v>0</v>
      </c>
      <c r="AJ475" s="407">
        <v>0</v>
      </c>
      <c r="AK475" s="407">
        <v>0</v>
      </c>
      <c r="AL475" s="407">
        <v>2912.6625715370774</v>
      </c>
      <c r="AM475" s="407"/>
      <c r="AN475" s="407">
        <v>631.1631651035384</v>
      </c>
      <c r="AO475" s="407">
        <v>0</v>
      </c>
      <c r="AP475" s="407">
        <v>0</v>
      </c>
      <c r="AQ475" s="407">
        <v>0</v>
      </c>
      <c r="AR475" s="407">
        <v>0</v>
      </c>
      <c r="AS475" s="407">
        <v>0</v>
      </c>
      <c r="AT475" s="407">
        <v>0</v>
      </c>
      <c r="AU475" s="407">
        <v>0</v>
      </c>
      <c r="AV475" s="407">
        <v>0</v>
      </c>
      <c r="AW475" s="407">
        <v>0</v>
      </c>
      <c r="AX475" s="407">
        <v>0</v>
      </c>
      <c r="AY475" s="407">
        <v>0</v>
      </c>
      <c r="AZ475" s="407">
        <v>0</v>
      </c>
      <c r="BA475" s="407"/>
      <c r="BB475" s="407">
        <v>0</v>
      </c>
      <c r="BC475" s="407">
        <v>0</v>
      </c>
      <c r="BD475" s="407">
        <v>0</v>
      </c>
      <c r="BE475" s="407">
        <v>0</v>
      </c>
      <c r="BF475" s="407">
        <v>0</v>
      </c>
      <c r="BG475" s="407">
        <v>3429.0420379709071</v>
      </c>
      <c r="BH475" s="407">
        <v>0</v>
      </c>
      <c r="BI475" s="407">
        <v>368.36</v>
      </c>
      <c r="BJ475" s="407">
        <v>1595.4</v>
      </c>
      <c r="BK475" s="407">
        <v>73088.240000000005</v>
      </c>
      <c r="BL475" s="407">
        <v>358</v>
      </c>
      <c r="BM475" s="407"/>
      <c r="BN475" s="407"/>
      <c r="BO475" s="407"/>
      <c r="BP475" s="407"/>
      <c r="BQ475" s="407"/>
      <c r="BR475" s="407"/>
      <c r="BS475" s="407"/>
      <c r="BT475" s="407"/>
      <c r="BU475" s="407"/>
      <c r="BV475" s="407">
        <v>50340.011064146856</v>
      </c>
      <c r="BW475" s="407"/>
      <c r="BX475" s="407"/>
      <c r="BY475" s="407"/>
      <c r="BZ475" s="407"/>
      <c r="CA475" s="407"/>
      <c r="CB475" s="407"/>
      <c r="CC475" s="407"/>
      <c r="CD475" s="407"/>
      <c r="CE475" s="407"/>
      <c r="CF475" s="407"/>
      <c r="CG475" s="407"/>
      <c r="CH475" s="407"/>
      <c r="CI475" s="407">
        <v>186091.17120000001</v>
      </c>
      <c r="CJ475" s="407">
        <v>-59625.322650000016</v>
      </c>
      <c r="CK475" s="407"/>
      <c r="CL475" s="407"/>
      <c r="CM475" s="407"/>
      <c r="CN475" s="407"/>
      <c r="CO475" s="407">
        <v>-67979.983500000017</v>
      </c>
      <c r="CP475" s="407">
        <v>8355.3026699999991</v>
      </c>
      <c r="CQ475" s="407">
        <v>29</v>
      </c>
      <c r="CR475" s="407">
        <v>5247.9993736606702</v>
      </c>
      <c r="CS475" s="407">
        <v>0</v>
      </c>
      <c r="CT475" s="407">
        <v>0</v>
      </c>
      <c r="CU475" s="407">
        <v>0</v>
      </c>
      <c r="CV475" s="407">
        <v>0</v>
      </c>
      <c r="CW475" s="407">
        <v>0</v>
      </c>
      <c r="CX475" s="407">
        <v>0</v>
      </c>
      <c r="CY475" s="407">
        <v>0</v>
      </c>
      <c r="CZ475" s="407">
        <v>1602.6425634447587</v>
      </c>
      <c r="DA475" s="407">
        <v>0</v>
      </c>
      <c r="DB475" s="407">
        <v>0</v>
      </c>
      <c r="DC475" s="407">
        <v>9301.1783344812284</v>
      </c>
      <c r="DD475" s="407">
        <v>0</v>
      </c>
      <c r="DE475" s="407">
        <v>0</v>
      </c>
      <c r="DF475" s="407">
        <v>0</v>
      </c>
      <c r="DG475" s="407">
        <v>679.88643538367023</v>
      </c>
      <c r="DH475" s="407">
        <v>0</v>
      </c>
      <c r="DI475" s="407">
        <v>-1320.2164796368052</v>
      </c>
      <c r="DJ475" s="407"/>
      <c r="DK475" s="407">
        <v>0</v>
      </c>
      <c r="DL475" s="407">
        <v>0</v>
      </c>
      <c r="DM475" s="407">
        <v>0</v>
      </c>
      <c r="DN475" s="407">
        <v>0</v>
      </c>
      <c r="DO475" s="407">
        <v>-177.70555397892167</v>
      </c>
      <c r="DP475" s="407">
        <v>-40.216193124414872</v>
      </c>
      <c r="DQ475" s="407">
        <v>0</v>
      </c>
      <c r="DR475" s="407">
        <v>-4797.5697329088434</v>
      </c>
      <c r="DS475" s="407"/>
      <c r="DT475" s="407"/>
      <c r="DU475" s="407"/>
      <c r="DV475" s="407">
        <v>127001.20610378814</v>
      </c>
      <c r="DW475" s="407">
        <v>0</v>
      </c>
      <c r="DX475" s="407">
        <v>0</v>
      </c>
      <c r="DY475" s="407">
        <v>-67979.983500000017</v>
      </c>
      <c r="DZ475" s="407">
        <v>8355.3026700000046</v>
      </c>
      <c r="EA475" s="407">
        <v>0</v>
      </c>
      <c r="EB475" s="407">
        <v>0</v>
      </c>
      <c r="EC475" s="407">
        <v>-64872.511053782415</v>
      </c>
      <c r="ED475" s="407">
        <v>0</v>
      </c>
      <c r="EE475" s="407">
        <v>0</v>
      </c>
      <c r="EF475" s="407">
        <v>0</v>
      </c>
      <c r="EG475" s="407">
        <v>0</v>
      </c>
      <c r="EH475" s="407">
        <v>0</v>
      </c>
      <c r="EI475" s="407">
        <v>0</v>
      </c>
      <c r="EJ475" s="407">
        <v>0</v>
      </c>
      <c r="EK475" s="407">
        <v>0</v>
      </c>
      <c r="EL475" s="407">
        <v>0</v>
      </c>
      <c r="EM475" s="407">
        <v>0</v>
      </c>
      <c r="EN475" s="407">
        <v>0</v>
      </c>
      <c r="EO475" s="407">
        <v>0</v>
      </c>
      <c r="EP475" s="407">
        <v>8928.4027412274536</v>
      </c>
      <c r="EQ475" s="407">
        <v>0</v>
      </c>
      <c r="ER475" s="407">
        <v>0</v>
      </c>
      <c r="ES475" s="407">
        <v>0</v>
      </c>
      <c r="ET475" s="407">
        <v>0</v>
      </c>
      <c r="EU475" s="407">
        <v>0</v>
      </c>
      <c r="EV475" s="407">
        <v>246</v>
      </c>
      <c r="EW475" s="407">
        <v>0</v>
      </c>
      <c r="EX475" s="407">
        <v>0</v>
      </c>
      <c r="EY475" s="407">
        <v>0</v>
      </c>
      <c r="EZ475" s="407"/>
      <c r="FA475" s="407">
        <v>0</v>
      </c>
      <c r="FB475" s="407"/>
      <c r="FC475" s="407"/>
      <c r="FD475" s="407"/>
      <c r="FE475" s="407"/>
      <c r="FF475" s="407">
        <v>0</v>
      </c>
      <c r="FG475" s="407">
        <v>0</v>
      </c>
      <c r="FH475" s="407">
        <v>0</v>
      </c>
      <c r="FI475" s="407">
        <v>0</v>
      </c>
    </row>
    <row r="476" spans="1:165">
      <c r="A476" s="407">
        <v>494</v>
      </c>
      <c r="B476" s="407" t="s">
        <v>1090</v>
      </c>
      <c r="C476" s="407" t="s">
        <v>2317</v>
      </c>
      <c r="D476" s="407" t="s">
        <v>650</v>
      </c>
      <c r="E476" s="407" t="s">
        <v>2316</v>
      </c>
      <c r="F476" s="407" t="s">
        <v>97</v>
      </c>
      <c r="G476" s="407" t="s">
        <v>97</v>
      </c>
      <c r="H476" s="407" t="s">
        <v>97</v>
      </c>
      <c r="I476" s="407" t="s">
        <v>1025</v>
      </c>
      <c r="J476" s="407" t="s">
        <v>2307</v>
      </c>
      <c r="K476" s="818">
        <v>44593</v>
      </c>
      <c r="L476" s="407">
        <v>200</v>
      </c>
      <c r="M476" s="407">
        <v>200</v>
      </c>
      <c r="N476" s="407">
        <v>4.1580000000000004</v>
      </c>
      <c r="O476" s="407">
        <v>4.1580000000000004</v>
      </c>
      <c r="P476" s="407">
        <v>4.1580000000000004</v>
      </c>
      <c r="Q476" s="407">
        <v>4.1580000000000004</v>
      </c>
      <c r="R476" s="407">
        <v>112.91</v>
      </c>
      <c r="S476" s="407">
        <v>95.29</v>
      </c>
      <c r="T476" s="407">
        <v>159.41</v>
      </c>
      <c r="U476" s="407">
        <v>22582</v>
      </c>
      <c r="V476" s="407">
        <v>1059.0426000000002</v>
      </c>
      <c r="W476" s="407">
        <v>23641.042600000001</v>
      </c>
      <c r="X476" s="407">
        <v>14579.39178</v>
      </c>
      <c r="Y476" s="407">
        <v>0</v>
      </c>
      <c r="Z476" s="407">
        <v>224.17490284402393</v>
      </c>
      <c r="AA476" s="407">
        <v>0</v>
      </c>
      <c r="AB476" s="407">
        <v>0</v>
      </c>
      <c r="AC476" s="407">
        <v>0</v>
      </c>
      <c r="AD476" s="407">
        <v>5077.0827132346003</v>
      </c>
      <c r="AE476" s="407">
        <v>17504.269107723037</v>
      </c>
      <c r="AF476" s="407">
        <v>641.29132009310729</v>
      </c>
      <c r="AG476" s="407">
        <v>21.545705016064336</v>
      </c>
      <c r="AH476" s="407">
        <v>0</v>
      </c>
      <c r="AI476" s="407">
        <v>0</v>
      </c>
      <c r="AJ476" s="407">
        <v>0</v>
      </c>
      <c r="AK476" s="407">
        <v>0</v>
      </c>
      <c r="AL476" s="407">
        <v>39.817238148385783</v>
      </c>
      <c r="AM476" s="407"/>
      <c r="AN476" s="407">
        <v>4.4645834098856811</v>
      </c>
      <c r="AO476" s="407">
        <v>0</v>
      </c>
      <c r="AP476" s="407">
        <v>0</v>
      </c>
      <c r="AQ476" s="407">
        <v>0</v>
      </c>
      <c r="AR476" s="407">
        <v>0</v>
      </c>
      <c r="AS476" s="407">
        <v>0</v>
      </c>
      <c r="AT476" s="407">
        <v>0</v>
      </c>
      <c r="AU476" s="407">
        <v>0</v>
      </c>
      <c r="AV476" s="407">
        <v>0</v>
      </c>
      <c r="AW476" s="407">
        <v>0</v>
      </c>
      <c r="AX476" s="407">
        <v>0</v>
      </c>
      <c r="AY476" s="407">
        <v>0</v>
      </c>
      <c r="AZ476" s="407">
        <v>0</v>
      </c>
      <c r="BA476" s="407"/>
      <c r="BB476" s="407">
        <v>0</v>
      </c>
      <c r="BC476" s="407">
        <v>0</v>
      </c>
      <c r="BD476" s="407">
        <v>0</v>
      </c>
      <c r="BE476" s="407">
        <v>0</v>
      </c>
      <c r="BF476" s="407">
        <v>0</v>
      </c>
      <c r="BG476" s="407">
        <v>21.579497584471817</v>
      </c>
      <c r="BH476" s="407">
        <v>0</v>
      </c>
      <c r="BI476" s="407">
        <v>0</v>
      </c>
      <c r="BJ476" s="407">
        <v>0</v>
      </c>
      <c r="BK476" s="407">
        <v>0</v>
      </c>
      <c r="BL476" s="407">
        <v>0</v>
      </c>
      <c r="BM476" s="407"/>
      <c r="BN476" s="407"/>
      <c r="BO476" s="407"/>
      <c r="BP476" s="407"/>
      <c r="BQ476" s="407"/>
      <c r="BR476" s="407"/>
      <c r="BS476" s="407"/>
      <c r="BT476" s="407"/>
      <c r="BU476" s="407"/>
      <c r="BV476" s="407">
        <v>662.87081767757911</v>
      </c>
      <c r="BW476" s="407"/>
      <c r="BX476" s="407"/>
      <c r="BY476" s="407"/>
      <c r="BZ476" s="407"/>
      <c r="CA476" s="407"/>
      <c r="CB476" s="407"/>
      <c r="CC476" s="407"/>
      <c r="CD476" s="407"/>
      <c r="CE476" s="407"/>
      <c r="CF476" s="407"/>
      <c r="CG476" s="407"/>
      <c r="CH476" s="407"/>
      <c r="CI476" s="407">
        <v>14579.945599999999</v>
      </c>
      <c r="CJ476" s="407">
        <v>-9061.1269999999968</v>
      </c>
      <c r="CK476" s="407"/>
      <c r="CL476" s="407"/>
      <c r="CM476" s="407"/>
      <c r="CN476" s="407"/>
      <c r="CO476" s="407">
        <v>-9175.8710800000008</v>
      </c>
      <c r="CP476" s="407">
        <v>114.22026000000001</v>
      </c>
      <c r="CQ476" s="407">
        <v>29</v>
      </c>
      <c r="CR476" s="407">
        <v>-119.21766885688339</v>
      </c>
      <c r="CS476" s="407">
        <v>0</v>
      </c>
      <c r="CT476" s="407">
        <v>0</v>
      </c>
      <c r="CU476" s="407">
        <v>0</v>
      </c>
      <c r="CV476" s="407">
        <v>0</v>
      </c>
      <c r="CW476" s="407">
        <v>0</v>
      </c>
      <c r="CX476" s="407">
        <v>0</v>
      </c>
      <c r="CY476" s="407">
        <v>0</v>
      </c>
      <c r="CZ476" s="407">
        <v>229.34189304735992</v>
      </c>
      <c r="DA476" s="407">
        <v>0</v>
      </c>
      <c r="DB476" s="407">
        <v>0</v>
      </c>
      <c r="DC476" s="407">
        <v>127.15075080228212</v>
      </c>
      <c r="DD476" s="407">
        <v>0</v>
      </c>
      <c r="DE476" s="407">
        <v>0</v>
      </c>
      <c r="DF476" s="407">
        <v>0</v>
      </c>
      <c r="DG476" s="407">
        <v>4.2786316200307546</v>
      </c>
      <c r="DH476" s="407">
        <v>0</v>
      </c>
      <c r="DI476" s="407">
        <v>-15.701652435476575</v>
      </c>
      <c r="DJ476" s="407"/>
      <c r="DK476" s="407">
        <v>0</v>
      </c>
      <c r="DL476" s="407">
        <v>0</v>
      </c>
      <c r="DM476" s="407">
        <v>0</v>
      </c>
      <c r="DN476" s="407">
        <v>0</v>
      </c>
      <c r="DO476" s="407">
        <v>-2.4293045243945031</v>
      </c>
      <c r="DP476" s="407">
        <v>-0.28447247646740514</v>
      </c>
      <c r="DQ476" s="407">
        <v>0</v>
      </c>
      <c r="DR476" s="407">
        <v>-461.57351489021897</v>
      </c>
      <c r="DS476" s="407"/>
      <c r="DT476" s="407"/>
      <c r="DU476" s="407">
        <v>17504.269107723037</v>
      </c>
      <c r="DV476" s="407">
        <v>0</v>
      </c>
      <c r="DW476" s="407">
        <v>0</v>
      </c>
      <c r="DX476" s="407">
        <v>0</v>
      </c>
      <c r="DY476" s="407">
        <v>-9175.8710800000008</v>
      </c>
      <c r="DZ476" s="407">
        <v>114.22025999999994</v>
      </c>
      <c r="EA476" s="407">
        <v>0</v>
      </c>
      <c r="EB476" s="407">
        <v>0</v>
      </c>
      <c r="EC476" s="407">
        <v>-8941.2213160491574</v>
      </c>
      <c r="ED476" s="407">
        <v>0</v>
      </c>
      <c r="EE476" s="407">
        <v>0</v>
      </c>
      <c r="EF476" s="407">
        <v>0</v>
      </c>
      <c r="EG476" s="407">
        <v>0</v>
      </c>
      <c r="EH476" s="407">
        <v>0</v>
      </c>
      <c r="EI476" s="407">
        <v>0</v>
      </c>
      <c r="EJ476" s="407">
        <v>0</v>
      </c>
      <c r="EK476" s="407">
        <v>0</v>
      </c>
      <c r="EL476" s="407">
        <v>0</v>
      </c>
      <c r="EM476" s="407">
        <v>0</v>
      </c>
      <c r="EN476" s="407">
        <v>0</v>
      </c>
      <c r="EO476" s="407">
        <v>0</v>
      </c>
      <c r="EP476" s="407">
        <v>106.18764332140101</v>
      </c>
      <c r="EQ476" s="407">
        <v>0</v>
      </c>
      <c r="ER476" s="407">
        <v>0</v>
      </c>
      <c r="ES476" s="407">
        <v>0</v>
      </c>
      <c r="ET476" s="407">
        <v>0</v>
      </c>
      <c r="EU476" s="407">
        <v>0</v>
      </c>
      <c r="EV476" s="407">
        <v>246</v>
      </c>
      <c r="EW476" s="407">
        <v>0</v>
      </c>
      <c r="EX476" s="407">
        <v>0</v>
      </c>
      <c r="EY476" s="407">
        <v>0</v>
      </c>
      <c r="EZ476" s="407"/>
      <c r="FA476" s="407">
        <v>0</v>
      </c>
      <c r="FB476" s="407"/>
      <c r="FC476" s="407"/>
      <c r="FD476" s="407"/>
      <c r="FE476" s="407"/>
      <c r="FF476" s="407">
        <v>0</v>
      </c>
      <c r="FG476" s="407">
        <v>0</v>
      </c>
      <c r="FH476" s="407">
        <v>0</v>
      </c>
      <c r="FI476" s="407">
        <v>0</v>
      </c>
    </row>
    <row r="477" spans="1:165">
      <c r="A477" s="407">
        <v>495</v>
      </c>
      <c r="B477" s="407" t="s">
        <v>1090</v>
      </c>
      <c r="C477" s="407" t="s">
        <v>2317</v>
      </c>
      <c r="D477" s="407" t="s">
        <v>650</v>
      </c>
      <c r="E477" s="407" t="s">
        <v>2316</v>
      </c>
      <c r="F477" s="407" t="s">
        <v>97</v>
      </c>
      <c r="G477" s="407" t="s">
        <v>97</v>
      </c>
      <c r="H477" s="407" t="s">
        <v>97</v>
      </c>
      <c r="I477" s="407" t="s">
        <v>2290</v>
      </c>
      <c r="J477" s="407" t="s">
        <v>2307</v>
      </c>
      <c r="K477" s="818">
        <v>44593</v>
      </c>
      <c r="L477" s="407">
        <v>230</v>
      </c>
      <c r="M477" s="407">
        <v>230</v>
      </c>
      <c r="N477" s="407">
        <v>34.524000000000001</v>
      </c>
      <c r="O477" s="407">
        <v>34.524000000000001</v>
      </c>
      <c r="P477" s="407">
        <v>34.524000000000001</v>
      </c>
      <c r="Q477" s="407">
        <v>34.524000000000001</v>
      </c>
      <c r="R477" s="407">
        <v>43.29</v>
      </c>
      <c r="S477" s="407">
        <v>95.29</v>
      </c>
      <c r="T477" s="407">
        <v>159.41</v>
      </c>
      <c r="U477" s="407">
        <v>9956.6999999999989</v>
      </c>
      <c r="V477" s="407">
        <v>8793.2628000000004</v>
      </c>
      <c r="W477" s="407">
        <v>18749.962800000001</v>
      </c>
      <c r="X477" s="407">
        <v>17262.740839999999</v>
      </c>
      <c r="Y477" s="407">
        <v>0</v>
      </c>
      <c r="Z477" s="407">
        <v>1861.3310114928047</v>
      </c>
      <c r="AA477" s="407">
        <v>0</v>
      </c>
      <c r="AB477" s="407">
        <v>0</v>
      </c>
      <c r="AC477" s="407">
        <v>0</v>
      </c>
      <c r="AD477" s="407">
        <v>5442.71704644074</v>
      </c>
      <c r="AE477" s="407">
        <v>4514.7130340054682</v>
      </c>
      <c r="AF477" s="407">
        <v>5324.6612638033748</v>
      </c>
      <c r="AG477" s="407">
        <v>178.89464164853416</v>
      </c>
      <c r="AH477" s="407">
        <v>0</v>
      </c>
      <c r="AI477" s="407">
        <v>0</v>
      </c>
      <c r="AJ477" s="407">
        <v>0</v>
      </c>
      <c r="AK477" s="407">
        <v>0</v>
      </c>
      <c r="AL477" s="407">
        <v>330.6037349290213</v>
      </c>
      <c r="AM477" s="407"/>
      <c r="AN477" s="407">
        <v>37.069571342687169</v>
      </c>
      <c r="AO477" s="407">
        <v>0</v>
      </c>
      <c r="AP477" s="407">
        <v>0</v>
      </c>
      <c r="AQ477" s="407">
        <v>0</v>
      </c>
      <c r="AR477" s="407">
        <v>0</v>
      </c>
      <c r="AS477" s="407">
        <v>0</v>
      </c>
      <c r="AT477" s="407">
        <v>0</v>
      </c>
      <c r="AU477" s="407">
        <v>0</v>
      </c>
      <c r="AV477" s="407">
        <v>0</v>
      </c>
      <c r="AW477" s="407">
        <v>0</v>
      </c>
      <c r="AX477" s="407">
        <v>0</v>
      </c>
      <c r="AY477" s="407">
        <v>0</v>
      </c>
      <c r="AZ477" s="407">
        <v>0</v>
      </c>
      <c r="BA477" s="407"/>
      <c r="BB477" s="407">
        <v>0</v>
      </c>
      <c r="BC477" s="407">
        <v>0</v>
      </c>
      <c r="BD477" s="407">
        <v>0</v>
      </c>
      <c r="BE477" s="407">
        <v>0</v>
      </c>
      <c r="BF477" s="407">
        <v>0</v>
      </c>
      <c r="BG477" s="407">
        <v>179.1752223680387</v>
      </c>
      <c r="BH477" s="407">
        <v>0</v>
      </c>
      <c r="BI477" s="407">
        <v>0</v>
      </c>
      <c r="BJ477" s="407">
        <v>0</v>
      </c>
      <c r="BK477" s="407">
        <v>0</v>
      </c>
      <c r="BL477" s="407">
        <v>0</v>
      </c>
      <c r="BM477" s="407"/>
      <c r="BN477" s="407"/>
      <c r="BO477" s="407"/>
      <c r="BP477" s="407"/>
      <c r="BQ477" s="407"/>
      <c r="BR477" s="407"/>
      <c r="BS477" s="407"/>
      <c r="BT477" s="407"/>
      <c r="BU477" s="407"/>
      <c r="BV477" s="407">
        <v>5503.8364861714135</v>
      </c>
      <c r="BW477" s="407"/>
      <c r="BX477" s="407"/>
      <c r="BY477" s="407"/>
      <c r="BZ477" s="407"/>
      <c r="CA477" s="407"/>
      <c r="CB477" s="407"/>
      <c r="CC477" s="407"/>
      <c r="CD477" s="407"/>
      <c r="CE477" s="407"/>
      <c r="CF477" s="407"/>
      <c r="CG477" s="407"/>
      <c r="CH477" s="407"/>
      <c r="CI477" s="407">
        <v>17261.6332</v>
      </c>
      <c r="CJ477" s="407">
        <v>-1488.3595999999961</v>
      </c>
      <c r="CK477" s="407"/>
      <c r="CL477" s="407"/>
      <c r="CM477" s="407"/>
      <c r="CN477" s="407"/>
      <c r="CO477" s="407">
        <v>-2435.5962399999999</v>
      </c>
      <c r="CP477" s="407">
        <v>948.37428</v>
      </c>
      <c r="CQ477" s="407">
        <v>29</v>
      </c>
      <c r="CR477" s="407">
        <v>818.11075027102561</v>
      </c>
      <c r="CS477" s="407">
        <v>0</v>
      </c>
      <c r="CT477" s="407">
        <v>0</v>
      </c>
      <c r="CU477" s="407">
        <v>0</v>
      </c>
      <c r="CV477" s="407">
        <v>0</v>
      </c>
      <c r="CW477" s="407">
        <v>0</v>
      </c>
      <c r="CX477" s="407">
        <v>0</v>
      </c>
      <c r="CY477" s="407">
        <v>0</v>
      </c>
      <c r="CZ477" s="407">
        <v>245.85832086169376</v>
      </c>
      <c r="DA477" s="407">
        <v>0</v>
      </c>
      <c r="DB477" s="407">
        <v>0</v>
      </c>
      <c r="DC477" s="407">
        <v>1055.7365369644031</v>
      </c>
      <c r="DD477" s="407">
        <v>0</v>
      </c>
      <c r="DE477" s="407">
        <v>0</v>
      </c>
      <c r="DF477" s="407">
        <v>0</v>
      </c>
      <c r="DG477" s="407">
        <v>35.525607996618987</v>
      </c>
      <c r="DH477" s="407">
        <v>0</v>
      </c>
      <c r="DI477" s="407">
        <v>-130.37129597941157</v>
      </c>
      <c r="DJ477" s="407"/>
      <c r="DK477" s="407">
        <v>0</v>
      </c>
      <c r="DL477" s="407">
        <v>0</v>
      </c>
      <c r="DM477" s="407">
        <v>0</v>
      </c>
      <c r="DN477" s="407">
        <v>0</v>
      </c>
      <c r="DO477" s="407">
        <v>-20.170589081336118</v>
      </c>
      <c r="DP477" s="407">
        <v>-2.3619835924869435</v>
      </c>
      <c r="DQ477" s="407">
        <v>0</v>
      </c>
      <c r="DR477" s="407">
        <v>-366.10584689845473</v>
      </c>
      <c r="DS477" s="407"/>
      <c r="DT477" s="407"/>
      <c r="DU477" s="407">
        <v>4514.7130340054682</v>
      </c>
      <c r="DV477" s="407">
        <v>0</v>
      </c>
      <c r="DW477" s="407">
        <v>0</v>
      </c>
      <c r="DX477" s="407">
        <v>0</v>
      </c>
      <c r="DY477" s="407">
        <v>-2435.5962399999989</v>
      </c>
      <c r="DZ477" s="407">
        <v>948.37428</v>
      </c>
      <c r="EA477" s="407">
        <v>0</v>
      </c>
      <c r="EB477" s="407">
        <v>0</v>
      </c>
      <c r="EC477" s="407">
        <v>-2306.1259037479317</v>
      </c>
      <c r="ED477" s="407">
        <v>0</v>
      </c>
      <c r="EE477" s="407">
        <v>0</v>
      </c>
      <c r="EF477" s="407">
        <v>0</v>
      </c>
      <c r="EG477" s="407">
        <v>0</v>
      </c>
      <c r="EH477" s="407">
        <v>0</v>
      </c>
      <c r="EI477" s="407">
        <v>0</v>
      </c>
      <c r="EJ477" s="407">
        <v>0</v>
      </c>
      <c r="EK477" s="407">
        <v>0</v>
      </c>
      <c r="EL477" s="407">
        <v>0</v>
      </c>
      <c r="EM477" s="407">
        <v>0</v>
      </c>
      <c r="EN477" s="407">
        <v>0</v>
      </c>
      <c r="EO477" s="407">
        <v>0</v>
      </c>
      <c r="EP477" s="407">
        <v>881.67922030496595</v>
      </c>
      <c r="EQ477" s="407">
        <v>0</v>
      </c>
      <c r="ER477" s="407">
        <v>0</v>
      </c>
      <c r="ES477" s="407">
        <v>0</v>
      </c>
      <c r="ET477" s="407">
        <v>0</v>
      </c>
      <c r="EU477" s="407">
        <v>0</v>
      </c>
      <c r="EV477" s="407">
        <v>246</v>
      </c>
      <c r="EW477" s="407">
        <v>0</v>
      </c>
      <c r="EX477" s="407">
        <v>0</v>
      </c>
      <c r="EY477" s="407">
        <v>0</v>
      </c>
      <c r="EZ477" s="407"/>
      <c r="FA477" s="407">
        <v>0</v>
      </c>
      <c r="FB477" s="407"/>
      <c r="FC477" s="407"/>
      <c r="FD477" s="407"/>
      <c r="FE477" s="407"/>
      <c r="FF477" s="407">
        <v>0</v>
      </c>
      <c r="FG477" s="407">
        <v>0</v>
      </c>
      <c r="FH477" s="407">
        <v>0</v>
      </c>
      <c r="FI477" s="407">
        <v>0</v>
      </c>
    </row>
    <row r="478" spans="1:165">
      <c r="A478" s="407">
        <v>496</v>
      </c>
      <c r="B478" s="407" t="s">
        <v>1090</v>
      </c>
      <c r="C478" s="407" t="s">
        <v>2317</v>
      </c>
      <c r="D478" s="407" t="s">
        <v>650</v>
      </c>
      <c r="E478" s="407" t="s">
        <v>2316</v>
      </c>
      <c r="F478" s="407" t="s">
        <v>97</v>
      </c>
      <c r="G478" s="407" t="s">
        <v>97</v>
      </c>
      <c r="H478" s="407" t="s">
        <v>97</v>
      </c>
      <c r="I478" s="407" t="s">
        <v>97</v>
      </c>
      <c r="J478" s="407" t="s">
        <v>2307</v>
      </c>
      <c r="K478" s="818">
        <v>44593</v>
      </c>
      <c r="L478" s="407">
        <v>0</v>
      </c>
      <c r="M478" s="407">
        <v>0</v>
      </c>
      <c r="N478" s="407">
        <v>0</v>
      </c>
      <c r="O478" s="407">
        <v>0</v>
      </c>
      <c r="P478" s="407">
        <v>0</v>
      </c>
      <c r="Q478" s="407">
        <v>0</v>
      </c>
      <c r="R478" s="407"/>
      <c r="S478" s="407"/>
      <c r="T478" s="407"/>
      <c r="U478" s="407"/>
      <c r="V478" s="407"/>
      <c r="W478" s="407"/>
      <c r="X478" s="407"/>
      <c r="Y478" s="407"/>
      <c r="Z478" s="407"/>
      <c r="AA478" s="407">
        <v>0</v>
      </c>
      <c r="AB478" s="407"/>
      <c r="AC478" s="407"/>
      <c r="AD478" s="407"/>
      <c r="AE478" s="407"/>
      <c r="AF478" s="407"/>
      <c r="AG478" s="407"/>
      <c r="AH478" s="407"/>
      <c r="AI478" s="407"/>
      <c r="AJ478" s="407"/>
      <c r="AK478" s="407"/>
      <c r="AL478" s="407"/>
      <c r="AM478" s="407"/>
      <c r="AN478" s="407"/>
      <c r="AO478" s="407"/>
      <c r="AP478" s="407"/>
      <c r="AQ478" s="407"/>
      <c r="AR478" s="407"/>
      <c r="AS478" s="407"/>
      <c r="AT478" s="407"/>
      <c r="AU478" s="407"/>
      <c r="AV478" s="407"/>
      <c r="AW478" s="407"/>
      <c r="AX478" s="407"/>
      <c r="AY478" s="407"/>
      <c r="AZ478" s="407">
        <v>0</v>
      </c>
      <c r="BA478" s="407"/>
      <c r="BB478" s="407"/>
      <c r="BC478" s="407"/>
      <c r="BD478" s="407"/>
      <c r="BE478" s="407"/>
      <c r="BF478" s="407"/>
      <c r="BG478" s="407"/>
      <c r="BH478" s="407"/>
      <c r="BI478" s="407">
        <v>60.25</v>
      </c>
      <c r="BJ478" s="407">
        <v>259.81</v>
      </c>
      <c r="BK478" s="407">
        <v>11626.22</v>
      </c>
      <c r="BL478" s="407">
        <v>1</v>
      </c>
      <c r="BM478" s="407"/>
      <c r="BN478" s="407"/>
      <c r="BO478" s="407"/>
      <c r="BP478" s="407"/>
      <c r="BQ478" s="407"/>
      <c r="BR478" s="407"/>
      <c r="BS478" s="407"/>
      <c r="BT478" s="407"/>
      <c r="BU478" s="407"/>
      <c r="BV478" s="407"/>
      <c r="BW478" s="407"/>
      <c r="BX478" s="407"/>
      <c r="BY478" s="407"/>
      <c r="BZ478" s="407"/>
      <c r="CA478" s="407"/>
      <c r="CB478" s="407"/>
      <c r="CC478" s="407"/>
      <c r="CD478" s="407"/>
      <c r="CE478" s="407"/>
      <c r="CF478" s="407"/>
      <c r="CG478" s="407"/>
      <c r="CH478" s="407"/>
      <c r="CI478" s="407"/>
      <c r="CJ478" s="407">
        <v>-0.03</v>
      </c>
      <c r="CK478" s="407"/>
      <c r="CL478" s="407"/>
      <c r="CM478" s="407"/>
      <c r="CN478" s="407"/>
      <c r="CO478" s="407">
        <v>0</v>
      </c>
      <c r="CP478" s="407">
        <v>0</v>
      </c>
      <c r="CQ478" s="407">
        <v>29</v>
      </c>
      <c r="CR478" s="407"/>
      <c r="CS478" s="407"/>
      <c r="CT478" s="407"/>
      <c r="CU478" s="407"/>
      <c r="CV478" s="407"/>
      <c r="CW478" s="407"/>
      <c r="CX478" s="407"/>
      <c r="CY478" s="407"/>
      <c r="CZ478" s="407"/>
      <c r="DA478" s="407"/>
      <c r="DB478" s="407"/>
      <c r="DC478" s="407"/>
      <c r="DD478" s="407"/>
      <c r="DE478" s="407"/>
      <c r="DF478" s="407"/>
      <c r="DG478" s="407"/>
      <c r="DH478" s="407"/>
      <c r="DI478" s="407"/>
      <c r="DJ478" s="407"/>
      <c r="DK478" s="407">
        <v>0</v>
      </c>
      <c r="DL478" s="407"/>
      <c r="DM478" s="407"/>
      <c r="DN478" s="407"/>
      <c r="DO478" s="407"/>
      <c r="DP478" s="407"/>
      <c r="DQ478" s="407"/>
      <c r="DR478" s="407"/>
      <c r="DS478" s="407"/>
      <c r="DT478" s="407"/>
      <c r="DU478" s="407"/>
      <c r="DV478" s="407"/>
      <c r="DW478" s="407"/>
      <c r="DX478" s="407"/>
      <c r="DY478" s="407"/>
      <c r="DZ478" s="407"/>
      <c r="EA478" s="407"/>
      <c r="EB478" s="407"/>
      <c r="EC478" s="407"/>
      <c r="ED478" s="407"/>
      <c r="EE478" s="407"/>
      <c r="EF478" s="407"/>
      <c r="EG478" s="407"/>
      <c r="EH478" s="407"/>
      <c r="EI478" s="407"/>
      <c r="EJ478" s="407"/>
      <c r="EK478" s="407"/>
      <c r="EL478" s="407"/>
      <c r="EM478" s="407"/>
      <c r="EN478" s="407"/>
      <c r="EO478" s="407"/>
      <c r="EP478" s="407"/>
      <c r="EQ478" s="407"/>
      <c r="ER478" s="407"/>
      <c r="ES478" s="407"/>
      <c r="ET478" s="407"/>
      <c r="EU478" s="407"/>
      <c r="EV478" s="407">
        <v>246</v>
      </c>
      <c r="EW478" s="407"/>
      <c r="EX478" s="407"/>
      <c r="EY478" s="407"/>
      <c r="EZ478" s="407"/>
      <c r="FA478" s="407">
        <v>0</v>
      </c>
      <c r="FB478" s="407"/>
      <c r="FC478" s="407"/>
      <c r="FD478" s="407"/>
      <c r="FE478" s="407"/>
      <c r="FF478" s="407">
        <v>0</v>
      </c>
      <c r="FG478" s="407">
        <v>0</v>
      </c>
      <c r="FH478" s="407">
        <v>0</v>
      </c>
      <c r="FI478" s="407">
        <v>0</v>
      </c>
    </row>
    <row r="479" spans="1:165">
      <c r="A479" s="407">
        <v>497</v>
      </c>
      <c r="B479" s="407" t="s">
        <v>1090</v>
      </c>
      <c r="C479" s="407" t="s">
        <v>2314</v>
      </c>
      <c r="D479" s="407" t="s">
        <v>650</v>
      </c>
      <c r="E479" s="407" t="s">
        <v>2316</v>
      </c>
      <c r="F479" s="407" t="s">
        <v>97</v>
      </c>
      <c r="G479" s="407" t="s">
        <v>97</v>
      </c>
      <c r="H479" s="407" t="s">
        <v>97</v>
      </c>
      <c r="I479" s="407" t="s">
        <v>1025</v>
      </c>
      <c r="J479" s="407" t="s">
        <v>2307</v>
      </c>
      <c r="K479" s="818">
        <v>44593</v>
      </c>
      <c r="L479" s="407">
        <v>0</v>
      </c>
      <c r="M479" s="407">
        <v>0</v>
      </c>
      <c r="N479" s="407">
        <v>0.73099999999999998</v>
      </c>
      <c r="O479" s="407">
        <v>0.73099999999999998</v>
      </c>
      <c r="P479" s="407">
        <v>0.73099999999999998</v>
      </c>
      <c r="Q479" s="407">
        <v>0.73099999999999998</v>
      </c>
      <c r="R479" s="407"/>
      <c r="S479" s="407">
        <v>2810.7</v>
      </c>
      <c r="T479" s="407">
        <v>159.41</v>
      </c>
      <c r="U479" s="407"/>
      <c r="V479" s="407">
        <v>2171.1504099999997</v>
      </c>
      <c r="W479" s="407">
        <v>2171.1504099999997</v>
      </c>
      <c r="X479" s="407">
        <v>1382.8253899999997</v>
      </c>
      <c r="Y479" s="407">
        <v>0</v>
      </c>
      <c r="Z479" s="407">
        <v>39.411220293165336</v>
      </c>
      <c r="AA479" s="407">
        <v>0</v>
      </c>
      <c r="AB479" s="407">
        <v>0</v>
      </c>
      <c r="AC479" s="407">
        <v>0</v>
      </c>
      <c r="AD479" s="407">
        <v>446.28689876566528</v>
      </c>
      <c r="AE479" s="407">
        <v>1538.6737888904697</v>
      </c>
      <c r="AF479" s="407">
        <v>112.74265391728267</v>
      </c>
      <c r="AG479" s="407">
        <v>3.7878572310589291</v>
      </c>
      <c r="AH479" s="407">
        <v>0</v>
      </c>
      <c r="AI479" s="407">
        <v>0</v>
      </c>
      <c r="AJ479" s="407">
        <v>0</v>
      </c>
      <c r="AK479" s="407">
        <v>0</v>
      </c>
      <c r="AL479" s="407">
        <v>7.0000964613924976</v>
      </c>
      <c r="AM479" s="407"/>
      <c r="AN479" s="407">
        <v>0.78489910356576054</v>
      </c>
      <c r="AO479" s="407">
        <v>0</v>
      </c>
      <c r="AP479" s="407">
        <v>0</v>
      </c>
      <c r="AQ479" s="407">
        <v>0</v>
      </c>
      <c r="AR479" s="407">
        <v>0</v>
      </c>
      <c r="AS479" s="407">
        <v>0</v>
      </c>
      <c r="AT479" s="407">
        <v>0</v>
      </c>
      <c r="AU479" s="407">
        <v>0</v>
      </c>
      <c r="AV479" s="407">
        <v>0</v>
      </c>
      <c r="AW479" s="407">
        <v>0</v>
      </c>
      <c r="AX479" s="407">
        <v>0</v>
      </c>
      <c r="AY479" s="407">
        <v>0</v>
      </c>
      <c r="AZ479" s="407">
        <v>0</v>
      </c>
      <c r="BA479" s="407"/>
      <c r="BB479" s="407">
        <v>0</v>
      </c>
      <c r="BC479" s="407">
        <v>0</v>
      </c>
      <c r="BD479" s="407">
        <v>0</v>
      </c>
      <c r="BE479" s="407">
        <v>0</v>
      </c>
      <c r="BF479" s="407">
        <v>0</v>
      </c>
      <c r="BG479" s="407">
        <v>3.7937981563850158</v>
      </c>
      <c r="BH479" s="407">
        <v>0</v>
      </c>
      <c r="BI479" s="407">
        <v>0</v>
      </c>
      <c r="BJ479" s="407">
        <v>0</v>
      </c>
      <c r="BK479" s="407">
        <v>0</v>
      </c>
      <c r="BL479" s="407">
        <v>0</v>
      </c>
      <c r="BM479" s="407"/>
      <c r="BN479" s="407"/>
      <c r="BO479" s="407"/>
      <c r="BP479" s="407"/>
      <c r="BQ479" s="407"/>
      <c r="BR479" s="407"/>
      <c r="BS479" s="407"/>
      <c r="BT479" s="407"/>
      <c r="BU479" s="407"/>
      <c r="BV479" s="407">
        <v>116.53645207366768</v>
      </c>
      <c r="BW479" s="407"/>
      <c r="BX479" s="407"/>
      <c r="BY479" s="407"/>
      <c r="BZ479" s="407"/>
      <c r="CA479" s="407"/>
      <c r="CB479" s="407"/>
      <c r="CC479" s="407"/>
      <c r="CD479" s="407"/>
      <c r="CE479" s="407"/>
      <c r="CF479" s="407"/>
      <c r="CG479" s="407"/>
      <c r="CH479" s="407"/>
      <c r="CI479" s="407">
        <v>1380.9336999999998</v>
      </c>
      <c r="CJ479" s="407">
        <v>-790.24671000000058</v>
      </c>
      <c r="CK479" s="407"/>
      <c r="CL479" s="407"/>
      <c r="CM479" s="407"/>
      <c r="CN479" s="407"/>
      <c r="CO479" s="407">
        <v>-808.40558999999985</v>
      </c>
      <c r="CP479" s="407">
        <v>20.080569999999998</v>
      </c>
      <c r="CQ479" s="407">
        <v>29</v>
      </c>
      <c r="CR479" s="407">
        <v>-2.3630284033018825</v>
      </c>
      <c r="CS479" s="407">
        <v>0</v>
      </c>
      <c r="CT479" s="407">
        <v>0</v>
      </c>
      <c r="CU479" s="407">
        <v>0</v>
      </c>
      <c r="CV479" s="407">
        <v>0</v>
      </c>
      <c r="CW479" s="407">
        <v>0</v>
      </c>
      <c r="CX479" s="407">
        <v>0</v>
      </c>
      <c r="CY479" s="407">
        <v>0</v>
      </c>
      <c r="CZ479" s="407">
        <v>20.15966411938598</v>
      </c>
      <c r="DA479" s="407">
        <v>0</v>
      </c>
      <c r="DB479" s="407">
        <v>0</v>
      </c>
      <c r="DC479" s="407">
        <v>22.353823673994299</v>
      </c>
      <c r="DD479" s="407">
        <v>0</v>
      </c>
      <c r="DE479" s="407">
        <v>0</v>
      </c>
      <c r="DF479" s="407">
        <v>0</v>
      </c>
      <c r="DG479" s="407">
        <v>0.75220772348303999</v>
      </c>
      <c r="DH479" s="407">
        <v>0</v>
      </c>
      <c r="DI479" s="407">
        <v>-2.7604396176847885</v>
      </c>
      <c r="DJ479" s="407"/>
      <c r="DK479" s="407">
        <v>0</v>
      </c>
      <c r="DL479" s="407">
        <v>0</v>
      </c>
      <c r="DM479" s="407">
        <v>0</v>
      </c>
      <c r="DN479" s="407">
        <v>0</v>
      </c>
      <c r="DO479" s="407">
        <v>-0.42708552364896146</v>
      </c>
      <c r="DP479" s="407">
        <v>-5.0011875973466347E-2</v>
      </c>
      <c r="DQ479" s="407">
        <v>0</v>
      </c>
      <c r="DR479" s="407">
        <v>-42.391186902858074</v>
      </c>
      <c r="DS479" s="407"/>
      <c r="DT479" s="407"/>
      <c r="DU479" s="407"/>
      <c r="DV479" s="407">
        <v>1538.6737888904697</v>
      </c>
      <c r="DW479" s="407">
        <v>0</v>
      </c>
      <c r="DX479" s="407">
        <v>0</v>
      </c>
      <c r="DY479" s="407">
        <v>-808.40558999999985</v>
      </c>
      <c r="DZ479" s="407">
        <v>20.080569999999994</v>
      </c>
      <c r="EA479" s="407">
        <v>0</v>
      </c>
      <c r="EB479" s="407">
        <v>0</v>
      </c>
      <c r="EC479" s="407">
        <v>-785.95814512492575</v>
      </c>
      <c r="ED479" s="407">
        <v>0</v>
      </c>
      <c r="EE479" s="407">
        <v>0</v>
      </c>
      <c r="EF479" s="407">
        <v>0</v>
      </c>
      <c r="EG479" s="407">
        <v>0</v>
      </c>
      <c r="EH479" s="407">
        <v>0</v>
      </c>
      <c r="EI479" s="407">
        <v>0</v>
      </c>
      <c r="EJ479" s="407">
        <v>0</v>
      </c>
      <c r="EK479" s="407">
        <v>0</v>
      </c>
      <c r="EL479" s="407">
        <v>0</v>
      </c>
      <c r="EM479" s="407">
        <v>0</v>
      </c>
      <c r="EN479" s="407">
        <v>0</v>
      </c>
      <c r="EO479" s="407">
        <v>0</v>
      </c>
      <c r="EP479" s="407">
        <v>18.66839039633096</v>
      </c>
      <c r="EQ479" s="407">
        <v>0</v>
      </c>
      <c r="ER479" s="407">
        <v>0</v>
      </c>
      <c r="ES479" s="407">
        <v>0</v>
      </c>
      <c r="ET479" s="407">
        <v>0</v>
      </c>
      <c r="EU479" s="407">
        <v>0</v>
      </c>
      <c r="EV479" s="407">
        <v>246</v>
      </c>
      <c r="EW479" s="407">
        <v>0</v>
      </c>
      <c r="EX479" s="407">
        <v>0</v>
      </c>
      <c r="EY479" s="407">
        <v>0</v>
      </c>
      <c r="EZ479" s="407"/>
      <c r="FA479" s="407">
        <v>0</v>
      </c>
      <c r="FB479" s="407"/>
      <c r="FC479" s="407"/>
      <c r="FD479" s="407"/>
      <c r="FE479" s="407"/>
      <c r="FF479" s="407">
        <v>0</v>
      </c>
      <c r="FG479" s="407">
        <v>0</v>
      </c>
      <c r="FH479" s="407">
        <v>0</v>
      </c>
      <c r="FI479" s="407">
        <v>0</v>
      </c>
    </row>
    <row r="480" spans="1:165">
      <c r="A480" s="407">
        <v>498</v>
      </c>
      <c r="B480" s="407" t="s">
        <v>1090</v>
      </c>
      <c r="C480" s="407" t="s">
        <v>2314</v>
      </c>
      <c r="D480" s="407" t="s">
        <v>650</v>
      </c>
      <c r="E480" s="407" t="s">
        <v>2316</v>
      </c>
      <c r="F480" s="407" t="s">
        <v>97</v>
      </c>
      <c r="G480" s="407" t="s">
        <v>97</v>
      </c>
      <c r="H480" s="407" t="s">
        <v>97</v>
      </c>
      <c r="I480" s="407" t="s">
        <v>2290</v>
      </c>
      <c r="J480" s="407" t="s">
        <v>2307</v>
      </c>
      <c r="K480" s="818">
        <v>44593</v>
      </c>
      <c r="L480" s="407">
        <v>0</v>
      </c>
      <c r="M480" s="407">
        <v>0</v>
      </c>
      <c r="N480" s="407">
        <v>6.7729999999999997</v>
      </c>
      <c r="O480" s="407">
        <v>6.7729999999999997</v>
      </c>
      <c r="P480" s="407">
        <v>6.7729999999999997</v>
      </c>
      <c r="Q480" s="407">
        <v>6.7729999999999997</v>
      </c>
      <c r="R480" s="407"/>
      <c r="S480" s="407">
        <v>95.29</v>
      </c>
      <c r="T480" s="407">
        <v>159.41</v>
      </c>
      <c r="U480" s="407"/>
      <c r="V480" s="407">
        <v>1725.0830999999998</v>
      </c>
      <c r="W480" s="407">
        <v>1725.0830999999998</v>
      </c>
      <c r="X480" s="407">
        <v>1875.51143</v>
      </c>
      <c r="Y480" s="407">
        <v>0</v>
      </c>
      <c r="Z480" s="407">
        <v>365.16032153982053</v>
      </c>
      <c r="AA480" s="407">
        <v>0</v>
      </c>
      <c r="AB480" s="407">
        <v>0</v>
      </c>
      <c r="AC480" s="407">
        <v>0</v>
      </c>
      <c r="AD480" s="407">
        <v>0</v>
      </c>
      <c r="AE480" s="407">
        <v>0</v>
      </c>
      <c r="AF480" s="407">
        <v>1044.604644297887</v>
      </c>
      <c r="AG480" s="407">
        <v>35.095974043723842</v>
      </c>
      <c r="AH480" s="407">
        <v>0</v>
      </c>
      <c r="AI480" s="407">
        <v>0</v>
      </c>
      <c r="AJ480" s="407">
        <v>0</v>
      </c>
      <c r="AK480" s="407">
        <v>0</v>
      </c>
      <c r="AL480" s="407">
        <v>64.858622890576441</v>
      </c>
      <c r="AM480" s="407"/>
      <c r="AN480" s="407">
        <v>7.2723962085511573</v>
      </c>
      <c r="AO480" s="407">
        <v>0</v>
      </c>
      <c r="AP480" s="407">
        <v>0</v>
      </c>
      <c r="AQ480" s="407">
        <v>0</v>
      </c>
      <c r="AR480" s="407">
        <v>0</v>
      </c>
      <c r="AS480" s="407">
        <v>0</v>
      </c>
      <c r="AT480" s="407">
        <v>0</v>
      </c>
      <c r="AU480" s="407">
        <v>0</v>
      </c>
      <c r="AV480" s="407">
        <v>0</v>
      </c>
      <c r="AW480" s="407">
        <v>0</v>
      </c>
      <c r="AX480" s="407">
        <v>0</v>
      </c>
      <c r="AY480" s="407">
        <v>0</v>
      </c>
      <c r="AZ480" s="407">
        <v>0</v>
      </c>
      <c r="BA480" s="407"/>
      <c r="BB480" s="407">
        <v>0</v>
      </c>
      <c r="BC480" s="407">
        <v>0</v>
      </c>
      <c r="BD480" s="407">
        <v>0</v>
      </c>
      <c r="BE480" s="407">
        <v>0</v>
      </c>
      <c r="BF480" s="407">
        <v>0</v>
      </c>
      <c r="BG480" s="407">
        <v>35.151019033099473</v>
      </c>
      <c r="BH480" s="407">
        <v>0</v>
      </c>
      <c r="BI480" s="407">
        <v>0</v>
      </c>
      <c r="BJ480" s="407">
        <v>0</v>
      </c>
      <c r="BK480" s="407">
        <v>0</v>
      </c>
      <c r="BL480" s="407">
        <v>0</v>
      </c>
      <c r="BM480" s="407"/>
      <c r="BN480" s="407"/>
      <c r="BO480" s="407"/>
      <c r="BP480" s="407"/>
      <c r="BQ480" s="407"/>
      <c r="BR480" s="407"/>
      <c r="BS480" s="407"/>
      <c r="BT480" s="407"/>
      <c r="BU480" s="407"/>
      <c r="BV480" s="407">
        <v>1079.7556633309864</v>
      </c>
      <c r="BW480" s="407"/>
      <c r="BX480" s="407"/>
      <c r="BY480" s="407"/>
      <c r="BZ480" s="407"/>
      <c r="CA480" s="407"/>
      <c r="CB480" s="407"/>
      <c r="CC480" s="407"/>
      <c r="CD480" s="407"/>
      <c r="CE480" s="407"/>
      <c r="CF480" s="407"/>
      <c r="CG480" s="407"/>
      <c r="CH480" s="407"/>
      <c r="CI480" s="407">
        <v>1874.6806999999999</v>
      </c>
      <c r="CJ480" s="407">
        <v>149.56760000000008</v>
      </c>
      <c r="CK480" s="407"/>
      <c r="CL480" s="407"/>
      <c r="CM480" s="407"/>
      <c r="CN480" s="407"/>
      <c r="CO480" s="407">
        <v>-35.625980000000034</v>
      </c>
      <c r="CP480" s="407">
        <v>186.05430999999999</v>
      </c>
      <c r="CQ480" s="407">
        <v>29</v>
      </c>
      <c r="CR480" s="407">
        <v>150.40692196650798</v>
      </c>
      <c r="CS480" s="407">
        <v>0</v>
      </c>
      <c r="CT480" s="407">
        <v>0</v>
      </c>
      <c r="CU480" s="407">
        <v>0</v>
      </c>
      <c r="CV480" s="407">
        <v>0</v>
      </c>
      <c r="CW480" s="407">
        <v>0</v>
      </c>
      <c r="CX480" s="407">
        <v>0</v>
      </c>
      <c r="CY480" s="407">
        <v>0</v>
      </c>
      <c r="CZ480" s="407">
        <v>0</v>
      </c>
      <c r="DA480" s="407">
        <v>0</v>
      </c>
      <c r="DB480" s="407">
        <v>0</v>
      </c>
      <c r="DC480" s="407">
        <v>207.11689157860928</v>
      </c>
      <c r="DD480" s="407">
        <v>0</v>
      </c>
      <c r="DE480" s="407">
        <v>0</v>
      </c>
      <c r="DF480" s="407">
        <v>0</v>
      </c>
      <c r="DG480" s="407">
        <v>6.9694978264714464</v>
      </c>
      <c r="DH480" s="407">
        <v>0</v>
      </c>
      <c r="DI480" s="407">
        <v>-25.576549289437878</v>
      </c>
      <c r="DJ480" s="407"/>
      <c r="DK480" s="407">
        <v>0</v>
      </c>
      <c r="DL480" s="407">
        <v>0</v>
      </c>
      <c r="DM480" s="407">
        <v>0</v>
      </c>
      <c r="DN480" s="407">
        <v>0</v>
      </c>
      <c r="DO480" s="407">
        <v>-3.9571138873794922</v>
      </c>
      <c r="DP480" s="407">
        <v>-0.46337952936838267</v>
      </c>
      <c r="DQ480" s="407">
        <v>0</v>
      </c>
      <c r="DR480" s="407">
        <v>-33.682424732387005</v>
      </c>
      <c r="DS480" s="407"/>
      <c r="DT480" s="407"/>
      <c r="DU480" s="407"/>
      <c r="DV480" s="407">
        <v>0</v>
      </c>
      <c r="DW480" s="407">
        <v>0</v>
      </c>
      <c r="DX480" s="407">
        <v>0</v>
      </c>
      <c r="DY480" s="407">
        <v>-35.625980000000027</v>
      </c>
      <c r="DZ480" s="407">
        <v>186.05430999999999</v>
      </c>
      <c r="EA480" s="407">
        <v>0</v>
      </c>
      <c r="EB480" s="407">
        <v>0</v>
      </c>
      <c r="EC480" s="407">
        <v>0</v>
      </c>
      <c r="ED480" s="407">
        <v>0</v>
      </c>
      <c r="EE480" s="407">
        <v>0</v>
      </c>
      <c r="EF480" s="407">
        <v>0</v>
      </c>
      <c r="EG480" s="407">
        <v>0</v>
      </c>
      <c r="EH480" s="407">
        <v>0</v>
      </c>
      <c r="EI480" s="407">
        <v>0</v>
      </c>
      <c r="EJ480" s="407">
        <v>0</v>
      </c>
      <c r="EK480" s="407">
        <v>0</v>
      </c>
      <c r="EL480" s="407">
        <v>0</v>
      </c>
      <c r="EM480" s="407">
        <v>0</v>
      </c>
      <c r="EN480" s="407">
        <v>0</v>
      </c>
      <c r="EO480" s="407">
        <v>0</v>
      </c>
      <c r="EP480" s="407">
        <v>172.96991539582709</v>
      </c>
      <c r="EQ480" s="407">
        <v>0</v>
      </c>
      <c r="ER480" s="407">
        <v>0</v>
      </c>
      <c r="ES480" s="407">
        <v>0</v>
      </c>
      <c r="ET480" s="407">
        <v>0</v>
      </c>
      <c r="EU480" s="407">
        <v>0</v>
      </c>
      <c r="EV480" s="407">
        <v>246</v>
      </c>
      <c r="EW480" s="407">
        <v>0</v>
      </c>
      <c r="EX480" s="407">
        <v>0</v>
      </c>
      <c r="EY480" s="407">
        <v>0</v>
      </c>
      <c r="EZ480" s="407"/>
      <c r="FA480" s="407">
        <v>0</v>
      </c>
      <c r="FB480" s="407"/>
      <c r="FC480" s="407"/>
      <c r="FD480" s="407"/>
      <c r="FE480" s="407"/>
      <c r="FF480" s="407">
        <v>0</v>
      </c>
      <c r="FG480" s="407">
        <v>0</v>
      </c>
      <c r="FH480" s="407">
        <v>0</v>
      </c>
      <c r="FI480" s="407">
        <v>0</v>
      </c>
    </row>
    <row r="481" spans="1:165">
      <c r="A481" s="407">
        <v>499</v>
      </c>
      <c r="B481" s="407" t="s">
        <v>1090</v>
      </c>
      <c r="C481" s="407" t="s">
        <v>2314</v>
      </c>
      <c r="D481" s="407" t="s">
        <v>650</v>
      </c>
      <c r="E481" s="407" t="s">
        <v>2316</v>
      </c>
      <c r="F481" s="407" t="s">
        <v>97</v>
      </c>
      <c r="G481" s="407" t="s">
        <v>97</v>
      </c>
      <c r="H481" s="407" t="s">
        <v>97</v>
      </c>
      <c r="I481" s="407" t="s">
        <v>97</v>
      </c>
      <c r="J481" s="407" t="s">
        <v>2307</v>
      </c>
      <c r="K481" s="818">
        <v>44593</v>
      </c>
      <c r="L481" s="407">
        <v>50</v>
      </c>
      <c r="M481" s="407">
        <v>50</v>
      </c>
      <c r="N481" s="407">
        <v>0</v>
      </c>
      <c r="O481" s="407">
        <v>0</v>
      </c>
      <c r="P481" s="407">
        <v>0</v>
      </c>
      <c r="Q481" s="407">
        <v>0</v>
      </c>
      <c r="R481" s="407">
        <v>43.29</v>
      </c>
      <c r="S481" s="407"/>
      <c r="T481" s="407"/>
      <c r="U481" s="407">
        <v>2164.5</v>
      </c>
      <c r="V481" s="407"/>
      <c r="W481" s="407">
        <v>2164.5</v>
      </c>
      <c r="X481" s="407">
        <v>1674.5</v>
      </c>
      <c r="Y481" s="407">
        <v>0</v>
      </c>
      <c r="Z481" s="407">
        <v>0</v>
      </c>
      <c r="AA481" s="407">
        <v>0</v>
      </c>
      <c r="AB481" s="407">
        <v>0</v>
      </c>
      <c r="AC481" s="407">
        <v>0</v>
      </c>
      <c r="AD481" s="407">
        <v>1183.1993579218999</v>
      </c>
      <c r="AE481" s="407">
        <v>981.45935521857996</v>
      </c>
      <c r="AF481" s="407"/>
      <c r="AG481" s="407"/>
      <c r="AH481" s="407"/>
      <c r="AI481" s="407">
        <v>0</v>
      </c>
      <c r="AJ481" s="407">
        <v>0</v>
      </c>
      <c r="AK481" s="407">
        <v>0</v>
      </c>
      <c r="AL481" s="407">
        <v>0</v>
      </c>
      <c r="AM481" s="407"/>
      <c r="AN481" s="407">
        <v>0</v>
      </c>
      <c r="AO481" s="407">
        <v>0</v>
      </c>
      <c r="AP481" s="407">
        <v>0</v>
      </c>
      <c r="AQ481" s="407">
        <v>0</v>
      </c>
      <c r="AR481" s="407">
        <v>0</v>
      </c>
      <c r="AS481" s="407"/>
      <c r="AT481" s="407"/>
      <c r="AU481" s="407">
        <v>0</v>
      </c>
      <c r="AV481" s="407">
        <v>0</v>
      </c>
      <c r="AW481" s="407">
        <v>0</v>
      </c>
      <c r="AX481" s="407"/>
      <c r="AY481" s="407"/>
      <c r="AZ481" s="407">
        <v>0</v>
      </c>
      <c r="BA481" s="407"/>
      <c r="BB481" s="407">
        <v>0</v>
      </c>
      <c r="BC481" s="407">
        <v>0</v>
      </c>
      <c r="BD481" s="407">
        <v>0</v>
      </c>
      <c r="BE481" s="407">
        <v>0</v>
      </c>
      <c r="BF481" s="407"/>
      <c r="BG481" s="407">
        <v>0</v>
      </c>
      <c r="BH481" s="407">
        <v>0</v>
      </c>
      <c r="BI481" s="407">
        <v>10.220000000000001</v>
      </c>
      <c r="BJ481" s="407">
        <v>44.07</v>
      </c>
      <c r="BK481" s="407">
        <v>0</v>
      </c>
      <c r="BL481" s="407">
        <v>1</v>
      </c>
      <c r="BM481" s="407"/>
      <c r="BN481" s="407"/>
      <c r="BO481" s="407"/>
      <c r="BP481" s="407"/>
      <c r="BQ481" s="407"/>
      <c r="BR481" s="407"/>
      <c r="BS481" s="407"/>
      <c r="BT481" s="407"/>
      <c r="BU481" s="407"/>
      <c r="BV481" s="407">
        <v>0</v>
      </c>
      <c r="BW481" s="407"/>
      <c r="BX481" s="407"/>
      <c r="BY481" s="407"/>
      <c r="BZ481" s="407"/>
      <c r="CA481" s="407"/>
      <c r="CB481" s="407"/>
      <c r="CC481" s="407"/>
      <c r="CD481" s="407"/>
      <c r="CE481" s="407"/>
      <c r="CF481" s="407"/>
      <c r="CG481" s="407"/>
      <c r="CH481" s="407"/>
      <c r="CI481" s="407">
        <v>1674.5</v>
      </c>
      <c r="CJ481" s="407">
        <v>-490.03000000000065</v>
      </c>
      <c r="CK481" s="407"/>
      <c r="CL481" s="407"/>
      <c r="CM481" s="407"/>
      <c r="CN481" s="407"/>
      <c r="CO481" s="407">
        <v>-489.99999999999989</v>
      </c>
      <c r="CP481" s="407">
        <v>0</v>
      </c>
      <c r="CQ481" s="407">
        <v>29</v>
      </c>
      <c r="CR481" s="407">
        <v>11.18300726073312</v>
      </c>
      <c r="CS481" s="407">
        <v>0</v>
      </c>
      <c r="CT481" s="407">
        <v>0</v>
      </c>
      <c r="CU481" s="407">
        <v>0</v>
      </c>
      <c r="CV481" s="407">
        <v>0</v>
      </c>
      <c r="CW481" s="407"/>
      <c r="CX481" s="407"/>
      <c r="CY481" s="407"/>
      <c r="CZ481" s="407">
        <v>53.447461056890006</v>
      </c>
      <c r="DA481" s="407">
        <v>0</v>
      </c>
      <c r="DB481" s="407">
        <v>0</v>
      </c>
      <c r="DC481" s="407"/>
      <c r="DD481" s="407"/>
      <c r="DE481" s="407">
        <v>0</v>
      </c>
      <c r="DF481" s="407">
        <v>0</v>
      </c>
      <c r="DG481" s="407">
        <v>0</v>
      </c>
      <c r="DH481" s="407">
        <v>0</v>
      </c>
      <c r="DI481" s="407">
        <v>0</v>
      </c>
      <c r="DJ481" s="407"/>
      <c r="DK481" s="407">
        <v>0</v>
      </c>
      <c r="DL481" s="407">
        <v>0</v>
      </c>
      <c r="DM481" s="407"/>
      <c r="DN481" s="407">
        <v>0</v>
      </c>
      <c r="DO481" s="407">
        <v>0</v>
      </c>
      <c r="DP481" s="407">
        <v>0</v>
      </c>
      <c r="DQ481" s="407">
        <v>0</v>
      </c>
      <c r="DR481" s="407">
        <v>-42.2644537961569</v>
      </c>
      <c r="DS481" s="407"/>
      <c r="DT481" s="407"/>
      <c r="DU481" s="407">
        <v>981.45935521857996</v>
      </c>
      <c r="DV481" s="407"/>
      <c r="DW481" s="407">
        <v>0</v>
      </c>
      <c r="DX481" s="407">
        <v>0</v>
      </c>
      <c r="DY481" s="407">
        <v>-490</v>
      </c>
      <c r="DZ481" s="407"/>
      <c r="EA481" s="407">
        <v>0</v>
      </c>
      <c r="EB481" s="407"/>
      <c r="EC481" s="407">
        <v>-501.33171820607203</v>
      </c>
      <c r="ED481" s="407"/>
      <c r="EE481" s="407">
        <v>0</v>
      </c>
      <c r="EF481" s="407">
        <v>0</v>
      </c>
      <c r="EG481" s="407"/>
      <c r="EH481" s="407">
        <v>0</v>
      </c>
      <c r="EI481" s="407">
        <v>0</v>
      </c>
      <c r="EJ481" s="407">
        <v>0</v>
      </c>
      <c r="EK481" s="407">
        <v>0</v>
      </c>
      <c r="EL481" s="407">
        <v>0</v>
      </c>
      <c r="EM481" s="407"/>
      <c r="EN481" s="407"/>
      <c r="EO481" s="407">
        <v>0</v>
      </c>
      <c r="EP481" s="407">
        <v>0</v>
      </c>
      <c r="EQ481" s="407"/>
      <c r="ER481" s="407">
        <v>0</v>
      </c>
      <c r="ES481" s="407"/>
      <c r="ET481" s="407">
        <v>0</v>
      </c>
      <c r="EU481" s="407"/>
      <c r="EV481" s="407">
        <v>246</v>
      </c>
      <c r="EW481" s="407"/>
      <c r="EX481" s="407"/>
      <c r="EY481" s="407"/>
      <c r="EZ481" s="407"/>
      <c r="FA481" s="407">
        <v>0</v>
      </c>
      <c r="FB481" s="407"/>
      <c r="FC481" s="407"/>
      <c r="FD481" s="407"/>
      <c r="FE481" s="407"/>
      <c r="FF481" s="407">
        <v>0</v>
      </c>
      <c r="FG481" s="407">
        <v>0</v>
      </c>
      <c r="FH481" s="407">
        <v>0</v>
      </c>
      <c r="FI481" s="407">
        <v>0</v>
      </c>
    </row>
    <row r="482" spans="1:165">
      <c r="A482" s="407">
        <v>500</v>
      </c>
      <c r="B482" s="407" t="s">
        <v>1090</v>
      </c>
      <c r="C482" s="407" t="s">
        <v>2306</v>
      </c>
      <c r="D482" s="407" t="s">
        <v>2318</v>
      </c>
      <c r="E482" s="407" t="s">
        <v>2319</v>
      </c>
      <c r="F482" s="407" t="s">
        <v>2320</v>
      </c>
      <c r="G482" s="407" t="s">
        <v>97</v>
      </c>
      <c r="H482" s="407" t="s">
        <v>97</v>
      </c>
      <c r="I482" s="407" t="s">
        <v>97</v>
      </c>
      <c r="J482" s="407" t="s">
        <v>2307</v>
      </c>
      <c r="K482" s="818">
        <v>44593</v>
      </c>
      <c r="L482" s="407">
        <v>0</v>
      </c>
      <c r="M482" s="407">
        <v>0</v>
      </c>
      <c r="N482" s="407">
        <v>481.74099999999999</v>
      </c>
      <c r="O482" s="407">
        <v>481.74099999999999</v>
      </c>
      <c r="P482" s="407">
        <v>481.74099999999999</v>
      </c>
      <c r="Q482" s="407">
        <v>481.74099999999999</v>
      </c>
      <c r="R482" s="407"/>
      <c r="S482" s="407">
        <v>356.64</v>
      </c>
      <c r="T482" s="407">
        <v>87.68</v>
      </c>
      <c r="U482" s="407"/>
      <c r="V482" s="407">
        <v>214047.16111999998</v>
      </c>
      <c r="W482" s="407">
        <v>214047.16111999998</v>
      </c>
      <c r="X482" s="407">
        <v>162105.84649999999</v>
      </c>
      <c r="Y482" s="407">
        <v>0</v>
      </c>
      <c r="Z482" s="407">
        <v>16419.485779812538</v>
      </c>
      <c r="AA482" s="407">
        <v>0</v>
      </c>
      <c r="AB482" s="407">
        <v>0</v>
      </c>
      <c r="AC482" s="407">
        <v>0</v>
      </c>
      <c r="AD482" s="407">
        <v>30905.821390264995</v>
      </c>
      <c r="AE482" s="407">
        <v>110631.96273126632</v>
      </c>
      <c r="AF482" s="407">
        <v>40864.592835049341</v>
      </c>
      <c r="AG482" s="407">
        <v>1372.9430529290801</v>
      </c>
      <c r="AH482" s="407">
        <v>0</v>
      </c>
      <c r="AI482" s="407">
        <v>0</v>
      </c>
      <c r="AJ482" s="407">
        <v>0</v>
      </c>
      <c r="AK482" s="407">
        <v>0</v>
      </c>
      <c r="AL482" s="407">
        <v>2537.248164397025</v>
      </c>
      <c r="AM482" s="407"/>
      <c r="AN482" s="407">
        <v>549.81225691682812</v>
      </c>
      <c r="AO482" s="407">
        <v>0</v>
      </c>
      <c r="AP482" s="407">
        <v>0</v>
      </c>
      <c r="AQ482" s="407">
        <v>0</v>
      </c>
      <c r="AR482" s="407">
        <v>0</v>
      </c>
      <c r="AS482" s="407">
        <v>0</v>
      </c>
      <c r="AT482" s="407">
        <v>0</v>
      </c>
      <c r="AU482" s="407">
        <v>0</v>
      </c>
      <c r="AV482" s="407">
        <v>0</v>
      </c>
      <c r="AW482" s="407">
        <v>0</v>
      </c>
      <c r="AX482" s="407">
        <v>0</v>
      </c>
      <c r="AY482" s="407">
        <v>0</v>
      </c>
      <c r="AZ482" s="407">
        <v>0</v>
      </c>
      <c r="BA482" s="407"/>
      <c r="BB482" s="407">
        <v>0</v>
      </c>
      <c r="BC482" s="407">
        <v>0</v>
      </c>
      <c r="BD482" s="407">
        <v>0</v>
      </c>
      <c r="BE482" s="407">
        <v>0</v>
      </c>
      <c r="BF482" s="407">
        <v>0</v>
      </c>
      <c r="BG482" s="407">
        <v>2987.0712459118058</v>
      </c>
      <c r="BH482" s="407">
        <v>0</v>
      </c>
      <c r="BI482" s="407">
        <v>371.68</v>
      </c>
      <c r="BJ482" s="407">
        <v>1604.18</v>
      </c>
      <c r="BK482" s="407">
        <v>58121.77</v>
      </c>
      <c r="BL482" s="407">
        <v>62</v>
      </c>
      <c r="BM482" s="407"/>
      <c r="BN482" s="407"/>
      <c r="BO482" s="407"/>
      <c r="BP482" s="407"/>
      <c r="BQ482" s="407"/>
      <c r="BR482" s="407"/>
      <c r="BS482" s="407"/>
      <c r="BT482" s="407"/>
      <c r="BU482" s="407"/>
      <c r="BV482" s="407">
        <v>43851.664080961149</v>
      </c>
      <c r="BW482" s="407"/>
      <c r="BX482" s="407"/>
      <c r="BY482" s="407"/>
      <c r="BZ482" s="407"/>
      <c r="CA482" s="407"/>
      <c r="CB482" s="407"/>
      <c r="CC482" s="407"/>
      <c r="CD482" s="407"/>
      <c r="CE482" s="407"/>
      <c r="CF482" s="407"/>
      <c r="CG482" s="407"/>
      <c r="CH482" s="407"/>
      <c r="CI482" s="407">
        <v>162105.51</v>
      </c>
      <c r="CJ482" s="407">
        <v>-51941.681119999994</v>
      </c>
      <c r="CK482" s="407"/>
      <c r="CL482" s="407"/>
      <c r="CM482" s="407"/>
      <c r="CN482" s="407"/>
      <c r="CO482" s="407">
        <v>-59215.603719999992</v>
      </c>
      <c r="CP482" s="407">
        <v>7274.2890999999972</v>
      </c>
      <c r="CQ482" s="407">
        <v>29</v>
      </c>
      <c r="CR482" s="407">
        <v>4571.5823410846642</v>
      </c>
      <c r="CS482" s="407">
        <v>0</v>
      </c>
      <c r="CT482" s="407">
        <v>0</v>
      </c>
      <c r="CU482" s="407">
        <v>0</v>
      </c>
      <c r="CV482" s="407">
        <v>0</v>
      </c>
      <c r="CW482" s="407">
        <v>0</v>
      </c>
      <c r="CX482" s="407">
        <v>0</v>
      </c>
      <c r="CY482" s="407">
        <v>0</v>
      </c>
      <c r="CZ482" s="407">
        <v>1396.0772325710714</v>
      </c>
      <c r="DA482" s="407">
        <v>0</v>
      </c>
      <c r="DB482" s="407">
        <v>0</v>
      </c>
      <c r="DC482" s="407">
        <v>8102.345217227783</v>
      </c>
      <c r="DD482" s="407">
        <v>0</v>
      </c>
      <c r="DE482" s="407">
        <v>0</v>
      </c>
      <c r="DF482" s="407">
        <v>0</v>
      </c>
      <c r="DG482" s="407">
        <v>592.25556267072261</v>
      </c>
      <c r="DH482" s="407">
        <v>0</v>
      </c>
      <c r="DI482" s="407">
        <v>-1150.0531755031061</v>
      </c>
      <c r="DJ482" s="407"/>
      <c r="DK482" s="407">
        <v>0</v>
      </c>
      <c r="DL482" s="407">
        <v>0</v>
      </c>
      <c r="DM482" s="407">
        <v>0</v>
      </c>
      <c r="DN482" s="407">
        <v>0</v>
      </c>
      <c r="DO482" s="407">
        <v>-154.80100408549379</v>
      </c>
      <c r="DP482" s="407">
        <v>-35.032709652365043</v>
      </c>
      <c r="DQ482" s="407">
        <v>0</v>
      </c>
      <c r="DR482" s="407">
        <v>-4179.2087821439309</v>
      </c>
      <c r="DS482" s="407"/>
      <c r="DT482" s="407"/>
      <c r="DU482" s="407"/>
      <c r="DV482" s="407">
        <v>110631.96273126632</v>
      </c>
      <c r="DW482" s="407">
        <v>0</v>
      </c>
      <c r="DX482" s="407">
        <v>0</v>
      </c>
      <c r="DY482" s="407">
        <v>-59215.603719999985</v>
      </c>
      <c r="DZ482" s="407">
        <v>7274.2890999999945</v>
      </c>
      <c r="EA482" s="407">
        <v>0</v>
      </c>
      <c r="EB482" s="407">
        <v>0</v>
      </c>
      <c r="EC482" s="407">
        <v>-56511.063519510935</v>
      </c>
      <c r="ED482" s="407">
        <v>0</v>
      </c>
      <c r="EE482" s="407">
        <v>0</v>
      </c>
      <c r="EF482" s="407">
        <v>0</v>
      </c>
      <c r="EG482" s="407">
        <v>0</v>
      </c>
      <c r="EH482" s="407">
        <v>0</v>
      </c>
      <c r="EI482" s="407">
        <v>0</v>
      </c>
      <c r="EJ482" s="407">
        <v>0</v>
      </c>
      <c r="EK482" s="407">
        <v>0</v>
      </c>
      <c r="EL482" s="407">
        <v>0</v>
      </c>
      <c r="EM482" s="407">
        <v>0</v>
      </c>
      <c r="EN482" s="407">
        <v>0</v>
      </c>
      <c r="EO482" s="407">
        <v>0</v>
      </c>
      <c r="EP482" s="407">
        <v>7777.6168401895793</v>
      </c>
      <c r="EQ482" s="407">
        <v>0</v>
      </c>
      <c r="ER482" s="407">
        <v>0</v>
      </c>
      <c r="ES482" s="407">
        <v>0</v>
      </c>
      <c r="ET482" s="407">
        <v>0</v>
      </c>
      <c r="EU482" s="407">
        <v>0</v>
      </c>
      <c r="EV482" s="407">
        <v>246</v>
      </c>
      <c r="EW482" s="407">
        <v>0</v>
      </c>
      <c r="EX482" s="407">
        <v>0</v>
      </c>
      <c r="EY482" s="407">
        <v>0</v>
      </c>
      <c r="EZ482" s="407"/>
      <c r="FA482" s="407">
        <v>0</v>
      </c>
      <c r="FB482" s="407"/>
      <c r="FC482" s="407"/>
      <c r="FD482" s="407"/>
      <c r="FE482" s="407"/>
      <c r="FF482" s="407">
        <v>0</v>
      </c>
      <c r="FG482" s="407">
        <v>0</v>
      </c>
      <c r="FH482" s="407">
        <v>0</v>
      </c>
      <c r="FI482" s="407">
        <v>0</v>
      </c>
    </row>
    <row r="483" spans="1:165">
      <c r="A483" s="407">
        <v>501</v>
      </c>
      <c r="B483" s="407" t="s">
        <v>1090</v>
      </c>
      <c r="C483" s="407" t="s">
        <v>2306</v>
      </c>
      <c r="D483" s="407" t="s">
        <v>1219</v>
      </c>
      <c r="E483" s="407" t="s">
        <v>1052</v>
      </c>
      <c r="F483" s="407" t="s">
        <v>2321</v>
      </c>
      <c r="G483" s="407" t="s">
        <v>97</v>
      </c>
      <c r="H483" s="407" t="s">
        <v>97</v>
      </c>
      <c r="I483" s="407" t="s">
        <v>97</v>
      </c>
      <c r="J483" s="407" t="s">
        <v>2307</v>
      </c>
      <c r="K483" s="818">
        <v>44593</v>
      </c>
      <c r="L483" s="407">
        <v>0</v>
      </c>
      <c r="M483" s="407">
        <v>0</v>
      </c>
      <c r="N483" s="407">
        <v>50.831000000000003</v>
      </c>
      <c r="O483" s="407">
        <v>47.781140000000001</v>
      </c>
      <c r="P483" s="407">
        <v>50.831000000000003</v>
      </c>
      <c r="Q483" s="407">
        <v>47.781140000000001</v>
      </c>
      <c r="R483" s="407"/>
      <c r="S483" s="407">
        <v>648.44000000000005</v>
      </c>
      <c r="T483" s="407">
        <v>159.41</v>
      </c>
      <c r="U483" s="407"/>
      <c r="V483" s="407">
        <v>41063.823349999999</v>
      </c>
      <c r="W483" s="407">
        <v>41063.823349999999</v>
      </c>
      <c r="X483" s="407">
        <v>31099.422420000003</v>
      </c>
      <c r="Y483" s="407">
        <v>0</v>
      </c>
      <c r="Z483" s="407">
        <v>3150.009809773871</v>
      </c>
      <c r="AA483" s="407">
        <v>0</v>
      </c>
      <c r="AB483" s="407">
        <v>0</v>
      </c>
      <c r="AC483" s="407">
        <v>0</v>
      </c>
      <c r="AD483" s="407">
        <v>5929.1528287779029</v>
      </c>
      <c r="AE483" s="407">
        <v>21224.280257697912</v>
      </c>
      <c r="AF483" s="407">
        <v>7839.7015612440437</v>
      </c>
      <c r="AG483" s="407">
        <v>263.39339386040552</v>
      </c>
      <c r="AH483" s="407">
        <v>0</v>
      </c>
      <c r="AI483" s="407">
        <v>0</v>
      </c>
      <c r="AJ483" s="407">
        <v>0</v>
      </c>
      <c r="AK483" s="407">
        <v>0</v>
      </c>
      <c r="AL483" s="407">
        <v>486.76046953357326</v>
      </c>
      <c r="AM483" s="407"/>
      <c r="AN483" s="407">
        <v>105.47918650115551</v>
      </c>
      <c r="AO483" s="407">
        <v>0</v>
      </c>
      <c r="AP483" s="407">
        <v>0</v>
      </c>
      <c r="AQ483" s="407">
        <v>0</v>
      </c>
      <c r="AR483" s="407">
        <v>0</v>
      </c>
      <c r="AS483" s="407">
        <v>0</v>
      </c>
      <c r="AT483" s="407">
        <v>0</v>
      </c>
      <c r="AU483" s="407">
        <v>0</v>
      </c>
      <c r="AV483" s="407">
        <v>0</v>
      </c>
      <c r="AW483" s="407">
        <v>0</v>
      </c>
      <c r="AX483" s="407">
        <v>0</v>
      </c>
      <c r="AY483" s="407">
        <v>0</v>
      </c>
      <c r="AZ483" s="407">
        <v>0</v>
      </c>
      <c r="BA483" s="407"/>
      <c r="BB483" s="407">
        <v>0</v>
      </c>
      <c r="BC483" s="407">
        <v>0</v>
      </c>
      <c r="BD483" s="407">
        <v>0</v>
      </c>
      <c r="BE483" s="407">
        <v>0</v>
      </c>
      <c r="BF483" s="407">
        <v>0</v>
      </c>
      <c r="BG483" s="407">
        <v>573.05715010175265</v>
      </c>
      <c r="BH483" s="407">
        <v>0</v>
      </c>
      <c r="BI483" s="407">
        <v>58.76</v>
      </c>
      <c r="BJ483" s="407">
        <v>253.67</v>
      </c>
      <c r="BK483" s="407">
        <v>12881.82</v>
      </c>
      <c r="BL483" s="407">
        <v>13</v>
      </c>
      <c r="BM483" s="407"/>
      <c r="BN483" s="407"/>
      <c r="BO483" s="407"/>
      <c r="BP483" s="407"/>
      <c r="BQ483" s="407">
        <v>1865.9653452000016</v>
      </c>
      <c r="BR483" s="407"/>
      <c r="BS483" s="407"/>
      <c r="BT483" s="407"/>
      <c r="BU483" s="407"/>
      <c r="BV483" s="407">
        <v>8412.7587113457957</v>
      </c>
      <c r="BW483" s="407"/>
      <c r="BX483" s="407"/>
      <c r="BY483" s="407"/>
      <c r="BZ483" s="407"/>
      <c r="CA483" s="407"/>
      <c r="CB483" s="407"/>
      <c r="CC483" s="407"/>
      <c r="CD483" s="407"/>
      <c r="CE483" s="407"/>
      <c r="CF483" s="407"/>
      <c r="CG483" s="407"/>
      <c r="CH483" s="407"/>
      <c r="CI483" s="407">
        <v>29232.759599999998</v>
      </c>
      <c r="CJ483" s="407">
        <v>-9367.2643490000046</v>
      </c>
      <c r="CK483" s="407"/>
      <c r="CL483" s="407"/>
      <c r="CM483" s="407"/>
      <c r="CN483" s="407"/>
      <c r="CO483" s="407">
        <v>-11360.728500000003</v>
      </c>
      <c r="CP483" s="407">
        <v>1396.3275699999999</v>
      </c>
      <c r="CQ483" s="407">
        <v>29</v>
      </c>
      <c r="CR483" s="407">
        <v>877.03898975393167</v>
      </c>
      <c r="CS483" s="407">
        <v>0</v>
      </c>
      <c r="CT483" s="407">
        <v>0</v>
      </c>
      <c r="CU483" s="407">
        <v>0</v>
      </c>
      <c r="CV483" s="407">
        <v>0</v>
      </c>
      <c r="CW483" s="407">
        <v>0</v>
      </c>
      <c r="CX483" s="407">
        <v>0</v>
      </c>
      <c r="CY483" s="407">
        <v>0</v>
      </c>
      <c r="CZ483" s="407">
        <v>267.8315896596223</v>
      </c>
      <c r="DA483" s="407">
        <v>0</v>
      </c>
      <c r="DB483" s="407">
        <v>0</v>
      </c>
      <c r="DC483" s="407">
        <v>1554.4011096755175</v>
      </c>
      <c r="DD483" s="407">
        <v>0</v>
      </c>
      <c r="DE483" s="407">
        <v>0</v>
      </c>
      <c r="DF483" s="407">
        <v>0</v>
      </c>
      <c r="DG483" s="407">
        <v>113.62175754612633</v>
      </c>
      <c r="DH483" s="407">
        <v>0</v>
      </c>
      <c r="DI483" s="407">
        <v>-220.63290124775494</v>
      </c>
      <c r="DJ483" s="407"/>
      <c r="DK483" s="407">
        <v>0</v>
      </c>
      <c r="DL483" s="407">
        <v>0</v>
      </c>
      <c r="DM483" s="407">
        <v>0</v>
      </c>
      <c r="DN483" s="407">
        <v>0</v>
      </c>
      <c r="DO483" s="407">
        <v>-29.697926474145447</v>
      </c>
      <c r="DP483" s="407">
        <v>-6.7208791156891721</v>
      </c>
      <c r="DQ483" s="407">
        <v>0</v>
      </c>
      <c r="DR483" s="407">
        <v>-801.76376028974596</v>
      </c>
      <c r="DS483" s="407"/>
      <c r="DT483" s="407"/>
      <c r="DU483" s="407"/>
      <c r="DV483" s="407">
        <v>21224.280257697912</v>
      </c>
      <c r="DW483" s="407">
        <v>0</v>
      </c>
      <c r="DX483" s="407">
        <v>0</v>
      </c>
      <c r="DY483" s="407">
        <v>-11360.728500000001</v>
      </c>
      <c r="DZ483" s="407">
        <v>1396.3275700000004</v>
      </c>
      <c r="EA483" s="407">
        <v>0</v>
      </c>
      <c r="EB483" s="407">
        <v>0</v>
      </c>
      <c r="EC483" s="407">
        <v>-10841.411651641116</v>
      </c>
      <c r="ED483" s="407">
        <v>0</v>
      </c>
      <c r="EE483" s="407">
        <v>0</v>
      </c>
      <c r="EF483" s="407">
        <v>0</v>
      </c>
      <c r="EG483" s="407">
        <v>0</v>
      </c>
      <c r="EH483" s="407">
        <v>0</v>
      </c>
      <c r="EI483" s="407">
        <v>0</v>
      </c>
      <c r="EJ483" s="407">
        <v>0</v>
      </c>
      <c r="EK483" s="407">
        <v>0</v>
      </c>
      <c r="EL483" s="407">
        <v>0</v>
      </c>
      <c r="EM483" s="407">
        <v>0</v>
      </c>
      <c r="EN483" s="407">
        <v>0</v>
      </c>
      <c r="EO483" s="407">
        <v>0</v>
      </c>
      <c r="EP483" s="407">
        <v>1492.1033259994963</v>
      </c>
      <c r="EQ483" s="407">
        <v>0</v>
      </c>
      <c r="ER483" s="407">
        <v>0</v>
      </c>
      <c r="ES483" s="407">
        <v>0</v>
      </c>
      <c r="ET483" s="407">
        <v>0</v>
      </c>
      <c r="EU483" s="407">
        <v>0</v>
      </c>
      <c r="EV483" s="407">
        <v>246</v>
      </c>
      <c r="EW483" s="407">
        <v>0</v>
      </c>
      <c r="EX483" s="407">
        <v>0</v>
      </c>
      <c r="EY483" s="407">
        <v>0</v>
      </c>
      <c r="EZ483" s="407"/>
      <c r="FA483" s="407">
        <v>0</v>
      </c>
      <c r="FB483" s="407"/>
      <c r="FC483" s="407"/>
      <c r="FD483" s="407"/>
      <c r="FE483" s="407"/>
      <c r="FF483" s="407">
        <v>0</v>
      </c>
      <c r="FG483" s="407">
        <v>0</v>
      </c>
      <c r="FH483" s="407">
        <v>0</v>
      </c>
      <c r="FI483" s="407">
        <v>0</v>
      </c>
    </row>
    <row r="484" spans="1:165">
      <c r="A484" s="407">
        <v>502</v>
      </c>
      <c r="B484" s="407" t="s">
        <v>1090</v>
      </c>
      <c r="C484" s="407" t="s">
        <v>2317</v>
      </c>
      <c r="D484" s="407" t="s">
        <v>650</v>
      </c>
      <c r="E484" s="407" t="s">
        <v>1052</v>
      </c>
      <c r="F484" s="407" t="s">
        <v>2321</v>
      </c>
      <c r="G484" s="407" t="s">
        <v>97</v>
      </c>
      <c r="H484" s="407" t="s">
        <v>97</v>
      </c>
      <c r="I484" s="407" t="s">
        <v>1025</v>
      </c>
      <c r="J484" s="407" t="s">
        <v>2307</v>
      </c>
      <c r="K484" s="818">
        <v>44593</v>
      </c>
      <c r="L484" s="407">
        <v>708</v>
      </c>
      <c r="M484" s="407">
        <v>665.52</v>
      </c>
      <c r="N484" s="407">
        <v>36.389000000000003</v>
      </c>
      <c r="O484" s="407">
        <v>34.205660000000002</v>
      </c>
      <c r="P484" s="407">
        <v>36.389000000000003</v>
      </c>
      <c r="Q484" s="407">
        <v>34.205660000000002</v>
      </c>
      <c r="R484" s="407">
        <v>112.91</v>
      </c>
      <c r="S484" s="407">
        <v>95.29</v>
      </c>
      <c r="T484" s="407">
        <v>159.41</v>
      </c>
      <c r="U484" s="407">
        <v>79940.28</v>
      </c>
      <c r="V484" s="407">
        <v>9268.2783000000018</v>
      </c>
      <c r="W484" s="407">
        <v>89208.55829999999</v>
      </c>
      <c r="X484" s="407">
        <v>57611.597990000009</v>
      </c>
      <c r="Y484" s="407">
        <v>0</v>
      </c>
      <c r="Z484" s="407">
        <v>1961.8808416525221</v>
      </c>
      <c r="AA484" s="407">
        <v>0</v>
      </c>
      <c r="AB484" s="407">
        <v>0</v>
      </c>
      <c r="AC484" s="407">
        <v>0</v>
      </c>
      <c r="AD484" s="407">
        <v>17972.872804850485</v>
      </c>
      <c r="AE484" s="407">
        <v>61965.112641339554</v>
      </c>
      <c r="AF484" s="407">
        <v>5612.3015504733239</v>
      </c>
      <c r="AG484" s="407">
        <v>188.55860024761066</v>
      </c>
      <c r="AH484" s="407">
        <v>0</v>
      </c>
      <c r="AI484" s="407">
        <v>0</v>
      </c>
      <c r="AJ484" s="407">
        <v>0</v>
      </c>
      <c r="AK484" s="407">
        <v>0</v>
      </c>
      <c r="AL484" s="407">
        <v>348.46307815815544</v>
      </c>
      <c r="AM484" s="407"/>
      <c r="AN484" s="407">
        <v>39.072084103494483</v>
      </c>
      <c r="AO484" s="407">
        <v>0</v>
      </c>
      <c r="AP484" s="407">
        <v>0</v>
      </c>
      <c r="AQ484" s="407">
        <v>0</v>
      </c>
      <c r="AR484" s="407">
        <v>0</v>
      </c>
      <c r="AS484" s="407">
        <v>0</v>
      </c>
      <c r="AT484" s="407">
        <v>0</v>
      </c>
      <c r="AU484" s="407">
        <v>0</v>
      </c>
      <c r="AV484" s="407">
        <v>0</v>
      </c>
      <c r="AW484" s="407">
        <v>0</v>
      </c>
      <c r="AX484" s="407">
        <v>0</v>
      </c>
      <c r="AY484" s="407">
        <v>0</v>
      </c>
      <c r="AZ484" s="407">
        <v>0</v>
      </c>
      <c r="BA484" s="407"/>
      <c r="BB484" s="407">
        <v>0</v>
      </c>
      <c r="BC484" s="407">
        <v>0</v>
      </c>
      <c r="BD484" s="407">
        <v>0</v>
      </c>
      <c r="BE484" s="407">
        <v>0</v>
      </c>
      <c r="BF484" s="407">
        <v>0</v>
      </c>
      <c r="BG484" s="407">
        <v>188.85433804746151</v>
      </c>
      <c r="BH484" s="407">
        <v>0</v>
      </c>
      <c r="BI484" s="407">
        <v>0</v>
      </c>
      <c r="BJ484" s="407">
        <v>0</v>
      </c>
      <c r="BK484" s="407">
        <v>0</v>
      </c>
      <c r="BL484" s="407">
        <v>0</v>
      </c>
      <c r="BM484" s="407"/>
      <c r="BN484" s="407"/>
      <c r="BO484" s="407"/>
      <c r="BP484" s="407"/>
      <c r="BQ484" s="407">
        <v>3456.6958794000016</v>
      </c>
      <c r="BR484" s="407"/>
      <c r="BS484" s="407"/>
      <c r="BT484" s="407"/>
      <c r="BU484" s="407"/>
      <c r="BV484" s="407">
        <v>5801.1558885207851</v>
      </c>
      <c r="BW484" s="407"/>
      <c r="BX484" s="407"/>
      <c r="BY484" s="407"/>
      <c r="BZ484" s="407"/>
      <c r="CA484" s="407"/>
      <c r="CB484" s="407"/>
      <c r="CC484" s="407"/>
      <c r="CD484" s="407"/>
      <c r="CE484" s="407"/>
      <c r="CF484" s="407"/>
      <c r="CG484" s="407"/>
      <c r="CH484" s="407"/>
      <c r="CI484" s="407">
        <v>54156.103899999995</v>
      </c>
      <c r="CJ484" s="407">
        <v>-29699.970901999979</v>
      </c>
      <c r="CK484" s="407"/>
      <c r="CL484" s="407"/>
      <c r="CM484" s="407"/>
      <c r="CN484" s="407"/>
      <c r="CO484" s="407">
        <v>-32596.566139999995</v>
      </c>
      <c r="CP484" s="407">
        <v>999.60583000000008</v>
      </c>
      <c r="CQ484" s="407">
        <v>29</v>
      </c>
      <c r="CR484" s="407">
        <v>59.184551729755185</v>
      </c>
      <c r="CS484" s="407">
        <v>0</v>
      </c>
      <c r="CT484" s="407">
        <v>0</v>
      </c>
      <c r="CU484" s="407">
        <v>0</v>
      </c>
      <c r="CV484" s="407">
        <v>0</v>
      </c>
      <c r="CW484" s="407">
        <v>0</v>
      </c>
      <c r="CX484" s="407">
        <v>0</v>
      </c>
      <c r="CY484" s="407">
        <v>0</v>
      </c>
      <c r="CZ484" s="407">
        <v>811.87030138765112</v>
      </c>
      <c r="DA484" s="407">
        <v>0</v>
      </c>
      <c r="DB484" s="407">
        <v>0</v>
      </c>
      <c r="DC484" s="407">
        <v>1112.7678381299293</v>
      </c>
      <c r="DD484" s="407">
        <v>0</v>
      </c>
      <c r="DE484" s="407">
        <v>0</v>
      </c>
      <c r="DF484" s="407">
        <v>0</v>
      </c>
      <c r="DG484" s="407">
        <v>37.444715252837682</v>
      </c>
      <c r="DH484" s="407">
        <v>0</v>
      </c>
      <c r="DI484" s="407">
        <v>-137.41400444313535</v>
      </c>
      <c r="DJ484" s="407"/>
      <c r="DK484" s="407">
        <v>0</v>
      </c>
      <c r="DL484" s="407">
        <v>0</v>
      </c>
      <c r="DM484" s="407">
        <v>0</v>
      </c>
      <c r="DN484" s="407">
        <v>0</v>
      </c>
      <c r="DO484" s="407">
        <v>-21.26021220254728</v>
      </c>
      <c r="DP484" s="407">
        <v>-2.4895788711333395</v>
      </c>
      <c r="DQ484" s="407">
        <v>0</v>
      </c>
      <c r="DR484" s="407">
        <v>-1741.7345075238529</v>
      </c>
      <c r="DS484" s="407"/>
      <c r="DT484" s="407"/>
      <c r="DU484" s="407">
        <v>61965.112641339554</v>
      </c>
      <c r="DV484" s="407">
        <v>0</v>
      </c>
      <c r="DW484" s="407">
        <v>0</v>
      </c>
      <c r="DX484" s="407">
        <v>0</v>
      </c>
      <c r="DY484" s="407">
        <v>-32596.566139999988</v>
      </c>
      <c r="DZ484" s="407">
        <v>999.60582999999951</v>
      </c>
      <c r="EA484" s="407">
        <v>0</v>
      </c>
      <c r="EB484" s="407">
        <v>0</v>
      </c>
      <c r="EC484" s="407">
        <v>-31651.923458814021</v>
      </c>
      <c r="ED484" s="407">
        <v>0</v>
      </c>
      <c r="EE484" s="407">
        <v>0</v>
      </c>
      <c r="EF484" s="407">
        <v>0</v>
      </c>
      <c r="EG484" s="407">
        <v>0</v>
      </c>
      <c r="EH484" s="407">
        <v>0</v>
      </c>
      <c r="EI484" s="407">
        <v>0</v>
      </c>
      <c r="EJ484" s="407">
        <v>0</v>
      </c>
      <c r="EK484" s="407">
        <v>0</v>
      </c>
      <c r="EL484" s="407">
        <v>0</v>
      </c>
      <c r="EM484" s="407">
        <v>0</v>
      </c>
      <c r="EN484" s="407">
        <v>0</v>
      </c>
      <c r="EO484" s="407">
        <v>0</v>
      </c>
      <c r="EP484" s="407">
        <v>929.30787706167905</v>
      </c>
      <c r="EQ484" s="407">
        <v>0</v>
      </c>
      <c r="ER484" s="407">
        <v>0</v>
      </c>
      <c r="ES484" s="407">
        <v>0</v>
      </c>
      <c r="ET484" s="407">
        <v>0</v>
      </c>
      <c r="EU484" s="407">
        <v>0</v>
      </c>
      <c r="EV484" s="407">
        <v>246</v>
      </c>
      <c r="EW484" s="407">
        <v>0</v>
      </c>
      <c r="EX484" s="407">
        <v>0</v>
      </c>
      <c r="EY484" s="407">
        <v>0</v>
      </c>
      <c r="EZ484" s="407"/>
      <c r="FA484" s="407">
        <v>0</v>
      </c>
      <c r="FB484" s="407"/>
      <c r="FC484" s="407"/>
      <c r="FD484" s="407"/>
      <c r="FE484" s="407"/>
      <c r="FF484" s="407">
        <v>0</v>
      </c>
      <c r="FG484" s="407">
        <v>0</v>
      </c>
      <c r="FH484" s="407">
        <v>0</v>
      </c>
      <c r="FI484" s="407">
        <v>0</v>
      </c>
    </row>
    <row r="485" spans="1:165">
      <c r="A485" s="407">
        <v>503</v>
      </c>
      <c r="B485" s="407" t="s">
        <v>1090</v>
      </c>
      <c r="C485" s="407" t="s">
        <v>2317</v>
      </c>
      <c r="D485" s="407" t="s">
        <v>650</v>
      </c>
      <c r="E485" s="407" t="s">
        <v>1052</v>
      </c>
      <c r="F485" s="407" t="s">
        <v>2321</v>
      </c>
      <c r="G485" s="407" t="s">
        <v>97</v>
      </c>
      <c r="H485" s="407" t="s">
        <v>97</v>
      </c>
      <c r="I485" s="407" t="s">
        <v>2290</v>
      </c>
      <c r="J485" s="407" t="s">
        <v>2307</v>
      </c>
      <c r="K485" s="818">
        <v>44593</v>
      </c>
      <c r="L485" s="407">
        <v>718</v>
      </c>
      <c r="M485" s="407">
        <v>674.92</v>
      </c>
      <c r="N485" s="407">
        <v>362.286</v>
      </c>
      <c r="O485" s="407">
        <v>340.54883999999998</v>
      </c>
      <c r="P485" s="407">
        <v>362.286</v>
      </c>
      <c r="Q485" s="407">
        <v>340.54883999999998</v>
      </c>
      <c r="R485" s="407">
        <v>43.29</v>
      </c>
      <c r="S485" s="407">
        <v>95.29</v>
      </c>
      <c r="T485" s="407">
        <v>159.41</v>
      </c>
      <c r="U485" s="407">
        <v>31082.22</v>
      </c>
      <c r="V485" s="407">
        <v>92274.244200000001</v>
      </c>
      <c r="W485" s="407">
        <v>123356.4642</v>
      </c>
      <c r="X485" s="407">
        <v>124366.43625999999</v>
      </c>
      <c r="Y485" s="407">
        <v>0</v>
      </c>
      <c r="Z485" s="407">
        <v>19532.330171176058</v>
      </c>
      <c r="AA485" s="407">
        <v>0</v>
      </c>
      <c r="AB485" s="407">
        <v>0</v>
      </c>
      <c r="AC485" s="407">
        <v>0</v>
      </c>
      <c r="AD485" s="407">
        <v>16990.742779758486</v>
      </c>
      <c r="AE485" s="407">
        <v>14093.756340938808</v>
      </c>
      <c r="AF485" s="407">
        <v>55875.629435125404</v>
      </c>
      <c r="AG485" s="407">
        <v>1877.2744799061768</v>
      </c>
      <c r="AH485" s="407">
        <v>0</v>
      </c>
      <c r="AI485" s="407">
        <v>0</v>
      </c>
      <c r="AJ485" s="407">
        <v>0</v>
      </c>
      <c r="AK485" s="407">
        <v>0</v>
      </c>
      <c r="AL485" s="407">
        <v>3469.2707887989636</v>
      </c>
      <c r="AM485" s="407"/>
      <c r="AN485" s="407">
        <v>388.99857268731211</v>
      </c>
      <c r="AO485" s="407">
        <v>0</v>
      </c>
      <c r="AP485" s="407">
        <v>0</v>
      </c>
      <c r="AQ485" s="407">
        <v>0</v>
      </c>
      <c r="AR485" s="407">
        <v>0</v>
      </c>
      <c r="AS485" s="407">
        <v>0</v>
      </c>
      <c r="AT485" s="407">
        <v>0</v>
      </c>
      <c r="AU485" s="407">
        <v>0</v>
      </c>
      <c r="AV485" s="407">
        <v>0</v>
      </c>
      <c r="AW485" s="407">
        <v>0</v>
      </c>
      <c r="AX485" s="407">
        <v>0</v>
      </c>
      <c r="AY485" s="407">
        <v>0</v>
      </c>
      <c r="AZ485" s="407">
        <v>0</v>
      </c>
      <c r="BA485" s="407"/>
      <c r="BB485" s="407">
        <v>0</v>
      </c>
      <c r="BC485" s="407">
        <v>0</v>
      </c>
      <c r="BD485" s="407">
        <v>0</v>
      </c>
      <c r="BE485" s="407">
        <v>0</v>
      </c>
      <c r="BF485" s="407">
        <v>0</v>
      </c>
      <c r="BG485" s="407">
        <v>1880.2188220028754</v>
      </c>
      <c r="BH485" s="407">
        <v>0</v>
      </c>
      <c r="BI485" s="407">
        <v>0</v>
      </c>
      <c r="BJ485" s="407">
        <v>0</v>
      </c>
      <c r="BK485" s="407">
        <v>0</v>
      </c>
      <c r="BL485" s="407">
        <v>0</v>
      </c>
      <c r="BM485" s="407"/>
      <c r="BN485" s="407"/>
      <c r="BO485" s="407"/>
      <c r="BP485" s="407"/>
      <c r="BQ485" s="407">
        <v>7461.9861756000064</v>
      </c>
      <c r="BR485" s="407"/>
      <c r="BS485" s="407"/>
      <c r="BT485" s="407"/>
      <c r="BU485" s="407"/>
      <c r="BV485" s="407">
        <v>57755.84825712828</v>
      </c>
      <c r="BW485" s="407"/>
      <c r="BX485" s="407"/>
      <c r="BY485" s="407"/>
      <c r="BZ485" s="407"/>
      <c r="CA485" s="407"/>
      <c r="CB485" s="407"/>
      <c r="CC485" s="407"/>
      <c r="CD485" s="407"/>
      <c r="CE485" s="407"/>
      <c r="CF485" s="407"/>
      <c r="CG485" s="407"/>
      <c r="CH485" s="407"/>
      <c r="CI485" s="407">
        <v>116904.77130000001</v>
      </c>
      <c r="CJ485" s="407">
        <v>949.664952000021</v>
      </c>
      <c r="CK485" s="407"/>
      <c r="CL485" s="407"/>
      <c r="CM485" s="407"/>
      <c r="CN485" s="407"/>
      <c r="CO485" s="407">
        <v>-8942.0243599999994</v>
      </c>
      <c r="CP485" s="407">
        <v>9951.9964199999995</v>
      </c>
      <c r="CQ485" s="407">
        <v>29</v>
      </c>
      <c r="CR485" s="407">
        <v>8205.8149341472163</v>
      </c>
      <c r="CS485" s="407">
        <v>0</v>
      </c>
      <c r="CT485" s="407">
        <v>0</v>
      </c>
      <c r="CU485" s="407">
        <v>0</v>
      </c>
      <c r="CV485" s="407">
        <v>0</v>
      </c>
      <c r="CW485" s="407">
        <v>0</v>
      </c>
      <c r="CX485" s="407">
        <v>0</v>
      </c>
      <c r="CY485" s="407">
        <v>0</v>
      </c>
      <c r="CZ485" s="407">
        <v>767.5055407769396</v>
      </c>
      <c r="DA485" s="407">
        <v>0</v>
      </c>
      <c r="DB485" s="407">
        <v>0</v>
      </c>
      <c r="DC485" s="407">
        <v>11078.628404318326</v>
      </c>
      <c r="DD485" s="407">
        <v>0</v>
      </c>
      <c r="DE485" s="407">
        <v>0</v>
      </c>
      <c r="DF485" s="407">
        <v>0</v>
      </c>
      <c r="DG485" s="407">
        <v>372.79661738683558</v>
      </c>
      <c r="DH485" s="407">
        <v>0</v>
      </c>
      <c r="DI485" s="407">
        <v>-1368.0829375274334</v>
      </c>
      <c r="DJ485" s="407"/>
      <c r="DK485" s="407">
        <v>0</v>
      </c>
      <c r="DL485" s="407">
        <v>0</v>
      </c>
      <c r="DM485" s="407">
        <v>0</v>
      </c>
      <c r="DN485" s="407">
        <v>0</v>
      </c>
      <c r="DO485" s="407">
        <v>-211.66498771639908</v>
      </c>
      <c r="DP485" s="407">
        <v>-24.786049930127547</v>
      </c>
      <c r="DQ485" s="407">
        <v>0</v>
      </c>
      <c r="DR485" s="407">
        <v>-2408.5816531609098</v>
      </c>
      <c r="DS485" s="407"/>
      <c r="DT485" s="407"/>
      <c r="DU485" s="407">
        <v>14093.756340938808</v>
      </c>
      <c r="DV485" s="407">
        <v>0</v>
      </c>
      <c r="DW485" s="407">
        <v>0</v>
      </c>
      <c r="DX485" s="407">
        <v>0</v>
      </c>
      <c r="DY485" s="407">
        <v>-8942.0243600000031</v>
      </c>
      <c r="DZ485" s="407">
        <v>9951.9964199999959</v>
      </c>
      <c r="EA485" s="407">
        <v>0</v>
      </c>
      <c r="EB485" s="407">
        <v>0</v>
      </c>
      <c r="EC485" s="407">
        <v>-7199.1234734391937</v>
      </c>
      <c r="ED485" s="407">
        <v>0</v>
      </c>
      <c r="EE485" s="407">
        <v>0</v>
      </c>
      <c r="EF485" s="407">
        <v>0</v>
      </c>
      <c r="EG485" s="407">
        <v>0</v>
      </c>
      <c r="EH485" s="407">
        <v>0</v>
      </c>
      <c r="EI485" s="407">
        <v>0</v>
      </c>
      <c r="EJ485" s="407">
        <v>0</v>
      </c>
      <c r="EK485" s="407">
        <v>0</v>
      </c>
      <c r="EL485" s="407">
        <v>0</v>
      </c>
      <c r="EM485" s="407">
        <v>0</v>
      </c>
      <c r="EN485" s="407">
        <v>0</v>
      </c>
      <c r="EO485" s="407">
        <v>0</v>
      </c>
      <c r="EP485" s="407">
        <v>9252.1155719906401</v>
      </c>
      <c r="EQ485" s="407">
        <v>0</v>
      </c>
      <c r="ER485" s="407">
        <v>0</v>
      </c>
      <c r="ES485" s="407">
        <v>0</v>
      </c>
      <c r="ET485" s="407">
        <v>0</v>
      </c>
      <c r="EU485" s="407">
        <v>0</v>
      </c>
      <c r="EV485" s="407">
        <v>246</v>
      </c>
      <c r="EW485" s="407">
        <v>0</v>
      </c>
      <c r="EX485" s="407">
        <v>0</v>
      </c>
      <c r="EY485" s="407">
        <v>0</v>
      </c>
      <c r="EZ485" s="407"/>
      <c r="FA485" s="407">
        <v>0</v>
      </c>
      <c r="FB485" s="407"/>
      <c r="FC485" s="407"/>
      <c r="FD485" s="407"/>
      <c r="FE485" s="407"/>
      <c r="FF485" s="407">
        <v>0</v>
      </c>
      <c r="FG485" s="407">
        <v>0</v>
      </c>
      <c r="FH485" s="407">
        <v>0</v>
      </c>
      <c r="FI485" s="407">
        <v>0</v>
      </c>
    </row>
    <row r="486" spans="1:165">
      <c r="A486" s="407">
        <v>504</v>
      </c>
      <c r="B486" s="407" t="s">
        <v>1090</v>
      </c>
      <c r="C486" s="407" t="s">
        <v>2317</v>
      </c>
      <c r="D486" s="407" t="s">
        <v>650</v>
      </c>
      <c r="E486" s="407" t="s">
        <v>1052</v>
      </c>
      <c r="F486" s="407" t="s">
        <v>2321</v>
      </c>
      <c r="G486" s="407" t="s">
        <v>97</v>
      </c>
      <c r="H486" s="407" t="s">
        <v>97</v>
      </c>
      <c r="I486" s="407" t="s">
        <v>97</v>
      </c>
      <c r="J486" s="407" t="s">
        <v>2307</v>
      </c>
      <c r="K486" s="818">
        <v>44593</v>
      </c>
      <c r="L486" s="407">
        <v>0</v>
      </c>
      <c r="M486" s="407">
        <v>0</v>
      </c>
      <c r="N486" s="407">
        <v>0</v>
      </c>
      <c r="O486" s="407">
        <v>0</v>
      </c>
      <c r="P486" s="407">
        <v>0</v>
      </c>
      <c r="Q486" s="407">
        <v>0</v>
      </c>
      <c r="R486" s="407"/>
      <c r="S486" s="407"/>
      <c r="T486" s="407"/>
      <c r="U486" s="407"/>
      <c r="V486" s="407"/>
      <c r="W486" s="407"/>
      <c r="X486" s="407"/>
      <c r="Y486" s="407"/>
      <c r="Z486" s="407"/>
      <c r="AA486" s="407">
        <v>0</v>
      </c>
      <c r="AB486" s="407"/>
      <c r="AC486" s="407"/>
      <c r="AD486" s="407"/>
      <c r="AE486" s="407"/>
      <c r="AF486" s="407"/>
      <c r="AG486" s="407"/>
      <c r="AH486" s="407"/>
      <c r="AI486" s="407"/>
      <c r="AJ486" s="407"/>
      <c r="AK486" s="407"/>
      <c r="AL486" s="407"/>
      <c r="AM486" s="407"/>
      <c r="AN486" s="407"/>
      <c r="AO486" s="407"/>
      <c r="AP486" s="407"/>
      <c r="AQ486" s="407"/>
      <c r="AR486" s="407"/>
      <c r="AS486" s="407"/>
      <c r="AT486" s="407"/>
      <c r="AU486" s="407"/>
      <c r="AV486" s="407"/>
      <c r="AW486" s="407"/>
      <c r="AX486" s="407"/>
      <c r="AY486" s="407"/>
      <c r="AZ486" s="407">
        <v>0</v>
      </c>
      <c r="BA486" s="407"/>
      <c r="BB486" s="407"/>
      <c r="BC486" s="407"/>
      <c r="BD486" s="407"/>
      <c r="BE486" s="407"/>
      <c r="BF486" s="407"/>
      <c r="BG486" s="407"/>
      <c r="BH486" s="407"/>
      <c r="BI486" s="407">
        <v>367.39</v>
      </c>
      <c r="BJ486" s="407">
        <v>1584.41</v>
      </c>
      <c r="BK486" s="407">
        <v>77437.64</v>
      </c>
      <c r="BL486" s="407">
        <v>3</v>
      </c>
      <c r="BM486" s="407"/>
      <c r="BN486" s="407"/>
      <c r="BO486" s="407"/>
      <c r="BP486" s="407"/>
      <c r="BQ486" s="407"/>
      <c r="BR486" s="407"/>
      <c r="BS486" s="407"/>
      <c r="BT486" s="407"/>
      <c r="BU486" s="407"/>
      <c r="BV486" s="407"/>
      <c r="BW486" s="407"/>
      <c r="BX486" s="407"/>
      <c r="BY486" s="407"/>
      <c r="BZ486" s="407"/>
      <c r="CA486" s="407"/>
      <c r="CB486" s="407"/>
      <c r="CC486" s="407"/>
      <c r="CD486" s="407"/>
      <c r="CE486" s="407"/>
      <c r="CF486" s="407"/>
      <c r="CG486" s="407"/>
      <c r="CH486" s="407"/>
      <c r="CI486" s="407"/>
      <c r="CJ486" s="407">
        <v>-0.03</v>
      </c>
      <c r="CK486" s="407"/>
      <c r="CL486" s="407"/>
      <c r="CM486" s="407"/>
      <c r="CN486" s="407"/>
      <c r="CO486" s="407">
        <v>0</v>
      </c>
      <c r="CP486" s="407">
        <v>0</v>
      </c>
      <c r="CQ486" s="407">
        <v>29</v>
      </c>
      <c r="CR486" s="407"/>
      <c r="CS486" s="407"/>
      <c r="CT486" s="407"/>
      <c r="CU486" s="407"/>
      <c r="CV486" s="407"/>
      <c r="CW486" s="407"/>
      <c r="CX486" s="407"/>
      <c r="CY486" s="407"/>
      <c r="CZ486" s="407"/>
      <c r="DA486" s="407"/>
      <c r="DB486" s="407"/>
      <c r="DC486" s="407"/>
      <c r="DD486" s="407"/>
      <c r="DE486" s="407"/>
      <c r="DF486" s="407"/>
      <c r="DG486" s="407"/>
      <c r="DH486" s="407"/>
      <c r="DI486" s="407"/>
      <c r="DJ486" s="407"/>
      <c r="DK486" s="407">
        <v>0</v>
      </c>
      <c r="DL486" s="407"/>
      <c r="DM486" s="407"/>
      <c r="DN486" s="407"/>
      <c r="DO486" s="407"/>
      <c r="DP486" s="407"/>
      <c r="DQ486" s="407"/>
      <c r="DR486" s="407"/>
      <c r="DS486" s="407"/>
      <c r="DT486" s="407"/>
      <c r="DU486" s="407"/>
      <c r="DV486" s="407"/>
      <c r="DW486" s="407"/>
      <c r="DX486" s="407"/>
      <c r="DY486" s="407"/>
      <c r="DZ486" s="407"/>
      <c r="EA486" s="407"/>
      <c r="EB486" s="407"/>
      <c r="EC486" s="407"/>
      <c r="ED486" s="407"/>
      <c r="EE486" s="407"/>
      <c r="EF486" s="407"/>
      <c r="EG486" s="407"/>
      <c r="EH486" s="407"/>
      <c r="EI486" s="407"/>
      <c r="EJ486" s="407"/>
      <c r="EK486" s="407"/>
      <c r="EL486" s="407"/>
      <c r="EM486" s="407"/>
      <c r="EN486" s="407"/>
      <c r="EO486" s="407"/>
      <c r="EP486" s="407"/>
      <c r="EQ486" s="407"/>
      <c r="ER486" s="407"/>
      <c r="ES486" s="407"/>
      <c r="ET486" s="407"/>
      <c r="EU486" s="407"/>
      <c r="EV486" s="407">
        <v>246</v>
      </c>
      <c r="EW486" s="407"/>
      <c r="EX486" s="407"/>
      <c r="EY486" s="407"/>
      <c r="EZ486" s="407"/>
      <c r="FA486" s="407">
        <v>0</v>
      </c>
      <c r="FB486" s="407"/>
      <c r="FC486" s="407"/>
      <c r="FD486" s="407"/>
      <c r="FE486" s="407"/>
      <c r="FF486" s="407">
        <v>0</v>
      </c>
      <c r="FG486" s="407">
        <v>0</v>
      </c>
      <c r="FH486" s="407">
        <v>0</v>
      </c>
      <c r="FI486" s="407">
        <v>0</v>
      </c>
    </row>
    <row r="487" spans="1:165">
      <c r="A487" s="407">
        <v>505</v>
      </c>
      <c r="B487" s="407" t="s">
        <v>1090</v>
      </c>
      <c r="C487" s="407" t="s">
        <v>2306</v>
      </c>
      <c r="D487" s="407" t="s">
        <v>1219</v>
      </c>
      <c r="E487" s="407" t="s">
        <v>2322</v>
      </c>
      <c r="F487" s="407" t="s">
        <v>97</v>
      </c>
      <c r="G487" s="407" t="s">
        <v>97</v>
      </c>
      <c r="H487" s="407" t="s">
        <v>97</v>
      </c>
      <c r="I487" s="407" t="s">
        <v>97</v>
      </c>
      <c r="J487" s="407" t="s">
        <v>2307</v>
      </c>
      <c r="K487" s="818">
        <v>44593</v>
      </c>
      <c r="L487" s="407">
        <v>0</v>
      </c>
      <c r="M487" s="407">
        <v>0</v>
      </c>
      <c r="N487" s="407">
        <v>4.6180000000000003</v>
      </c>
      <c r="O487" s="407">
        <v>4.6180000000000003</v>
      </c>
      <c r="P487" s="407">
        <v>4.6180000000000003</v>
      </c>
      <c r="Q487" s="407">
        <v>4.6180000000000003</v>
      </c>
      <c r="R487" s="407"/>
      <c r="S487" s="407">
        <v>648.44000000000005</v>
      </c>
      <c r="T487" s="407">
        <v>159.41</v>
      </c>
      <c r="U487" s="407"/>
      <c r="V487" s="407">
        <v>3730.6513000000004</v>
      </c>
      <c r="W487" s="407">
        <v>3730.6513000000004</v>
      </c>
      <c r="X487" s="407">
        <v>2825.3847599999999</v>
      </c>
      <c r="Y487" s="407">
        <v>0</v>
      </c>
      <c r="Z487" s="407">
        <v>286.17861740937099</v>
      </c>
      <c r="AA487" s="407">
        <v>0</v>
      </c>
      <c r="AB487" s="407">
        <v>0</v>
      </c>
      <c r="AC487" s="407">
        <v>0</v>
      </c>
      <c r="AD487" s="407">
        <v>538.66396024662811</v>
      </c>
      <c r="AE487" s="407">
        <v>1928.2273854547218</v>
      </c>
      <c r="AF487" s="407">
        <v>712.23744978113734</v>
      </c>
      <c r="AG487" s="407">
        <v>23.929308745595261</v>
      </c>
      <c r="AH487" s="407">
        <v>0</v>
      </c>
      <c r="AI487" s="407">
        <v>0</v>
      </c>
      <c r="AJ487" s="407">
        <v>0</v>
      </c>
      <c r="AK487" s="407">
        <v>0</v>
      </c>
      <c r="AL487" s="407">
        <v>44.222223609727159</v>
      </c>
      <c r="AM487" s="407"/>
      <c r="AN487" s="407">
        <v>9.582791667729067</v>
      </c>
      <c r="AO487" s="407">
        <v>0</v>
      </c>
      <c r="AP487" s="407">
        <v>0</v>
      </c>
      <c r="AQ487" s="407">
        <v>0</v>
      </c>
      <c r="AR487" s="407">
        <v>0</v>
      </c>
      <c r="AS487" s="407">
        <v>0</v>
      </c>
      <c r="AT487" s="407">
        <v>0</v>
      </c>
      <c r="AU487" s="407">
        <v>0</v>
      </c>
      <c r="AV487" s="407">
        <v>0</v>
      </c>
      <c r="AW487" s="407">
        <v>0</v>
      </c>
      <c r="AX487" s="407">
        <v>0</v>
      </c>
      <c r="AY487" s="407">
        <v>0</v>
      </c>
      <c r="AZ487" s="407">
        <v>0</v>
      </c>
      <c r="BA487" s="407"/>
      <c r="BB487" s="407">
        <v>0</v>
      </c>
      <c r="BC487" s="407">
        <v>0</v>
      </c>
      <c r="BD487" s="407">
        <v>0</v>
      </c>
      <c r="BE487" s="407">
        <v>0</v>
      </c>
      <c r="BF487" s="407">
        <v>0</v>
      </c>
      <c r="BG487" s="407">
        <v>52.062283236015304</v>
      </c>
      <c r="BH487" s="407">
        <v>0</v>
      </c>
      <c r="BI487" s="407">
        <v>5.6</v>
      </c>
      <c r="BJ487" s="407">
        <v>24.23</v>
      </c>
      <c r="BK487" s="407">
        <v>1170.29</v>
      </c>
      <c r="BL487" s="407">
        <v>5</v>
      </c>
      <c r="BM487" s="407"/>
      <c r="BN487" s="407"/>
      <c r="BO487" s="407"/>
      <c r="BP487" s="407"/>
      <c r="BQ487" s="407"/>
      <c r="BR487" s="407"/>
      <c r="BS487" s="407"/>
      <c r="BT487" s="407"/>
      <c r="BU487" s="407"/>
      <c r="BV487" s="407">
        <v>764.29973301715268</v>
      </c>
      <c r="BW487" s="407"/>
      <c r="BX487" s="407"/>
      <c r="BY487" s="407"/>
      <c r="BZ487" s="407"/>
      <c r="CA487" s="407"/>
      <c r="CB487" s="407"/>
      <c r="CC487" s="407"/>
      <c r="CD487" s="407"/>
      <c r="CE487" s="407"/>
      <c r="CF487" s="407"/>
      <c r="CG487" s="407"/>
      <c r="CH487" s="407"/>
      <c r="CI487" s="407">
        <v>2826.6084000000001</v>
      </c>
      <c r="CJ487" s="407">
        <v>-904.07290000000103</v>
      </c>
      <c r="CK487" s="407"/>
      <c r="CL487" s="407"/>
      <c r="CM487" s="407"/>
      <c r="CN487" s="407"/>
      <c r="CO487" s="407">
        <v>-1032.1230000000003</v>
      </c>
      <c r="CP487" s="407">
        <v>126.85646</v>
      </c>
      <c r="CQ487" s="407">
        <v>29</v>
      </c>
      <c r="CR487" s="407">
        <v>79.679055196310628</v>
      </c>
      <c r="CS487" s="407">
        <v>0</v>
      </c>
      <c r="CT487" s="407">
        <v>0</v>
      </c>
      <c r="CU487" s="407">
        <v>0</v>
      </c>
      <c r="CV487" s="407">
        <v>0</v>
      </c>
      <c r="CW487" s="407">
        <v>0</v>
      </c>
      <c r="CX487" s="407">
        <v>0</v>
      </c>
      <c r="CY487" s="407">
        <v>0</v>
      </c>
      <c r="CZ487" s="407">
        <v>24.332519152645773</v>
      </c>
      <c r="DA487" s="407">
        <v>0</v>
      </c>
      <c r="DB487" s="407">
        <v>0</v>
      </c>
      <c r="DC487" s="407">
        <v>141.21745243024031</v>
      </c>
      <c r="DD487" s="407">
        <v>0</v>
      </c>
      <c r="DE487" s="407">
        <v>0</v>
      </c>
      <c r="DF487" s="407">
        <v>0</v>
      </c>
      <c r="DG487" s="407">
        <v>10.322544831854799</v>
      </c>
      <c r="DH487" s="407">
        <v>0</v>
      </c>
      <c r="DI487" s="407">
        <v>-20.044514921251448</v>
      </c>
      <c r="DJ487" s="407"/>
      <c r="DK487" s="407">
        <v>0</v>
      </c>
      <c r="DL487" s="407">
        <v>0</v>
      </c>
      <c r="DM487" s="407">
        <v>0</v>
      </c>
      <c r="DN487" s="407">
        <v>0</v>
      </c>
      <c r="DO487" s="407">
        <v>-2.698058752682492</v>
      </c>
      <c r="DP487" s="407">
        <v>-0.61059235026367098</v>
      </c>
      <c r="DQ487" s="407">
        <v>0</v>
      </c>
      <c r="DR487" s="407">
        <v>-72.840295194232795</v>
      </c>
      <c r="DS487" s="407"/>
      <c r="DT487" s="407"/>
      <c r="DU487" s="407"/>
      <c r="DV487" s="407">
        <v>1928.2273854547218</v>
      </c>
      <c r="DW487" s="407">
        <v>0</v>
      </c>
      <c r="DX487" s="407">
        <v>0</v>
      </c>
      <c r="DY487" s="407">
        <v>-1032.1230000000003</v>
      </c>
      <c r="DZ487" s="407">
        <v>126.85645999999997</v>
      </c>
      <c r="EA487" s="407">
        <v>0</v>
      </c>
      <c r="EB487" s="407">
        <v>0</v>
      </c>
      <c r="EC487" s="407">
        <v>-984.94302703623146</v>
      </c>
      <c r="ED487" s="407">
        <v>0</v>
      </c>
      <c r="EE487" s="407">
        <v>0</v>
      </c>
      <c r="EF487" s="407">
        <v>0</v>
      </c>
      <c r="EG487" s="407">
        <v>0</v>
      </c>
      <c r="EH487" s="407">
        <v>0</v>
      </c>
      <c r="EI487" s="407">
        <v>0</v>
      </c>
      <c r="EJ487" s="407">
        <v>0</v>
      </c>
      <c r="EK487" s="407">
        <v>0</v>
      </c>
      <c r="EL487" s="407">
        <v>0</v>
      </c>
      <c r="EM487" s="407">
        <v>0</v>
      </c>
      <c r="EN487" s="407">
        <v>0</v>
      </c>
      <c r="EO487" s="407">
        <v>0</v>
      </c>
      <c r="EP487" s="407">
        <v>135.5576943098832</v>
      </c>
      <c r="EQ487" s="407">
        <v>0</v>
      </c>
      <c r="ER487" s="407">
        <v>0</v>
      </c>
      <c r="ES487" s="407">
        <v>0</v>
      </c>
      <c r="ET487" s="407">
        <v>0</v>
      </c>
      <c r="EU487" s="407">
        <v>0</v>
      </c>
      <c r="EV487" s="407">
        <v>246</v>
      </c>
      <c r="EW487" s="407">
        <v>0</v>
      </c>
      <c r="EX487" s="407">
        <v>0</v>
      </c>
      <c r="EY487" s="407">
        <v>0</v>
      </c>
      <c r="EZ487" s="407"/>
      <c r="FA487" s="407">
        <v>0</v>
      </c>
      <c r="FB487" s="407"/>
      <c r="FC487" s="407"/>
      <c r="FD487" s="407"/>
      <c r="FE487" s="407"/>
      <c r="FF487" s="407">
        <v>0</v>
      </c>
      <c r="FG487" s="407">
        <v>0</v>
      </c>
      <c r="FH487" s="407">
        <v>0</v>
      </c>
      <c r="FI487" s="407">
        <v>0</v>
      </c>
    </row>
    <row r="488" spans="1:165">
      <c r="A488" s="407">
        <v>506</v>
      </c>
      <c r="B488" s="407" t="s">
        <v>1090</v>
      </c>
      <c r="C488" s="407" t="s">
        <v>2306</v>
      </c>
      <c r="D488" s="407" t="s">
        <v>2315</v>
      </c>
      <c r="E488" s="407" t="s">
        <v>1026</v>
      </c>
      <c r="F488" s="407" t="s">
        <v>2323</v>
      </c>
      <c r="G488" s="407" t="s">
        <v>2324</v>
      </c>
      <c r="H488" s="407" t="s">
        <v>97</v>
      </c>
      <c r="I488" s="407" t="s">
        <v>97</v>
      </c>
      <c r="J488" s="407" t="s">
        <v>2307</v>
      </c>
      <c r="K488" s="818">
        <v>44593</v>
      </c>
      <c r="L488" s="407">
        <v>0</v>
      </c>
      <c r="M488" s="407">
        <v>0</v>
      </c>
      <c r="N488" s="407">
        <v>0</v>
      </c>
      <c r="O488" s="407">
        <v>0</v>
      </c>
      <c r="P488" s="407">
        <v>0</v>
      </c>
      <c r="Q488" s="407">
        <v>0</v>
      </c>
      <c r="R488" s="407"/>
      <c r="S488" s="407"/>
      <c r="T488" s="407"/>
      <c r="U488" s="407"/>
      <c r="V488" s="407"/>
      <c r="W488" s="407"/>
      <c r="X488" s="407"/>
      <c r="Y488" s="407"/>
      <c r="Z488" s="407"/>
      <c r="AA488" s="407">
        <v>0</v>
      </c>
      <c r="AB488" s="407"/>
      <c r="AC488" s="407"/>
      <c r="AD488" s="407"/>
      <c r="AE488" s="407"/>
      <c r="AF488" s="407"/>
      <c r="AG488" s="407"/>
      <c r="AH488" s="407"/>
      <c r="AI488" s="407"/>
      <c r="AJ488" s="407"/>
      <c r="AK488" s="407"/>
      <c r="AL488" s="407"/>
      <c r="AM488" s="407"/>
      <c r="AN488" s="407"/>
      <c r="AO488" s="407"/>
      <c r="AP488" s="407"/>
      <c r="AQ488" s="407"/>
      <c r="AR488" s="407"/>
      <c r="AS488" s="407"/>
      <c r="AT488" s="407"/>
      <c r="AU488" s="407"/>
      <c r="AV488" s="407"/>
      <c r="AW488" s="407"/>
      <c r="AX488" s="407"/>
      <c r="AY488" s="407"/>
      <c r="AZ488" s="407">
        <v>0</v>
      </c>
      <c r="BA488" s="407"/>
      <c r="BB488" s="407"/>
      <c r="BC488" s="407"/>
      <c r="BD488" s="407"/>
      <c r="BE488" s="407"/>
      <c r="BF488" s="407"/>
      <c r="BG488" s="407"/>
      <c r="BH488" s="407"/>
      <c r="BI488" s="407">
        <v>4076.29</v>
      </c>
      <c r="BJ488" s="407">
        <v>17579.86</v>
      </c>
      <c r="BK488" s="407">
        <v>386.42</v>
      </c>
      <c r="BL488" s="407">
        <v>39</v>
      </c>
      <c r="BM488" s="407"/>
      <c r="BN488" s="407"/>
      <c r="BO488" s="407"/>
      <c r="BP488" s="407"/>
      <c r="BQ488" s="407"/>
      <c r="BR488" s="407"/>
      <c r="BS488" s="407"/>
      <c r="BT488" s="407"/>
      <c r="BU488" s="407"/>
      <c r="BV488" s="407"/>
      <c r="BW488" s="407"/>
      <c r="BX488" s="407"/>
      <c r="BY488" s="407"/>
      <c r="BZ488" s="407"/>
      <c r="CA488" s="407"/>
      <c r="CB488" s="407"/>
      <c r="CC488" s="407"/>
      <c r="CD488" s="407"/>
      <c r="CE488" s="407"/>
      <c r="CF488" s="407"/>
      <c r="CG488" s="407"/>
      <c r="CH488" s="407"/>
      <c r="CI488" s="407"/>
      <c r="CJ488" s="407">
        <v>-0.03</v>
      </c>
      <c r="CK488" s="407"/>
      <c r="CL488" s="407"/>
      <c r="CM488" s="407"/>
      <c r="CN488" s="407"/>
      <c r="CO488" s="407">
        <v>0</v>
      </c>
      <c r="CP488" s="407">
        <v>0</v>
      </c>
      <c r="CQ488" s="407">
        <v>29</v>
      </c>
      <c r="CR488" s="407"/>
      <c r="CS488" s="407"/>
      <c r="CT488" s="407"/>
      <c r="CU488" s="407"/>
      <c r="CV488" s="407"/>
      <c r="CW488" s="407"/>
      <c r="CX488" s="407"/>
      <c r="CY488" s="407"/>
      <c r="CZ488" s="407"/>
      <c r="DA488" s="407"/>
      <c r="DB488" s="407"/>
      <c r="DC488" s="407"/>
      <c r="DD488" s="407"/>
      <c r="DE488" s="407"/>
      <c r="DF488" s="407"/>
      <c r="DG488" s="407"/>
      <c r="DH488" s="407"/>
      <c r="DI488" s="407"/>
      <c r="DJ488" s="407"/>
      <c r="DK488" s="407">
        <v>0</v>
      </c>
      <c r="DL488" s="407"/>
      <c r="DM488" s="407"/>
      <c r="DN488" s="407"/>
      <c r="DO488" s="407"/>
      <c r="DP488" s="407"/>
      <c r="DQ488" s="407"/>
      <c r="DR488" s="407"/>
      <c r="DS488" s="407"/>
      <c r="DT488" s="407"/>
      <c r="DU488" s="407"/>
      <c r="DV488" s="407"/>
      <c r="DW488" s="407"/>
      <c r="DX488" s="407"/>
      <c r="DY488" s="407"/>
      <c r="DZ488" s="407"/>
      <c r="EA488" s="407"/>
      <c r="EB488" s="407"/>
      <c r="EC488" s="407"/>
      <c r="ED488" s="407"/>
      <c r="EE488" s="407"/>
      <c r="EF488" s="407"/>
      <c r="EG488" s="407"/>
      <c r="EH488" s="407"/>
      <c r="EI488" s="407"/>
      <c r="EJ488" s="407"/>
      <c r="EK488" s="407"/>
      <c r="EL488" s="407"/>
      <c r="EM488" s="407"/>
      <c r="EN488" s="407"/>
      <c r="EO488" s="407"/>
      <c r="EP488" s="407"/>
      <c r="EQ488" s="407"/>
      <c r="ER488" s="407"/>
      <c r="ES488" s="407"/>
      <c r="ET488" s="407"/>
      <c r="EU488" s="407"/>
      <c r="EV488" s="407">
        <v>246</v>
      </c>
      <c r="EW488" s="407"/>
      <c r="EX488" s="407"/>
      <c r="EY488" s="407"/>
      <c r="EZ488" s="407"/>
      <c r="FA488" s="407">
        <v>0</v>
      </c>
      <c r="FB488" s="407"/>
      <c r="FC488" s="407"/>
      <c r="FD488" s="407"/>
      <c r="FE488" s="407"/>
      <c r="FF488" s="407">
        <v>0</v>
      </c>
      <c r="FG488" s="407">
        <v>0</v>
      </c>
      <c r="FH488" s="407">
        <v>0</v>
      </c>
      <c r="FI488" s="407">
        <v>0</v>
      </c>
    </row>
    <row r="489" spans="1:165">
      <c r="A489" s="407">
        <v>507</v>
      </c>
      <c r="B489" s="407" t="s">
        <v>2309</v>
      </c>
      <c r="C489" s="407" t="s">
        <v>2306</v>
      </c>
      <c r="D489" s="407" t="s">
        <v>2315</v>
      </c>
      <c r="E489" s="407" t="s">
        <v>1026</v>
      </c>
      <c r="F489" s="407" t="s">
        <v>2323</v>
      </c>
      <c r="G489" s="407" t="s">
        <v>2324</v>
      </c>
      <c r="H489" s="407" t="s">
        <v>97</v>
      </c>
      <c r="I489" s="407" t="s">
        <v>97</v>
      </c>
      <c r="J489" s="407" t="s">
        <v>2307</v>
      </c>
      <c r="K489" s="818">
        <v>44593</v>
      </c>
      <c r="L489" s="407">
        <v>0</v>
      </c>
      <c r="M489" s="407">
        <v>0</v>
      </c>
      <c r="N489" s="407">
        <v>0</v>
      </c>
      <c r="O489" s="407">
        <v>0</v>
      </c>
      <c r="P489" s="407">
        <v>0</v>
      </c>
      <c r="Q489" s="407">
        <v>0</v>
      </c>
      <c r="R489" s="407"/>
      <c r="S489" s="407"/>
      <c r="T489" s="407"/>
      <c r="U489" s="407"/>
      <c r="V489" s="407"/>
      <c r="W489" s="407"/>
      <c r="X489" s="407"/>
      <c r="Y489" s="407"/>
      <c r="Z489" s="407"/>
      <c r="AA489" s="407">
        <v>0</v>
      </c>
      <c r="AB489" s="407"/>
      <c r="AC489" s="407"/>
      <c r="AD489" s="407"/>
      <c r="AE489" s="407"/>
      <c r="AF489" s="407"/>
      <c r="AG489" s="407"/>
      <c r="AH489" s="407"/>
      <c r="AI489" s="407"/>
      <c r="AJ489" s="407"/>
      <c r="AK489" s="407"/>
      <c r="AL489" s="407"/>
      <c r="AM489" s="407"/>
      <c r="AN489" s="407"/>
      <c r="AO489" s="407"/>
      <c r="AP489" s="407"/>
      <c r="AQ489" s="407"/>
      <c r="AR489" s="407"/>
      <c r="AS489" s="407"/>
      <c r="AT489" s="407"/>
      <c r="AU489" s="407"/>
      <c r="AV489" s="407"/>
      <c r="AW489" s="407"/>
      <c r="AX489" s="407"/>
      <c r="AY489" s="407"/>
      <c r="AZ489" s="407">
        <v>0</v>
      </c>
      <c r="BA489" s="407"/>
      <c r="BB489" s="407"/>
      <c r="BC489" s="407"/>
      <c r="BD489" s="407"/>
      <c r="BE489" s="407"/>
      <c r="BF489" s="407"/>
      <c r="BG489" s="407"/>
      <c r="BH489" s="407"/>
      <c r="BI489" s="407">
        <v>13.96</v>
      </c>
      <c r="BJ489" s="407">
        <v>60.36</v>
      </c>
      <c r="BK489" s="407">
        <v>55.07</v>
      </c>
      <c r="BL489" s="407">
        <v>6</v>
      </c>
      <c r="BM489" s="407"/>
      <c r="BN489" s="407"/>
      <c r="BO489" s="407"/>
      <c r="BP489" s="407"/>
      <c r="BQ489" s="407"/>
      <c r="BR489" s="407"/>
      <c r="BS489" s="407"/>
      <c r="BT489" s="407"/>
      <c r="BU489" s="407"/>
      <c r="BV489" s="407"/>
      <c r="BW489" s="407"/>
      <c r="BX489" s="407"/>
      <c r="BY489" s="407"/>
      <c r="BZ489" s="407"/>
      <c r="CA489" s="407"/>
      <c r="CB489" s="407"/>
      <c r="CC489" s="407"/>
      <c r="CD489" s="407"/>
      <c r="CE489" s="407"/>
      <c r="CF489" s="407"/>
      <c r="CG489" s="407"/>
      <c r="CH489" s="407"/>
      <c r="CI489" s="407"/>
      <c r="CJ489" s="407">
        <v>-0.03</v>
      </c>
      <c r="CK489" s="407"/>
      <c r="CL489" s="407"/>
      <c r="CM489" s="407"/>
      <c r="CN489" s="407"/>
      <c r="CO489" s="407">
        <v>0</v>
      </c>
      <c r="CP489" s="407">
        <v>0</v>
      </c>
      <c r="CQ489" s="407">
        <v>29</v>
      </c>
      <c r="CR489" s="407"/>
      <c r="CS489" s="407"/>
      <c r="CT489" s="407"/>
      <c r="CU489" s="407"/>
      <c r="CV489" s="407"/>
      <c r="CW489" s="407"/>
      <c r="CX489" s="407"/>
      <c r="CY489" s="407"/>
      <c r="CZ489" s="407"/>
      <c r="DA489" s="407"/>
      <c r="DB489" s="407"/>
      <c r="DC489" s="407"/>
      <c r="DD489" s="407"/>
      <c r="DE489" s="407"/>
      <c r="DF489" s="407"/>
      <c r="DG489" s="407"/>
      <c r="DH489" s="407"/>
      <c r="DI489" s="407"/>
      <c r="DJ489" s="407"/>
      <c r="DK489" s="407">
        <v>0</v>
      </c>
      <c r="DL489" s="407"/>
      <c r="DM489" s="407"/>
      <c r="DN489" s="407"/>
      <c r="DO489" s="407"/>
      <c r="DP489" s="407"/>
      <c r="DQ489" s="407"/>
      <c r="DR489" s="407"/>
      <c r="DS489" s="407"/>
      <c r="DT489" s="407"/>
      <c r="DU489" s="407"/>
      <c r="DV489" s="407"/>
      <c r="DW489" s="407"/>
      <c r="DX489" s="407"/>
      <c r="DY489" s="407"/>
      <c r="DZ489" s="407"/>
      <c r="EA489" s="407"/>
      <c r="EB489" s="407"/>
      <c r="EC489" s="407"/>
      <c r="ED489" s="407"/>
      <c r="EE489" s="407"/>
      <c r="EF489" s="407"/>
      <c r="EG489" s="407"/>
      <c r="EH489" s="407"/>
      <c r="EI489" s="407"/>
      <c r="EJ489" s="407"/>
      <c r="EK489" s="407"/>
      <c r="EL489" s="407"/>
      <c r="EM489" s="407"/>
      <c r="EN489" s="407"/>
      <c r="EO489" s="407"/>
      <c r="EP489" s="407"/>
      <c r="EQ489" s="407"/>
      <c r="ER489" s="407"/>
      <c r="ES489" s="407"/>
      <c r="ET489" s="407"/>
      <c r="EU489" s="407"/>
      <c r="EV489" s="407">
        <v>246</v>
      </c>
      <c r="EW489" s="407"/>
      <c r="EX489" s="407"/>
      <c r="EY489" s="407"/>
      <c r="EZ489" s="407"/>
      <c r="FA489" s="407">
        <v>0</v>
      </c>
      <c r="FB489" s="407"/>
      <c r="FC489" s="407"/>
      <c r="FD489" s="407"/>
      <c r="FE489" s="407"/>
      <c r="FF489" s="407">
        <v>0</v>
      </c>
      <c r="FG489" s="407">
        <v>0</v>
      </c>
      <c r="FH489" s="407">
        <v>0</v>
      </c>
      <c r="FI489" s="407">
        <v>0</v>
      </c>
    </row>
    <row r="490" spans="1:165">
      <c r="A490" s="407">
        <v>508</v>
      </c>
      <c r="B490" s="407" t="s">
        <v>1090</v>
      </c>
      <c r="C490" s="407" t="s">
        <v>2306</v>
      </c>
      <c r="D490" s="407" t="s">
        <v>2315</v>
      </c>
      <c r="E490" s="407" t="s">
        <v>1026</v>
      </c>
      <c r="F490" s="407" t="s">
        <v>2323</v>
      </c>
      <c r="G490" s="407" t="s">
        <v>2324</v>
      </c>
      <c r="H490" s="407" t="s">
        <v>97</v>
      </c>
      <c r="I490" s="407" t="s">
        <v>97</v>
      </c>
      <c r="J490" s="407" t="s">
        <v>2307</v>
      </c>
      <c r="K490" s="818">
        <v>44593</v>
      </c>
      <c r="L490" s="407">
        <v>0</v>
      </c>
      <c r="M490" s="407">
        <v>0</v>
      </c>
      <c r="N490" s="407">
        <v>3678.5120000000002</v>
      </c>
      <c r="O490" s="407">
        <v>3678.5120000000002</v>
      </c>
      <c r="P490" s="407">
        <v>3678.5120000000002</v>
      </c>
      <c r="Q490" s="407">
        <v>3678.5120000000002</v>
      </c>
      <c r="R490" s="407"/>
      <c r="S490" s="407">
        <v>648.44000000000005</v>
      </c>
      <c r="T490" s="407">
        <v>159.41</v>
      </c>
      <c r="U490" s="407"/>
      <c r="V490" s="407">
        <v>2971685.9192000004</v>
      </c>
      <c r="W490" s="407">
        <v>2971685.9192000004</v>
      </c>
      <c r="X490" s="407">
        <v>2250587.21184</v>
      </c>
      <c r="Y490" s="407">
        <v>0</v>
      </c>
      <c r="Z490" s="407">
        <v>227958.31058548723</v>
      </c>
      <c r="AA490" s="407">
        <v>0</v>
      </c>
      <c r="AB490" s="407">
        <v>0</v>
      </c>
      <c r="AC490" s="407">
        <v>0</v>
      </c>
      <c r="AD490" s="407">
        <v>429077.92155364755</v>
      </c>
      <c r="AE490" s="407">
        <v>1535947.9376621523</v>
      </c>
      <c r="AF490" s="407">
        <v>567339.54219777195</v>
      </c>
      <c r="AG490" s="407">
        <v>19061.119396357106</v>
      </c>
      <c r="AH490" s="407">
        <v>0</v>
      </c>
      <c r="AI490" s="407">
        <v>0</v>
      </c>
      <c r="AJ490" s="407">
        <v>0</v>
      </c>
      <c r="AK490" s="407">
        <v>0</v>
      </c>
      <c r="AL490" s="407">
        <v>35225.634520369138</v>
      </c>
      <c r="AM490" s="407"/>
      <c r="AN490" s="407">
        <v>7633.2642146473327</v>
      </c>
      <c r="AO490" s="407">
        <v>0</v>
      </c>
      <c r="AP490" s="407">
        <v>0</v>
      </c>
      <c r="AQ490" s="407">
        <v>0</v>
      </c>
      <c r="AR490" s="407">
        <v>0</v>
      </c>
      <c r="AS490" s="407">
        <v>0</v>
      </c>
      <c r="AT490" s="407">
        <v>0</v>
      </c>
      <c r="AU490" s="407">
        <v>0</v>
      </c>
      <c r="AV490" s="407">
        <v>0</v>
      </c>
      <c r="AW490" s="407">
        <v>0</v>
      </c>
      <c r="AX490" s="407">
        <v>0</v>
      </c>
      <c r="AY490" s="407">
        <v>0</v>
      </c>
      <c r="AZ490" s="407">
        <v>0</v>
      </c>
      <c r="BA490" s="407"/>
      <c r="BB490" s="407">
        <v>0</v>
      </c>
      <c r="BC490" s="407">
        <v>0</v>
      </c>
      <c r="BD490" s="407">
        <v>0</v>
      </c>
      <c r="BE490" s="407">
        <v>0</v>
      </c>
      <c r="BF490" s="407">
        <v>0</v>
      </c>
      <c r="BG490" s="407">
        <v>41470.70888503272</v>
      </c>
      <c r="BH490" s="407">
        <v>0</v>
      </c>
      <c r="BI490" s="407">
        <v>0</v>
      </c>
      <c r="BJ490" s="407">
        <v>0</v>
      </c>
      <c r="BK490" s="407">
        <v>0</v>
      </c>
      <c r="BL490" s="407">
        <v>0</v>
      </c>
      <c r="BM490" s="407"/>
      <c r="BN490" s="407"/>
      <c r="BO490" s="407"/>
      <c r="BP490" s="407"/>
      <c r="BQ490" s="407"/>
      <c r="BR490" s="407">
        <v>270076.3510400001</v>
      </c>
      <c r="BS490" s="407"/>
      <c r="BT490" s="407"/>
      <c r="BU490" s="407"/>
      <c r="BV490" s="407">
        <v>608810.25108280464</v>
      </c>
      <c r="BW490" s="407"/>
      <c r="BX490" s="407"/>
      <c r="BY490" s="407"/>
      <c r="BZ490" s="407"/>
      <c r="CA490" s="407"/>
      <c r="CB490" s="407"/>
      <c r="CC490" s="407"/>
      <c r="CD490" s="407"/>
      <c r="CE490" s="407"/>
      <c r="CF490" s="407"/>
      <c r="CG490" s="407"/>
      <c r="CH490" s="407"/>
      <c r="CI490" s="407">
        <v>1980509.784</v>
      </c>
      <c r="CJ490" s="407">
        <v>-634581.21191999968</v>
      </c>
      <c r="CK490" s="407"/>
      <c r="CL490" s="407"/>
      <c r="CM490" s="407"/>
      <c r="CN490" s="407"/>
      <c r="CO490" s="407">
        <v>-822147.43200000026</v>
      </c>
      <c r="CP490" s="407">
        <v>101048.72464</v>
      </c>
      <c r="CQ490" s="407">
        <v>29</v>
      </c>
      <c r="CR490" s="407">
        <v>63469.112318815663</v>
      </c>
      <c r="CS490" s="407">
        <v>0</v>
      </c>
      <c r="CT490" s="407">
        <v>0</v>
      </c>
      <c r="CU490" s="407">
        <v>0</v>
      </c>
      <c r="CV490" s="407">
        <v>0</v>
      </c>
      <c r="CW490" s="407">
        <v>0</v>
      </c>
      <c r="CX490" s="407">
        <v>0</v>
      </c>
      <c r="CY490" s="407">
        <v>0</v>
      </c>
      <c r="CZ490" s="407">
        <v>19382.300496586657</v>
      </c>
      <c r="DA490" s="407">
        <v>0</v>
      </c>
      <c r="DB490" s="407">
        <v>0</v>
      </c>
      <c r="DC490" s="407">
        <v>112488.11030187702</v>
      </c>
      <c r="DD490" s="407">
        <v>0</v>
      </c>
      <c r="DE490" s="407">
        <v>0</v>
      </c>
      <c r="DF490" s="407">
        <v>0</v>
      </c>
      <c r="DG490" s="407">
        <v>8222.5216618700433</v>
      </c>
      <c r="DH490" s="407">
        <v>0</v>
      </c>
      <c r="DI490" s="407">
        <v>-15966.649777393352</v>
      </c>
      <c r="DJ490" s="407"/>
      <c r="DK490" s="407">
        <v>0</v>
      </c>
      <c r="DL490" s="407">
        <v>0</v>
      </c>
      <c r="DM490" s="407">
        <v>0</v>
      </c>
      <c r="DN490" s="407">
        <v>0</v>
      </c>
      <c r="DO490" s="407">
        <v>-2149.1644648002548</v>
      </c>
      <c r="DP490" s="407">
        <v>-486.37316750825266</v>
      </c>
      <c r="DQ490" s="407">
        <v>0</v>
      </c>
      <c r="DR490" s="407">
        <v>-58021.632731816295</v>
      </c>
      <c r="DS490" s="407"/>
      <c r="DT490" s="407"/>
      <c r="DU490" s="407"/>
      <c r="DV490" s="407">
        <v>1535947.9376621523</v>
      </c>
      <c r="DW490" s="407">
        <v>0</v>
      </c>
      <c r="DX490" s="407">
        <v>0</v>
      </c>
      <c r="DY490" s="407">
        <v>-822147.43200000026</v>
      </c>
      <c r="DZ490" s="407">
        <v>101048.72464000003</v>
      </c>
      <c r="EA490" s="407">
        <v>0</v>
      </c>
      <c r="EB490" s="407">
        <v>0</v>
      </c>
      <c r="EC490" s="407">
        <v>-784565.77398637973</v>
      </c>
      <c r="ED490" s="407">
        <v>0</v>
      </c>
      <c r="EE490" s="407">
        <v>0</v>
      </c>
      <c r="EF490" s="407">
        <v>0</v>
      </c>
      <c r="EG490" s="407">
        <v>0</v>
      </c>
      <c r="EH490" s="407">
        <v>0</v>
      </c>
      <c r="EI490" s="407">
        <v>0</v>
      </c>
      <c r="EJ490" s="407">
        <v>0</v>
      </c>
      <c r="EK490" s="407">
        <v>0</v>
      </c>
      <c r="EL490" s="407">
        <v>0</v>
      </c>
      <c r="EM490" s="407">
        <v>0</v>
      </c>
      <c r="EN490" s="407">
        <v>0</v>
      </c>
      <c r="EO490" s="407">
        <v>0</v>
      </c>
      <c r="EP490" s="407">
        <v>107979.77592274515</v>
      </c>
      <c r="EQ490" s="407">
        <v>0</v>
      </c>
      <c r="ER490" s="407">
        <v>0</v>
      </c>
      <c r="ES490" s="407">
        <v>0</v>
      </c>
      <c r="ET490" s="407">
        <v>0</v>
      </c>
      <c r="EU490" s="407">
        <v>0</v>
      </c>
      <c r="EV490" s="407">
        <v>246</v>
      </c>
      <c r="EW490" s="407">
        <v>0</v>
      </c>
      <c r="EX490" s="407">
        <v>0</v>
      </c>
      <c r="EY490" s="407">
        <v>0</v>
      </c>
      <c r="EZ490" s="407"/>
      <c r="FA490" s="407">
        <v>0</v>
      </c>
      <c r="FB490" s="407"/>
      <c r="FC490" s="407"/>
      <c r="FD490" s="407"/>
      <c r="FE490" s="407"/>
      <c r="FF490" s="407">
        <v>0</v>
      </c>
      <c r="FG490" s="407">
        <v>0</v>
      </c>
      <c r="FH490" s="407">
        <v>0</v>
      </c>
      <c r="FI490" s="407">
        <v>0</v>
      </c>
    </row>
    <row r="491" spans="1:165">
      <c r="A491" s="407">
        <v>509</v>
      </c>
      <c r="B491" s="407" t="s">
        <v>2309</v>
      </c>
      <c r="C491" s="407" t="s">
        <v>2306</v>
      </c>
      <c r="D491" s="407" t="s">
        <v>2315</v>
      </c>
      <c r="E491" s="407" t="s">
        <v>1026</v>
      </c>
      <c r="F491" s="407" t="s">
        <v>2323</v>
      </c>
      <c r="G491" s="407" t="s">
        <v>2324</v>
      </c>
      <c r="H491" s="407" t="s">
        <v>97</v>
      </c>
      <c r="I491" s="407" t="s">
        <v>97</v>
      </c>
      <c r="J491" s="407" t="s">
        <v>2307</v>
      </c>
      <c r="K491" s="818">
        <v>44593</v>
      </c>
      <c r="L491" s="407">
        <v>0</v>
      </c>
      <c r="M491" s="407">
        <v>0</v>
      </c>
      <c r="N491" s="407">
        <v>8.5120000000000005</v>
      </c>
      <c r="O491" s="407">
        <v>8.5120000000000005</v>
      </c>
      <c r="P491" s="407">
        <v>8.5120000000000005</v>
      </c>
      <c r="Q491" s="407">
        <v>8.5120000000000005</v>
      </c>
      <c r="R491" s="407"/>
      <c r="S491" s="407">
        <v>648.44000000000005</v>
      </c>
      <c r="T491" s="407">
        <v>159.41</v>
      </c>
      <c r="U491" s="407"/>
      <c r="V491" s="407">
        <v>6876.4192000000012</v>
      </c>
      <c r="W491" s="407">
        <v>6876.4192000000012</v>
      </c>
      <c r="X491" s="407">
        <v>5207.8118400000003</v>
      </c>
      <c r="Y491" s="407">
        <v>0</v>
      </c>
      <c r="Z491" s="407">
        <v>527.49077336261712</v>
      </c>
      <c r="AA491" s="407">
        <v>0</v>
      </c>
      <c r="AB491" s="407">
        <v>0</v>
      </c>
      <c r="AC491" s="407">
        <v>0</v>
      </c>
      <c r="AD491" s="407">
        <v>992.87735591582907</v>
      </c>
      <c r="AE491" s="407">
        <v>3554.1514735796</v>
      </c>
      <c r="AF491" s="407">
        <v>1312.8118606619837</v>
      </c>
      <c r="AG491" s="407">
        <v>44.107032490798368</v>
      </c>
      <c r="AH491" s="407">
        <v>0</v>
      </c>
      <c r="AI491" s="407">
        <v>0</v>
      </c>
      <c r="AJ491" s="407">
        <v>0</v>
      </c>
      <c r="AK491" s="407">
        <v>0</v>
      </c>
      <c r="AL491" s="407">
        <v>81.511383145517016</v>
      </c>
      <c r="AM491" s="407"/>
      <c r="AN491" s="407">
        <v>17.663214091751801</v>
      </c>
      <c r="AO491" s="407">
        <v>0</v>
      </c>
      <c r="AP491" s="407">
        <v>0</v>
      </c>
      <c r="AQ491" s="407">
        <v>0</v>
      </c>
      <c r="AR491" s="407">
        <v>0</v>
      </c>
      <c r="AS491" s="407">
        <v>0</v>
      </c>
      <c r="AT491" s="407">
        <v>0</v>
      </c>
      <c r="AU491" s="407">
        <v>0</v>
      </c>
      <c r="AV491" s="407">
        <v>0</v>
      </c>
      <c r="AW491" s="407">
        <v>0</v>
      </c>
      <c r="AX491" s="407">
        <v>0</v>
      </c>
      <c r="AY491" s="407">
        <v>0</v>
      </c>
      <c r="AZ491" s="407">
        <v>0</v>
      </c>
      <c r="BA491" s="407"/>
      <c r="BB491" s="407">
        <v>0</v>
      </c>
      <c r="BC491" s="407">
        <v>0</v>
      </c>
      <c r="BD491" s="407">
        <v>0</v>
      </c>
      <c r="BE491" s="407">
        <v>0</v>
      </c>
      <c r="BF491" s="407">
        <v>0</v>
      </c>
      <c r="BG491" s="407">
        <v>95.962354894968001</v>
      </c>
      <c r="BH491" s="407">
        <v>0</v>
      </c>
      <c r="BI491" s="407">
        <v>0</v>
      </c>
      <c r="BJ491" s="407">
        <v>0</v>
      </c>
      <c r="BK491" s="407">
        <v>0</v>
      </c>
      <c r="BL491" s="407">
        <v>0</v>
      </c>
      <c r="BM491" s="407"/>
      <c r="BN491" s="407"/>
      <c r="BO491" s="407"/>
      <c r="BP491" s="407"/>
      <c r="BQ491" s="407"/>
      <c r="BR491" s="407">
        <v>624.95104000000015</v>
      </c>
      <c r="BS491" s="407"/>
      <c r="BT491" s="407"/>
      <c r="BU491" s="407"/>
      <c r="BV491" s="407">
        <v>1408.7742155569517</v>
      </c>
      <c r="BW491" s="407"/>
      <c r="BX491" s="407"/>
      <c r="BY491" s="407"/>
      <c r="BZ491" s="407"/>
      <c r="CA491" s="407"/>
      <c r="CB491" s="407"/>
      <c r="CC491" s="407"/>
      <c r="CD491" s="407"/>
      <c r="CE491" s="407"/>
      <c r="CF491" s="407"/>
      <c r="CG491" s="407"/>
      <c r="CH491" s="407"/>
      <c r="CI491" s="407">
        <v>4581.7839999999997</v>
      </c>
      <c r="CJ491" s="407">
        <v>-1469.5119200000017</v>
      </c>
      <c r="CK491" s="407"/>
      <c r="CL491" s="407"/>
      <c r="CM491" s="407"/>
      <c r="CN491" s="407"/>
      <c r="CO491" s="407">
        <v>-1902.4320000000007</v>
      </c>
      <c r="CP491" s="407">
        <v>233.82464000000002</v>
      </c>
      <c r="CQ491" s="407">
        <v>29</v>
      </c>
      <c r="CR491" s="407">
        <v>146.86620134928398</v>
      </c>
      <c r="CS491" s="407">
        <v>0</v>
      </c>
      <c r="CT491" s="407">
        <v>0</v>
      </c>
      <c r="CU491" s="407">
        <v>0</v>
      </c>
      <c r="CV491" s="407">
        <v>0</v>
      </c>
      <c r="CW491" s="407">
        <v>0</v>
      </c>
      <c r="CX491" s="407">
        <v>0</v>
      </c>
      <c r="CY491" s="407">
        <v>0</v>
      </c>
      <c r="CZ491" s="407">
        <v>44.850238853902169</v>
      </c>
      <c r="DA491" s="407">
        <v>0</v>
      </c>
      <c r="DB491" s="407">
        <v>0</v>
      </c>
      <c r="DC491" s="407">
        <v>260.29513968952051</v>
      </c>
      <c r="DD491" s="407">
        <v>0</v>
      </c>
      <c r="DE491" s="407">
        <v>0</v>
      </c>
      <c r="DF491" s="407">
        <v>0</v>
      </c>
      <c r="DG491" s="407">
        <v>19.026743527229982</v>
      </c>
      <c r="DH491" s="407">
        <v>0</v>
      </c>
      <c r="DI491" s="407">
        <v>-36.946494371955907</v>
      </c>
      <c r="DJ491" s="407"/>
      <c r="DK491" s="407">
        <v>0</v>
      </c>
      <c r="DL491" s="407">
        <v>0</v>
      </c>
      <c r="DM491" s="407">
        <v>0</v>
      </c>
      <c r="DN491" s="407">
        <v>0</v>
      </c>
      <c r="DO491" s="407">
        <v>-4.9731217199725819</v>
      </c>
      <c r="DP491" s="407">
        <v>-1.1254573593426507</v>
      </c>
      <c r="DQ491" s="407">
        <v>0</v>
      </c>
      <c r="DR491" s="407">
        <v>-134.26084727009734</v>
      </c>
      <c r="DS491" s="407"/>
      <c r="DT491" s="407"/>
      <c r="DU491" s="407"/>
      <c r="DV491" s="407">
        <v>3554.1514735796</v>
      </c>
      <c r="DW491" s="407">
        <v>0</v>
      </c>
      <c r="DX491" s="407">
        <v>0</v>
      </c>
      <c r="DY491" s="407">
        <v>-1902.4320000000007</v>
      </c>
      <c r="DZ491" s="407">
        <v>233.82464000000004</v>
      </c>
      <c r="EA491" s="407">
        <v>0</v>
      </c>
      <c r="EB491" s="407">
        <v>0</v>
      </c>
      <c r="EC491" s="407">
        <v>-1815.4688276596801</v>
      </c>
      <c r="ED491" s="407">
        <v>0</v>
      </c>
      <c r="EE491" s="407">
        <v>0</v>
      </c>
      <c r="EF491" s="407">
        <v>0</v>
      </c>
      <c r="EG491" s="407">
        <v>0</v>
      </c>
      <c r="EH491" s="407">
        <v>0</v>
      </c>
      <c r="EI491" s="407">
        <v>0</v>
      </c>
      <c r="EJ491" s="407">
        <v>0</v>
      </c>
      <c r="EK491" s="407">
        <v>0</v>
      </c>
      <c r="EL491" s="407">
        <v>0</v>
      </c>
      <c r="EM491" s="407">
        <v>0</v>
      </c>
      <c r="EN491" s="407">
        <v>0</v>
      </c>
      <c r="EO491" s="407">
        <v>0</v>
      </c>
      <c r="EP491" s="407">
        <v>249.86294802202812</v>
      </c>
      <c r="EQ491" s="407">
        <v>0</v>
      </c>
      <c r="ER491" s="407">
        <v>0</v>
      </c>
      <c r="ES491" s="407">
        <v>0</v>
      </c>
      <c r="ET491" s="407">
        <v>0</v>
      </c>
      <c r="EU491" s="407">
        <v>0</v>
      </c>
      <c r="EV491" s="407">
        <v>246</v>
      </c>
      <c r="EW491" s="407">
        <v>0</v>
      </c>
      <c r="EX491" s="407">
        <v>0</v>
      </c>
      <c r="EY491" s="407">
        <v>0</v>
      </c>
      <c r="EZ491" s="407"/>
      <c r="FA491" s="407">
        <v>0</v>
      </c>
      <c r="FB491" s="407"/>
      <c r="FC491" s="407"/>
      <c r="FD491" s="407"/>
      <c r="FE491" s="407"/>
      <c r="FF491" s="407">
        <v>0</v>
      </c>
      <c r="FG491" s="407">
        <v>0</v>
      </c>
      <c r="FH491" s="407">
        <v>0</v>
      </c>
      <c r="FI491" s="407">
        <v>0</v>
      </c>
    </row>
    <row r="492" spans="1:165">
      <c r="A492" s="407">
        <v>510</v>
      </c>
      <c r="B492" s="407" t="s">
        <v>1090</v>
      </c>
      <c r="C492" s="407" t="s">
        <v>2306</v>
      </c>
      <c r="D492" s="407" t="s">
        <v>2315</v>
      </c>
      <c r="E492" s="407" t="s">
        <v>1026</v>
      </c>
      <c r="F492" s="407" t="s">
        <v>2323</v>
      </c>
      <c r="G492" s="407" t="s">
        <v>2325</v>
      </c>
      <c r="H492" s="407" t="s">
        <v>97</v>
      </c>
      <c r="I492" s="407" t="s">
        <v>97</v>
      </c>
      <c r="J492" s="407" t="s">
        <v>2307</v>
      </c>
      <c r="K492" s="818">
        <v>44593</v>
      </c>
      <c r="L492" s="407">
        <v>0</v>
      </c>
      <c r="M492" s="407">
        <v>0</v>
      </c>
      <c r="N492" s="407">
        <v>85.572999999999993</v>
      </c>
      <c r="O492" s="407">
        <v>34.229199999999999</v>
      </c>
      <c r="P492" s="407">
        <v>85.572999999999993</v>
      </c>
      <c r="Q492" s="407">
        <v>34.229199999999999</v>
      </c>
      <c r="R492" s="407"/>
      <c r="S492" s="407">
        <v>648.44000000000005</v>
      </c>
      <c r="T492" s="407">
        <v>159.41</v>
      </c>
      <c r="U492" s="407"/>
      <c r="V492" s="407">
        <v>69130.148050000003</v>
      </c>
      <c r="W492" s="407">
        <v>69130.148050000003</v>
      </c>
      <c r="X492" s="407">
        <v>52355.272859999997</v>
      </c>
      <c r="Y492" s="407">
        <v>0</v>
      </c>
      <c r="Z492" s="407">
        <v>5302.9802571615628</v>
      </c>
      <c r="AA492" s="407">
        <v>0</v>
      </c>
      <c r="AB492" s="407">
        <v>0</v>
      </c>
      <c r="AC492" s="407">
        <v>0</v>
      </c>
      <c r="AD492" s="407">
        <v>9981.6134842322863</v>
      </c>
      <c r="AE492" s="407">
        <v>35730.66306962254</v>
      </c>
      <c r="AF492" s="407">
        <v>13197.985121290874</v>
      </c>
      <c r="AG492" s="407">
        <v>443.41765640684781</v>
      </c>
      <c r="AH492" s="407">
        <v>0</v>
      </c>
      <c r="AI492" s="407">
        <v>0</v>
      </c>
      <c r="AJ492" s="407">
        <v>0</v>
      </c>
      <c r="AK492" s="407">
        <v>0</v>
      </c>
      <c r="AL492" s="407">
        <v>819.45178452905623</v>
      </c>
      <c r="AM492" s="407"/>
      <c r="AN492" s="407">
        <v>177.57215924265466</v>
      </c>
      <c r="AO492" s="407">
        <v>0</v>
      </c>
      <c r="AP492" s="407">
        <v>0</v>
      </c>
      <c r="AQ492" s="407">
        <v>0</v>
      </c>
      <c r="AR492" s="407">
        <v>0</v>
      </c>
      <c r="AS492" s="407">
        <v>0</v>
      </c>
      <c r="AT492" s="407">
        <v>0</v>
      </c>
      <c r="AU492" s="407">
        <v>0</v>
      </c>
      <c r="AV492" s="407">
        <v>0</v>
      </c>
      <c r="AW492" s="407">
        <v>0</v>
      </c>
      <c r="AX492" s="407">
        <v>0</v>
      </c>
      <c r="AY492" s="407">
        <v>0</v>
      </c>
      <c r="AZ492" s="407">
        <v>0</v>
      </c>
      <c r="BA492" s="407"/>
      <c r="BB492" s="407">
        <v>0</v>
      </c>
      <c r="BC492" s="407">
        <v>0</v>
      </c>
      <c r="BD492" s="407">
        <v>0</v>
      </c>
      <c r="BE492" s="407">
        <v>0</v>
      </c>
      <c r="BF492" s="407">
        <v>0</v>
      </c>
      <c r="BG492" s="407">
        <v>964.73056807179228</v>
      </c>
      <c r="BH492" s="407">
        <v>0</v>
      </c>
      <c r="BI492" s="407">
        <v>0</v>
      </c>
      <c r="BJ492" s="407">
        <v>0</v>
      </c>
      <c r="BK492" s="407">
        <v>0</v>
      </c>
      <c r="BL492" s="407">
        <v>0</v>
      </c>
      <c r="BM492" s="407"/>
      <c r="BN492" s="407"/>
      <c r="BO492" s="407"/>
      <c r="BP492" s="407"/>
      <c r="BQ492" s="407"/>
      <c r="BR492" s="407"/>
      <c r="BS492" s="407">
        <v>33926.271580000001</v>
      </c>
      <c r="BT492" s="407"/>
      <c r="BU492" s="407"/>
      <c r="BV492" s="407">
        <v>14162.715689362667</v>
      </c>
      <c r="BW492" s="407"/>
      <c r="BX492" s="407"/>
      <c r="BY492" s="407"/>
      <c r="BZ492" s="407"/>
      <c r="CA492" s="407"/>
      <c r="CB492" s="407"/>
      <c r="CC492" s="407"/>
      <c r="CD492" s="407"/>
      <c r="CE492" s="407"/>
      <c r="CF492" s="407"/>
      <c r="CG492" s="407"/>
      <c r="CH492" s="407"/>
      <c r="CI492" s="407">
        <v>18429.431999999997</v>
      </c>
      <c r="CJ492" s="407">
        <v>-5904.4785719999963</v>
      </c>
      <c r="CK492" s="407"/>
      <c r="CL492" s="407"/>
      <c r="CM492" s="407"/>
      <c r="CN492" s="407"/>
      <c r="CO492" s="407">
        <v>-19125.565500000004</v>
      </c>
      <c r="CP492" s="407">
        <v>2350.6903099999995</v>
      </c>
      <c r="CQ492" s="407">
        <v>29</v>
      </c>
      <c r="CR492" s="407">
        <v>1476.4780836539358</v>
      </c>
      <c r="CS492" s="407">
        <v>0</v>
      </c>
      <c r="CT492" s="407">
        <v>0</v>
      </c>
      <c r="CU492" s="407">
        <v>0</v>
      </c>
      <c r="CV492" s="407">
        <v>0</v>
      </c>
      <c r="CW492" s="407">
        <v>0</v>
      </c>
      <c r="CX492" s="407">
        <v>0</v>
      </c>
      <c r="CY492" s="407">
        <v>0</v>
      </c>
      <c r="CZ492" s="407">
        <v>450.88927272615001</v>
      </c>
      <c r="DA492" s="407">
        <v>0</v>
      </c>
      <c r="DB492" s="407">
        <v>0</v>
      </c>
      <c r="DC492" s="407">
        <v>2616.804040020128</v>
      </c>
      <c r="DD492" s="407">
        <v>0</v>
      </c>
      <c r="DE492" s="407">
        <v>0</v>
      </c>
      <c r="DF492" s="407">
        <v>0</v>
      </c>
      <c r="DG492" s="407">
        <v>191.28001924995897</v>
      </c>
      <c r="DH492" s="407">
        <v>0</v>
      </c>
      <c r="DI492" s="407">
        <v>-371.43119864795335</v>
      </c>
      <c r="DJ492" s="407"/>
      <c r="DK492" s="407">
        <v>0</v>
      </c>
      <c r="DL492" s="407">
        <v>0</v>
      </c>
      <c r="DM492" s="407">
        <v>0</v>
      </c>
      <c r="DN492" s="407">
        <v>0</v>
      </c>
      <c r="DO492" s="407">
        <v>-49.995881689757198</v>
      </c>
      <c r="DP492" s="407">
        <v>-11.314469291709173</v>
      </c>
      <c r="DQ492" s="407">
        <v>0</v>
      </c>
      <c r="DR492" s="407">
        <v>-1349.7536987128804</v>
      </c>
      <c r="DS492" s="407"/>
      <c r="DT492" s="407"/>
      <c r="DU492" s="407"/>
      <c r="DV492" s="407">
        <v>35730.66306962254</v>
      </c>
      <c r="DW492" s="407">
        <v>0</v>
      </c>
      <c r="DX492" s="407">
        <v>0</v>
      </c>
      <c r="DY492" s="407">
        <v>-19125.565500000004</v>
      </c>
      <c r="DZ492" s="407">
        <v>2350.69031</v>
      </c>
      <c r="EA492" s="407">
        <v>0</v>
      </c>
      <c r="EB492" s="407">
        <v>0</v>
      </c>
      <c r="EC492" s="407">
        <v>-18251.305684835737</v>
      </c>
      <c r="ED492" s="407">
        <v>0</v>
      </c>
      <c r="EE492" s="407">
        <v>0</v>
      </c>
      <c r="EF492" s="407">
        <v>0</v>
      </c>
      <c r="EG492" s="407">
        <v>0</v>
      </c>
      <c r="EH492" s="407">
        <v>0</v>
      </c>
      <c r="EI492" s="407">
        <v>0</v>
      </c>
      <c r="EJ492" s="407">
        <v>0</v>
      </c>
      <c r="EK492" s="407">
        <v>0</v>
      </c>
      <c r="EL492" s="407">
        <v>0</v>
      </c>
      <c r="EM492" s="407">
        <v>0</v>
      </c>
      <c r="EN492" s="407">
        <v>0</v>
      </c>
      <c r="EO492" s="407">
        <v>0</v>
      </c>
      <c r="EP492" s="407">
        <v>2511.9269326937278</v>
      </c>
      <c r="EQ492" s="407">
        <v>0</v>
      </c>
      <c r="ER492" s="407">
        <v>0</v>
      </c>
      <c r="ES492" s="407">
        <v>0</v>
      </c>
      <c r="ET492" s="407">
        <v>0</v>
      </c>
      <c r="EU492" s="407">
        <v>0</v>
      </c>
      <c r="EV492" s="407">
        <v>246</v>
      </c>
      <c r="EW492" s="407">
        <v>0</v>
      </c>
      <c r="EX492" s="407">
        <v>0</v>
      </c>
      <c r="EY492" s="407">
        <v>0</v>
      </c>
      <c r="EZ492" s="407"/>
      <c r="FA492" s="407">
        <v>0</v>
      </c>
      <c r="FB492" s="407"/>
      <c r="FC492" s="407"/>
      <c r="FD492" s="407"/>
      <c r="FE492" s="407"/>
      <c r="FF492" s="407">
        <v>0</v>
      </c>
      <c r="FG492" s="407">
        <v>0</v>
      </c>
      <c r="FH492" s="407">
        <v>0</v>
      </c>
      <c r="FI492" s="407">
        <v>0</v>
      </c>
    </row>
    <row r="493" spans="1:165">
      <c r="A493" s="407">
        <v>511</v>
      </c>
      <c r="B493" s="407" t="s">
        <v>2309</v>
      </c>
      <c r="C493" s="407" t="s">
        <v>2306</v>
      </c>
      <c r="D493" s="407" t="s">
        <v>2315</v>
      </c>
      <c r="E493" s="407" t="s">
        <v>1026</v>
      </c>
      <c r="F493" s="407" t="s">
        <v>2323</v>
      </c>
      <c r="G493" s="407" t="s">
        <v>2325</v>
      </c>
      <c r="H493" s="407" t="s">
        <v>97</v>
      </c>
      <c r="I493" s="407" t="s">
        <v>97</v>
      </c>
      <c r="J493" s="407" t="s">
        <v>2307</v>
      </c>
      <c r="K493" s="818">
        <v>44593</v>
      </c>
      <c r="L493" s="407">
        <v>0</v>
      </c>
      <c r="M493" s="407">
        <v>0</v>
      </c>
      <c r="N493" s="407">
        <v>10.581</v>
      </c>
      <c r="O493" s="407">
        <v>4.2324000000000002</v>
      </c>
      <c r="P493" s="407">
        <v>10.581</v>
      </c>
      <c r="Q493" s="407">
        <v>4.2324000000000002</v>
      </c>
      <c r="R493" s="407"/>
      <c r="S493" s="407">
        <v>648.44000000000005</v>
      </c>
      <c r="T493" s="407">
        <v>159.41</v>
      </c>
      <c r="U493" s="407"/>
      <c r="V493" s="407">
        <v>8547.8608500000009</v>
      </c>
      <c r="W493" s="407">
        <v>8547.8608500000009</v>
      </c>
      <c r="X493" s="407">
        <v>6473.6674199999998</v>
      </c>
      <c r="Y493" s="407">
        <v>0</v>
      </c>
      <c r="Z493" s="407">
        <v>655.70722191610093</v>
      </c>
      <c r="AA493" s="407">
        <v>0</v>
      </c>
      <c r="AB493" s="407">
        <v>0</v>
      </c>
      <c r="AC493" s="407">
        <v>0</v>
      </c>
      <c r="AD493" s="407">
        <v>1234.2146737482831</v>
      </c>
      <c r="AE493" s="407">
        <v>4418.0541285180616</v>
      </c>
      <c r="AF493" s="407">
        <v>1631.915213541406</v>
      </c>
      <c r="AG493" s="407">
        <v>54.828067526449423</v>
      </c>
      <c r="AH493" s="407">
        <v>0</v>
      </c>
      <c r="AI493" s="407">
        <v>0</v>
      </c>
      <c r="AJ493" s="407">
        <v>0</v>
      </c>
      <c r="AK493" s="407">
        <v>0</v>
      </c>
      <c r="AL493" s="407">
        <v>101.32424166620248</v>
      </c>
      <c r="AM493" s="407"/>
      <c r="AN493" s="407">
        <v>21.956586971901523</v>
      </c>
      <c r="AO493" s="407">
        <v>0</v>
      </c>
      <c r="AP493" s="407">
        <v>0</v>
      </c>
      <c r="AQ493" s="407">
        <v>0</v>
      </c>
      <c r="AR493" s="407">
        <v>0</v>
      </c>
      <c r="AS493" s="407">
        <v>0</v>
      </c>
      <c r="AT493" s="407">
        <v>0</v>
      </c>
      <c r="AU493" s="407">
        <v>0</v>
      </c>
      <c r="AV493" s="407">
        <v>0</v>
      </c>
      <c r="AW493" s="407">
        <v>0</v>
      </c>
      <c r="AX493" s="407">
        <v>0</v>
      </c>
      <c r="AY493" s="407">
        <v>0</v>
      </c>
      <c r="AZ493" s="407">
        <v>0</v>
      </c>
      <c r="BA493" s="407"/>
      <c r="BB493" s="407">
        <v>0</v>
      </c>
      <c r="BC493" s="407">
        <v>0</v>
      </c>
      <c r="BD493" s="407">
        <v>0</v>
      </c>
      <c r="BE493" s="407">
        <v>0</v>
      </c>
      <c r="BF493" s="407">
        <v>0</v>
      </c>
      <c r="BG493" s="407">
        <v>119.28779101781677</v>
      </c>
      <c r="BH493" s="407">
        <v>0</v>
      </c>
      <c r="BI493" s="407">
        <v>0</v>
      </c>
      <c r="BJ493" s="407">
        <v>0</v>
      </c>
      <c r="BK493" s="407">
        <v>0</v>
      </c>
      <c r="BL493" s="407">
        <v>0</v>
      </c>
      <c r="BM493" s="407"/>
      <c r="BN493" s="407"/>
      <c r="BO493" s="407"/>
      <c r="BP493" s="407"/>
      <c r="BQ493" s="407"/>
      <c r="BR493" s="407"/>
      <c r="BS493" s="407">
        <v>4194.94326</v>
      </c>
      <c r="BT493" s="407"/>
      <c r="BU493" s="407"/>
      <c r="BV493" s="407">
        <v>1751.2030045592228</v>
      </c>
      <c r="BW493" s="407"/>
      <c r="BX493" s="407"/>
      <c r="BY493" s="407"/>
      <c r="BZ493" s="407"/>
      <c r="CA493" s="407"/>
      <c r="CB493" s="407"/>
      <c r="CC493" s="407"/>
      <c r="CD493" s="407"/>
      <c r="CE493" s="407"/>
      <c r="CF493" s="407"/>
      <c r="CG493" s="407"/>
      <c r="CH493" s="407"/>
      <c r="CI493" s="407">
        <v>2277.4320000000002</v>
      </c>
      <c r="CJ493" s="407">
        <v>-731.45348400000012</v>
      </c>
      <c r="CK493" s="407"/>
      <c r="CL493" s="407"/>
      <c r="CM493" s="407"/>
      <c r="CN493" s="407"/>
      <c r="CO493" s="407">
        <v>-2364.8535000000006</v>
      </c>
      <c r="CP493" s="407">
        <v>290.66006999999996</v>
      </c>
      <c r="CQ493" s="407">
        <v>29</v>
      </c>
      <c r="CR493" s="407">
        <v>182.56476462368209</v>
      </c>
      <c r="CS493" s="407">
        <v>0</v>
      </c>
      <c r="CT493" s="407">
        <v>0</v>
      </c>
      <c r="CU493" s="407">
        <v>0</v>
      </c>
      <c r="CV493" s="407">
        <v>0</v>
      </c>
      <c r="CW493" s="407">
        <v>0</v>
      </c>
      <c r="CX493" s="407">
        <v>0</v>
      </c>
      <c r="CY493" s="407">
        <v>0</v>
      </c>
      <c r="CZ493" s="407">
        <v>55.751924026449842</v>
      </c>
      <c r="DA493" s="407">
        <v>0</v>
      </c>
      <c r="DB493" s="407">
        <v>0</v>
      </c>
      <c r="DC493" s="407">
        <v>323.56471722918423</v>
      </c>
      <c r="DD493" s="407">
        <v>0</v>
      </c>
      <c r="DE493" s="407">
        <v>0</v>
      </c>
      <c r="DF493" s="407">
        <v>0</v>
      </c>
      <c r="DG493" s="407">
        <v>23.651547610622686</v>
      </c>
      <c r="DH493" s="407">
        <v>0</v>
      </c>
      <c r="DI493" s="407">
        <v>-45.927027367206961</v>
      </c>
      <c r="DJ493" s="407"/>
      <c r="DK493" s="407">
        <v>0</v>
      </c>
      <c r="DL493" s="407">
        <v>0</v>
      </c>
      <c r="DM493" s="407">
        <v>0</v>
      </c>
      <c r="DN493" s="407">
        <v>0</v>
      </c>
      <c r="DO493" s="407">
        <v>-6.1819314989461844</v>
      </c>
      <c r="DP493" s="407">
        <v>-1.3990207141922646</v>
      </c>
      <c r="DQ493" s="407">
        <v>0</v>
      </c>
      <c r="DR493" s="407">
        <v>-166.89544466222975</v>
      </c>
      <c r="DS493" s="407"/>
      <c r="DT493" s="407"/>
      <c r="DU493" s="407"/>
      <c r="DV493" s="407">
        <v>4418.0541285180616</v>
      </c>
      <c r="DW493" s="407">
        <v>0</v>
      </c>
      <c r="DX493" s="407">
        <v>0</v>
      </c>
      <c r="DY493" s="407">
        <v>-2364.8535000000002</v>
      </c>
      <c r="DZ493" s="407">
        <v>290.66007000000013</v>
      </c>
      <c r="EA493" s="407">
        <v>0</v>
      </c>
      <c r="EB493" s="407">
        <v>0</v>
      </c>
      <c r="EC493" s="407">
        <v>-2256.752310322729</v>
      </c>
      <c r="ED493" s="407">
        <v>0</v>
      </c>
      <c r="EE493" s="407">
        <v>0</v>
      </c>
      <c r="EF493" s="407">
        <v>0</v>
      </c>
      <c r="EG493" s="407">
        <v>0</v>
      </c>
      <c r="EH493" s="407">
        <v>0</v>
      </c>
      <c r="EI493" s="407">
        <v>0</v>
      </c>
      <c r="EJ493" s="407">
        <v>0</v>
      </c>
      <c r="EK493" s="407">
        <v>0</v>
      </c>
      <c r="EL493" s="407">
        <v>0</v>
      </c>
      <c r="EM493" s="407">
        <v>0</v>
      </c>
      <c r="EN493" s="407">
        <v>0</v>
      </c>
      <c r="EO493" s="407">
        <v>0</v>
      </c>
      <c r="EP493" s="407">
        <v>310.59678724401778</v>
      </c>
      <c r="EQ493" s="407">
        <v>0</v>
      </c>
      <c r="ER493" s="407">
        <v>0</v>
      </c>
      <c r="ES493" s="407">
        <v>0</v>
      </c>
      <c r="ET493" s="407">
        <v>0</v>
      </c>
      <c r="EU493" s="407">
        <v>0</v>
      </c>
      <c r="EV493" s="407">
        <v>246</v>
      </c>
      <c r="EW493" s="407">
        <v>0</v>
      </c>
      <c r="EX493" s="407">
        <v>0</v>
      </c>
      <c r="EY493" s="407">
        <v>0</v>
      </c>
      <c r="EZ493" s="407"/>
      <c r="FA493" s="407">
        <v>0</v>
      </c>
      <c r="FB493" s="407"/>
      <c r="FC493" s="407"/>
      <c r="FD493" s="407"/>
      <c r="FE493" s="407"/>
      <c r="FF493" s="407">
        <v>0</v>
      </c>
      <c r="FG493" s="407">
        <v>0</v>
      </c>
      <c r="FH493" s="407">
        <v>0</v>
      </c>
      <c r="FI493" s="407">
        <v>0</v>
      </c>
    </row>
    <row r="494" spans="1:165">
      <c r="A494" s="407">
        <v>512</v>
      </c>
      <c r="B494" s="407" t="s">
        <v>1090</v>
      </c>
      <c r="C494" s="407" t="s">
        <v>2314</v>
      </c>
      <c r="D494" s="407" t="s">
        <v>650</v>
      </c>
      <c r="E494" s="407" t="s">
        <v>1026</v>
      </c>
      <c r="F494" s="407" t="s">
        <v>2323</v>
      </c>
      <c r="G494" s="407" t="s">
        <v>97</v>
      </c>
      <c r="H494" s="407" t="s">
        <v>97</v>
      </c>
      <c r="I494" s="407" t="s">
        <v>1025</v>
      </c>
      <c r="J494" s="407" t="s">
        <v>2307</v>
      </c>
      <c r="K494" s="818">
        <v>44593</v>
      </c>
      <c r="L494" s="407">
        <v>0</v>
      </c>
      <c r="M494" s="407">
        <v>0</v>
      </c>
      <c r="N494" s="407">
        <v>8.6349999999999998</v>
      </c>
      <c r="O494" s="407">
        <v>8.2896000000000001</v>
      </c>
      <c r="P494" s="407">
        <v>8.6349999999999998</v>
      </c>
      <c r="Q494" s="407">
        <v>8.2896000000000001</v>
      </c>
      <c r="R494" s="407"/>
      <c r="S494" s="407">
        <v>2810.7</v>
      </c>
      <c r="T494" s="407">
        <v>159.41</v>
      </c>
      <c r="U494" s="407"/>
      <c r="V494" s="407">
        <v>25646.899849999998</v>
      </c>
      <c r="W494" s="407">
        <v>25646.899849999998</v>
      </c>
      <c r="X494" s="407">
        <v>16334.74315</v>
      </c>
      <c r="Y494" s="407">
        <v>0</v>
      </c>
      <c r="Z494" s="407">
        <v>465.54840934539357</v>
      </c>
      <c r="AA494" s="407">
        <v>0</v>
      </c>
      <c r="AB494" s="407">
        <v>0</v>
      </c>
      <c r="AC494" s="407">
        <v>0</v>
      </c>
      <c r="AD494" s="407">
        <v>5271.8021488940076</v>
      </c>
      <c r="AE494" s="407">
        <v>18175.715686825177</v>
      </c>
      <c r="AF494" s="407">
        <v>1331.782238817696</v>
      </c>
      <c r="AG494" s="407">
        <v>44.74438740108598</v>
      </c>
      <c r="AH494" s="407">
        <v>0</v>
      </c>
      <c r="AI494" s="407">
        <v>0</v>
      </c>
      <c r="AJ494" s="407">
        <v>0</v>
      </c>
      <c r="AK494" s="407">
        <v>0</v>
      </c>
      <c r="AL494" s="407">
        <v>82.689237953658292</v>
      </c>
      <c r="AM494" s="407"/>
      <c r="AN494" s="407">
        <v>9.2716877692070359</v>
      </c>
      <c r="AO494" s="407">
        <v>0</v>
      </c>
      <c r="AP494" s="407">
        <v>0</v>
      </c>
      <c r="AQ494" s="407">
        <v>0</v>
      </c>
      <c r="AR494" s="407">
        <v>0</v>
      </c>
      <c r="AS494" s="407">
        <v>0</v>
      </c>
      <c r="AT494" s="407">
        <v>0</v>
      </c>
      <c r="AU494" s="407">
        <v>0</v>
      </c>
      <c r="AV494" s="407">
        <v>0</v>
      </c>
      <c r="AW494" s="407">
        <v>0</v>
      </c>
      <c r="AX494" s="407">
        <v>0</v>
      </c>
      <c r="AY494" s="407">
        <v>0</v>
      </c>
      <c r="AZ494" s="407">
        <v>0</v>
      </c>
      <c r="BA494" s="407"/>
      <c r="BB494" s="407">
        <v>0</v>
      </c>
      <c r="BC494" s="407">
        <v>0</v>
      </c>
      <c r="BD494" s="407">
        <v>0</v>
      </c>
      <c r="BE494" s="407">
        <v>0</v>
      </c>
      <c r="BF494" s="407">
        <v>0</v>
      </c>
      <c r="BG494" s="407">
        <v>44.814565089445438</v>
      </c>
      <c r="BH494" s="407">
        <v>0</v>
      </c>
      <c r="BI494" s="407">
        <v>0</v>
      </c>
      <c r="BJ494" s="407">
        <v>0</v>
      </c>
      <c r="BK494" s="407">
        <v>0</v>
      </c>
      <c r="BL494" s="407">
        <v>0</v>
      </c>
      <c r="BM494" s="407"/>
      <c r="BN494" s="407"/>
      <c r="BO494" s="407"/>
      <c r="BP494" s="407"/>
      <c r="BQ494" s="407"/>
      <c r="BR494" s="407">
        <v>653.38972599999943</v>
      </c>
      <c r="BS494" s="407"/>
      <c r="BT494" s="407"/>
      <c r="BU494" s="407"/>
      <c r="BV494" s="407">
        <v>1376.5968039071415</v>
      </c>
      <c r="BW494" s="407"/>
      <c r="BX494" s="407"/>
      <c r="BY494" s="407"/>
      <c r="BZ494" s="407"/>
      <c r="CA494" s="407"/>
      <c r="CB494" s="407"/>
      <c r="CC494" s="407"/>
      <c r="CD494" s="407"/>
      <c r="CE494" s="407"/>
      <c r="CF494" s="407"/>
      <c r="CG494" s="407"/>
      <c r="CH494" s="407"/>
      <c r="CI494" s="407">
        <v>15682.110099999998</v>
      </c>
      <c r="CJ494" s="407">
        <v>-8938.9437559999933</v>
      </c>
      <c r="CK494" s="407"/>
      <c r="CL494" s="407"/>
      <c r="CM494" s="407"/>
      <c r="CN494" s="407"/>
      <c r="CO494" s="407">
        <v>-9549.3601499999986</v>
      </c>
      <c r="CP494" s="407">
        <v>237.20344999999998</v>
      </c>
      <c r="CQ494" s="407">
        <v>29</v>
      </c>
      <c r="CR494" s="407">
        <v>-27.913475051316709</v>
      </c>
      <c r="CS494" s="407">
        <v>0</v>
      </c>
      <c r="CT494" s="407">
        <v>0</v>
      </c>
      <c r="CU494" s="407">
        <v>0</v>
      </c>
      <c r="CV494" s="407">
        <v>0</v>
      </c>
      <c r="CW494" s="407">
        <v>0</v>
      </c>
      <c r="CX494" s="407">
        <v>0</v>
      </c>
      <c r="CY494" s="407">
        <v>0</v>
      </c>
      <c r="CZ494" s="407">
        <v>238.13775604774037</v>
      </c>
      <c r="DA494" s="407">
        <v>0</v>
      </c>
      <c r="DB494" s="407">
        <v>0</v>
      </c>
      <c r="DC494" s="407">
        <v>264.05645338569184</v>
      </c>
      <c r="DD494" s="407">
        <v>0</v>
      </c>
      <c r="DE494" s="407">
        <v>0</v>
      </c>
      <c r="DF494" s="407">
        <v>0</v>
      </c>
      <c r="DG494" s="407">
        <v>8.8855180468892598</v>
      </c>
      <c r="DH494" s="407">
        <v>0</v>
      </c>
      <c r="DI494" s="407">
        <v>-32.607928999600801</v>
      </c>
      <c r="DJ494" s="407"/>
      <c r="DK494" s="407">
        <v>0</v>
      </c>
      <c r="DL494" s="407">
        <v>0</v>
      </c>
      <c r="DM494" s="407">
        <v>0</v>
      </c>
      <c r="DN494" s="407">
        <v>0</v>
      </c>
      <c r="DO494" s="407">
        <v>-5.0449842636235047</v>
      </c>
      <c r="DP494" s="407">
        <v>-0.59076956091776012</v>
      </c>
      <c r="DQ494" s="407">
        <v>0</v>
      </c>
      <c r="DR494" s="407">
        <v>-500.74951970749589</v>
      </c>
      <c r="DS494" s="407"/>
      <c r="DT494" s="407"/>
      <c r="DU494" s="407"/>
      <c r="DV494" s="407">
        <v>18175.715686825177</v>
      </c>
      <c r="DW494" s="407">
        <v>0</v>
      </c>
      <c r="DX494" s="407">
        <v>0</v>
      </c>
      <c r="DY494" s="407">
        <v>-9549.3601499999986</v>
      </c>
      <c r="DZ494" s="407">
        <v>237.20344999999998</v>
      </c>
      <c r="EA494" s="407">
        <v>0</v>
      </c>
      <c r="EB494" s="407">
        <v>0</v>
      </c>
      <c r="EC494" s="407">
        <v>-9284.1977881719995</v>
      </c>
      <c r="ED494" s="407">
        <v>0</v>
      </c>
      <c r="EE494" s="407">
        <v>0</v>
      </c>
      <c r="EF494" s="407">
        <v>0</v>
      </c>
      <c r="EG494" s="407">
        <v>0</v>
      </c>
      <c r="EH494" s="407">
        <v>0</v>
      </c>
      <c r="EI494" s="407">
        <v>0</v>
      </c>
      <c r="EJ494" s="407">
        <v>0</v>
      </c>
      <c r="EK494" s="407">
        <v>0</v>
      </c>
      <c r="EL494" s="407">
        <v>0</v>
      </c>
      <c r="EM494" s="407">
        <v>0</v>
      </c>
      <c r="EN494" s="407">
        <v>0</v>
      </c>
      <c r="EO494" s="407">
        <v>0</v>
      </c>
      <c r="EP494" s="407">
        <v>220.52195769126928</v>
      </c>
      <c r="EQ494" s="407">
        <v>0</v>
      </c>
      <c r="ER494" s="407">
        <v>0</v>
      </c>
      <c r="ES494" s="407">
        <v>0</v>
      </c>
      <c r="ET494" s="407">
        <v>0</v>
      </c>
      <c r="EU494" s="407">
        <v>0</v>
      </c>
      <c r="EV494" s="407">
        <v>246</v>
      </c>
      <c r="EW494" s="407">
        <v>0</v>
      </c>
      <c r="EX494" s="407">
        <v>0</v>
      </c>
      <c r="EY494" s="407">
        <v>0</v>
      </c>
      <c r="EZ494" s="407"/>
      <c r="FA494" s="407">
        <v>0</v>
      </c>
      <c r="FB494" s="407"/>
      <c r="FC494" s="407"/>
      <c r="FD494" s="407"/>
      <c r="FE494" s="407"/>
      <c r="FF494" s="407">
        <v>0</v>
      </c>
      <c r="FG494" s="407">
        <v>0</v>
      </c>
      <c r="FH494" s="407">
        <v>0</v>
      </c>
      <c r="FI494" s="407">
        <v>0</v>
      </c>
    </row>
    <row r="495" spans="1:165">
      <c r="A495" s="407">
        <v>513</v>
      </c>
      <c r="B495" s="407" t="s">
        <v>2309</v>
      </c>
      <c r="C495" s="407" t="s">
        <v>2314</v>
      </c>
      <c r="D495" s="407" t="s">
        <v>650</v>
      </c>
      <c r="E495" s="407" t="s">
        <v>1026</v>
      </c>
      <c r="F495" s="407" t="s">
        <v>2323</v>
      </c>
      <c r="G495" s="407" t="s">
        <v>97</v>
      </c>
      <c r="H495" s="407" t="s">
        <v>97</v>
      </c>
      <c r="I495" s="407" t="s">
        <v>1025</v>
      </c>
      <c r="J495" s="407" t="s">
        <v>2307</v>
      </c>
      <c r="K495" s="818">
        <v>44593</v>
      </c>
      <c r="L495" s="407">
        <v>0</v>
      </c>
      <c r="M495" s="407">
        <v>0</v>
      </c>
      <c r="N495" s="407">
        <v>2.1429999999999998</v>
      </c>
      <c r="O495" s="407">
        <v>2.05728</v>
      </c>
      <c r="P495" s="407">
        <v>2.1429999999999998</v>
      </c>
      <c r="Q495" s="407">
        <v>2.05728</v>
      </c>
      <c r="R495" s="407"/>
      <c r="S495" s="407">
        <v>2810.7</v>
      </c>
      <c r="T495" s="407">
        <v>159.41</v>
      </c>
      <c r="U495" s="407"/>
      <c r="V495" s="407">
        <v>6364.9457299999995</v>
      </c>
      <c r="W495" s="407">
        <v>6364.9457299999995</v>
      </c>
      <c r="X495" s="407">
        <v>4053.8916699999995</v>
      </c>
      <c r="Y495" s="407">
        <v>0</v>
      </c>
      <c r="Z495" s="407">
        <v>115.53795497709072</v>
      </c>
      <c r="AA495" s="407">
        <v>0</v>
      </c>
      <c r="AB495" s="407">
        <v>0</v>
      </c>
      <c r="AC495" s="407">
        <v>0</v>
      </c>
      <c r="AD495" s="407">
        <v>1308.3349166276616</v>
      </c>
      <c r="AE495" s="407">
        <v>4510.7769214668624</v>
      </c>
      <c r="AF495" s="407">
        <v>330.51642591619253</v>
      </c>
      <c r="AG495" s="407">
        <v>11.104484331271252</v>
      </c>
      <c r="AH495" s="407">
        <v>0</v>
      </c>
      <c r="AI495" s="407">
        <v>0</v>
      </c>
      <c r="AJ495" s="407">
        <v>0</v>
      </c>
      <c r="AK495" s="407">
        <v>0</v>
      </c>
      <c r="AL495" s="407">
        <v>20.521486616640384</v>
      </c>
      <c r="AM495" s="407"/>
      <c r="AN495" s="407">
        <v>2.3010106415067373</v>
      </c>
      <c r="AO495" s="407">
        <v>0</v>
      </c>
      <c r="AP495" s="407">
        <v>0</v>
      </c>
      <c r="AQ495" s="407">
        <v>0</v>
      </c>
      <c r="AR495" s="407">
        <v>0</v>
      </c>
      <c r="AS495" s="407">
        <v>0</v>
      </c>
      <c r="AT495" s="407">
        <v>0</v>
      </c>
      <c r="AU495" s="407">
        <v>0</v>
      </c>
      <c r="AV495" s="407">
        <v>0</v>
      </c>
      <c r="AW495" s="407">
        <v>0</v>
      </c>
      <c r="AX495" s="407">
        <v>0</v>
      </c>
      <c r="AY495" s="407">
        <v>0</v>
      </c>
      <c r="AZ495" s="407">
        <v>0</v>
      </c>
      <c r="BA495" s="407"/>
      <c r="BB495" s="407">
        <v>0</v>
      </c>
      <c r="BC495" s="407">
        <v>0</v>
      </c>
      <c r="BD495" s="407">
        <v>0</v>
      </c>
      <c r="BE495" s="407">
        <v>0</v>
      </c>
      <c r="BF495" s="407">
        <v>0</v>
      </c>
      <c r="BG495" s="407">
        <v>11.121900751208056</v>
      </c>
      <c r="BH495" s="407">
        <v>0</v>
      </c>
      <c r="BI495" s="407">
        <v>0</v>
      </c>
      <c r="BJ495" s="407">
        <v>0</v>
      </c>
      <c r="BK495" s="407">
        <v>0</v>
      </c>
      <c r="BL495" s="407">
        <v>0</v>
      </c>
      <c r="BM495" s="407"/>
      <c r="BN495" s="407"/>
      <c r="BO495" s="407"/>
      <c r="BP495" s="407"/>
      <c r="BQ495" s="407"/>
      <c r="BR495" s="407">
        <v>162.15566679999961</v>
      </c>
      <c r="BS495" s="407"/>
      <c r="BT495" s="407"/>
      <c r="BU495" s="407"/>
      <c r="BV495" s="407">
        <v>341.63832666740058</v>
      </c>
      <c r="BW495" s="407"/>
      <c r="BX495" s="407"/>
      <c r="BY495" s="407"/>
      <c r="BZ495" s="407"/>
      <c r="CA495" s="407"/>
      <c r="CB495" s="407"/>
      <c r="CC495" s="407"/>
      <c r="CD495" s="407"/>
      <c r="CE495" s="407"/>
      <c r="CF495" s="407"/>
      <c r="CG495" s="407"/>
      <c r="CH495" s="407"/>
      <c r="CI495" s="407">
        <v>3896.8813999999998</v>
      </c>
      <c r="CJ495" s="407">
        <v>-2213.4965008000004</v>
      </c>
      <c r="CK495" s="407"/>
      <c r="CL495" s="407"/>
      <c r="CM495" s="407"/>
      <c r="CN495" s="407"/>
      <c r="CO495" s="407">
        <v>-2369.9222699999996</v>
      </c>
      <c r="CP495" s="407">
        <v>58.868209999999991</v>
      </c>
      <c r="CQ495" s="407">
        <v>29</v>
      </c>
      <c r="CR495" s="407">
        <v>-6.9274553601592288</v>
      </c>
      <c r="CS495" s="407">
        <v>0</v>
      </c>
      <c r="CT495" s="407">
        <v>0</v>
      </c>
      <c r="CU495" s="407">
        <v>0</v>
      </c>
      <c r="CV495" s="407">
        <v>0</v>
      </c>
      <c r="CW495" s="407">
        <v>0</v>
      </c>
      <c r="CX495" s="407">
        <v>0</v>
      </c>
      <c r="CY495" s="407">
        <v>0</v>
      </c>
      <c r="CZ495" s="407">
        <v>59.100082363671845</v>
      </c>
      <c r="DA495" s="407">
        <v>0</v>
      </c>
      <c r="DB495" s="407">
        <v>0</v>
      </c>
      <c r="DC495" s="407">
        <v>65.532481714596088</v>
      </c>
      <c r="DD495" s="407">
        <v>0</v>
      </c>
      <c r="DE495" s="407">
        <v>0</v>
      </c>
      <c r="DF495" s="407">
        <v>0</v>
      </c>
      <c r="DG495" s="407">
        <v>2.2051725737676531</v>
      </c>
      <c r="DH495" s="407">
        <v>0</v>
      </c>
      <c r="DI495" s="407">
        <v>-8.0925062937052132</v>
      </c>
      <c r="DJ495" s="407"/>
      <c r="DK495" s="407">
        <v>0</v>
      </c>
      <c r="DL495" s="407">
        <v>0</v>
      </c>
      <c r="DM495" s="407">
        <v>0</v>
      </c>
      <c r="DN495" s="407">
        <v>0</v>
      </c>
      <c r="DO495" s="407">
        <v>-1.2520441548286243</v>
      </c>
      <c r="DP495" s="407">
        <v>-0.14661484297009375</v>
      </c>
      <c r="DQ495" s="407">
        <v>0</v>
      </c>
      <c r="DR495" s="407">
        <v>-124.27402672069063</v>
      </c>
      <c r="DS495" s="407"/>
      <c r="DT495" s="407"/>
      <c r="DU495" s="407"/>
      <c r="DV495" s="407">
        <v>4510.7769214668624</v>
      </c>
      <c r="DW495" s="407">
        <v>0</v>
      </c>
      <c r="DX495" s="407">
        <v>0</v>
      </c>
      <c r="DY495" s="407">
        <v>-2369.9222699999996</v>
      </c>
      <c r="DZ495" s="407">
        <v>58.868209999999976</v>
      </c>
      <c r="EA495" s="407">
        <v>0</v>
      </c>
      <c r="EB495" s="407">
        <v>0</v>
      </c>
      <c r="EC495" s="407">
        <v>-2304.1153283210888</v>
      </c>
      <c r="ED495" s="407">
        <v>0</v>
      </c>
      <c r="EE495" s="407">
        <v>0</v>
      </c>
      <c r="EF495" s="407">
        <v>0</v>
      </c>
      <c r="EG495" s="407">
        <v>0</v>
      </c>
      <c r="EH495" s="407">
        <v>0</v>
      </c>
      <c r="EI495" s="407">
        <v>0</v>
      </c>
      <c r="EJ495" s="407">
        <v>0</v>
      </c>
      <c r="EK495" s="407">
        <v>0</v>
      </c>
      <c r="EL495" s="407">
        <v>0</v>
      </c>
      <c r="EM495" s="407">
        <v>0</v>
      </c>
      <c r="EN495" s="407">
        <v>0</v>
      </c>
      <c r="EO495" s="407">
        <v>0</v>
      </c>
      <c r="EP495" s="407">
        <v>54.728263501145342</v>
      </c>
      <c r="EQ495" s="407">
        <v>0</v>
      </c>
      <c r="ER495" s="407">
        <v>0</v>
      </c>
      <c r="ES495" s="407">
        <v>0</v>
      </c>
      <c r="ET495" s="407">
        <v>0</v>
      </c>
      <c r="EU495" s="407">
        <v>0</v>
      </c>
      <c r="EV495" s="407">
        <v>246</v>
      </c>
      <c r="EW495" s="407">
        <v>0</v>
      </c>
      <c r="EX495" s="407">
        <v>0</v>
      </c>
      <c r="EY495" s="407">
        <v>0</v>
      </c>
      <c r="EZ495" s="407"/>
      <c r="FA495" s="407">
        <v>0</v>
      </c>
      <c r="FB495" s="407"/>
      <c r="FC495" s="407"/>
      <c r="FD495" s="407"/>
      <c r="FE495" s="407"/>
      <c r="FF495" s="407">
        <v>0</v>
      </c>
      <c r="FG495" s="407">
        <v>0</v>
      </c>
      <c r="FH495" s="407">
        <v>0</v>
      </c>
      <c r="FI495" s="407">
        <v>0</v>
      </c>
    </row>
    <row r="496" spans="1:165">
      <c r="A496" s="407">
        <v>514</v>
      </c>
      <c r="B496" s="407" t="s">
        <v>1090</v>
      </c>
      <c r="C496" s="407" t="s">
        <v>2314</v>
      </c>
      <c r="D496" s="407" t="s">
        <v>650</v>
      </c>
      <c r="E496" s="407" t="s">
        <v>1026</v>
      </c>
      <c r="F496" s="407" t="s">
        <v>2323</v>
      </c>
      <c r="G496" s="407" t="s">
        <v>97</v>
      </c>
      <c r="H496" s="407" t="s">
        <v>97</v>
      </c>
      <c r="I496" s="407" t="s">
        <v>2290</v>
      </c>
      <c r="J496" s="407" t="s">
        <v>2307</v>
      </c>
      <c r="K496" s="818">
        <v>44593</v>
      </c>
      <c r="L496" s="407">
        <v>0</v>
      </c>
      <c r="M496" s="407">
        <v>0</v>
      </c>
      <c r="N496" s="407">
        <v>455.95800000000003</v>
      </c>
      <c r="O496" s="407">
        <v>437.71967999999998</v>
      </c>
      <c r="P496" s="407">
        <v>455.95800000000003</v>
      </c>
      <c r="Q496" s="407">
        <v>437.71967999999998</v>
      </c>
      <c r="R496" s="407"/>
      <c r="S496" s="407">
        <v>95.29</v>
      </c>
      <c r="T496" s="407">
        <v>159.41</v>
      </c>
      <c r="U496" s="407"/>
      <c r="V496" s="407">
        <v>116132.50260000001</v>
      </c>
      <c r="W496" s="407">
        <v>116132.50260000001</v>
      </c>
      <c r="X496" s="407">
        <v>126259.32978</v>
      </c>
      <c r="Y496" s="407">
        <v>0</v>
      </c>
      <c r="Z496" s="407">
        <v>24582.573436978226</v>
      </c>
      <c r="AA496" s="407">
        <v>0</v>
      </c>
      <c r="AB496" s="407">
        <v>0</v>
      </c>
      <c r="AC496" s="407">
        <v>0</v>
      </c>
      <c r="AD496" s="407">
        <v>0</v>
      </c>
      <c r="AE496" s="407">
        <v>0</v>
      </c>
      <c r="AF496" s="407">
        <v>70322.729131075757</v>
      </c>
      <c r="AG496" s="407">
        <v>2362.6591071944836</v>
      </c>
      <c r="AH496" s="407">
        <v>0</v>
      </c>
      <c r="AI496" s="407">
        <v>0</v>
      </c>
      <c r="AJ496" s="407">
        <v>0</v>
      </c>
      <c r="AK496" s="407">
        <v>0</v>
      </c>
      <c r="AL496" s="407">
        <v>4366.2790456136809</v>
      </c>
      <c r="AM496" s="407"/>
      <c r="AN496" s="407">
        <v>489.57732621564583</v>
      </c>
      <c r="AO496" s="407">
        <v>0</v>
      </c>
      <c r="AP496" s="407">
        <v>0</v>
      </c>
      <c r="AQ496" s="407">
        <v>0</v>
      </c>
      <c r="AR496" s="407">
        <v>0</v>
      </c>
      <c r="AS496" s="407">
        <v>0</v>
      </c>
      <c r="AT496" s="407">
        <v>0</v>
      </c>
      <c r="AU496" s="407">
        <v>0</v>
      </c>
      <c r="AV496" s="407">
        <v>0</v>
      </c>
      <c r="AW496" s="407">
        <v>0</v>
      </c>
      <c r="AX496" s="407">
        <v>0</v>
      </c>
      <c r="AY496" s="407">
        <v>0</v>
      </c>
      <c r="AZ496" s="407">
        <v>0</v>
      </c>
      <c r="BA496" s="407"/>
      <c r="BB496" s="407">
        <v>0</v>
      </c>
      <c r="BC496" s="407">
        <v>0</v>
      </c>
      <c r="BD496" s="407">
        <v>0</v>
      </c>
      <c r="BE496" s="407">
        <v>0</v>
      </c>
      <c r="BF496" s="407">
        <v>0</v>
      </c>
      <c r="BG496" s="407">
        <v>2366.3647329534874</v>
      </c>
      <c r="BH496" s="407">
        <v>0</v>
      </c>
      <c r="BI496" s="407">
        <v>0</v>
      </c>
      <c r="BJ496" s="407">
        <v>0</v>
      </c>
      <c r="BK496" s="407">
        <v>0</v>
      </c>
      <c r="BL496" s="407">
        <v>0</v>
      </c>
      <c r="BM496" s="407"/>
      <c r="BN496" s="407"/>
      <c r="BO496" s="407"/>
      <c r="BP496" s="407"/>
      <c r="BQ496" s="407"/>
      <c r="BR496" s="407">
        <v>5050.3731912000121</v>
      </c>
      <c r="BS496" s="407"/>
      <c r="BT496" s="407"/>
      <c r="BU496" s="407"/>
      <c r="BV496" s="407">
        <v>72689.093864029244</v>
      </c>
      <c r="BW496" s="407"/>
      <c r="BX496" s="407"/>
      <c r="BY496" s="407"/>
      <c r="BZ496" s="407"/>
      <c r="CA496" s="407"/>
      <c r="CB496" s="407"/>
      <c r="CC496" s="407"/>
      <c r="CD496" s="407"/>
      <c r="CE496" s="407"/>
      <c r="CF496" s="407"/>
      <c r="CG496" s="407"/>
      <c r="CH496" s="407"/>
      <c r="CI496" s="407">
        <v>121209.04519999999</v>
      </c>
      <c r="CJ496" s="407">
        <v>9721.8127039999963</v>
      </c>
      <c r="CK496" s="407"/>
      <c r="CL496" s="407"/>
      <c r="CM496" s="407"/>
      <c r="CN496" s="407"/>
      <c r="CO496" s="407">
        <v>-2398.3390800000025</v>
      </c>
      <c r="CP496" s="407">
        <v>12525.16626</v>
      </c>
      <c r="CQ496" s="407">
        <v>29</v>
      </c>
      <c r="CR496" s="407">
        <v>10125.385992323165</v>
      </c>
      <c r="CS496" s="407">
        <v>0</v>
      </c>
      <c r="CT496" s="407">
        <v>0</v>
      </c>
      <c r="CU496" s="407">
        <v>0</v>
      </c>
      <c r="CV496" s="407">
        <v>0</v>
      </c>
      <c r="CW496" s="407">
        <v>0</v>
      </c>
      <c r="CX496" s="407">
        <v>0</v>
      </c>
      <c r="CY496" s="407">
        <v>0</v>
      </c>
      <c r="CZ496" s="407">
        <v>0</v>
      </c>
      <c r="DA496" s="407">
        <v>0</v>
      </c>
      <c r="DB496" s="407">
        <v>0</v>
      </c>
      <c r="DC496" s="407">
        <v>13943.098132348954</v>
      </c>
      <c r="DD496" s="407">
        <v>0</v>
      </c>
      <c r="DE496" s="407">
        <v>0</v>
      </c>
      <c r="DF496" s="407">
        <v>0</v>
      </c>
      <c r="DG496" s="407">
        <v>469.18622323376212</v>
      </c>
      <c r="DH496" s="407">
        <v>0</v>
      </c>
      <c r="DI496" s="407">
        <v>-1721.8119387145343</v>
      </c>
      <c r="DJ496" s="407"/>
      <c r="DK496" s="407">
        <v>0</v>
      </c>
      <c r="DL496" s="407">
        <v>0</v>
      </c>
      <c r="DM496" s="407">
        <v>0</v>
      </c>
      <c r="DN496" s="407">
        <v>0</v>
      </c>
      <c r="DO496" s="407">
        <v>-266.39269656899251</v>
      </c>
      <c r="DP496" s="407">
        <v>-31.194685287427887</v>
      </c>
      <c r="DQ496" s="407">
        <v>0</v>
      </c>
      <c r="DR496" s="407">
        <v>-2267.4990426885747</v>
      </c>
      <c r="DS496" s="407"/>
      <c r="DT496" s="407"/>
      <c r="DU496" s="407"/>
      <c r="DV496" s="407">
        <v>0</v>
      </c>
      <c r="DW496" s="407">
        <v>0</v>
      </c>
      <c r="DX496" s="407">
        <v>0</v>
      </c>
      <c r="DY496" s="407">
        <v>-2398.3390799999979</v>
      </c>
      <c r="DZ496" s="407">
        <v>12525.166259999998</v>
      </c>
      <c r="EA496" s="407">
        <v>0</v>
      </c>
      <c r="EB496" s="407">
        <v>0</v>
      </c>
      <c r="EC496" s="407">
        <v>0</v>
      </c>
      <c r="ED496" s="407">
        <v>0</v>
      </c>
      <c r="EE496" s="407">
        <v>0</v>
      </c>
      <c r="EF496" s="407">
        <v>0</v>
      </c>
      <c r="EG496" s="407">
        <v>0</v>
      </c>
      <c r="EH496" s="407">
        <v>0</v>
      </c>
      <c r="EI496" s="407">
        <v>0</v>
      </c>
      <c r="EJ496" s="407">
        <v>0</v>
      </c>
      <c r="EK496" s="407">
        <v>0</v>
      </c>
      <c r="EL496" s="407">
        <v>0</v>
      </c>
      <c r="EM496" s="407">
        <v>0</v>
      </c>
      <c r="EN496" s="407">
        <v>0</v>
      </c>
      <c r="EO496" s="407">
        <v>0</v>
      </c>
      <c r="EP496" s="407">
        <v>11644.325510711727</v>
      </c>
      <c r="EQ496" s="407">
        <v>0</v>
      </c>
      <c r="ER496" s="407">
        <v>0</v>
      </c>
      <c r="ES496" s="407">
        <v>0</v>
      </c>
      <c r="ET496" s="407">
        <v>0</v>
      </c>
      <c r="EU496" s="407">
        <v>0</v>
      </c>
      <c r="EV496" s="407">
        <v>246</v>
      </c>
      <c r="EW496" s="407">
        <v>0</v>
      </c>
      <c r="EX496" s="407">
        <v>0</v>
      </c>
      <c r="EY496" s="407">
        <v>0</v>
      </c>
      <c r="EZ496" s="407"/>
      <c r="FA496" s="407">
        <v>0</v>
      </c>
      <c r="FB496" s="407"/>
      <c r="FC496" s="407"/>
      <c r="FD496" s="407"/>
      <c r="FE496" s="407"/>
      <c r="FF496" s="407">
        <v>0</v>
      </c>
      <c r="FG496" s="407">
        <v>0</v>
      </c>
      <c r="FH496" s="407">
        <v>0</v>
      </c>
      <c r="FI496" s="407">
        <v>0</v>
      </c>
    </row>
    <row r="497" spans="1:165">
      <c r="A497" s="407">
        <v>515</v>
      </c>
      <c r="B497" s="407" t="s">
        <v>2309</v>
      </c>
      <c r="C497" s="407" t="s">
        <v>2314</v>
      </c>
      <c r="D497" s="407" t="s">
        <v>650</v>
      </c>
      <c r="E497" s="407" t="s">
        <v>1026</v>
      </c>
      <c r="F497" s="407" t="s">
        <v>2323</v>
      </c>
      <c r="G497" s="407" t="s">
        <v>97</v>
      </c>
      <c r="H497" s="407" t="s">
        <v>97</v>
      </c>
      <c r="I497" s="407" t="s">
        <v>2290</v>
      </c>
      <c r="J497" s="407" t="s">
        <v>2307</v>
      </c>
      <c r="K497" s="818">
        <v>44593</v>
      </c>
      <c r="L497" s="407">
        <v>0</v>
      </c>
      <c r="M497" s="407">
        <v>0</v>
      </c>
      <c r="N497" s="407">
        <v>73.203999999999994</v>
      </c>
      <c r="O497" s="407">
        <v>70.275840000000002</v>
      </c>
      <c r="P497" s="407">
        <v>73.203999999999994</v>
      </c>
      <c r="Q497" s="407">
        <v>70.275840000000002</v>
      </c>
      <c r="R497" s="407"/>
      <c r="S497" s="407">
        <v>95.29</v>
      </c>
      <c r="T497" s="407">
        <v>159.41</v>
      </c>
      <c r="U497" s="407"/>
      <c r="V497" s="407">
        <v>18645.058799999999</v>
      </c>
      <c r="W497" s="407">
        <v>18645.058799999999</v>
      </c>
      <c r="X497" s="407">
        <v>20270.91964</v>
      </c>
      <c r="Y497" s="407">
        <v>0</v>
      </c>
      <c r="Z497" s="407">
        <v>3946.7290975935366</v>
      </c>
      <c r="AA497" s="407">
        <v>0</v>
      </c>
      <c r="AB497" s="407">
        <v>0</v>
      </c>
      <c r="AC497" s="407">
        <v>0</v>
      </c>
      <c r="AD497" s="407">
        <v>0</v>
      </c>
      <c r="AE497" s="407">
        <v>0</v>
      </c>
      <c r="AF497" s="407">
        <v>11290.305386266429</v>
      </c>
      <c r="AG497" s="407">
        <v>379.32462481865639</v>
      </c>
      <c r="AH497" s="407">
        <v>0</v>
      </c>
      <c r="AI497" s="407">
        <v>0</v>
      </c>
      <c r="AJ497" s="407">
        <v>0</v>
      </c>
      <c r="AK497" s="407">
        <v>0</v>
      </c>
      <c r="AL497" s="407">
        <v>701.00555589572684</v>
      </c>
      <c r="AM497" s="407"/>
      <c r="AN497" s="407">
        <v>78.601578628492391</v>
      </c>
      <c r="AO497" s="407">
        <v>0</v>
      </c>
      <c r="AP497" s="407">
        <v>0</v>
      </c>
      <c r="AQ497" s="407">
        <v>0</v>
      </c>
      <c r="AR497" s="407">
        <v>0</v>
      </c>
      <c r="AS497" s="407">
        <v>0</v>
      </c>
      <c r="AT497" s="407">
        <v>0</v>
      </c>
      <c r="AU497" s="407">
        <v>0</v>
      </c>
      <c r="AV497" s="407">
        <v>0</v>
      </c>
      <c r="AW497" s="407">
        <v>0</v>
      </c>
      <c r="AX497" s="407">
        <v>0</v>
      </c>
      <c r="AY497" s="407">
        <v>0</v>
      </c>
      <c r="AZ497" s="407">
        <v>0</v>
      </c>
      <c r="BA497" s="407"/>
      <c r="BB497" s="407">
        <v>0</v>
      </c>
      <c r="BC497" s="407">
        <v>0</v>
      </c>
      <c r="BD497" s="407">
        <v>0</v>
      </c>
      <c r="BE497" s="407">
        <v>0</v>
      </c>
      <c r="BF497" s="407">
        <v>0</v>
      </c>
      <c r="BG497" s="407">
        <v>379.91956257183131</v>
      </c>
      <c r="BH497" s="407">
        <v>0</v>
      </c>
      <c r="BI497" s="407">
        <v>0</v>
      </c>
      <c r="BJ497" s="407">
        <v>0</v>
      </c>
      <c r="BK497" s="407">
        <v>0</v>
      </c>
      <c r="BL497" s="407">
        <v>0</v>
      </c>
      <c r="BM497" s="407"/>
      <c r="BN497" s="407"/>
      <c r="BO497" s="407"/>
      <c r="BP497" s="407"/>
      <c r="BQ497" s="407"/>
      <c r="BR497" s="407">
        <v>810.83678559999748</v>
      </c>
      <c r="BS497" s="407"/>
      <c r="BT497" s="407"/>
      <c r="BU497" s="407"/>
      <c r="BV497" s="407">
        <v>11670.22494883826</v>
      </c>
      <c r="BW497" s="407"/>
      <c r="BX497" s="407"/>
      <c r="BY497" s="407"/>
      <c r="BZ497" s="407"/>
      <c r="CA497" s="407"/>
      <c r="CB497" s="407"/>
      <c r="CC497" s="407"/>
      <c r="CD497" s="407"/>
      <c r="CE497" s="407"/>
      <c r="CF497" s="407"/>
      <c r="CG497" s="407"/>
      <c r="CH497" s="407"/>
      <c r="CI497" s="407">
        <v>19461.234799999998</v>
      </c>
      <c r="CJ497" s="407">
        <v>1561.9483519999958</v>
      </c>
      <c r="CK497" s="407"/>
      <c r="CL497" s="407"/>
      <c r="CM497" s="407"/>
      <c r="CN497" s="407"/>
      <c r="CO497" s="407">
        <v>-385.05304000000035</v>
      </c>
      <c r="CP497" s="407">
        <v>2010.9138799999998</v>
      </c>
      <c r="CQ497" s="407">
        <v>29</v>
      </c>
      <c r="CR497" s="407">
        <v>1625.6294574983367</v>
      </c>
      <c r="CS497" s="407">
        <v>0</v>
      </c>
      <c r="CT497" s="407">
        <v>0</v>
      </c>
      <c r="CU497" s="407">
        <v>0</v>
      </c>
      <c r="CV497" s="407">
        <v>0</v>
      </c>
      <c r="CW497" s="407">
        <v>0</v>
      </c>
      <c r="CX497" s="407">
        <v>0</v>
      </c>
      <c r="CY497" s="407">
        <v>0</v>
      </c>
      <c r="CZ497" s="407">
        <v>0</v>
      </c>
      <c r="DA497" s="407">
        <v>0</v>
      </c>
      <c r="DB497" s="407">
        <v>0</v>
      </c>
      <c r="DC497" s="407">
        <v>2238.5626651587936</v>
      </c>
      <c r="DD497" s="407">
        <v>0</v>
      </c>
      <c r="DE497" s="407">
        <v>0</v>
      </c>
      <c r="DF497" s="407">
        <v>0</v>
      </c>
      <c r="DG497" s="407">
        <v>75.327789589401448</v>
      </c>
      <c r="DH497" s="407">
        <v>0</v>
      </c>
      <c r="DI497" s="407">
        <v>-276.43669189192588</v>
      </c>
      <c r="DJ497" s="407"/>
      <c r="DK497" s="407">
        <v>0</v>
      </c>
      <c r="DL497" s="407">
        <v>0</v>
      </c>
      <c r="DM497" s="407">
        <v>0</v>
      </c>
      <c r="DN497" s="407">
        <v>0</v>
      </c>
      <c r="DO497" s="407">
        <v>-42.769314190422051</v>
      </c>
      <c r="DP497" s="407">
        <v>-5.0083028300432773</v>
      </c>
      <c r="DQ497" s="407">
        <v>0</v>
      </c>
      <c r="DR497" s="407">
        <v>-364.04668833746615</v>
      </c>
      <c r="DS497" s="407"/>
      <c r="DT497" s="407"/>
      <c r="DU497" s="407"/>
      <c r="DV497" s="407">
        <v>0</v>
      </c>
      <c r="DW497" s="407">
        <v>0</v>
      </c>
      <c r="DX497" s="407">
        <v>0</v>
      </c>
      <c r="DY497" s="407">
        <v>-385.05304000000069</v>
      </c>
      <c r="DZ497" s="407">
        <v>2010.9138800000001</v>
      </c>
      <c r="EA497" s="407">
        <v>0</v>
      </c>
      <c r="EB497" s="407">
        <v>0</v>
      </c>
      <c r="EC497" s="407">
        <v>0</v>
      </c>
      <c r="ED497" s="407">
        <v>0</v>
      </c>
      <c r="EE497" s="407">
        <v>0</v>
      </c>
      <c r="EF497" s="407">
        <v>0</v>
      </c>
      <c r="EG497" s="407">
        <v>0</v>
      </c>
      <c r="EH497" s="407">
        <v>0</v>
      </c>
      <c r="EI497" s="407">
        <v>0</v>
      </c>
      <c r="EJ497" s="407">
        <v>0</v>
      </c>
      <c r="EK497" s="407">
        <v>0</v>
      </c>
      <c r="EL497" s="407">
        <v>0</v>
      </c>
      <c r="EM497" s="407">
        <v>0</v>
      </c>
      <c r="EN497" s="407">
        <v>0</v>
      </c>
      <c r="EO497" s="407">
        <v>0</v>
      </c>
      <c r="EP497" s="407">
        <v>1869.4950076238188</v>
      </c>
      <c r="EQ497" s="407">
        <v>0</v>
      </c>
      <c r="ER497" s="407">
        <v>0</v>
      </c>
      <c r="ES497" s="407">
        <v>0</v>
      </c>
      <c r="ET497" s="407">
        <v>0</v>
      </c>
      <c r="EU497" s="407">
        <v>0</v>
      </c>
      <c r="EV497" s="407">
        <v>246</v>
      </c>
      <c r="EW497" s="407">
        <v>0</v>
      </c>
      <c r="EX497" s="407">
        <v>0</v>
      </c>
      <c r="EY497" s="407">
        <v>0</v>
      </c>
      <c r="EZ497" s="407"/>
      <c r="FA497" s="407">
        <v>0</v>
      </c>
      <c r="FB497" s="407"/>
      <c r="FC497" s="407"/>
      <c r="FD497" s="407"/>
      <c r="FE497" s="407"/>
      <c r="FF497" s="407">
        <v>0</v>
      </c>
      <c r="FG497" s="407">
        <v>0</v>
      </c>
      <c r="FH497" s="407">
        <v>0</v>
      </c>
      <c r="FI497" s="407">
        <v>0</v>
      </c>
    </row>
    <row r="498" spans="1:165">
      <c r="A498" s="407">
        <v>516</v>
      </c>
      <c r="B498" s="407" t="s">
        <v>1090</v>
      </c>
      <c r="C498" s="407" t="s">
        <v>2314</v>
      </c>
      <c r="D498" s="407" t="s">
        <v>650</v>
      </c>
      <c r="E498" s="407" t="s">
        <v>1026</v>
      </c>
      <c r="F498" s="407" t="s">
        <v>2323</v>
      </c>
      <c r="G498" s="407" t="s">
        <v>97</v>
      </c>
      <c r="H498" s="407" t="s">
        <v>97</v>
      </c>
      <c r="I498" s="407" t="s">
        <v>97</v>
      </c>
      <c r="J498" s="407" t="s">
        <v>2307</v>
      </c>
      <c r="K498" s="818">
        <v>44593</v>
      </c>
      <c r="L498" s="407">
        <v>7404</v>
      </c>
      <c r="M498" s="407">
        <v>7107.84</v>
      </c>
      <c r="N498" s="407">
        <v>0</v>
      </c>
      <c r="O498" s="407">
        <v>0</v>
      </c>
      <c r="P498" s="407">
        <v>0</v>
      </c>
      <c r="Q498" s="407">
        <v>0</v>
      </c>
      <c r="R498" s="407">
        <v>43.29</v>
      </c>
      <c r="S498" s="407"/>
      <c r="T498" s="407"/>
      <c r="U498" s="407">
        <v>320519.15999999997</v>
      </c>
      <c r="V498" s="407"/>
      <c r="W498" s="407">
        <v>320519.15999999997</v>
      </c>
      <c r="X498" s="407">
        <v>247959.96000000002</v>
      </c>
      <c r="Y498" s="407">
        <v>0</v>
      </c>
      <c r="Z498" s="407">
        <v>0</v>
      </c>
      <c r="AA498" s="407">
        <v>0</v>
      </c>
      <c r="AB498" s="407">
        <v>0</v>
      </c>
      <c r="AC498" s="407">
        <v>0</v>
      </c>
      <c r="AD498" s="407">
        <v>175208.16092107497</v>
      </c>
      <c r="AE498" s="407">
        <v>145334.50132076733</v>
      </c>
      <c r="AF498" s="407"/>
      <c r="AG498" s="407"/>
      <c r="AH498" s="407"/>
      <c r="AI498" s="407">
        <v>0</v>
      </c>
      <c r="AJ498" s="407">
        <v>0</v>
      </c>
      <c r="AK498" s="407">
        <v>0</v>
      </c>
      <c r="AL498" s="407">
        <v>0</v>
      </c>
      <c r="AM498" s="407"/>
      <c r="AN498" s="407">
        <v>0</v>
      </c>
      <c r="AO498" s="407">
        <v>0</v>
      </c>
      <c r="AP498" s="407">
        <v>0</v>
      </c>
      <c r="AQ498" s="407">
        <v>0</v>
      </c>
      <c r="AR498" s="407">
        <v>0</v>
      </c>
      <c r="AS498" s="407"/>
      <c r="AT498" s="407"/>
      <c r="AU498" s="407">
        <v>0</v>
      </c>
      <c r="AV498" s="407">
        <v>0</v>
      </c>
      <c r="AW498" s="407">
        <v>0</v>
      </c>
      <c r="AX498" s="407"/>
      <c r="AY498" s="407"/>
      <c r="AZ498" s="407">
        <v>0</v>
      </c>
      <c r="BA498" s="407"/>
      <c r="BB498" s="407">
        <v>0</v>
      </c>
      <c r="BC498" s="407">
        <v>0</v>
      </c>
      <c r="BD498" s="407">
        <v>0</v>
      </c>
      <c r="BE498" s="407">
        <v>0</v>
      </c>
      <c r="BF498" s="407"/>
      <c r="BG498" s="407">
        <v>0</v>
      </c>
      <c r="BH498" s="407">
        <v>0</v>
      </c>
      <c r="BI498" s="407">
        <v>820.93</v>
      </c>
      <c r="BJ498" s="407">
        <v>3541.07</v>
      </c>
      <c r="BK498" s="407">
        <v>214.64</v>
      </c>
      <c r="BL498" s="407">
        <v>42</v>
      </c>
      <c r="BM498" s="407"/>
      <c r="BN498" s="407"/>
      <c r="BO498" s="407"/>
      <c r="BP498" s="407"/>
      <c r="BQ498" s="407"/>
      <c r="BR498" s="407">
        <v>9918.3983999999964</v>
      </c>
      <c r="BS498" s="407"/>
      <c r="BT498" s="407"/>
      <c r="BU498" s="407"/>
      <c r="BV498" s="407">
        <v>0</v>
      </c>
      <c r="BW498" s="407"/>
      <c r="BX498" s="407"/>
      <c r="BY498" s="407"/>
      <c r="BZ498" s="407"/>
      <c r="CA498" s="407"/>
      <c r="CB498" s="407"/>
      <c r="CC498" s="407"/>
      <c r="CD498" s="407"/>
      <c r="CE498" s="407"/>
      <c r="CF498" s="407"/>
      <c r="CG498" s="407"/>
      <c r="CH498" s="407"/>
      <c r="CI498" s="407">
        <v>238041.56160000002</v>
      </c>
      <c r="CJ498" s="407">
        <v>-69656.862000000023</v>
      </c>
      <c r="CK498" s="407"/>
      <c r="CL498" s="407"/>
      <c r="CM498" s="407"/>
      <c r="CN498" s="407"/>
      <c r="CO498" s="407">
        <v>-72559.199999999983</v>
      </c>
      <c r="CP498" s="407">
        <v>0</v>
      </c>
      <c r="CQ498" s="407">
        <v>29</v>
      </c>
      <c r="CR498" s="407">
        <v>1655.9797151693201</v>
      </c>
      <c r="CS498" s="407">
        <v>0</v>
      </c>
      <c r="CT498" s="407">
        <v>0</v>
      </c>
      <c r="CU498" s="407">
        <v>0</v>
      </c>
      <c r="CV498" s="407">
        <v>0</v>
      </c>
      <c r="CW498" s="407"/>
      <c r="CX498" s="407"/>
      <c r="CY498" s="407"/>
      <c r="CZ498" s="407">
        <v>7914.5000333042408</v>
      </c>
      <c r="DA498" s="407">
        <v>0</v>
      </c>
      <c r="DB498" s="407">
        <v>0</v>
      </c>
      <c r="DC498" s="407"/>
      <c r="DD498" s="407"/>
      <c r="DE498" s="407">
        <v>0</v>
      </c>
      <c r="DF498" s="407">
        <v>0</v>
      </c>
      <c r="DG498" s="407">
        <v>0</v>
      </c>
      <c r="DH498" s="407">
        <v>0</v>
      </c>
      <c r="DI498" s="407">
        <v>0</v>
      </c>
      <c r="DJ498" s="407"/>
      <c r="DK498" s="407">
        <v>0</v>
      </c>
      <c r="DL498" s="407">
        <v>0</v>
      </c>
      <c r="DM498" s="407"/>
      <c r="DN498" s="407">
        <v>0</v>
      </c>
      <c r="DO498" s="407">
        <v>0</v>
      </c>
      <c r="DP498" s="407">
        <v>0</v>
      </c>
      <c r="DQ498" s="407">
        <v>0</v>
      </c>
      <c r="DR498" s="407">
        <v>-6258.5203181349134</v>
      </c>
      <c r="DS498" s="407"/>
      <c r="DT498" s="407"/>
      <c r="DU498" s="407">
        <v>145334.50132076733</v>
      </c>
      <c r="DV498" s="407"/>
      <c r="DW498" s="407">
        <v>0</v>
      </c>
      <c r="DX498" s="407">
        <v>0</v>
      </c>
      <c r="DY498" s="407">
        <v>-72559.199999999953</v>
      </c>
      <c r="DZ498" s="407"/>
      <c r="EA498" s="407">
        <v>0</v>
      </c>
      <c r="EB498" s="407"/>
      <c r="EC498" s="407">
        <v>-74237.200831955153</v>
      </c>
      <c r="ED498" s="407"/>
      <c r="EE498" s="407">
        <v>0</v>
      </c>
      <c r="EF498" s="407">
        <v>0</v>
      </c>
      <c r="EG498" s="407"/>
      <c r="EH498" s="407">
        <v>0</v>
      </c>
      <c r="EI498" s="407">
        <v>0</v>
      </c>
      <c r="EJ498" s="407">
        <v>0</v>
      </c>
      <c r="EK498" s="407">
        <v>0</v>
      </c>
      <c r="EL498" s="407">
        <v>0</v>
      </c>
      <c r="EM498" s="407"/>
      <c r="EN498" s="407"/>
      <c r="EO498" s="407">
        <v>0</v>
      </c>
      <c r="EP498" s="407">
        <v>0</v>
      </c>
      <c r="EQ498" s="407"/>
      <c r="ER498" s="407">
        <v>0</v>
      </c>
      <c r="ES498" s="407"/>
      <c r="ET498" s="407">
        <v>0</v>
      </c>
      <c r="EU498" s="407"/>
      <c r="EV498" s="407">
        <v>246</v>
      </c>
      <c r="EW498" s="407"/>
      <c r="EX498" s="407"/>
      <c r="EY498" s="407"/>
      <c r="EZ498" s="407"/>
      <c r="FA498" s="407">
        <v>0</v>
      </c>
      <c r="FB498" s="407"/>
      <c r="FC498" s="407"/>
      <c r="FD498" s="407"/>
      <c r="FE498" s="407"/>
      <c r="FF498" s="407">
        <v>0</v>
      </c>
      <c r="FG498" s="407">
        <v>0</v>
      </c>
      <c r="FH498" s="407">
        <v>0</v>
      </c>
      <c r="FI498" s="407">
        <v>0</v>
      </c>
    </row>
    <row r="499" spans="1:165">
      <c r="A499" s="407">
        <v>517</v>
      </c>
      <c r="B499" s="407" t="s">
        <v>2309</v>
      </c>
      <c r="C499" s="407" t="s">
        <v>2314</v>
      </c>
      <c r="D499" s="407" t="s">
        <v>650</v>
      </c>
      <c r="E499" s="407" t="s">
        <v>1026</v>
      </c>
      <c r="F499" s="407" t="s">
        <v>2323</v>
      </c>
      <c r="G499" s="407" t="s">
        <v>97</v>
      </c>
      <c r="H499" s="407" t="s">
        <v>97</v>
      </c>
      <c r="I499" s="407" t="s">
        <v>97</v>
      </c>
      <c r="J499" s="407" t="s">
        <v>2307</v>
      </c>
      <c r="K499" s="818">
        <v>44593</v>
      </c>
      <c r="L499" s="407">
        <v>724</v>
      </c>
      <c r="M499" s="407">
        <v>695.04</v>
      </c>
      <c r="N499" s="407">
        <v>0</v>
      </c>
      <c r="O499" s="407">
        <v>0</v>
      </c>
      <c r="P499" s="407">
        <v>0</v>
      </c>
      <c r="Q499" s="407">
        <v>0</v>
      </c>
      <c r="R499" s="407">
        <v>43.29</v>
      </c>
      <c r="S499" s="407"/>
      <c r="T499" s="407"/>
      <c r="U499" s="407">
        <v>31341.96</v>
      </c>
      <c r="V499" s="407"/>
      <c r="W499" s="407">
        <v>31341.96</v>
      </c>
      <c r="X499" s="407">
        <v>24246.760000000002</v>
      </c>
      <c r="Y499" s="407">
        <v>0</v>
      </c>
      <c r="Z499" s="407">
        <v>0</v>
      </c>
      <c r="AA499" s="407">
        <v>0</v>
      </c>
      <c r="AB499" s="407">
        <v>0</v>
      </c>
      <c r="AC499" s="407">
        <v>0</v>
      </c>
      <c r="AD499" s="407">
        <v>17132.726702709111</v>
      </c>
      <c r="AE499" s="407">
        <v>14211.531463565037</v>
      </c>
      <c r="AF499" s="407"/>
      <c r="AG499" s="407"/>
      <c r="AH499" s="407"/>
      <c r="AI499" s="407">
        <v>0</v>
      </c>
      <c r="AJ499" s="407">
        <v>0</v>
      </c>
      <c r="AK499" s="407">
        <v>0</v>
      </c>
      <c r="AL499" s="407">
        <v>0</v>
      </c>
      <c r="AM499" s="407"/>
      <c r="AN499" s="407">
        <v>0</v>
      </c>
      <c r="AO499" s="407">
        <v>0</v>
      </c>
      <c r="AP499" s="407">
        <v>0</v>
      </c>
      <c r="AQ499" s="407">
        <v>0</v>
      </c>
      <c r="AR499" s="407">
        <v>0</v>
      </c>
      <c r="AS499" s="407"/>
      <c r="AT499" s="407"/>
      <c r="AU499" s="407">
        <v>0</v>
      </c>
      <c r="AV499" s="407">
        <v>0</v>
      </c>
      <c r="AW499" s="407">
        <v>0</v>
      </c>
      <c r="AX499" s="407"/>
      <c r="AY499" s="407"/>
      <c r="AZ499" s="407">
        <v>0</v>
      </c>
      <c r="BA499" s="407"/>
      <c r="BB499" s="407">
        <v>0</v>
      </c>
      <c r="BC499" s="407">
        <v>0</v>
      </c>
      <c r="BD499" s="407">
        <v>0</v>
      </c>
      <c r="BE499" s="407">
        <v>0</v>
      </c>
      <c r="BF499" s="407"/>
      <c r="BG499" s="407">
        <v>0</v>
      </c>
      <c r="BH499" s="407">
        <v>0</v>
      </c>
      <c r="BI499" s="407">
        <v>98.96</v>
      </c>
      <c r="BJ499" s="407">
        <v>426.85</v>
      </c>
      <c r="BK499" s="407">
        <v>323.14999999999998</v>
      </c>
      <c r="BL499" s="407">
        <v>4</v>
      </c>
      <c r="BM499" s="407"/>
      <c r="BN499" s="407"/>
      <c r="BO499" s="407"/>
      <c r="BP499" s="407"/>
      <c r="BQ499" s="407"/>
      <c r="BR499" s="407">
        <v>969.87040000000127</v>
      </c>
      <c r="BS499" s="407"/>
      <c r="BT499" s="407"/>
      <c r="BU499" s="407"/>
      <c r="BV499" s="407">
        <v>0</v>
      </c>
      <c r="BW499" s="407"/>
      <c r="BX499" s="407"/>
      <c r="BY499" s="407"/>
      <c r="BZ499" s="407"/>
      <c r="CA499" s="407"/>
      <c r="CB499" s="407"/>
      <c r="CC499" s="407"/>
      <c r="CD499" s="407"/>
      <c r="CE499" s="407"/>
      <c r="CF499" s="407"/>
      <c r="CG499" s="407"/>
      <c r="CH499" s="407"/>
      <c r="CI499" s="407">
        <v>23276.889599999999</v>
      </c>
      <c r="CJ499" s="407">
        <v>-6811.421999999995</v>
      </c>
      <c r="CK499" s="407"/>
      <c r="CL499" s="407"/>
      <c r="CM499" s="407"/>
      <c r="CN499" s="407"/>
      <c r="CO499" s="407">
        <v>-7095.199999999998</v>
      </c>
      <c r="CP499" s="407">
        <v>0</v>
      </c>
      <c r="CQ499" s="407">
        <v>29</v>
      </c>
      <c r="CR499" s="407">
        <v>161.92994513541635</v>
      </c>
      <c r="CS499" s="407">
        <v>0</v>
      </c>
      <c r="CT499" s="407">
        <v>0</v>
      </c>
      <c r="CU499" s="407">
        <v>0</v>
      </c>
      <c r="CV499" s="407">
        <v>0</v>
      </c>
      <c r="CW499" s="407"/>
      <c r="CX499" s="407"/>
      <c r="CY499" s="407"/>
      <c r="CZ499" s="407">
        <v>773.91923610376762</v>
      </c>
      <c r="DA499" s="407">
        <v>0</v>
      </c>
      <c r="DB499" s="407">
        <v>0</v>
      </c>
      <c r="DC499" s="407"/>
      <c r="DD499" s="407"/>
      <c r="DE499" s="407">
        <v>0</v>
      </c>
      <c r="DF499" s="407">
        <v>0</v>
      </c>
      <c r="DG499" s="407">
        <v>0</v>
      </c>
      <c r="DH499" s="407">
        <v>0</v>
      </c>
      <c r="DI499" s="407">
        <v>0</v>
      </c>
      <c r="DJ499" s="407"/>
      <c r="DK499" s="407">
        <v>0</v>
      </c>
      <c r="DL499" s="407">
        <v>0</v>
      </c>
      <c r="DM499" s="407"/>
      <c r="DN499" s="407">
        <v>0</v>
      </c>
      <c r="DO499" s="407">
        <v>0</v>
      </c>
      <c r="DP499" s="407">
        <v>0</v>
      </c>
      <c r="DQ499" s="407">
        <v>0</v>
      </c>
      <c r="DR499" s="407">
        <v>-611.98929096835184</v>
      </c>
      <c r="DS499" s="407"/>
      <c r="DT499" s="407"/>
      <c r="DU499" s="407">
        <v>14211.531463565037</v>
      </c>
      <c r="DV499" s="407"/>
      <c r="DW499" s="407">
        <v>0</v>
      </c>
      <c r="DX499" s="407">
        <v>0</v>
      </c>
      <c r="DY499" s="407">
        <v>-7095.1999999999971</v>
      </c>
      <c r="DZ499" s="407"/>
      <c r="EA499" s="407">
        <v>0</v>
      </c>
      <c r="EB499" s="407"/>
      <c r="EC499" s="407">
        <v>-7259.2832796239227</v>
      </c>
      <c r="ED499" s="407"/>
      <c r="EE499" s="407">
        <v>0</v>
      </c>
      <c r="EF499" s="407">
        <v>0</v>
      </c>
      <c r="EG499" s="407"/>
      <c r="EH499" s="407">
        <v>0</v>
      </c>
      <c r="EI499" s="407">
        <v>0</v>
      </c>
      <c r="EJ499" s="407">
        <v>0</v>
      </c>
      <c r="EK499" s="407">
        <v>0</v>
      </c>
      <c r="EL499" s="407">
        <v>0</v>
      </c>
      <c r="EM499" s="407"/>
      <c r="EN499" s="407"/>
      <c r="EO499" s="407">
        <v>0</v>
      </c>
      <c r="EP499" s="407">
        <v>0</v>
      </c>
      <c r="EQ499" s="407"/>
      <c r="ER499" s="407">
        <v>0</v>
      </c>
      <c r="ES499" s="407"/>
      <c r="ET499" s="407">
        <v>0</v>
      </c>
      <c r="EU499" s="407"/>
      <c r="EV499" s="407">
        <v>246</v>
      </c>
      <c r="EW499" s="407"/>
      <c r="EX499" s="407"/>
      <c r="EY499" s="407"/>
      <c r="EZ499" s="407"/>
      <c r="FA499" s="407">
        <v>0</v>
      </c>
      <c r="FB499" s="407"/>
      <c r="FC499" s="407"/>
      <c r="FD499" s="407"/>
      <c r="FE499" s="407"/>
      <c r="FF499" s="407">
        <v>0</v>
      </c>
      <c r="FG499" s="407">
        <v>0</v>
      </c>
      <c r="FH499" s="407">
        <v>0</v>
      </c>
      <c r="FI499" s="407">
        <v>0</v>
      </c>
    </row>
    <row r="500" spans="1:165">
      <c r="A500" s="407">
        <v>518</v>
      </c>
      <c r="B500" s="407" t="s">
        <v>1090</v>
      </c>
      <c r="C500" s="407" t="s">
        <v>2314</v>
      </c>
      <c r="D500" s="407" t="s">
        <v>650</v>
      </c>
      <c r="E500" s="407" t="s">
        <v>1026</v>
      </c>
      <c r="F500" s="407" t="s">
        <v>2323</v>
      </c>
      <c r="G500" s="407" t="s">
        <v>2325</v>
      </c>
      <c r="H500" s="407" t="s">
        <v>97</v>
      </c>
      <c r="I500" s="407" t="s">
        <v>2290</v>
      </c>
      <c r="J500" s="407" t="s">
        <v>2307</v>
      </c>
      <c r="K500" s="818">
        <v>44593</v>
      </c>
      <c r="L500" s="407">
        <v>0</v>
      </c>
      <c r="M500" s="407">
        <v>0</v>
      </c>
      <c r="N500" s="407">
        <v>451.13200000000001</v>
      </c>
      <c r="O500" s="407">
        <v>135.33959999999999</v>
      </c>
      <c r="P500" s="407">
        <v>451.13200000000001</v>
      </c>
      <c r="Q500" s="407">
        <v>135.33959999999999</v>
      </c>
      <c r="R500" s="407"/>
      <c r="S500" s="407">
        <v>95.29</v>
      </c>
      <c r="T500" s="407">
        <v>159.41</v>
      </c>
      <c r="U500" s="407"/>
      <c r="V500" s="407">
        <v>114903.3204</v>
      </c>
      <c r="W500" s="407">
        <v>114903.3204</v>
      </c>
      <c r="X500" s="407">
        <v>124922.96212000001</v>
      </c>
      <c r="Y500" s="407">
        <v>0</v>
      </c>
      <c r="Z500" s="407">
        <v>24322.383903278067</v>
      </c>
      <c r="AA500" s="407">
        <v>0</v>
      </c>
      <c r="AB500" s="407">
        <v>0</v>
      </c>
      <c r="AC500" s="407">
        <v>0</v>
      </c>
      <c r="AD500" s="407">
        <v>0</v>
      </c>
      <c r="AE500" s="407">
        <v>0</v>
      </c>
      <c r="AF500" s="407">
        <v>69578.411692218287</v>
      </c>
      <c r="AG500" s="407">
        <v>2337.651995023361</v>
      </c>
      <c r="AH500" s="407">
        <v>0</v>
      </c>
      <c r="AI500" s="407">
        <v>0</v>
      </c>
      <c r="AJ500" s="407">
        <v>0</v>
      </c>
      <c r="AK500" s="407">
        <v>0</v>
      </c>
      <c r="AL500" s="407">
        <v>4320.0650024909992</v>
      </c>
      <c r="AM500" s="407"/>
      <c r="AN500" s="407">
        <v>484.39548890537446</v>
      </c>
      <c r="AO500" s="407">
        <v>0</v>
      </c>
      <c r="AP500" s="407">
        <v>0</v>
      </c>
      <c r="AQ500" s="407">
        <v>0</v>
      </c>
      <c r="AR500" s="407">
        <v>0</v>
      </c>
      <c r="AS500" s="407">
        <v>0</v>
      </c>
      <c r="AT500" s="407">
        <v>0</v>
      </c>
      <c r="AU500" s="407">
        <v>0</v>
      </c>
      <c r="AV500" s="407">
        <v>0</v>
      </c>
      <c r="AW500" s="407">
        <v>0</v>
      </c>
      <c r="AX500" s="407">
        <v>0</v>
      </c>
      <c r="AY500" s="407">
        <v>0</v>
      </c>
      <c r="AZ500" s="407">
        <v>0</v>
      </c>
      <c r="BA500" s="407"/>
      <c r="BB500" s="407">
        <v>0</v>
      </c>
      <c r="BC500" s="407">
        <v>0</v>
      </c>
      <c r="BD500" s="407">
        <v>0</v>
      </c>
      <c r="BE500" s="407">
        <v>0</v>
      </c>
      <c r="BF500" s="407">
        <v>0</v>
      </c>
      <c r="BG500" s="407">
        <v>2341.3183992972436</v>
      </c>
      <c r="BH500" s="407">
        <v>0</v>
      </c>
      <c r="BI500" s="407">
        <v>0</v>
      </c>
      <c r="BJ500" s="407">
        <v>0</v>
      </c>
      <c r="BK500" s="407">
        <v>0</v>
      </c>
      <c r="BL500" s="407">
        <v>0</v>
      </c>
      <c r="BM500" s="407"/>
      <c r="BN500" s="407"/>
      <c r="BO500" s="407"/>
      <c r="BP500" s="407"/>
      <c r="BQ500" s="407"/>
      <c r="BR500" s="407"/>
      <c r="BS500" s="407">
        <v>87446.073484000008</v>
      </c>
      <c r="BT500" s="407"/>
      <c r="BU500" s="407"/>
      <c r="BV500" s="407">
        <v>71919.730091515536</v>
      </c>
      <c r="BW500" s="407"/>
      <c r="BX500" s="407"/>
      <c r="BY500" s="407"/>
      <c r="BZ500" s="407"/>
      <c r="CA500" s="407"/>
      <c r="CB500" s="407"/>
      <c r="CC500" s="407"/>
      <c r="CD500" s="407"/>
      <c r="CE500" s="407"/>
      <c r="CF500" s="407"/>
      <c r="CG500" s="407"/>
      <c r="CH500" s="407"/>
      <c r="CI500" s="407">
        <v>37476.999400000001</v>
      </c>
      <c r="CJ500" s="407">
        <v>3005.9732799999983</v>
      </c>
      <c r="CK500" s="407"/>
      <c r="CL500" s="407"/>
      <c r="CM500" s="407"/>
      <c r="CN500" s="407"/>
      <c r="CO500" s="407">
        <v>-2372.9543200000026</v>
      </c>
      <c r="CP500" s="407">
        <v>12392.59604</v>
      </c>
      <c r="CQ500" s="407">
        <v>29</v>
      </c>
      <c r="CR500" s="407">
        <v>10018.215786297747</v>
      </c>
      <c r="CS500" s="407">
        <v>0</v>
      </c>
      <c r="CT500" s="407">
        <v>0</v>
      </c>
      <c r="CU500" s="407">
        <v>0</v>
      </c>
      <c r="CV500" s="407">
        <v>0</v>
      </c>
      <c r="CW500" s="407">
        <v>0</v>
      </c>
      <c r="CX500" s="407">
        <v>0</v>
      </c>
      <c r="CY500" s="407">
        <v>0</v>
      </c>
      <c r="CZ500" s="407">
        <v>0</v>
      </c>
      <c r="DA500" s="407">
        <v>0</v>
      </c>
      <c r="DB500" s="407">
        <v>0</v>
      </c>
      <c r="DC500" s="407">
        <v>13795.520084399992</v>
      </c>
      <c r="DD500" s="407">
        <v>0</v>
      </c>
      <c r="DE500" s="407">
        <v>0</v>
      </c>
      <c r="DF500" s="407">
        <v>0</v>
      </c>
      <c r="DG500" s="407">
        <v>464.22021164206672</v>
      </c>
      <c r="DH500" s="407">
        <v>0</v>
      </c>
      <c r="DI500" s="407">
        <v>-1703.5877504861528</v>
      </c>
      <c r="DJ500" s="407"/>
      <c r="DK500" s="407">
        <v>0</v>
      </c>
      <c r="DL500" s="407">
        <v>0</v>
      </c>
      <c r="DM500" s="407">
        <v>0</v>
      </c>
      <c r="DN500" s="407">
        <v>0</v>
      </c>
      <c r="DO500" s="407">
        <v>-263.57311416525772</v>
      </c>
      <c r="DP500" s="407">
        <v>-30.864511124024432</v>
      </c>
      <c r="DQ500" s="407">
        <v>0</v>
      </c>
      <c r="DR500" s="407">
        <v>-2243.4991339688786</v>
      </c>
      <c r="DS500" s="407"/>
      <c r="DT500" s="407"/>
      <c r="DU500" s="407"/>
      <c r="DV500" s="407">
        <v>0</v>
      </c>
      <c r="DW500" s="407">
        <v>0</v>
      </c>
      <c r="DX500" s="407">
        <v>0</v>
      </c>
      <c r="DY500" s="407">
        <v>-2372.9543200000044</v>
      </c>
      <c r="DZ500" s="407">
        <v>12392.596040000004</v>
      </c>
      <c r="EA500" s="407">
        <v>0</v>
      </c>
      <c r="EB500" s="407">
        <v>0</v>
      </c>
      <c r="EC500" s="407">
        <v>0</v>
      </c>
      <c r="ED500" s="407">
        <v>0</v>
      </c>
      <c r="EE500" s="407">
        <v>0</v>
      </c>
      <c r="EF500" s="407">
        <v>0</v>
      </c>
      <c r="EG500" s="407">
        <v>0</v>
      </c>
      <c r="EH500" s="407">
        <v>0</v>
      </c>
      <c r="EI500" s="407">
        <v>0</v>
      </c>
      <c r="EJ500" s="407">
        <v>0</v>
      </c>
      <c r="EK500" s="407">
        <v>0</v>
      </c>
      <c r="EL500" s="407">
        <v>0</v>
      </c>
      <c r="EM500" s="407">
        <v>0</v>
      </c>
      <c r="EN500" s="407">
        <v>0</v>
      </c>
      <c r="EO500" s="407">
        <v>0</v>
      </c>
      <c r="EP500" s="407">
        <v>11521.078380680683</v>
      </c>
      <c r="EQ500" s="407">
        <v>0</v>
      </c>
      <c r="ER500" s="407">
        <v>0</v>
      </c>
      <c r="ES500" s="407">
        <v>0</v>
      </c>
      <c r="ET500" s="407">
        <v>0</v>
      </c>
      <c r="EU500" s="407">
        <v>0</v>
      </c>
      <c r="EV500" s="407">
        <v>246</v>
      </c>
      <c r="EW500" s="407">
        <v>0</v>
      </c>
      <c r="EX500" s="407">
        <v>0</v>
      </c>
      <c r="EY500" s="407">
        <v>0</v>
      </c>
      <c r="EZ500" s="407"/>
      <c r="FA500" s="407">
        <v>0</v>
      </c>
      <c r="FB500" s="407"/>
      <c r="FC500" s="407"/>
      <c r="FD500" s="407"/>
      <c r="FE500" s="407"/>
      <c r="FF500" s="407">
        <v>0</v>
      </c>
      <c r="FG500" s="407">
        <v>0</v>
      </c>
      <c r="FH500" s="407">
        <v>0</v>
      </c>
      <c r="FI500" s="407">
        <v>0</v>
      </c>
    </row>
    <row r="501" spans="1:165">
      <c r="A501" s="407">
        <v>520</v>
      </c>
      <c r="B501" s="407" t="s">
        <v>1090</v>
      </c>
      <c r="C501" s="407" t="s">
        <v>2306</v>
      </c>
      <c r="D501" s="407" t="s">
        <v>2315</v>
      </c>
      <c r="E501" s="407" t="s">
        <v>1026</v>
      </c>
      <c r="F501" s="407" t="s">
        <v>2326</v>
      </c>
      <c r="G501" s="407" t="s">
        <v>2324</v>
      </c>
      <c r="H501" s="407" t="s">
        <v>97</v>
      </c>
      <c r="I501" s="407" t="s">
        <v>97</v>
      </c>
      <c r="J501" s="407" t="s">
        <v>2307</v>
      </c>
      <c r="K501" s="818">
        <v>44593</v>
      </c>
      <c r="L501" s="407">
        <v>0</v>
      </c>
      <c r="M501" s="407">
        <v>0</v>
      </c>
      <c r="N501" s="407">
        <v>0</v>
      </c>
      <c r="O501" s="407">
        <v>0</v>
      </c>
      <c r="P501" s="407">
        <v>0</v>
      </c>
      <c r="Q501" s="407">
        <v>0</v>
      </c>
      <c r="R501" s="407"/>
      <c r="S501" s="407"/>
      <c r="T501" s="407"/>
      <c r="U501" s="407"/>
      <c r="V501" s="407"/>
      <c r="W501" s="407"/>
      <c r="X501" s="407"/>
      <c r="Y501" s="407"/>
      <c r="Z501" s="407"/>
      <c r="AA501" s="407">
        <v>0</v>
      </c>
      <c r="AB501" s="407"/>
      <c r="AC501" s="407"/>
      <c r="AD501" s="407"/>
      <c r="AE501" s="407"/>
      <c r="AF501" s="407"/>
      <c r="AG501" s="407"/>
      <c r="AH501" s="407"/>
      <c r="AI501" s="407"/>
      <c r="AJ501" s="407"/>
      <c r="AK501" s="407"/>
      <c r="AL501" s="407"/>
      <c r="AM501" s="407"/>
      <c r="AN501" s="407"/>
      <c r="AO501" s="407"/>
      <c r="AP501" s="407"/>
      <c r="AQ501" s="407"/>
      <c r="AR501" s="407"/>
      <c r="AS501" s="407"/>
      <c r="AT501" s="407"/>
      <c r="AU501" s="407"/>
      <c r="AV501" s="407"/>
      <c r="AW501" s="407"/>
      <c r="AX501" s="407"/>
      <c r="AY501" s="407"/>
      <c r="AZ501" s="407">
        <v>0</v>
      </c>
      <c r="BA501" s="407"/>
      <c r="BB501" s="407"/>
      <c r="BC501" s="407"/>
      <c r="BD501" s="407"/>
      <c r="BE501" s="407"/>
      <c r="BF501" s="407"/>
      <c r="BG501" s="407"/>
      <c r="BH501" s="407"/>
      <c r="BI501" s="407">
        <v>13.86</v>
      </c>
      <c r="BJ501" s="407">
        <v>59.88</v>
      </c>
      <c r="BK501" s="407">
        <v>46.62</v>
      </c>
      <c r="BL501" s="407">
        <v>5</v>
      </c>
      <c r="BM501" s="407"/>
      <c r="BN501" s="407"/>
      <c r="BO501" s="407"/>
      <c r="BP501" s="407"/>
      <c r="BQ501" s="407"/>
      <c r="BR501" s="407"/>
      <c r="BS501" s="407"/>
      <c r="BT501" s="407"/>
      <c r="BU501" s="407"/>
      <c r="BV501" s="407"/>
      <c r="BW501" s="407"/>
      <c r="BX501" s="407"/>
      <c r="BY501" s="407"/>
      <c r="BZ501" s="407"/>
      <c r="CA501" s="407"/>
      <c r="CB501" s="407"/>
      <c r="CC501" s="407"/>
      <c r="CD501" s="407"/>
      <c r="CE501" s="407"/>
      <c r="CF501" s="407"/>
      <c r="CG501" s="407"/>
      <c r="CH501" s="407"/>
      <c r="CI501" s="407"/>
      <c r="CJ501" s="407">
        <v>-0.03</v>
      </c>
      <c r="CK501" s="407"/>
      <c r="CL501" s="407"/>
      <c r="CM501" s="407"/>
      <c r="CN501" s="407"/>
      <c r="CO501" s="407">
        <v>0</v>
      </c>
      <c r="CP501" s="407">
        <v>0</v>
      </c>
      <c r="CQ501" s="407">
        <v>29</v>
      </c>
      <c r="CR501" s="407"/>
      <c r="CS501" s="407"/>
      <c r="CT501" s="407"/>
      <c r="CU501" s="407"/>
      <c r="CV501" s="407"/>
      <c r="CW501" s="407"/>
      <c r="CX501" s="407"/>
      <c r="CY501" s="407"/>
      <c r="CZ501" s="407"/>
      <c r="DA501" s="407"/>
      <c r="DB501" s="407"/>
      <c r="DC501" s="407"/>
      <c r="DD501" s="407"/>
      <c r="DE501" s="407"/>
      <c r="DF501" s="407"/>
      <c r="DG501" s="407"/>
      <c r="DH501" s="407"/>
      <c r="DI501" s="407"/>
      <c r="DJ501" s="407"/>
      <c r="DK501" s="407">
        <v>0</v>
      </c>
      <c r="DL501" s="407"/>
      <c r="DM501" s="407"/>
      <c r="DN501" s="407"/>
      <c r="DO501" s="407"/>
      <c r="DP501" s="407"/>
      <c r="DQ501" s="407"/>
      <c r="DR501" s="407"/>
      <c r="DS501" s="407"/>
      <c r="DT501" s="407"/>
      <c r="DU501" s="407"/>
      <c r="DV501" s="407"/>
      <c r="DW501" s="407"/>
      <c r="DX501" s="407"/>
      <c r="DY501" s="407"/>
      <c r="DZ501" s="407"/>
      <c r="EA501" s="407"/>
      <c r="EB501" s="407"/>
      <c r="EC501" s="407"/>
      <c r="ED501" s="407"/>
      <c r="EE501" s="407"/>
      <c r="EF501" s="407"/>
      <c r="EG501" s="407"/>
      <c r="EH501" s="407"/>
      <c r="EI501" s="407"/>
      <c r="EJ501" s="407"/>
      <c r="EK501" s="407"/>
      <c r="EL501" s="407"/>
      <c r="EM501" s="407"/>
      <c r="EN501" s="407"/>
      <c r="EO501" s="407"/>
      <c r="EP501" s="407"/>
      <c r="EQ501" s="407"/>
      <c r="ER501" s="407"/>
      <c r="ES501" s="407"/>
      <c r="ET501" s="407"/>
      <c r="EU501" s="407"/>
      <c r="EV501" s="407">
        <v>246</v>
      </c>
      <c r="EW501" s="407"/>
      <c r="EX501" s="407"/>
      <c r="EY501" s="407"/>
      <c r="EZ501" s="407"/>
      <c r="FA501" s="407">
        <v>0</v>
      </c>
      <c r="FB501" s="407"/>
      <c r="FC501" s="407"/>
      <c r="FD501" s="407"/>
      <c r="FE501" s="407"/>
      <c r="FF501" s="407">
        <v>0</v>
      </c>
      <c r="FG501" s="407">
        <v>0</v>
      </c>
      <c r="FH501" s="407">
        <v>0</v>
      </c>
      <c r="FI501" s="407">
        <v>0</v>
      </c>
    </row>
    <row r="502" spans="1:165">
      <c r="A502" s="407">
        <v>521</v>
      </c>
      <c r="B502" s="407" t="s">
        <v>1090</v>
      </c>
      <c r="C502" s="407" t="s">
        <v>2306</v>
      </c>
      <c r="D502" s="407" t="s">
        <v>2315</v>
      </c>
      <c r="E502" s="407" t="s">
        <v>1026</v>
      </c>
      <c r="F502" s="407" t="s">
        <v>2326</v>
      </c>
      <c r="G502" s="407" t="s">
        <v>2324</v>
      </c>
      <c r="H502" s="407" t="s">
        <v>97</v>
      </c>
      <c r="I502" s="407" t="s">
        <v>97</v>
      </c>
      <c r="J502" s="407" t="s">
        <v>2307</v>
      </c>
      <c r="K502" s="818">
        <v>44593</v>
      </c>
      <c r="L502" s="407">
        <v>0</v>
      </c>
      <c r="M502" s="407">
        <v>0</v>
      </c>
      <c r="N502" s="407">
        <v>8.0289999999999999</v>
      </c>
      <c r="O502" s="407">
        <v>8.0289999999999999</v>
      </c>
      <c r="P502" s="407">
        <v>8.0289999999999999</v>
      </c>
      <c r="Q502" s="407">
        <v>8.0289999999999999</v>
      </c>
      <c r="R502" s="407"/>
      <c r="S502" s="407">
        <v>648.44000000000005</v>
      </c>
      <c r="T502" s="407">
        <v>159.41</v>
      </c>
      <c r="U502" s="407"/>
      <c r="V502" s="407">
        <v>6486.2276500000007</v>
      </c>
      <c r="W502" s="407">
        <v>6486.2276500000007</v>
      </c>
      <c r="X502" s="407">
        <v>4912.30278</v>
      </c>
      <c r="Y502" s="407">
        <v>0</v>
      </c>
      <c r="Z502" s="407">
        <v>497.55914230832383</v>
      </c>
      <c r="AA502" s="407">
        <v>0</v>
      </c>
      <c r="AB502" s="407">
        <v>0</v>
      </c>
      <c r="AC502" s="407">
        <v>0</v>
      </c>
      <c r="AD502" s="407">
        <v>936.5380980554736</v>
      </c>
      <c r="AE502" s="407">
        <v>3352.4767600294413</v>
      </c>
      <c r="AF502" s="407">
        <v>1238.3184244895522</v>
      </c>
      <c r="AG502" s="407">
        <v>41.604248574790894</v>
      </c>
      <c r="AH502" s="407">
        <v>0</v>
      </c>
      <c r="AI502" s="407">
        <v>0</v>
      </c>
      <c r="AJ502" s="407">
        <v>0</v>
      </c>
      <c r="AK502" s="407">
        <v>0</v>
      </c>
      <c r="AL502" s="407">
        <v>76.886148411108564</v>
      </c>
      <c r="AM502" s="407"/>
      <c r="AN502" s="407">
        <v>16.660942897400751</v>
      </c>
      <c r="AO502" s="407">
        <v>0</v>
      </c>
      <c r="AP502" s="407">
        <v>0</v>
      </c>
      <c r="AQ502" s="407">
        <v>0</v>
      </c>
      <c r="AR502" s="407">
        <v>0</v>
      </c>
      <c r="AS502" s="407">
        <v>0</v>
      </c>
      <c r="AT502" s="407">
        <v>0</v>
      </c>
      <c r="AU502" s="407">
        <v>0</v>
      </c>
      <c r="AV502" s="407">
        <v>0</v>
      </c>
      <c r="AW502" s="407">
        <v>0</v>
      </c>
      <c r="AX502" s="407">
        <v>0</v>
      </c>
      <c r="AY502" s="407">
        <v>0</v>
      </c>
      <c r="AZ502" s="407">
        <v>0</v>
      </c>
      <c r="BA502" s="407"/>
      <c r="BB502" s="407">
        <v>0</v>
      </c>
      <c r="BC502" s="407">
        <v>0</v>
      </c>
      <c r="BD502" s="407">
        <v>0</v>
      </c>
      <c r="BE502" s="407">
        <v>0</v>
      </c>
      <c r="BF502" s="407">
        <v>0</v>
      </c>
      <c r="BG502" s="407">
        <v>90.517122585960763</v>
      </c>
      <c r="BH502" s="407">
        <v>0</v>
      </c>
      <c r="BI502" s="407">
        <v>0</v>
      </c>
      <c r="BJ502" s="407">
        <v>0</v>
      </c>
      <c r="BK502" s="407">
        <v>0</v>
      </c>
      <c r="BL502" s="407">
        <v>0</v>
      </c>
      <c r="BM502" s="407"/>
      <c r="BN502" s="407"/>
      <c r="BO502" s="407"/>
      <c r="BP502" s="407"/>
      <c r="BQ502" s="407"/>
      <c r="BR502" s="407">
        <v>589.48918000000003</v>
      </c>
      <c r="BS502" s="407"/>
      <c r="BT502" s="407"/>
      <c r="BU502" s="407"/>
      <c r="BV502" s="407">
        <v>1328.835547075513</v>
      </c>
      <c r="BW502" s="407"/>
      <c r="BX502" s="407"/>
      <c r="BY502" s="407"/>
      <c r="BZ502" s="407"/>
      <c r="CA502" s="407"/>
      <c r="CB502" s="407"/>
      <c r="CC502" s="407"/>
      <c r="CD502" s="407"/>
      <c r="CE502" s="407"/>
      <c r="CF502" s="407"/>
      <c r="CG502" s="407"/>
      <c r="CH502" s="407"/>
      <c r="CI502" s="407">
        <v>4323.3519999999999</v>
      </c>
      <c r="CJ502" s="407">
        <v>-1384.5743900000007</v>
      </c>
      <c r="CK502" s="407"/>
      <c r="CL502" s="407"/>
      <c r="CM502" s="407"/>
      <c r="CN502" s="407"/>
      <c r="CO502" s="407">
        <v>-1794.4815000000003</v>
      </c>
      <c r="CP502" s="407">
        <v>220.55662999999998</v>
      </c>
      <c r="CQ502" s="407">
        <v>29</v>
      </c>
      <c r="CR502" s="407">
        <v>138.53251064772121</v>
      </c>
      <c r="CS502" s="407">
        <v>0</v>
      </c>
      <c r="CT502" s="407">
        <v>0</v>
      </c>
      <c r="CU502" s="407">
        <v>0</v>
      </c>
      <c r="CV502" s="407">
        <v>0</v>
      </c>
      <c r="CW502" s="407">
        <v>0</v>
      </c>
      <c r="CX502" s="407">
        <v>0</v>
      </c>
      <c r="CY502" s="407">
        <v>0</v>
      </c>
      <c r="CZ502" s="407">
        <v>42.305282866304196</v>
      </c>
      <c r="DA502" s="407">
        <v>0</v>
      </c>
      <c r="DB502" s="407">
        <v>0</v>
      </c>
      <c r="DC502" s="407">
        <v>245.52510298016432</v>
      </c>
      <c r="DD502" s="407">
        <v>0</v>
      </c>
      <c r="DE502" s="407">
        <v>0</v>
      </c>
      <c r="DF502" s="407">
        <v>0</v>
      </c>
      <c r="DG502" s="407">
        <v>17.947101008003941</v>
      </c>
      <c r="DH502" s="407">
        <v>0</v>
      </c>
      <c r="DI502" s="407">
        <v>-34.850023885389305</v>
      </c>
      <c r="DJ502" s="407"/>
      <c r="DK502" s="407">
        <v>0</v>
      </c>
      <c r="DL502" s="407">
        <v>0</v>
      </c>
      <c r="DM502" s="407">
        <v>0</v>
      </c>
      <c r="DN502" s="407">
        <v>0</v>
      </c>
      <c r="DO502" s="407">
        <v>-4.6909297802701957</v>
      </c>
      <c r="DP502" s="407">
        <v>-1.0615950585246878</v>
      </c>
      <c r="DQ502" s="407">
        <v>0</v>
      </c>
      <c r="DR502" s="407">
        <v>-126.64242748256713</v>
      </c>
      <c r="DS502" s="407"/>
      <c r="DT502" s="407"/>
      <c r="DU502" s="407"/>
      <c r="DV502" s="407">
        <v>3352.4767600294413</v>
      </c>
      <c r="DW502" s="407">
        <v>0</v>
      </c>
      <c r="DX502" s="407">
        <v>0</v>
      </c>
      <c r="DY502" s="407">
        <v>-1794.4815000000003</v>
      </c>
      <c r="DZ502" s="407">
        <v>220.55662999999981</v>
      </c>
      <c r="EA502" s="407">
        <v>0</v>
      </c>
      <c r="EB502" s="407">
        <v>0</v>
      </c>
      <c r="EC502" s="407">
        <v>-1712.4529155638591</v>
      </c>
      <c r="ED502" s="407">
        <v>0</v>
      </c>
      <c r="EE502" s="407">
        <v>0</v>
      </c>
      <c r="EF502" s="407">
        <v>0</v>
      </c>
      <c r="EG502" s="407">
        <v>0</v>
      </c>
      <c r="EH502" s="407">
        <v>0</v>
      </c>
      <c r="EI502" s="407">
        <v>0</v>
      </c>
      <c r="EJ502" s="407">
        <v>0</v>
      </c>
      <c r="EK502" s="407">
        <v>0</v>
      </c>
      <c r="EL502" s="407">
        <v>0</v>
      </c>
      <c r="EM502" s="407">
        <v>0</v>
      </c>
      <c r="EN502" s="407">
        <v>0</v>
      </c>
      <c r="EO502" s="407">
        <v>0</v>
      </c>
      <c r="EP502" s="407">
        <v>235.68486955696235</v>
      </c>
      <c r="EQ502" s="407">
        <v>0</v>
      </c>
      <c r="ER502" s="407">
        <v>0</v>
      </c>
      <c r="ES502" s="407">
        <v>0</v>
      </c>
      <c r="ET502" s="407">
        <v>0</v>
      </c>
      <c r="EU502" s="407">
        <v>0</v>
      </c>
      <c r="EV502" s="407">
        <v>246</v>
      </c>
      <c r="EW502" s="407">
        <v>0</v>
      </c>
      <c r="EX502" s="407">
        <v>0</v>
      </c>
      <c r="EY502" s="407">
        <v>0</v>
      </c>
      <c r="EZ502" s="407"/>
      <c r="FA502" s="407">
        <v>0</v>
      </c>
      <c r="FB502" s="407"/>
      <c r="FC502" s="407"/>
      <c r="FD502" s="407"/>
      <c r="FE502" s="407"/>
      <c r="FF502" s="407">
        <v>0</v>
      </c>
      <c r="FG502" s="407">
        <v>0</v>
      </c>
      <c r="FH502" s="407">
        <v>0</v>
      </c>
      <c r="FI502" s="407">
        <v>0</v>
      </c>
    </row>
    <row r="503" spans="1:165">
      <c r="A503" s="407">
        <v>522</v>
      </c>
      <c r="B503" s="407" t="s">
        <v>1090</v>
      </c>
      <c r="C503" s="407" t="s">
        <v>2306</v>
      </c>
      <c r="D503" s="407" t="s">
        <v>2315</v>
      </c>
      <c r="E503" s="407" t="s">
        <v>1026</v>
      </c>
      <c r="F503" s="407" t="s">
        <v>2326</v>
      </c>
      <c r="G503" s="407" t="s">
        <v>2325</v>
      </c>
      <c r="H503" s="407" t="s">
        <v>97</v>
      </c>
      <c r="I503" s="407" t="s">
        <v>97</v>
      </c>
      <c r="J503" s="407" t="s">
        <v>2307</v>
      </c>
      <c r="K503" s="818">
        <v>44593</v>
      </c>
      <c r="L503" s="407">
        <v>0</v>
      </c>
      <c r="M503" s="407">
        <v>0</v>
      </c>
      <c r="N503" s="407">
        <v>11.545</v>
      </c>
      <c r="O503" s="407">
        <v>4.6180000000000003</v>
      </c>
      <c r="P503" s="407">
        <v>11.545</v>
      </c>
      <c r="Q503" s="407">
        <v>4.6180000000000003</v>
      </c>
      <c r="R503" s="407"/>
      <c r="S503" s="407">
        <v>648.44000000000005</v>
      </c>
      <c r="T503" s="407">
        <v>159.41</v>
      </c>
      <c r="U503" s="407"/>
      <c r="V503" s="407">
        <v>9326.6282499999998</v>
      </c>
      <c r="W503" s="407">
        <v>9326.6282499999998</v>
      </c>
      <c r="X503" s="407">
        <v>7063.4619000000002</v>
      </c>
      <c r="Y503" s="407">
        <v>0</v>
      </c>
      <c r="Z503" s="407">
        <v>715.44654352342741</v>
      </c>
      <c r="AA503" s="407">
        <v>0</v>
      </c>
      <c r="AB503" s="407">
        <v>0</v>
      </c>
      <c r="AC503" s="407">
        <v>0</v>
      </c>
      <c r="AD503" s="407">
        <v>1346.6599006165702</v>
      </c>
      <c r="AE503" s="407">
        <v>4820.5684636368042</v>
      </c>
      <c r="AF503" s="407">
        <v>1780.5936244528432</v>
      </c>
      <c r="AG503" s="407">
        <v>59.823271863988154</v>
      </c>
      <c r="AH503" s="407">
        <v>0</v>
      </c>
      <c r="AI503" s="407">
        <v>0</v>
      </c>
      <c r="AJ503" s="407">
        <v>0</v>
      </c>
      <c r="AK503" s="407">
        <v>0</v>
      </c>
      <c r="AL503" s="407">
        <v>110.5555590243179</v>
      </c>
      <c r="AM503" s="407"/>
      <c r="AN503" s="407">
        <v>23.956979169322665</v>
      </c>
      <c r="AO503" s="407">
        <v>0</v>
      </c>
      <c r="AP503" s="407">
        <v>0</v>
      </c>
      <c r="AQ503" s="407">
        <v>0</v>
      </c>
      <c r="AR503" s="407">
        <v>0</v>
      </c>
      <c r="AS503" s="407">
        <v>0</v>
      </c>
      <c r="AT503" s="407">
        <v>0</v>
      </c>
      <c r="AU503" s="407">
        <v>0</v>
      </c>
      <c r="AV503" s="407">
        <v>0</v>
      </c>
      <c r="AW503" s="407">
        <v>0</v>
      </c>
      <c r="AX503" s="407">
        <v>0</v>
      </c>
      <c r="AY503" s="407">
        <v>0</v>
      </c>
      <c r="AZ503" s="407">
        <v>0</v>
      </c>
      <c r="BA503" s="407"/>
      <c r="BB503" s="407">
        <v>0</v>
      </c>
      <c r="BC503" s="407">
        <v>0</v>
      </c>
      <c r="BD503" s="407">
        <v>0</v>
      </c>
      <c r="BE503" s="407">
        <v>0</v>
      </c>
      <c r="BF503" s="407">
        <v>0</v>
      </c>
      <c r="BG503" s="407">
        <v>130.15570809003825</v>
      </c>
      <c r="BH503" s="407">
        <v>0</v>
      </c>
      <c r="BI503" s="407">
        <v>0</v>
      </c>
      <c r="BJ503" s="407">
        <v>0</v>
      </c>
      <c r="BK503" s="407">
        <v>0</v>
      </c>
      <c r="BL503" s="407">
        <v>0</v>
      </c>
      <c r="BM503" s="407"/>
      <c r="BN503" s="407"/>
      <c r="BO503" s="407"/>
      <c r="BP503" s="407"/>
      <c r="BQ503" s="407"/>
      <c r="BR503" s="407"/>
      <c r="BS503" s="407">
        <v>4577.1306999999997</v>
      </c>
      <c r="BT503" s="407"/>
      <c r="BU503" s="407"/>
      <c r="BV503" s="407">
        <v>1910.7493325428813</v>
      </c>
      <c r="BW503" s="407"/>
      <c r="BX503" s="407"/>
      <c r="BY503" s="407"/>
      <c r="BZ503" s="407"/>
      <c r="CA503" s="407"/>
      <c r="CB503" s="407"/>
      <c r="CC503" s="407"/>
      <c r="CD503" s="407"/>
      <c r="CE503" s="407"/>
      <c r="CF503" s="407"/>
      <c r="CG503" s="407"/>
      <c r="CH503" s="407"/>
      <c r="CI503" s="407">
        <v>2487.4079999999999</v>
      </c>
      <c r="CJ503" s="407">
        <v>-795.60438000000113</v>
      </c>
      <c r="CK503" s="407"/>
      <c r="CL503" s="407"/>
      <c r="CM503" s="407"/>
      <c r="CN503" s="407"/>
      <c r="CO503" s="407">
        <v>-2580.3075000000008</v>
      </c>
      <c r="CP503" s="407">
        <v>317.14114999999998</v>
      </c>
      <c r="CQ503" s="407">
        <v>29</v>
      </c>
      <c r="CR503" s="407">
        <v>199.19763799077555</v>
      </c>
      <c r="CS503" s="407">
        <v>0</v>
      </c>
      <c r="CT503" s="407">
        <v>0</v>
      </c>
      <c r="CU503" s="407">
        <v>0</v>
      </c>
      <c r="CV503" s="407">
        <v>0</v>
      </c>
      <c r="CW503" s="407">
        <v>0</v>
      </c>
      <c r="CX503" s="407">
        <v>0</v>
      </c>
      <c r="CY503" s="407">
        <v>0</v>
      </c>
      <c r="CZ503" s="407">
        <v>60.831297881614319</v>
      </c>
      <c r="DA503" s="407">
        <v>0</v>
      </c>
      <c r="DB503" s="407">
        <v>0</v>
      </c>
      <c r="DC503" s="407">
        <v>353.04363107560062</v>
      </c>
      <c r="DD503" s="407">
        <v>0</v>
      </c>
      <c r="DE503" s="407">
        <v>0</v>
      </c>
      <c r="DF503" s="407">
        <v>0</v>
      </c>
      <c r="DG503" s="407">
        <v>25.806362079636983</v>
      </c>
      <c r="DH503" s="407">
        <v>0</v>
      </c>
      <c r="DI503" s="407">
        <v>-50.11128730312862</v>
      </c>
      <c r="DJ503" s="407"/>
      <c r="DK503" s="407">
        <v>0</v>
      </c>
      <c r="DL503" s="407">
        <v>0</v>
      </c>
      <c r="DM503" s="407">
        <v>0</v>
      </c>
      <c r="DN503" s="407">
        <v>0</v>
      </c>
      <c r="DO503" s="407">
        <v>-6.7451468817062334</v>
      </c>
      <c r="DP503" s="407">
        <v>-1.5264808756591748</v>
      </c>
      <c r="DQ503" s="407">
        <v>0</v>
      </c>
      <c r="DR503" s="407">
        <v>-182.10073798558199</v>
      </c>
      <c r="DS503" s="407"/>
      <c r="DT503" s="407"/>
      <c r="DU503" s="407"/>
      <c r="DV503" s="407">
        <v>4820.5684636368042</v>
      </c>
      <c r="DW503" s="407">
        <v>0</v>
      </c>
      <c r="DX503" s="407">
        <v>0</v>
      </c>
      <c r="DY503" s="407">
        <v>-2580.3074999999999</v>
      </c>
      <c r="DZ503" s="407">
        <v>317.14114999999993</v>
      </c>
      <c r="EA503" s="407">
        <v>0</v>
      </c>
      <c r="EB503" s="407">
        <v>0</v>
      </c>
      <c r="EC503" s="407">
        <v>-2462.3575675905786</v>
      </c>
      <c r="ED503" s="407">
        <v>0</v>
      </c>
      <c r="EE503" s="407">
        <v>0</v>
      </c>
      <c r="EF503" s="407">
        <v>0</v>
      </c>
      <c r="EG503" s="407">
        <v>0</v>
      </c>
      <c r="EH503" s="407">
        <v>0</v>
      </c>
      <c r="EI503" s="407">
        <v>0</v>
      </c>
      <c r="EJ503" s="407">
        <v>0</v>
      </c>
      <c r="EK503" s="407">
        <v>0</v>
      </c>
      <c r="EL503" s="407">
        <v>0</v>
      </c>
      <c r="EM503" s="407">
        <v>0</v>
      </c>
      <c r="EN503" s="407">
        <v>0</v>
      </c>
      <c r="EO503" s="407">
        <v>0</v>
      </c>
      <c r="EP503" s="407">
        <v>338.89423577470802</v>
      </c>
      <c r="EQ503" s="407">
        <v>0</v>
      </c>
      <c r="ER503" s="407">
        <v>0</v>
      </c>
      <c r="ES503" s="407">
        <v>0</v>
      </c>
      <c r="ET503" s="407">
        <v>0</v>
      </c>
      <c r="EU503" s="407">
        <v>0</v>
      </c>
      <c r="EV503" s="407">
        <v>246</v>
      </c>
      <c r="EW503" s="407">
        <v>0</v>
      </c>
      <c r="EX503" s="407">
        <v>0</v>
      </c>
      <c r="EY503" s="407">
        <v>0</v>
      </c>
      <c r="EZ503" s="407"/>
      <c r="FA503" s="407">
        <v>0</v>
      </c>
      <c r="FB503" s="407"/>
      <c r="FC503" s="407"/>
      <c r="FD503" s="407"/>
      <c r="FE503" s="407"/>
      <c r="FF503" s="407">
        <v>0</v>
      </c>
      <c r="FG503" s="407">
        <v>0</v>
      </c>
      <c r="FH503" s="407">
        <v>0</v>
      </c>
      <c r="FI503" s="407">
        <v>0</v>
      </c>
    </row>
    <row r="504" spans="1:165">
      <c r="A504" s="407">
        <v>523</v>
      </c>
      <c r="B504" s="407" t="s">
        <v>1090</v>
      </c>
      <c r="C504" s="407" t="s">
        <v>2306</v>
      </c>
      <c r="D504" s="407" t="s">
        <v>1218</v>
      </c>
      <c r="E504" s="407" t="s">
        <v>1021</v>
      </c>
      <c r="F504" s="407" t="s">
        <v>1021</v>
      </c>
      <c r="G504" s="407" t="s">
        <v>97</v>
      </c>
      <c r="H504" s="407" t="s">
        <v>97</v>
      </c>
      <c r="I504" s="407" t="s">
        <v>97</v>
      </c>
      <c r="J504" s="407" t="s">
        <v>2307</v>
      </c>
      <c r="K504" s="818">
        <v>44621</v>
      </c>
      <c r="L504" s="407">
        <v>0</v>
      </c>
      <c r="M504" s="407">
        <v>0</v>
      </c>
      <c r="N504" s="407">
        <v>1346.751</v>
      </c>
      <c r="O504" s="407">
        <v>1346.751</v>
      </c>
      <c r="P504" s="407">
        <v>1346.751</v>
      </c>
      <c r="Q504" s="407">
        <v>1346.751</v>
      </c>
      <c r="R504" s="407"/>
      <c r="S504" s="407">
        <v>648.44000000000005</v>
      </c>
      <c r="T504" s="407">
        <v>159.41</v>
      </c>
      <c r="U504" s="407"/>
      <c r="V504" s="407">
        <v>1087972.79535</v>
      </c>
      <c r="W504" s="407">
        <v>1087972.79535</v>
      </c>
      <c r="X504" s="407">
        <v>823969.19681999995</v>
      </c>
      <c r="Y504" s="407">
        <v>0</v>
      </c>
      <c r="Z504" s="407">
        <v>83458.497006212157</v>
      </c>
      <c r="AA504" s="407">
        <v>0</v>
      </c>
      <c r="AB504" s="407">
        <v>0</v>
      </c>
      <c r="AC504" s="407">
        <v>0</v>
      </c>
      <c r="AD504" s="407">
        <v>157090.99764532407</v>
      </c>
      <c r="AE504" s="407">
        <v>562330.4806384868</v>
      </c>
      <c r="AF504" s="407">
        <v>207710.37196409624</v>
      </c>
      <c r="AG504" s="407">
        <v>6978.523274672837</v>
      </c>
      <c r="AH504" s="407">
        <v>0</v>
      </c>
      <c r="AI504" s="407">
        <v>0</v>
      </c>
      <c r="AJ504" s="407">
        <v>0</v>
      </c>
      <c r="AK504" s="407">
        <v>0</v>
      </c>
      <c r="AL504" s="407">
        <v>12896.562119667315</v>
      </c>
      <c r="AM504" s="407"/>
      <c r="AN504" s="407">
        <v>2794.6371289098715</v>
      </c>
      <c r="AO504" s="407">
        <v>0</v>
      </c>
      <c r="AP504" s="407">
        <v>0</v>
      </c>
      <c r="AQ504" s="407">
        <v>0</v>
      </c>
      <c r="AR504" s="407">
        <v>0</v>
      </c>
      <c r="AS504" s="407">
        <v>0</v>
      </c>
      <c r="AT504" s="407">
        <v>0</v>
      </c>
      <c r="AU504" s="407">
        <v>0</v>
      </c>
      <c r="AV504" s="407">
        <v>0</v>
      </c>
      <c r="AW504" s="407">
        <v>0</v>
      </c>
      <c r="AX504" s="407">
        <v>0</v>
      </c>
      <c r="AY504" s="407">
        <v>0</v>
      </c>
      <c r="AZ504" s="407">
        <v>0</v>
      </c>
      <c r="BA504" s="407"/>
      <c r="BB504" s="407">
        <v>0</v>
      </c>
      <c r="BC504" s="407">
        <v>0</v>
      </c>
      <c r="BD504" s="407">
        <v>0</v>
      </c>
      <c r="BE504" s="407">
        <v>0</v>
      </c>
      <c r="BF504" s="407">
        <v>0</v>
      </c>
      <c r="BG504" s="407">
        <v>15182.964922127941</v>
      </c>
      <c r="BH504" s="407">
        <v>0</v>
      </c>
      <c r="BI504" s="407">
        <v>1602.47</v>
      </c>
      <c r="BJ504" s="407">
        <v>7065.02</v>
      </c>
      <c r="BK504" s="407">
        <v>337390.15</v>
      </c>
      <c r="BL504" s="407">
        <v>7012</v>
      </c>
      <c r="BM504" s="407"/>
      <c r="BN504" s="407"/>
      <c r="BO504" s="407"/>
      <c r="BP504" s="407"/>
      <c r="BQ504" s="407"/>
      <c r="BR504" s="407"/>
      <c r="BS504" s="407"/>
      <c r="BT504" s="407"/>
      <c r="BU504" s="407"/>
      <c r="BV504" s="407">
        <v>222893.33688622419</v>
      </c>
      <c r="BW504" s="407"/>
      <c r="BX504" s="407"/>
      <c r="BY504" s="407"/>
      <c r="BZ504" s="407"/>
      <c r="CA504" s="407"/>
      <c r="CB504" s="407"/>
      <c r="CC504" s="407"/>
      <c r="CD504" s="407"/>
      <c r="CE504" s="407"/>
      <c r="CF504" s="407"/>
      <c r="CG504" s="407"/>
      <c r="CH504" s="407"/>
      <c r="CI504" s="407">
        <v>823968.58499999996</v>
      </c>
      <c r="CJ504" s="407">
        <v>-264004.24035000009</v>
      </c>
      <c r="CK504" s="407"/>
      <c r="CL504" s="407"/>
      <c r="CM504" s="407"/>
      <c r="CN504" s="407"/>
      <c r="CO504" s="407">
        <v>-300998.84850000008</v>
      </c>
      <c r="CP504" s="407">
        <v>36995.249969999997</v>
      </c>
      <c r="CQ504" s="407">
        <v>31</v>
      </c>
      <c r="CR504" s="407">
        <v>23236.866016605869</v>
      </c>
      <c r="CS504" s="407">
        <v>0</v>
      </c>
      <c r="CT504" s="407">
        <v>0</v>
      </c>
      <c r="CU504" s="407">
        <v>0</v>
      </c>
      <c r="CV504" s="407">
        <v>0</v>
      </c>
      <c r="CW504" s="407">
        <v>0</v>
      </c>
      <c r="CX504" s="407">
        <v>0</v>
      </c>
      <c r="CY504" s="407">
        <v>0</v>
      </c>
      <c r="CZ504" s="407">
        <v>7096.1118452457595</v>
      </c>
      <c r="DA504" s="407">
        <v>0</v>
      </c>
      <c r="DB504" s="407">
        <v>0</v>
      </c>
      <c r="DC504" s="407">
        <v>41183.357574248279</v>
      </c>
      <c r="DD504" s="407">
        <v>0</v>
      </c>
      <c r="DE504" s="407">
        <v>0</v>
      </c>
      <c r="DF504" s="407">
        <v>0</v>
      </c>
      <c r="DG504" s="407">
        <v>3010.3719304558854</v>
      </c>
      <c r="DH504" s="407">
        <v>0</v>
      </c>
      <c r="DI504" s="407">
        <v>-5845.5977727826539</v>
      </c>
      <c r="DJ504" s="407"/>
      <c r="DK504" s="407">
        <v>0</v>
      </c>
      <c r="DL504" s="407">
        <v>0</v>
      </c>
      <c r="DM504" s="407">
        <v>0</v>
      </c>
      <c r="DN504" s="407">
        <v>0</v>
      </c>
      <c r="DO504" s="407">
        <v>-786.83701239365473</v>
      </c>
      <c r="DP504" s="407">
        <v>-178.06753103290339</v>
      </c>
      <c r="DQ504" s="407">
        <v>0</v>
      </c>
      <c r="DR504" s="407">
        <v>-21242.473017134733</v>
      </c>
      <c r="DS504" s="407"/>
      <c r="DT504" s="407"/>
      <c r="DU504" s="407"/>
      <c r="DV504" s="407">
        <v>562330.4806384868</v>
      </c>
      <c r="DW504" s="407">
        <v>0</v>
      </c>
      <c r="DX504" s="407">
        <v>0</v>
      </c>
      <c r="DY504" s="407">
        <v>-300998.84850000008</v>
      </c>
      <c r="DZ504" s="407">
        <v>36995.249969999975</v>
      </c>
      <c r="EA504" s="407">
        <v>0</v>
      </c>
      <c r="EB504" s="407">
        <v>0</v>
      </c>
      <c r="EC504" s="407">
        <v>-287239.71559204673</v>
      </c>
      <c r="ED504" s="407">
        <v>0</v>
      </c>
      <c r="EE504" s="407">
        <v>0</v>
      </c>
      <c r="EF504" s="407">
        <v>0</v>
      </c>
      <c r="EG504" s="407">
        <v>0</v>
      </c>
      <c r="EH504" s="407">
        <v>0</v>
      </c>
      <c r="EI504" s="407">
        <v>0</v>
      </c>
      <c r="EJ504" s="407">
        <v>0</v>
      </c>
      <c r="EK504" s="407">
        <v>0</v>
      </c>
      <c r="EL504" s="407">
        <v>0</v>
      </c>
      <c r="EM504" s="407">
        <v>0</v>
      </c>
      <c r="EN504" s="407">
        <v>0</v>
      </c>
      <c r="EO504" s="407">
        <v>0</v>
      </c>
      <c r="EP504" s="407">
        <v>39532.797827962218</v>
      </c>
      <c r="EQ504" s="407">
        <v>0</v>
      </c>
      <c r="ER504" s="407">
        <v>0</v>
      </c>
      <c r="ES504" s="407">
        <v>0</v>
      </c>
      <c r="ET504" s="407">
        <v>0</v>
      </c>
      <c r="EU504" s="407">
        <v>0</v>
      </c>
      <c r="EV504" s="407">
        <v>246</v>
      </c>
      <c r="EW504" s="407">
        <v>0</v>
      </c>
      <c r="EX504" s="407">
        <v>0</v>
      </c>
      <c r="EY504" s="407">
        <v>0</v>
      </c>
      <c r="EZ504" s="407"/>
      <c r="FA504" s="407">
        <v>0</v>
      </c>
      <c r="FB504" s="407"/>
      <c r="FC504" s="407"/>
      <c r="FD504" s="407"/>
      <c r="FE504" s="407"/>
      <c r="FF504" s="407">
        <v>0</v>
      </c>
      <c r="FG504" s="407">
        <v>0</v>
      </c>
      <c r="FH504" s="407">
        <v>0</v>
      </c>
      <c r="FI504" s="407">
        <v>0</v>
      </c>
    </row>
    <row r="505" spans="1:165">
      <c r="A505" s="407">
        <v>524</v>
      </c>
      <c r="B505" s="407" t="s">
        <v>2308</v>
      </c>
      <c r="C505" s="407" t="s">
        <v>2306</v>
      </c>
      <c r="D505" s="407" t="s">
        <v>1218</v>
      </c>
      <c r="E505" s="407" t="s">
        <v>1021</v>
      </c>
      <c r="F505" s="407" t="s">
        <v>1021</v>
      </c>
      <c r="G505" s="407" t="s">
        <v>97</v>
      </c>
      <c r="H505" s="407" t="s">
        <v>97</v>
      </c>
      <c r="I505" s="407" t="s">
        <v>97</v>
      </c>
      <c r="J505" s="407" t="s">
        <v>2307</v>
      </c>
      <c r="K505" s="818">
        <v>44621</v>
      </c>
      <c r="L505" s="407">
        <v>0</v>
      </c>
      <c r="M505" s="407">
        <v>0</v>
      </c>
      <c r="N505" s="407">
        <v>-5.1840000000000002</v>
      </c>
      <c r="O505" s="407">
        <v>-5.1840000000000002</v>
      </c>
      <c r="P505" s="407">
        <v>-5.1840000000000002</v>
      </c>
      <c r="Q505" s="407">
        <v>-5.1840000000000002</v>
      </c>
      <c r="R505" s="407"/>
      <c r="S505" s="407">
        <v>648.44000000000005</v>
      </c>
      <c r="T505" s="407">
        <v>159.41</v>
      </c>
      <c r="U505" s="407"/>
      <c r="V505" s="407">
        <v>-4187.8944000000001</v>
      </c>
      <c r="W505" s="407">
        <v>-4187.8944000000001</v>
      </c>
      <c r="X505" s="407">
        <v>-3171.6748800000005</v>
      </c>
      <c r="Y505" s="407">
        <v>0</v>
      </c>
      <c r="Z505" s="407">
        <v>-321.25377926595473</v>
      </c>
      <c r="AA505" s="407">
        <v>0</v>
      </c>
      <c r="AB505" s="407">
        <v>0</v>
      </c>
      <c r="AC505" s="407">
        <v>0</v>
      </c>
      <c r="AD505" s="407">
        <v>-604.68470548257255</v>
      </c>
      <c r="AE505" s="407">
        <v>-2164.5584162402074</v>
      </c>
      <c r="AF505" s="407">
        <v>-799.532035440757</v>
      </c>
      <c r="AG505" s="407">
        <v>-26.862177682365925</v>
      </c>
      <c r="AH505" s="407">
        <v>0</v>
      </c>
      <c r="AI505" s="407">
        <v>0</v>
      </c>
      <c r="AJ505" s="407">
        <v>0</v>
      </c>
      <c r="AK505" s="407">
        <v>0</v>
      </c>
      <c r="AL505" s="407">
        <v>-49.642270938247208</v>
      </c>
      <c r="AM505" s="407"/>
      <c r="AN505" s="407">
        <v>-10.757295800239818</v>
      </c>
      <c r="AO505" s="407">
        <v>0</v>
      </c>
      <c r="AP505" s="407">
        <v>0</v>
      </c>
      <c r="AQ505" s="407">
        <v>0</v>
      </c>
      <c r="AR505" s="407">
        <v>0</v>
      </c>
      <c r="AS505" s="407">
        <v>0</v>
      </c>
      <c r="AT505" s="407">
        <v>0</v>
      </c>
      <c r="AU505" s="407">
        <v>0</v>
      </c>
      <c r="AV505" s="407">
        <v>0</v>
      </c>
      <c r="AW505" s="407">
        <v>0</v>
      </c>
      <c r="AX505" s="407">
        <v>0</v>
      </c>
      <c r="AY505" s="407">
        <v>0</v>
      </c>
      <c r="AZ505" s="407">
        <v>0</v>
      </c>
      <c r="BA505" s="407"/>
      <c r="BB505" s="407">
        <v>0</v>
      </c>
      <c r="BC505" s="407">
        <v>0</v>
      </c>
      <c r="BD505" s="407">
        <v>0</v>
      </c>
      <c r="BE505" s="407">
        <v>0</v>
      </c>
      <c r="BF505" s="407">
        <v>0</v>
      </c>
      <c r="BG505" s="407">
        <v>-58.443238695431639</v>
      </c>
      <c r="BH505" s="407">
        <v>0</v>
      </c>
      <c r="BI505" s="407">
        <v>-9.89</v>
      </c>
      <c r="BJ505" s="407">
        <v>-45.55</v>
      </c>
      <c r="BK505" s="407">
        <v>-1556.44</v>
      </c>
      <c r="BL505" s="407">
        <v>0</v>
      </c>
      <c r="BM505" s="407"/>
      <c r="BN505" s="407"/>
      <c r="BO505" s="407"/>
      <c r="BP505" s="407"/>
      <c r="BQ505" s="407"/>
      <c r="BR505" s="407"/>
      <c r="BS505" s="407"/>
      <c r="BT505" s="407"/>
      <c r="BU505" s="407"/>
      <c r="BV505" s="407">
        <v>-857.97527413618866</v>
      </c>
      <c r="BW505" s="407"/>
      <c r="BX505" s="407"/>
      <c r="BY505" s="407"/>
      <c r="BZ505" s="407"/>
      <c r="CA505" s="407"/>
      <c r="CB505" s="407"/>
      <c r="CC505" s="407"/>
      <c r="CD505" s="407"/>
      <c r="CE505" s="407"/>
      <c r="CF505" s="407"/>
      <c r="CG505" s="407"/>
      <c r="CH505" s="407"/>
      <c r="CI505" s="407">
        <v>-3169.2275999999997</v>
      </c>
      <c r="CJ505" s="407">
        <v>1018.6367999999998</v>
      </c>
      <c r="CK505" s="407"/>
      <c r="CL505" s="407"/>
      <c r="CM505" s="407"/>
      <c r="CN505" s="407"/>
      <c r="CO505" s="407">
        <v>1158.6240000000003</v>
      </c>
      <c r="CP505" s="407">
        <v>-142.40448000000001</v>
      </c>
      <c r="CQ505" s="407">
        <v>31</v>
      </c>
      <c r="CR505" s="407">
        <v>-89.444829393172995</v>
      </c>
      <c r="CS505" s="407">
        <v>0</v>
      </c>
      <c r="CT505" s="407">
        <v>0</v>
      </c>
      <c r="CU505" s="407">
        <v>0</v>
      </c>
      <c r="CV505" s="407">
        <v>0</v>
      </c>
      <c r="CW505" s="407">
        <v>0</v>
      </c>
      <c r="CX505" s="407">
        <v>0</v>
      </c>
      <c r="CY505" s="407">
        <v>0</v>
      </c>
      <c r="CZ505" s="407">
        <v>-27.314807121549507</v>
      </c>
      <c r="DA505" s="407">
        <v>0</v>
      </c>
      <c r="DB505" s="407">
        <v>0</v>
      </c>
      <c r="DC505" s="407">
        <v>-158.52561138985834</v>
      </c>
      <c r="DD505" s="407">
        <v>0</v>
      </c>
      <c r="DE505" s="407">
        <v>0</v>
      </c>
      <c r="DF505" s="407">
        <v>0</v>
      </c>
      <c r="DG505" s="407">
        <v>-11.587715982749081</v>
      </c>
      <c r="DH505" s="407">
        <v>0</v>
      </c>
      <c r="DI505" s="407">
        <v>22.501248452093421</v>
      </c>
      <c r="DJ505" s="407"/>
      <c r="DK505" s="407">
        <v>0</v>
      </c>
      <c r="DL505" s="407">
        <v>0</v>
      </c>
      <c r="DM505" s="407">
        <v>0</v>
      </c>
      <c r="DN505" s="407">
        <v>0</v>
      </c>
      <c r="DO505" s="407">
        <v>3.0287433031411979</v>
      </c>
      <c r="DP505" s="407">
        <v>0.68542891809589968</v>
      </c>
      <c r="DQ505" s="407">
        <v>0</v>
      </c>
      <c r="DR505" s="407">
        <v>81.767884427653257</v>
      </c>
      <c r="DS505" s="407"/>
      <c r="DT505" s="407"/>
      <c r="DU505" s="407"/>
      <c r="DV505" s="407">
        <v>-2164.5584162402074</v>
      </c>
      <c r="DW505" s="407">
        <v>0</v>
      </c>
      <c r="DX505" s="407">
        <v>0</v>
      </c>
      <c r="DY505" s="407">
        <v>1158.6240000000003</v>
      </c>
      <c r="DZ505" s="407">
        <v>-142.40448000000004</v>
      </c>
      <c r="EA505" s="407">
        <v>0</v>
      </c>
      <c r="EB505" s="407">
        <v>0</v>
      </c>
      <c r="EC505" s="407">
        <v>1105.6614664694291</v>
      </c>
      <c r="ED505" s="407">
        <v>0</v>
      </c>
      <c r="EE505" s="407">
        <v>0</v>
      </c>
      <c r="EF505" s="407">
        <v>0</v>
      </c>
      <c r="EG505" s="407">
        <v>0</v>
      </c>
      <c r="EH505" s="407">
        <v>0</v>
      </c>
      <c r="EI505" s="407">
        <v>0</v>
      </c>
      <c r="EJ505" s="407">
        <v>0</v>
      </c>
      <c r="EK505" s="407">
        <v>0</v>
      </c>
      <c r="EL505" s="407">
        <v>0</v>
      </c>
      <c r="EM505" s="407">
        <v>0</v>
      </c>
      <c r="EN505" s="407">
        <v>0</v>
      </c>
      <c r="EO505" s="407">
        <v>0</v>
      </c>
      <c r="EP505" s="407">
        <v>-152.17217135176148</v>
      </c>
      <c r="EQ505" s="407">
        <v>0</v>
      </c>
      <c r="ER505" s="407">
        <v>0</v>
      </c>
      <c r="ES505" s="407">
        <v>0</v>
      </c>
      <c r="ET505" s="407">
        <v>0</v>
      </c>
      <c r="EU505" s="407">
        <v>0</v>
      </c>
      <c r="EV505" s="407">
        <v>246</v>
      </c>
      <c r="EW505" s="407">
        <v>0</v>
      </c>
      <c r="EX505" s="407">
        <v>0</v>
      </c>
      <c r="EY505" s="407">
        <v>0</v>
      </c>
      <c r="EZ505" s="407"/>
      <c r="FA505" s="407">
        <v>0</v>
      </c>
      <c r="FB505" s="407"/>
      <c r="FC505" s="407"/>
      <c r="FD505" s="407"/>
      <c r="FE505" s="407"/>
      <c r="FF505" s="407">
        <v>0</v>
      </c>
      <c r="FG505" s="407">
        <v>0</v>
      </c>
      <c r="FH505" s="407">
        <v>0</v>
      </c>
      <c r="FI505" s="407">
        <v>0</v>
      </c>
    </row>
    <row r="506" spans="1:165">
      <c r="A506" s="407">
        <v>525</v>
      </c>
      <c r="B506" s="407" t="s">
        <v>2309</v>
      </c>
      <c r="C506" s="407" t="s">
        <v>2306</v>
      </c>
      <c r="D506" s="407" t="s">
        <v>1218</v>
      </c>
      <c r="E506" s="407" t="s">
        <v>1021</v>
      </c>
      <c r="F506" s="407" t="s">
        <v>1021</v>
      </c>
      <c r="G506" s="407" t="s">
        <v>97</v>
      </c>
      <c r="H506" s="407" t="s">
        <v>97</v>
      </c>
      <c r="I506" s="407" t="s">
        <v>97</v>
      </c>
      <c r="J506" s="407" t="s">
        <v>2307</v>
      </c>
      <c r="K506" s="818">
        <v>44621</v>
      </c>
      <c r="L506" s="407">
        <v>0</v>
      </c>
      <c r="M506" s="407">
        <v>0</v>
      </c>
      <c r="N506" s="407">
        <v>26.321000000000002</v>
      </c>
      <c r="O506" s="407">
        <v>26.321000000000002</v>
      </c>
      <c r="P506" s="407">
        <v>26.321000000000002</v>
      </c>
      <c r="Q506" s="407">
        <v>26.321000000000002</v>
      </c>
      <c r="R506" s="407"/>
      <c r="S506" s="407">
        <v>648.44000000000005</v>
      </c>
      <c r="T506" s="407">
        <v>159.41</v>
      </c>
      <c r="U506" s="407"/>
      <c r="V506" s="407">
        <v>21263.419850000002</v>
      </c>
      <c r="W506" s="407">
        <v>21263.419850000002</v>
      </c>
      <c r="X506" s="407">
        <v>16103.714220000002</v>
      </c>
      <c r="Y506" s="407">
        <v>0</v>
      </c>
      <c r="Z506" s="407">
        <v>1631.1189668324066</v>
      </c>
      <c r="AA506" s="407">
        <v>0</v>
      </c>
      <c r="AB506" s="407">
        <v>0</v>
      </c>
      <c r="AC506" s="407">
        <v>0</v>
      </c>
      <c r="AD506" s="407">
        <v>3070.1979423238413</v>
      </c>
      <c r="AE506" s="407">
        <v>10990.228023506656</v>
      </c>
      <c r="AF506" s="407">
        <v>4059.5066946057418</v>
      </c>
      <c r="AG506" s="407">
        <v>136.38876905431201</v>
      </c>
      <c r="AH506" s="407">
        <v>0</v>
      </c>
      <c r="AI506" s="407">
        <v>0</v>
      </c>
      <c r="AJ506" s="407">
        <v>0</v>
      </c>
      <c r="AK506" s="407">
        <v>0</v>
      </c>
      <c r="AL506" s="407">
        <v>252.05135288688365</v>
      </c>
      <c r="AM506" s="407"/>
      <c r="AN506" s="407">
        <v>54.618592353030913</v>
      </c>
      <c r="AO506" s="407">
        <v>0</v>
      </c>
      <c r="AP506" s="407">
        <v>0</v>
      </c>
      <c r="AQ506" s="407">
        <v>0</v>
      </c>
      <c r="AR506" s="407">
        <v>0</v>
      </c>
      <c r="AS506" s="407">
        <v>0</v>
      </c>
      <c r="AT506" s="407">
        <v>0</v>
      </c>
      <c r="AU506" s="407">
        <v>0</v>
      </c>
      <c r="AV506" s="407">
        <v>0</v>
      </c>
      <c r="AW506" s="407">
        <v>0</v>
      </c>
      <c r="AX506" s="407">
        <v>0</v>
      </c>
      <c r="AY506" s="407">
        <v>0</v>
      </c>
      <c r="AZ506" s="407">
        <v>0</v>
      </c>
      <c r="BA506" s="407"/>
      <c r="BB506" s="407">
        <v>0</v>
      </c>
      <c r="BC506" s="407">
        <v>0</v>
      </c>
      <c r="BD506" s="407">
        <v>0</v>
      </c>
      <c r="BE506" s="407">
        <v>0</v>
      </c>
      <c r="BF506" s="407">
        <v>0</v>
      </c>
      <c r="BG506" s="407">
        <v>296.73697640865282</v>
      </c>
      <c r="BH506" s="407">
        <v>0</v>
      </c>
      <c r="BI506" s="407">
        <v>30.98</v>
      </c>
      <c r="BJ506" s="407">
        <v>138.19999999999999</v>
      </c>
      <c r="BK506" s="407">
        <v>20192.63</v>
      </c>
      <c r="BL506" s="407">
        <v>258</v>
      </c>
      <c r="BM506" s="407"/>
      <c r="BN506" s="407"/>
      <c r="BO506" s="407"/>
      <c r="BP506" s="407"/>
      <c r="BQ506" s="407"/>
      <c r="BR506" s="407"/>
      <c r="BS506" s="407"/>
      <c r="BT506" s="407"/>
      <c r="BU506" s="407"/>
      <c r="BV506" s="407">
        <v>4356.2436710143947</v>
      </c>
      <c r="BW506" s="407"/>
      <c r="BX506" s="407"/>
      <c r="BY506" s="407"/>
      <c r="BZ506" s="407"/>
      <c r="CA506" s="407"/>
      <c r="CB506" s="407"/>
      <c r="CC506" s="407"/>
      <c r="CD506" s="407"/>
      <c r="CE506" s="407"/>
      <c r="CF506" s="407"/>
      <c r="CG506" s="407"/>
      <c r="CH506" s="407"/>
      <c r="CI506" s="407">
        <v>16103.1024</v>
      </c>
      <c r="CJ506" s="407">
        <v>-5160.3474499999975</v>
      </c>
      <c r="CK506" s="407"/>
      <c r="CL506" s="407"/>
      <c r="CM506" s="407"/>
      <c r="CN506" s="407"/>
      <c r="CO506" s="407">
        <v>-5882.7435000000014</v>
      </c>
      <c r="CP506" s="407">
        <v>723.03787</v>
      </c>
      <c r="CQ506" s="407">
        <v>31</v>
      </c>
      <c r="CR506" s="407">
        <v>454.14300819014716</v>
      </c>
      <c r="CS506" s="407">
        <v>0</v>
      </c>
      <c r="CT506" s="407">
        <v>0</v>
      </c>
      <c r="CU506" s="407">
        <v>0</v>
      </c>
      <c r="CV506" s="407">
        <v>0</v>
      </c>
      <c r="CW506" s="407">
        <v>0</v>
      </c>
      <c r="CX506" s="407">
        <v>0</v>
      </c>
      <c r="CY506" s="407">
        <v>0</v>
      </c>
      <c r="CZ506" s="407">
        <v>138.68692867405571</v>
      </c>
      <c r="DA506" s="407">
        <v>0</v>
      </c>
      <c r="DB506" s="407">
        <v>0</v>
      </c>
      <c r="DC506" s="407">
        <v>804.8905511945336</v>
      </c>
      <c r="DD506" s="407">
        <v>0</v>
      </c>
      <c r="DE506" s="407">
        <v>0</v>
      </c>
      <c r="DF506" s="407">
        <v>0</v>
      </c>
      <c r="DG506" s="407">
        <v>58.8349290860221</v>
      </c>
      <c r="DH506" s="407">
        <v>0</v>
      </c>
      <c r="DI506" s="407">
        <v>-114.24679022136411</v>
      </c>
      <c r="DJ506" s="407"/>
      <c r="DK506" s="407">
        <v>0</v>
      </c>
      <c r="DL506" s="407">
        <v>0</v>
      </c>
      <c r="DM506" s="407">
        <v>0</v>
      </c>
      <c r="DN506" s="407">
        <v>0</v>
      </c>
      <c r="DO506" s="407">
        <v>-15.378000092974446</v>
      </c>
      <c r="DP506" s="407">
        <v>-3.4801648443676996</v>
      </c>
      <c r="DQ506" s="407">
        <v>0</v>
      </c>
      <c r="DR506" s="407">
        <v>-415.16444560576036</v>
      </c>
      <c r="DS506" s="407"/>
      <c r="DT506" s="407"/>
      <c r="DU506" s="407"/>
      <c r="DV506" s="407">
        <v>10990.228023506656</v>
      </c>
      <c r="DW506" s="407">
        <v>0</v>
      </c>
      <c r="DX506" s="407">
        <v>0</v>
      </c>
      <c r="DY506" s="407">
        <v>-5882.7435000000005</v>
      </c>
      <c r="DZ506" s="407">
        <v>723.03787000000011</v>
      </c>
      <c r="EA506" s="407">
        <v>0</v>
      </c>
      <c r="EB506" s="407">
        <v>0</v>
      </c>
      <c r="EC506" s="407">
        <v>-5613.8340005674863</v>
      </c>
      <c r="ED506" s="407">
        <v>0</v>
      </c>
      <c r="EE506" s="407">
        <v>0</v>
      </c>
      <c r="EF506" s="407">
        <v>0</v>
      </c>
      <c r="EG506" s="407">
        <v>0</v>
      </c>
      <c r="EH506" s="407">
        <v>0</v>
      </c>
      <c r="EI506" s="407">
        <v>0</v>
      </c>
      <c r="EJ506" s="407">
        <v>0</v>
      </c>
      <c r="EK506" s="407">
        <v>0</v>
      </c>
      <c r="EL506" s="407">
        <v>0</v>
      </c>
      <c r="EM506" s="407">
        <v>0</v>
      </c>
      <c r="EN506" s="407">
        <v>0</v>
      </c>
      <c r="EO506" s="407">
        <v>0</v>
      </c>
      <c r="EP506" s="407">
        <v>772.63189084678129</v>
      </c>
      <c r="EQ506" s="407">
        <v>0</v>
      </c>
      <c r="ER506" s="407">
        <v>0</v>
      </c>
      <c r="ES506" s="407">
        <v>0</v>
      </c>
      <c r="ET506" s="407">
        <v>0</v>
      </c>
      <c r="EU506" s="407">
        <v>0</v>
      </c>
      <c r="EV506" s="407">
        <v>246</v>
      </c>
      <c r="EW506" s="407">
        <v>0</v>
      </c>
      <c r="EX506" s="407">
        <v>0</v>
      </c>
      <c r="EY506" s="407">
        <v>0</v>
      </c>
      <c r="EZ506" s="407"/>
      <c r="FA506" s="407">
        <v>0</v>
      </c>
      <c r="FB506" s="407"/>
      <c r="FC506" s="407"/>
      <c r="FD506" s="407"/>
      <c r="FE506" s="407"/>
      <c r="FF506" s="407">
        <v>0</v>
      </c>
      <c r="FG506" s="407">
        <v>0</v>
      </c>
      <c r="FH506" s="407">
        <v>0</v>
      </c>
      <c r="FI506" s="407">
        <v>0</v>
      </c>
    </row>
    <row r="507" spans="1:165">
      <c r="A507" s="407">
        <v>526</v>
      </c>
      <c r="B507" s="407" t="s">
        <v>1090</v>
      </c>
      <c r="C507" s="407" t="s">
        <v>2306</v>
      </c>
      <c r="D507" s="407" t="s">
        <v>1218</v>
      </c>
      <c r="E507" s="407" t="s">
        <v>1021</v>
      </c>
      <c r="F507" s="407" t="s">
        <v>2310</v>
      </c>
      <c r="G507" s="407" t="s">
        <v>97</v>
      </c>
      <c r="H507" s="407" t="s">
        <v>97</v>
      </c>
      <c r="I507" s="407" t="s">
        <v>97</v>
      </c>
      <c r="J507" s="407" t="s">
        <v>2307</v>
      </c>
      <c r="K507" s="818">
        <v>44621</v>
      </c>
      <c r="L507" s="407">
        <v>0</v>
      </c>
      <c r="M507" s="407">
        <v>0</v>
      </c>
      <c r="N507" s="407">
        <v>43.255000000000003</v>
      </c>
      <c r="O507" s="407">
        <v>43.255000000000003</v>
      </c>
      <c r="P507" s="407">
        <v>43.255000000000003</v>
      </c>
      <c r="Q507" s="407">
        <v>43.255000000000003</v>
      </c>
      <c r="R507" s="407"/>
      <c r="S507" s="407">
        <v>547.54</v>
      </c>
      <c r="T507" s="407">
        <v>159.41</v>
      </c>
      <c r="U507" s="407"/>
      <c r="V507" s="407">
        <v>30579.12225</v>
      </c>
      <c r="W507" s="407">
        <v>30579.12225</v>
      </c>
      <c r="X507" s="407">
        <v>22398.304100000001</v>
      </c>
      <c r="Y507" s="407">
        <v>0</v>
      </c>
      <c r="Z507" s="407">
        <v>0</v>
      </c>
      <c r="AA507" s="407">
        <v>0</v>
      </c>
      <c r="AB507" s="407">
        <v>0</v>
      </c>
      <c r="AC507" s="407">
        <v>0</v>
      </c>
      <c r="AD507" s="407">
        <v>5045.4546557964268</v>
      </c>
      <c r="AE507" s="407">
        <v>18060.951831495018</v>
      </c>
      <c r="AF507" s="407">
        <v>6671.2496514255299</v>
      </c>
      <c r="AG507" s="407">
        <v>224.13647678447879</v>
      </c>
      <c r="AH507" s="407">
        <v>0</v>
      </c>
      <c r="AI507" s="407">
        <v>0</v>
      </c>
      <c r="AJ507" s="407">
        <v>0</v>
      </c>
      <c r="AK507" s="407">
        <v>0</v>
      </c>
      <c r="AL507" s="407">
        <v>0</v>
      </c>
      <c r="AM507" s="407"/>
      <c r="AN507" s="407">
        <v>89.758261928891457</v>
      </c>
      <c r="AO507" s="407">
        <v>0</v>
      </c>
      <c r="AP507" s="407">
        <v>0</v>
      </c>
      <c r="AQ507" s="407">
        <v>0</v>
      </c>
      <c r="AR507" s="407">
        <v>0</v>
      </c>
      <c r="AS507" s="407">
        <v>0</v>
      </c>
      <c r="AT507" s="407">
        <v>0</v>
      </c>
      <c r="AU507" s="407">
        <v>0</v>
      </c>
      <c r="AV507" s="407">
        <v>0</v>
      </c>
      <c r="AW507" s="407">
        <v>0</v>
      </c>
      <c r="AX507" s="407">
        <v>0</v>
      </c>
      <c r="AY507" s="407">
        <v>0</v>
      </c>
      <c r="AZ507" s="407">
        <v>0</v>
      </c>
      <c r="BA507" s="407"/>
      <c r="BB507" s="407">
        <v>0</v>
      </c>
      <c r="BC507" s="407">
        <v>0</v>
      </c>
      <c r="BD507" s="407">
        <v>0</v>
      </c>
      <c r="BE507" s="407">
        <v>0</v>
      </c>
      <c r="BF507" s="407">
        <v>0</v>
      </c>
      <c r="BG507" s="407">
        <v>487.64704663790423</v>
      </c>
      <c r="BH507" s="407">
        <v>0</v>
      </c>
      <c r="BI507" s="407">
        <v>12.56</v>
      </c>
      <c r="BJ507" s="407">
        <v>43.35</v>
      </c>
      <c r="BK507" s="407">
        <v>2349.84</v>
      </c>
      <c r="BL507" s="407">
        <v>120</v>
      </c>
      <c r="BM507" s="407"/>
      <c r="BN507" s="407"/>
      <c r="BO507" s="407"/>
      <c r="BP507" s="407"/>
      <c r="BQ507" s="407"/>
      <c r="BR507" s="407"/>
      <c r="BS507" s="407"/>
      <c r="BT507" s="407">
        <v>14558.767900000003</v>
      </c>
      <c r="BU507" s="407"/>
      <c r="BV507" s="407">
        <v>7158.8966980634341</v>
      </c>
      <c r="BW507" s="407"/>
      <c r="BX507" s="407"/>
      <c r="BY507" s="407"/>
      <c r="BZ507" s="407"/>
      <c r="CA507" s="407"/>
      <c r="CB507" s="407"/>
      <c r="CC507" s="407"/>
      <c r="CD507" s="407"/>
      <c r="CE507" s="407"/>
      <c r="CF507" s="407"/>
      <c r="CG507" s="407"/>
      <c r="CH507" s="407"/>
      <c r="CI507" s="407">
        <v>7840.4423999999999</v>
      </c>
      <c r="CJ507" s="407">
        <v>-2862.1722499999996</v>
      </c>
      <c r="CK507" s="407"/>
      <c r="CL507" s="407"/>
      <c r="CM507" s="407"/>
      <c r="CN507" s="407"/>
      <c r="CO507" s="407">
        <v>-9369.0329999999994</v>
      </c>
      <c r="CP507" s="407">
        <v>1188.2148500000001</v>
      </c>
      <c r="CQ507" s="407">
        <v>31</v>
      </c>
      <c r="CR507" s="407">
        <v>1044.5582324273601</v>
      </c>
      <c r="CS507" s="407">
        <v>0</v>
      </c>
      <c r="CT507" s="407">
        <v>0</v>
      </c>
      <c r="CU507" s="407">
        <v>0</v>
      </c>
      <c r="CV507" s="407">
        <v>0</v>
      </c>
      <c r="CW507" s="407">
        <v>0</v>
      </c>
      <c r="CX507" s="407">
        <v>0</v>
      </c>
      <c r="CY507" s="407">
        <v>0</v>
      </c>
      <c r="CZ507" s="407">
        <v>227.9131909804446</v>
      </c>
      <c r="DA507" s="407">
        <v>0</v>
      </c>
      <c r="DB507" s="407">
        <v>0</v>
      </c>
      <c r="DC507" s="407">
        <v>1322.7286498202775</v>
      </c>
      <c r="DD507" s="407">
        <v>0</v>
      </c>
      <c r="DE507" s="407">
        <v>0</v>
      </c>
      <c r="DF507" s="407">
        <v>0</v>
      </c>
      <c r="DG507" s="407">
        <v>96.687240515781639</v>
      </c>
      <c r="DH507" s="407">
        <v>0</v>
      </c>
      <c r="DI507" s="407">
        <v>0</v>
      </c>
      <c r="DJ507" s="407"/>
      <c r="DK507" s="407">
        <v>0</v>
      </c>
      <c r="DL507" s="407">
        <v>0</v>
      </c>
      <c r="DM507" s="407">
        <v>0</v>
      </c>
      <c r="DN507" s="407">
        <v>0</v>
      </c>
      <c r="DO507" s="407">
        <v>0</v>
      </c>
      <c r="DP507" s="407">
        <v>-5.7191797554471719</v>
      </c>
      <c r="DQ507" s="407">
        <v>0</v>
      </c>
      <c r="DR507" s="407">
        <v>-597.05166913369612</v>
      </c>
      <c r="DS507" s="407"/>
      <c r="DT507" s="407"/>
      <c r="DU507" s="407"/>
      <c r="DV507" s="407">
        <v>18060.951831495018</v>
      </c>
      <c r="DW507" s="407">
        <v>0</v>
      </c>
      <c r="DX507" s="407">
        <v>0</v>
      </c>
      <c r="DY507" s="407">
        <v>-9369.0329999999994</v>
      </c>
      <c r="DZ507" s="407">
        <v>1188.2148500000003</v>
      </c>
      <c r="EA507" s="407">
        <v>0</v>
      </c>
      <c r="EB507" s="407">
        <v>0</v>
      </c>
      <c r="EC507" s="407">
        <v>-9225.5761443161955</v>
      </c>
      <c r="ED507" s="407">
        <v>0</v>
      </c>
      <c r="EE507" s="407">
        <v>0</v>
      </c>
      <c r="EF507" s="407">
        <v>0</v>
      </c>
      <c r="EG507" s="407">
        <v>0</v>
      </c>
      <c r="EH507" s="407">
        <v>0</v>
      </c>
      <c r="EI507" s="407">
        <v>0</v>
      </c>
      <c r="EJ507" s="407">
        <v>0</v>
      </c>
      <c r="EK507" s="407">
        <v>0</v>
      </c>
      <c r="EL507" s="407">
        <v>0</v>
      </c>
      <c r="EM507" s="407">
        <v>0</v>
      </c>
      <c r="EN507" s="407">
        <v>0</v>
      </c>
      <c r="EO507" s="407">
        <v>0</v>
      </c>
      <c r="EP507" s="407">
        <v>0</v>
      </c>
      <c r="EQ507" s="407">
        <v>0</v>
      </c>
      <c r="ER507" s="407">
        <v>0</v>
      </c>
      <c r="ES507" s="407">
        <v>0</v>
      </c>
      <c r="ET507" s="407">
        <v>0</v>
      </c>
      <c r="EU507" s="407">
        <v>0</v>
      </c>
      <c r="EV507" s="407">
        <v>246</v>
      </c>
      <c r="EW507" s="407">
        <v>0</v>
      </c>
      <c r="EX507" s="407">
        <v>0</v>
      </c>
      <c r="EY507" s="407">
        <v>0</v>
      </c>
      <c r="EZ507" s="407"/>
      <c r="FA507" s="407">
        <v>0</v>
      </c>
      <c r="FB507" s="407"/>
      <c r="FC507" s="407"/>
      <c r="FD507" s="407"/>
      <c r="FE507" s="407"/>
      <c r="FF507" s="407">
        <v>0</v>
      </c>
      <c r="FG507" s="407">
        <v>0</v>
      </c>
      <c r="FH507" s="407">
        <v>0</v>
      </c>
      <c r="FI507" s="407">
        <v>0</v>
      </c>
    </row>
    <row r="508" spans="1:165">
      <c r="A508" s="407">
        <v>527</v>
      </c>
      <c r="B508" s="407" t="s">
        <v>2308</v>
      </c>
      <c r="C508" s="407" t="s">
        <v>2306</v>
      </c>
      <c r="D508" s="407" t="s">
        <v>1218</v>
      </c>
      <c r="E508" s="407" t="s">
        <v>1021</v>
      </c>
      <c r="F508" s="407" t="s">
        <v>2310</v>
      </c>
      <c r="G508" s="407" t="s">
        <v>97</v>
      </c>
      <c r="H508" s="407" t="s">
        <v>97</v>
      </c>
      <c r="I508" s="407" t="s">
        <v>97</v>
      </c>
      <c r="J508" s="407" t="s">
        <v>2307</v>
      </c>
      <c r="K508" s="818">
        <v>44621</v>
      </c>
      <c r="L508" s="407">
        <v>0</v>
      </c>
      <c r="M508" s="407">
        <v>0</v>
      </c>
      <c r="N508" s="407">
        <v>0</v>
      </c>
      <c r="O508" s="407">
        <v>0</v>
      </c>
      <c r="P508" s="407">
        <v>0</v>
      </c>
      <c r="Q508" s="407">
        <v>0</v>
      </c>
      <c r="R508" s="407"/>
      <c r="S508" s="407"/>
      <c r="T508" s="407"/>
      <c r="U508" s="407"/>
      <c r="V508" s="407"/>
      <c r="W508" s="407"/>
      <c r="X508" s="407"/>
      <c r="Y508" s="407"/>
      <c r="Z508" s="407"/>
      <c r="AA508" s="407">
        <v>0</v>
      </c>
      <c r="AB508" s="407"/>
      <c r="AC508" s="407"/>
      <c r="AD508" s="407"/>
      <c r="AE508" s="407"/>
      <c r="AF508" s="407"/>
      <c r="AG508" s="407"/>
      <c r="AH508" s="407"/>
      <c r="AI508" s="407"/>
      <c r="AJ508" s="407"/>
      <c r="AK508" s="407"/>
      <c r="AL508" s="407"/>
      <c r="AM508" s="407"/>
      <c r="AN508" s="407"/>
      <c r="AO508" s="407"/>
      <c r="AP508" s="407"/>
      <c r="AQ508" s="407"/>
      <c r="AR508" s="407"/>
      <c r="AS508" s="407"/>
      <c r="AT508" s="407"/>
      <c r="AU508" s="407"/>
      <c r="AV508" s="407"/>
      <c r="AW508" s="407"/>
      <c r="AX508" s="407"/>
      <c r="AY508" s="407"/>
      <c r="AZ508" s="407">
        <v>0</v>
      </c>
      <c r="BA508" s="407"/>
      <c r="BB508" s="407"/>
      <c r="BC508" s="407"/>
      <c r="BD508" s="407"/>
      <c r="BE508" s="407"/>
      <c r="BF508" s="407"/>
      <c r="BG508" s="407"/>
      <c r="BH508" s="407"/>
      <c r="BI508" s="407">
        <v>0</v>
      </c>
      <c r="BJ508" s="407">
        <v>0.03</v>
      </c>
      <c r="BK508" s="407">
        <v>-2.0299999999999998</v>
      </c>
      <c r="BL508" s="407">
        <v>0</v>
      </c>
      <c r="BM508" s="407"/>
      <c r="BN508" s="407"/>
      <c r="BO508" s="407"/>
      <c r="BP508" s="407"/>
      <c r="BQ508" s="407"/>
      <c r="BR508" s="407"/>
      <c r="BS508" s="407"/>
      <c r="BT508" s="407"/>
      <c r="BU508" s="407"/>
      <c r="BV508" s="407"/>
      <c r="BW508" s="407"/>
      <c r="BX508" s="407"/>
      <c r="BY508" s="407"/>
      <c r="BZ508" s="407"/>
      <c r="CA508" s="407"/>
      <c r="CB508" s="407"/>
      <c r="CC508" s="407"/>
      <c r="CD508" s="407"/>
      <c r="CE508" s="407"/>
      <c r="CF508" s="407"/>
      <c r="CG508" s="407"/>
      <c r="CH508" s="407"/>
      <c r="CI508" s="407"/>
      <c r="CJ508" s="407">
        <v>-0.03</v>
      </c>
      <c r="CK508" s="407"/>
      <c r="CL508" s="407"/>
      <c r="CM508" s="407"/>
      <c r="CN508" s="407"/>
      <c r="CO508" s="407">
        <v>0</v>
      </c>
      <c r="CP508" s="407">
        <v>0</v>
      </c>
      <c r="CQ508" s="407">
        <v>31</v>
      </c>
      <c r="CR508" s="407"/>
      <c r="CS508" s="407"/>
      <c r="CT508" s="407"/>
      <c r="CU508" s="407"/>
      <c r="CV508" s="407"/>
      <c r="CW508" s="407"/>
      <c r="CX508" s="407"/>
      <c r="CY508" s="407"/>
      <c r="CZ508" s="407"/>
      <c r="DA508" s="407"/>
      <c r="DB508" s="407"/>
      <c r="DC508" s="407"/>
      <c r="DD508" s="407"/>
      <c r="DE508" s="407"/>
      <c r="DF508" s="407"/>
      <c r="DG508" s="407"/>
      <c r="DH508" s="407"/>
      <c r="DI508" s="407"/>
      <c r="DJ508" s="407"/>
      <c r="DK508" s="407">
        <v>0</v>
      </c>
      <c r="DL508" s="407"/>
      <c r="DM508" s="407"/>
      <c r="DN508" s="407"/>
      <c r="DO508" s="407"/>
      <c r="DP508" s="407"/>
      <c r="DQ508" s="407"/>
      <c r="DR508" s="407"/>
      <c r="DS508" s="407"/>
      <c r="DT508" s="407"/>
      <c r="DU508" s="407"/>
      <c r="DV508" s="407"/>
      <c r="DW508" s="407"/>
      <c r="DX508" s="407"/>
      <c r="DY508" s="407"/>
      <c r="DZ508" s="407"/>
      <c r="EA508" s="407"/>
      <c r="EB508" s="407"/>
      <c r="EC508" s="407"/>
      <c r="ED508" s="407"/>
      <c r="EE508" s="407"/>
      <c r="EF508" s="407"/>
      <c r="EG508" s="407"/>
      <c r="EH508" s="407"/>
      <c r="EI508" s="407"/>
      <c r="EJ508" s="407"/>
      <c r="EK508" s="407"/>
      <c r="EL508" s="407"/>
      <c r="EM508" s="407"/>
      <c r="EN508" s="407"/>
      <c r="EO508" s="407"/>
      <c r="EP508" s="407"/>
      <c r="EQ508" s="407"/>
      <c r="ER508" s="407"/>
      <c r="ES508" s="407"/>
      <c r="ET508" s="407"/>
      <c r="EU508" s="407"/>
      <c r="EV508" s="407">
        <v>246</v>
      </c>
      <c r="EW508" s="407"/>
      <c r="EX508" s="407"/>
      <c r="EY508" s="407"/>
      <c r="EZ508" s="407"/>
      <c r="FA508" s="407">
        <v>0</v>
      </c>
      <c r="FB508" s="407"/>
      <c r="FC508" s="407"/>
      <c r="FD508" s="407"/>
      <c r="FE508" s="407"/>
      <c r="FF508" s="407">
        <v>0</v>
      </c>
      <c r="FG508" s="407">
        <v>0</v>
      </c>
      <c r="FH508" s="407">
        <v>0</v>
      </c>
      <c r="FI508" s="407">
        <v>0</v>
      </c>
    </row>
    <row r="509" spans="1:165">
      <c r="A509" s="407">
        <v>528</v>
      </c>
      <c r="B509" s="407" t="s">
        <v>2309</v>
      </c>
      <c r="C509" s="407" t="s">
        <v>2306</v>
      </c>
      <c r="D509" s="407" t="s">
        <v>1218</v>
      </c>
      <c r="E509" s="407" t="s">
        <v>1021</v>
      </c>
      <c r="F509" s="407" t="s">
        <v>2310</v>
      </c>
      <c r="G509" s="407" t="s">
        <v>97</v>
      </c>
      <c r="H509" s="407" t="s">
        <v>97</v>
      </c>
      <c r="I509" s="407" t="s">
        <v>97</v>
      </c>
      <c r="J509" s="407" t="s">
        <v>2307</v>
      </c>
      <c r="K509" s="818">
        <v>44621</v>
      </c>
      <c r="L509" s="407">
        <v>0</v>
      </c>
      <c r="M509" s="407">
        <v>0</v>
      </c>
      <c r="N509" s="407">
        <v>0</v>
      </c>
      <c r="O509" s="407">
        <v>0</v>
      </c>
      <c r="P509" s="407">
        <v>0</v>
      </c>
      <c r="Q509" s="407">
        <v>0</v>
      </c>
      <c r="R509" s="407"/>
      <c r="S509" s="407"/>
      <c r="T509" s="407"/>
      <c r="U509" s="407"/>
      <c r="V509" s="407"/>
      <c r="W509" s="407"/>
      <c r="X509" s="407"/>
      <c r="Y509" s="407"/>
      <c r="Z509" s="407"/>
      <c r="AA509" s="407">
        <v>0</v>
      </c>
      <c r="AB509" s="407"/>
      <c r="AC509" s="407"/>
      <c r="AD509" s="407"/>
      <c r="AE509" s="407"/>
      <c r="AF509" s="407"/>
      <c r="AG509" s="407"/>
      <c r="AH509" s="407"/>
      <c r="AI509" s="407"/>
      <c r="AJ509" s="407"/>
      <c r="AK509" s="407"/>
      <c r="AL509" s="407"/>
      <c r="AM509" s="407"/>
      <c r="AN509" s="407"/>
      <c r="AO509" s="407"/>
      <c r="AP509" s="407"/>
      <c r="AQ509" s="407"/>
      <c r="AR509" s="407"/>
      <c r="AS509" s="407"/>
      <c r="AT509" s="407"/>
      <c r="AU509" s="407"/>
      <c r="AV509" s="407"/>
      <c r="AW509" s="407"/>
      <c r="AX509" s="407"/>
      <c r="AY509" s="407"/>
      <c r="AZ509" s="407">
        <v>0</v>
      </c>
      <c r="BA509" s="407"/>
      <c r="BB509" s="407"/>
      <c r="BC509" s="407"/>
      <c r="BD509" s="407"/>
      <c r="BE509" s="407"/>
      <c r="BF509" s="407"/>
      <c r="BG509" s="407"/>
      <c r="BH509" s="407"/>
      <c r="BI509" s="407">
        <v>0</v>
      </c>
      <c r="BJ509" s="407">
        <v>0</v>
      </c>
      <c r="BK509" s="407">
        <v>3.45</v>
      </c>
      <c r="BL509" s="407">
        <v>0</v>
      </c>
      <c r="BM509" s="407"/>
      <c r="BN509" s="407"/>
      <c r="BO509" s="407"/>
      <c r="BP509" s="407"/>
      <c r="BQ509" s="407"/>
      <c r="BR509" s="407"/>
      <c r="BS509" s="407"/>
      <c r="BT509" s="407"/>
      <c r="BU509" s="407"/>
      <c r="BV509" s="407"/>
      <c r="BW509" s="407"/>
      <c r="BX509" s="407"/>
      <c r="BY509" s="407"/>
      <c r="BZ509" s="407"/>
      <c r="CA509" s="407"/>
      <c r="CB509" s="407"/>
      <c r="CC509" s="407"/>
      <c r="CD509" s="407"/>
      <c r="CE509" s="407"/>
      <c r="CF509" s="407"/>
      <c r="CG509" s="407"/>
      <c r="CH509" s="407"/>
      <c r="CI509" s="407"/>
      <c r="CJ509" s="407">
        <v>-0.03</v>
      </c>
      <c r="CK509" s="407"/>
      <c r="CL509" s="407"/>
      <c r="CM509" s="407"/>
      <c r="CN509" s="407"/>
      <c r="CO509" s="407">
        <v>0</v>
      </c>
      <c r="CP509" s="407">
        <v>0</v>
      </c>
      <c r="CQ509" s="407">
        <v>31</v>
      </c>
      <c r="CR509" s="407"/>
      <c r="CS509" s="407"/>
      <c r="CT509" s="407"/>
      <c r="CU509" s="407"/>
      <c r="CV509" s="407"/>
      <c r="CW509" s="407"/>
      <c r="CX509" s="407"/>
      <c r="CY509" s="407"/>
      <c r="CZ509" s="407"/>
      <c r="DA509" s="407"/>
      <c r="DB509" s="407"/>
      <c r="DC509" s="407"/>
      <c r="DD509" s="407"/>
      <c r="DE509" s="407"/>
      <c r="DF509" s="407"/>
      <c r="DG509" s="407"/>
      <c r="DH509" s="407"/>
      <c r="DI509" s="407"/>
      <c r="DJ509" s="407"/>
      <c r="DK509" s="407">
        <v>0</v>
      </c>
      <c r="DL509" s="407"/>
      <c r="DM509" s="407"/>
      <c r="DN509" s="407"/>
      <c r="DO509" s="407"/>
      <c r="DP509" s="407"/>
      <c r="DQ509" s="407"/>
      <c r="DR509" s="407"/>
      <c r="DS509" s="407"/>
      <c r="DT509" s="407"/>
      <c r="DU509" s="407"/>
      <c r="DV509" s="407"/>
      <c r="DW509" s="407"/>
      <c r="DX509" s="407"/>
      <c r="DY509" s="407"/>
      <c r="DZ509" s="407"/>
      <c r="EA509" s="407"/>
      <c r="EB509" s="407"/>
      <c r="EC509" s="407"/>
      <c r="ED509" s="407"/>
      <c r="EE509" s="407"/>
      <c r="EF509" s="407"/>
      <c r="EG509" s="407"/>
      <c r="EH509" s="407"/>
      <c r="EI509" s="407"/>
      <c r="EJ509" s="407"/>
      <c r="EK509" s="407"/>
      <c r="EL509" s="407"/>
      <c r="EM509" s="407"/>
      <c r="EN509" s="407"/>
      <c r="EO509" s="407"/>
      <c r="EP509" s="407"/>
      <c r="EQ509" s="407"/>
      <c r="ER509" s="407"/>
      <c r="ES509" s="407"/>
      <c r="ET509" s="407"/>
      <c r="EU509" s="407"/>
      <c r="EV509" s="407">
        <v>246</v>
      </c>
      <c r="EW509" s="407"/>
      <c r="EX509" s="407"/>
      <c r="EY509" s="407"/>
      <c r="EZ509" s="407"/>
      <c r="FA509" s="407">
        <v>0</v>
      </c>
      <c r="FB509" s="407"/>
      <c r="FC509" s="407"/>
      <c r="FD509" s="407"/>
      <c r="FE509" s="407"/>
      <c r="FF509" s="407">
        <v>0</v>
      </c>
      <c r="FG509" s="407">
        <v>0</v>
      </c>
      <c r="FH509" s="407">
        <v>0</v>
      </c>
      <c r="FI509" s="407">
        <v>0</v>
      </c>
    </row>
    <row r="510" spans="1:165">
      <c r="A510" s="407">
        <v>529</v>
      </c>
      <c r="B510" s="407" t="s">
        <v>1090</v>
      </c>
      <c r="C510" s="407" t="s">
        <v>2306</v>
      </c>
      <c r="D510" s="407" t="s">
        <v>1218</v>
      </c>
      <c r="E510" s="407" t="s">
        <v>1021</v>
      </c>
      <c r="F510" s="407" t="s">
        <v>2311</v>
      </c>
      <c r="G510" s="407" t="s">
        <v>97</v>
      </c>
      <c r="H510" s="407" t="s">
        <v>97</v>
      </c>
      <c r="I510" s="407" t="s">
        <v>97</v>
      </c>
      <c r="J510" s="407" t="s">
        <v>2307</v>
      </c>
      <c r="K510" s="818">
        <v>44621</v>
      </c>
      <c r="L510" s="407">
        <v>0</v>
      </c>
      <c r="M510" s="407">
        <v>0</v>
      </c>
      <c r="N510" s="407">
        <v>81.864000000000004</v>
      </c>
      <c r="O510" s="407">
        <v>81.864000000000004</v>
      </c>
      <c r="P510" s="407">
        <v>81.864000000000004</v>
      </c>
      <c r="Q510" s="407">
        <v>81.864000000000004</v>
      </c>
      <c r="R510" s="407"/>
      <c r="S510" s="407">
        <v>547.54</v>
      </c>
      <c r="T510" s="407">
        <v>159.41</v>
      </c>
      <c r="U510" s="407"/>
      <c r="V510" s="407">
        <v>57873.754799999995</v>
      </c>
      <c r="W510" s="407">
        <v>57873.754799999995</v>
      </c>
      <c r="X510" s="407">
        <v>42390.816480000001</v>
      </c>
      <c r="Y510" s="407">
        <v>0</v>
      </c>
      <c r="Z510" s="407">
        <v>0</v>
      </c>
      <c r="AA510" s="407">
        <v>0</v>
      </c>
      <c r="AB510" s="407">
        <v>0</v>
      </c>
      <c r="AC510" s="407">
        <v>0</v>
      </c>
      <c r="AD510" s="407">
        <v>9548.9793074122917</v>
      </c>
      <c r="AE510" s="407">
        <v>34181.984989793273</v>
      </c>
      <c r="AF510" s="407">
        <v>12625.943393001955</v>
      </c>
      <c r="AG510" s="407">
        <v>424.19855590069523</v>
      </c>
      <c r="AH510" s="407">
        <v>0</v>
      </c>
      <c r="AI510" s="407">
        <v>0</v>
      </c>
      <c r="AJ510" s="407">
        <v>0</v>
      </c>
      <c r="AK510" s="407">
        <v>0</v>
      </c>
      <c r="AL510" s="407">
        <v>0</v>
      </c>
      <c r="AM510" s="407"/>
      <c r="AN510" s="407">
        <v>169.87562951212047</v>
      </c>
      <c r="AO510" s="407">
        <v>0</v>
      </c>
      <c r="AP510" s="407">
        <v>0</v>
      </c>
      <c r="AQ510" s="407">
        <v>0</v>
      </c>
      <c r="AR510" s="407">
        <v>0</v>
      </c>
      <c r="AS510" s="407">
        <v>0</v>
      </c>
      <c r="AT510" s="407">
        <v>0</v>
      </c>
      <c r="AU510" s="407">
        <v>0</v>
      </c>
      <c r="AV510" s="407">
        <v>0</v>
      </c>
      <c r="AW510" s="407">
        <v>0</v>
      </c>
      <c r="AX510" s="407">
        <v>0</v>
      </c>
      <c r="AY510" s="407">
        <v>0</v>
      </c>
      <c r="AZ510" s="407">
        <v>0</v>
      </c>
      <c r="BA510" s="407"/>
      <c r="BB510" s="407">
        <v>0</v>
      </c>
      <c r="BC510" s="407">
        <v>0</v>
      </c>
      <c r="BD510" s="407">
        <v>0</v>
      </c>
      <c r="BE510" s="407">
        <v>0</v>
      </c>
      <c r="BF510" s="407">
        <v>0</v>
      </c>
      <c r="BG510" s="407">
        <v>922.91614439869136</v>
      </c>
      <c r="BH510" s="407">
        <v>0</v>
      </c>
      <c r="BI510" s="407">
        <v>36.97</v>
      </c>
      <c r="BJ510" s="407">
        <v>183.1</v>
      </c>
      <c r="BK510" s="407">
        <v>8428.49</v>
      </c>
      <c r="BL510" s="407">
        <v>364</v>
      </c>
      <c r="BM510" s="407"/>
      <c r="BN510" s="407"/>
      <c r="BO510" s="407"/>
      <c r="BP510" s="407"/>
      <c r="BQ510" s="407"/>
      <c r="BR510" s="407"/>
      <c r="BS510" s="407"/>
      <c r="BT510" s="407">
        <v>16956.490320000001</v>
      </c>
      <c r="BU510" s="407"/>
      <c r="BV510" s="407">
        <v>13548.859537400647</v>
      </c>
      <c r="BW510" s="407"/>
      <c r="BX510" s="407"/>
      <c r="BY510" s="407"/>
      <c r="BZ510" s="407"/>
      <c r="CA510" s="407"/>
      <c r="CB510" s="407"/>
      <c r="CC510" s="407"/>
      <c r="CD510" s="407"/>
      <c r="CE510" s="407"/>
      <c r="CF510" s="407"/>
      <c r="CG510" s="407"/>
      <c r="CH510" s="407"/>
      <c r="CI510" s="407">
        <v>25433.0834</v>
      </c>
      <c r="CJ510" s="407">
        <v>-9291.1994799999993</v>
      </c>
      <c r="CK510" s="407"/>
      <c r="CL510" s="407"/>
      <c r="CM510" s="407"/>
      <c r="CN510" s="407"/>
      <c r="CO510" s="407">
        <v>-17731.742399999999</v>
      </c>
      <c r="CP510" s="407">
        <v>2248.8040799999999</v>
      </c>
      <c r="CQ510" s="407">
        <v>31</v>
      </c>
      <c r="CR510" s="407">
        <v>1976.9209372195874</v>
      </c>
      <c r="CS510" s="407">
        <v>0</v>
      </c>
      <c r="CT510" s="407">
        <v>0</v>
      </c>
      <c r="CU510" s="407">
        <v>0</v>
      </c>
      <c r="CV510" s="407">
        <v>0</v>
      </c>
      <c r="CW510" s="407">
        <v>0</v>
      </c>
      <c r="CX510" s="407">
        <v>0</v>
      </c>
      <c r="CY510" s="407">
        <v>0</v>
      </c>
      <c r="CZ510" s="407">
        <v>431.34632912780216</v>
      </c>
      <c r="DA510" s="407">
        <v>0</v>
      </c>
      <c r="DB510" s="407">
        <v>0</v>
      </c>
      <c r="DC510" s="407">
        <v>2503.3836131981789</v>
      </c>
      <c r="DD510" s="407">
        <v>0</v>
      </c>
      <c r="DE510" s="407">
        <v>0</v>
      </c>
      <c r="DF510" s="407">
        <v>0</v>
      </c>
      <c r="DG510" s="407">
        <v>182.98934822757928</v>
      </c>
      <c r="DH510" s="407">
        <v>0</v>
      </c>
      <c r="DI510" s="407">
        <v>0</v>
      </c>
      <c r="DJ510" s="407"/>
      <c r="DK510" s="407">
        <v>0</v>
      </c>
      <c r="DL510" s="407">
        <v>0</v>
      </c>
      <c r="DM510" s="407">
        <v>0</v>
      </c>
      <c r="DN510" s="407">
        <v>0</v>
      </c>
      <c r="DO510" s="407">
        <v>0</v>
      </c>
      <c r="DP510" s="407">
        <v>-10.824064998264419</v>
      </c>
      <c r="DQ510" s="407">
        <v>0</v>
      </c>
      <c r="DR510" s="407">
        <v>-1129.9742883357046</v>
      </c>
      <c r="DS510" s="407"/>
      <c r="DT510" s="407"/>
      <c r="DU510" s="407"/>
      <c r="DV510" s="407">
        <v>34181.984989793273</v>
      </c>
      <c r="DW510" s="407">
        <v>0</v>
      </c>
      <c r="DX510" s="407">
        <v>0</v>
      </c>
      <c r="DY510" s="407">
        <v>-17731.742399999999</v>
      </c>
      <c r="DZ510" s="407">
        <v>2248.8040799999999</v>
      </c>
      <c r="EA510" s="407">
        <v>0</v>
      </c>
      <c r="EB510" s="407">
        <v>0</v>
      </c>
      <c r="EC510" s="407">
        <v>-17460.237324663067</v>
      </c>
      <c r="ED510" s="407">
        <v>0</v>
      </c>
      <c r="EE510" s="407">
        <v>0</v>
      </c>
      <c r="EF510" s="407">
        <v>0</v>
      </c>
      <c r="EG510" s="407">
        <v>0</v>
      </c>
      <c r="EH510" s="407">
        <v>0</v>
      </c>
      <c r="EI510" s="407">
        <v>0</v>
      </c>
      <c r="EJ510" s="407">
        <v>0</v>
      </c>
      <c r="EK510" s="407">
        <v>0</v>
      </c>
      <c r="EL510" s="407">
        <v>0</v>
      </c>
      <c r="EM510" s="407">
        <v>0</v>
      </c>
      <c r="EN510" s="407">
        <v>0</v>
      </c>
      <c r="EO510" s="407">
        <v>0</v>
      </c>
      <c r="EP510" s="407">
        <v>0</v>
      </c>
      <c r="EQ510" s="407">
        <v>0</v>
      </c>
      <c r="ER510" s="407">
        <v>0</v>
      </c>
      <c r="ES510" s="407">
        <v>0</v>
      </c>
      <c r="ET510" s="407">
        <v>0</v>
      </c>
      <c r="EU510" s="407">
        <v>0</v>
      </c>
      <c r="EV510" s="407">
        <v>246</v>
      </c>
      <c r="EW510" s="407">
        <v>0</v>
      </c>
      <c r="EX510" s="407">
        <v>0</v>
      </c>
      <c r="EY510" s="407">
        <v>0</v>
      </c>
      <c r="EZ510" s="407"/>
      <c r="FA510" s="407">
        <v>0</v>
      </c>
      <c r="FB510" s="407"/>
      <c r="FC510" s="407"/>
      <c r="FD510" s="407"/>
      <c r="FE510" s="407"/>
      <c r="FF510" s="407">
        <v>0</v>
      </c>
      <c r="FG510" s="407">
        <v>0</v>
      </c>
      <c r="FH510" s="407">
        <v>0</v>
      </c>
      <c r="FI510" s="407">
        <v>0</v>
      </c>
    </row>
    <row r="511" spans="1:165">
      <c r="A511" s="407">
        <v>530</v>
      </c>
      <c r="B511" s="407" t="s">
        <v>2308</v>
      </c>
      <c r="C511" s="407" t="s">
        <v>2306</v>
      </c>
      <c r="D511" s="407" t="s">
        <v>1218</v>
      </c>
      <c r="E511" s="407" t="s">
        <v>1021</v>
      </c>
      <c r="F511" s="407" t="s">
        <v>2311</v>
      </c>
      <c r="G511" s="407" t="s">
        <v>97</v>
      </c>
      <c r="H511" s="407" t="s">
        <v>97</v>
      </c>
      <c r="I511" s="407" t="s">
        <v>97</v>
      </c>
      <c r="J511" s="407" t="s">
        <v>2307</v>
      </c>
      <c r="K511" s="818">
        <v>44621</v>
      </c>
      <c r="L511" s="407">
        <v>0</v>
      </c>
      <c r="M511" s="407">
        <v>0</v>
      </c>
      <c r="N511" s="407">
        <v>-0.13500000000000001</v>
      </c>
      <c r="O511" s="407">
        <v>-0.13500000000000001</v>
      </c>
      <c r="P511" s="407">
        <v>-0.13500000000000001</v>
      </c>
      <c r="Q511" s="407">
        <v>-0.13500000000000001</v>
      </c>
      <c r="R511" s="407"/>
      <c r="S511" s="407">
        <v>547.54</v>
      </c>
      <c r="T511" s="407">
        <v>159.41</v>
      </c>
      <c r="U511" s="407"/>
      <c r="V511" s="407">
        <v>-95.438250000000011</v>
      </c>
      <c r="W511" s="407">
        <v>-95.438250000000011</v>
      </c>
      <c r="X511" s="407">
        <v>-69.905699999999996</v>
      </c>
      <c r="Y511" s="407">
        <v>0</v>
      </c>
      <c r="Z511" s="407">
        <v>0</v>
      </c>
      <c r="AA511" s="407">
        <v>0</v>
      </c>
      <c r="AB511" s="407">
        <v>0</v>
      </c>
      <c r="AC511" s="407">
        <v>0</v>
      </c>
      <c r="AD511" s="407">
        <v>-15.74699753860866</v>
      </c>
      <c r="AE511" s="407">
        <v>-56.368708756255401</v>
      </c>
      <c r="AF511" s="407">
        <v>-20.821146756269716</v>
      </c>
      <c r="AG511" s="407">
        <v>-0.69953587714494592</v>
      </c>
      <c r="AH511" s="407">
        <v>0</v>
      </c>
      <c r="AI511" s="407">
        <v>0</v>
      </c>
      <c r="AJ511" s="407">
        <v>0</v>
      </c>
      <c r="AK511" s="407">
        <v>0</v>
      </c>
      <c r="AL511" s="407">
        <v>0</v>
      </c>
      <c r="AM511" s="407"/>
      <c r="AN511" s="407">
        <v>-0.28013791146457862</v>
      </c>
      <c r="AO511" s="407">
        <v>0</v>
      </c>
      <c r="AP511" s="407">
        <v>0</v>
      </c>
      <c r="AQ511" s="407">
        <v>0</v>
      </c>
      <c r="AR511" s="407">
        <v>0</v>
      </c>
      <c r="AS511" s="407">
        <v>0</v>
      </c>
      <c r="AT511" s="407">
        <v>0</v>
      </c>
      <c r="AU511" s="407">
        <v>0</v>
      </c>
      <c r="AV511" s="407">
        <v>0</v>
      </c>
      <c r="AW511" s="407">
        <v>0</v>
      </c>
      <c r="AX511" s="407">
        <v>0</v>
      </c>
      <c r="AY511" s="407">
        <v>0</v>
      </c>
      <c r="AZ511" s="407">
        <v>0</v>
      </c>
      <c r="BA511" s="407"/>
      <c r="BB511" s="407">
        <v>0</v>
      </c>
      <c r="BC511" s="407">
        <v>0</v>
      </c>
      <c r="BD511" s="407">
        <v>0</v>
      </c>
      <c r="BE511" s="407">
        <v>0</v>
      </c>
      <c r="BF511" s="407">
        <v>0</v>
      </c>
      <c r="BG511" s="407">
        <v>-1.5219593410268657</v>
      </c>
      <c r="BH511" s="407">
        <v>0</v>
      </c>
      <c r="BI511" s="407">
        <v>-0.1</v>
      </c>
      <c r="BJ511" s="407">
        <v>-0.31</v>
      </c>
      <c r="BK511" s="407">
        <v>-14.54</v>
      </c>
      <c r="BL511" s="407">
        <v>0</v>
      </c>
      <c r="BM511" s="407"/>
      <c r="BN511" s="407"/>
      <c r="BO511" s="407"/>
      <c r="BP511" s="407"/>
      <c r="BQ511" s="407"/>
      <c r="BR511" s="407"/>
      <c r="BS511" s="407"/>
      <c r="BT511" s="407">
        <v>-27.96255</v>
      </c>
      <c r="BU511" s="407"/>
      <c r="BV511" s="407">
        <v>-22.34310609729658</v>
      </c>
      <c r="BW511" s="407"/>
      <c r="BX511" s="407"/>
      <c r="BY511" s="407"/>
      <c r="BZ511" s="407"/>
      <c r="CA511" s="407"/>
      <c r="CB511" s="407"/>
      <c r="CC511" s="407"/>
      <c r="CD511" s="407"/>
      <c r="CE511" s="407"/>
      <c r="CF511" s="407"/>
      <c r="CG511" s="407"/>
      <c r="CH511" s="407"/>
      <c r="CI511" s="407">
        <v>-43.496600000000008</v>
      </c>
      <c r="CJ511" s="407">
        <v>13.736350000000002</v>
      </c>
      <c r="CK511" s="407"/>
      <c r="CL511" s="407"/>
      <c r="CM511" s="407"/>
      <c r="CN511" s="407"/>
      <c r="CO511" s="407">
        <v>29.240999999999996</v>
      </c>
      <c r="CP511" s="407">
        <v>-3.70845</v>
      </c>
      <c r="CQ511" s="407">
        <v>31</v>
      </c>
      <c r="CR511" s="407">
        <v>-3.2600938938317867</v>
      </c>
      <c r="CS511" s="407">
        <v>0</v>
      </c>
      <c r="CT511" s="407">
        <v>0</v>
      </c>
      <c r="CU511" s="407">
        <v>0</v>
      </c>
      <c r="CV511" s="407">
        <v>0</v>
      </c>
      <c r="CW511" s="407">
        <v>0</v>
      </c>
      <c r="CX511" s="407">
        <v>0</v>
      </c>
      <c r="CY511" s="407">
        <v>0</v>
      </c>
      <c r="CZ511" s="407">
        <v>-0.71132310212368566</v>
      </c>
      <c r="DA511" s="407">
        <v>0</v>
      </c>
      <c r="DB511" s="407">
        <v>0</v>
      </c>
      <c r="DC511" s="407">
        <v>-4.1282711299442241</v>
      </c>
      <c r="DD511" s="407">
        <v>0</v>
      </c>
      <c r="DE511" s="407">
        <v>0</v>
      </c>
      <c r="DF511" s="407">
        <v>0</v>
      </c>
      <c r="DG511" s="407">
        <v>-0.30176343705075737</v>
      </c>
      <c r="DH511" s="407">
        <v>0</v>
      </c>
      <c r="DI511" s="407">
        <v>0</v>
      </c>
      <c r="DJ511" s="407"/>
      <c r="DK511" s="407">
        <v>0</v>
      </c>
      <c r="DL511" s="407">
        <v>0</v>
      </c>
      <c r="DM511" s="407">
        <v>0</v>
      </c>
      <c r="DN511" s="407">
        <v>0</v>
      </c>
      <c r="DO511" s="407">
        <v>0</v>
      </c>
      <c r="DP511" s="407">
        <v>1.7849711408747415E-2</v>
      </c>
      <c r="DQ511" s="407">
        <v>0</v>
      </c>
      <c r="DR511" s="407">
        <v>1.8634140638781409</v>
      </c>
      <c r="DS511" s="407"/>
      <c r="DT511" s="407"/>
      <c r="DU511" s="407"/>
      <c r="DV511" s="407">
        <v>-56.368708756255401</v>
      </c>
      <c r="DW511" s="407">
        <v>0</v>
      </c>
      <c r="DX511" s="407">
        <v>0</v>
      </c>
      <c r="DY511" s="407">
        <v>29.241</v>
      </c>
      <c r="DZ511" s="407">
        <v>-3.7084499999999991</v>
      </c>
      <c r="EA511" s="407">
        <v>0</v>
      </c>
      <c r="EB511" s="407">
        <v>0</v>
      </c>
      <c r="EC511" s="407">
        <v>28.793267355974717</v>
      </c>
      <c r="ED511" s="407">
        <v>0</v>
      </c>
      <c r="EE511" s="407">
        <v>0</v>
      </c>
      <c r="EF511" s="407">
        <v>0</v>
      </c>
      <c r="EG511" s="407">
        <v>0</v>
      </c>
      <c r="EH511" s="407">
        <v>0</v>
      </c>
      <c r="EI511" s="407">
        <v>0</v>
      </c>
      <c r="EJ511" s="407">
        <v>0</v>
      </c>
      <c r="EK511" s="407">
        <v>0</v>
      </c>
      <c r="EL511" s="407">
        <v>0</v>
      </c>
      <c r="EM511" s="407">
        <v>0</v>
      </c>
      <c r="EN511" s="407">
        <v>0</v>
      </c>
      <c r="EO511" s="407">
        <v>0</v>
      </c>
      <c r="EP511" s="407">
        <v>0</v>
      </c>
      <c r="EQ511" s="407">
        <v>0</v>
      </c>
      <c r="ER511" s="407">
        <v>0</v>
      </c>
      <c r="ES511" s="407">
        <v>0</v>
      </c>
      <c r="ET511" s="407">
        <v>0</v>
      </c>
      <c r="EU511" s="407">
        <v>0</v>
      </c>
      <c r="EV511" s="407">
        <v>246</v>
      </c>
      <c r="EW511" s="407">
        <v>0</v>
      </c>
      <c r="EX511" s="407">
        <v>0</v>
      </c>
      <c r="EY511" s="407">
        <v>0</v>
      </c>
      <c r="EZ511" s="407"/>
      <c r="FA511" s="407">
        <v>0</v>
      </c>
      <c r="FB511" s="407"/>
      <c r="FC511" s="407"/>
      <c r="FD511" s="407"/>
      <c r="FE511" s="407"/>
      <c r="FF511" s="407">
        <v>0</v>
      </c>
      <c r="FG511" s="407">
        <v>0</v>
      </c>
      <c r="FH511" s="407">
        <v>0</v>
      </c>
      <c r="FI511" s="407">
        <v>0</v>
      </c>
    </row>
    <row r="512" spans="1:165">
      <c r="A512" s="407">
        <v>531</v>
      </c>
      <c r="B512" s="407" t="s">
        <v>2309</v>
      </c>
      <c r="C512" s="407" t="s">
        <v>2306</v>
      </c>
      <c r="D512" s="407" t="s">
        <v>1218</v>
      </c>
      <c r="E512" s="407" t="s">
        <v>1021</v>
      </c>
      <c r="F512" s="407" t="s">
        <v>2311</v>
      </c>
      <c r="G512" s="407" t="s">
        <v>97</v>
      </c>
      <c r="H512" s="407" t="s">
        <v>97</v>
      </c>
      <c r="I512" s="407" t="s">
        <v>97</v>
      </c>
      <c r="J512" s="407" t="s">
        <v>2307</v>
      </c>
      <c r="K512" s="818">
        <v>44621</v>
      </c>
      <c r="L512" s="407">
        <v>0</v>
      </c>
      <c r="M512" s="407">
        <v>0</v>
      </c>
      <c r="N512" s="407">
        <v>0</v>
      </c>
      <c r="O512" s="407">
        <v>0</v>
      </c>
      <c r="P512" s="407">
        <v>0</v>
      </c>
      <c r="Q512" s="407">
        <v>0</v>
      </c>
      <c r="R512" s="407"/>
      <c r="S512" s="407"/>
      <c r="T512" s="407"/>
      <c r="U512" s="407"/>
      <c r="V512" s="407"/>
      <c r="W512" s="407"/>
      <c r="X512" s="407"/>
      <c r="Y512" s="407"/>
      <c r="Z512" s="407"/>
      <c r="AA512" s="407">
        <v>0</v>
      </c>
      <c r="AB512" s="407"/>
      <c r="AC512" s="407"/>
      <c r="AD512" s="407"/>
      <c r="AE512" s="407"/>
      <c r="AF512" s="407"/>
      <c r="AG512" s="407"/>
      <c r="AH512" s="407"/>
      <c r="AI512" s="407"/>
      <c r="AJ512" s="407"/>
      <c r="AK512" s="407"/>
      <c r="AL512" s="407"/>
      <c r="AM512" s="407"/>
      <c r="AN512" s="407"/>
      <c r="AO512" s="407"/>
      <c r="AP512" s="407"/>
      <c r="AQ512" s="407"/>
      <c r="AR512" s="407"/>
      <c r="AS512" s="407"/>
      <c r="AT512" s="407"/>
      <c r="AU512" s="407"/>
      <c r="AV512" s="407"/>
      <c r="AW512" s="407"/>
      <c r="AX512" s="407"/>
      <c r="AY512" s="407"/>
      <c r="AZ512" s="407">
        <v>0</v>
      </c>
      <c r="BA512" s="407"/>
      <c r="BB512" s="407"/>
      <c r="BC512" s="407"/>
      <c r="BD512" s="407"/>
      <c r="BE512" s="407"/>
      <c r="BF512" s="407"/>
      <c r="BG512" s="407"/>
      <c r="BH512" s="407"/>
      <c r="BI512" s="407">
        <v>0</v>
      </c>
      <c r="BJ512" s="407">
        <v>0</v>
      </c>
      <c r="BK512" s="407">
        <v>13.89</v>
      </c>
      <c r="BL512" s="407">
        <v>0</v>
      </c>
      <c r="BM512" s="407"/>
      <c r="BN512" s="407"/>
      <c r="BO512" s="407"/>
      <c r="BP512" s="407"/>
      <c r="BQ512" s="407"/>
      <c r="BR512" s="407"/>
      <c r="BS512" s="407"/>
      <c r="BT512" s="407"/>
      <c r="BU512" s="407"/>
      <c r="BV512" s="407"/>
      <c r="BW512" s="407"/>
      <c r="BX512" s="407"/>
      <c r="BY512" s="407"/>
      <c r="BZ512" s="407"/>
      <c r="CA512" s="407"/>
      <c r="CB512" s="407"/>
      <c r="CC512" s="407"/>
      <c r="CD512" s="407"/>
      <c r="CE512" s="407"/>
      <c r="CF512" s="407"/>
      <c r="CG512" s="407"/>
      <c r="CH512" s="407"/>
      <c r="CI512" s="407"/>
      <c r="CJ512" s="407">
        <v>-0.03</v>
      </c>
      <c r="CK512" s="407"/>
      <c r="CL512" s="407"/>
      <c r="CM512" s="407"/>
      <c r="CN512" s="407"/>
      <c r="CO512" s="407">
        <v>0</v>
      </c>
      <c r="CP512" s="407">
        <v>0</v>
      </c>
      <c r="CQ512" s="407">
        <v>31</v>
      </c>
      <c r="CR512" s="407"/>
      <c r="CS512" s="407"/>
      <c r="CT512" s="407"/>
      <c r="CU512" s="407"/>
      <c r="CV512" s="407"/>
      <c r="CW512" s="407"/>
      <c r="CX512" s="407"/>
      <c r="CY512" s="407"/>
      <c r="CZ512" s="407"/>
      <c r="DA512" s="407"/>
      <c r="DB512" s="407"/>
      <c r="DC512" s="407"/>
      <c r="DD512" s="407"/>
      <c r="DE512" s="407"/>
      <c r="DF512" s="407"/>
      <c r="DG512" s="407"/>
      <c r="DH512" s="407"/>
      <c r="DI512" s="407"/>
      <c r="DJ512" s="407"/>
      <c r="DK512" s="407">
        <v>0</v>
      </c>
      <c r="DL512" s="407"/>
      <c r="DM512" s="407"/>
      <c r="DN512" s="407"/>
      <c r="DO512" s="407"/>
      <c r="DP512" s="407"/>
      <c r="DQ512" s="407"/>
      <c r="DR512" s="407"/>
      <c r="DS512" s="407"/>
      <c r="DT512" s="407"/>
      <c r="DU512" s="407"/>
      <c r="DV512" s="407"/>
      <c r="DW512" s="407"/>
      <c r="DX512" s="407"/>
      <c r="DY512" s="407"/>
      <c r="DZ512" s="407"/>
      <c r="EA512" s="407"/>
      <c r="EB512" s="407"/>
      <c r="EC512" s="407"/>
      <c r="ED512" s="407"/>
      <c r="EE512" s="407"/>
      <c r="EF512" s="407"/>
      <c r="EG512" s="407"/>
      <c r="EH512" s="407"/>
      <c r="EI512" s="407"/>
      <c r="EJ512" s="407"/>
      <c r="EK512" s="407"/>
      <c r="EL512" s="407"/>
      <c r="EM512" s="407"/>
      <c r="EN512" s="407"/>
      <c r="EO512" s="407"/>
      <c r="EP512" s="407"/>
      <c r="EQ512" s="407"/>
      <c r="ER512" s="407"/>
      <c r="ES512" s="407"/>
      <c r="ET512" s="407"/>
      <c r="EU512" s="407"/>
      <c r="EV512" s="407">
        <v>246</v>
      </c>
      <c r="EW512" s="407"/>
      <c r="EX512" s="407"/>
      <c r="EY512" s="407"/>
      <c r="EZ512" s="407"/>
      <c r="FA512" s="407">
        <v>0</v>
      </c>
      <c r="FB512" s="407"/>
      <c r="FC512" s="407"/>
      <c r="FD512" s="407"/>
      <c r="FE512" s="407"/>
      <c r="FF512" s="407">
        <v>0</v>
      </c>
      <c r="FG512" s="407">
        <v>0</v>
      </c>
      <c r="FH512" s="407">
        <v>0</v>
      </c>
      <c r="FI512" s="407">
        <v>0</v>
      </c>
    </row>
    <row r="513" spans="1:165">
      <c r="A513" s="407">
        <v>532</v>
      </c>
      <c r="B513" s="407" t="s">
        <v>1090</v>
      </c>
      <c r="C513" s="407" t="s">
        <v>2306</v>
      </c>
      <c r="D513" s="407" t="s">
        <v>1218</v>
      </c>
      <c r="E513" s="407" t="s">
        <v>1021</v>
      </c>
      <c r="F513" s="407" t="s">
        <v>2312</v>
      </c>
      <c r="G513" s="407" t="s">
        <v>97</v>
      </c>
      <c r="H513" s="407" t="s">
        <v>97</v>
      </c>
      <c r="I513" s="407" t="s">
        <v>97</v>
      </c>
      <c r="J513" s="407" t="s">
        <v>2307</v>
      </c>
      <c r="K513" s="818">
        <v>44621</v>
      </c>
      <c r="L513" s="407">
        <v>0</v>
      </c>
      <c r="M513" s="407">
        <v>0</v>
      </c>
      <c r="N513" s="407">
        <v>66.953999999999994</v>
      </c>
      <c r="O513" s="407">
        <v>66.953999999999994</v>
      </c>
      <c r="P513" s="407">
        <v>66.953999999999994</v>
      </c>
      <c r="Q513" s="407">
        <v>66.953999999999994</v>
      </c>
      <c r="R513" s="407"/>
      <c r="S513" s="407">
        <v>547.54</v>
      </c>
      <c r="T513" s="407">
        <v>159.41</v>
      </c>
      <c r="U513" s="407"/>
      <c r="V513" s="407">
        <v>47333.13029999999</v>
      </c>
      <c r="W513" s="407">
        <v>47333.13029999999</v>
      </c>
      <c r="X513" s="407">
        <v>34670.120279999996</v>
      </c>
      <c r="Y513" s="407">
        <v>0</v>
      </c>
      <c r="Z513" s="407">
        <v>0</v>
      </c>
      <c r="AA513" s="407">
        <v>0</v>
      </c>
      <c r="AB513" s="407">
        <v>0</v>
      </c>
      <c r="AC513" s="407">
        <v>0</v>
      </c>
      <c r="AD513" s="407">
        <v>7809.810912592623</v>
      </c>
      <c r="AE513" s="407">
        <v>27956.374267157953</v>
      </c>
      <c r="AF513" s="407">
        <v>10326.363406809498</v>
      </c>
      <c r="AG513" s="407">
        <v>346.93870458046445</v>
      </c>
      <c r="AH513" s="407">
        <v>0</v>
      </c>
      <c r="AI513" s="407">
        <v>0</v>
      </c>
      <c r="AJ513" s="407">
        <v>0</v>
      </c>
      <c r="AK513" s="407">
        <v>0</v>
      </c>
      <c r="AL513" s="407">
        <v>0</v>
      </c>
      <c r="AM513" s="407"/>
      <c r="AN513" s="407">
        <v>138.9359535125881</v>
      </c>
      <c r="AO513" s="407">
        <v>0</v>
      </c>
      <c r="AP513" s="407">
        <v>0</v>
      </c>
      <c r="AQ513" s="407">
        <v>0</v>
      </c>
      <c r="AR513" s="407">
        <v>0</v>
      </c>
      <c r="AS513" s="407">
        <v>0</v>
      </c>
      <c r="AT513" s="407">
        <v>0</v>
      </c>
      <c r="AU513" s="407">
        <v>0</v>
      </c>
      <c r="AV513" s="407">
        <v>0</v>
      </c>
      <c r="AW513" s="407">
        <v>0</v>
      </c>
      <c r="AX513" s="407">
        <v>0</v>
      </c>
      <c r="AY513" s="407">
        <v>0</v>
      </c>
      <c r="AZ513" s="407">
        <v>0</v>
      </c>
      <c r="BA513" s="407"/>
      <c r="BB513" s="407">
        <v>0</v>
      </c>
      <c r="BC513" s="407">
        <v>0</v>
      </c>
      <c r="BD513" s="407">
        <v>0</v>
      </c>
      <c r="BE513" s="407">
        <v>0</v>
      </c>
      <c r="BF513" s="407">
        <v>0</v>
      </c>
      <c r="BG513" s="407">
        <v>754.82419051194631</v>
      </c>
      <c r="BH513" s="407">
        <v>0</v>
      </c>
      <c r="BI513" s="407">
        <v>47.3</v>
      </c>
      <c r="BJ513" s="407">
        <v>218.82</v>
      </c>
      <c r="BK513" s="407">
        <v>10485.59</v>
      </c>
      <c r="BL513" s="407">
        <v>736</v>
      </c>
      <c r="BM513" s="407"/>
      <c r="BN513" s="407"/>
      <c r="BO513" s="407"/>
      <c r="BP513" s="407"/>
      <c r="BQ513" s="407"/>
      <c r="BR513" s="407"/>
      <c r="BS513" s="407"/>
      <c r="BT513" s="407">
        <v>3467.5476600000011</v>
      </c>
      <c r="BU513" s="407"/>
      <c r="BV513" s="407">
        <v>11081.187597321445</v>
      </c>
      <c r="BW513" s="407"/>
      <c r="BX513" s="407"/>
      <c r="BY513" s="407"/>
      <c r="BZ513" s="407"/>
      <c r="CA513" s="407"/>
      <c r="CB513" s="407"/>
      <c r="CC513" s="407"/>
      <c r="CD513" s="407"/>
      <c r="CE513" s="407"/>
      <c r="CF513" s="407"/>
      <c r="CG513" s="407"/>
      <c r="CH513" s="407"/>
      <c r="CI513" s="407">
        <v>31200.708500000001</v>
      </c>
      <c r="CJ513" s="407">
        <v>-11399.473539999999</v>
      </c>
      <c r="CK513" s="407"/>
      <c r="CL513" s="407"/>
      <c r="CM513" s="407"/>
      <c r="CN513" s="407"/>
      <c r="CO513" s="407">
        <v>-14502.236399999996</v>
      </c>
      <c r="CP513" s="407">
        <v>1839.2263799999998</v>
      </c>
      <c r="CQ513" s="407">
        <v>31</v>
      </c>
      <c r="CR513" s="407">
        <v>1616.8616782786157</v>
      </c>
      <c r="CS513" s="407">
        <v>0</v>
      </c>
      <c r="CT513" s="407">
        <v>0</v>
      </c>
      <c r="CU513" s="407">
        <v>0</v>
      </c>
      <c r="CV513" s="407">
        <v>0</v>
      </c>
      <c r="CW513" s="407">
        <v>0</v>
      </c>
      <c r="CX513" s="407">
        <v>0</v>
      </c>
      <c r="CY513" s="407">
        <v>0</v>
      </c>
      <c r="CZ513" s="407">
        <v>352.78464429325322</v>
      </c>
      <c r="DA513" s="407">
        <v>0</v>
      </c>
      <c r="DB513" s="407">
        <v>0</v>
      </c>
      <c r="DC513" s="407">
        <v>2047.439001735449</v>
      </c>
      <c r="DD513" s="407">
        <v>0</v>
      </c>
      <c r="DE513" s="407">
        <v>0</v>
      </c>
      <c r="DF513" s="407">
        <v>0</v>
      </c>
      <c r="DG513" s="407">
        <v>149.66125306886227</v>
      </c>
      <c r="DH513" s="407">
        <v>0</v>
      </c>
      <c r="DI513" s="407">
        <v>0</v>
      </c>
      <c r="DJ513" s="407"/>
      <c r="DK513" s="407">
        <v>0</v>
      </c>
      <c r="DL513" s="407">
        <v>0</v>
      </c>
      <c r="DM513" s="407">
        <v>0</v>
      </c>
      <c r="DN513" s="407">
        <v>0</v>
      </c>
      <c r="DO513" s="407">
        <v>0</v>
      </c>
      <c r="DP513" s="407">
        <v>-8.852663538231667</v>
      </c>
      <c r="DQ513" s="407">
        <v>0</v>
      </c>
      <c r="DR513" s="407">
        <v>-924.17055728071875</v>
      </c>
      <c r="DS513" s="407"/>
      <c r="DT513" s="407"/>
      <c r="DU513" s="407"/>
      <c r="DV513" s="407">
        <v>27956.374267157953</v>
      </c>
      <c r="DW513" s="407">
        <v>0</v>
      </c>
      <c r="DX513" s="407">
        <v>0</v>
      </c>
      <c r="DY513" s="407">
        <v>-14502.236399999994</v>
      </c>
      <c r="DZ513" s="407">
        <v>1839.2263800000001</v>
      </c>
      <c r="EA513" s="407">
        <v>0</v>
      </c>
      <c r="EB513" s="407">
        <v>0</v>
      </c>
      <c r="EC513" s="407">
        <v>-14280.180907792083</v>
      </c>
      <c r="ED513" s="407">
        <v>0</v>
      </c>
      <c r="EE513" s="407">
        <v>0</v>
      </c>
      <c r="EF513" s="407">
        <v>0</v>
      </c>
      <c r="EG513" s="407">
        <v>0</v>
      </c>
      <c r="EH513" s="407">
        <v>0</v>
      </c>
      <c r="EI513" s="407">
        <v>0</v>
      </c>
      <c r="EJ513" s="407">
        <v>0</v>
      </c>
      <c r="EK513" s="407">
        <v>0</v>
      </c>
      <c r="EL513" s="407">
        <v>0</v>
      </c>
      <c r="EM513" s="407">
        <v>0</v>
      </c>
      <c r="EN513" s="407">
        <v>0</v>
      </c>
      <c r="EO513" s="407">
        <v>0</v>
      </c>
      <c r="EP513" s="407">
        <v>0</v>
      </c>
      <c r="EQ513" s="407">
        <v>0</v>
      </c>
      <c r="ER513" s="407">
        <v>0</v>
      </c>
      <c r="ES513" s="407">
        <v>0</v>
      </c>
      <c r="ET513" s="407">
        <v>0</v>
      </c>
      <c r="EU513" s="407">
        <v>0</v>
      </c>
      <c r="EV513" s="407">
        <v>246</v>
      </c>
      <c r="EW513" s="407">
        <v>0</v>
      </c>
      <c r="EX513" s="407">
        <v>0</v>
      </c>
      <c r="EY513" s="407">
        <v>0</v>
      </c>
      <c r="EZ513" s="407"/>
      <c r="FA513" s="407">
        <v>0</v>
      </c>
      <c r="FB513" s="407"/>
      <c r="FC513" s="407"/>
      <c r="FD513" s="407"/>
      <c r="FE513" s="407"/>
      <c r="FF513" s="407">
        <v>0</v>
      </c>
      <c r="FG513" s="407">
        <v>0</v>
      </c>
      <c r="FH513" s="407">
        <v>0</v>
      </c>
      <c r="FI513" s="407">
        <v>0</v>
      </c>
    </row>
    <row r="514" spans="1:165">
      <c r="A514" s="407">
        <v>533</v>
      </c>
      <c r="B514" s="407" t="s">
        <v>2308</v>
      </c>
      <c r="C514" s="407" t="s">
        <v>2306</v>
      </c>
      <c r="D514" s="407" t="s">
        <v>1218</v>
      </c>
      <c r="E514" s="407" t="s">
        <v>1021</v>
      </c>
      <c r="F514" s="407" t="s">
        <v>2312</v>
      </c>
      <c r="G514" s="407" t="s">
        <v>97</v>
      </c>
      <c r="H514" s="407" t="s">
        <v>97</v>
      </c>
      <c r="I514" s="407" t="s">
        <v>97</v>
      </c>
      <c r="J514" s="407" t="s">
        <v>2307</v>
      </c>
      <c r="K514" s="818">
        <v>44621</v>
      </c>
      <c r="L514" s="407">
        <v>0</v>
      </c>
      <c r="M514" s="407">
        <v>0</v>
      </c>
      <c r="N514" s="407">
        <v>-0.183</v>
      </c>
      <c r="O514" s="407">
        <v>-0.183</v>
      </c>
      <c r="P514" s="407">
        <v>-0.183</v>
      </c>
      <c r="Q514" s="407">
        <v>-0.183</v>
      </c>
      <c r="R514" s="407"/>
      <c r="S514" s="407">
        <v>547.54</v>
      </c>
      <c r="T514" s="407">
        <v>159.41</v>
      </c>
      <c r="U514" s="407"/>
      <c r="V514" s="407">
        <v>-129.37184999999999</v>
      </c>
      <c r="W514" s="407">
        <v>-129.37184999999999</v>
      </c>
      <c r="X514" s="407">
        <v>-94.761059999999986</v>
      </c>
      <c r="Y514" s="407">
        <v>0</v>
      </c>
      <c r="Z514" s="407">
        <v>0</v>
      </c>
      <c r="AA514" s="407">
        <v>0</v>
      </c>
      <c r="AB514" s="407">
        <v>0</v>
      </c>
      <c r="AC514" s="407">
        <v>0</v>
      </c>
      <c r="AD514" s="407">
        <v>-21.345929996780626</v>
      </c>
      <c r="AE514" s="407">
        <v>-76.410916314035092</v>
      </c>
      <c r="AF514" s="407">
        <v>-28.224221158498946</v>
      </c>
      <c r="AG514" s="407">
        <v>-0.94825974457425999</v>
      </c>
      <c r="AH514" s="407">
        <v>0</v>
      </c>
      <c r="AI514" s="407">
        <v>0</v>
      </c>
      <c r="AJ514" s="407">
        <v>0</v>
      </c>
      <c r="AK514" s="407">
        <v>0</v>
      </c>
      <c r="AL514" s="407">
        <v>0</v>
      </c>
      <c r="AM514" s="407"/>
      <c r="AN514" s="407">
        <v>-0.37974250220753986</v>
      </c>
      <c r="AO514" s="407">
        <v>0</v>
      </c>
      <c r="AP514" s="407">
        <v>0</v>
      </c>
      <c r="AQ514" s="407">
        <v>0</v>
      </c>
      <c r="AR514" s="407">
        <v>0</v>
      </c>
      <c r="AS514" s="407">
        <v>0</v>
      </c>
      <c r="AT514" s="407">
        <v>0</v>
      </c>
      <c r="AU514" s="407">
        <v>0</v>
      </c>
      <c r="AV514" s="407">
        <v>0</v>
      </c>
      <c r="AW514" s="407">
        <v>0</v>
      </c>
      <c r="AX514" s="407">
        <v>0</v>
      </c>
      <c r="AY514" s="407">
        <v>0</v>
      </c>
      <c r="AZ514" s="407">
        <v>0</v>
      </c>
      <c r="BA514" s="407"/>
      <c r="BB514" s="407">
        <v>0</v>
      </c>
      <c r="BC514" s="407">
        <v>0</v>
      </c>
      <c r="BD514" s="407">
        <v>0</v>
      </c>
      <c r="BE514" s="407">
        <v>0</v>
      </c>
      <c r="BF514" s="407">
        <v>0</v>
      </c>
      <c r="BG514" s="407">
        <v>-2.0631004400586401</v>
      </c>
      <c r="BH514" s="407">
        <v>0</v>
      </c>
      <c r="BI514" s="407">
        <v>-0.13</v>
      </c>
      <c r="BJ514" s="407">
        <v>-0.6</v>
      </c>
      <c r="BK514" s="407">
        <v>-28.67</v>
      </c>
      <c r="BL514" s="407">
        <v>0</v>
      </c>
      <c r="BM514" s="407"/>
      <c r="BN514" s="407"/>
      <c r="BO514" s="407"/>
      <c r="BP514" s="407"/>
      <c r="BQ514" s="407"/>
      <c r="BR514" s="407"/>
      <c r="BS514" s="407"/>
      <c r="BT514" s="407">
        <v>-9.4775700000000036</v>
      </c>
      <c r="BU514" s="407"/>
      <c r="BV514" s="407">
        <v>-30.287321598557586</v>
      </c>
      <c r="BW514" s="407"/>
      <c r="BX514" s="407"/>
      <c r="BY514" s="407"/>
      <c r="BZ514" s="407"/>
      <c r="CA514" s="407"/>
      <c r="CB514" s="407"/>
      <c r="CC514" s="407"/>
      <c r="CD514" s="407"/>
      <c r="CE514" s="407"/>
      <c r="CF514" s="407"/>
      <c r="CG514" s="407"/>
      <c r="CH514" s="407"/>
      <c r="CI514" s="407">
        <v>-83.88539999999999</v>
      </c>
      <c r="CJ514" s="407">
        <v>32.520179999999996</v>
      </c>
      <c r="CK514" s="407"/>
      <c r="CL514" s="407"/>
      <c r="CM514" s="407"/>
      <c r="CN514" s="407"/>
      <c r="CO514" s="407">
        <v>39.637799999999991</v>
      </c>
      <c r="CP514" s="407">
        <v>-5.0270099999999998</v>
      </c>
      <c r="CQ514" s="407">
        <v>31</v>
      </c>
      <c r="CR514" s="407">
        <v>-4.4192383894164209</v>
      </c>
      <c r="CS514" s="407">
        <v>0</v>
      </c>
      <c r="CT514" s="407">
        <v>0</v>
      </c>
      <c r="CU514" s="407">
        <v>0</v>
      </c>
      <c r="CV514" s="407">
        <v>0</v>
      </c>
      <c r="CW514" s="407">
        <v>0</v>
      </c>
      <c r="CX514" s="407">
        <v>0</v>
      </c>
      <c r="CY514" s="407">
        <v>0</v>
      </c>
      <c r="CZ514" s="407">
        <v>-0.9642379828787746</v>
      </c>
      <c r="DA514" s="407">
        <v>0</v>
      </c>
      <c r="DB514" s="407">
        <v>0</v>
      </c>
      <c r="DC514" s="407">
        <v>-5.5961008650355062</v>
      </c>
      <c r="DD514" s="407">
        <v>0</v>
      </c>
      <c r="DE514" s="407">
        <v>0</v>
      </c>
      <c r="DF514" s="407">
        <v>0</v>
      </c>
      <c r="DG514" s="407">
        <v>-0.40905710355769331</v>
      </c>
      <c r="DH514" s="407">
        <v>0</v>
      </c>
      <c r="DI514" s="407">
        <v>0</v>
      </c>
      <c r="DJ514" s="407"/>
      <c r="DK514" s="407">
        <v>0</v>
      </c>
      <c r="DL514" s="407">
        <v>0</v>
      </c>
      <c r="DM514" s="407">
        <v>0</v>
      </c>
      <c r="DN514" s="407">
        <v>0</v>
      </c>
      <c r="DO514" s="407">
        <v>0</v>
      </c>
      <c r="DP514" s="407">
        <v>2.4196275465190931E-2</v>
      </c>
      <c r="DQ514" s="407">
        <v>0</v>
      </c>
      <c r="DR514" s="407">
        <v>2.5259612865903684</v>
      </c>
      <c r="DS514" s="407"/>
      <c r="DT514" s="407"/>
      <c r="DU514" s="407"/>
      <c r="DV514" s="407">
        <v>-76.410916314035092</v>
      </c>
      <c r="DW514" s="407">
        <v>0</v>
      </c>
      <c r="DX514" s="407">
        <v>0</v>
      </c>
      <c r="DY514" s="407">
        <v>39.637799999999991</v>
      </c>
      <c r="DZ514" s="407">
        <v>-5.0270099999999971</v>
      </c>
      <c r="EA514" s="407">
        <v>0</v>
      </c>
      <c r="EB514" s="407">
        <v>0</v>
      </c>
      <c r="EC514" s="407">
        <v>39.030873526987946</v>
      </c>
      <c r="ED514" s="407">
        <v>0</v>
      </c>
      <c r="EE514" s="407">
        <v>0</v>
      </c>
      <c r="EF514" s="407">
        <v>0</v>
      </c>
      <c r="EG514" s="407">
        <v>0</v>
      </c>
      <c r="EH514" s="407">
        <v>0</v>
      </c>
      <c r="EI514" s="407">
        <v>0</v>
      </c>
      <c r="EJ514" s="407">
        <v>0</v>
      </c>
      <c r="EK514" s="407">
        <v>0</v>
      </c>
      <c r="EL514" s="407">
        <v>0</v>
      </c>
      <c r="EM514" s="407">
        <v>0</v>
      </c>
      <c r="EN514" s="407">
        <v>0</v>
      </c>
      <c r="EO514" s="407">
        <v>0</v>
      </c>
      <c r="EP514" s="407">
        <v>0</v>
      </c>
      <c r="EQ514" s="407">
        <v>0</v>
      </c>
      <c r="ER514" s="407">
        <v>0</v>
      </c>
      <c r="ES514" s="407">
        <v>0</v>
      </c>
      <c r="ET514" s="407">
        <v>0</v>
      </c>
      <c r="EU514" s="407">
        <v>0</v>
      </c>
      <c r="EV514" s="407">
        <v>246</v>
      </c>
      <c r="EW514" s="407">
        <v>0</v>
      </c>
      <c r="EX514" s="407">
        <v>0</v>
      </c>
      <c r="EY514" s="407">
        <v>0</v>
      </c>
      <c r="EZ514" s="407"/>
      <c r="FA514" s="407">
        <v>0</v>
      </c>
      <c r="FB514" s="407"/>
      <c r="FC514" s="407"/>
      <c r="FD514" s="407"/>
      <c r="FE514" s="407"/>
      <c r="FF514" s="407">
        <v>0</v>
      </c>
      <c r="FG514" s="407">
        <v>0</v>
      </c>
      <c r="FH514" s="407">
        <v>0</v>
      </c>
      <c r="FI514" s="407">
        <v>0</v>
      </c>
    </row>
    <row r="515" spans="1:165">
      <c r="A515" s="407">
        <v>534</v>
      </c>
      <c r="B515" s="407" t="s">
        <v>2309</v>
      </c>
      <c r="C515" s="407" t="s">
        <v>2306</v>
      </c>
      <c r="D515" s="407" t="s">
        <v>1218</v>
      </c>
      <c r="E515" s="407" t="s">
        <v>1021</v>
      </c>
      <c r="F515" s="407" t="s">
        <v>2312</v>
      </c>
      <c r="G515" s="407" t="s">
        <v>97</v>
      </c>
      <c r="H515" s="407" t="s">
        <v>97</v>
      </c>
      <c r="I515" s="407" t="s">
        <v>97</v>
      </c>
      <c r="J515" s="407" t="s">
        <v>2307</v>
      </c>
      <c r="K515" s="818">
        <v>44621</v>
      </c>
      <c r="L515" s="407">
        <v>0</v>
      </c>
      <c r="M515" s="407">
        <v>0</v>
      </c>
      <c r="N515" s="407">
        <v>0</v>
      </c>
      <c r="O515" s="407">
        <v>0</v>
      </c>
      <c r="P515" s="407">
        <v>0</v>
      </c>
      <c r="Q515" s="407">
        <v>0</v>
      </c>
      <c r="R515" s="407"/>
      <c r="S515" s="407"/>
      <c r="T515" s="407"/>
      <c r="U515" s="407"/>
      <c r="V515" s="407"/>
      <c r="W515" s="407"/>
      <c r="X515" s="407"/>
      <c r="Y515" s="407"/>
      <c r="Z515" s="407"/>
      <c r="AA515" s="407">
        <v>0</v>
      </c>
      <c r="AB515" s="407"/>
      <c r="AC515" s="407"/>
      <c r="AD515" s="407"/>
      <c r="AE515" s="407"/>
      <c r="AF515" s="407"/>
      <c r="AG515" s="407"/>
      <c r="AH515" s="407"/>
      <c r="AI515" s="407"/>
      <c r="AJ515" s="407"/>
      <c r="AK515" s="407"/>
      <c r="AL515" s="407"/>
      <c r="AM515" s="407"/>
      <c r="AN515" s="407"/>
      <c r="AO515" s="407"/>
      <c r="AP515" s="407"/>
      <c r="AQ515" s="407"/>
      <c r="AR515" s="407"/>
      <c r="AS515" s="407"/>
      <c r="AT515" s="407"/>
      <c r="AU515" s="407"/>
      <c r="AV515" s="407"/>
      <c r="AW515" s="407"/>
      <c r="AX515" s="407"/>
      <c r="AY515" s="407"/>
      <c r="AZ515" s="407">
        <v>0</v>
      </c>
      <c r="BA515" s="407"/>
      <c r="BB515" s="407"/>
      <c r="BC515" s="407"/>
      <c r="BD515" s="407"/>
      <c r="BE515" s="407"/>
      <c r="BF515" s="407"/>
      <c r="BG515" s="407"/>
      <c r="BH515" s="407"/>
      <c r="BI515" s="407">
        <v>0</v>
      </c>
      <c r="BJ515" s="407">
        <v>0</v>
      </c>
      <c r="BK515" s="407">
        <v>28.58</v>
      </c>
      <c r="BL515" s="407">
        <v>1</v>
      </c>
      <c r="BM515" s="407"/>
      <c r="BN515" s="407"/>
      <c r="BO515" s="407"/>
      <c r="BP515" s="407"/>
      <c r="BQ515" s="407"/>
      <c r="BR515" s="407"/>
      <c r="BS515" s="407"/>
      <c r="BT515" s="407"/>
      <c r="BU515" s="407"/>
      <c r="BV515" s="407"/>
      <c r="BW515" s="407"/>
      <c r="BX515" s="407"/>
      <c r="BY515" s="407"/>
      <c r="BZ515" s="407"/>
      <c r="CA515" s="407"/>
      <c r="CB515" s="407"/>
      <c r="CC515" s="407"/>
      <c r="CD515" s="407"/>
      <c r="CE515" s="407"/>
      <c r="CF515" s="407"/>
      <c r="CG515" s="407"/>
      <c r="CH515" s="407"/>
      <c r="CI515" s="407"/>
      <c r="CJ515" s="407">
        <v>-0.03</v>
      </c>
      <c r="CK515" s="407"/>
      <c r="CL515" s="407"/>
      <c r="CM515" s="407"/>
      <c r="CN515" s="407"/>
      <c r="CO515" s="407">
        <v>0</v>
      </c>
      <c r="CP515" s="407">
        <v>0</v>
      </c>
      <c r="CQ515" s="407">
        <v>31</v>
      </c>
      <c r="CR515" s="407"/>
      <c r="CS515" s="407"/>
      <c r="CT515" s="407"/>
      <c r="CU515" s="407"/>
      <c r="CV515" s="407"/>
      <c r="CW515" s="407"/>
      <c r="CX515" s="407"/>
      <c r="CY515" s="407"/>
      <c r="CZ515" s="407"/>
      <c r="DA515" s="407"/>
      <c r="DB515" s="407"/>
      <c r="DC515" s="407"/>
      <c r="DD515" s="407"/>
      <c r="DE515" s="407"/>
      <c r="DF515" s="407"/>
      <c r="DG515" s="407"/>
      <c r="DH515" s="407"/>
      <c r="DI515" s="407"/>
      <c r="DJ515" s="407"/>
      <c r="DK515" s="407">
        <v>0</v>
      </c>
      <c r="DL515" s="407"/>
      <c r="DM515" s="407"/>
      <c r="DN515" s="407"/>
      <c r="DO515" s="407"/>
      <c r="DP515" s="407"/>
      <c r="DQ515" s="407"/>
      <c r="DR515" s="407"/>
      <c r="DS515" s="407"/>
      <c r="DT515" s="407"/>
      <c r="DU515" s="407"/>
      <c r="DV515" s="407"/>
      <c r="DW515" s="407"/>
      <c r="DX515" s="407"/>
      <c r="DY515" s="407"/>
      <c r="DZ515" s="407"/>
      <c r="EA515" s="407"/>
      <c r="EB515" s="407"/>
      <c r="EC515" s="407"/>
      <c r="ED515" s="407"/>
      <c r="EE515" s="407"/>
      <c r="EF515" s="407"/>
      <c r="EG515" s="407"/>
      <c r="EH515" s="407"/>
      <c r="EI515" s="407"/>
      <c r="EJ515" s="407"/>
      <c r="EK515" s="407"/>
      <c r="EL515" s="407"/>
      <c r="EM515" s="407"/>
      <c r="EN515" s="407"/>
      <c r="EO515" s="407"/>
      <c r="EP515" s="407"/>
      <c r="EQ515" s="407"/>
      <c r="ER515" s="407"/>
      <c r="ES515" s="407"/>
      <c r="ET515" s="407"/>
      <c r="EU515" s="407"/>
      <c r="EV515" s="407">
        <v>246</v>
      </c>
      <c r="EW515" s="407"/>
      <c r="EX515" s="407"/>
      <c r="EY515" s="407"/>
      <c r="EZ515" s="407"/>
      <c r="FA515" s="407">
        <v>0</v>
      </c>
      <c r="FB515" s="407"/>
      <c r="FC515" s="407"/>
      <c r="FD515" s="407"/>
      <c r="FE515" s="407"/>
      <c r="FF515" s="407">
        <v>0</v>
      </c>
      <c r="FG515" s="407">
        <v>0</v>
      </c>
      <c r="FH515" s="407">
        <v>0</v>
      </c>
      <c r="FI515" s="407">
        <v>0</v>
      </c>
    </row>
    <row r="516" spans="1:165">
      <c r="A516" s="407">
        <v>535</v>
      </c>
      <c r="B516" s="407" t="s">
        <v>1090</v>
      </c>
      <c r="C516" s="407" t="s">
        <v>2306</v>
      </c>
      <c r="D516" s="407" t="s">
        <v>1218</v>
      </c>
      <c r="E516" s="407" t="s">
        <v>1021</v>
      </c>
      <c r="F516" s="407" t="s">
        <v>2313</v>
      </c>
      <c r="G516" s="407" t="s">
        <v>97</v>
      </c>
      <c r="H516" s="407" t="s">
        <v>97</v>
      </c>
      <c r="I516" s="407" t="s">
        <v>97</v>
      </c>
      <c r="J516" s="407" t="s">
        <v>2307</v>
      </c>
      <c r="K516" s="818">
        <v>44621</v>
      </c>
      <c r="L516" s="407">
        <v>0</v>
      </c>
      <c r="M516" s="407">
        <v>0</v>
      </c>
      <c r="N516" s="407">
        <v>15.129</v>
      </c>
      <c r="O516" s="407">
        <v>15.129</v>
      </c>
      <c r="P516" s="407">
        <v>15.129</v>
      </c>
      <c r="Q516" s="407">
        <v>15.129</v>
      </c>
      <c r="R516" s="407"/>
      <c r="S516" s="407">
        <v>547.54</v>
      </c>
      <c r="T516" s="407">
        <v>159.41</v>
      </c>
      <c r="U516" s="407"/>
      <c r="V516" s="407">
        <v>10695.446550000001</v>
      </c>
      <c r="W516" s="407">
        <v>10695.446550000001</v>
      </c>
      <c r="X516" s="407">
        <v>7834.0987800000003</v>
      </c>
      <c r="Y516" s="407">
        <v>0</v>
      </c>
      <c r="Z516" s="407">
        <v>0</v>
      </c>
      <c r="AA516" s="407">
        <v>0</v>
      </c>
      <c r="AB516" s="407">
        <v>0</v>
      </c>
      <c r="AC516" s="407">
        <v>0</v>
      </c>
      <c r="AD516" s="407">
        <v>1764.713524160077</v>
      </c>
      <c r="AE516" s="407">
        <v>6317.0532946176882</v>
      </c>
      <c r="AF516" s="407">
        <v>2333.3565131526257</v>
      </c>
      <c r="AG516" s="407">
        <v>78.394653965376932</v>
      </c>
      <c r="AH516" s="407">
        <v>0</v>
      </c>
      <c r="AI516" s="407">
        <v>0</v>
      </c>
      <c r="AJ516" s="407">
        <v>0</v>
      </c>
      <c r="AK516" s="407">
        <v>0</v>
      </c>
      <c r="AL516" s="407">
        <v>0</v>
      </c>
      <c r="AM516" s="407"/>
      <c r="AN516" s="407">
        <v>31.394121944797106</v>
      </c>
      <c r="AO516" s="407">
        <v>0</v>
      </c>
      <c r="AP516" s="407">
        <v>0</v>
      </c>
      <c r="AQ516" s="407">
        <v>0</v>
      </c>
      <c r="AR516" s="407">
        <v>0</v>
      </c>
      <c r="AS516" s="407">
        <v>0</v>
      </c>
      <c r="AT516" s="407">
        <v>0</v>
      </c>
      <c r="AU516" s="407">
        <v>0</v>
      </c>
      <c r="AV516" s="407">
        <v>0</v>
      </c>
      <c r="AW516" s="407">
        <v>0</v>
      </c>
      <c r="AX516" s="407">
        <v>0</v>
      </c>
      <c r="AY516" s="407">
        <v>0</v>
      </c>
      <c r="AZ516" s="407">
        <v>0</v>
      </c>
      <c r="BA516" s="407"/>
      <c r="BB516" s="407">
        <v>0</v>
      </c>
      <c r="BC516" s="407">
        <v>0</v>
      </c>
      <c r="BD516" s="407">
        <v>0</v>
      </c>
      <c r="BE516" s="407">
        <v>0</v>
      </c>
      <c r="BF516" s="407">
        <v>0</v>
      </c>
      <c r="BG516" s="407">
        <v>170.56091015107739</v>
      </c>
      <c r="BH516" s="407">
        <v>0</v>
      </c>
      <c r="BI516" s="407">
        <v>11.34</v>
      </c>
      <c r="BJ516" s="407">
        <v>55.05</v>
      </c>
      <c r="BK516" s="407">
        <v>2632.4</v>
      </c>
      <c r="BL516" s="407">
        <v>222</v>
      </c>
      <c r="BM516" s="407"/>
      <c r="BN516" s="407"/>
      <c r="BO516" s="407"/>
      <c r="BP516" s="407"/>
      <c r="BQ516" s="407"/>
      <c r="BR516" s="407"/>
      <c r="BS516" s="407"/>
      <c r="BT516" s="407"/>
      <c r="BU516" s="407"/>
      <c r="BV516" s="407">
        <v>2503.9174233037029</v>
      </c>
      <c r="BW516" s="407"/>
      <c r="BX516" s="407"/>
      <c r="BY516" s="407"/>
      <c r="BZ516" s="407"/>
      <c r="CA516" s="407"/>
      <c r="CB516" s="407"/>
      <c r="CC516" s="407"/>
      <c r="CD516" s="407"/>
      <c r="CE516" s="407"/>
      <c r="CF516" s="407"/>
      <c r="CG516" s="407"/>
      <c r="CH516" s="407"/>
      <c r="CI516" s="407">
        <v>7834.6165999999994</v>
      </c>
      <c r="CJ516" s="407">
        <v>-2860.8599500000018</v>
      </c>
      <c r="CK516" s="407"/>
      <c r="CL516" s="407"/>
      <c r="CM516" s="407"/>
      <c r="CN516" s="407"/>
      <c r="CO516" s="407">
        <v>-3276.9413999999992</v>
      </c>
      <c r="CP516" s="407">
        <v>415.59362999999996</v>
      </c>
      <c r="CQ516" s="407">
        <v>31</v>
      </c>
      <c r="CR516" s="407">
        <v>365.34785570208078</v>
      </c>
      <c r="CS516" s="407">
        <v>0</v>
      </c>
      <c r="CT516" s="407">
        <v>0</v>
      </c>
      <c r="CU516" s="407">
        <v>0</v>
      </c>
      <c r="CV516" s="407">
        <v>0</v>
      </c>
      <c r="CW516" s="407">
        <v>0</v>
      </c>
      <c r="CX516" s="407">
        <v>0</v>
      </c>
      <c r="CY516" s="407">
        <v>0</v>
      </c>
      <c r="CZ516" s="407">
        <v>79.715608977994407</v>
      </c>
      <c r="DA516" s="407">
        <v>0</v>
      </c>
      <c r="DB516" s="407">
        <v>0</v>
      </c>
      <c r="DC516" s="407">
        <v>462.6415846290829</v>
      </c>
      <c r="DD516" s="407">
        <v>0</v>
      </c>
      <c r="DE516" s="407">
        <v>0</v>
      </c>
      <c r="DF516" s="407">
        <v>0</v>
      </c>
      <c r="DG516" s="407">
        <v>33.817622512154884</v>
      </c>
      <c r="DH516" s="407">
        <v>0</v>
      </c>
      <c r="DI516" s="407">
        <v>0</v>
      </c>
      <c r="DJ516" s="407"/>
      <c r="DK516" s="407">
        <v>0</v>
      </c>
      <c r="DL516" s="407">
        <v>0</v>
      </c>
      <c r="DM516" s="407">
        <v>0</v>
      </c>
      <c r="DN516" s="407">
        <v>0</v>
      </c>
      <c r="DO516" s="407">
        <v>0</v>
      </c>
      <c r="DP516" s="407">
        <v>-2.0003576585402918</v>
      </c>
      <c r="DQ516" s="407">
        <v>0</v>
      </c>
      <c r="DR516" s="407">
        <v>-208.82660275861031</v>
      </c>
      <c r="DS516" s="407"/>
      <c r="DT516" s="407"/>
      <c r="DU516" s="407"/>
      <c r="DV516" s="407">
        <v>6317.0532946176882</v>
      </c>
      <c r="DW516" s="407">
        <v>0</v>
      </c>
      <c r="DX516" s="407">
        <v>0</v>
      </c>
      <c r="DY516" s="407">
        <v>-3276.9413999999997</v>
      </c>
      <c r="DZ516" s="407">
        <v>415.59362999999985</v>
      </c>
      <c r="EA516" s="407">
        <v>0</v>
      </c>
      <c r="EB516" s="407">
        <v>0</v>
      </c>
      <c r="EC516" s="407">
        <v>-3226.7654950262331</v>
      </c>
      <c r="ED516" s="407">
        <v>0</v>
      </c>
      <c r="EE516" s="407">
        <v>0</v>
      </c>
      <c r="EF516" s="407">
        <v>0</v>
      </c>
      <c r="EG516" s="407">
        <v>0</v>
      </c>
      <c r="EH516" s="407">
        <v>0</v>
      </c>
      <c r="EI516" s="407">
        <v>0</v>
      </c>
      <c r="EJ516" s="407">
        <v>0</v>
      </c>
      <c r="EK516" s="407">
        <v>0</v>
      </c>
      <c r="EL516" s="407">
        <v>0</v>
      </c>
      <c r="EM516" s="407">
        <v>0</v>
      </c>
      <c r="EN516" s="407">
        <v>0</v>
      </c>
      <c r="EO516" s="407">
        <v>0</v>
      </c>
      <c r="EP516" s="407">
        <v>0</v>
      </c>
      <c r="EQ516" s="407">
        <v>0</v>
      </c>
      <c r="ER516" s="407">
        <v>0</v>
      </c>
      <c r="ES516" s="407">
        <v>0</v>
      </c>
      <c r="ET516" s="407">
        <v>0</v>
      </c>
      <c r="EU516" s="407">
        <v>0</v>
      </c>
      <c r="EV516" s="407">
        <v>246</v>
      </c>
      <c r="EW516" s="407">
        <v>0</v>
      </c>
      <c r="EX516" s="407">
        <v>0</v>
      </c>
      <c r="EY516" s="407">
        <v>0</v>
      </c>
      <c r="EZ516" s="407"/>
      <c r="FA516" s="407">
        <v>0</v>
      </c>
      <c r="FB516" s="407"/>
      <c r="FC516" s="407"/>
      <c r="FD516" s="407"/>
      <c r="FE516" s="407"/>
      <c r="FF516" s="407">
        <v>0</v>
      </c>
      <c r="FG516" s="407">
        <v>0</v>
      </c>
      <c r="FH516" s="407">
        <v>0</v>
      </c>
      <c r="FI516" s="407">
        <v>0</v>
      </c>
    </row>
    <row r="517" spans="1:165">
      <c r="A517" s="407">
        <v>536</v>
      </c>
      <c r="B517" s="407" t="s">
        <v>2308</v>
      </c>
      <c r="C517" s="407" t="s">
        <v>2306</v>
      </c>
      <c r="D517" s="407" t="s">
        <v>1218</v>
      </c>
      <c r="E517" s="407" t="s">
        <v>1021</v>
      </c>
      <c r="F517" s="407" t="s">
        <v>2313</v>
      </c>
      <c r="G517" s="407" t="s">
        <v>97</v>
      </c>
      <c r="H517" s="407" t="s">
        <v>97</v>
      </c>
      <c r="I517" s="407" t="s">
        <v>97</v>
      </c>
      <c r="J517" s="407" t="s">
        <v>2307</v>
      </c>
      <c r="K517" s="818">
        <v>44621</v>
      </c>
      <c r="L517" s="407">
        <v>0</v>
      </c>
      <c r="M517" s="407">
        <v>0</v>
      </c>
      <c r="N517" s="407">
        <v>-0.24399999999999999</v>
      </c>
      <c r="O517" s="407">
        <v>-0.24399999999999999</v>
      </c>
      <c r="P517" s="407">
        <v>-0.24399999999999999</v>
      </c>
      <c r="Q517" s="407">
        <v>-0.24399999999999999</v>
      </c>
      <c r="R517" s="407"/>
      <c r="S517" s="407">
        <v>547.54</v>
      </c>
      <c r="T517" s="407">
        <v>159.41</v>
      </c>
      <c r="U517" s="407"/>
      <c r="V517" s="407">
        <v>-172.49579999999997</v>
      </c>
      <c r="W517" s="407">
        <v>-172.49579999999997</v>
      </c>
      <c r="X517" s="407">
        <v>-126.34808</v>
      </c>
      <c r="Y517" s="407">
        <v>0</v>
      </c>
      <c r="Z517" s="407">
        <v>0</v>
      </c>
      <c r="AA517" s="407">
        <v>0</v>
      </c>
      <c r="AB517" s="407">
        <v>0</v>
      </c>
      <c r="AC517" s="407">
        <v>0</v>
      </c>
      <c r="AD517" s="407">
        <v>-28.461239995707501</v>
      </c>
      <c r="AE517" s="407">
        <v>-101.88122175204678</v>
      </c>
      <c r="AF517" s="407">
        <v>-37.632294877998589</v>
      </c>
      <c r="AG517" s="407">
        <v>-1.2643463260990133</v>
      </c>
      <c r="AH517" s="407">
        <v>0</v>
      </c>
      <c r="AI517" s="407">
        <v>0</v>
      </c>
      <c r="AJ517" s="407">
        <v>0</v>
      </c>
      <c r="AK517" s="407">
        <v>0</v>
      </c>
      <c r="AL517" s="407">
        <v>0</v>
      </c>
      <c r="AM517" s="407"/>
      <c r="AN517" s="407">
        <v>-0.50632333627671977</v>
      </c>
      <c r="AO517" s="407">
        <v>0</v>
      </c>
      <c r="AP517" s="407">
        <v>0</v>
      </c>
      <c r="AQ517" s="407">
        <v>0</v>
      </c>
      <c r="AR517" s="407">
        <v>0</v>
      </c>
      <c r="AS517" s="407">
        <v>0</v>
      </c>
      <c r="AT517" s="407">
        <v>0</v>
      </c>
      <c r="AU517" s="407">
        <v>0</v>
      </c>
      <c r="AV517" s="407">
        <v>0</v>
      </c>
      <c r="AW517" s="407">
        <v>0</v>
      </c>
      <c r="AX517" s="407">
        <v>0</v>
      </c>
      <c r="AY517" s="407">
        <v>0</v>
      </c>
      <c r="AZ517" s="407">
        <v>0</v>
      </c>
      <c r="BA517" s="407"/>
      <c r="BB517" s="407">
        <v>0</v>
      </c>
      <c r="BC517" s="407">
        <v>0</v>
      </c>
      <c r="BD517" s="407">
        <v>0</v>
      </c>
      <c r="BE517" s="407">
        <v>0</v>
      </c>
      <c r="BF517" s="407">
        <v>0</v>
      </c>
      <c r="BG517" s="407">
        <v>-2.7508005867448531</v>
      </c>
      <c r="BH517" s="407">
        <v>0</v>
      </c>
      <c r="BI517" s="407">
        <v>-0.19</v>
      </c>
      <c r="BJ517" s="407">
        <v>-0.88</v>
      </c>
      <c r="BK517" s="407">
        <v>-42.47</v>
      </c>
      <c r="BL517" s="407">
        <v>0</v>
      </c>
      <c r="BM517" s="407"/>
      <c r="BN517" s="407"/>
      <c r="BO517" s="407"/>
      <c r="BP517" s="407"/>
      <c r="BQ517" s="407"/>
      <c r="BR517" s="407"/>
      <c r="BS517" s="407"/>
      <c r="BT517" s="407"/>
      <c r="BU517" s="407"/>
      <c r="BV517" s="407">
        <v>-40.383095464743441</v>
      </c>
      <c r="BW517" s="407"/>
      <c r="BX517" s="407"/>
      <c r="BY517" s="407"/>
      <c r="BZ517" s="407"/>
      <c r="CA517" s="407"/>
      <c r="CB517" s="407"/>
      <c r="CC517" s="407"/>
      <c r="CD517" s="407"/>
      <c r="CE517" s="407"/>
      <c r="CF517" s="407"/>
      <c r="CG517" s="407"/>
      <c r="CH517" s="407"/>
      <c r="CI517" s="407">
        <v>-124.27680000000001</v>
      </c>
      <c r="CJ517" s="407">
        <v>48.188999999999993</v>
      </c>
      <c r="CK517" s="407"/>
      <c r="CL517" s="407"/>
      <c r="CM517" s="407"/>
      <c r="CN517" s="407"/>
      <c r="CO517" s="407">
        <v>52.850399999999993</v>
      </c>
      <c r="CP517" s="407">
        <v>-6.70268</v>
      </c>
      <c r="CQ517" s="407">
        <v>31</v>
      </c>
      <c r="CR517" s="407">
        <v>-5.8923178525552373</v>
      </c>
      <c r="CS517" s="407">
        <v>0</v>
      </c>
      <c r="CT517" s="407">
        <v>0</v>
      </c>
      <c r="CU517" s="407">
        <v>0</v>
      </c>
      <c r="CV517" s="407">
        <v>0</v>
      </c>
      <c r="CW517" s="407">
        <v>0</v>
      </c>
      <c r="CX517" s="407">
        <v>0</v>
      </c>
      <c r="CY517" s="407">
        <v>0</v>
      </c>
      <c r="CZ517" s="407">
        <v>-1.2856506438383661</v>
      </c>
      <c r="DA517" s="407">
        <v>0</v>
      </c>
      <c r="DB517" s="407">
        <v>0</v>
      </c>
      <c r="DC517" s="407">
        <v>-7.4614678200473463</v>
      </c>
      <c r="DD517" s="407">
        <v>0</v>
      </c>
      <c r="DE517" s="407">
        <v>0</v>
      </c>
      <c r="DF517" s="407">
        <v>0</v>
      </c>
      <c r="DG517" s="407">
        <v>-0.5454094714102582</v>
      </c>
      <c r="DH517" s="407">
        <v>0</v>
      </c>
      <c r="DI517" s="407">
        <v>0</v>
      </c>
      <c r="DJ517" s="407"/>
      <c r="DK517" s="407">
        <v>0</v>
      </c>
      <c r="DL517" s="407">
        <v>0</v>
      </c>
      <c r="DM517" s="407">
        <v>0</v>
      </c>
      <c r="DN517" s="407">
        <v>0</v>
      </c>
      <c r="DO517" s="407">
        <v>0</v>
      </c>
      <c r="DP517" s="407">
        <v>3.2261700620254519E-2</v>
      </c>
      <c r="DQ517" s="407">
        <v>0</v>
      </c>
      <c r="DR517" s="407">
        <v>3.367948382120491</v>
      </c>
      <c r="DS517" s="407"/>
      <c r="DT517" s="407"/>
      <c r="DU517" s="407"/>
      <c r="DV517" s="407">
        <v>-101.88122175204678</v>
      </c>
      <c r="DW517" s="407">
        <v>0</v>
      </c>
      <c r="DX517" s="407">
        <v>0</v>
      </c>
      <c r="DY517" s="407">
        <v>52.850399999999979</v>
      </c>
      <c r="DZ517" s="407">
        <v>-6.7026800000000009</v>
      </c>
      <c r="EA517" s="407">
        <v>0</v>
      </c>
      <c r="EB517" s="407">
        <v>0</v>
      </c>
      <c r="EC517" s="407">
        <v>52.04116470265059</v>
      </c>
      <c r="ED517" s="407">
        <v>0</v>
      </c>
      <c r="EE517" s="407">
        <v>0</v>
      </c>
      <c r="EF517" s="407">
        <v>0</v>
      </c>
      <c r="EG517" s="407">
        <v>0</v>
      </c>
      <c r="EH517" s="407">
        <v>0</v>
      </c>
      <c r="EI517" s="407">
        <v>0</v>
      </c>
      <c r="EJ517" s="407">
        <v>0</v>
      </c>
      <c r="EK517" s="407">
        <v>0</v>
      </c>
      <c r="EL517" s="407">
        <v>0</v>
      </c>
      <c r="EM517" s="407">
        <v>0</v>
      </c>
      <c r="EN517" s="407">
        <v>0</v>
      </c>
      <c r="EO517" s="407">
        <v>0</v>
      </c>
      <c r="EP517" s="407">
        <v>0</v>
      </c>
      <c r="EQ517" s="407">
        <v>0</v>
      </c>
      <c r="ER517" s="407">
        <v>0</v>
      </c>
      <c r="ES517" s="407">
        <v>0</v>
      </c>
      <c r="ET517" s="407">
        <v>0</v>
      </c>
      <c r="EU517" s="407">
        <v>0</v>
      </c>
      <c r="EV517" s="407">
        <v>246</v>
      </c>
      <c r="EW517" s="407">
        <v>0</v>
      </c>
      <c r="EX517" s="407">
        <v>0</v>
      </c>
      <c r="EY517" s="407">
        <v>0</v>
      </c>
      <c r="EZ517" s="407"/>
      <c r="FA517" s="407">
        <v>0</v>
      </c>
      <c r="FB517" s="407"/>
      <c r="FC517" s="407"/>
      <c r="FD517" s="407"/>
      <c r="FE517" s="407"/>
      <c r="FF517" s="407">
        <v>0</v>
      </c>
      <c r="FG517" s="407">
        <v>0</v>
      </c>
      <c r="FH517" s="407">
        <v>0</v>
      </c>
      <c r="FI517" s="407">
        <v>0</v>
      </c>
    </row>
    <row r="518" spans="1:165">
      <c r="A518" s="407">
        <v>537</v>
      </c>
      <c r="B518" s="407" t="s">
        <v>2309</v>
      </c>
      <c r="C518" s="407" t="s">
        <v>2306</v>
      </c>
      <c r="D518" s="407" t="s">
        <v>1218</v>
      </c>
      <c r="E518" s="407" t="s">
        <v>1021</v>
      </c>
      <c r="F518" s="407" t="s">
        <v>2313</v>
      </c>
      <c r="G518" s="407" t="s">
        <v>97</v>
      </c>
      <c r="H518" s="407" t="s">
        <v>97</v>
      </c>
      <c r="I518" s="407" t="s">
        <v>97</v>
      </c>
      <c r="J518" s="407" t="s">
        <v>2307</v>
      </c>
      <c r="K518" s="818">
        <v>44621</v>
      </c>
      <c r="L518" s="407">
        <v>0</v>
      </c>
      <c r="M518" s="407">
        <v>0</v>
      </c>
      <c r="N518" s="407">
        <v>0</v>
      </c>
      <c r="O518" s="407">
        <v>0</v>
      </c>
      <c r="P518" s="407">
        <v>0</v>
      </c>
      <c r="Q518" s="407">
        <v>0</v>
      </c>
      <c r="R518" s="407"/>
      <c r="S518" s="407"/>
      <c r="T518" s="407"/>
      <c r="U518" s="407"/>
      <c r="V518" s="407"/>
      <c r="W518" s="407"/>
      <c r="X518" s="407"/>
      <c r="Y518" s="407"/>
      <c r="Z518" s="407"/>
      <c r="AA518" s="407">
        <v>0</v>
      </c>
      <c r="AB518" s="407"/>
      <c r="AC518" s="407"/>
      <c r="AD518" s="407"/>
      <c r="AE518" s="407"/>
      <c r="AF518" s="407"/>
      <c r="AG518" s="407"/>
      <c r="AH518" s="407"/>
      <c r="AI518" s="407"/>
      <c r="AJ518" s="407"/>
      <c r="AK518" s="407"/>
      <c r="AL518" s="407"/>
      <c r="AM518" s="407"/>
      <c r="AN518" s="407"/>
      <c r="AO518" s="407"/>
      <c r="AP518" s="407"/>
      <c r="AQ518" s="407"/>
      <c r="AR518" s="407"/>
      <c r="AS518" s="407"/>
      <c r="AT518" s="407"/>
      <c r="AU518" s="407"/>
      <c r="AV518" s="407"/>
      <c r="AW518" s="407"/>
      <c r="AX518" s="407"/>
      <c r="AY518" s="407"/>
      <c r="AZ518" s="407">
        <v>0</v>
      </c>
      <c r="BA518" s="407"/>
      <c r="BB518" s="407"/>
      <c r="BC518" s="407"/>
      <c r="BD518" s="407"/>
      <c r="BE518" s="407"/>
      <c r="BF518" s="407"/>
      <c r="BG518" s="407"/>
      <c r="BH518" s="407"/>
      <c r="BI518" s="407">
        <v>0</v>
      </c>
      <c r="BJ518" s="407">
        <v>0</v>
      </c>
      <c r="BK518" s="407">
        <v>12.13</v>
      </c>
      <c r="BL518" s="407">
        <v>2</v>
      </c>
      <c r="BM518" s="407"/>
      <c r="BN518" s="407"/>
      <c r="BO518" s="407"/>
      <c r="BP518" s="407"/>
      <c r="BQ518" s="407"/>
      <c r="BR518" s="407"/>
      <c r="BS518" s="407"/>
      <c r="BT518" s="407"/>
      <c r="BU518" s="407"/>
      <c r="BV518" s="407"/>
      <c r="BW518" s="407"/>
      <c r="BX518" s="407"/>
      <c r="BY518" s="407"/>
      <c r="BZ518" s="407"/>
      <c r="CA518" s="407"/>
      <c r="CB518" s="407"/>
      <c r="CC518" s="407"/>
      <c r="CD518" s="407"/>
      <c r="CE518" s="407"/>
      <c r="CF518" s="407"/>
      <c r="CG518" s="407"/>
      <c r="CH518" s="407"/>
      <c r="CI518" s="407"/>
      <c r="CJ518" s="407">
        <v>-0.03</v>
      </c>
      <c r="CK518" s="407"/>
      <c r="CL518" s="407"/>
      <c r="CM518" s="407"/>
      <c r="CN518" s="407"/>
      <c r="CO518" s="407">
        <v>0</v>
      </c>
      <c r="CP518" s="407">
        <v>0</v>
      </c>
      <c r="CQ518" s="407">
        <v>31</v>
      </c>
      <c r="CR518" s="407"/>
      <c r="CS518" s="407"/>
      <c r="CT518" s="407"/>
      <c r="CU518" s="407"/>
      <c r="CV518" s="407"/>
      <c r="CW518" s="407"/>
      <c r="CX518" s="407"/>
      <c r="CY518" s="407"/>
      <c r="CZ518" s="407"/>
      <c r="DA518" s="407"/>
      <c r="DB518" s="407"/>
      <c r="DC518" s="407"/>
      <c r="DD518" s="407"/>
      <c r="DE518" s="407"/>
      <c r="DF518" s="407"/>
      <c r="DG518" s="407"/>
      <c r="DH518" s="407"/>
      <c r="DI518" s="407"/>
      <c r="DJ518" s="407"/>
      <c r="DK518" s="407">
        <v>0</v>
      </c>
      <c r="DL518" s="407"/>
      <c r="DM518" s="407"/>
      <c r="DN518" s="407"/>
      <c r="DO518" s="407"/>
      <c r="DP518" s="407"/>
      <c r="DQ518" s="407"/>
      <c r="DR518" s="407"/>
      <c r="DS518" s="407"/>
      <c r="DT518" s="407"/>
      <c r="DU518" s="407"/>
      <c r="DV518" s="407"/>
      <c r="DW518" s="407"/>
      <c r="DX518" s="407"/>
      <c r="DY518" s="407"/>
      <c r="DZ518" s="407"/>
      <c r="EA518" s="407"/>
      <c r="EB518" s="407"/>
      <c r="EC518" s="407"/>
      <c r="ED518" s="407"/>
      <c r="EE518" s="407"/>
      <c r="EF518" s="407"/>
      <c r="EG518" s="407"/>
      <c r="EH518" s="407"/>
      <c r="EI518" s="407"/>
      <c r="EJ518" s="407"/>
      <c r="EK518" s="407"/>
      <c r="EL518" s="407"/>
      <c r="EM518" s="407"/>
      <c r="EN518" s="407"/>
      <c r="EO518" s="407"/>
      <c r="EP518" s="407"/>
      <c r="EQ518" s="407"/>
      <c r="ER518" s="407"/>
      <c r="ES518" s="407"/>
      <c r="ET518" s="407"/>
      <c r="EU518" s="407"/>
      <c r="EV518" s="407">
        <v>246</v>
      </c>
      <c r="EW518" s="407"/>
      <c r="EX518" s="407"/>
      <c r="EY518" s="407"/>
      <c r="EZ518" s="407"/>
      <c r="FA518" s="407">
        <v>0</v>
      </c>
      <c r="FB518" s="407"/>
      <c r="FC518" s="407"/>
      <c r="FD518" s="407"/>
      <c r="FE518" s="407"/>
      <c r="FF518" s="407">
        <v>0</v>
      </c>
      <c r="FG518" s="407">
        <v>0</v>
      </c>
      <c r="FH518" s="407">
        <v>0</v>
      </c>
      <c r="FI518" s="407">
        <v>0</v>
      </c>
    </row>
    <row r="519" spans="1:165">
      <c r="A519" s="407">
        <v>538</v>
      </c>
      <c r="B519" s="407" t="s">
        <v>1090</v>
      </c>
      <c r="C519" s="407" t="s">
        <v>2306</v>
      </c>
      <c r="D519" s="407" t="s">
        <v>1219</v>
      </c>
      <c r="E519" s="407" t="s">
        <v>1022</v>
      </c>
      <c r="F519" s="407" t="s">
        <v>97</v>
      </c>
      <c r="G519" s="407" t="s">
        <v>97</v>
      </c>
      <c r="H519" s="407" t="s">
        <v>97</v>
      </c>
      <c r="I519" s="407" t="s">
        <v>97</v>
      </c>
      <c r="J519" s="407" t="s">
        <v>2307</v>
      </c>
      <c r="K519" s="818">
        <v>44621</v>
      </c>
      <c r="L519" s="407">
        <v>0</v>
      </c>
      <c r="M519" s="407">
        <v>0</v>
      </c>
      <c r="N519" s="407">
        <v>100.396</v>
      </c>
      <c r="O519" s="407">
        <v>100.396</v>
      </c>
      <c r="P519" s="407">
        <v>100.396</v>
      </c>
      <c r="Q519" s="407">
        <v>100.396</v>
      </c>
      <c r="R519" s="407"/>
      <c r="S519" s="407">
        <v>648.44000000000005</v>
      </c>
      <c r="T519" s="407">
        <v>159.41</v>
      </c>
      <c r="U519" s="407"/>
      <c r="V519" s="407">
        <v>81104.90860000001</v>
      </c>
      <c r="W519" s="407">
        <v>81104.90860000001</v>
      </c>
      <c r="X519" s="407">
        <v>61424.280719999995</v>
      </c>
      <c r="Y519" s="407">
        <v>0</v>
      </c>
      <c r="Z519" s="407">
        <v>6221.5652822501534</v>
      </c>
      <c r="AA519" s="407">
        <v>0</v>
      </c>
      <c r="AB519" s="407">
        <v>0</v>
      </c>
      <c r="AC519" s="407">
        <v>0</v>
      </c>
      <c r="AD519" s="407">
        <v>11710.633813971519</v>
      </c>
      <c r="AE519" s="407">
        <v>41919.947291059383</v>
      </c>
      <c r="AF519" s="407">
        <v>15484.14703512929</v>
      </c>
      <c r="AG519" s="407">
        <v>520.22669571736287</v>
      </c>
      <c r="AH519" s="407">
        <v>0</v>
      </c>
      <c r="AI519" s="407">
        <v>0</v>
      </c>
      <c r="AJ519" s="407">
        <v>0</v>
      </c>
      <c r="AK519" s="407">
        <v>0</v>
      </c>
      <c r="AL519" s="407">
        <v>961.39765299310693</v>
      </c>
      <c r="AM519" s="407"/>
      <c r="AN519" s="407">
        <v>208.33130192146541</v>
      </c>
      <c r="AO519" s="407">
        <v>0</v>
      </c>
      <c r="AP519" s="407">
        <v>0</v>
      </c>
      <c r="AQ519" s="407">
        <v>0</v>
      </c>
      <c r="AR519" s="407">
        <v>0</v>
      </c>
      <c r="AS519" s="407">
        <v>0</v>
      </c>
      <c r="AT519" s="407">
        <v>0</v>
      </c>
      <c r="AU519" s="407">
        <v>0</v>
      </c>
      <c r="AV519" s="407">
        <v>0</v>
      </c>
      <c r="AW519" s="407">
        <v>0</v>
      </c>
      <c r="AX519" s="407">
        <v>0</v>
      </c>
      <c r="AY519" s="407">
        <v>0</v>
      </c>
      <c r="AZ519" s="407">
        <v>0</v>
      </c>
      <c r="BA519" s="407"/>
      <c r="BB519" s="407">
        <v>0</v>
      </c>
      <c r="BC519" s="407">
        <v>0</v>
      </c>
      <c r="BD519" s="407">
        <v>0</v>
      </c>
      <c r="BE519" s="407">
        <v>0</v>
      </c>
      <c r="BF519" s="407">
        <v>0</v>
      </c>
      <c r="BG519" s="407">
        <v>1131.8417037165423</v>
      </c>
      <c r="BH519" s="407">
        <v>0</v>
      </c>
      <c r="BI519" s="407">
        <v>121.69</v>
      </c>
      <c r="BJ519" s="407">
        <v>526.61</v>
      </c>
      <c r="BK519" s="407">
        <v>15632.89</v>
      </c>
      <c r="BL519" s="407">
        <v>87</v>
      </c>
      <c r="BM519" s="407"/>
      <c r="BN519" s="407"/>
      <c r="BO519" s="407"/>
      <c r="BP519" s="407"/>
      <c r="BQ519" s="407"/>
      <c r="BR519" s="407"/>
      <c r="BS519" s="407"/>
      <c r="BT519" s="407"/>
      <c r="BU519" s="407"/>
      <c r="BV519" s="407">
        <v>16615.988738845834</v>
      </c>
      <c r="BW519" s="407"/>
      <c r="BX519" s="407"/>
      <c r="BY519" s="407"/>
      <c r="BZ519" s="407"/>
      <c r="CA519" s="407"/>
      <c r="CB519" s="407"/>
      <c r="CC519" s="407"/>
      <c r="CD519" s="407"/>
      <c r="CE519" s="407"/>
      <c r="CF519" s="407"/>
      <c r="CG519" s="407"/>
      <c r="CH519" s="407"/>
      <c r="CI519" s="407">
        <v>61426.728000000003</v>
      </c>
      <c r="CJ519" s="407">
        <v>-19678.210600000006</v>
      </c>
      <c r="CK519" s="407"/>
      <c r="CL519" s="407"/>
      <c r="CM519" s="407"/>
      <c r="CN519" s="407"/>
      <c r="CO519" s="407">
        <v>-22438.506000000005</v>
      </c>
      <c r="CP519" s="407">
        <v>2757.8781199999999</v>
      </c>
      <c r="CQ519" s="407">
        <v>31</v>
      </c>
      <c r="CR519" s="407">
        <v>1732.2343927000475</v>
      </c>
      <c r="CS519" s="407">
        <v>0</v>
      </c>
      <c r="CT519" s="407">
        <v>0</v>
      </c>
      <c r="CU519" s="407">
        <v>0</v>
      </c>
      <c r="CV519" s="407">
        <v>0</v>
      </c>
      <c r="CW519" s="407">
        <v>0</v>
      </c>
      <c r="CX519" s="407">
        <v>0</v>
      </c>
      <c r="CY519" s="407">
        <v>0</v>
      </c>
      <c r="CZ519" s="407">
        <v>528.99254933932934</v>
      </c>
      <c r="DA519" s="407">
        <v>0</v>
      </c>
      <c r="DB519" s="407">
        <v>0</v>
      </c>
      <c r="DC519" s="407">
        <v>3070.0882100880026</v>
      </c>
      <c r="DD519" s="407">
        <v>0</v>
      </c>
      <c r="DE519" s="407">
        <v>0</v>
      </c>
      <c r="DF519" s="407">
        <v>0</v>
      </c>
      <c r="DG519" s="407">
        <v>224.41364463813215</v>
      </c>
      <c r="DH519" s="407">
        <v>0</v>
      </c>
      <c r="DI519" s="407">
        <v>-435.77070594065844</v>
      </c>
      <c r="DJ519" s="407"/>
      <c r="DK519" s="407">
        <v>0</v>
      </c>
      <c r="DL519" s="407">
        <v>0</v>
      </c>
      <c r="DM519" s="407">
        <v>0</v>
      </c>
      <c r="DN519" s="407">
        <v>0</v>
      </c>
      <c r="DO519" s="407">
        <v>-58.65619457217656</v>
      </c>
      <c r="DP519" s="407">
        <v>-13.274367604389653</v>
      </c>
      <c r="DQ519" s="407">
        <v>0</v>
      </c>
      <c r="DR519" s="407">
        <v>-1583.5587432482016</v>
      </c>
      <c r="DS519" s="407"/>
      <c r="DT519" s="407"/>
      <c r="DU519" s="407"/>
      <c r="DV519" s="407">
        <v>41919.947291059383</v>
      </c>
      <c r="DW519" s="407">
        <v>0</v>
      </c>
      <c r="DX519" s="407">
        <v>0</v>
      </c>
      <c r="DY519" s="407">
        <v>-22438.506000000008</v>
      </c>
      <c r="DZ519" s="407">
        <v>2757.8781199999994</v>
      </c>
      <c r="EA519" s="407">
        <v>0</v>
      </c>
      <c r="EB519" s="407">
        <v>0</v>
      </c>
      <c r="EC519" s="407">
        <v>-21412.806440521759</v>
      </c>
      <c r="ED519" s="407">
        <v>0</v>
      </c>
      <c r="EE519" s="407">
        <v>0</v>
      </c>
      <c r="EF519" s="407">
        <v>0</v>
      </c>
      <c r="EG519" s="407">
        <v>0</v>
      </c>
      <c r="EH519" s="407">
        <v>0</v>
      </c>
      <c r="EI519" s="407">
        <v>0</v>
      </c>
      <c r="EJ519" s="407">
        <v>0</v>
      </c>
      <c r="EK519" s="407">
        <v>0</v>
      </c>
      <c r="EL519" s="407">
        <v>0</v>
      </c>
      <c r="EM519" s="407">
        <v>0</v>
      </c>
      <c r="EN519" s="407">
        <v>0</v>
      </c>
      <c r="EO519" s="407">
        <v>0</v>
      </c>
      <c r="EP519" s="407">
        <v>2947.0442351526708</v>
      </c>
      <c r="EQ519" s="407">
        <v>0</v>
      </c>
      <c r="ER519" s="407">
        <v>0</v>
      </c>
      <c r="ES519" s="407">
        <v>0</v>
      </c>
      <c r="ET519" s="407">
        <v>0</v>
      </c>
      <c r="EU519" s="407">
        <v>0</v>
      </c>
      <c r="EV519" s="407">
        <v>246</v>
      </c>
      <c r="EW519" s="407">
        <v>0</v>
      </c>
      <c r="EX519" s="407">
        <v>0</v>
      </c>
      <c r="EY519" s="407">
        <v>0</v>
      </c>
      <c r="EZ519" s="407"/>
      <c r="FA519" s="407">
        <v>0</v>
      </c>
      <c r="FB519" s="407"/>
      <c r="FC519" s="407"/>
      <c r="FD519" s="407"/>
      <c r="FE519" s="407"/>
      <c r="FF519" s="407">
        <v>0</v>
      </c>
      <c r="FG519" s="407">
        <v>0</v>
      </c>
      <c r="FH519" s="407">
        <v>0</v>
      </c>
      <c r="FI519" s="407">
        <v>0</v>
      </c>
    </row>
    <row r="520" spans="1:165">
      <c r="A520" s="407">
        <v>539</v>
      </c>
      <c r="B520" s="407" t="s">
        <v>2309</v>
      </c>
      <c r="C520" s="407" t="s">
        <v>2306</v>
      </c>
      <c r="D520" s="407" t="s">
        <v>1219</v>
      </c>
      <c r="E520" s="407" t="s">
        <v>1022</v>
      </c>
      <c r="F520" s="407" t="s">
        <v>97</v>
      </c>
      <c r="G520" s="407" t="s">
        <v>97</v>
      </c>
      <c r="H520" s="407" t="s">
        <v>97</v>
      </c>
      <c r="I520" s="407" t="s">
        <v>97</v>
      </c>
      <c r="J520" s="407" t="s">
        <v>2307</v>
      </c>
      <c r="K520" s="818">
        <v>44621</v>
      </c>
      <c r="L520" s="407">
        <v>0</v>
      </c>
      <c r="M520" s="407">
        <v>0</v>
      </c>
      <c r="N520" s="407">
        <v>6.3079999999999998</v>
      </c>
      <c r="O520" s="407">
        <v>6.3079999999999998</v>
      </c>
      <c r="P520" s="407">
        <v>6.3079999999999998</v>
      </c>
      <c r="Q520" s="407">
        <v>6.3079999999999998</v>
      </c>
      <c r="R520" s="407"/>
      <c r="S520" s="407">
        <v>648.44000000000005</v>
      </c>
      <c r="T520" s="407">
        <v>159.41</v>
      </c>
      <c r="U520" s="407"/>
      <c r="V520" s="407">
        <v>5095.9178000000002</v>
      </c>
      <c r="W520" s="407">
        <v>5095.9178000000002</v>
      </c>
      <c r="X520" s="407">
        <v>3859.3605599999996</v>
      </c>
      <c r="Y520" s="407">
        <v>0</v>
      </c>
      <c r="Z520" s="407">
        <v>390.90834097408225</v>
      </c>
      <c r="AA520" s="407">
        <v>0</v>
      </c>
      <c r="AB520" s="407">
        <v>0</v>
      </c>
      <c r="AC520" s="407">
        <v>0</v>
      </c>
      <c r="AD520" s="407">
        <v>735.79304054476609</v>
      </c>
      <c r="AE520" s="407">
        <v>2633.8801098848817</v>
      </c>
      <c r="AF520" s="407">
        <v>972.8873610262915</v>
      </c>
      <c r="AG520" s="407">
        <v>32.686461578002358</v>
      </c>
      <c r="AH520" s="407">
        <v>0</v>
      </c>
      <c r="AI520" s="407">
        <v>0</v>
      </c>
      <c r="AJ520" s="407">
        <v>0</v>
      </c>
      <c r="AK520" s="407">
        <v>0</v>
      </c>
      <c r="AL520" s="407">
        <v>60.405757152481357</v>
      </c>
      <c r="AM520" s="407"/>
      <c r="AN520" s="407">
        <v>13.089703300137494</v>
      </c>
      <c r="AO520" s="407">
        <v>0</v>
      </c>
      <c r="AP520" s="407">
        <v>0</v>
      </c>
      <c r="AQ520" s="407">
        <v>0</v>
      </c>
      <c r="AR520" s="407">
        <v>0</v>
      </c>
      <c r="AS520" s="407">
        <v>0</v>
      </c>
      <c r="AT520" s="407">
        <v>0</v>
      </c>
      <c r="AU520" s="407">
        <v>0</v>
      </c>
      <c r="AV520" s="407">
        <v>0</v>
      </c>
      <c r="AW520" s="407">
        <v>0</v>
      </c>
      <c r="AX520" s="407">
        <v>0</v>
      </c>
      <c r="AY520" s="407">
        <v>0</v>
      </c>
      <c r="AZ520" s="407">
        <v>0</v>
      </c>
      <c r="BA520" s="407"/>
      <c r="BB520" s="407">
        <v>0</v>
      </c>
      <c r="BC520" s="407">
        <v>0</v>
      </c>
      <c r="BD520" s="407">
        <v>0</v>
      </c>
      <c r="BE520" s="407">
        <v>0</v>
      </c>
      <c r="BF520" s="407">
        <v>0</v>
      </c>
      <c r="BG520" s="407">
        <v>71.114959431092359</v>
      </c>
      <c r="BH520" s="407">
        <v>0</v>
      </c>
      <c r="BI520" s="407">
        <v>7.63</v>
      </c>
      <c r="BJ520" s="407">
        <v>33.01</v>
      </c>
      <c r="BK520" s="407">
        <v>3587.59</v>
      </c>
      <c r="BL520" s="407">
        <v>20</v>
      </c>
      <c r="BM520" s="407"/>
      <c r="BN520" s="407"/>
      <c r="BO520" s="407"/>
      <c r="BP520" s="407"/>
      <c r="BQ520" s="407"/>
      <c r="BR520" s="407"/>
      <c r="BS520" s="407"/>
      <c r="BT520" s="407"/>
      <c r="BU520" s="407"/>
      <c r="BV520" s="407">
        <v>1044.0023204573838</v>
      </c>
      <c r="BW520" s="407"/>
      <c r="BX520" s="407"/>
      <c r="BY520" s="407"/>
      <c r="BZ520" s="407"/>
      <c r="CA520" s="407"/>
      <c r="CB520" s="407"/>
      <c r="CC520" s="407"/>
      <c r="CD520" s="407"/>
      <c r="CE520" s="407"/>
      <c r="CF520" s="407"/>
      <c r="CG520" s="407"/>
      <c r="CH520" s="407"/>
      <c r="CI520" s="407">
        <v>3860.5841999999998</v>
      </c>
      <c r="CJ520" s="407">
        <v>-1235.363600000001</v>
      </c>
      <c r="CK520" s="407"/>
      <c r="CL520" s="407"/>
      <c r="CM520" s="407"/>
      <c r="CN520" s="407"/>
      <c r="CO520" s="407">
        <v>-1409.8380000000004</v>
      </c>
      <c r="CP520" s="407">
        <v>173.28075999999999</v>
      </c>
      <c r="CQ520" s="407">
        <v>31</v>
      </c>
      <c r="CR520" s="407">
        <v>108.83834564277322</v>
      </c>
      <c r="CS520" s="407">
        <v>0</v>
      </c>
      <c r="CT520" s="407">
        <v>0</v>
      </c>
      <c r="CU520" s="407">
        <v>0</v>
      </c>
      <c r="CV520" s="407">
        <v>0</v>
      </c>
      <c r="CW520" s="407">
        <v>0</v>
      </c>
      <c r="CX520" s="407">
        <v>0</v>
      </c>
      <c r="CY520" s="407">
        <v>0</v>
      </c>
      <c r="CZ520" s="407">
        <v>33.237230579231209</v>
      </c>
      <c r="DA520" s="407">
        <v>0</v>
      </c>
      <c r="DB520" s="407">
        <v>0</v>
      </c>
      <c r="DC520" s="407">
        <v>192.89729101991247</v>
      </c>
      <c r="DD520" s="407">
        <v>0</v>
      </c>
      <c r="DE520" s="407">
        <v>0</v>
      </c>
      <c r="DF520" s="407">
        <v>0</v>
      </c>
      <c r="DG520" s="407">
        <v>14.100176006786498</v>
      </c>
      <c r="DH520" s="407">
        <v>0</v>
      </c>
      <c r="DI520" s="407">
        <v>-27.379991364931584</v>
      </c>
      <c r="DJ520" s="407"/>
      <c r="DK520" s="407">
        <v>0</v>
      </c>
      <c r="DL520" s="407">
        <v>0</v>
      </c>
      <c r="DM520" s="407">
        <v>0</v>
      </c>
      <c r="DN520" s="407">
        <v>0</v>
      </c>
      <c r="DO520" s="407">
        <v>-3.6854384174796806</v>
      </c>
      <c r="DP520" s="407">
        <v>-0.8340442930842844</v>
      </c>
      <c r="DQ520" s="407">
        <v>0</v>
      </c>
      <c r="DR520" s="407">
        <v>-99.496877887661412</v>
      </c>
      <c r="DS520" s="407"/>
      <c r="DT520" s="407"/>
      <c r="DU520" s="407"/>
      <c r="DV520" s="407">
        <v>2633.8801098848817</v>
      </c>
      <c r="DW520" s="407">
        <v>0</v>
      </c>
      <c r="DX520" s="407">
        <v>0</v>
      </c>
      <c r="DY520" s="407">
        <v>-1409.8380000000006</v>
      </c>
      <c r="DZ520" s="407">
        <v>173.28075999999987</v>
      </c>
      <c r="EA520" s="407">
        <v>0</v>
      </c>
      <c r="EB520" s="407">
        <v>0</v>
      </c>
      <c r="EC520" s="407">
        <v>-1345.3920776406555</v>
      </c>
      <c r="ED520" s="407">
        <v>0</v>
      </c>
      <c r="EE520" s="407">
        <v>0</v>
      </c>
      <c r="EF520" s="407">
        <v>0</v>
      </c>
      <c r="EG520" s="407">
        <v>0</v>
      </c>
      <c r="EH520" s="407">
        <v>0</v>
      </c>
      <c r="EI520" s="407">
        <v>0</v>
      </c>
      <c r="EJ520" s="407">
        <v>0</v>
      </c>
      <c r="EK520" s="407">
        <v>0</v>
      </c>
      <c r="EL520" s="407">
        <v>0</v>
      </c>
      <c r="EM520" s="407">
        <v>0</v>
      </c>
      <c r="EN520" s="407">
        <v>0</v>
      </c>
      <c r="EO520" s="407">
        <v>0</v>
      </c>
      <c r="EP520" s="407">
        <v>185.16629183775296</v>
      </c>
      <c r="EQ520" s="407">
        <v>0</v>
      </c>
      <c r="ER520" s="407">
        <v>0</v>
      </c>
      <c r="ES520" s="407">
        <v>0</v>
      </c>
      <c r="ET520" s="407">
        <v>0</v>
      </c>
      <c r="EU520" s="407">
        <v>0</v>
      </c>
      <c r="EV520" s="407">
        <v>246</v>
      </c>
      <c r="EW520" s="407">
        <v>0</v>
      </c>
      <c r="EX520" s="407">
        <v>0</v>
      </c>
      <c r="EY520" s="407">
        <v>0</v>
      </c>
      <c r="EZ520" s="407"/>
      <c r="FA520" s="407">
        <v>0</v>
      </c>
      <c r="FB520" s="407"/>
      <c r="FC520" s="407"/>
      <c r="FD520" s="407"/>
      <c r="FE520" s="407"/>
      <c r="FF520" s="407">
        <v>0</v>
      </c>
      <c r="FG520" s="407">
        <v>0</v>
      </c>
      <c r="FH520" s="407">
        <v>0</v>
      </c>
      <c r="FI520" s="407">
        <v>0</v>
      </c>
    </row>
    <row r="521" spans="1:165">
      <c r="A521" s="407">
        <v>540</v>
      </c>
      <c r="B521" s="407" t="s">
        <v>1090</v>
      </c>
      <c r="C521" s="407" t="s">
        <v>2314</v>
      </c>
      <c r="D521" s="407" t="s">
        <v>650</v>
      </c>
      <c r="E521" s="407" t="s">
        <v>1022</v>
      </c>
      <c r="F521" s="407" t="s">
        <v>97</v>
      </c>
      <c r="G521" s="407" t="s">
        <v>97</v>
      </c>
      <c r="H521" s="407" t="s">
        <v>97</v>
      </c>
      <c r="I521" s="407" t="s">
        <v>1025</v>
      </c>
      <c r="J521" s="407" t="s">
        <v>2307</v>
      </c>
      <c r="K521" s="818">
        <v>44621</v>
      </c>
      <c r="L521" s="407">
        <v>0</v>
      </c>
      <c r="M521" s="407">
        <v>0</v>
      </c>
      <c r="N521" s="407">
        <v>19.379000000000001</v>
      </c>
      <c r="O521" s="407">
        <v>19.379000000000001</v>
      </c>
      <c r="P521" s="407">
        <v>19.379000000000001</v>
      </c>
      <c r="Q521" s="407">
        <v>19.379000000000001</v>
      </c>
      <c r="R521" s="407"/>
      <c r="S521" s="407">
        <v>2810.7</v>
      </c>
      <c r="T521" s="407">
        <v>159.41</v>
      </c>
      <c r="U521" s="407"/>
      <c r="V521" s="407">
        <v>57557.761689999999</v>
      </c>
      <c r="W521" s="407">
        <v>57557.761689999999</v>
      </c>
      <c r="X521" s="407">
        <v>36659.060510000003</v>
      </c>
      <c r="Y521" s="407">
        <v>0</v>
      </c>
      <c r="Z521" s="407">
        <v>1044.8016936542424</v>
      </c>
      <c r="AA521" s="407">
        <v>0</v>
      </c>
      <c r="AB521" s="407">
        <v>0</v>
      </c>
      <c r="AC521" s="407">
        <v>0</v>
      </c>
      <c r="AD521" s="407">
        <v>11831.181684240531</v>
      </c>
      <c r="AE521" s="407">
        <v>40790.642072378134</v>
      </c>
      <c r="AF521" s="407">
        <v>2988.8370591833395</v>
      </c>
      <c r="AG521" s="407">
        <v>100.41707972734746</v>
      </c>
      <c r="AH521" s="407">
        <v>0</v>
      </c>
      <c r="AI521" s="407">
        <v>0</v>
      </c>
      <c r="AJ521" s="407">
        <v>0</v>
      </c>
      <c r="AK521" s="407">
        <v>0</v>
      </c>
      <c r="AL521" s="407">
        <v>185.57437664203175</v>
      </c>
      <c r="AM521" s="407"/>
      <c r="AN521" s="407">
        <v>20.807879244871238</v>
      </c>
      <c r="AO521" s="407">
        <v>0</v>
      </c>
      <c r="AP521" s="407">
        <v>0</v>
      </c>
      <c r="AQ521" s="407">
        <v>0</v>
      </c>
      <c r="AR521" s="407">
        <v>0</v>
      </c>
      <c r="AS521" s="407">
        <v>0</v>
      </c>
      <c r="AT521" s="407">
        <v>0</v>
      </c>
      <c r="AU521" s="407">
        <v>0</v>
      </c>
      <c r="AV521" s="407">
        <v>0</v>
      </c>
      <c r="AW521" s="407">
        <v>0</v>
      </c>
      <c r="AX521" s="407">
        <v>0</v>
      </c>
      <c r="AY521" s="407">
        <v>0</v>
      </c>
      <c r="AZ521" s="407">
        <v>0</v>
      </c>
      <c r="BA521" s="407"/>
      <c r="BB521" s="407">
        <v>0</v>
      </c>
      <c r="BC521" s="407">
        <v>0</v>
      </c>
      <c r="BD521" s="407">
        <v>0</v>
      </c>
      <c r="BE521" s="407">
        <v>0</v>
      </c>
      <c r="BF521" s="407">
        <v>0</v>
      </c>
      <c r="BG521" s="407">
        <v>100.57457520189499</v>
      </c>
      <c r="BH521" s="407">
        <v>0</v>
      </c>
      <c r="BI521" s="407">
        <v>0</v>
      </c>
      <c r="BJ521" s="407">
        <v>0</v>
      </c>
      <c r="BK521" s="407">
        <v>0</v>
      </c>
      <c r="BL521" s="407">
        <v>0</v>
      </c>
      <c r="BM521" s="407"/>
      <c r="BN521" s="407"/>
      <c r="BO521" s="407"/>
      <c r="BP521" s="407"/>
      <c r="BQ521" s="407"/>
      <c r="BR521" s="407"/>
      <c r="BS521" s="407"/>
      <c r="BT521" s="407"/>
      <c r="BU521" s="407"/>
      <c r="BV521" s="407">
        <v>3089.4116343852347</v>
      </c>
      <c r="BW521" s="407"/>
      <c r="BX521" s="407"/>
      <c r="BY521" s="407"/>
      <c r="BZ521" s="407"/>
      <c r="CA521" s="407"/>
      <c r="CB521" s="407"/>
      <c r="CC521" s="407"/>
      <c r="CD521" s="407"/>
      <c r="CE521" s="407"/>
      <c r="CF521" s="407"/>
      <c r="CG521" s="407"/>
      <c r="CH521" s="407"/>
      <c r="CI521" s="407">
        <v>36660.9522</v>
      </c>
      <c r="CJ521" s="407">
        <v>-20896.839490000006</v>
      </c>
      <c r="CK521" s="407"/>
      <c r="CL521" s="407"/>
      <c r="CM521" s="407"/>
      <c r="CN521" s="407"/>
      <c r="CO521" s="407">
        <v>-21431.042310000001</v>
      </c>
      <c r="CP521" s="407">
        <v>532.34113000000002</v>
      </c>
      <c r="CQ521" s="407">
        <v>31</v>
      </c>
      <c r="CR521" s="407">
        <v>-62.644497164961649</v>
      </c>
      <c r="CS521" s="407">
        <v>0</v>
      </c>
      <c r="CT521" s="407">
        <v>0</v>
      </c>
      <c r="CU521" s="407">
        <v>0</v>
      </c>
      <c r="CV521" s="407">
        <v>0</v>
      </c>
      <c r="CW521" s="407">
        <v>0</v>
      </c>
      <c r="CX521" s="407">
        <v>0</v>
      </c>
      <c r="CY521" s="407">
        <v>0</v>
      </c>
      <c r="CZ521" s="407">
        <v>534.43793566290151</v>
      </c>
      <c r="DA521" s="407">
        <v>0</v>
      </c>
      <c r="DB521" s="407">
        <v>0</v>
      </c>
      <c r="DC521" s="407">
        <v>592.60567575695632</v>
      </c>
      <c r="DD521" s="407">
        <v>0</v>
      </c>
      <c r="DE521" s="407">
        <v>0</v>
      </c>
      <c r="DF521" s="407">
        <v>0</v>
      </c>
      <c r="DG521" s="407">
        <v>19.941222261802778</v>
      </c>
      <c r="DH521" s="407">
        <v>0</v>
      </c>
      <c r="DI521" s="407">
        <v>-73.179971752549477</v>
      </c>
      <c r="DJ521" s="407"/>
      <c r="DK521" s="407">
        <v>0</v>
      </c>
      <c r="DL521" s="407">
        <v>0</v>
      </c>
      <c r="DM521" s="407">
        <v>0</v>
      </c>
      <c r="DN521" s="407">
        <v>0</v>
      </c>
      <c r="DO521" s="407">
        <v>-11.322148239115194</v>
      </c>
      <c r="DP521" s="407">
        <v>-1.3258278310394047</v>
      </c>
      <c r="DQ521" s="407">
        <v>0</v>
      </c>
      <c r="DR521" s="407">
        <v>-1123.8013830239215</v>
      </c>
      <c r="DS521" s="407"/>
      <c r="DT521" s="407"/>
      <c r="DU521" s="407"/>
      <c r="DV521" s="407">
        <v>40790.642072378134</v>
      </c>
      <c r="DW521" s="407">
        <v>0</v>
      </c>
      <c r="DX521" s="407">
        <v>0</v>
      </c>
      <c r="DY521" s="407">
        <v>-21431.042309999997</v>
      </c>
      <c r="DZ521" s="407">
        <v>532.34112999999979</v>
      </c>
      <c r="EA521" s="407">
        <v>0</v>
      </c>
      <c r="EB521" s="407">
        <v>0</v>
      </c>
      <c r="EC521" s="407">
        <v>-20835.954711868588</v>
      </c>
      <c r="ED521" s="407">
        <v>0</v>
      </c>
      <c r="EE521" s="407">
        <v>0</v>
      </c>
      <c r="EF521" s="407">
        <v>0</v>
      </c>
      <c r="EG521" s="407">
        <v>0</v>
      </c>
      <c r="EH521" s="407">
        <v>0</v>
      </c>
      <c r="EI521" s="407">
        <v>0</v>
      </c>
      <c r="EJ521" s="407">
        <v>0</v>
      </c>
      <c r="EK521" s="407">
        <v>0</v>
      </c>
      <c r="EL521" s="407">
        <v>0</v>
      </c>
      <c r="EM521" s="407">
        <v>0</v>
      </c>
      <c r="EN521" s="407">
        <v>0</v>
      </c>
      <c r="EO521" s="407">
        <v>0</v>
      </c>
      <c r="EP521" s="407">
        <v>494.9038816559476</v>
      </c>
      <c r="EQ521" s="407">
        <v>0</v>
      </c>
      <c r="ER521" s="407">
        <v>0</v>
      </c>
      <c r="ES521" s="407">
        <v>0</v>
      </c>
      <c r="ET521" s="407">
        <v>0</v>
      </c>
      <c r="EU521" s="407">
        <v>0</v>
      </c>
      <c r="EV521" s="407">
        <v>246</v>
      </c>
      <c r="EW521" s="407">
        <v>0</v>
      </c>
      <c r="EX521" s="407">
        <v>0</v>
      </c>
      <c r="EY521" s="407">
        <v>0</v>
      </c>
      <c r="EZ521" s="407"/>
      <c r="FA521" s="407">
        <v>0</v>
      </c>
      <c r="FB521" s="407"/>
      <c r="FC521" s="407"/>
      <c r="FD521" s="407"/>
      <c r="FE521" s="407"/>
      <c r="FF521" s="407">
        <v>0</v>
      </c>
      <c r="FG521" s="407">
        <v>0</v>
      </c>
      <c r="FH521" s="407">
        <v>0</v>
      </c>
      <c r="FI521" s="407">
        <v>0</v>
      </c>
    </row>
    <row r="522" spans="1:165">
      <c r="A522" s="407">
        <v>541</v>
      </c>
      <c r="B522" s="407" t="s">
        <v>1090</v>
      </c>
      <c r="C522" s="407" t="s">
        <v>2314</v>
      </c>
      <c r="D522" s="407" t="s">
        <v>650</v>
      </c>
      <c r="E522" s="407" t="s">
        <v>1022</v>
      </c>
      <c r="F522" s="407" t="s">
        <v>97</v>
      </c>
      <c r="G522" s="407" t="s">
        <v>97</v>
      </c>
      <c r="H522" s="407" t="s">
        <v>97</v>
      </c>
      <c r="I522" s="407" t="s">
        <v>2290</v>
      </c>
      <c r="J522" s="407" t="s">
        <v>2307</v>
      </c>
      <c r="K522" s="818">
        <v>44621</v>
      </c>
      <c r="L522" s="407">
        <v>0</v>
      </c>
      <c r="M522" s="407">
        <v>0</v>
      </c>
      <c r="N522" s="407">
        <v>535.26300000000003</v>
      </c>
      <c r="O522" s="407">
        <v>535.26300000000003</v>
      </c>
      <c r="P522" s="407">
        <v>535.26300000000003</v>
      </c>
      <c r="Q522" s="407">
        <v>535.26300000000003</v>
      </c>
      <c r="R522" s="407"/>
      <c r="S522" s="407">
        <v>95.29</v>
      </c>
      <c r="T522" s="407">
        <v>159.41</v>
      </c>
      <c r="U522" s="407"/>
      <c r="V522" s="407">
        <v>136331.48610000001</v>
      </c>
      <c r="W522" s="407">
        <v>136331.48610000001</v>
      </c>
      <c r="X522" s="407">
        <v>148219.67733000001</v>
      </c>
      <c r="Y522" s="407">
        <v>0</v>
      </c>
      <c r="Z522" s="407">
        <v>28858.232568783256</v>
      </c>
      <c r="AA522" s="407">
        <v>0</v>
      </c>
      <c r="AB522" s="407">
        <v>0</v>
      </c>
      <c r="AC522" s="407">
        <v>0</v>
      </c>
      <c r="AD522" s="407">
        <v>0</v>
      </c>
      <c r="AE522" s="407">
        <v>0</v>
      </c>
      <c r="AF522" s="407">
        <v>82553.996120008858</v>
      </c>
      <c r="AG522" s="407">
        <v>2773.5975719128533</v>
      </c>
      <c r="AH522" s="407">
        <v>0</v>
      </c>
      <c r="AI522" s="407">
        <v>0</v>
      </c>
      <c r="AJ522" s="407">
        <v>0</v>
      </c>
      <c r="AK522" s="407">
        <v>0</v>
      </c>
      <c r="AL522" s="407">
        <v>5125.7081152042856</v>
      </c>
      <c r="AM522" s="407"/>
      <c r="AN522" s="407">
        <v>574.72975221876845</v>
      </c>
      <c r="AO522" s="407">
        <v>0</v>
      </c>
      <c r="AP522" s="407">
        <v>0</v>
      </c>
      <c r="AQ522" s="407">
        <v>0</v>
      </c>
      <c r="AR522" s="407">
        <v>0</v>
      </c>
      <c r="AS522" s="407">
        <v>0</v>
      </c>
      <c r="AT522" s="407">
        <v>0</v>
      </c>
      <c r="AU522" s="407">
        <v>0</v>
      </c>
      <c r="AV522" s="407">
        <v>0</v>
      </c>
      <c r="AW522" s="407">
        <v>0</v>
      </c>
      <c r="AX522" s="407">
        <v>0</v>
      </c>
      <c r="AY522" s="407">
        <v>0</v>
      </c>
      <c r="AZ522" s="407">
        <v>0</v>
      </c>
      <c r="BA522" s="407"/>
      <c r="BB522" s="407">
        <v>0</v>
      </c>
      <c r="BC522" s="407">
        <v>0</v>
      </c>
      <c r="BD522" s="407">
        <v>0</v>
      </c>
      <c r="BE522" s="407">
        <v>0</v>
      </c>
      <c r="BF522" s="407">
        <v>0</v>
      </c>
      <c r="BG522" s="407">
        <v>2777.9477189892104</v>
      </c>
      <c r="BH522" s="407">
        <v>0</v>
      </c>
      <c r="BI522" s="407">
        <v>0</v>
      </c>
      <c r="BJ522" s="407">
        <v>0</v>
      </c>
      <c r="BK522" s="407">
        <v>0</v>
      </c>
      <c r="BL522" s="407">
        <v>0</v>
      </c>
      <c r="BM522" s="407"/>
      <c r="BN522" s="407"/>
      <c r="BO522" s="407"/>
      <c r="BP522" s="407"/>
      <c r="BQ522" s="407"/>
      <c r="BR522" s="407"/>
      <c r="BS522" s="407"/>
      <c r="BT522" s="407"/>
      <c r="BU522" s="407"/>
      <c r="BV522" s="407">
        <v>85331.943838998064</v>
      </c>
      <c r="BW522" s="407"/>
      <c r="BX522" s="407"/>
      <c r="BY522" s="407"/>
      <c r="BZ522" s="407"/>
      <c r="CA522" s="407"/>
      <c r="CB522" s="407"/>
      <c r="CC522" s="407"/>
      <c r="CD522" s="407"/>
      <c r="CE522" s="407"/>
      <c r="CF522" s="407"/>
      <c r="CG522" s="407"/>
      <c r="CH522" s="407"/>
      <c r="CI522" s="407">
        <v>148218.84659999999</v>
      </c>
      <c r="CJ522" s="407">
        <v>11887.330499999953</v>
      </c>
      <c r="CK522" s="407"/>
      <c r="CL522" s="407"/>
      <c r="CM522" s="407"/>
      <c r="CN522" s="407"/>
      <c r="CO522" s="407">
        <v>-2815.4833800000029</v>
      </c>
      <c r="CP522" s="407">
        <v>14703.67461</v>
      </c>
      <c r="CQ522" s="407">
        <v>31</v>
      </c>
      <c r="CR522" s="407">
        <v>11886.499375839194</v>
      </c>
      <c r="CS522" s="407">
        <v>0</v>
      </c>
      <c r="CT522" s="407">
        <v>0</v>
      </c>
      <c r="CU522" s="407">
        <v>0</v>
      </c>
      <c r="CV522" s="407">
        <v>0</v>
      </c>
      <c r="CW522" s="407">
        <v>0</v>
      </c>
      <c r="CX522" s="407">
        <v>0</v>
      </c>
      <c r="CY522" s="407">
        <v>0</v>
      </c>
      <c r="CZ522" s="407">
        <v>0</v>
      </c>
      <c r="DA522" s="407">
        <v>0</v>
      </c>
      <c r="DB522" s="407">
        <v>0</v>
      </c>
      <c r="DC522" s="407">
        <v>16368.228072795086</v>
      </c>
      <c r="DD522" s="407">
        <v>0</v>
      </c>
      <c r="DE522" s="407">
        <v>0</v>
      </c>
      <c r="DF522" s="407">
        <v>0</v>
      </c>
      <c r="DG522" s="407">
        <v>550.79201463023628</v>
      </c>
      <c r="DH522" s="407">
        <v>0</v>
      </c>
      <c r="DI522" s="407">
        <v>-2021.2875390982445</v>
      </c>
      <c r="DJ522" s="407"/>
      <c r="DK522" s="407">
        <v>0</v>
      </c>
      <c r="DL522" s="407">
        <v>0</v>
      </c>
      <c r="DM522" s="407">
        <v>0</v>
      </c>
      <c r="DN522" s="407">
        <v>0</v>
      </c>
      <c r="DO522" s="407">
        <v>-312.7265097741647</v>
      </c>
      <c r="DP522" s="407">
        <v>-36.620392297107401</v>
      </c>
      <c r="DQ522" s="407">
        <v>0</v>
      </c>
      <c r="DR522" s="407">
        <v>-2661.8862704166054</v>
      </c>
      <c r="DS522" s="407"/>
      <c r="DT522" s="407"/>
      <c r="DU522" s="407"/>
      <c r="DV522" s="407">
        <v>0</v>
      </c>
      <c r="DW522" s="407">
        <v>0</v>
      </c>
      <c r="DX522" s="407">
        <v>0</v>
      </c>
      <c r="DY522" s="407">
        <v>-2815.4833800000051</v>
      </c>
      <c r="DZ522" s="407">
        <v>14703.674609999987</v>
      </c>
      <c r="EA522" s="407">
        <v>0</v>
      </c>
      <c r="EB522" s="407">
        <v>0</v>
      </c>
      <c r="EC522" s="407">
        <v>0</v>
      </c>
      <c r="ED522" s="407">
        <v>0</v>
      </c>
      <c r="EE522" s="407">
        <v>0</v>
      </c>
      <c r="EF522" s="407">
        <v>0</v>
      </c>
      <c r="EG522" s="407">
        <v>0</v>
      </c>
      <c r="EH522" s="407">
        <v>0</v>
      </c>
      <c r="EI522" s="407">
        <v>0</v>
      </c>
      <c r="EJ522" s="407">
        <v>0</v>
      </c>
      <c r="EK522" s="407">
        <v>0</v>
      </c>
      <c r="EL522" s="407">
        <v>0</v>
      </c>
      <c r="EM522" s="407">
        <v>0</v>
      </c>
      <c r="EN522" s="407">
        <v>0</v>
      </c>
      <c r="EO522" s="407">
        <v>0</v>
      </c>
      <c r="EP522" s="407">
        <v>13669.628794406703</v>
      </c>
      <c r="EQ522" s="407">
        <v>0</v>
      </c>
      <c r="ER522" s="407">
        <v>0</v>
      </c>
      <c r="ES522" s="407">
        <v>0</v>
      </c>
      <c r="ET522" s="407">
        <v>0</v>
      </c>
      <c r="EU522" s="407">
        <v>0</v>
      </c>
      <c r="EV522" s="407">
        <v>246</v>
      </c>
      <c r="EW522" s="407">
        <v>0</v>
      </c>
      <c r="EX522" s="407">
        <v>0</v>
      </c>
      <c r="EY522" s="407">
        <v>0</v>
      </c>
      <c r="EZ522" s="407"/>
      <c r="FA522" s="407">
        <v>0</v>
      </c>
      <c r="FB522" s="407"/>
      <c r="FC522" s="407"/>
      <c r="FD522" s="407"/>
      <c r="FE522" s="407"/>
      <c r="FF522" s="407">
        <v>0</v>
      </c>
      <c r="FG522" s="407">
        <v>0</v>
      </c>
      <c r="FH522" s="407">
        <v>0</v>
      </c>
      <c r="FI522" s="407">
        <v>0</v>
      </c>
    </row>
    <row r="523" spans="1:165">
      <c r="A523" s="407">
        <v>542</v>
      </c>
      <c r="B523" s="407" t="s">
        <v>1090</v>
      </c>
      <c r="C523" s="407" t="s">
        <v>2314</v>
      </c>
      <c r="D523" s="407" t="s">
        <v>650</v>
      </c>
      <c r="E523" s="407" t="s">
        <v>1022</v>
      </c>
      <c r="F523" s="407" t="s">
        <v>97</v>
      </c>
      <c r="G523" s="407" t="s">
        <v>97</v>
      </c>
      <c r="H523" s="407" t="s">
        <v>97</v>
      </c>
      <c r="I523" s="407" t="s">
        <v>97</v>
      </c>
      <c r="J523" s="407" t="s">
        <v>2307</v>
      </c>
      <c r="K523" s="818">
        <v>44621</v>
      </c>
      <c r="L523" s="407">
        <v>2310</v>
      </c>
      <c r="M523" s="407">
        <v>2310</v>
      </c>
      <c r="N523" s="407">
        <v>0</v>
      </c>
      <c r="O523" s="407">
        <v>0</v>
      </c>
      <c r="P523" s="407">
        <v>0</v>
      </c>
      <c r="Q523" s="407">
        <v>0</v>
      </c>
      <c r="R523" s="407">
        <v>43.29</v>
      </c>
      <c r="S523" s="407"/>
      <c r="T523" s="407"/>
      <c r="U523" s="407">
        <v>99999.9</v>
      </c>
      <c r="V523" s="407"/>
      <c r="W523" s="407">
        <v>99999.9</v>
      </c>
      <c r="X523" s="407">
        <v>77361.900000000009</v>
      </c>
      <c r="Y523" s="407">
        <v>0</v>
      </c>
      <c r="Z523" s="407">
        <v>0</v>
      </c>
      <c r="AA523" s="407">
        <v>0</v>
      </c>
      <c r="AB523" s="407">
        <v>0</v>
      </c>
      <c r="AC523" s="407">
        <v>0</v>
      </c>
      <c r="AD523" s="407">
        <v>54663.81033599178</v>
      </c>
      <c r="AE523" s="407">
        <v>45343.422211098397</v>
      </c>
      <c r="AF523" s="407"/>
      <c r="AG523" s="407"/>
      <c r="AH523" s="407"/>
      <c r="AI523" s="407">
        <v>0</v>
      </c>
      <c r="AJ523" s="407">
        <v>0</v>
      </c>
      <c r="AK523" s="407">
        <v>0</v>
      </c>
      <c r="AL523" s="407">
        <v>0</v>
      </c>
      <c r="AM523" s="407"/>
      <c r="AN523" s="407">
        <v>0</v>
      </c>
      <c r="AO523" s="407">
        <v>0</v>
      </c>
      <c r="AP523" s="407">
        <v>0</v>
      </c>
      <c r="AQ523" s="407">
        <v>0</v>
      </c>
      <c r="AR523" s="407">
        <v>0</v>
      </c>
      <c r="AS523" s="407"/>
      <c r="AT523" s="407"/>
      <c r="AU523" s="407">
        <v>0</v>
      </c>
      <c r="AV523" s="407">
        <v>0</v>
      </c>
      <c r="AW523" s="407">
        <v>0</v>
      </c>
      <c r="AX523" s="407"/>
      <c r="AY523" s="407"/>
      <c r="AZ523" s="407">
        <v>0</v>
      </c>
      <c r="BA523" s="407"/>
      <c r="BB523" s="407">
        <v>0</v>
      </c>
      <c r="BC523" s="407">
        <v>0</v>
      </c>
      <c r="BD523" s="407">
        <v>0</v>
      </c>
      <c r="BE523" s="407">
        <v>0</v>
      </c>
      <c r="BF523" s="407"/>
      <c r="BG523" s="407">
        <v>0</v>
      </c>
      <c r="BH523" s="407">
        <v>0</v>
      </c>
      <c r="BI523" s="407">
        <v>558.55999999999995</v>
      </c>
      <c r="BJ523" s="407">
        <v>2408.9499999999998</v>
      </c>
      <c r="BK523" s="407">
        <v>69943.83</v>
      </c>
      <c r="BL523" s="407">
        <v>13</v>
      </c>
      <c r="BM523" s="407"/>
      <c r="BN523" s="407"/>
      <c r="BO523" s="407"/>
      <c r="BP523" s="407"/>
      <c r="BQ523" s="407"/>
      <c r="BR523" s="407"/>
      <c r="BS523" s="407"/>
      <c r="BT523" s="407"/>
      <c r="BU523" s="407"/>
      <c r="BV523" s="407">
        <v>0</v>
      </c>
      <c r="BW523" s="407"/>
      <c r="BX523" s="407"/>
      <c r="BY523" s="407"/>
      <c r="BZ523" s="407"/>
      <c r="CA523" s="407"/>
      <c r="CB523" s="407"/>
      <c r="CC523" s="407"/>
      <c r="CD523" s="407"/>
      <c r="CE523" s="407"/>
      <c r="CF523" s="407"/>
      <c r="CG523" s="407"/>
      <c r="CH523" s="407"/>
      <c r="CI523" s="407">
        <v>77361.900000000009</v>
      </c>
      <c r="CJ523" s="407">
        <v>-22638.02999999997</v>
      </c>
      <c r="CK523" s="407"/>
      <c r="CL523" s="407"/>
      <c r="CM523" s="407"/>
      <c r="CN523" s="407"/>
      <c r="CO523" s="407">
        <v>-22637.999999999993</v>
      </c>
      <c r="CP523" s="407">
        <v>0</v>
      </c>
      <c r="CQ523" s="407">
        <v>31</v>
      </c>
      <c r="CR523" s="407">
        <v>516.65493544586934</v>
      </c>
      <c r="CS523" s="407">
        <v>0</v>
      </c>
      <c r="CT523" s="407">
        <v>0</v>
      </c>
      <c r="CU523" s="407">
        <v>0</v>
      </c>
      <c r="CV523" s="407">
        <v>0</v>
      </c>
      <c r="CW523" s="407"/>
      <c r="CX523" s="407"/>
      <c r="CY523" s="407"/>
      <c r="CZ523" s="407">
        <v>2469.2727008283182</v>
      </c>
      <c r="DA523" s="407">
        <v>0</v>
      </c>
      <c r="DB523" s="407">
        <v>0</v>
      </c>
      <c r="DC523" s="407"/>
      <c r="DD523" s="407"/>
      <c r="DE523" s="407">
        <v>0</v>
      </c>
      <c r="DF523" s="407">
        <v>0</v>
      </c>
      <c r="DG523" s="407">
        <v>0</v>
      </c>
      <c r="DH523" s="407">
        <v>0</v>
      </c>
      <c r="DI523" s="407">
        <v>0</v>
      </c>
      <c r="DJ523" s="407"/>
      <c r="DK523" s="407">
        <v>0</v>
      </c>
      <c r="DL523" s="407">
        <v>0</v>
      </c>
      <c r="DM523" s="407"/>
      <c r="DN523" s="407">
        <v>0</v>
      </c>
      <c r="DO523" s="407">
        <v>0</v>
      </c>
      <c r="DP523" s="407">
        <v>0</v>
      </c>
      <c r="DQ523" s="407">
        <v>0</v>
      </c>
      <c r="DR523" s="407">
        <v>-1952.6177653824486</v>
      </c>
      <c r="DS523" s="407"/>
      <c r="DT523" s="407"/>
      <c r="DU523" s="407">
        <v>45343.422211098397</v>
      </c>
      <c r="DV523" s="407"/>
      <c r="DW523" s="407">
        <v>0</v>
      </c>
      <c r="DX523" s="407">
        <v>0</v>
      </c>
      <c r="DY523" s="407">
        <v>-22637.999999999985</v>
      </c>
      <c r="DZ523" s="407"/>
      <c r="EA523" s="407">
        <v>0</v>
      </c>
      <c r="EB523" s="407"/>
      <c r="EC523" s="407">
        <v>-23161.525381120529</v>
      </c>
      <c r="ED523" s="407"/>
      <c r="EE523" s="407">
        <v>0</v>
      </c>
      <c r="EF523" s="407">
        <v>0</v>
      </c>
      <c r="EG523" s="407"/>
      <c r="EH523" s="407">
        <v>0</v>
      </c>
      <c r="EI523" s="407">
        <v>0</v>
      </c>
      <c r="EJ523" s="407">
        <v>0</v>
      </c>
      <c r="EK523" s="407">
        <v>0</v>
      </c>
      <c r="EL523" s="407">
        <v>0</v>
      </c>
      <c r="EM523" s="407"/>
      <c r="EN523" s="407"/>
      <c r="EO523" s="407">
        <v>0</v>
      </c>
      <c r="EP523" s="407">
        <v>0</v>
      </c>
      <c r="EQ523" s="407"/>
      <c r="ER523" s="407">
        <v>0</v>
      </c>
      <c r="ES523" s="407"/>
      <c r="ET523" s="407">
        <v>0</v>
      </c>
      <c r="EU523" s="407"/>
      <c r="EV523" s="407">
        <v>246</v>
      </c>
      <c r="EW523" s="407"/>
      <c r="EX523" s="407"/>
      <c r="EY523" s="407"/>
      <c r="EZ523" s="407"/>
      <c r="FA523" s="407">
        <v>0</v>
      </c>
      <c r="FB523" s="407"/>
      <c r="FC523" s="407"/>
      <c r="FD523" s="407"/>
      <c r="FE523" s="407"/>
      <c r="FF523" s="407">
        <v>0</v>
      </c>
      <c r="FG523" s="407">
        <v>0</v>
      </c>
      <c r="FH523" s="407">
        <v>0</v>
      </c>
      <c r="FI523" s="407">
        <v>0</v>
      </c>
    </row>
    <row r="524" spans="1:165">
      <c r="A524" s="407">
        <v>543</v>
      </c>
      <c r="B524" s="407" t="s">
        <v>1090</v>
      </c>
      <c r="C524" s="407" t="s">
        <v>2306</v>
      </c>
      <c r="D524" s="407" t="s">
        <v>1219</v>
      </c>
      <c r="E524" s="407" t="s">
        <v>1049</v>
      </c>
      <c r="F524" s="407" t="s">
        <v>97</v>
      </c>
      <c r="G524" s="407" t="s">
        <v>97</v>
      </c>
      <c r="H524" s="407" t="s">
        <v>97</v>
      </c>
      <c r="I524" s="407" t="s">
        <v>97</v>
      </c>
      <c r="J524" s="407" t="s">
        <v>2307</v>
      </c>
      <c r="K524" s="818">
        <v>44621</v>
      </c>
      <c r="L524" s="407">
        <v>0</v>
      </c>
      <c r="M524" s="407">
        <v>0</v>
      </c>
      <c r="N524" s="407">
        <v>772.71100000000001</v>
      </c>
      <c r="O524" s="407">
        <v>772.71100000000001</v>
      </c>
      <c r="P524" s="407">
        <v>772.71100000000001</v>
      </c>
      <c r="Q524" s="407">
        <v>772.71100000000001</v>
      </c>
      <c r="R524" s="407"/>
      <c r="S524" s="407">
        <v>648.44000000000005</v>
      </c>
      <c r="T524" s="407">
        <v>159.41</v>
      </c>
      <c r="U524" s="407"/>
      <c r="V524" s="407">
        <v>624234.58134999999</v>
      </c>
      <c r="W524" s="407">
        <v>624234.58134999999</v>
      </c>
      <c r="X524" s="407">
        <v>472760.04402000003</v>
      </c>
      <c r="Y524" s="407">
        <v>0</v>
      </c>
      <c r="Z524" s="407">
        <v>47885.094334563109</v>
      </c>
      <c r="AA524" s="407">
        <v>0</v>
      </c>
      <c r="AB524" s="407">
        <v>0</v>
      </c>
      <c r="AC524" s="407">
        <v>0</v>
      </c>
      <c r="AD524" s="407">
        <v>90132.431222635831</v>
      </c>
      <c r="AE524" s="407">
        <v>322642.38008707308</v>
      </c>
      <c r="AF524" s="407">
        <v>119175.77134210317</v>
      </c>
      <c r="AG524" s="407">
        <v>4003.9930901077651</v>
      </c>
      <c r="AH524" s="407">
        <v>0</v>
      </c>
      <c r="AI524" s="407">
        <v>0</v>
      </c>
      <c r="AJ524" s="407">
        <v>0</v>
      </c>
      <c r="AK524" s="407">
        <v>0</v>
      </c>
      <c r="AL524" s="407">
        <v>7399.5233061273029</v>
      </c>
      <c r="AM524" s="407"/>
      <c r="AN524" s="407">
        <v>1603.449227449674</v>
      </c>
      <c r="AO524" s="407">
        <v>0</v>
      </c>
      <c r="AP524" s="407">
        <v>0</v>
      </c>
      <c r="AQ524" s="407">
        <v>0</v>
      </c>
      <c r="AR524" s="407">
        <v>0</v>
      </c>
      <c r="AS524" s="407">
        <v>0</v>
      </c>
      <c r="AT524" s="407">
        <v>0</v>
      </c>
      <c r="AU524" s="407">
        <v>0</v>
      </c>
      <c r="AV524" s="407">
        <v>0</v>
      </c>
      <c r="AW524" s="407">
        <v>0</v>
      </c>
      <c r="AX524" s="407">
        <v>0</v>
      </c>
      <c r="AY524" s="407">
        <v>0</v>
      </c>
      <c r="AZ524" s="407">
        <v>0</v>
      </c>
      <c r="BA524" s="407"/>
      <c r="BB524" s="407">
        <v>0</v>
      </c>
      <c r="BC524" s="407">
        <v>0</v>
      </c>
      <c r="BD524" s="407">
        <v>0</v>
      </c>
      <c r="BE524" s="407">
        <v>0</v>
      </c>
      <c r="BF524" s="407">
        <v>0</v>
      </c>
      <c r="BG524" s="407">
        <v>8711.3683286237811</v>
      </c>
      <c r="BH524" s="407">
        <v>0</v>
      </c>
      <c r="BI524" s="407">
        <v>932.59</v>
      </c>
      <c r="BJ524" s="407">
        <v>4053.33</v>
      </c>
      <c r="BK524" s="407">
        <v>195809.15</v>
      </c>
      <c r="BL524" s="407">
        <v>1544</v>
      </c>
      <c r="BM524" s="407"/>
      <c r="BN524" s="407"/>
      <c r="BO524" s="407"/>
      <c r="BP524" s="407"/>
      <c r="BQ524" s="407"/>
      <c r="BR524" s="407"/>
      <c r="BS524" s="407"/>
      <c r="BT524" s="407"/>
      <c r="BU524" s="407"/>
      <c r="BV524" s="407">
        <v>127887.13967072695</v>
      </c>
      <c r="BW524" s="407"/>
      <c r="BX524" s="407"/>
      <c r="BY524" s="407"/>
      <c r="BZ524" s="407"/>
      <c r="CA524" s="407"/>
      <c r="CB524" s="407"/>
      <c r="CC524" s="407"/>
      <c r="CD524" s="407"/>
      <c r="CE524" s="407"/>
      <c r="CF524" s="407"/>
      <c r="CG524" s="407"/>
      <c r="CH524" s="407"/>
      <c r="CI524" s="407">
        <v>472759.43220000004</v>
      </c>
      <c r="CJ524" s="407">
        <v>-151475.17914999998</v>
      </c>
      <c r="CK524" s="407"/>
      <c r="CL524" s="407"/>
      <c r="CM524" s="407"/>
      <c r="CN524" s="407"/>
      <c r="CO524" s="407">
        <v>-172700.90850000005</v>
      </c>
      <c r="CP524" s="407">
        <v>21226.371169999999</v>
      </c>
      <c r="CQ524" s="407">
        <v>31</v>
      </c>
      <c r="CR524" s="407">
        <v>13332.369514897524</v>
      </c>
      <c r="CS524" s="407">
        <v>0</v>
      </c>
      <c r="CT524" s="407">
        <v>0</v>
      </c>
      <c r="CU524" s="407">
        <v>0</v>
      </c>
      <c r="CV524" s="407">
        <v>0</v>
      </c>
      <c r="CW524" s="407">
        <v>0</v>
      </c>
      <c r="CX524" s="407">
        <v>0</v>
      </c>
      <c r="CY524" s="407">
        <v>0</v>
      </c>
      <c r="CZ524" s="407">
        <v>4071.4606338155136</v>
      </c>
      <c r="DA524" s="407">
        <v>0</v>
      </c>
      <c r="DB524" s="407">
        <v>0</v>
      </c>
      <c r="DC524" s="407">
        <v>23629.337134002475</v>
      </c>
      <c r="DD524" s="407">
        <v>0</v>
      </c>
      <c r="DE524" s="407">
        <v>0</v>
      </c>
      <c r="DF524" s="407">
        <v>0</v>
      </c>
      <c r="DG524" s="407">
        <v>1727.2290904216861</v>
      </c>
      <c r="DH524" s="407">
        <v>0</v>
      </c>
      <c r="DI524" s="407">
        <v>-3353.9664723506139</v>
      </c>
      <c r="DJ524" s="407"/>
      <c r="DK524" s="407">
        <v>0</v>
      </c>
      <c r="DL524" s="407">
        <v>0</v>
      </c>
      <c r="DM524" s="407">
        <v>0</v>
      </c>
      <c r="DN524" s="407">
        <v>0</v>
      </c>
      <c r="DO524" s="407">
        <v>-451.45510542313605</v>
      </c>
      <c r="DP524" s="407">
        <v>-102.16791372121929</v>
      </c>
      <c r="DQ524" s="407">
        <v>0</v>
      </c>
      <c r="DR524" s="407">
        <v>-12188.067851847294</v>
      </c>
      <c r="DS524" s="407"/>
      <c r="DT524" s="407"/>
      <c r="DU524" s="407"/>
      <c r="DV524" s="407">
        <v>322642.38008707308</v>
      </c>
      <c r="DW524" s="407">
        <v>0</v>
      </c>
      <c r="DX524" s="407">
        <v>0</v>
      </c>
      <c r="DY524" s="407">
        <v>-172700.90850000002</v>
      </c>
      <c r="DZ524" s="407">
        <v>21226.371169999999</v>
      </c>
      <c r="EA524" s="407">
        <v>0</v>
      </c>
      <c r="EB524" s="407">
        <v>0</v>
      </c>
      <c r="EC524" s="407">
        <v>-164806.47712520428</v>
      </c>
      <c r="ED524" s="407">
        <v>0</v>
      </c>
      <c r="EE524" s="407">
        <v>0</v>
      </c>
      <c r="EF524" s="407">
        <v>0</v>
      </c>
      <c r="EG524" s="407">
        <v>0</v>
      </c>
      <c r="EH524" s="407">
        <v>0</v>
      </c>
      <c r="EI524" s="407">
        <v>0</v>
      </c>
      <c r="EJ524" s="407">
        <v>0</v>
      </c>
      <c r="EK524" s="407">
        <v>0</v>
      </c>
      <c r="EL524" s="407">
        <v>0</v>
      </c>
      <c r="EM524" s="407">
        <v>0</v>
      </c>
      <c r="EN524" s="407">
        <v>0</v>
      </c>
      <c r="EO524" s="407">
        <v>0</v>
      </c>
      <c r="EP524" s="407">
        <v>22682.313020330046</v>
      </c>
      <c r="EQ524" s="407">
        <v>0</v>
      </c>
      <c r="ER524" s="407">
        <v>0</v>
      </c>
      <c r="ES524" s="407">
        <v>0</v>
      </c>
      <c r="ET524" s="407">
        <v>0</v>
      </c>
      <c r="EU524" s="407">
        <v>0</v>
      </c>
      <c r="EV524" s="407">
        <v>246</v>
      </c>
      <c r="EW524" s="407">
        <v>0</v>
      </c>
      <c r="EX524" s="407">
        <v>0</v>
      </c>
      <c r="EY524" s="407">
        <v>0</v>
      </c>
      <c r="EZ524" s="407"/>
      <c r="FA524" s="407">
        <v>0</v>
      </c>
      <c r="FB524" s="407"/>
      <c r="FC524" s="407"/>
      <c r="FD524" s="407"/>
      <c r="FE524" s="407"/>
      <c r="FF524" s="407">
        <v>0</v>
      </c>
      <c r="FG524" s="407">
        <v>0</v>
      </c>
      <c r="FH524" s="407">
        <v>0</v>
      </c>
      <c r="FI524" s="407">
        <v>0</v>
      </c>
    </row>
    <row r="525" spans="1:165">
      <c r="A525" s="407">
        <v>544</v>
      </c>
      <c r="B525" s="407" t="s">
        <v>2309</v>
      </c>
      <c r="C525" s="407" t="s">
        <v>2306</v>
      </c>
      <c r="D525" s="407" t="s">
        <v>1219</v>
      </c>
      <c r="E525" s="407" t="s">
        <v>1049</v>
      </c>
      <c r="F525" s="407" t="s">
        <v>97</v>
      </c>
      <c r="G525" s="407" t="s">
        <v>97</v>
      </c>
      <c r="H525" s="407" t="s">
        <v>97</v>
      </c>
      <c r="I525" s="407" t="s">
        <v>97</v>
      </c>
      <c r="J525" s="407" t="s">
        <v>2307</v>
      </c>
      <c r="K525" s="818">
        <v>44621</v>
      </c>
      <c r="L525" s="407">
        <v>0</v>
      </c>
      <c r="M525" s="407">
        <v>0</v>
      </c>
      <c r="N525" s="407">
        <v>65.962999999999994</v>
      </c>
      <c r="O525" s="407">
        <v>65.962999999999994</v>
      </c>
      <c r="P525" s="407">
        <v>65.962999999999994</v>
      </c>
      <c r="Q525" s="407">
        <v>65.962999999999994</v>
      </c>
      <c r="R525" s="407"/>
      <c r="S525" s="407">
        <v>648.44000000000005</v>
      </c>
      <c r="T525" s="407">
        <v>159.41</v>
      </c>
      <c r="U525" s="407"/>
      <c r="V525" s="407">
        <v>53288.20955</v>
      </c>
      <c r="W525" s="407">
        <v>53288.20955</v>
      </c>
      <c r="X525" s="407">
        <v>40357.482659999994</v>
      </c>
      <c r="Y525" s="407">
        <v>0</v>
      </c>
      <c r="Z525" s="407">
        <v>4087.7436423071317</v>
      </c>
      <c r="AA525" s="407">
        <v>0</v>
      </c>
      <c r="AB525" s="407">
        <v>0</v>
      </c>
      <c r="AC525" s="407">
        <v>0</v>
      </c>
      <c r="AD525" s="407">
        <v>7694.2162862166142</v>
      </c>
      <c r="AE525" s="407">
        <v>27542.586190287959</v>
      </c>
      <c r="AF525" s="407">
        <v>10173.520766546808</v>
      </c>
      <c r="AG525" s="407">
        <v>341.80359306749676</v>
      </c>
      <c r="AH525" s="407">
        <v>0</v>
      </c>
      <c r="AI525" s="407">
        <v>0</v>
      </c>
      <c r="AJ525" s="407">
        <v>0</v>
      </c>
      <c r="AK525" s="407">
        <v>0</v>
      </c>
      <c r="AL525" s="407">
        <v>631.66533910100316</v>
      </c>
      <c r="AM525" s="407"/>
      <c r="AN525" s="407">
        <v>136.87953373287402</v>
      </c>
      <c r="AO525" s="407">
        <v>0</v>
      </c>
      <c r="AP525" s="407">
        <v>0</v>
      </c>
      <c r="AQ525" s="407">
        <v>0</v>
      </c>
      <c r="AR525" s="407">
        <v>0</v>
      </c>
      <c r="AS525" s="407">
        <v>0</v>
      </c>
      <c r="AT525" s="407">
        <v>0</v>
      </c>
      <c r="AU525" s="407">
        <v>0</v>
      </c>
      <c r="AV525" s="407">
        <v>0</v>
      </c>
      <c r="AW525" s="407">
        <v>0</v>
      </c>
      <c r="AX525" s="407">
        <v>0</v>
      </c>
      <c r="AY525" s="407">
        <v>0</v>
      </c>
      <c r="AZ525" s="407">
        <v>0</v>
      </c>
      <c r="BA525" s="407"/>
      <c r="BB525" s="407">
        <v>0</v>
      </c>
      <c r="BC525" s="407">
        <v>0</v>
      </c>
      <c r="BD525" s="407">
        <v>0</v>
      </c>
      <c r="BE525" s="407">
        <v>0</v>
      </c>
      <c r="BF525" s="407">
        <v>0</v>
      </c>
      <c r="BG525" s="407">
        <v>743.65188157151943</v>
      </c>
      <c r="BH525" s="407">
        <v>0</v>
      </c>
      <c r="BI525" s="407">
        <v>80.040000000000006</v>
      </c>
      <c r="BJ525" s="407">
        <v>346.5</v>
      </c>
      <c r="BK525" s="407">
        <v>34238.93</v>
      </c>
      <c r="BL525" s="407">
        <v>130</v>
      </c>
      <c r="BM525" s="407"/>
      <c r="BN525" s="407"/>
      <c r="BO525" s="407"/>
      <c r="BP525" s="407"/>
      <c r="BQ525" s="407"/>
      <c r="BR525" s="407"/>
      <c r="BS525" s="407"/>
      <c r="BT525" s="407"/>
      <c r="BU525" s="407"/>
      <c r="BV525" s="407">
        <v>10917.172648118327</v>
      </c>
      <c r="BW525" s="407"/>
      <c r="BX525" s="407"/>
      <c r="BY525" s="407"/>
      <c r="BZ525" s="407"/>
      <c r="CA525" s="407"/>
      <c r="CB525" s="407"/>
      <c r="CC525" s="407"/>
      <c r="CD525" s="407"/>
      <c r="CE525" s="407"/>
      <c r="CF525" s="407"/>
      <c r="CG525" s="407"/>
      <c r="CH525" s="407"/>
      <c r="CI525" s="407">
        <v>40355.647199999999</v>
      </c>
      <c r="CJ525" s="407">
        <v>-12932.592350000006</v>
      </c>
      <c r="CK525" s="407"/>
      <c r="CL525" s="407"/>
      <c r="CM525" s="407"/>
      <c r="CN525" s="407"/>
      <c r="CO525" s="407">
        <v>-14742.730500000001</v>
      </c>
      <c r="CP525" s="407">
        <v>1812.0036099999998</v>
      </c>
      <c r="CQ525" s="407">
        <v>31</v>
      </c>
      <c r="CR525" s="407">
        <v>1138.1267903668704</v>
      </c>
      <c r="CS525" s="407">
        <v>0</v>
      </c>
      <c r="CT525" s="407">
        <v>0</v>
      </c>
      <c r="CU525" s="407">
        <v>0</v>
      </c>
      <c r="CV525" s="407">
        <v>0</v>
      </c>
      <c r="CW525" s="407">
        <v>0</v>
      </c>
      <c r="CX525" s="407">
        <v>0</v>
      </c>
      <c r="CY525" s="407">
        <v>0</v>
      </c>
      <c r="CZ525" s="407">
        <v>347.56300581766391</v>
      </c>
      <c r="DA525" s="407">
        <v>0</v>
      </c>
      <c r="DB525" s="407">
        <v>0</v>
      </c>
      <c r="DC525" s="407">
        <v>2017.1344336630427</v>
      </c>
      <c r="DD525" s="407">
        <v>0</v>
      </c>
      <c r="DE525" s="407">
        <v>0</v>
      </c>
      <c r="DF525" s="407">
        <v>0</v>
      </c>
      <c r="DG525" s="407">
        <v>147.44608591243787</v>
      </c>
      <c r="DH525" s="407">
        <v>0</v>
      </c>
      <c r="DI525" s="407">
        <v>-286.31362878962955</v>
      </c>
      <c r="DJ525" s="407"/>
      <c r="DK525" s="407">
        <v>0</v>
      </c>
      <c r="DL525" s="407">
        <v>0</v>
      </c>
      <c r="DM525" s="407">
        <v>0</v>
      </c>
      <c r="DN525" s="407">
        <v>0</v>
      </c>
      <c r="DO525" s="407">
        <v>-38.538772088175733</v>
      </c>
      <c r="DP525" s="407">
        <v>-8.7216334344829818</v>
      </c>
      <c r="DQ525" s="407">
        <v>0</v>
      </c>
      <c r="DR525" s="407">
        <v>-1040.4427007139836</v>
      </c>
      <c r="DS525" s="407"/>
      <c r="DT525" s="407"/>
      <c r="DU525" s="407"/>
      <c r="DV525" s="407">
        <v>27542.586190287959</v>
      </c>
      <c r="DW525" s="407">
        <v>0</v>
      </c>
      <c r="DX525" s="407">
        <v>0</v>
      </c>
      <c r="DY525" s="407">
        <v>-14742.730500000005</v>
      </c>
      <c r="DZ525" s="407">
        <v>1812.0036099999998</v>
      </c>
      <c r="EA525" s="407">
        <v>0</v>
      </c>
      <c r="EB525" s="407">
        <v>0</v>
      </c>
      <c r="EC525" s="407">
        <v>-14068.816997053036</v>
      </c>
      <c r="ED525" s="407">
        <v>0</v>
      </c>
      <c r="EE525" s="407">
        <v>0</v>
      </c>
      <c r="EF525" s="407">
        <v>0</v>
      </c>
      <c r="EG525" s="407">
        <v>0</v>
      </c>
      <c r="EH525" s="407">
        <v>0</v>
      </c>
      <c r="EI525" s="407">
        <v>0</v>
      </c>
      <c r="EJ525" s="407">
        <v>0</v>
      </c>
      <c r="EK525" s="407">
        <v>0</v>
      </c>
      <c r="EL525" s="407">
        <v>0</v>
      </c>
      <c r="EM525" s="407">
        <v>0</v>
      </c>
      <c r="EN525" s="407">
        <v>0</v>
      </c>
      <c r="EO525" s="407">
        <v>0</v>
      </c>
      <c r="EP525" s="407">
        <v>1936.2910761721146</v>
      </c>
      <c r="EQ525" s="407">
        <v>0</v>
      </c>
      <c r="ER525" s="407">
        <v>0</v>
      </c>
      <c r="ES525" s="407">
        <v>0</v>
      </c>
      <c r="ET525" s="407">
        <v>0</v>
      </c>
      <c r="EU525" s="407">
        <v>0</v>
      </c>
      <c r="EV525" s="407">
        <v>246</v>
      </c>
      <c r="EW525" s="407">
        <v>0</v>
      </c>
      <c r="EX525" s="407">
        <v>0</v>
      </c>
      <c r="EY525" s="407">
        <v>0</v>
      </c>
      <c r="EZ525" s="407"/>
      <c r="FA525" s="407">
        <v>0</v>
      </c>
      <c r="FB525" s="407"/>
      <c r="FC525" s="407"/>
      <c r="FD525" s="407"/>
      <c r="FE525" s="407"/>
      <c r="FF525" s="407">
        <v>0</v>
      </c>
      <c r="FG525" s="407">
        <v>0</v>
      </c>
      <c r="FH525" s="407">
        <v>0</v>
      </c>
      <c r="FI525" s="407">
        <v>0</v>
      </c>
    </row>
    <row r="526" spans="1:165">
      <c r="A526" s="407">
        <v>545</v>
      </c>
      <c r="B526" s="407" t="s">
        <v>1090</v>
      </c>
      <c r="C526" s="407" t="s">
        <v>2314</v>
      </c>
      <c r="D526" s="407" t="s">
        <v>650</v>
      </c>
      <c r="E526" s="407" t="s">
        <v>1049</v>
      </c>
      <c r="F526" s="407" t="s">
        <v>97</v>
      </c>
      <c r="G526" s="407" t="s">
        <v>97</v>
      </c>
      <c r="H526" s="407" t="s">
        <v>97</v>
      </c>
      <c r="I526" s="407" t="s">
        <v>1025</v>
      </c>
      <c r="J526" s="407" t="s">
        <v>2307</v>
      </c>
      <c r="K526" s="818">
        <v>44621</v>
      </c>
      <c r="L526" s="407">
        <v>0</v>
      </c>
      <c r="M526" s="407">
        <v>0</v>
      </c>
      <c r="N526" s="407">
        <v>11.506</v>
      </c>
      <c r="O526" s="407">
        <v>11.506</v>
      </c>
      <c r="P526" s="407">
        <v>11.506</v>
      </c>
      <c r="Q526" s="407">
        <v>11.506</v>
      </c>
      <c r="R526" s="407"/>
      <c r="S526" s="407">
        <v>2810.7</v>
      </c>
      <c r="T526" s="407">
        <v>159.41</v>
      </c>
      <c r="U526" s="407"/>
      <c r="V526" s="407">
        <v>34174.085659999997</v>
      </c>
      <c r="W526" s="407">
        <v>34174.085659999997</v>
      </c>
      <c r="X526" s="407">
        <v>21765.78514</v>
      </c>
      <c r="Y526" s="407">
        <v>0</v>
      </c>
      <c r="Z526" s="407">
        <v>620.33584226150538</v>
      </c>
      <c r="AA526" s="407">
        <v>0</v>
      </c>
      <c r="AB526" s="407">
        <v>0</v>
      </c>
      <c r="AC526" s="407">
        <v>0</v>
      </c>
      <c r="AD526" s="407">
        <v>7024.592417507175</v>
      </c>
      <c r="AE526" s="407">
        <v>24218.85173047024</v>
      </c>
      <c r="AF526" s="407">
        <v>1774.578626501032</v>
      </c>
      <c r="AG526" s="407">
        <v>59.621183721701833</v>
      </c>
      <c r="AH526" s="407">
        <v>0</v>
      </c>
      <c r="AI526" s="407">
        <v>0</v>
      </c>
      <c r="AJ526" s="407">
        <v>0</v>
      </c>
      <c r="AK526" s="407">
        <v>0</v>
      </c>
      <c r="AL526" s="407">
        <v>110.18209286563896</v>
      </c>
      <c r="AM526" s="407"/>
      <c r="AN526" s="407">
        <v>12.354376314128102</v>
      </c>
      <c r="AO526" s="407">
        <v>0</v>
      </c>
      <c r="AP526" s="407">
        <v>0</v>
      </c>
      <c r="AQ526" s="407">
        <v>0</v>
      </c>
      <c r="AR526" s="407">
        <v>0</v>
      </c>
      <c r="AS526" s="407">
        <v>0</v>
      </c>
      <c r="AT526" s="407">
        <v>0</v>
      </c>
      <c r="AU526" s="407">
        <v>0</v>
      </c>
      <c r="AV526" s="407">
        <v>0</v>
      </c>
      <c r="AW526" s="407">
        <v>0</v>
      </c>
      <c r="AX526" s="407">
        <v>0</v>
      </c>
      <c r="AY526" s="407">
        <v>0</v>
      </c>
      <c r="AZ526" s="407">
        <v>0</v>
      </c>
      <c r="BA526" s="407"/>
      <c r="BB526" s="407">
        <v>0</v>
      </c>
      <c r="BC526" s="407">
        <v>0</v>
      </c>
      <c r="BD526" s="407">
        <v>0</v>
      </c>
      <c r="BE526" s="407">
        <v>0</v>
      </c>
      <c r="BF526" s="407">
        <v>0</v>
      </c>
      <c r="BG526" s="407">
        <v>59.714694373961692</v>
      </c>
      <c r="BH526" s="407">
        <v>0</v>
      </c>
      <c r="BI526" s="407">
        <v>0</v>
      </c>
      <c r="BJ526" s="407">
        <v>0</v>
      </c>
      <c r="BK526" s="407">
        <v>0</v>
      </c>
      <c r="BL526" s="407">
        <v>0</v>
      </c>
      <c r="BM526" s="407"/>
      <c r="BN526" s="407"/>
      <c r="BO526" s="407"/>
      <c r="BP526" s="407"/>
      <c r="BQ526" s="407"/>
      <c r="BR526" s="407"/>
      <c r="BS526" s="407"/>
      <c r="BT526" s="407"/>
      <c r="BU526" s="407"/>
      <c r="BV526" s="407">
        <v>1834.2933208749937</v>
      </c>
      <c r="BW526" s="407"/>
      <c r="BX526" s="407"/>
      <c r="BY526" s="407"/>
      <c r="BZ526" s="407"/>
      <c r="CA526" s="407"/>
      <c r="CB526" s="407"/>
      <c r="CC526" s="407"/>
      <c r="CD526" s="407"/>
      <c r="CE526" s="407"/>
      <c r="CF526" s="407"/>
      <c r="CG526" s="407"/>
      <c r="CH526" s="407"/>
      <c r="CI526" s="407">
        <v>21773.351899999998</v>
      </c>
      <c r="CJ526" s="407">
        <v>-12400.763759999998</v>
      </c>
      <c r="CK526" s="407"/>
      <c r="CL526" s="407"/>
      <c r="CM526" s="407"/>
      <c r="CN526" s="407"/>
      <c r="CO526" s="407">
        <v>-12724.370339999999</v>
      </c>
      <c r="CP526" s="407">
        <v>316.06981999999999</v>
      </c>
      <c r="CQ526" s="407">
        <v>31</v>
      </c>
      <c r="CR526" s="407">
        <v>-37.194261023794752</v>
      </c>
      <c r="CS526" s="407">
        <v>0</v>
      </c>
      <c r="CT526" s="407">
        <v>0</v>
      </c>
      <c r="CU526" s="407">
        <v>0</v>
      </c>
      <c r="CV526" s="407">
        <v>0</v>
      </c>
      <c r="CW526" s="407">
        <v>0</v>
      </c>
      <c r="CX526" s="407">
        <v>0</v>
      </c>
      <c r="CY526" s="407">
        <v>0</v>
      </c>
      <c r="CZ526" s="407">
        <v>317.31476793112961</v>
      </c>
      <c r="DA526" s="407">
        <v>0</v>
      </c>
      <c r="DB526" s="407">
        <v>0</v>
      </c>
      <c r="DC526" s="407">
        <v>351.85101941583889</v>
      </c>
      <c r="DD526" s="407">
        <v>0</v>
      </c>
      <c r="DE526" s="407">
        <v>0</v>
      </c>
      <c r="DF526" s="407">
        <v>0</v>
      </c>
      <c r="DG526" s="407">
        <v>11.839811308339065</v>
      </c>
      <c r="DH526" s="407">
        <v>0</v>
      </c>
      <c r="DI526" s="407">
        <v>-43.44954615742995</v>
      </c>
      <c r="DJ526" s="407"/>
      <c r="DK526" s="407">
        <v>0</v>
      </c>
      <c r="DL526" s="407">
        <v>0</v>
      </c>
      <c r="DM526" s="407">
        <v>0</v>
      </c>
      <c r="DN526" s="407">
        <v>0</v>
      </c>
      <c r="DO526" s="407">
        <v>-6.7223611971339921</v>
      </c>
      <c r="DP526" s="407">
        <v>-0.78719103276430324</v>
      </c>
      <c r="DQ526" s="407">
        <v>0</v>
      </c>
      <c r="DR526" s="407">
        <v>-667.24076129177149</v>
      </c>
      <c r="DS526" s="407"/>
      <c r="DT526" s="407"/>
      <c r="DU526" s="407"/>
      <c r="DV526" s="407">
        <v>24218.85173047024</v>
      </c>
      <c r="DW526" s="407">
        <v>0</v>
      </c>
      <c r="DX526" s="407">
        <v>0</v>
      </c>
      <c r="DY526" s="407">
        <v>-12724.370340000001</v>
      </c>
      <c r="DZ526" s="407">
        <v>316.06982000000016</v>
      </c>
      <c r="EA526" s="407">
        <v>0</v>
      </c>
      <c r="EB526" s="407">
        <v>0</v>
      </c>
      <c r="EC526" s="407">
        <v>-12371.045715194796</v>
      </c>
      <c r="ED526" s="407">
        <v>0</v>
      </c>
      <c r="EE526" s="407">
        <v>0</v>
      </c>
      <c r="EF526" s="407">
        <v>0</v>
      </c>
      <c r="EG526" s="407">
        <v>0</v>
      </c>
      <c r="EH526" s="407">
        <v>0</v>
      </c>
      <c r="EI526" s="407">
        <v>0</v>
      </c>
      <c r="EJ526" s="407">
        <v>0</v>
      </c>
      <c r="EK526" s="407">
        <v>0</v>
      </c>
      <c r="EL526" s="407">
        <v>0</v>
      </c>
      <c r="EM526" s="407">
        <v>0</v>
      </c>
      <c r="EN526" s="407">
        <v>0</v>
      </c>
      <c r="EO526" s="407">
        <v>0</v>
      </c>
      <c r="EP526" s="407">
        <v>293.84199712747477</v>
      </c>
      <c r="EQ526" s="407">
        <v>0</v>
      </c>
      <c r="ER526" s="407">
        <v>0</v>
      </c>
      <c r="ES526" s="407">
        <v>0</v>
      </c>
      <c r="ET526" s="407">
        <v>0</v>
      </c>
      <c r="EU526" s="407">
        <v>0</v>
      </c>
      <c r="EV526" s="407">
        <v>246</v>
      </c>
      <c r="EW526" s="407">
        <v>0</v>
      </c>
      <c r="EX526" s="407">
        <v>0</v>
      </c>
      <c r="EY526" s="407">
        <v>0</v>
      </c>
      <c r="EZ526" s="407"/>
      <c r="FA526" s="407">
        <v>0</v>
      </c>
      <c r="FB526" s="407"/>
      <c r="FC526" s="407"/>
      <c r="FD526" s="407"/>
      <c r="FE526" s="407"/>
      <c r="FF526" s="407">
        <v>0</v>
      </c>
      <c r="FG526" s="407">
        <v>0</v>
      </c>
      <c r="FH526" s="407">
        <v>0</v>
      </c>
      <c r="FI526" s="407">
        <v>0</v>
      </c>
    </row>
    <row r="527" spans="1:165">
      <c r="A527" s="407">
        <v>546</v>
      </c>
      <c r="B527" s="407" t="s">
        <v>2309</v>
      </c>
      <c r="C527" s="407" t="s">
        <v>2314</v>
      </c>
      <c r="D527" s="407" t="s">
        <v>650</v>
      </c>
      <c r="E527" s="407" t="s">
        <v>1049</v>
      </c>
      <c r="F527" s="407" t="s">
        <v>97</v>
      </c>
      <c r="G527" s="407" t="s">
        <v>97</v>
      </c>
      <c r="H527" s="407" t="s">
        <v>97</v>
      </c>
      <c r="I527" s="407" t="s">
        <v>1025</v>
      </c>
      <c r="J527" s="407" t="s">
        <v>2307</v>
      </c>
      <c r="K527" s="818">
        <v>44621</v>
      </c>
      <c r="L527" s="407">
        <v>0</v>
      </c>
      <c r="M527" s="407">
        <v>0</v>
      </c>
      <c r="N527" s="407">
        <v>4.4560000000000004</v>
      </c>
      <c r="O527" s="407">
        <v>4.4560000000000004</v>
      </c>
      <c r="P527" s="407">
        <v>4.4560000000000004</v>
      </c>
      <c r="Q527" s="407">
        <v>4.4560000000000004</v>
      </c>
      <c r="R527" s="407"/>
      <c r="S527" s="407">
        <v>2810.7</v>
      </c>
      <c r="T527" s="407">
        <v>159.41</v>
      </c>
      <c r="U527" s="407"/>
      <c r="V527" s="407">
        <v>13234.810159999999</v>
      </c>
      <c r="W527" s="407">
        <v>13234.810159999999</v>
      </c>
      <c r="X527" s="407">
        <v>8429.370640000001</v>
      </c>
      <c r="Y527" s="407">
        <v>0</v>
      </c>
      <c r="Z527" s="407">
        <v>240.24131002235947</v>
      </c>
      <c r="AA527" s="407">
        <v>0</v>
      </c>
      <c r="AB527" s="407">
        <v>0</v>
      </c>
      <c r="AC527" s="407">
        <v>0</v>
      </c>
      <c r="AD527" s="407">
        <v>2720.4574841310596</v>
      </c>
      <c r="AE527" s="407">
        <v>9379.3849566291847</v>
      </c>
      <c r="AF527" s="407">
        <v>687.25207367361372</v>
      </c>
      <c r="AG527" s="407">
        <v>23.089865693021327</v>
      </c>
      <c r="AH527" s="407">
        <v>0</v>
      </c>
      <c r="AI527" s="407">
        <v>0</v>
      </c>
      <c r="AJ527" s="407">
        <v>0</v>
      </c>
      <c r="AK527" s="407">
        <v>0</v>
      </c>
      <c r="AL527" s="407">
        <v>42.670902642906938</v>
      </c>
      <c r="AM527" s="407"/>
      <c r="AN527" s="407">
        <v>4.7845559582613264</v>
      </c>
      <c r="AO527" s="407">
        <v>0</v>
      </c>
      <c r="AP527" s="407">
        <v>0</v>
      </c>
      <c r="AQ527" s="407">
        <v>0</v>
      </c>
      <c r="AR527" s="407">
        <v>0</v>
      </c>
      <c r="AS527" s="407">
        <v>0</v>
      </c>
      <c r="AT527" s="407">
        <v>0</v>
      </c>
      <c r="AU527" s="407">
        <v>0</v>
      </c>
      <c r="AV527" s="407">
        <v>0</v>
      </c>
      <c r="AW527" s="407">
        <v>0</v>
      </c>
      <c r="AX527" s="407">
        <v>0</v>
      </c>
      <c r="AY527" s="407">
        <v>0</v>
      </c>
      <c r="AZ527" s="407">
        <v>0</v>
      </c>
      <c r="BA527" s="407"/>
      <c r="BB527" s="407">
        <v>0</v>
      </c>
      <c r="BC527" s="407">
        <v>0</v>
      </c>
      <c r="BD527" s="407">
        <v>0</v>
      </c>
      <c r="BE527" s="407">
        <v>0</v>
      </c>
      <c r="BF527" s="407">
        <v>0</v>
      </c>
      <c r="BG527" s="407">
        <v>23.126080143435885</v>
      </c>
      <c r="BH527" s="407">
        <v>0</v>
      </c>
      <c r="BI527" s="407">
        <v>0</v>
      </c>
      <c r="BJ527" s="407">
        <v>0</v>
      </c>
      <c r="BK527" s="407">
        <v>0</v>
      </c>
      <c r="BL527" s="407">
        <v>0</v>
      </c>
      <c r="BM527" s="407"/>
      <c r="BN527" s="407"/>
      <c r="BO527" s="407"/>
      <c r="BP527" s="407"/>
      <c r="BQ527" s="407"/>
      <c r="BR527" s="407"/>
      <c r="BS527" s="407"/>
      <c r="BT527" s="407"/>
      <c r="BU527" s="407"/>
      <c r="BV527" s="407">
        <v>710.37815381704957</v>
      </c>
      <c r="BW527" s="407"/>
      <c r="BX527" s="407"/>
      <c r="BY527" s="407"/>
      <c r="BZ527" s="407"/>
      <c r="CA527" s="407"/>
      <c r="CB527" s="407"/>
      <c r="CC527" s="407"/>
      <c r="CD527" s="407"/>
      <c r="CE527" s="407"/>
      <c r="CF527" s="407"/>
      <c r="CG527" s="407"/>
      <c r="CH527" s="407"/>
      <c r="CI527" s="407">
        <v>8436.9373999999989</v>
      </c>
      <c r="CJ527" s="407">
        <v>-4797.9027600000009</v>
      </c>
      <c r="CK527" s="407"/>
      <c r="CL527" s="407"/>
      <c r="CM527" s="407"/>
      <c r="CN527" s="407"/>
      <c r="CO527" s="407">
        <v>-4927.84584</v>
      </c>
      <c r="CP527" s="407">
        <v>122.40632000000001</v>
      </c>
      <c r="CQ527" s="407">
        <v>31</v>
      </c>
      <c r="CR527" s="407">
        <v>-14.404452209457304</v>
      </c>
      <c r="CS527" s="407">
        <v>0</v>
      </c>
      <c r="CT527" s="407">
        <v>0</v>
      </c>
      <c r="CU527" s="407">
        <v>0</v>
      </c>
      <c r="CV527" s="407">
        <v>0</v>
      </c>
      <c r="CW527" s="407">
        <v>0</v>
      </c>
      <c r="CX527" s="407">
        <v>0</v>
      </c>
      <c r="CY527" s="407">
        <v>0</v>
      </c>
      <c r="CZ527" s="407">
        <v>122.88845870859677</v>
      </c>
      <c r="DA527" s="407">
        <v>0</v>
      </c>
      <c r="DB527" s="407">
        <v>0</v>
      </c>
      <c r="DC527" s="407">
        <v>136.26352707430715</v>
      </c>
      <c r="DD527" s="407">
        <v>0</v>
      </c>
      <c r="DE527" s="407">
        <v>0</v>
      </c>
      <c r="DF527" s="407">
        <v>0</v>
      </c>
      <c r="DG527" s="407">
        <v>4.5852771762522941</v>
      </c>
      <c r="DH527" s="407">
        <v>0</v>
      </c>
      <c r="DI527" s="407">
        <v>-16.826975289197605</v>
      </c>
      <c r="DJ527" s="407"/>
      <c r="DK527" s="407">
        <v>0</v>
      </c>
      <c r="DL527" s="407">
        <v>0</v>
      </c>
      <c r="DM527" s="407">
        <v>0</v>
      </c>
      <c r="DN527" s="407">
        <v>0</v>
      </c>
      <c r="DO527" s="407">
        <v>-2.6034105244593349</v>
      </c>
      <c r="DP527" s="407">
        <v>-0.30486035477122631</v>
      </c>
      <c r="DQ527" s="407">
        <v>0</v>
      </c>
      <c r="DR527" s="407">
        <v>-258.4064690001855</v>
      </c>
      <c r="DS527" s="407"/>
      <c r="DT527" s="407"/>
      <c r="DU527" s="407"/>
      <c r="DV527" s="407">
        <v>9379.3849566291847</v>
      </c>
      <c r="DW527" s="407">
        <v>0</v>
      </c>
      <c r="DX527" s="407">
        <v>0</v>
      </c>
      <c r="DY527" s="407">
        <v>-4927.845839999999</v>
      </c>
      <c r="DZ527" s="407">
        <v>122.40632000000005</v>
      </c>
      <c r="EA527" s="407">
        <v>0</v>
      </c>
      <c r="EB527" s="407">
        <v>0</v>
      </c>
      <c r="EC527" s="407">
        <v>-4791.0116206247194</v>
      </c>
      <c r="ED527" s="407">
        <v>0</v>
      </c>
      <c r="EE527" s="407">
        <v>0</v>
      </c>
      <c r="EF527" s="407">
        <v>0</v>
      </c>
      <c r="EG527" s="407">
        <v>0</v>
      </c>
      <c r="EH527" s="407">
        <v>0</v>
      </c>
      <c r="EI527" s="407">
        <v>0</v>
      </c>
      <c r="EJ527" s="407">
        <v>0</v>
      </c>
      <c r="EK527" s="407">
        <v>0</v>
      </c>
      <c r="EL527" s="407">
        <v>0</v>
      </c>
      <c r="EM527" s="407">
        <v>0</v>
      </c>
      <c r="EN527" s="407">
        <v>0</v>
      </c>
      <c r="EO527" s="407">
        <v>0</v>
      </c>
      <c r="EP527" s="407">
        <v>113.79801314097233</v>
      </c>
      <c r="EQ527" s="407">
        <v>0</v>
      </c>
      <c r="ER527" s="407">
        <v>0</v>
      </c>
      <c r="ES527" s="407">
        <v>0</v>
      </c>
      <c r="ET527" s="407">
        <v>0</v>
      </c>
      <c r="EU527" s="407">
        <v>0</v>
      </c>
      <c r="EV527" s="407">
        <v>246</v>
      </c>
      <c r="EW527" s="407">
        <v>0</v>
      </c>
      <c r="EX527" s="407">
        <v>0</v>
      </c>
      <c r="EY527" s="407">
        <v>0</v>
      </c>
      <c r="EZ527" s="407"/>
      <c r="FA527" s="407">
        <v>0</v>
      </c>
      <c r="FB527" s="407"/>
      <c r="FC527" s="407"/>
      <c r="FD527" s="407"/>
      <c r="FE527" s="407"/>
      <c r="FF527" s="407">
        <v>0</v>
      </c>
      <c r="FG527" s="407">
        <v>0</v>
      </c>
      <c r="FH527" s="407">
        <v>0</v>
      </c>
      <c r="FI527" s="407">
        <v>0</v>
      </c>
    </row>
    <row r="528" spans="1:165">
      <c r="A528" s="407">
        <v>547</v>
      </c>
      <c r="B528" s="407" t="s">
        <v>1090</v>
      </c>
      <c r="C528" s="407" t="s">
        <v>2314</v>
      </c>
      <c r="D528" s="407" t="s">
        <v>650</v>
      </c>
      <c r="E528" s="407" t="s">
        <v>1049</v>
      </c>
      <c r="F528" s="407" t="s">
        <v>97</v>
      </c>
      <c r="G528" s="407" t="s">
        <v>97</v>
      </c>
      <c r="H528" s="407" t="s">
        <v>97</v>
      </c>
      <c r="I528" s="407" t="s">
        <v>2290</v>
      </c>
      <c r="J528" s="407" t="s">
        <v>2307</v>
      </c>
      <c r="K528" s="818">
        <v>44621</v>
      </c>
      <c r="L528" s="407">
        <v>0</v>
      </c>
      <c r="M528" s="407">
        <v>0</v>
      </c>
      <c r="N528" s="407">
        <v>183.93199999999999</v>
      </c>
      <c r="O528" s="407">
        <v>183.93199999999999</v>
      </c>
      <c r="P528" s="407">
        <v>183.93199999999999</v>
      </c>
      <c r="Q528" s="407">
        <v>183.93199999999999</v>
      </c>
      <c r="R528" s="407"/>
      <c r="S528" s="407">
        <v>95.29</v>
      </c>
      <c r="T528" s="407">
        <v>159.41</v>
      </c>
      <c r="U528" s="407"/>
      <c r="V528" s="407">
        <v>46847.4804</v>
      </c>
      <c r="W528" s="407">
        <v>46847.4804</v>
      </c>
      <c r="X528" s="407">
        <v>50932.610119999998</v>
      </c>
      <c r="Y528" s="407">
        <v>0</v>
      </c>
      <c r="Z528" s="407">
        <v>9916.5315608241945</v>
      </c>
      <c r="AA528" s="407">
        <v>0</v>
      </c>
      <c r="AB528" s="407">
        <v>0</v>
      </c>
      <c r="AC528" s="407">
        <v>0</v>
      </c>
      <c r="AD528" s="407">
        <v>0</v>
      </c>
      <c r="AE528" s="407">
        <v>0</v>
      </c>
      <c r="AF528" s="407">
        <v>28367.964186475561</v>
      </c>
      <c r="AG528" s="407">
        <v>953.08913300017912</v>
      </c>
      <c r="AH528" s="407">
        <v>0</v>
      </c>
      <c r="AI528" s="407">
        <v>0</v>
      </c>
      <c r="AJ528" s="407">
        <v>0</v>
      </c>
      <c r="AK528" s="407">
        <v>0</v>
      </c>
      <c r="AL528" s="407">
        <v>1761.3430127727015</v>
      </c>
      <c r="AM528" s="407"/>
      <c r="AN528" s="407">
        <v>197.49392875110462</v>
      </c>
      <c r="AO528" s="407">
        <v>0</v>
      </c>
      <c r="AP528" s="407">
        <v>0</v>
      </c>
      <c r="AQ528" s="407">
        <v>0</v>
      </c>
      <c r="AR528" s="407">
        <v>0</v>
      </c>
      <c r="AS528" s="407">
        <v>0</v>
      </c>
      <c r="AT528" s="407">
        <v>0</v>
      </c>
      <c r="AU528" s="407">
        <v>0</v>
      </c>
      <c r="AV528" s="407">
        <v>0</v>
      </c>
      <c r="AW528" s="407">
        <v>0</v>
      </c>
      <c r="AX528" s="407">
        <v>0</v>
      </c>
      <c r="AY528" s="407">
        <v>0</v>
      </c>
      <c r="AZ528" s="407">
        <v>0</v>
      </c>
      <c r="BA528" s="407"/>
      <c r="BB528" s="407">
        <v>0</v>
      </c>
      <c r="BC528" s="407">
        <v>0</v>
      </c>
      <c r="BD528" s="407">
        <v>0</v>
      </c>
      <c r="BE528" s="407">
        <v>0</v>
      </c>
      <c r="BF528" s="407">
        <v>0</v>
      </c>
      <c r="BG528" s="407">
        <v>954.58397058852086</v>
      </c>
      <c r="BH528" s="407">
        <v>0</v>
      </c>
      <c r="BI528" s="407">
        <v>0</v>
      </c>
      <c r="BJ528" s="407">
        <v>0</v>
      </c>
      <c r="BK528" s="407">
        <v>0</v>
      </c>
      <c r="BL528" s="407">
        <v>0</v>
      </c>
      <c r="BM528" s="407"/>
      <c r="BN528" s="407"/>
      <c r="BO528" s="407"/>
      <c r="BP528" s="407"/>
      <c r="BQ528" s="407"/>
      <c r="BR528" s="407"/>
      <c r="BS528" s="407"/>
      <c r="BT528" s="407"/>
      <c r="BU528" s="407"/>
      <c r="BV528" s="407">
        <v>29322.54815706408</v>
      </c>
      <c r="BW528" s="407"/>
      <c r="BX528" s="407"/>
      <c r="BY528" s="407"/>
      <c r="BZ528" s="407"/>
      <c r="CA528" s="407"/>
      <c r="CB528" s="407"/>
      <c r="CC528" s="407"/>
      <c r="CD528" s="407"/>
      <c r="CE528" s="407"/>
      <c r="CF528" s="407"/>
      <c r="CG528" s="407"/>
      <c r="CH528" s="407"/>
      <c r="CI528" s="407">
        <v>50932.056299999997</v>
      </c>
      <c r="CJ528" s="407">
        <v>4084.5458999999973</v>
      </c>
      <c r="CK528" s="407"/>
      <c r="CL528" s="407"/>
      <c r="CM528" s="407"/>
      <c r="CN528" s="407"/>
      <c r="CO528" s="407">
        <v>-967.48232000000087</v>
      </c>
      <c r="CP528" s="407">
        <v>5052.6120399999991</v>
      </c>
      <c r="CQ528" s="407">
        <v>31</v>
      </c>
      <c r="CR528" s="407">
        <v>4084.5483494970758</v>
      </c>
      <c r="CS528" s="407">
        <v>0</v>
      </c>
      <c r="CT528" s="407">
        <v>0</v>
      </c>
      <c r="CU528" s="407">
        <v>0</v>
      </c>
      <c r="CV528" s="407">
        <v>0</v>
      </c>
      <c r="CW528" s="407">
        <v>0</v>
      </c>
      <c r="CX528" s="407">
        <v>0</v>
      </c>
      <c r="CY528" s="407">
        <v>0</v>
      </c>
      <c r="CZ528" s="407">
        <v>0</v>
      </c>
      <c r="DA528" s="407">
        <v>0</v>
      </c>
      <c r="DB528" s="407">
        <v>0</v>
      </c>
      <c r="DC528" s="407">
        <v>5624.6012257251932</v>
      </c>
      <c r="DD528" s="407">
        <v>0</v>
      </c>
      <c r="DE528" s="407">
        <v>0</v>
      </c>
      <c r="DF528" s="407">
        <v>0</v>
      </c>
      <c r="DG528" s="407">
        <v>189.26822297630986</v>
      </c>
      <c r="DH528" s="407">
        <v>0</v>
      </c>
      <c r="DI528" s="407">
        <v>-694.5734333242126</v>
      </c>
      <c r="DJ528" s="407"/>
      <c r="DK528" s="407">
        <v>0</v>
      </c>
      <c r="DL528" s="407">
        <v>0</v>
      </c>
      <c r="DM528" s="407">
        <v>0</v>
      </c>
      <c r="DN528" s="407">
        <v>0</v>
      </c>
      <c r="DO528" s="407">
        <v>-107.4619624292759</v>
      </c>
      <c r="DP528" s="407">
        <v>-12.58383634959182</v>
      </c>
      <c r="DQ528" s="407">
        <v>0</v>
      </c>
      <c r="DR528" s="407">
        <v>-914.70186710134465</v>
      </c>
      <c r="DS528" s="407"/>
      <c r="DT528" s="407"/>
      <c r="DU528" s="407"/>
      <c r="DV528" s="407">
        <v>0</v>
      </c>
      <c r="DW528" s="407">
        <v>0</v>
      </c>
      <c r="DX528" s="407">
        <v>0</v>
      </c>
      <c r="DY528" s="407">
        <v>-967.4823200000028</v>
      </c>
      <c r="DZ528" s="407">
        <v>5052.6120399999963</v>
      </c>
      <c r="EA528" s="407">
        <v>0</v>
      </c>
      <c r="EB528" s="407">
        <v>0</v>
      </c>
      <c r="EC528" s="407">
        <v>0</v>
      </c>
      <c r="ED528" s="407">
        <v>0</v>
      </c>
      <c r="EE528" s="407">
        <v>0</v>
      </c>
      <c r="EF528" s="407">
        <v>0</v>
      </c>
      <c r="EG528" s="407">
        <v>0</v>
      </c>
      <c r="EH528" s="407">
        <v>0</v>
      </c>
      <c r="EI528" s="407">
        <v>0</v>
      </c>
      <c r="EJ528" s="407">
        <v>0</v>
      </c>
      <c r="EK528" s="407">
        <v>0</v>
      </c>
      <c r="EL528" s="407">
        <v>0</v>
      </c>
      <c r="EM528" s="407">
        <v>0</v>
      </c>
      <c r="EN528" s="407">
        <v>0</v>
      </c>
      <c r="EO528" s="407">
        <v>0</v>
      </c>
      <c r="EP528" s="407">
        <v>4697.283696823456</v>
      </c>
      <c r="EQ528" s="407">
        <v>0</v>
      </c>
      <c r="ER528" s="407">
        <v>0</v>
      </c>
      <c r="ES528" s="407">
        <v>0</v>
      </c>
      <c r="ET528" s="407">
        <v>0</v>
      </c>
      <c r="EU528" s="407">
        <v>0</v>
      </c>
      <c r="EV528" s="407">
        <v>246</v>
      </c>
      <c r="EW528" s="407">
        <v>0</v>
      </c>
      <c r="EX528" s="407">
        <v>0</v>
      </c>
      <c r="EY528" s="407">
        <v>0</v>
      </c>
      <c r="EZ528" s="407"/>
      <c r="FA528" s="407">
        <v>0</v>
      </c>
      <c r="FB528" s="407"/>
      <c r="FC528" s="407"/>
      <c r="FD528" s="407"/>
      <c r="FE528" s="407"/>
      <c r="FF528" s="407">
        <v>0</v>
      </c>
      <c r="FG528" s="407">
        <v>0</v>
      </c>
      <c r="FH528" s="407">
        <v>0</v>
      </c>
      <c r="FI528" s="407">
        <v>0</v>
      </c>
    </row>
    <row r="529" spans="1:165">
      <c r="A529" s="407">
        <v>548</v>
      </c>
      <c r="B529" s="407" t="s">
        <v>2309</v>
      </c>
      <c r="C529" s="407" t="s">
        <v>2314</v>
      </c>
      <c r="D529" s="407" t="s">
        <v>650</v>
      </c>
      <c r="E529" s="407" t="s">
        <v>1049</v>
      </c>
      <c r="F529" s="407" t="s">
        <v>97</v>
      </c>
      <c r="G529" s="407" t="s">
        <v>97</v>
      </c>
      <c r="H529" s="407" t="s">
        <v>97</v>
      </c>
      <c r="I529" s="407" t="s">
        <v>2290</v>
      </c>
      <c r="J529" s="407" t="s">
        <v>2307</v>
      </c>
      <c r="K529" s="818">
        <v>44621</v>
      </c>
      <c r="L529" s="407">
        <v>0</v>
      </c>
      <c r="M529" s="407">
        <v>0</v>
      </c>
      <c r="N529" s="407">
        <v>22.196000000000002</v>
      </c>
      <c r="O529" s="407">
        <v>22.196000000000002</v>
      </c>
      <c r="P529" s="407">
        <v>22.196000000000002</v>
      </c>
      <c r="Q529" s="407">
        <v>22.196000000000002</v>
      </c>
      <c r="R529" s="407"/>
      <c r="S529" s="407">
        <v>95.29</v>
      </c>
      <c r="T529" s="407">
        <v>159.41</v>
      </c>
      <c r="U529" s="407"/>
      <c r="V529" s="407">
        <v>5653.3212000000003</v>
      </c>
      <c r="W529" s="407">
        <v>5653.3212000000003</v>
      </c>
      <c r="X529" s="407">
        <v>6146.2943599999999</v>
      </c>
      <c r="Y529" s="407">
        <v>0</v>
      </c>
      <c r="Z529" s="407">
        <v>1196.6777641957565</v>
      </c>
      <c r="AA529" s="407">
        <v>0</v>
      </c>
      <c r="AB529" s="407">
        <v>0</v>
      </c>
      <c r="AC529" s="407">
        <v>0</v>
      </c>
      <c r="AD529" s="407">
        <v>0</v>
      </c>
      <c r="AE529" s="407">
        <v>0</v>
      </c>
      <c r="AF529" s="407">
        <v>3423.3049881641673</v>
      </c>
      <c r="AG529" s="407">
        <v>115.01406169710533</v>
      </c>
      <c r="AH529" s="407">
        <v>0</v>
      </c>
      <c r="AI529" s="407">
        <v>0</v>
      </c>
      <c r="AJ529" s="407">
        <v>0</v>
      </c>
      <c r="AK529" s="407">
        <v>0</v>
      </c>
      <c r="AL529" s="407">
        <v>212.55012456507234</v>
      </c>
      <c r="AM529" s="407"/>
      <c r="AN529" s="407">
        <v>23.832586187066518</v>
      </c>
      <c r="AO529" s="407">
        <v>0</v>
      </c>
      <c r="AP529" s="407">
        <v>0</v>
      </c>
      <c r="AQ529" s="407">
        <v>0</v>
      </c>
      <c r="AR529" s="407">
        <v>0</v>
      </c>
      <c r="AS529" s="407">
        <v>0</v>
      </c>
      <c r="AT529" s="407">
        <v>0</v>
      </c>
      <c r="AU529" s="407">
        <v>0</v>
      </c>
      <c r="AV529" s="407">
        <v>0</v>
      </c>
      <c r="AW529" s="407">
        <v>0</v>
      </c>
      <c r="AX529" s="407">
        <v>0</v>
      </c>
      <c r="AY529" s="407">
        <v>0</v>
      </c>
      <c r="AZ529" s="407">
        <v>0</v>
      </c>
      <c r="BA529" s="407"/>
      <c r="BB529" s="407">
        <v>0</v>
      </c>
      <c r="BC529" s="407">
        <v>0</v>
      </c>
      <c r="BD529" s="407">
        <v>0</v>
      </c>
      <c r="BE529" s="407">
        <v>0</v>
      </c>
      <c r="BF529" s="407">
        <v>0</v>
      </c>
      <c r="BG529" s="407">
        <v>115.19445127102848</v>
      </c>
      <c r="BH529" s="407">
        <v>0</v>
      </c>
      <c r="BI529" s="407">
        <v>0</v>
      </c>
      <c r="BJ529" s="407">
        <v>0</v>
      </c>
      <c r="BK529" s="407">
        <v>0</v>
      </c>
      <c r="BL529" s="407">
        <v>0</v>
      </c>
      <c r="BM529" s="407"/>
      <c r="BN529" s="407"/>
      <c r="BO529" s="407"/>
      <c r="BP529" s="407"/>
      <c r="BQ529" s="407"/>
      <c r="BR529" s="407"/>
      <c r="BS529" s="407"/>
      <c r="BT529" s="407"/>
      <c r="BU529" s="407"/>
      <c r="BV529" s="407">
        <v>3538.4994394351957</v>
      </c>
      <c r="BW529" s="407"/>
      <c r="BX529" s="407"/>
      <c r="BY529" s="407"/>
      <c r="BZ529" s="407"/>
      <c r="CA529" s="407"/>
      <c r="CB529" s="407"/>
      <c r="CC529" s="407"/>
      <c r="CD529" s="407"/>
      <c r="CE529" s="407"/>
      <c r="CF529" s="407"/>
      <c r="CG529" s="407"/>
      <c r="CH529" s="407"/>
      <c r="CI529" s="407">
        <v>6147.402</v>
      </c>
      <c r="CJ529" s="407">
        <v>494.05079999999907</v>
      </c>
      <c r="CK529" s="407"/>
      <c r="CL529" s="407"/>
      <c r="CM529" s="407"/>
      <c r="CN529" s="407"/>
      <c r="CO529" s="407">
        <v>-116.75096000000012</v>
      </c>
      <c r="CP529" s="407">
        <v>609.72411999999997</v>
      </c>
      <c r="CQ529" s="407">
        <v>31</v>
      </c>
      <c r="CR529" s="407">
        <v>492.90300309591294</v>
      </c>
      <c r="CS529" s="407">
        <v>0</v>
      </c>
      <c r="CT529" s="407">
        <v>0</v>
      </c>
      <c r="CU529" s="407">
        <v>0</v>
      </c>
      <c r="CV529" s="407">
        <v>0</v>
      </c>
      <c r="CW529" s="407">
        <v>0</v>
      </c>
      <c r="CX529" s="407">
        <v>0</v>
      </c>
      <c r="CY529" s="407">
        <v>0</v>
      </c>
      <c r="CZ529" s="407">
        <v>0</v>
      </c>
      <c r="DA529" s="407">
        <v>0</v>
      </c>
      <c r="DB529" s="407">
        <v>0</v>
      </c>
      <c r="DC529" s="407">
        <v>678.74893333512591</v>
      </c>
      <c r="DD529" s="407">
        <v>0</v>
      </c>
      <c r="DE529" s="407">
        <v>0</v>
      </c>
      <c r="DF529" s="407">
        <v>0</v>
      </c>
      <c r="DG529" s="407">
        <v>22.839948878836609</v>
      </c>
      <c r="DH529" s="407">
        <v>0</v>
      </c>
      <c r="DI529" s="407">
        <v>-83.817671346281486</v>
      </c>
      <c r="DJ529" s="407"/>
      <c r="DK529" s="407">
        <v>0</v>
      </c>
      <c r="DL529" s="407">
        <v>0</v>
      </c>
      <c r="DM529" s="407">
        <v>0</v>
      </c>
      <c r="DN529" s="407">
        <v>0</v>
      </c>
      <c r="DO529" s="407">
        <v>-12.967975763217964</v>
      </c>
      <c r="DP529" s="407">
        <v>-1.5185548551396195</v>
      </c>
      <c r="DQ529" s="407">
        <v>0</v>
      </c>
      <c r="DR529" s="407">
        <v>-110.3816771534124</v>
      </c>
      <c r="DS529" s="407"/>
      <c r="DT529" s="407"/>
      <c r="DU529" s="407"/>
      <c r="DV529" s="407">
        <v>0</v>
      </c>
      <c r="DW529" s="407">
        <v>0</v>
      </c>
      <c r="DX529" s="407">
        <v>0</v>
      </c>
      <c r="DY529" s="407">
        <v>-116.75096000000008</v>
      </c>
      <c r="DZ529" s="407">
        <v>609.72411999999986</v>
      </c>
      <c r="EA529" s="407">
        <v>0</v>
      </c>
      <c r="EB529" s="407">
        <v>0</v>
      </c>
      <c r="EC529" s="407">
        <v>0</v>
      </c>
      <c r="ED529" s="407">
        <v>0</v>
      </c>
      <c r="EE529" s="407">
        <v>0</v>
      </c>
      <c r="EF529" s="407">
        <v>0</v>
      </c>
      <c r="EG529" s="407">
        <v>0</v>
      </c>
      <c r="EH529" s="407">
        <v>0</v>
      </c>
      <c r="EI529" s="407">
        <v>0</v>
      </c>
      <c r="EJ529" s="407">
        <v>0</v>
      </c>
      <c r="EK529" s="407">
        <v>0</v>
      </c>
      <c r="EL529" s="407">
        <v>0</v>
      </c>
      <c r="EM529" s="407">
        <v>0</v>
      </c>
      <c r="EN529" s="407">
        <v>0</v>
      </c>
      <c r="EO529" s="407">
        <v>0</v>
      </c>
      <c r="EP529" s="407">
        <v>566.84486078927773</v>
      </c>
      <c r="EQ529" s="407">
        <v>0</v>
      </c>
      <c r="ER529" s="407">
        <v>0</v>
      </c>
      <c r="ES529" s="407">
        <v>0</v>
      </c>
      <c r="ET529" s="407">
        <v>0</v>
      </c>
      <c r="EU529" s="407">
        <v>0</v>
      </c>
      <c r="EV529" s="407">
        <v>246</v>
      </c>
      <c r="EW529" s="407">
        <v>0</v>
      </c>
      <c r="EX529" s="407">
        <v>0</v>
      </c>
      <c r="EY529" s="407">
        <v>0</v>
      </c>
      <c r="EZ529" s="407"/>
      <c r="FA529" s="407">
        <v>0</v>
      </c>
      <c r="FB529" s="407"/>
      <c r="FC529" s="407"/>
      <c r="FD529" s="407"/>
      <c r="FE529" s="407"/>
      <c r="FF529" s="407">
        <v>0</v>
      </c>
      <c r="FG529" s="407">
        <v>0</v>
      </c>
      <c r="FH529" s="407">
        <v>0</v>
      </c>
      <c r="FI529" s="407">
        <v>0</v>
      </c>
    </row>
    <row r="530" spans="1:165">
      <c r="A530" s="407">
        <v>549</v>
      </c>
      <c r="B530" s="407" t="s">
        <v>1090</v>
      </c>
      <c r="C530" s="407" t="s">
        <v>2314</v>
      </c>
      <c r="D530" s="407" t="s">
        <v>650</v>
      </c>
      <c r="E530" s="407" t="s">
        <v>1049</v>
      </c>
      <c r="F530" s="407" t="s">
        <v>97</v>
      </c>
      <c r="G530" s="407" t="s">
        <v>97</v>
      </c>
      <c r="H530" s="407" t="s">
        <v>97</v>
      </c>
      <c r="I530" s="407" t="s">
        <v>97</v>
      </c>
      <c r="J530" s="407" t="s">
        <v>2307</v>
      </c>
      <c r="K530" s="818">
        <v>44621</v>
      </c>
      <c r="L530" s="407">
        <v>1526</v>
      </c>
      <c r="M530" s="407">
        <v>1526</v>
      </c>
      <c r="N530" s="407">
        <v>0</v>
      </c>
      <c r="O530" s="407">
        <v>0</v>
      </c>
      <c r="P530" s="407">
        <v>0</v>
      </c>
      <c r="Q530" s="407">
        <v>0</v>
      </c>
      <c r="R530" s="407">
        <v>43.29</v>
      </c>
      <c r="S530" s="407"/>
      <c r="T530" s="407"/>
      <c r="U530" s="407">
        <v>66060.539999999994</v>
      </c>
      <c r="V530" s="407"/>
      <c r="W530" s="407">
        <v>66060.539999999994</v>
      </c>
      <c r="X530" s="407">
        <v>51105.740000000005</v>
      </c>
      <c r="Y530" s="407">
        <v>0</v>
      </c>
      <c r="Z530" s="407">
        <v>0</v>
      </c>
      <c r="AA530" s="407">
        <v>0</v>
      </c>
      <c r="AB530" s="407">
        <v>0</v>
      </c>
      <c r="AC530" s="407">
        <v>0</v>
      </c>
      <c r="AD530" s="407">
        <v>36111.244403776393</v>
      </c>
      <c r="AE530" s="407">
        <v>29954.139521271059</v>
      </c>
      <c r="AF530" s="407"/>
      <c r="AG530" s="407"/>
      <c r="AH530" s="407"/>
      <c r="AI530" s="407">
        <v>0</v>
      </c>
      <c r="AJ530" s="407">
        <v>0</v>
      </c>
      <c r="AK530" s="407">
        <v>0</v>
      </c>
      <c r="AL530" s="407">
        <v>0</v>
      </c>
      <c r="AM530" s="407"/>
      <c r="AN530" s="407">
        <v>0</v>
      </c>
      <c r="AO530" s="407">
        <v>0</v>
      </c>
      <c r="AP530" s="407">
        <v>0</v>
      </c>
      <c r="AQ530" s="407">
        <v>0</v>
      </c>
      <c r="AR530" s="407">
        <v>0</v>
      </c>
      <c r="AS530" s="407"/>
      <c r="AT530" s="407"/>
      <c r="AU530" s="407">
        <v>0</v>
      </c>
      <c r="AV530" s="407">
        <v>0</v>
      </c>
      <c r="AW530" s="407">
        <v>0</v>
      </c>
      <c r="AX530" s="407"/>
      <c r="AY530" s="407"/>
      <c r="AZ530" s="407">
        <v>0</v>
      </c>
      <c r="BA530" s="407"/>
      <c r="BB530" s="407">
        <v>0</v>
      </c>
      <c r="BC530" s="407">
        <v>0</v>
      </c>
      <c r="BD530" s="407">
        <v>0</v>
      </c>
      <c r="BE530" s="407">
        <v>0</v>
      </c>
      <c r="BF530" s="407"/>
      <c r="BG530" s="407">
        <v>0</v>
      </c>
      <c r="BH530" s="407">
        <v>0</v>
      </c>
      <c r="BI530" s="407">
        <v>248.5</v>
      </c>
      <c r="BJ530" s="407">
        <v>1071.96</v>
      </c>
      <c r="BK530" s="407">
        <v>50794.080000000002</v>
      </c>
      <c r="BL530" s="407">
        <v>12</v>
      </c>
      <c r="BM530" s="407"/>
      <c r="BN530" s="407"/>
      <c r="BO530" s="407"/>
      <c r="BP530" s="407"/>
      <c r="BQ530" s="407"/>
      <c r="BR530" s="407"/>
      <c r="BS530" s="407"/>
      <c r="BT530" s="407"/>
      <c r="BU530" s="407"/>
      <c r="BV530" s="407">
        <v>0</v>
      </c>
      <c r="BW530" s="407"/>
      <c r="BX530" s="407"/>
      <c r="BY530" s="407"/>
      <c r="BZ530" s="407"/>
      <c r="CA530" s="407"/>
      <c r="CB530" s="407"/>
      <c r="CC530" s="407"/>
      <c r="CD530" s="407"/>
      <c r="CE530" s="407"/>
      <c r="CF530" s="407"/>
      <c r="CG530" s="407"/>
      <c r="CH530" s="407"/>
      <c r="CI530" s="407">
        <v>51105.740000000005</v>
      </c>
      <c r="CJ530" s="407">
        <v>-14954.829999999973</v>
      </c>
      <c r="CK530" s="407"/>
      <c r="CL530" s="407"/>
      <c r="CM530" s="407"/>
      <c r="CN530" s="407"/>
      <c r="CO530" s="407">
        <v>-14954.799999999996</v>
      </c>
      <c r="CP530" s="407">
        <v>0</v>
      </c>
      <c r="CQ530" s="407">
        <v>31</v>
      </c>
      <c r="CR530" s="407">
        <v>341.3053815975727</v>
      </c>
      <c r="CS530" s="407">
        <v>0</v>
      </c>
      <c r="CT530" s="407">
        <v>0</v>
      </c>
      <c r="CU530" s="407">
        <v>0</v>
      </c>
      <c r="CV530" s="407">
        <v>0</v>
      </c>
      <c r="CW530" s="407"/>
      <c r="CX530" s="407"/>
      <c r="CY530" s="407"/>
      <c r="CZ530" s="407">
        <v>1631.2165114562813</v>
      </c>
      <c r="DA530" s="407">
        <v>0</v>
      </c>
      <c r="DB530" s="407">
        <v>0</v>
      </c>
      <c r="DC530" s="407"/>
      <c r="DD530" s="407"/>
      <c r="DE530" s="407">
        <v>0</v>
      </c>
      <c r="DF530" s="407">
        <v>0</v>
      </c>
      <c r="DG530" s="407">
        <v>0</v>
      </c>
      <c r="DH530" s="407">
        <v>0</v>
      </c>
      <c r="DI530" s="407">
        <v>0</v>
      </c>
      <c r="DJ530" s="407"/>
      <c r="DK530" s="407">
        <v>0</v>
      </c>
      <c r="DL530" s="407">
        <v>0</v>
      </c>
      <c r="DM530" s="407"/>
      <c r="DN530" s="407">
        <v>0</v>
      </c>
      <c r="DO530" s="407">
        <v>0</v>
      </c>
      <c r="DP530" s="407">
        <v>0</v>
      </c>
      <c r="DQ530" s="407">
        <v>0</v>
      </c>
      <c r="DR530" s="407">
        <v>-1289.9111298587086</v>
      </c>
      <c r="DS530" s="407"/>
      <c r="DT530" s="407"/>
      <c r="DU530" s="407">
        <v>29954.139521271059</v>
      </c>
      <c r="DV530" s="407"/>
      <c r="DW530" s="407">
        <v>0</v>
      </c>
      <c r="DX530" s="407">
        <v>0</v>
      </c>
      <c r="DY530" s="407">
        <v>-14954.799999999988</v>
      </c>
      <c r="DZ530" s="407"/>
      <c r="EA530" s="407">
        <v>0</v>
      </c>
      <c r="EB530" s="407"/>
      <c r="EC530" s="407">
        <v>-15300.644039649316</v>
      </c>
      <c r="ED530" s="407"/>
      <c r="EE530" s="407">
        <v>0</v>
      </c>
      <c r="EF530" s="407">
        <v>0</v>
      </c>
      <c r="EG530" s="407"/>
      <c r="EH530" s="407">
        <v>0</v>
      </c>
      <c r="EI530" s="407">
        <v>0</v>
      </c>
      <c r="EJ530" s="407">
        <v>0</v>
      </c>
      <c r="EK530" s="407">
        <v>0</v>
      </c>
      <c r="EL530" s="407">
        <v>0</v>
      </c>
      <c r="EM530" s="407"/>
      <c r="EN530" s="407"/>
      <c r="EO530" s="407">
        <v>0</v>
      </c>
      <c r="EP530" s="407">
        <v>0</v>
      </c>
      <c r="EQ530" s="407"/>
      <c r="ER530" s="407">
        <v>0</v>
      </c>
      <c r="ES530" s="407"/>
      <c r="ET530" s="407">
        <v>0</v>
      </c>
      <c r="EU530" s="407"/>
      <c r="EV530" s="407">
        <v>246</v>
      </c>
      <c r="EW530" s="407"/>
      <c r="EX530" s="407"/>
      <c r="EY530" s="407"/>
      <c r="EZ530" s="407"/>
      <c r="FA530" s="407">
        <v>0</v>
      </c>
      <c r="FB530" s="407"/>
      <c r="FC530" s="407"/>
      <c r="FD530" s="407"/>
      <c r="FE530" s="407"/>
      <c r="FF530" s="407">
        <v>0</v>
      </c>
      <c r="FG530" s="407">
        <v>0</v>
      </c>
      <c r="FH530" s="407">
        <v>0</v>
      </c>
      <c r="FI530" s="407">
        <v>0</v>
      </c>
    </row>
    <row r="531" spans="1:165">
      <c r="A531" s="407">
        <v>550</v>
      </c>
      <c r="B531" s="407" t="s">
        <v>2309</v>
      </c>
      <c r="C531" s="407" t="s">
        <v>2314</v>
      </c>
      <c r="D531" s="407" t="s">
        <v>650</v>
      </c>
      <c r="E531" s="407" t="s">
        <v>1049</v>
      </c>
      <c r="F531" s="407" t="s">
        <v>97</v>
      </c>
      <c r="G531" s="407" t="s">
        <v>97</v>
      </c>
      <c r="H531" s="407" t="s">
        <v>97</v>
      </c>
      <c r="I531" s="407" t="s">
        <v>97</v>
      </c>
      <c r="J531" s="407" t="s">
        <v>2307</v>
      </c>
      <c r="K531" s="818">
        <v>44621</v>
      </c>
      <c r="L531" s="407">
        <v>964</v>
      </c>
      <c r="M531" s="407">
        <v>964</v>
      </c>
      <c r="N531" s="407">
        <v>0</v>
      </c>
      <c r="O531" s="407">
        <v>0</v>
      </c>
      <c r="P531" s="407">
        <v>0</v>
      </c>
      <c r="Q531" s="407">
        <v>0</v>
      </c>
      <c r="R531" s="407">
        <v>43.29</v>
      </c>
      <c r="S531" s="407"/>
      <c r="T531" s="407"/>
      <c r="U531" s="407">
        <v>41731.56</v>
      </c>
      <c r="V531" s="407"/>
      <c r="W531" s="407">
        <v>41731.56</v>
      </c>
      <c r="X531" s="407">
        <v>32284.36</v>
      </c>
      <c r="Y531" s="407">
        <v>0</v>
      </c>
      <c r="Z531" s="407">
        <v>0</v>
      </c>
      <c r="AA531" s="407">
        <v>0</v>
      </c>
      <c r="AB531" s="407">
        <v>0</v>
      </c>
      <c r="AC531" s="407">
        <v>0</v>
      </c>
      <c r="AD531" s="407">
        <v>22812.083620734233</v>
      </c>
      <c r="AE531" s="407">
        <v>18922.536368614223</v>
      </c>
      <c r="AF531" s="407"/>
      <c r="AG531" s="407"/>
      <c r="AH531" s="407"/>
      <c r="AI531" s="407">
        <v>0</v>
      </c>
      <c r="AJ531" s="407">
        <v>0</v>
      </c>
      <c r="AK531" s="407">
        <v>0</v>
      </c>
      <c r="AL531" s="407">
        <v>0</v>
      </c>
      <c r="AM531" s="407"/>
      <c r="AN531" s="407">
        <v>0</v>
      </c>
      <c r="AO531" s="407">
        <v>0</v>
      </c>
      <c r="AP531" s="407">
        <v>0</v>
      </c>
      <c r="AQ531" s="407">
        <v>0</v>
      </c>
      <c r="AR531" s="407">
        <v>0</v>
      </c>
      <c r="AS531" s="407"/>
      <c r="AT531" s="407"/>
      <c r="AU531" s="407">
        <v>0</v>
      </c>
      <c r="AV531" s="407">
        <v>0</v>
      </c>
      <c r="AW531" s="407">
        <v>0</v>
      </c>
      <c r="AX531" s="407"/>
      <c r="AY531" s="407"/>
      <c r="AZ531" s="407">
        <v>0</v>
      </c>
      <c r="BA531" s="407"/>
      <c r="BB531" s="407">
        <v>0</v>
      </c>
      <c r="BC531" s="407">
        <v>0</v>
      </c>
      <c r="BD531" s="407">
        <v>0</v>
      </c>
      <c r="BE531" s="407">
        <v>0</v>
      </c>
      <c r="BF531" s="407"/>
      <c r="BG531" s="407">
        <v>0</v>
      </c>
      <c r="BH531" s="407">
        <v>0</v>
      </c>
      <c r="BI531" s="407">
        <v>87.73</v>
      </c>
      <c r="BJ531" s="407">
        <v>378.47</v>
      </c>
      <c r="BK531" s="407">
        <v>18884.849999999999</v>
      </c>
      <c r="BL531" s="407">
        <v>6</v>
      </c>
      <c r="BM531" s="407"/>
      <c r="BN531" s="407"/>
      <c r="BO531" s="407"/>
      <c r="BP531" s="407"/>
      <c r="BQ531" s="407"/>
      <c r="BR531" s="407"/>
      <c r="BS531" s="407"/>
      <c r="BT531" s="407"/>
      <c r="BU531" s="407"/>
      <c r="BV531" s="407">
        <v>0</v>
      </c>
      <c r="BW531" s="407"/>
      <c r="BX531" s="407"/>
      <c r="BY531" s="407"/>
      <c r="BZ531" s="407"/>
      <c r="CA531" s="407"/>
      <c r="CB531" s="407"/>
      <c r="CC531" s="407"/>
      <c r="CD531" s="407"/>
      <c r="CE531" s="407"/>
      <c r="CF531" s="407"/>
      <c r="CG531" s="407"/>
      <c r="CH531" s="407"/>
      <c r="CI531" s="407">
        <v>32284.36</v>
      </c>
      <c r="CJ531" s="407">
        <v>-9447.2300000000032</v>
      </c>
      <c r="CK531" s="407"/>
      <c r="CL531" s="407"/>
      <c r="CM531" s="407"/>
      <c r="CN531" s="407"/>
      <c r="CO531" s="407">
        <v>-9447.1999999999971</v>
      </c>
      <c r="CP531" s="407">
        <v>0</v>
      </c>
      <c r="CQ531" s="407">
        <v>31</v>
      </c>
      <c r="CR531" s="407">
        <v>215.60837998693387</v>
      </c>
      <c r="CS531" s="407">
        <v>0</v>
      </c>
      <c r="CT531" s="407">
        <v>0</v>
      </c>
      <c r="CU531" s="407">
        <v>0</v>
      </c>
      <c r="CV531" s="407">
        <v>0</v>
      </c>
      <c r="CW531" s="407"/>
      <c r="CX531" s="407"/>
      <c r="CY531" s="407"/>
      <c r="CZ531" s="407">
        <v>1030.4670491768375</v>
      </c>
      <c r="DA531" s="407">
        <v>0</v>
      </c>
      <c r="DB531" s="407">
        <v>0</v>
      </c>
      <c r="DC531" s="407"/>
      <c r="DD531" s="407"/>
      <c r="DE531" s="407">
        <v>0</v>
      </c>
      <c r="DF531" s="407">
        <v>0</v>
      </c>
      <c r="DG531" s="407">
        <v>0</v>
      </c>
      <c r="DH531" s="407">
        <v>0</v>
      </c>
      <c r="DI531" s="407">
        <v>0</v>
      </c>
      <c r="DJ531" s="407"/>
      <c r="DK531" s="407">
        <v>0</v>
      </c>
      <c r="DL531" s="407">
        <v>0</v>
      </c>
      <c r="DM531" s="407"/>
      <c r="DN531" s="407">
        <v>0</v>
      </c>
      <c r="DO531" s="407">
        <v>0</v>
      </c>
      <c r="DP531" s="407">
        <v>0</v>
      </c>
      <c r="DQ531" s="407">
        <v>0</v>
      </c>
      <c r="DR531" s="407">
        <v>-814.85866918990496</v>
      </c>
      <c r="DS531" s="407"/>
      <c r="DT531" s="407"/>
      <c r="DU531" s="407">
        <v>18922.536368614223</v>
      </c>
      <c r="DV531" s="407"/>
      <c r="DW531" s="407">
        <v>0</v>
      </c>
      <c r="DX531" s="407">
        <v>0</v>
      </c>
      <c r="DY531" s="407">
        <v>-9447.1999999999971</v>
      </c>
      <c r="DZ531" s="407"/>
      <c r="EA531" s="407">
        <v>0</v>
      </c>
      <c r="EB531" s="407"/>
      <c r="EC531" s="407">
        <v>-9665.6755270130689</v>
      </c>
      <c r="ED531" s="407"/>
      <c r="EE531" s="407">
        <v>0</v>
      </c>
      <c r="EF531" s="407">
        <v>0</v>
      </c>
      <c r="EG531" s="407"/>
      <c r="EH531" s="407">
        <v>0</v>
      </c>
      <c r="EI531" s="407">
        <v>0</v>
      </c>
      <c r="EJ531" s="407">
        <v>0</v>
      </c>
      <c r="EK531" s="407">
        <v>0</v>
      </c>
      <c r="EL531" s="407">
        <v>0</v>
      </c>
      <c r="EM531" s="407"/>
      <c r="EN531" s="407"/>
      <c r="EO531" s="407">
        <v>0</v>
      </c>
      <c r="EP531" s="407">
        <v>0</v>
      </c>
      <c r="EQ531" s="407"/>
      <c r="ER531" s="407">
        <v>0</v>
      </c>
      <c r="ES531" s="407"/>
      <c r="ET531" s="407">
        <v>0</v>
      </c>
      <c r="EU531" s="407"/>
      <c r="EV531" s="407">
        <v>246</v>
      </c>
      <c r="EW531" s="407"/>
      <c r="EX531" s="407"/>
      <c r="EY531" s="407"/>
      <c r="EZ531" s="407"/>
      <c r="FA531" s="407">
        <v>0</v>
      </c>
      <c r="FB531" s="407"/>
      <c r="FC531" s="407"/>
      <c r="FD531" s="407"/>
      <c r="FE531" s="407"/>
      <c r="FF531" s="407">
        <v>0</v>
      </c>
      <c r="FG531" s="407">
        <v>0</v>
      </c>
      <c r="FH531" s="407">
        <v>0</v>
      </c>
      <c r="FI531" s="407">
        <v>0</v>
      </c>
    </row>
    <row r="532" spans="1:165">
      <c r="A532" s="407">
        <v>551</v>
      </c>
      <c r="B532" s="407" t="s">
        <v>1090</v>
      </c>
      <c r="C532" s="407" t="s">
        <v>2306</v>
      </c>
      <c r="D532" s="407" t="s">
        <v>2315</v>
      </c>
      <c r="E532" s="407" t="s">
        <v>1026</v>
      </c>
      <c r="F532" s="407" t="s">
        <v>97</v>
      </c>
      <c r="G532" s="407" t="s">
        <v>97</v>
      </c>
      <c r="H532" s="407" t="s">
        <v>97</v>
      </c>
      <c r="I532" s="407" t="s">
        <v>97</v>
      </c>
      <c r="J532" s="407" t="s">
        <v>2307</v>
      </c>
      <c r="K532" s="818">
        <v>44621</v>
      </c>
      <c r="L532" s="407">
        <v>0</v>
      </c>
      <c r="M532" s="407">
        <v>0</v>
      </c>
      <c r="N532" s="407">
        <v>4032.6120000000001</v>
      </c>
      <c r="O532" s="407">
        <v>4032.6120000000001</v>
      </c>
      <c r="P532" s="407">
        <v>4032.6120000000001</v>
      </c>
      <c r="Q532" s="407">
        <v>4032.6120000000001</v>
      </c>
      <c r="R532" s="407"/>
      <c r="S532" s="407">
        <v>648.44000000000005</v>
      </c>
      <c r="T532" s="407">
        <v>159.41</v>
      </c>
      <c r="U532" s="407"/>
      <c r="V532" s="407">
        <v>3257745.6041999999</v>
      </c>
      <c r="W532" s="407">
        <v>3257745.6041999999</v>
      </c>
      <c r="X532" s="407">
        <v>2467232.6738399998</v>
      </c>
      <c r="Y532" s="407">
        <v>0</v>
      </c>
      <c r="Z532" s="407">
        <v>249901.97633357259</v>
      </c>
      <c r="AA532" s="407">
        <v>0</v>
      </c>
      <c r="AB532" s="407">
        <v>0</v>
      </c>
      <c r="AC532" s="407">
        <v>0</v>
      </c>
      <c r="AD532" s="407">
        <v>470381.71287528699</v>
      </c>
      <c r="AE532" s="407">
        <v>1683800.9729998563</v>
      </c>
      <c r="AF532" s="407">
        <v>621952.63898588391</v>
      </c>
      <c r="AG532" s="407">
        <v>20895.976093372108</v>
      </c>
      <c r="AH532" s="407">
        <v>0</v>
      </c>
      <c r="AI532" s="407">
        <v>0</v>
      </c>
      <c r="AJ532" s="407">
        <v>0</v>
      </c>
      <c r="AK532" s="407">
        <v>0</v>
      </c>
      <c r="AL532" s="407">
        <v>38616.515720066927</v>
      </c>
      <c r="AM532" s="407"/>
      <c r="AN532" s="407">
        <v>8368.0555809407197</v>
      </c>
      <c r="AO532" s="407">
        <v>0</v>
      </c>
      <c r="AP532" s="407">
        <v>0</v>
      </c>
      <c r="AQ532" s="407">
        <v>0</v>
      </c>
      <c r="AR532" s="407">
        <v>0</v>
      </c>
      <c r="AS532" s="407">
        <v>0</v>
      </c>
      <c r="AT532" s="407">
        <v>0</v>
      </c>
      <c r="AU532" s="407">
        <v>0</v>
      </c>
      <c r="AV532" s="407">
        <v>0</v>
      </c>
      <c r="AW532" s="407">
        <v>0</v>
      </c>
      <c r="AX532" s="407">
        <v>0</v>
      </c>
      <c r="AY532" s="407">
        <v>0</v>
      </c>
      <c r="AZ532" s="407">
        <v>0</v>
      </c>
      <c r="BA532" s="407"/>
      <c r="BB532" s="407">
        <v>0</v>
      </c>
      <c r="BC532" s="407">
        <v>0</v>
      </c>
      <c r="BD532" s="407">
        <v>0</v>
      </c>
      <c r="BE532" s="407">
        <v>0</v>
      </c>
      <c r="BF532" s="407">
        <v>0</v>
      </c>
      <c r="BG532" s="407">
        <v>45462.751867681705</v>
      </c>
      <c r="BH532" s="407">
        <v>0</v>
      </c>
      <c r="BI532" s="407">
        <v>4362.17</v>
      </c>
      <c r="BJ532" s="407">
        <v>19091.22</v>
      </c>
      <c r="BK532" s="407">
        <v>195901.93</v>
      </c>
      <c r="BL532" s="407">
        <v>13288</v>
      </c>
      <c r="BM532" s="407"/>
      <c r="BN532" s="407"/>
      <c r="BO532" s="407"/>
      <c r="BP532" s="407"/>
      <c r="BQ532" s="407"/>
      <c r="BR532" s="407">
        <v>296074.37304000009</v>
      </c>
      <c r="BS532" s="407"/>
      <c r="BT532" s="407"/>
      <c r="BU532" s="407"/>
      <c r="BV532" s="407">
        <v>667415.39085356565</v>
      </c>
      <c r="BW532" s="407"/>
      <c r="BX532" s="407"/>
      <c r="BY532" s="407"/>
      <c r="BZ532" s="407"/>
      <c r="CA532" s="407"/>
      <c r="CB532" s="407"/>
      <c r="CC532" s="407"/>
      <c r="CD532" s="407"/>
      <c r="CE532" s="407"/>
      <c r="CF532" s="407"/>
      <c r="CG532" s="407"/>
      <c r="CH532" s="407"/>
      <c r="CI532" s="407">
        <v>2171157.2239999999</v>
      </c>
      <c r="CJ532" s="407">
        <v>-695667.00291999942</v>
      </c>
      <c r="CK532" s="407"/>
      <c r="CL532" s="407"/>
      <c r="CM532" s="407"/>
      <c r="CN532" s="407"/>
      <c r="CO532" s="407">
        <v>-901288.78200000024</v>
      </c>
      <c r="CP532" s="407">
        <v>110775.85163999999</v>
      </c>
      <c r="CQ532" s="407">
        <v>31</v>
      </c>
      <c r="CR532" s="407">
        <v>69578.760098160012</v>
      </c>
      <c r="CS532" s="407">
        <v>0</v>
      </c>
      <c r="CT532" s="407">
        <v>0</v>
      </c>
      <c r="CU532" s="407">
        <v>0</v>
      </c>
      <c r="CV532" s="407">
        <v>0</v>
      </c>
      <c r="CW532" s="407">
        <v>0</v>
      </c>
      <c r="CX532" s="407">
        <v>0</v>
      </c>
      <c r="CY532" s="407">
        <v>0</v>
      </c>
      <c r="CZ532" s="407">
        <v>21248.074648157053</v>
      </c>
      <c r="DA532" s="407">
        <v>0</v>
      </c>
      <c r="DB532" s="407">
        <v>0</v>
      </c>
      <c r="DC532" s="407">
        <v>123316.41257678997</v>
      </c>
      <c r="DD532" s="407">
        <v>0</v>
      </c>
      <c r="DE532" s="407">
        <v>0</v>
      </c>
      <c r="DF532" s="407">
        <v>0</v>
      </c>
      <c r="DG532" s="407">
        <v>9014.0359808305875</v>
      </c>
      <c r="DH532" s="407">
        <v>0</v>
      </c>
      <c r="DI532" s="407">
        <v>-17503.627415681607</v>
      </c>
      <c r="DJ532" s="407"/>
      <c r="DK532" s="407">
        <v>0</v>
      </c>
      <c r="DL532" s="407">
        <v>0</v>
      </c>
      <c r="DM532" s="407">
        <v>0</v>
      </c>
      <c r="DN532" s="407">
        <v>0</v>
      </c>
      <c r="DO532" s="407">
        <v>-2356.0467957497749</v>
      </c>
      <c r="DP532" s="407">
        <v>-533.19229943297432</v>
      </c>
      <c r="DQ532" s="407">
        <v>0</v>
      </c>
      <c r="DR532" s="407">
        <v>-63606.896596753024</v>
      </c>
      <c r="DS532" s="407"/>
      <c r="DT532" s="407"/>
      <c r="DU532" s="407"/>
      <c r="DV532" s="407">
        <v>1683800.9729998563</v>
      </c>
      <c r="DW532" s="407">
        <v>0</v>
      </c>
      <c r="DX532" s="407">
        <v>0</v>
      </c>
      <c r="DY532" s="407">
        <v>-901288.78200000012</v>
      </c>
      <c r="DZ532" s="407">
        <v>110775.85164000001</v>
      </c>
      <c r="EA532" s="407">
        <v>0</v>
      </c>
      <c r="EB532" s="407">
        <v>0</v>
      </c>
      <c r="EC532" s="407">
        <v>-860089.44784379203</v>
      </c>
      <c r="ED532" s="407">
        <v>0</v>
      </c>
      <c r="EE532" s="407">
        <v>0</v>
      </c>
      <c r="EF532" s="407">
        <v>0</v>
      </c>
      <c r="EG532" s="407">
        <v>0</v>
      </c>
      <c r="EH532" s="407">
        <v>0</v>
      </c>
      <c r="EI532" s="407">
        <v>0</v>
      </c>
      <c r="EJ532" s="407">
        <v>0</v>
      </c>
      <c r="EK532" s="407">
        <v>0</v>
      </c>
      <c r="EL532" s="407">
        <v>0</v>
      </c>
      <c r="EM532" s="407">
        <v>0</v>
      </c>
      <c r="EN532" s="407">
        <v>0</v>
      </c>
      <c r="EO532" s="407">
        <v>0</v>
      </c>
      <c r="EP532" s="407">
        <v>118374.09804382129</v>
      </c>
      <c r="EQ532" s="407">
        <v>0</v>
      </c>
      <c r="ER532" s="407">
        <v>0</v>
      </c>
      <c r="ES532" s="407">
        <v>0</v>
      </c>
      <c r="ET532" s="407">
        <v>0</v>
      </c>
      <c r="EU532" s="407">
        <v>0</v>
      </c>
      <c r="EV532" s="407">
        <v>246</v>
      </c>
      <c r="EW532" s="407">
        <v>0</v>
      </c>
      <c r="EX532" s="407">
        <v>0</v>
      </c>
      <c r="EY532" s="407">
        <v>0</v>
      </c>
      <c r="EZ532" s="407"/>
      <c r="FA532" s="407">
        <v>0</v>
      </c>
      <c r="FB532" s="407"/>
      <c r="FC532" s="407"/>
      <c r="FD532" s="407"/>
      <c r="FE532" s="407"/>
      <c r="FF532" s="407">
        <v>0</v>
      </c>
      <c r="FG532" s="407">
        <v>0</v>
      </c>
      <c r="FH532" s="407">
        <v>0</v>
      </c>
      <c r="FI532" s="407">
        <v>0</v>
      </c>
    </row>
    <row r="533" spans="1:165">
      <c r="A533" s="407">
        <v>552</v>
      </c>
      <c r="B533" s="407" t="s">
        <v>2308</v>
      </c>
      <c r="C533" s="407" t="s">
        <v>2306</v>
      </c>
      <c r="D533" s="407" t="s">
        <v>2315</v>
      </c>
      <c r="E533" s="407" t="s">
        <v>1026</v>
      </c>
      <c r="F533" s="407" t="s">
        <v>97</v>
      </c>
      <c r="G533" s="407" t="s">
        <v>97</v>
      </c>
      <c r="H533" s="407" t="s">
        <v>97</v>
      </c>
      <c r="I533" s="407" t="s">
        <v>97</v>
      </c>
      <c r="J533" s="407" t="s">
        <v>2307</v>
      </c>
      <c r="K533" s="818">
        <v>44621</v>
      </c>
      <c r="L533" s="407">
        <v>0</v>
      </c>
      <c r="M533" s="407">
        <v>0</v>
      </c>
      <c r="N533" s="407">
        <v>0.90700000000000003</v>
      </c>
      <c r="O533" s="407">
        <v>0.90700000000000003</v>
      </c>
      <c r="P533" s="407">
        <v>0.90700000000000003</v>
      </c>
      <c r="Q533" s="407">
        <v>0.90700000000000003</v>
      </c>
      <c r="R533" s="407"/>
      <c r="S533" s="407">
        <v>648.44000000000005</v>
      </c>
      <c r="T533" s="407">
        <v>159.41</v>
      </c>
      <c r="U533" s="407"/>
      <c r="V533" s="407">
        <v>732.71995000000004</v>
      </c>
      <c r="W533" s="407">
        <v>732.71995000000004</v>
      </c>
      <c r="X533" s="407">
        <v>554.92074000000002</v>
      </c>
      <c r="Y533" s="407">
        <v>0</v>
      </c>
      <c r="Z533" s="407">
        <v>56.207017321416082</v>
      </c>
      <c r="AA533" s="407">
        <v>0</v>
      </c>
      <c r="AB533" s="407">
        <v>0</v>
      </c>
      <c r="AC533" s="407">
        <v>0</v>
      </c>
      <c r="AD533" s="407">
        <v>105.79649457420781</v>
      </c>
      <c r="AE533" s="407">
        <v>378.71421364387885</v>
      </c>
      <c r="AF533" s="407">
        <v>139.88726005878985</v>
      </c>
      <c r="AG533" s="407">
        <v>4.6998447449664145</v>
      </c>
      <c r="AH533" s="407">
        <v>0</v>
      </c>
      <c r="AI533" s="407">
        <v>0</v>
      </c>
      <c r="AJ533" s="407">
        <v>0</v>
      </c>
      <c r="AK533" s="407">
        <v>0</v>
      </c>
      <c r="AL533" s="407">
        <v>8.6854822031231134</v>
      </c>
      <c r="AM533" s="407"/>
      <c r="AN533" s="407">
        <v>1.8821117459138723</v>
      </c>
      <c r="AO533" s="407">
        <v>0</v>
      </c>
      <c r="AP533" s="407">
        <v>0</v>
      </c>
      <c r="AQ533" s="407">
        <v>0</v>
      </c>
      <c r="AR533" s="407">
        <v>0</v>
      </c>
      <c r="AS533" s="407">
        <v>0</v>
      </c>
      <c r="AT533" s="407">
        <v>0</v>
      </c>
      <c r="AU533" s="407">
        <v>0</v>
      </c>
      <c r="AV533" s="407">
        <v>0</v>
      </c>
      <c r="AW533" s="407">
        <v>0</v>
      </c>
      <c r="AX533" s="407">
        <v>0</v>
      </c>
      <c r="AY533" s="407">
        <v>0</v>
      </c>
      <c r="AZ533" s="407">
        <v>0</v>
      </c>
      <c r="BA533" s="407"/>
      <c r="BB533" s="407">
        <v>0</v>
      </c>
      <c r="BC533" s="407">
        <v>0</v>
      </c>
      <c r="BD533" s="407">
        <v>0</v>
      </c>
      <c r="BE533" s="407">
        <v>0</v>
      </c>
      <c r="BF533" s="407">
        <v>0</v>
      </c>
      <c r="BG533" s="407">
        <v>10.225312017121238</v>
      </c>
      <c r="BH533" s="407">
        <v>0</v>
      </c>
      <c r="BI533" s="407">
        <v>-1.79</v>
      </c>
      <c r="BJ533" s="407">
        <v>-9.02</v>
      </c>
      <c r="BK533" s="407">
        <v>-7.3</v>
      </c>
      <c r="BL533" s="407">
        <v>0</v>
      </c>
      <c r="BM533" s="407"/>
      <c r="BN533" s="407"/>
      <c r="BO533" s="407"/>
      <c r="BP533" s="407"/>
      <c r="BQ533" s="407"/>
      <c r="BR533" s="407">
        <v>66.591940000000022</v>
      </c>
      <c r="BS533" s="407"/>
      <c r="BT533" s="407"/>
      <c r="BU533" s="407"/>
      <c r="BV533" s="407">
        <v>150.11257207591109</v>
      </c>
      <c r="BW533" s="407"/>
      <c r="BX533" s="407"/>
      <c r="BY533" s="407"/>
      <c r="BZ533" s="407"/>
      <c r="CA533" s="407"/>
      <c r="CB533" s="407"/>
      <c r="CC533" s="407"/>
      <c r="CD533" s="407"/>
      <c r="CE533" s="407"/>
      <c r="CF533" s="407"/>
      <c r="CG533" s="407"/>
      <c r="CH533" s="407"/>
      <c r="CI533" s="407">
        <v>489.94400000000002</v>
      </c>
      <c r="CJ533" s="407">
        <v>-154.88137</v>
      </c>
      <c r="CK533" s="407"/>
      <c r="CL533" s="407"/>
      <c r="CM533" s="407"/>
      <c r="CN533" s="407"/>
      <c r="CO533" s="407">
        <v>-202.71450000000007</v>
      </c>
      <c r="CP533" s="407">
        <v>24.915289999999999</v>
      </c>
      <c r="CQ533" s="407">
        <v>31</v>
      </c>
      <c r="CR533" s="407">
        <v>15.649394340202264</v>
      </c>
      <c r="CS533" s="407">
        <v>0</v>
      </c>
      <c r="CT533" s="407">
        <v>0</v>
      </c>
      <c r="CU533" s="407">
        <v>0</v>
      </c>
      <c r="CV533" s="407">
        <v>0</v>
      </c>
      <c r="CW533" s="407">
        <v>0</v>
      </c>
      <c r="CX533" s="407">
        <v>0</v>
      </c>
      <c r="CY533" s="407">
        <v>0</v>
      </c>
      <c r="CZ533" s="407">
        <v>4.7790374342680195</v>
      </c>
      <c r="DA533" s="407">
        <v>0</v>
      </c>
      <c r="DB533" s="407">
        <v>0</v>
      </c>
      <c r="DC533" s="407">
        <v>27.735866035995656</v>
      </c>
      <c r="DD533" s="407">
        <v>0</v>
      </c>
      <c r="DE533" s="407">
        <v>0</v>
      </c>
      <c r="DF533" s="407">
        <v>0</v>
      </c>
      <c r="DG533" s="407">
        <v>2.0274032400373105</v>
      </c>
      <c r="DH533" s="407">
        <v>0</v>
      </c>
      <c r="DI533" s="407">
        <v>-3.9368503753952098</v>
      </c>
      <c r="DJ533" s="407"/>
      <c r="DK533" s="407">
        <v>0</v>
      </c>
      <c r="DL533" s="407">
        <v>0</v>
      </c>
      <c r="DM533" s="407">
        <v>0</v>
      </c>
      <c r="DN533" s="407">
        <v>0</v>
      </c>
      <c r="DO533" s="407">
        <v>-0.52991322838523658</v>
      </c>
      <c r="DP533" s="407">
        <v>-0.11992361664988049</v>
      </c>
      <c r="DQ533" s="407">
        <v>0</v>
      </c>
      <c r="DR533" s="407">
        <v>-14.306225149668499</v>
      </c>
      <c r="DS533" s="407"/>
      <c r="DT533" s="407"/>
      <c r="DU533" s="407"/>
      <c r="DV533" s="407">
        <v>378.71421364387885</v>
      </c>
      <c r="DW533" s="407">
        <v>0</v>
      </c>
      <c r="DX533" s="407">
        <v>0</v>
      </c>
      <c r="DY533" s="407">
        <v>-202.71449999999999</v>
      </c>
      <c r="DZ533" s="407">
        <v>24.915289999999999</v>
      </c>
      <c r="EA533" s="407">
        <v>0</v>
      </c>
      <c r="EB533" s="407">
        <v>0</v>
      </c>
      <c r="EC533" s="407">
        <v>-193.44809993977086</v>
      </c>
      <c r="ED533" s="407">
        <v>0</v>
      </c>
      <c r="EE533" s="407">
        <v>0</v>
      </c>
      <c r="EF533" s="407">
        <v>0</v>
      </c>
      <c r="EG533" s="407">
        <v>0</v>
      </c>
      <c r="EH533" s="407">
        <v>0</v>
      </c>
      <c r="EI533" s="407">
        <v>0</v>
      </c>
      <c r="EJ533" s="407">
        <v>0</v>
      </c>
      <c r="EK533" s="407">
        <v>0</v>
      </c>
      <c r="EL533" s="407">
        <v>0</v>
      </c>
      <c r="EM533" s="407">
        <v>0</v>
      </c>
      <c r="EN533" s="407">
        <v>0</v>
      </c>
      <c r="EO533" s="407">
        <v>0</v>
      </c>
      <c r="EP533" s="407">
        <v>26.624259146614133</v>
      </c>
      <c r="EQ533" s="407">
        <v>0</v>
      </c>
      <c r="ER533" s="407">
        <v>0</v>
      </c>
      <c r="ES533" s="407">
        <v>0</v>
      </c>
      <c r="ET533" s="407">
        <v>0</v>
      </c>
      <c r="EU533" s="407">
        <v>0</v>
      </c>
      <c r="EV533" s="407">
        <v>246</v>
      </c>
      <c r="EW533" s="407">
        <v>0</v>
      </c>
      <c r="EX533" s="407">
        <v>0</v>
      </c>
      <c r="EY533" s="407">
        <v>0</v>
      </c>
      <c r="EZ533" s="407"/>
      <c r="FA533" s="407">
        <v>0</v>
      </c>
      <c r="FB533" s="407"/>
      <c r="FC533" s="407"/>
      <c r="FD533" s="407"/>
      <c r="FE533" s="407"/>
      <c r="FF533" s="407">
        <v>0</v>
      </c>
      <c r="FG533" s="407">
        <v>0</v>
      </c>
      <c r="FH533" s="407">
        <v>0</v>
      </c>
      <c r="FI533" s="407">
        <v>0</v>
      </c>
    </row>
    <row r="534" spans="1:165">
      <c r="A534" s="407">
        <v>553</v>
      </c>
      <c r="B534" s="407" t="s">
        <v>2309</v>
      </c>
      <c r="C534" s="407" t="s">
        <v>2306</v>
      </c>
      <c r="D534" s="407" t="s">
        <v>2315</v>
      </c>
      <c r="E534" s="407" t="s">
        <v>1026</v>
      </c>
      <c r="F534" s="407" t="s">
        <v>97</v>
      </c>
      <c r="G534" s="407" t="s">
        <v>97</v>
      </c>
      <c r="H534" s="407" t="s">
        <v>97</v>
      </c>
      <c r="I534" s="407" t="s">
        <v>97</v>
      </c>
      <c r="J534" s="407" t="s">
        <v>2307</v>
      </c>
      <c r="K534" s="818">
        <v>44621</v>
      </c>
      <c r="L534" s="407">
        <v>0</v>
      </c>
      <c r="M534" s="407">
        <v>0</v>
      </c>
      <c r="N534" s="407">
        <v>116.73699999999999</v>
      </c>
      <c r="O534" s="407">
        <v>116.73699999999999</v>
      </c>
      <c r="P534" s="407">
        <v>116.73699999999999</v>
      </c>
      <c r="Q534" s="407">
        <v>116.73699999999999</v>
      </c>
      <c r="R534" s="407"/>
      <c r="S534" s="407">
        <v>648.44000000000005</v>
      </c>
      <c r="T534" s="407">
        <v>159.41</v>
      </c>
      <c r="U534" s="407"/>
      <c r="V534" s="407">
        <v>94305.985450000007</v>
      </c>
      <c r="W534" s="407">
        <v>94305.985450000007</v>
      </c>
      <c r="X534" s="407">
        <v>71422.031339999987</v>
      </c>
      <c r="Y534" s="407">
        <v>0</v>
      </c>
      <c r="Z534" s="407">
        <v>7234.2211477950923</v>
      </c>
      <c r="AA534" s="407">
        <v>0</v>
      </c>
      <c r="AB534" s="407">
        <v>0</v>
      </c>
      <c r="AC534" s="407">
        <v>0</v>
      </c>
      <c r="AD534" s="407">
        <v>13616.720382700438</v>
      </c>
      <c r="AE534" s="407">
        <v>48743.066326511005</v>
      </c>
      <c r="AF534" s="407">
        <v>18004.431176938204</v>
      </c>
      <c r="AG534" s="407">
        <v>604.90162733532998</v>
      </c>
      <c r="AH534" s="407">
        <v>0</v>
      </c>
      <c r="AI534" s="407">
        <v>0</v>
      </c>
      <c r="AJ534" s="407">
        <v>0</v>
      </c>
      <c r="AK534" s="407">
        <v>0</v>
      </c>
      <c r="AL534" s="407">
        <v>1117.8799734795841</v>
      </c>
      <c r="AM534" s="407"/>
      <c r="AN534" s="407">
        <v>242.24043978252229</v>
      </c>
      <c r="AO534" s="407">
        <v>0</v>
      </c>
      <c r="AP534" s="407">
        <v>0</v>
      </c>
      <c r="AQ534" s="407">
        <v>0</v>
      </c>
      <c r="AR534" s="407">
        <v>0</v>
      </c>
      <c r="AS534" s="407">
        <v>0</v>
      </c>
      <c r="AT534" s="407">
        <v>0</v>
      </c>
      <c r="AU534" s="407">
        <v>0</v>
      </c>
      <c r="AV534" s="407">
        <v>0</v>
      </c>
      <c r="AW534" s="407">
        <v>0</v>
      </c>
      <c r="AX534" s="407">
        <v>0</v>
      </c>
      <c r="AY534" s="407">
        <v>0</v>
      </c>
      <c r="AZ534" s="407">
        <v>0</v>
      </c>
      <c r="BA534" s="407"/>
      <c r="BB534" s="407">
        <v>0</v>
      </c>
      <c r="BC534" s="407">
        <v>0</v>
      </c>
      <c r="BD534" s="407">
        <v>0</v>
      </c>
      <c r="BE534" s="407">
        <v>0</v>
      </c>
      <c r="BF534" s="407">
        <v>0</v>
      </c>
      <c r="BG534" s="407">
        <v>1316.0664266181718</v>
      </c>
      <c r="BH534" s="407">
        <v>0</v>
      </c>
      <c r="BI534" s="407">
        <v>127.09</v>
      </c>
      <c r="BJ534" s="407">
        <v>562.11</v>
      </c>
      <c r="BK534" s="407">
        <v>5606.24</v>
      </c>
      <c r="BL534" s="407">
        <v>437</v>
      </c>
      <c r="BM534" s="407"/>
      <c r="BN534" s="407"/>
      <c r="BO534" s="407"/>
      <c r="BP534" s="407"/>
      <c r="BQ534" s="407"/>
      <c r="BR534" s="407">
        <v>8570.8305400000027</v>
      </c>
      <c r="BS534" s="407"/>
      <c r="BT534" s="407"/>
      <c r="BU534" s="407"/>
      <c r="BV534" s="407">
        <v>19320.497603556374</v>
      </c>
      <c r="BW534" s="407"/>
      <c r="BX534" s="407"/>
      <c r="BY534" s="407"/>
      <c r="BZ534" s="407"/>
      <c r="CA534" s="407"/>
      <c r="CB534" s="407"/>
      <c r="CC534" s="407"/>
      <c r="CD534" s="407"/>
      <c r="CE534" s="407"/>
      <c r="CF534" s="407"/>
      <c r="CG534" s="407"/>
      <c r="CH534" s="407"/>
      <c r="CI534" s="407">
        <v>62852.815999999992</v>
      </c>
      <c r="CJ534" s="407">
        <v>-20136.714669999987</v>
      </c>
      <c r="CK534" s="407"/>
      <c r="CL534" s="407"/>
      <c r="CM534" s="407"/>
      <c r="CN534" s="407"/>
      <c r="CO534" s="407">
        <v>-26090.719500000007</v>
      </c>
      <c r="CP534" s="407">
        <v>3206.7653899999996</v>
      </c>
      <c r="CQ534" s="407">
        <v>31</v>
      </c>
      <c r="CR534" s="407">
        <v>2014.1823010939115</v>
      </c>
      <c r="CS534" s="407">
        <v>0</v>
      </c>
      <c r="CT534" s="407">
        <v>0</v>
      </c>
      <c r="CU534" s="407">
        <v>0</v>
      </c>
      <c r="CV534" s="407">
        <v>0</v>
      </c>
      <c r="CW534" s="407">
        <v>0</v>
      </c>
      <c r="CX534" s="407">
        <v>0</v>
      </c>
      <c r="CY534" s="407">
        <v>0</v>
      </c>
      <c r="CZ534" s="407">
        <v>615.09425905639</v>
      </c>
      <c r="DA534" s="407">
        <v>0</v>
      </c>
      <c r="DB534" s="407">
        <v>0</v>
      </c>
      <c r="DC534" s="407">
        <v>3569.7924955281414</v>
      </c>
      <c r="DD534" s="407">
        <v>0</v>
      </c>
      <c r="DE534" s="407">
        <v>0</v>
      </c>
      <c r="DF534" s="407">
        <v>0</v>
      </c>
      <c r="DG534" s="407">
        <v>260.94043222958726</v>
      </c>
      <c r="DH534" s="407">
        <v>0</v>
      </c>
      <c r="DI534" s="407">
        <v>-506.6991204768583</v>
      </c>
      <c r="DJ534" s="407"/>
      <c r="DK534" s="407">
        <v>0</v>
      </c>
      <c r="DL534" s="407">
        <v>0</v>
      </c>
      <c r="DM534" s="407">
        <v>0</v>
      </c>
      <c r="DN534" s="407">
        <v>0</v>
      </c>
      <c r="DO534" s="407">
        <v>-68.203396407946457</v>
      </c>
      <c r="DP534" s="407">
        <v>-15.434976005355139</v>
      </c>
      <c r="DQ534" s="407">
        <v>0</v>
      </c>
      <c r="DR534" s="407">
        <v>-1841.307392830046</v>
      </c>
      <c r="DS534" s="407"/>
      <c r="DT534" s="407"/>
      <c r="DU534" s="407"/>
      <c r="DV534" s="407">
        <v>48743.066326511005</v>
      </c>
      <c r="DW534" s="407">
        <v>0</v>
      </c>
      <c r="DX534" s="407">
        <v>0</v>
      </c>
      <c r="DY534" s="407">
        <v>-26090.719500000014</v>
      </c>
      <c r="DZ534" s="407">
        <v>3206.7653900000005</v>
      </c>
      <c r="EA534" s="407">
        <v>0</v>
      </c>
      <c r="EB534" s="407">
        <v>0</v>
      </c>
      <c r="EC534" s="407">
        <v>-24898.071491366074</v>
      </c>
      <c r="ED534" s="407">
        <v>0</v>
      </c>
      <c r="EE534" s="407">
        <v>0</v>
      </c>
      <c r="EF534" s="407">
        <v>0</v>
      </c>
      <c r="EG534" s="407">
        <v>0</v>
      </c>
      <c r="EH534" s="407">
        <v>0</v>
      </c>
      <c r="EI534" s="407">
        <v>0</v>
      </c>
      <c r="EJ534" s="407">
        <v>0</v>
      </c>
      <c r="EK534" s="407">
        <v>0</v>
      </c>
      <c r="EL534" s="407">
        <v>0</v>
      </c>
      <c r="EM534" s="407">
        <v>0</v>
      </c>
      <c r="EN534" s="407">
        <v>0</v>
      </c>
      <c r="EO534" s="407">
        <v>0</v>
      </c>
      <c r="EP534" s="407">
        <v>3426.7212127875346</v>
      </c>
      <c r="EQ534" s="407">
        <v>0</v>
      </c>
      <c r="ER534" s="407">
        <v>0</v>
      </c>
      <c r="ES534" s="407">
        <v>0</v>
      </c>
      <c r="ET534" s="407">
        <v>0</v>
      </c>
      <c r="EU534" s="407">
        <v>0</v>
      </c>
      <c r="EV534" s="407">
        <v>246</v>
      </c>
      <c r="EW534" s="407">
        <v>0</v>
      </c>
      <c r="EX534" s="407">
        <v>0</v>
      </c>
      <c r="EY534" s="407">
        <v>0</v>
      </c>
      <c r="EZ534" s="407"/>
      <c r="FA534" s="407">
        <v>0</v>
      </c>
      <c r="FB534" s="407"/>
      <c r="FC534" s="407"/>
      <c r="FD534" s="407"/>
      <c r="FE534" s="407"/>
      <c r="FF534" s="407">
        <v>0</v>
      </c>
      <c r="FG534" s="407">
        <v>0</v>
      </c>
      <c r="FH534" s="407">
        <v>0</v>
      </c>
      <c r="FI534" s="407">
        <v>0</v>
      </c>
    </row>
    <row r="535" spans="1:165">
      <c r="A535" s="407">
        <v>554</v>
      </c>
      <c r="B535" s="407" t="s">
        <v>1090</v>
      </c>
      <c r="C535" s="407" t="s">
        <v>2314</v>
      </c>
      <c r="D535" s="407" t="s">
        <v>650</v>
      </c>
      <c r="E535" s="407" t="s">
        <v>1026</v>
      </c>
      <c r="F535" s="407" t="s">
        <v>97</v>
      </c>
      <c r="G535" s="407" t="s">
        <v>97</v>
      </c>
      <c r="H535" s="407" t="s">
        <v>97</v>
      </c>
      <c r="I535" s="407" t="s">
        <v>1025</v>
      </c>
      <c r="J535" s="407" t="s">
        <v>2307</v>
      </c>
      <c r="K535" s="818">
        <v>44621</v>
      </c>
      <c r="L535" s="407">
        <v>0</v>
      </c>
      <c r="M535" s="407">
        <v>0</v>
      </c>
      <c r="N535" s="407">
        <v>37.524000000000001</v>
      </c>
      <c r="O535" s="407">
        <v>36.023040000000002</v>
      </c>
      <c r="P535" s="407">
        <v>37.524000000000001</v>
      </c>
      <c r="Q535" s="407">
        <v>36.023040000000002</v>
      </c>
      <c r="R535" s="407"/>
      <c r="S535" s="407">
        <v>2810.7</v>
      </c>
      <c r="T535" s="407">
        <v>159.41</v>
      </c>
      <c r="U535" s="407"/>
      <c r="V535" s="407">
        <v>111450.40764</v>
      </c>
      <c r="W535" s="407">
        <v>111450.40764</v>
      </c>
      <c r="X535" s="407">
        <v>70983.775559999995</v>
      </c>
      <c r="Y535" s="407">
        <v>0</v>
      </c>
      <c r="Z535" s="407">
        <v>2023.0733656371222</v>
      </c>
      <c r="AA535" s="407">
        <v>0</v>
      </c>
      <c r="AB535" s="407">
        <v>0</v>
      </c>
      <c r="AC535" s="407">
        <v>0</v>
      </c>
      <c r="AD535" s="407">
        <v>22908.987126241893</v>
      </c>
      <c r="AE535" s="407">
        <v>78983.851237108058</v>
      </c>
      <c r="AF535" s="407">
        <v>5787.353413942702</v>
      </c>
      <c r="AG535" s="407">
        <v>194.43988336286631</v>
      </c>
      <c r="AH535" s="407">
        <v>0</v>
      </c>
      <c r="AI535" s="407">
        <v>0</v>
      </c>
      <c r="AJ535" s="407">
        <v>0</v>
      </c>
      <c r="AK535" s="407">
        <v>0</v>
      </c>
      <c r="AL535" s="407">
        <v>359.33190098124771</v>
      </c>
      <c r="AM535" s="407"/>
      <c r="AN535" s="407">
        <v>40.290771494119838</v>
      </c>
      <c r="AO535" s="407">
        <v>0</v>
      </c>
      <c r="AP535" s="407">
        <v>0</v>
      </c>
      <c r="AQ535" s="407">
        <v>0</v>
      </c>
      <c r="AR535" s="407">
        <v>0</v>
      </c>
      <c r="AS535" s="407">
        <v>0</v>
      </c>
      <c r="AT535" s="407">
        <v>0</v>
      </c>
      <c r="AU535" s="407">
        <v>0</v>
      </c>
      <c r="AV535" s="407">
        <v>0</v>
      </c>
      <c r="AW535" s="407">
        <v>0</v>
      </c>
      <c r="AX535" s="407">
        <v>0</v>
      </c>
      <c r="AY535" s="407">
        <v>0</v>
      </c>
      <c r="AZ535" s="407">
        <v>0</v>
      </c>
      <c r="BA535" s="407"/>
      <c r="BB535" s="407">
        <v>0</v>
      </c>
      <c r="BC535" s="407">
        <v>0</v>
      </c>
      <c r="BD535" s="407">
        <v>0</v>
      </c>
      <c r="BE535" s="407">
        <v>0</v>
      </c>
      <c r="BF535" s="407">
        <v>0</v>
      </c>
      <c r="BG535" s="407">
        <v>194.74484544485821</v>
      </c>
      <c r="BH535" s="407">
        <v>0</v>
      </c>
      <c r="BI535" s="407">
        <v>0</v>
      </c>
      <c r="BJ535" s="407">
        <v>0</v>
      </c>
      <c r="BK535" s="407">
        <v>0</v>
      </c>
      <c r="BL535" s="407">
        <v>0</v>
      </c>
      <c r="BM535" s="407"/>
      <c r="BN535" s="407"/>
      <c r="BO535" s="407"/>
      <c r="BP535" s="407"/>
      <c r="BQ535" s="407"/>
      <c r="BR535" s="407">
        <v>2839.3510223999983</v>
      </c>
      <c r="BS535" s="407"/>
      <c r="BT535" s="407"/>
      <c r="BU535" s="407"/>
      <c r="BV535" s="407">
        <v>5982.0982593875606</v>
      </c>
      <c r="BW535" s="407"/>
      <c r="BX535" s="407"/>
      <c r="BY535" s="407"/>
      <c r="BZ535" s="407"/>
      <c r="CA535" s="407"/>
      <c r="CB535" s="407"/>
      <c r="CC535" s="407"/>
      <c r="CD535" s="407"/>
      <c r="CE535" s="407"/>
      <c r="CF535" s="407"/>
      <c r="CG535" s="407"/>
      <c r="CH535" s="407"/>
      <c r="CI535" s="407">
        <v>68138.673800000004</v>
      </c>
      <c r="CJ535" s="407">
        <v>-38853.747534399983</v>
      </c>
      <c r="CK535" s="407"/>
      <c r="CL535" s="407"/>
      <c r="CM535" s="407"/>
      <c r="CN535" s="407"/>
      <c r="CO535" s="407">
        <v>-41497.416359999996</v>
      </c>
      <c r="CP535" s="407">
        <v>1030.7842800000001</v>
      </c>
      <c r="CQ535" s="407">
        <v>31</v>
      </c>
      <c r="CR535" s="407">
        <v>-121.2999696381703</v>
      </c>
      <c r="CS535" s="407">
        <v>0</v>
      </c>
      <c r="CT535" s="407">
        <v>0</v>
      </c>
      <c r="CU535" s="407">
        <v>0</v>
      </c>
      <c r="CV535" s="407">
        <v>0</v>
      </c>
      <c r="CW535" s="407">
        <v>0</v>
      </c>
      <c r="CX535" s="407">
        <v>0</v>
      </c>
      <c r="CY535" s="407">
        <v>0</v>
      </c>
      <c r="CZ535" s="407">
        <v>1034.8443726618898</v>
      </c>
      <c r="DA535" s="407">
        <v>0</v>
      </c>
      <c r="DB535" s="407">
        <v>0</v>
      </c>
      <c r="DC535" s="407">
        <v>1147.4758954076087</v>
      </c>
      <c r="DD535" s="407">
        <v>0</v>
      </c>
      <c r="DE535" s="407">
        <v>0</v>
      </c>
      <c r="DF535" s="407">
        <v>0</v>
      </c>
      <c r="DG535" s="407">
        <v>38.612643797506962</v>
      </c>
      <c r="DH535" s="407">
        <v>0</v>
      </c>
      <c r="DI535" s="407">
        <v>-141.70004954036153</v>
      </c>
      <c r="DJ535" s="407"/>
      <c r="DK535" s="407">
        <v>0</v>
      </c>
      <c r="DL535" s="407">
        <v>0</v>
      </c>
      <c r="DM535" s="407">
        <v>0</v>
      </c>
      <c r="DN535" s="407">
        <v>0</v>
      </c>
      <c r="DO535" s="407">
        <v>-21.923334048431741</v>
      </c>
      <c r="DP535" s="407">
        <v>-2.5672306895052728</v>
      </c>
      <c r="DQ535" s="407">
        <v>0</v>
      </c>
      <c r="DR535" s="407">
        <v>-2176.042267226876</v>
      </c>
      <c r="DS535" s="407"/>
      <c r="DT535" s="407"/>
      <c r="DU535" s="407"/>
      <c r="DV535" s="407">
        <v>78983.851237108058</v>
      </c>
      <c r="DW535" s="407">
        <v>0</v>
      </c>
      <c r="DX535" s="407">
        <v>0</v>
      </c>
      <c r="DY535" s="407">
        <v>-41497.416360000003</v>
      </c>
      <c r="DZ535" s="407">
        <v>1030.7842799999999</v>
      </c>
      <c r="EA535" s="407">
        <v>0</v>
      </c>
      <c r="EB535" s="407">
        <v>0</v>
      </c>
      <c r="EC535" s="407">
        <v>-40345.13466165214</v>
      </c>
      <c r="ED535" s="407">
        <v>0</v>
      </c>
      <c r="EE535" s="407">
        <v>0</v>
      </c>
      <c r="EF535" s="407">
        <v>0</v>
      </c>
      <c r="EG535" s="407">
        <v>0</v>
      </c>
      <c r="EH535" s="407">
        <v>0</v>
      </c>
      <c r="EI535" s="407">
        <v>0</v>
      </c>
      <c r="EJ535" s="407">
        <v>0</v>
      </c>
      <c r="EK535" s="407">
        <v>0</v>
      </c>
      <c r="EL535" s="407">
        <v>0</v>
      </c>
      <c r="EM535" s="407">
        <v>0</v>
      </c>
      <c r="EN535" s="407">
        <v>0</v>
      </c>
      <c r="EO535" s="407">
        <v>0</v>
      </c>
      <c r="EP535" s="407">
        <v>958.29368157581803</v>
      </c>
      <c r="EQ535" s="407">
        <v>0</v>
      </c>
      <c r="ER535" s="407">
        <v>0</v>
      </c>
      <c r="ES535" s="407">
        <v>0</v>
      </c>
      <c r="ET535" s="407">
        <v>0</v>
      </c>
      <c r="EU535" s="407">
        <v>0</v>
      </c>
      <c r="EV535" s="407">
        <v>246</v>
      </c>
      <c r="EW535" s="407">
        <v>0</v>
      </c>
      <c r="EX535" s="407">
        <v>0</v>
      </c>
      <c r="EY535" s="407">
        <v>0</v>
      </c>
      <c r="EZ535" s="407"/>
      <c r="FA535" s="407">
        <v>0</v>
      </c>
      <c r="FB535" s="407"/>
      <c r="FC535" s="407"/>
      <c r="FD535" s="407"/>
      <c r="FE535" s="407"/>
      <c r="FF535" s="407">
        <v>0</v>
      </c>
      <c r="FG535" s="407">
        <v>0</v>
      </c>
      <c r="FH535" s="407">
        <v>0</v>
      </c>
      <c r="FI535" s="407">
        <v>0</v>
      </c>
    </row>
    <row r="536" spans="1:165">
      <c r="A536" s="407">
        <v>555</v>
      </c>
      <c r="B536" s="407" t="s">
        <v>2309</v>
      </c>
      <c r="C536" s="407" t="s">
        <v>2314</v>
      </c>
      <c r="D536" s="407" t="s">
        <v>650</v>
      </c>
      <c r="E536" s="407" t="s">
        <v>1026</v>
      </c>
      <c r="F536" s="407" t="s">
        <v>97</v>
      </c>
      <c r="G536" s="407" t="s">
        <v>97</v>
      </c>
      <c r="H536" s="407" t="s">
        <v>97</v>
      </c>
      <c r="I536" s="407" t="s">
        <v>1025</v>
      </c>
      <c r="J536" s="407" t="s">
        <v>2307</v>
      </c>
      <c r="K536" s="818">
        <v>44621</v>
      </c>
      <c r="L536" s="407">
        <v>0</v>
      </c>
      <c r="M536" s="407">
        <v>0</v>
      </c>
      <c r="N536" s="407">
        <v>2.74</v>
      </c>
      <c r="O536" s="407">
        <v>2.6303999999999998</v>
      </c>
      <c r="P536" s="407">
        <v>2.74</v>
      </c>
      <c r="Q536" s="407">
        <v>2.6303999999999998</v>
      </c>
      <c r="R536" s="407"/>
      <c r="S536" s="407">
        <v>2810.7</v>
      </c>
      <c r="T536" s="407">
        <v>159.41</v>
      </c>
      <c r="U536" s="407"/>
      <c r="V536" s="407">
        <v>8138.1014000000005</v>
      </c>
      <c r="W536" s="407">
        <v>8138.1014000000005</v>
      </c>
      <c r="X536" s="407">
        <v>5183.2305999999999</v>
      </c>
      <c r="Y536" s="407">
        <v>0</v>
      </c>
      <c r="Z536" s="407">
        <v>147.72468345180991</v>
      </c>
      <c r="AA536" s="407">
        <v>0</v>
      </c>
      <c r="AB536" s="407">
        <v>0</v>
      </c>
      <c r="AC536" s="407">
        <v>0</v>
      </c>
      <c r="AD536" s="407">
        <v>1672.8127258795116</v>
      </c>
      <c r="AE536" s="407">
        <v>5767.395597209148</v>
      </c>
      <c r="AF536" s="407">
        <v>422.59216379391864</v>
      </c>
      <c r="AG536" s="407">
        <v>14.197987432423348</v>
      </c>
      <c r="AH536" s="407">
        <v>0</v>
      </c>
      <c r="AI536" s="407">
        <v>0</v>
      </c>
      <c r="AJ536" s="407">
        <v>0</v>
      </c>
      <c r="AK536" s="407">
        <v>0</v>
      </c>
      <c r="AL536" s="407">
        <v>26.23839166103344</v>
      </c>
      <c r="AM536" s="407"/>
      <c r="AN536" s="407">
        <v>2.9420294716418387</v>
      </c>
      <c r="AO536" s="407">
        <v>0</v>
      </c>
      <c r="AP536" s="407">
        <v>0</v>
      </c>
      <c r="AQ536" s="407">
        <v>0</v>
      </c>
      <c r="AR536" s="407">
        <v>0</v>
      </c>
      <c r="AS536" s="407">
        <v>0</v>
      </c>
      <c r="AT536" s="407">
        <v>0</v>
      </c>
      <c r="AU536" s="407">
        <v>0</v>
      </c>
      <c r="AV536" s="407">
        <v>0</v>
      </c>
      <c r="AW536" s="407">
        <v>0</v>
      </c>
      <c r="AX536" s="407">
        <v>0</v>
      </c>
      <c r="AY536" s="407">
        <v>0</v>
      </c>
      <c r="AZ536" s="407">
        <v>0</v>
      </c>
      <c r="BA536" s="407"/>
      <c r="BB536" s="407">
        <v>0</v>
      </c>
      <c r="BC536" s="407">
        <v>0</v>
      </c>
      <c r="BD536" s="407">
        <v>0</v>
      </c>
      <c r="BE536" s="407">
        <v>0</v>
      </c>
      <c r="BF536" s="407">
        <v>0</v>
      </c>
      <c r="BG536" s="407">
        <v>14.220255743495136</v>
      </c>
      <c r="BH536" s="407">
        <v>0</v>
      </c>
      <c r="BI536" s="407">
        <v>0</v>
      </c>
      <c r="BJ536" s="407">
        <v>0</v>
      </c>
      <c r="BK536" s="407">
        <v>0</v>
      </c>
      <c r="BL536" s="407">
        <v>0</v>
      </c>
      <c r="BM536" s="407"/>
      <c r="BN536" s="407"/>
      <c r="BO536" s="407"/>
      <c r="BP536" s="407"/>
      <c r="BQ536" s="407"/>
      <c r="BR536" s="407">
        <v>207.32922400000069</v>
      </c>
      <c r="BS536" s="407"/>
      <c r="BT536" s="407"/>
      <c r="BU536" s="407"/>
      <c r="BV536" s="407">
        <v>436.8124195374138</v>
      </c>
      <c r="BW536" s="407"/>
      <c r="BX536" s="407"/>
      <c r="BY536" s="407"/>
      <c r="BZ536" s="407"/>
      <c r="CA536" s="407"/>
      <c r="CB536" s="407"/>
      <c r="CC536" s="407"/>
      <c r="CD536" s="407"/>
      <c r="CE536" s="407"/>
      <c r="CF536" s="407"/>
      <c r="CG536" s="407"/>
      <c r="CH536" s="407"/>
      <c r="CI536" s="407">
        <v>4975.1446999999989</v>
      </c>
      <c r="CJ536" s="407">
        <v>-2837.4626440000002</v>
      </c>
      <c r="CK536" s="407"/>
      <c r="CL536" s="407"/>
      <c r="CM536" s="407"/>
      <c r="CN536" s="407"/>
      <c r="CO536" s="407">
        <v>-3030.1385999999998</v>
      </c>
      <c r="CP536" s="407">
        <v>75.267800000000008</v>
      </c>
      <c r="CQ536" s="407">
        <v>31</v>
      </c>
      <c r="CR536" s="407">
        <v>-8.8573157661385267</v>
      </c>
      <c r="CS536" s="407">
        <v>0</v>
      </c>
      <c r="CT536" s="407">
        <v>0</v>
      </c>
      <c r="CU536" s="407">
        <v>0</v>
      </c>
      <c r="CV536" s="407">
        <v>0</v>
      </c>
      <c r="CW536" s="407">
        <v>0</v>
      </c>
      <c r="CX536" s="407">
        <v>0</v>
      </c>
      <c r="CY536" s="407">
        <v>0</v>
      </c>
      <c r="CZ536" s="407">
        <v>75.564267697835476</v>
      </c>
      <c r="DA536" s="407">
        <v>0</v>
      </c>
      <c r="DB536" s="407">
        <v>0</v>
      </c>
      <c r="DC536" s="407">
        <v>83.788614044793974</v>
      </c>
      <c r="DD536" s="407">
        <v>0</v>
      </c>
      <c r="DE536" s="407">
        <v>0</v>
      </c>
      <c r="DF536" s="407">
        <v>0</v>
      </c>
      <c r="DG536" s="407">
        <v>2.819492698144364</v>
      </c>
      <c r="DH536" s="407">
        <v>0</v>
      </c>
      <c r="DI536" s="407">
        <v>-10.346928252334266</v>
      </c>
      <c r="DJ536" s="407"/>
      <c r="DK536" s="407">
        <v>0</v>
      </c>
      <c r="DL536" s="407">
        <v>0</v>
      </c>
      <c r="DM536" s="407">
        <v>0</v>
      </c>
      <c r="DN536" s="407">
        <v>0</v>
      </c>
      <c r="DO536" s="407">
        <v>-1.600840403280646</v>
      </c>
      <c r="DP536" s="407">
        <v>-0.18745901527674125</v>
      </c>
      <c r="DQ536" s="407">
        <v>0</v>
      </c>
      <c r="DR536" s="407">
        <v>-158.89446253602071</v>
      </c>
      <c r="DS536" s="407"/>
      <c r="DT536" s="407"/>
      <c r="DU536" s="407"/>
      <c r="DV536" s="407">
        <v>5767.395597209148</v>
      </c>
      <c r="DW536" s="407">
        <v>0</v>
      </c>
      <c r="DX536" s="407">
        <v>0</v>
      </c>
      <c r="DY536" s="407">
        <v>-3030.1386000000002</v>
      </c>
      <c r="DZ536" s="407">
        <v>75.267799999999966</v>
      </c>
      <c r="EA536" s="407">
        <v>0</v>
      </c>
      <c r="EB536" s="407">
        <v>0</v>
      </c>
      <c r="EC536" s="407">
        <v>-2945.9990665421292</v>
      </c>
      <c r="ED536" s="407">
        <v>0</v>
      </c>
      <c r="EE536" s="407">
        <v>0</v>
      </c>
      <c r="EF536" s="407">
        <v>0</v>
      </c>
      <c r="EG536" s="407">
        <v>0</v>
      </c>
      <c r="EH536" s="407">
        <v>0</v>
      </c>
      <c r="EI536" s="407">
        <v>0</v>
      </c>
      <c r="EJ536" s="407">
        <v>0</v>
      </c>
      <c r="EK536" s="407">
        <v>0</v>
      </c>
      <c r="EL536" s="407">
        <v>0</v>
      </c>
      <c r="EM536" s="407">
        <v>0</v>
      </c>
      <c r="EN536" s="407">
        <v>0</v>
      </c>
      <c r="EO536" s="407">
        <v>0</v>
      </c>
      <c r="EP536" s="407">
        <v>69.974541294044926</v>
      </c>
      <c r="EQ536" s="407">
        <v>0</v>
      </c>
      <c r="ER536" s="407">
        <v>0</v>
      </c>
      <c r="ES536" s="407">
        <v>0</v>
      </c>
      <c r="ET536" s="407">
        <v>0</v>
      </c>
      <c r="EU536" s="407">
        <v>0</v>
      </c>
      <c r="EV536" s="407">
        <v>246</v>
      </c>
      <c r="EW536" s="407">
        <v>0</v>
      </c>
      <c r="EX536" s="407">
        <v>0</v>
      </c>
      <c r="EY536" s="407">
        <v>0</v>
      </c>
      <c r="EZ536" s="407"/>
      <c r="FA536" s="407">
        <v>0</v>
      </c>
      <c r="FB536" s="407"/>
      <c r="FC536" s="407"/>
      <c r="FD536" s="407"/>
      <c r="FE536" s="407"/>
      <c r="FF536" s="407">
        <v>0</v>
      </c>
      <c r="FG536" s="407">
        <v>0</v>
      </c>
      <c r="FH536" s="407">
        <v>0</v>
      </c>
      <c r="FI536" s="407">
        <v>0</v>
      </c>
    </row>
    <row r="537" spans="1:165">
      <c r="A537" s="407">
        <v>556</v>
      </c>
      <c r="B537" s="407" t="s">
        <v>1090</v>
      </c>
      <c r="C537" s="407" t="s">
        <v>2314</v>
      </c>
      <c r="D537" s="407" t="s">
        <v>650</v>
      </c>
      <c r="E537" s="407" t="s">
        <v>1026</v>
      </c>
      <c r="F537" s="407" t="s">
        <v>97</v>
      </c>
      <c r="G537" s="407" t="s">
        <v>97</v>
      </c>
      <c r="H537" s="407" t="s">
        <v>97</v>
      </c>
      <c r="I537" s="407" t="s">
        <v>2290</v>
      </c>
      <c r="J537" s="407" t="s">
        <v>2307</v>
      </c>
      <c r="K537" s="818">
        <v>44621</v>
      </c>
      <c r="L537" s="407">
        <v>0</v>
      </c>
      <c r="M537" s="407">
        <v>0</v>
      </c>
      <c r="N537" s="407">
        <v>848.55200000000002</v>
      </c>
      <c r="O537" s="407">
        <v>814.60991999999999</v>
      </c>
      <c r="P537" s="407">
        <v>848.55200000000002</v>
      </c>
      <c r="Q537" s="407">
        <v>814.60991999999999</v>
      </c>
      <c r="R537" s="407"/>
      <c r="S537" s="407">
        <v>95.29</v>
      </c>
      <c r="T537" s="407">
        <v>159.41</v>
      </c>
      <c r="U537" s="407"/>
      <c r="V537" s="407">
        <v>216126.19439999998</v>
      </c>
      <c r="W537" s="407">
        <v>216126.19439999998</v>
      </c>
      <c r="X537" s="407">
        <v>234972.53431999998</v>
      </c>
      <c r="Y537" s="407">
        <v>0</v>
      </c>
      <c r="Z537" s="407">
        <v>45748.932697956276</v>
      </c>
      <c r="AA537" s="407">
        <v>0</v>
      </c>
      <c r="AB537" s="407">
        <v>0</v>
      </c>
      <c r="AC537" s="407">
        <v>0</v>
      </c>
      <c r="AD537" s="407">
        <v>0</v>
      </c>
      <c r="AE537" s="407">
        <v>0</v>
      </c>
      <c r="AF537" s="407">
        <v>130872.78312834207</v>
      </c>
      <c r="AG537" s="407">
        <v>4396.9819823933194</v>
      </c>
      <c r="AH537" s="407">
        <v>0</v>
      </c>
      <c r="AI537" s="407">
        <v>0</v>
      </c>
      <c r="AJ537" s="407">
        <v>0</v>
      </c>
      <c r="AK537" s="407">
        <v>0</v>
      </c>
      <c r="AL537" s="407">
        <v>8125.7809199829362</v>
      </c>
      <c r="AM537" s="407"/>
      <c r="AN537" s="407">
        <v>911.11861029949841</v>
      </c>
      <c r="AO537" s="407">
        <v>0</v>
      </c>
      <c r="AP537" s="407">
        <v>0</v>
      </c>
      <c r="AQ537" s="407">
        <v>0</v>
      </c>
      <c r="AR537" s="407">
        <v>0</v>
      </c>
      <c r="AS537" s="407">
        <v>0</v>
      </c>
      <c r="AT537" s="407">
        <v>0</v>
      </c>
      <c r="AU537" s="407">
        <v>0</v>
      </c>
      <c r="AV537" s="407">
        <v>0</v>
      </c>
      <c r="AW537" s="407">
        <v>0</v>
      </c>
      <c r="AX537" s="407">
        <v>0</v>
      </c>
      <c r="AY537" s="407">
        <v>0</v>
      </c>
      <c r="AZ537" s="407">
        <v>0</v>
      </c>
      <c r="BA537" s="407"/>
      <c r="BB537" s="407">
        <v>0</v>
      </c>
      <c r="BC537" s="407">
        <v>0</v>
      </c>
      <c r="BD537" s="407">
        <v>0</v>
      </c>
      <c r="BE537" s="407">
        <v>0</v>
      </c>
      <c r="BF537" s="407">
        <v>0</v>
      </c>
      <c r="BG537" s="407">
        <v>4403.8782670271112</v>
      </c>
      <c r="BH537" s="407">
        <v>0</v>
      </c>
      <c r="BI537" s="407">
        <v>0</v>
      </c>
      <c r="BJ537" s="407">
        <v>0</v>
      </c>
      <c r="BK537" s="407">
        <v>0</v>
      </c>
      <c r="BL537" s="407">
        <v>0</v>
      </c>
      <c r="BM537" s="407"/>
      <c r="BN537" s="407"/>
      <c r="BO537" s="407"/>
      <c r="BP537" s="407"/>
      <c r="BQ537" s="407"/>
      <c r="BR537" s="407">
        <v>9398.9013728000082</v>
      </c>
      <c r="BS537" s="407"/>
      <c r="BT537" s="407"/>
      <c r="BU537" s="407"/>
      <c r="BV537" s="407">
        <v>135276.66139536918</v>
      </c>
      <c r="BW537" s="407"/>
      <c r="BX537" s="407"/>
      <c r="BY537" s="407"/>
      <c r="BZ537" s="407"/>
      <c r="CA537" s="407"/>
      <c r="CB537" s="407"/>
      <c r="CC537" s="407"/>
      <c r="CD537" s="407"/>
      <c r="CE537" s="407"/>
      <c r="CF537" s="407"/>
      <c r="CG537" s="407"/>
      <c r="CH537" s="407"/>
      <c r="CI537" s="407">
        <v>225573.6551</v>
      </c>
      <c r="CJ537" s="407">
        <v>18092.478475999989</v>
      </c>
      <c r="CK537" s="407"/>
      <c r="CL537" s="407"/>
      <c r="CM537" s="407"/>
      <c r="CN537" s="407"/>
      <c r="CO537" s="407">
        <v>-4463.3835200000049</v>
      </c>
      <c r="CP537" s="407">
        <v>23309.723439999998</v>
      </c>
      <c r="CQ537" s="407">
        <v>31</v>
      </c>
      <c r="CR537" s="407">
        <v>18843.657824970316</v>
      </c>
      <c r="CS537" s="407">
        <v>0</v>
      </c>
      <c r="CT537" s="407">
        <v>0</v>
      </c>
      <c r="CU537" s="407">
        <v>0</v>
      </c>
      <c r="CV537" s="407">
        <v>0</v>
      </c>
      <c r="CW537" s="407">
        <v>0</v>
      </c>
      <c r="CX537" s="407">
        <v>0</v>
      </c>
      <c r="CY537" s="407">
        <v>0</v>
      </c>
      <c r="CZ537" s="407">
        <v>0</v>
      </c>
      <c r="DA537" s="407">
        <v>0</v>
      </c>
      <c r="DB537" s="407">
        <v>0</v>
      </c>
      <c r="DC537" s="407">
        <v>25948.538695232826</v>
      </c>
      <c r="DD537" s="407">
        <v>0</v>
      </c>
      <c r="DE537" s="407">
        <v>0</v>
      </c>
      <c r="DF537" s="407">
        <v>0</v>
      </c>
      <c r="DG537" s="407">
        <v>873.17013430503539</v>
      </c>
      <c r="DH537" s="407">
        <v>0</v>
      </c>
      <c r="DI537" s="407">
        <v>-3204.3454972170584</v>
      </c>
      <c r="DJ537" s="407"/>
      <c r="DK537" s="407">
        <v>0</v>
      </c>
      <c r="DL537" s="407">
        <v>0</v>
      </c>
      <c r="DM537" s="407">
        <v>0</v>
      </c>
      <c r="DN537" s="407">
        <v>0</v>
      </c>
      <c r="DO537" s="407">
        <v>-495.76508243963508</v>
      </c>
      <c r="DP537" s="407">
        <v>-58.054278223032725</v>
      </c>
      <c r="DQ537" s="407">
        <v>0</v>
      </c>
      <c r="DR537" s="407">
        <v>-4219.8861466877988</v>
      </c>
      <c r="DS537" s="407"/>
      <c r="DT537" s="407"/>
      <c r="DU537" s="407"/>
      <c r="DV537" s="407">
        <v>0</v>
      </c>
      <c r="DW537" s="407">
        <v>0</v>
      </c>
      <c r="DX537" s="407">
        <v>0</v>
      </c>
      <c r="DY537" s="407">
        <v>-4463.383520000003</v>
      </c>
      <c r="DZ537" s="407">
        <v>23309.723440000002</v>
      </c>
      <c r="EA537" s="407">
        <v>0</v>
      </c>
      <c r="EB537" s="407">
        <v>0</v>
      </c>
      <c r="EC537" s="407">
        <v>0</v>
      </c>
      <c r="ED537" s="407">
        <v>0</v>
      </c>
      <c r="EE537" s="407">
        <v>0</v>
      </c>
      <c r="EF537" s="407">
        <v>0</v>
      </c>
      <c r="EG537" s="407">
        <v>0</v>
      </c>
      <c r="EH537" s="407">
        <v>0</v>
      </c>
      <c r="EI537" s="407">
        <v>0</v>
      </c>
      <c r="EJ537" s="407">
        <v>0</v>
      </c>
      <c r="EK537" s="407">
        <v>0</v>
      </c>
      <c r="EL537" s="407">
        <v>0</v>
      </c>
      <c r="EM537" s="407">
        <v>0</v>
      </c>
      <c r="EN537" s="407">
        <v>0</v>
      </c>
      <c r="EO537" s="407">
        <v>0</v>
      </c>
      <c r="EP537" s="407">
        <v>21670.451446768031</v>
      </c>
      <c r="EQ537" s="407">
        <v>0</v>
      </c>
      <c r="ER537" s="407">
        <v>0</v>
      </c>
      <c r="ES537" s="407">
        <v>0</v>
      </c>
      <c r="ET537" s="407">
        <v>0</v>
      </c>
      <c r="EU537" s="407">
        <v>0</v>
      </c>
      <c r="EV537" s="407">
        <v>246</v>
      </c>
      <c r="EW537" s="407">
        <v>0</v>
      </c>
      <c r="EX537" s="407">
        <v>0</v>
      </c>
      <c r="EY537" s="407">
        <v>0</v>
      </c>
      <c r="EZ537" s="407"/>
      <c r="FA537" s="407">
        <v>0</v>
      </c>
      <c r="FB537" s="407"/>
      <c r="FC537" s="407"/>
      <c r="FD537" s="407"/>
      <c r="FE537" s="407"/>
      <c r="FF537" s="407">
        <v>0</v>
      </c>
      <c r="FG537" s="407">
        <v>0</v>
      </c>
      <c r="FH537" s="407">
        <v>0</v>
      </c>
      <c r="FI537" s="407">
        <v>0</v>
      </c>
    </row>
    <row r="538" spans="1:165">
      <c r="A538" s="407">
        <v>557</v>
      </c>
      <c r="B538" s="407" t="s">
        <v>2309</v>
      </c>
      <c r="C538" s="407" t="s">
        <v>2314</v>
      </c>
      <c r="D538" s="407" t="s">
        <v>650</v>
      </c>
      <c r="E538" s="407" t="s">
        <v>1026</v>
      </c>
      <c r="F538" s="407" t="s">
        <v>97</v>
      </c>
      <c r="G538" s="407" t="s">
        <v>97</v>
      </c>
      <c r="H538" s="407" t="s">
        <v>97</v>
      </c>
      <c r="I538" s="407" t="s">
        <v>2290</v>
      </c>
      <c r="J538" s="407" t="s">
        <v>2307</v>
      </c>
      <c r="K538" s="818">
        <v>44621</v>
      </c>
      <c r="L538" s="407">
        <v>0</v>
      </c>
      <c r="M538" s="407">
        <v>0</v>
      </c>
      <c r="N538" s="407">
        <v>39.72</v>
      </c>
      <c r="O538" s="407">
        <v>38.1312</v>
      </c>
      <c r="P538" s="407">
        <v>39.72</v>
      </c>
      <c r="Q538" s="407">
        <v>38.1312</v>
      </c>
      <c r="R538" s="407"/>
      <c r="S538" s="407">
        <v>95.29</v>
      </c>
      <c r="T538" s="407">
        <v>159.41</v>
      </c>
      <c r="U538" s="407"/>
      <c r="V538" s="407">
        <v>10116.683999999999</v>
      </c>
      <c r="W538" s="407">
        <v>10116.683999999999</v>
      </c>
      <c r="X538" s="407">
        <v>10998.8652</v>
      </c>
      <c r="Y538" s="407">
        <v>0</v>
      </c>
      <c r="Z538" s="407">
        <v>2141.4687688707622</v>
      </c>
      <c r="AA538" s="407">
        <v>0</v>
      </c>
      <c r="AB538" s="407">
        <v>0</v>
      </c>
      <c r="AC538" s="407">
        <v>0</v>
      </c>
      <c r="AD538" s="407">
        <v>0</v>
      </c>
      <c r="AE538" s="407">
        <v>0</v>
      </c>
      <c r="AF538" s="407">
        <v>6126.0440678446885</v>
      </c>
      <c r="AG538" s="407">
        <v>205.81900029775741</v>
      </c>
      <c r="AH538" s="407">
        <v>0</v>
      </c>
      <c r="AI538" s="407">
        <v>0</v>
      </c>
      <c r="AJ538" s="407">
        <v>0</v>
      </c>
      <c r="AK538" s="407">
        <v>0</v>
      </c>
      <c r="AL538" s="407">
        <v>380.36091853147741</v>
      </c>
      <c r="AM538" s="407"/>
      <c r="AN538" s="407">
        <v>42.64869000496855</v>
      </c>
      <c r="AO538" s="407">
        <v>0</v>
      </c>
      <c r="AP538" s="407">
        <v>0</v>
      </c>
      <c r="AQ538" s="407">
        <v>0</v>
      </c>
      <c r="AR538" s="407">
        <v>0</v>
      </c>
      <c r="AS538" s="407">
        <v>0</v>
      </c>
      <c r="AT538" s="407">
        <v>0</v>
      </c>
      <c r="AU538" s="407">
        <v>0</v>
      </c>
      <c r="AV538" s="407">
        <v>0</v>
      </c>
      <c r="AW538" s="407">
        <v>0</v>
      </c>
      <c r="AX538" s="407">
        <v>0</v>
      </c>
      <c r="AY538" s="407">
        <v>0</v>
      </c>
      <c r="AZ538" s="407">
        <v>0</v>
      </c>
      <c r="BA538" s="407"/>
      <c r="BB538" s="407">
        <v>0</v>
      </c>
      <c r="BC538" s="407">
        <v>0</v>
      </c>
      <c r="BD538" s="407">
        <v>0</v>
      </c>
      <c r="BE538" s="407">
        <v>0</v>
      </c>
      <c r="BF538" s="407">
        <v>0</v>
      </c>
      <c r="BG538" s="407">
        <v>206.14180953709007</v>
      </c>
      <c r="BH538" s="407">
        <v>0</v>
      </c>
      <c r="BI538" s="407">
        <v>0</v>
      </c>
      <c r="BJ538" s="407">
        <v>0</v>
      </c>
      <c r="BK538" s="407">
        <v>0</v>
      </c>
      <c r="BL538" s="407">
        <v>0</v>
      </c>
      <c r="BM538" s="407"/>
      <c r="BN538" s="407"/>
      <c r="BO538" s="407"/>
      <c r="BP538" s="407"/>
      <c r="BQ538" s="407"/>
      <c r="BR538" s="407">
        <v>439.95460799999978</v>
      </c>
      <c r="BS538" s="407"/>
      <c r="BT538" s="407"/>
      <c r="BU538" s="407"/>
      <c r="BV538" s="407">
        <v>6332.1858773817785</v>
      </c>
      <c r="BW538" s="407"/>
      <c r="BX538" s="407"/>
      <c r="BY538" s="407"/>
      <c r="BZ538" s="407"/>
      <c r="CA538" s="407"/>
      <c r="CB538" s="407"/>
      <c r="CC538" s="407"/>
      <c r="CD538" s="407"/>
      <c r="CE538" s="407"/>
      <c r="CF538" s="407"/>
      <c r="CG538" s="407"/>
      <c r="CH538" s="407"/>
      <c r="CI538" s="407">
        <v>10558.578300000001</v>
      </c>
      <c r="CJ538" s="407">
        <v>846.53166000000056</v>
      </c>
      <c r="CK538" s="407"/>
      <c r="CL538" s="407"/>
      <c r="CM538" s="407"/>
      <c r="CN538" s="407"/>
      <c r="CO538" s="407">
        <v>-208.9272000000002</v>
      </c>
      <c r="CP538" s="407">
        <v>1091.1083999999998</v>
      </c>
      <c r="CQ538" s="407">
        <v>31</v>
      </c>
      <c r="CR538" s="407">
        <v>882.05565340465182</v>
      </c>
      <c r="CS538" s="407">
        <v>0</v>
      </c>
      <c r="CT538" s="407">
        <v>0</v>
      </c>
      <c r="CU538" s="407">
        <v>0</v>
      </c>
      <c r="CV538" s="407">
        <v>0</v>
      </c>
      <c r="CW538" s="407">
        <v>0</v>
      </c>
      <c r="CX538" s="407">
        <v>0</v>
      </c>
      <c r="CY538" s="407">
        <v>0</v>
      </c>
      <c r="CZ538" s="407">
        <v>0</v>
      </c>
      <c r="DA538" s="407">
        <v>0</v>
      </c>
      <c r="DB538" s="407">
        <v>0</v>
      </c>
      <c r="DC538" s="407">
        <v>1214.6291057880353</v>
      </c>
      <c r="DD538" s="407">
        <v>0</v>
      </c>
      <c r="DE538" s="407">
        <v>0</v>
      </c>
      <c r="DF538" s="407">
        <v>0</v>
      </c>
      <c r="DG538" s="407">
        <v>40.872354003756982</v>
      </c>
      <c r="DH538" s="407">
        <v>0</v>
      </c>
      <c r="DI538" s="407">
        <v>-149.99269714697675</v>
      </c>
      <c r="DJ538" s="407"/>
      <c r="DK538" s="407">
        <v>0</v>
      </c>
      <c r="DL538" s="407">
        <v>0</v>
      </c>
      <c r="DM538" s="407">
        <v>0</v>
      </c>
      <c r="DN538" s="407">
        <v>0</v>
      </c>
      <c r="DO538" s="407">
        <v>-23.206343364345742</v>
      </c>
      <c r="DP538" s="407">
        <v>-2.7174715645226897</v>
      </c>
      <c r="DQ538" s="407">
        <v>0</v>
      </c>
      <c r="DR538" s="407">
        <v>-197.52929431129661</v>
      </c>
      <c r="DS538" s="407"/>
      <c r="DT538" s="407"/>
      <c r="DU538" s="407"/>
      <c r="DV538" s="407">
        <v>0</v>
      </c>
      <c r="DW538" s="407">
        <v>0</v>
      </c>
      <c r="DX538" s="407">
        <v>0</v>
      </c>
      <c r="DY538" s="407">
        <v>-208.92720000000008</v>
      </c>
      <c r="DZ538" s="407">
        <v>1091.1084000000001</v>
      </c>
      <c r="EA538" s="407">
        <v>0</v>
      </c>
      <c r="EB538" s="407">
        <v>0</v>
      </c>
      <c r="EC538" s="407">
        <v>0</v>
      </c>
      <c r="ED538" s="407">
        <v>0</v>
      </c>
      <c r="EE538" s="407">
        <v>0</v>
      </c>
      <c r="EF538" s="407">
        <v>0</v>
      </c>
      <c r="EG538" s="407">
        <v>0</v>
      </c>
      <c r="EH538" s="407">
        <v>0</v>
      </c>
      <c r="EI538" s="407">
        <v>0</v>
      </c>
      <c r="EJ538" s="407">
        <v>0</v>
      </c>
      <c r="EK538" s="407">
        <v>0</v>
      </c>
      <c r="EL538" s="407">
        <v>0</v>
      </c>
      <c r="EM538" s="407">
        <v>0</v>
      </c>
      <c r="EN538" s="407">
        <v>0</v>
      </c>
      <c r="EO538" s="407">
        <v>0</v>
      </c>
      <c r="EP538" s="407">
        <v>1014.3754672260817</v>
      </c>
      <c r="EQ538" s="407">
        <v>0</v>
      </c>
      <c r="ER538" s="407">
        <v>0</v>
      </c>
      <c r="ES538" s="407">
        <v>0</v>
      </c>
      <c r="ET538" s="407">
        <v>0</v>
      </c>
      <c r="EU538" s="407">
        <v>0</v>
      </c>
      <c r="EV538" s="407">
        <v>246</v>
      </c>
      <c r="EW538" s="407">
        <v>0</v>
      </c>
      <c r="EX538" s="407">
        <v>0</v>
      </c>
      <c r="EY538" s="407">
        <v>0</v>
      </c>
      <c r="EZ538" s="407"/>
      <c r="FA538" s="407">
        <v>0</v>
      </c>
      <c r="FB538" s="407"/>
      <c r="FC538" s="407"/>
      <c r="FD538" s="407"/>
      <c r="FE538" s="407"/>
      <c r="FF538" s="407">
        <v>0</v>
      </c>
      <c r="FG538" s="407">
        <v>0</v>
      </c>
      <c r="FH538" s="407">
        <v>0</v>
      </c>
      <c r="FI538" s="407">
        <v>0</v>
      </c>
    </row>
    <row r="539" spans="1:165">
      <c r="A539" s="407">
        <v>558</v>
      </c>
      <c r="B539" s="407" t="s">
        <v>1090</v>
      </c>
      <c r="C539" s="407" t="s">
        <v>2314</v>
      </c>
      <c r="D539" s="407" t="s">
        <v>650</v>
      </c>
      <c r="E539" s="407" t="s">
        <v>1026</v>
      </c>
      <c r="F539" s="407" t="s">
        <v>97</v>
      </c>
      <c r="G539" s="407" t="s">
        <v>97</v>
      </c>
      <c r="H539" s="407" t="s">
        <v>97</v>
      </c>
      <c r="I539" s="407" t="s">
        <v>97</v>
      </c>
      <c r="J539" s="407" t="s">
        <v>2307</v>
      </c>
      <c r="K539" s="818">
        <v>44621</v>
      </c>
      <c r="L539" s="407">
        <v>3550</v>
      </c>
      <c r="M539" s="407">
        <v>3408</v>
      </c>
      <c r="N539" s="407">
        <v>0</v>
      </c>
      <c r="O539" s="407">
        <v>0</v>
      </c>
      <c r="P539" s="407">
        <v>0</v>
      </c>
      <c r="Q539" s="407">
        <v>0</v>
      </c>
      <c r="R539" s="407">
        <v>43.29</v>
      </c>
      <c r="S539" s="407"/>
      <c r="T539" s="407"/>
      <c r="U539" s="407">
        <v>153679.5</v>
      </c>
      <c r="V539" s="407"/>
      <c r="W539" s="407">
        <v>153679.5</v>
      </c>
      <c r="X539" s="407">
        <v>118889.5</v>
      </c>
      <c r="Y539" s="407">
        <v>0</v>
      </c>
      <c r="Z539" s="407">
        <v>0</v>
      </c>
      <c r="AA539" s="407">
        <v>0</v>
      </c>
      <c r="AB539" s="407">
        <v>0</v>
      </c>
      <c r="AC539" s="407">
        <v>0</v>
      </c>
      <c r="AD539" s="407">
        <v>84007.154412454911</v>
      </c>
      <c r="AE539" s="407">
        <v>69683.614220519172</v>
      </c>
      <c r="AF539" s="407"/>
      <c r="AG539" s="407"/>
      <c r="AH539" s="407"/>
      <c r="AI539" s="407">
        <v>0</v>
      </c>
      <c r="AJ539" s="407">
        <v>0</v>
      </c>
      <c r="AK539" s="407">
        <v>0</v>
      </c>
      <c r="AL539" s="407">
        <v>0</v>
      </c>
      <c r="AM539" s="407"/>
      <c r="AN539" s="407">
        <v>0</v>
      </c>
      <c r="AO539" s="407">
        <v>0</v>
      </c>
      <c r="AP539" s="407">
        <v>0</v>
      </c>
      <c r="AQ539" s="407">
        <v>0</v>
      </c>
      <c r="AR539" s="407">
        <v>0</v>
      </c>
      <c r="AS539" s="407"/>
      <c r="AT539" s="407"/>
      <c r="AU539" s="407">
        <v>0</v>
      </c>
      <c r="AV539" s="407">
        <v>0</v>
      </c>
      <c r="AW539" s="407">
        <v>0</v>
      </c>
      <c r="AX539" s="407"/>
      <c r="AY539" s="407"/>
      <c r="AZ539" s="407">
        <v>0</v>
      </c>
      <c r="BA539" s="407"/>
      <c r="BB539" s="407">
        <v>0</v>
      </c>
      <c r="BC539" s="407">
        <v>0</v>
      </c>
      <c r="BD539" s="407">
        <v>0</v>
      </c>
      <c r="BE539" s="407">
        <v>0</v>
      </c>
      <c r="BF539" s="407"/>
      <c r="BG539" s="407">
        <v>0</v>
      </c>
      <c r="BH539" s="407">
        <v>0</v>
      </c>
      <c r="BI539" s="407">
        <v>867.44</v>
      </c>
      <c r="BJ539" s="407">
        <v>3741.15</v>
      </c>
      <c r="BK539" s="407">
        <v>162.25</v>
      </c>
      <c r="BL539" s="407">
        <v>23</v>
      </c>
      <c r="BM539" s="407"/>
      <c r="BN539" s="407"/>
      <c r="BO539" s="407"/>
      <c r="BP539" s="407"/>
      <c r="BQ539" s="407"/>
      <c r="BR539" s="407">
        <v>4755.58</v>
      </c>
      <c r="BS539" s="407"/>
      <c r="BT539" s="407"/>
      <c r="BU539" s="407"/>
      <c r="BV539" s="407">
        <v>0</v>
      </c>
      <c r="BW539" s="407"/>
      <c r="BX539" s="407"/>
      <c r="BY539" s="407"/>
      <c r="BZ539" s="407"/>
      <c r="CA539" s="407"/>
      <c r="CB539" s="407"/>
      <c r="CC539" s="407"/>
      <c r="CD539" s="407"/>
      <c r="CE539" s="407"/>
      <c r="CF539" s="407"/>
      <c r="CG539" s="407"/>
      <c r="CH539" s="407"/>
      <c r="CI539" s="407">
        <v>114133.92000000001</v>
      </c>
      <c r="CJ539" s="407">
        <v>-33398.430000000022</v>
      </c>
      <c r="CK539" s="407"/>
      <c r="CL539" s="407"/>
      <c r="CM539" s="407"/>
      <c r="CN539" s="407"/>
      <c r="CO539" s="407">
        <v>-34789.999999999993</v>
      </c>
      <c r="CP539" s="407">
        <v>0</v>
      </c>
      <c r="CQ539" s="407">
        <v>31</v>
      </c>
      <c r="CR539" s="407">
        <v>793.99351551204745</v>
      </c>
      <c r="CS539" s="407">
        <v>0</v>
      </c>
      <c r="CT539" s="407">
        <v>0</v>
      </c>
      <c r="CU539" s="407">
        <v>0</v>
      </c>
      <c r="CV539" s="407">
        <v>0</v>
      </c>
      <c r="CW539" s="407"/>
      <c r="CX539" s="407"/>
      <c r="CY539" s="407"/>
      <c r="CZ539" s="407">
        <v>3794.7697350391827</v>
      </c>
      <c r="DA539" s="407">
        <v>0</v>
      </c>
      <c r="DB539" s="407">
        <v>0</v>
      </c>
      <c r="DC539" s="407"/>
      <c r="DD539" s="407"/>
      <c r="DE539" s="407">
        <v>0</v>
      </c>
      <c r="DF539" s="407">
        <v>0</v>
      </c>
      <c r="DG539" s="407">
        <v>0</v>
      </c>
      <c r="DH539" s="407">
        <v>0</v>
      </c>
      <c r="DI539" s="407">
        <v>0</v>
      </c>
      <c r="DJ539" s="407"/>
      <c r="DK539" s="407">
        <v>0</v>
      </c>
      <c r="DL539" s="407">
        <v>0</v>
      </c>
      <c r="DM539" s="407"/>
      <c r="DN539" s="407">
        <v>0</v>
      </c>
      <c r="DO539" s="407">
        <v>0</v>
      </c>
      <c r="DP539" s="407">
        <v>0</v>
      </c>
      <c r="DQ539" s="407">
        <v>0</v>
      </c>
      <c r="DR539" s="407">
        <v>-3000.7762195271398</v>
      </c>
      <c r="DS539" s="407"/>
      <c r="DT539" s="407"/>
      <c r="DU539" s="407">
        <v>69683.614220519172</v>
      </c>
      <c r="DV539" s="407"/>
      <c r="DW539" s="407">
        <v>0</v>
      </c>
      <c r="DX539" s="407">
        <v>0</v>
      </c>
      <c r="DY539" s="407">
        <v>-34790</v>
      </c>
      <c r="DZ539" s="407"/>
      <c r="EA539" s="407">
        <v>0</v>
      </c>
      <c r="EB539" s="407"/>
      <c r="EC539" s="407">
        <v>-35594.55199263111</v>
      </c>
      <c r="ED539" s="407"/>
      <c r="EE539" s="407">
        <v>0</v>
      </c>
      <c r="EF539" s="407">
        <v>0</v>
      </c>
      <c r="EG539" s="407"/>
      <c r="EH539" s="407">
        <v>0</v>
      </c>
      <c r="EI539" s="407">
        <v>0</v>
      </c>
      <c r="EJ539" s="407">
        <v>0</v>
      </c>
      <c r="EK539" s="407">
        <v>0</v>
      </c>
      <c r="EL539" s="407">
        <v>0</v>
      </c>
      <c r="EM539" s="407"/>
      <c r="EN539" s="407"/>
      <c r="EO539" s="407">
        <v>0</v>
      </c>
      <c r="EP539" s="407">
        <v>0</v>
      </c>
      <c r="EQ539" s="407"/>
      <c r="ER539" s="407">
        <v>0</v>
      </c>
      <c r="ES539" s="407"/>
      <c r="ET539" s="407">
        <v>0</v>
      </c>
      <c r="EU539" s="407"/>
      <c r="EV539" s="407">
        <v>246</v>
      </c>
      <c r="EW539" s="407"/>
      <c r="EX539" s="407"/>
      <c r="EY539" s="407"/>
      <c r="EZ539" s="407"/>
      <c r="FA539" s="407">
        <v>0</v>
      </c>
      <c r="FB539" s="407"/>
      <c r="FC539" s="407"/>
      <c r="FD539" s="407"/>
      <c r="FE539" s="407"/>
      <c r="FF539" s="407">
        <v>0</v>
      </c>
      <c r="FG539" s="407">
        <v>0</v>
      </c>
      <c r="FH539" s="407">
        <v>0</v>
      </c>
      <c r="FI539" s="407">
        <v>0</v>
      </c>
    </row>
    <row r="540" spans="1:165">
      <c r="A540" s="407">
        <v>559</v>
      </c>
      <c r="B540" s="407" t="s">
        <v>2309</v>
      </c>
      <c r="C540" s="407" t="s">
        <v>2314</v>
      </c>
      <c r="D540" s="407" t="s">
        <v>650</v>
      </c>
      <c r="E540" s="407" t="s">
        <v>1026</v>
      </c>
      <c r="F540" s="407" t="s">
        <v>97</v>
      </c>
      <c r="G540" s="407" t="s">
        <v>97</v>
      </c>
      <c r="H540" s="407" t="s">
        <v>97</v>
      </c>
      <c r="I540" s="407" t="s">
        <v>97</v>
      </c>
      <c r="J540" s="407" t="s">
        <v>2307</v>
      </c>
      <c r="K540" s="818">
        <v>44621</v>
      </c>
      <c r="L540" s="407">
        <v>362</v>
      </c>
      <c r="M540" s="407">
        <v>347.52</v>
      </c>
      <c r="N540" s="407">
        <v>0</v>
      </c>
      <c r="O540" s="407">
        <v>0</v>
      </c>
      <c r="P540" s="407">
        <v>0</v>
      </c>
      <c r="Q540" s="407">
        <v>0</v>
      </c>
      <c r="R540" s="407">
        <v>43.29</v>
      </c>
      <c r="S540" s="407"/>
      <c r="T540" s="407"/>
      <c r="U540" s="407">
        <v>15670.98</v>
      </c>
      <c r="V540" s="407"/>
      <c r="W540" s="407">
        <v>15670.98</v>
      </c>
      <c r="X540" s="407">
        <v>12123.380000000001</v>
      </c>
      <c r="Y540" s="407">
        <v>0</v>
      </c>
      <c r="Z540" s="407">
        <v>0</v>
      </c>
      <c r="AA540" s="407">
        <v>0</v>
      </c>
      <c r="AB540" s="407">
        <v>0</v>
      </c>
      <c r="AC540" s="407">
        <v>0</v>
      </c>
      <c r="AD540" s="407">
        <v>8566.3633513545556</v>
      </c>
      <c r="AE540" s="407">
        <v>7105.7657317825187</v>
      </c>
      <c r="AF540" s="407"/>
      <c r="AG540" s="407"/>
      <c r="AH540" s="407"/>
      <c r="AI540" s="407">
        <v>0</v>
      </c>
      <c r="AJ540" s="407">
        <v>0</v>
      </c>
      <c r="AK540" s="407">
        <v>0</v>
      </c>
      <c r="AL540" s="407">
        <v>0</v>
      </c>
      <c r="AM540" s="407"/>
      <c r="AN540" s="407">
        <v>0</v>
      </c>
      <c r="AO540" s="407">
        <v>0</v>
      </c>
      <c r="AP540" s="407">
        <v>0</v>
      </c>
      <c r="AQ540" s="407">
        <v>0</v>
      </c>
      <c r="AR540" s="407">
        <v>0</v>
      </c>
      <c r="AS540" s="407"/>
      <c r="AT540" s="407"/>
      <c r="AU540" s="407">
        <v>0</v>
      </c>
      <c r="AV540" s="407">
        <v>0</v>
      </c>
      <c r="AW540" s="407">
        <v>0</v>
      </c>
      <c r="AX540" s="407"/>
      <c r="AY540" s="407"/>
      <c r="AZ540" s="407">
        <v>0</v>
      </c>
      <c r="BA540" s="407"/>
      <c r="BB540" s="407">
        <v>0</v>
      </c>
      <c r="BC540" s="407">
        <v>0</v>
      </c>
      <c r="BD540" s="407">
        <v>0</v>
      </c>
      <c r="BE540" s="407">
        <v>0</v>
      </c>
      <c r="BF540" s="407"/>
      <c r="BG540" s="407">
        <v>0</v>
      </c>
      <c r="BH540" s="407">
        <v>0</v>
      </c>
      <c r="BI540" s="407">
        <v>55.86</v>
      </c>
      <c r="BJ540" s="407">
        <v>240.94</v>
      </c>
      <c r="BK540" s="407">
        <v>19.64</v>
      </c>
      <c r="BL540" s="407">
        <v>3</v>
      </c>
      <c r="BM540" s="407"/>
      <c r="BN540" s="407"/>
      <c r="BO540" s="407"/>
      <c r="BP540" s="407"/>
      <c r="BQ540" s="407"/>
      <c r="BR540" s="407">
        <v>484.93520000000063</v>
      </c>
      <c r="BS540" s="407"/>
      <c r="BT540" s="407"/>
      <c r="BU540" s="407"/>
      <c r="BV540" s="407">
        <v>0</v>
      </c>
      <c r="BW540" s="407"/>
      <c r="BX540" s="407"/>
      <c r="BY540" s="407"/>
      <c r="BZ540" s="407"/>
      <c r="CA540" s="407"/>
      <c r="CB540" s="407"/>
      <c r="CC540" s="407"/>
      <c r="CD540" s="407"/>
      <c r="CE540" s="407"/>
      <c r="CF540" s="407"/>
      <c r="CG540" s="407"/>
      <c r="CH540" s="407"/>
      <c r="CI540" s="407">
        <v>11638.444799999999</v>
      </c>
      <c r="CJ540" s="407">
        <v>-3405.7260000000006</v>
      </c>
      <c r="CK540" s="407"/>
      <c r="CL540" s="407"/>
      <c r="CM540" s="407"/>
      <c r="CN540" s="407"/>
      <c r="CO540" s="407">
        <v>-3547.599999999999</v>
      </c>
      <c r="CP540" s="407">
        <v>0</v>
      </c>
      <c r="CQ540" s="407">
        <v>31</v>
      </c>
      <c r="CR540" s="407">
        <v>80.964972567708173</v>
      </c>
      <c r="CS540" s="407">
        <v>0</v>
      </c>
      <c r="CT540" s="407">
        <v>0</v>
      </c>
      <c r="CU540" s="407">
        <v>0</v>
      </c>
      <c r="CV540" s="407">
        <v>0</v>
      </c>
      <c r="CW540" s="407"/>
      <c r="CX540" s="407"/>
      <c r="CY540" s="407"/>
      <c r="CZ540" s="407">
        <v>386.95961805188381</v>
      </c>
      <c r="DA540" s="407">
        <v>0</v>
      </c>
      <c r="DB540" s="407">
        <v>0</v>
      </c>
      <c r="DC540" s="407"/>
      <c r="DD540" s="407"/>
      <c r="DE540" s="407">
        <v>0</v>
      </c>
      <c r="DF540" s="407">
        <v>0</v>
      </c>
      <c r="DG540" s="407">
        <v>0</v>
      </c>
      <c r="DH540" s="407">
        <v>0</v>
      </c>
      <c r="DI540" s="407">
        <v>0</v>
      </c>
      <c r="DJ540" s="407"/>
      <c r="DK540" s="407">
        <v>0</v>
      </c>
      <c r="DL540" s="407">
        <v>0</v>
      </c>
      <c r="DM540" s="407"/>
      <c r="DN540" s="407">
        <v>0</v>
      </c>
      <c r="DO540" s="407">
        <v>0</v>
      </c>
      <c r="DP540" s="407">
        <v>0</v>
      </c>
      <c r="DQ540" s="407">
        <v>0</v>
      </c>
      <c r="DR540" s="407">
        <v>-305.99464548417592</v>
      </c>
      <c r="DS540" s="407"/>
      <c r="DT540" s="407"/>
      <c r="DU540" s="407">
        <v>7105.7657317825187</v>
      </c>
      <c r="DV540" s="407"/>
      <c r="DW540" s="407">
        <v>0</v>
      </c>
      <c r="DX540" s="407">
        <v>0</v>
      </c>
      <c r="DY540" s="407">
        <v>-3547.5999999999985</v>
      </c>
      <c r="DZ540" s="407"/>
      <c r="EA540" s="407">
        <v>0</v>
      </c>
      <c r="EB540" s="407"/>
      <c r="EC540" s="407">
        <v>-3629.6416398119613</v>
      </c>
      <c r="ED540" s="407"/>
      <c r="EE540" s="407">
        <v>0</v>
      </c>
      <c r="EF540" s="407">
        <v>0</v>
      </c>
      <c r="EG540" s="407"/>
      <c r="EH540" s="407">
        <v>0</v>
      </c>
      <c r="EI540" s="407">
        <v>0</v>
      </c>
      <c r="EJ540" s="407">
        <v>0</v>
      </c>
      <c r="EK540" s="407">
        <v>0</v>
      </c>
      <c r="EL540" s="407">
        <v>0</v>
      </c>
      <c r="EM540" s="407"/>
      <c r="EN540" s="407"/>
      <c r="EO540" s="407">
        <v>0</v>
      </c>
      <c r="EP540" s="407">
        <v>0</v>
      </c>
      <c r="EQ540" s="407"/>
      <c r="ER540" s="407">
        <v>0</v>
      </c>
      <c r="ES540" s="407"/>
      <c r="ET540" s="407">
        <v>0</v>
      </c>
      <c r="EU540" s="407"/>
      <c r="EV540" s="407">
        <v>246</v>
      </c>
      <c r="EW540" s="407"/>
      <c r="EX540" s="407"/>
      <c r="EY540" s="407"/>
      <c r="EZ540" s="407"/>
      <c r="FA540" s="407">
        <v>0</v>
      </c>
      <c r="FB540" s="407"/>
      <c r="FC540" s="407"/>
      <c r="FD540" s="407"/>
      <c r="FE540" s="407"/>
      <c r="FF540" s="407">
        <v>0</v>
      </c>
      <c r="FG540" s="407">
        <v>0</v>
      </c>
      <c r="FH540" s="407">
        <v>0</v>
      </c>
      <c r="FI540" s="407">
        <v>0</v>
      </c>
    </row>
    <row r="541" spans="1:165">
      <c r="A541" s="407">
        <v>560</v>
      </c>
      <c r="B541" s="407" t="s">
        <v>1090</v>
      </c>
      <c r="C541" s="407" t="s">
        <v>2306</v>
      </c>
      <c r="D541" s="407" t="s">
        <v>1219</v>
      </c>
      <c r="E541" s="407" t="s">
        <v>2316</v>
      </c>
      <c r="F541" s="407" t="s">
        <v>97</v>
      </c>
      <c r="G541" s="407" t="s">
        <v>97</v>
      </c>
      <c r="H541" s="407" t="s">
        <v>97</v>
      </c>
      <c r="I541" s="407" t="s">
        <v>97</v>
      </c>
      <c r="J541" s="407" t="s">
        <v>2307</v>
      </c>
      <c r="K541" s="818">
        <v>44621</v>
      </c>
      <c r="L541" s="407">
        <v>0</v>
      </c>
      <c r="M541" s="407">
        <v>0</v>
      </c>
      <c r="N541" s="407">
        <v>302.50799999999998</v>
      </c>
      <c r="O541" s="407">
        <v>302.50799999999998</v>
      </c>
      <c r="P541" s="407">
        <v>302.50799999999998</v>
      </c>
      <c r="Q541" s="407">
        <v>302.50799999999998</v>
      </c>
      <c r="R541" s="407"/>
      <c r="S541" s="407">
        <v>648.44000000000005</v>
      </c>
      <c r="T541" s="407">
        <v>159.41</v>
      </c>
      <c r="U541" s="407"/>
      <c r="V541" s="407">
        <v>244381.08780000001</v>
      </c>
      <c r="W541" s="407">
        <v>244381.08780000001</v>
      </c>
      <c r="X541" s="407">
        <v>185080.44456</v>
      </c>
      <c r="Y541" s="407">
        <v>0</v>
      </c>
      <c r="Z541" s="407">
        <v>18746.496577582067</v>
      </c>
      <c r="AA541" s="407">
        <v>0</v>
      </c>
      <c r="AB541" s="407">
        <v>0</v>
      </c>
      <c r="AC541" s="407">
        <v>0</v>
      </c>
      <c r="AD541" s="407">
        <v>35285.872084514282</v>
      </c>
      <c r="AE541" s="407">
        <v>126311.00258101709</v>
      </c>
      <c r="AF541" s="407">
        <v>46656.02565144917</v>
      </c>
      <c r="AG541" s="407">
        <v>1567.5199935063947</v>
      </c>
      <c r="AH541" s="407">
        <v>0</v>
      </c>
      <c r="AI541" s="407">
        <v>0</v>
      </c>
      <c r="AJ541" s="407">
        <v>0</v>
      </c>
      <c r="AK541" s="407">
        <v>0</v>
      </c>
      <c r="AL541" s="407">
        <v>2896.8333520423002</v>
      </c>
      <c r="AM541" s="407"/>
      <c r="AN541" s="407">
        <v>627.73303200982764</v>
      </c>
      <c r="AO541" s="407">
        <v>0</v>
      </c>
      <c r="AP541" s="407">
        <v>0</v>
      </c>
      <c r="AQ541" s="407">
        <v>0</v>
      </c>
      <c r="AR541" s="407">
        <v>0</v>
      </c>
      <c r="AS541" s="407">
        <v>0</v>
      </c>
      <c r="AT541" s="407">
        <v>0</v>
      </c>
      <c r="AU541" s="407">
        <v>0</v>
      </c>
      <c r="AV541" s="407">
        <v>0</v>
      </c>
      <c r="AW541" s="407">
        <v>0</v>
      </c>
      <c r="AX541" s="407">
        <v>0</v>
      </c>
      <c r="AY541" s="407">
        <v>0</v>
      </c>
      <c r="AZ541" s="407">
        <v>0</v>
      </c>
      <c r="BA541" s="407"/>
      <c r="BB541" s="407">
        <v>0</v>
      </c>
      <c r="BC541" s="407">
        <v>0</v>
      </c>
      <c r="BD541" s="407">
        <v>0</v>
      </c>
      <c r="BE541" s="407">
        <v>0</v>
      </c>
      <c r="BF541" s="407">
        <v>0</v>
      </c>
      <c r="BG541" s="407">
        <v>3410.4064913729999</v>
      </c>
      <c r="BH541" s="407">
        <v>0</v>
      </c>
      <c r="BI541" s="407">
        <v>366.24</v>
      </c>
      <c r="BJ541" s="407">
        <v>1586.88</v>
      </c>
      <c r="BK541" s="407">
        <v>70252.649999999994</v>
      </c>
      <c r="BL541" s="407">
        <v>361</v>
      </c>
      <c r="BM541" s="407"/>
      <c r="BN541" s="407"/>
      <c r="BO541" s="407"/>
      <c r="BP541" s="407"/>
      <c r="BQ541" s="407"/>
      <c r="BR541" s="407"/>
      <c r="BS541" s="407"/>
      <c r="BT541" s="407"/>
      <c r="BU541" s="407"/>
      <c r="BV541" s="407">
        <v>50066.432142822174</v>
      </c>
      <c r="BW541" s="407"/>
      <c r="BX541" s="407"/>
      <c r="BY541" s="407"/>
      <c r="BZ541" s="407"/>
      <c r="CA541" s="407"/>
      <c r="CB541" s="407"/>
      <c r="CC541" s="407"/>
      <c r="CD541" s="407"/>
      <c r="CE541" s="407"/>
      <c r="CF541" s="407"/>
      <c r="CG541" s="407"/>
      <c r="CH541" s="407"/>
      <c r="CI541" s="407">
        <v>185081.66819999999</v>
      </c>
      <c r="CJ541" s="407">
        <v>-59299.449600000051</v>
      </c>
      <c r="CK541" s="407"/>
      <c r="CL541" s="407"/>
      <c r="CM541" s="407"/>
      <c r="CN541" s="407"/>
      <c r="CO541" s="407">
        <v>-67610.538000000015</v>
      </c>
      <c r="CP541" s="407">
        <v>8309.8947599999992</v>
      </c>
      <c r="CQ541" s="407">
        <v>31</v>
      </c>
      <c r="CR541" s="407">
        <v>5219.4784818807966</v>
      </c>
      <c r="CS541" s="407">
        <v>0</v>
      </c>
      <c r="CT541" s="407">
        <v>0</v>
      </c>
      <c r="CU541" s="407">
        <v>0</v>
      </c>
      <c r="CV541" s="407">
        <v>0</v>
      </c>
      <c r="CW541" s="407">
        <v>0</v>
      </c>
      <c r="CX541" s="407">
        <v>0</v>
      </c>
      <c r="CY541" s="407">
        <v>0</v>
      </c>
      <c r="CZ541" s="407">
        <v>1593.932807238758</v>
      </c>
      <c r="DA541" s="407">
        <v>0</v>
      </c>
      <c r="DB541" s="407">
        <v>0</v>
      </c>
      <c r="DC541" s="407">
        <v>9250.629947979025</v>
      </c>
      <c r="DD541" s="407">
        <v>0</v>
      </c>
      <c r="DE541" s="407">
        <v>0</v>
      </c>
      <c r="DF541" s="407">
        <v>0</v>
      </c>
      <c r="DG541" s="407">
        <v>676.19150974333752</v>
      </c>
      <c r="DH541" s="407">
        <v>0</v>
      </c>
      <c r="DI541" s="407">
        <v>-1313.0416023815378</v>
      </c>
      <c r="DJ541" s="407"/>
      <c r="DK541" s="407">
        <v>0</v>
      </c>
      <c r="DL541" s="407">
        <v>0</v>
      </c>
      <c r="DM541" s="407">
        <v>0</v>
      </c>
      <c r="DN541" s="407">
        <v>0</v>
      </c>
      <c r="DO541" s="407">
        <v>-176.73979150205196</v>
      </c>
      <c r="DP541" s="407">
        <v>-39.997633324721164</v>
      </c>
      <c r="DQ541" s="407">
        <v>0</v>
      </c>
      <c r="DR541" s="407">
        <v>-4771.4967558720164</v>
      </c>
      <c r="DS541" s="407"/>
      <c r="DT541" s="407"/>
      <c r="DU541" s="407"/>
      <c r="DV541" s="407">
        <v>126311.00258101709</v>
      </c>
      <c r="DW541" s="407">
        <v>0</v>
      </c>
      <c r="DX541" s="407">
        <v>0</v>
      </c>
      <c r="DY541" s="407">
        <v>-67610.538000000015</v>
      </c>
      <c r="DZ541" s="407">
        <v>8309.8947600000029</v>
      </c>
      <c r="EA541" s="407">
        <v>0</v>
      </c>
      <c r="EB541" s="407">
        <v>0</v>
      </c>
      <c r="EC541" s="407">
        <v>-64519.953491268141</v>
      </c>
      <c r="ED541" s="407">
        <v>0</v>
      </c>
      <c r="EE541" s="407">
        <v>0</v>
      </c>
      <c r="EF541" s="407">
        <v>0</v>
      </c>
      <c r="EG541" s="407">
        <v>0</v>
      </c>
      <c r="EH541" s="407">
        <v>0</v>
      </c>
      <c r="EI541" s="407">
        <v>0</v>
      </c>
      <c r="EJ541" s="407">
        <v>0</v>
      </c>
      <c r="EK541" s="407">
        <v>0</v>
      </c>
      <c r="EL541" s="407">
        <v>0</v>
      </c>
      <c r="EM541" s="407">
        <v>0</v>
      </c>
      <c r="EN541" s="407">
        <v>0</v>
      </c>
      <c r="EO541" s="407">
        <v>0</v>
      </c>
      <c r="EP541" s="407">
        <v>8879.8802490892467</v>
      </c>
      <c r="EQ541" s="407">
        <v>0</v>
      </c>
      <c r="ER541" s="407">
        <v>0</v>
      </c>
      <c r="ES541" s="407">
        <v>0</v>
      </c>
      <c r="ET541" s="407">
        <v>0</v>
      </c>
      <c r="EU541" s="407">
        <v>0</v>
      </c>
      <c r="EV541" s="407">
        <v>246</v>
      </c>
      <c r="EW541" s="407">
        <v>0</v>
      </c>
      <c r="EX541" s="407">
        <v>0</v>
      </c>
      <c r="EY541" s="407">
        <v>0</v>
      </c>
      <c r="EZ541" s="407"/>
      <c r="FA541" s="407">
        <v>0</v>
      </c>
      <c r="FB541" s="407"/>
      <c r="FC541" s="407"/>
      <c r="FD541" s="407"/>
      <c r="FE541" s="407"/>
      <c r="FF541" s="407">
        <v>0</v>
      </c>
      <c r="FG541" s="407">
        <v>0</v>
      </c>
      <c r="FH541" s="407">
        <v>0</v>
      </c>
      <c r="FI541" s="407">
        <v>0</v>
      </c>
    </row>
    <row r="542" spans="1:165">
      <c r="A542" s="407">
        <v>561</v>
      </c>
      <c r="B542" s="407" t="s">
        <v>1090</v>
      </c>
      <c r="C542" s="407" t="s">
        <v>2317</v>
      </c>
      <c r="D542" s="407" t="s">
        <v>650</v>
      </c>
      <c r="E542" s="407" t="s">
        <v>2316</v>
      </c>
      <c r="F542" s="407" t="s">
        <v>97</v>
      </c>
      <c r="G542" s="407" t="s">
        <v>97</v>
      </c>
      <c r="H542" s="407" t="s">
        <v>97</v>
      </c>
      <c r="I542" s="407" t="s">
        <v>1025</v>
      </c>
      <c r="J542" s="407" t="s">
        <v>2307</v>
      </c>
      <c r="K542" s="818">
        <v>44621</v>
      </c>
      <c r="L542" s="407">
        <v>200</v>
      </c>
      <c r="M542" s="407">
        <v>200</v>
      </c>
      <c r="N542" s="407">
        <v>6.5519999999999996</v>
      </c>
      <c r="O542" s="407">
        <v>6.5519999999999996</v>
      </c>
      <c r="P542" s="407">
        <v>6.5519999999999996</v>
      </c>
      <c r="Q542" s="407">
        <v>6.5519999999999996</v>
      </c>
      <c r="R542" s="407">
        <v>112.91</v>
      </c>
      <c r="S542" s="407">
        <v>95.29</v>
      </c>
      <c r="T542" s="407">
        <v>159.41</v>
      </c>
      <c r="U542" s="407">
        <v>22582</v>
      </c>
      <c r="V542" s="407">
        <v>1668.7943999999998</v>
      </c>
      <c r="W542" s="407">
        <v>24250.794400000002</v>
      </c>
      <c r="X542" s="407">
        <v>15242.314320000001</v>
      </c>
      <c r="Y542" s="407">
        <v>0</v>
      </c>
      <c r="Z542" s="407">
        <v>353.24530145118916</v>
      </c>
      <c r="AA542" s="407">
        <v>0</v>
      </c>
      <c r="AB542" s="407">
        <v>0</v>
      </c>
      <c r="AC542" s="407">
        <v>0</v>
      </c>
      <c r="AD542" s="407">
        <v>5077.0827132346003</v>
      </c>
      <c r="AE542" s="407">
        <v>17504.269107723037</v>
      </c>
      <c r="AF542" s="407">
        <v>1010.5196559042901</v>
      </c>
      <c r="AG542" s="407">
        <v>33.950807904101374</v>
      </c>
      <c r="AH542" s="407">
        <v>0</v>
      </c>
      <c r="AI542" s="407">
        <v>0</v>
      </c>
      <c r="AJ542" s="407">
        <v>0</v>
      </c>
      <c r="AK542" s="407">
        <v>0</v>
      </c>
      <c r="AL542" s="407">
        <v>62.742314658062433</v>
      </c>
      <c r="AM542" s="407"/>
      <c r="AN542" s="407">
        <v>7.0351011307289513</v>
      </c>
      <c r="AO542" s="407">
        <v>0</v>
      </c>
      <c r="AP542" s="407">
        <v>0</v>
      </c>
      <c r="AQ542" s="407">
        <v>0</v>
      </c>
      <c r="AR542" s="407">
        <v>0</v>
      </c>
      <c r="AS542" s="407">
        <v>0</v>
      </c>
      <c r="AT542" s="407">
        <v>0</v>
      </c>
      <c r="AU542" s="407">
        <v>0</v>
      </c>
      <c r="AV542" s="407">
        <v>0</v>
      </c>
      <c r="AW542" s="407">
        <v>0</v>
      </c>
      <c r="AX542" s="407">
        <v>0</v>
      </c>
      <c r="AY542" s="407">
        <v>0</v>
      </c>
      <c r="AZ542" s="407">
        <v>0</v>
      </c>
      <c r="BA542" s="407"/>
      <c r="BB542" s="407">
        <v>0</v>
      </c>
      <c r="BC542" s="407">
        <v>0</v>
      </c>
      <c r="BD542" s="407">
        <v>0</v>
      </c>
      <c r="BE542" s="407">
        <v>0</v>
      </c>
      <c r="BF542" s="407">
        <v>0</v>
      </c>
      <c r="BG542" s="407">
        <v>34.004056799773764</v>
      </c>
      <c r="BH542" s="407">
        <v>0</v>
      </c>
      <c r="BI542" s="407">
        <v>0</v>
      </c>
      <c r="BJ542" s="407">
        <v>0</v>
      </c>
      <c r="BK542" s="407">
        <v>0</v>
      </c>
      <c r="BL542" s="407">
        <v>0</v>
      </c>
      <c r="BM542" s="407"/>
      <c r="BN542" s="407"/>
      <c r="BO542" s="407"/>
      <c r="BP542" s="407"/>
      <c r="BQ542" s="407"/>
      <c r="BR542" s="407"/>
      <c r="BS542" s="407"/>
      <c r="BT542" s="407"/>
      <c r="BU542" s="407"/>
      <c r="BV542" s="407">
        <v>1044.5237127040639</v>
      </c>
      <c r="BW542" s="407"/>
      <c r="BX542" s="407"/>
      <c r="BY542" s="407"/>
      <c r="BZ542" s="407"/>
      <c r="CA542" s="407"/>
      <c r="CB542" s="407"/>
      <c r="CC542" s="407"/>
      <c r="CD542" s="407"/>
      <c r="CE542" s="407"/>
      <c r="CF542" s="407"/>
      <c r="CG542" s="407"/>
      <c r="CH542" s="407"/>
      <c r="CI542" s="407">
        <v>15241.7605</v>
      </c>
      <c r="CJ542" s="407">
        <v>-9009.0638999999974</v>
      </c>
      <c r="CK542" s="407"/>
      <c r="CL542" s="407"/>
      <c r="CM542" s="407"/>
      <c r="CN542" s="407"/>
      <c r="CO542" s="407">
        <v>-9188.4635199999993</v>
      </c>
      <c r="CP542" s="407">
        <v>179.98343999999997</v>
      </c>
      <c r="CQ542" s="407">
        <v>31</v>
      </c>
      <c r="CR542" s="407">
        <v>-66.054495789141583</v>
      </c>
      <c r="CS542" s="407">
        <v>0</v>
      </c>
      <c r="CT542" s="407">
        <v>0</v>
      </c>
      <c r="CU542" s="407">
        <v>0</v>
      </c>
      <c r="CV542" s="407">
        <v>0</v>
      </c>
      <c r="CW542" s="407">
        <v>0</v>
      </c>
      <c r="CX542" s="407">
        <v>0</v>
      </c>
      <c r="CY542" s="407">
        <v>0</v>
      </c>
      <c r="CZ542" s="407">
        <v>229.34189304735992</v>
      </c>
      <c r="DA542" s="407">
        <v>0</v>
      </c>
      <c r="DB542" s="407">
        <v>0</v>
      </c>
      <c r="DC542" s="407">
        <v>200.35875883995971</v>
      </c>
      <c r="DD542" s="407">
        <v>0</v>
      </c>
      <c r="DE542" s="407">
        <v>0</v>
      </c>
      <c r="DF542" s="407">
        <v>0</v>
      </c>
      <c r="DG542" s="407">
        <v>6.7420861891393713</v>
      </c>
      <c r="DH542" s="407">
        <v>0</v>
      </c>
      <c r="DI542" s="407">
        <v>-24.741997777114591</v>
      </c>
      <c r="DJ542" s="407"/>
      <c r="DK542" s="407">
        <v>0</v>
      </c>
      <c r="DL542" s="407">
        <v>0</v>
      </c>
      <c r="DM542" s="407">
        <v>0</v>
      </c>
      <c r="DN542" s="407">
        <v>0</v>
      </c>
      <c r="DO542" s="407">
        <v>-3.8279950081367886</v>
      </c>
      <c r="DP542" s="407">
        <v>-0.44825965988803329</v>
      </c>
      <c r="DQ542" s="407">
        <v>0</v>
      </c>
      <c r="DR542" s="407">
        <v>-473.47898142046176</v>
      </c>
      <c r="DS542" s="407"/>
      <c r="DT542" s="407"/>
      <c r="DU542" s="407">
        <v>17504.269107723037</v>
      </c>
      <c r="DV542" s="407">
        <v>0</v>
      </c>
      <c r="DW542" s="407">
        <v>0</v>
      </c>
      <c r="DX542" s="407">
        <v>0</v>
      </c>
      <c r="DY542" s="407">
        <v>-9188.4635200000012</v>
      </c>
      <c r="DZ542" s="407">
        <v>179.98343999999997</v>
      </c>
      <c r="EA542" s="407">
        <v>0</v>
      </c>
      <c r="EB542" s="407">
        <v>0</v>
      </c>
      <c r="EC542" s="407">
        <v>-8941.2213160491574</v>
      </c>
      <c r="ED542" s="407">
        <v>0</v>
      </c>
      <c r="EE542" s="407">
        <v>0</v>
      </c>
      <c r="EF542" s="407">
        <v>0</v>
      </c>
      <c r="EG542" s="407">
        <v>0</v>
      </c>
      <c r="EH542" s="407">
        <v>0</v>
      </c>
      <c r="EI542" s="407">
        <v>0</v>
      </c>
      <c r="EJ542" s="407">
        <v>0</v>
      </c>
      <c r="EK542" s="407">
        <v>0</v>
      </c>
      <c r="EL542" s="407">
        <v>0</v>
      </c>
      <c r="EM542" s="407">
        <v>0</v>
      </c>
      <c r="EN542" s="407">
        <v>0</v>
      </c>
      <c r="EO542" s="407">
        <v>0</v>
      </c>
      <c r="EP542" s="407">
        <v>167.32598341554097</v>
      </c>
      <c r="EQ542" s="407">
        <v>0</v>
      </c>
      <c r="ER542" s="407">
        <v>0</v>
      </c>
      <c r="ES542" s="407">
        <v>0</v>
      </c>
      <c r="ET542" s="407">
        <v>0</v>
      </c>
      <c r="EU542" s="407">
        <v>0</v>
      </c>
      <c r="EV542" s="407">
        <v>246</v>
      </c>
      <c r="EW542" s="407">
        <v>0</v>
      </c>
      <c r="EX542" s="407">
        <v>0</v>
      </c>
      <c r="EY542" s="407">
        <v>0</v>
      </c>
      <c r="EZ542" s="407"/>
      <c r="FA542" s="407">
        <v>0</v>
      </c>
      <c r="FB542" s="407"/>
      <c r="FC542" s="407"/>
      <c r="FD542" s="407"/>
      <c r="FE542" s="407"/>
      <c r="FF542" s="407">
        <v>0</v>
      </c>
      <c r="FG542" s="407">
        <v>0</v>
      </c>
      <c r="FH542" s="407">
        <v>0</v>
      </c>
      <c r="FI542" s="407">
        <v>0</v>
      </c>
    </row>
    <row r="543" spans="1:165">
      <c r="A543" s="407">
        <v>562</v>
      </c>
      <c r="B543" s="407" t="s">
        <v>1090</v>
      </c>
      <c r="C543" s="407" t="s">
        <v>2317</v>
      </c>
      <c r="D543" s="407" t="s">
        <v>650</v>
      </c>
      <c r="E543" s="407" t="s">
        <v>2316</v>
      </c>
      <c r="F543" s="407" t="s">
        <v>97</v>
      </c>
      <c r="G543" s="407" t="s">
        <v>97</v>
      </c>
      <c r="H543" s="407" t="s">
        <v>97</v>
      </c>
      <c r="I543" s="407" t="s">
        <v>2290</v>
      </c>
      <c r="J543" s="407" t="s">
        <v>2307</v>
      </c>
      <c r="K543" s="818">
        <v>44621</v>
      </c>
      <c r="L543" s="407">
        <v>230</v>
      </c>
      <c r="M543" s="407">
        <v>230</v>
      </c>
      <c r="N543" s="407">
        <v>44.293999999999997</v>
      </c>
      <c r="O543" s="407">
        <v>44.293999999999997</v>
      </c>
      <c r="P543" s="407">
        <v>44.293999999999997</v>
      </c>
      <c r="Q543" s="407">
        <v>44.293999999999997</v>
      </c>
      <c r="R543" s="407">
        <v>43.29</v>
      </c>
      <c r="S543" s="407">
        <v>95.29</v>
      </c>
      <c r="T543" s="407">
        <v>159.41</v>
      </c>
      <c r="U543" s="407">
        <v>9956.6999999999989</v>
      </c>
      <c r="V543" s="407">
        <v>11281.681799999998</v>
      </c>
      <c r="W543" s="407">
        <v>21238.381799999999</v>
      </c>
      <c r="X543" s="407">
        <v>19968.151539999999</v>
      </c>
      <c r="Y543" s="407">
        <v>0</v>
      </c>
      <c r="Z543" s="407">
        <v>2388.0719448227983</v>
      </c>
      <c r="AA543" s="407">
        <v>0</v>
      </c>
      <c r="AB543" s="407">
        <v>0</v>
      </c>
      <c r="AC543" s="407">
        <v>0</v>
      </c>
      <c r="AD543" s="407">
        <v>5442.71704644074</v>
      </c>
      <c r="AE543" s="407">
        <v>4514.7130340054682</v>
      </c>
      <c r="AF543" s="407">
        <v>6831.4953660904494</v>
      </c>
      <c r="AG543" s="407">
        <v>229.52031216487578</v>
      </c>
      <c r="AH543" s="407">
        <v>0</v>
      </c>
      <c r="AI543" s="407">
        <v>0</v>
      </c>
      <c r="AJ543" s="407">
        <v>0</v>
      </c>
      <c r="AK543" s="407">
        <v>0</v>
      </c>
      <c r="AL543" s="407">
        <v>424.16179570577191</v>
      </c>
      <c r="AM543" s="407"/>
      <c r="AN543" s="407">
        <v>47.559946502519558</v>
      </c>
      <c r="AO543" s="407">
        <v>0</v>
      </c>
      <c r="AP543" s="407">
        <v>0</v>
      </c>
      <c r="AQ543" s="407">
        <v>0</v>
      </c>
      <c r="AR543" s="407">
        <v>0</v>
      </c>
      <c r="AS543" s="407">
        <v>0</v>
      </c>
      <c r="AT543" s="407">
        <v>0</v>
      </c>
      <c r="AU543" s="407">
        <v>0</v>
      </c>
      <c r="AV543" s="407">
        <v>0</v>
      </c>
      <c r="AW543" s="407">
        <v>0</v>
      </c>
      <c r="AX543" s="407">
        <v>0</v>
      </c>
      <c r="AY543" s="407">
        <v>0</v>
      </c>
      <c r="AZ543" s="407">
        <v>0</v>
      </c>
      <c r="BA543" s="407"/>
      <c r="BB543" s="407">
        <v>0</v>
      </c>
      <c r="BC543" s="407">
        <v>0</v>
      </c>
      <c r="BD543" s="407">
        <v>0</v>
      </c>
      <c r="BE543" s="407">
        <v>0</v>
      </c>
      <c r="BF543" s="407">
        <v>0</v>
      </c>
      <c r="BG543" s="407">
        <v>229.88029485488084</v>
      </c>
      <c r="BH543" s="407">
        <v>0</v>
      </c>
      <c r="BI543" s="407">
        <v>0</v>
      </c>
      <c r="BJ543" s="407">
        <v>0</v>
      </c>
      <c r="BK543" s="407">
        <v>0</v>
      </c>
      <c r="BL543" s="407">
        <v>0</v>
      </c>
      <c r="BM543" s="407"/>
      <c r="BN543" s="407"/>
      <c r="BO543" s="407"/>
      <c r="BP543" s="407"/>
      <c r="BQ543" s="407"/>
      <c r="BR543" s="407"/>
      <c r="BS543" s="407"/>
      <c r="BT543" s="407"/>
      <c r="BU543" s="407"/>
      <c r="BV543" s="407">
        <v>7061.3756609453303</v>
      </c>
      <c r="BW543" s="407"/>
      <c r="BX543" s="407"/>
      <c r="BY543" s="407"/>
      <c r="BZ543" s="407"/>
      <c r="CA543" s="407"/>
      <c r="CB543" s="407"/>
      <c r="CC543" s="407"/>
      <c r="CD543" s="407"/>
      <c r="CE543" s="407"/>
      <c r="CF543" s="407"/>
      <c r="CG543" s="407"/>
      <c r="CH543" s="407"/>
      <c r="CI543" s="407">
        <v>19967.043900000001</v>
      </c>
      <c r="CJ543" s="407">
        <v>-1271.3678999999975</v>
      </c>
      <c r="CK543" s="407"/>
      <c r="CL543" s="407"/>
      <c r="CM543" s="407"/>
      <c r="CN543" s="407"/>
      <c r="CO543" s="407">
        <v>-2486.9864399999997</v>
      </c>
      <c r="CP543" s="407">
        <v>1216.7561799999999</v>
      </c>
      <c r="CQ543" s="407">
        <v>31</v>
      </c>
      <c r="CR543" s="407">
        <v>1035.0715693486636</v>
      </c>
      <c r="CS543" s="407">
        <v>0</v>
      </c>
      <c r="CT543" s="407">
        <v>0</v>
      </c>
      <c r="CU543" s="407">
        <v>0</v>
      </c>
      <c r="CV543" s="407">
        <v>0</v>
      </c>
      <c r="CW543" s="407">
        <v>0</v>
      </c>
      <c r="CX543" s="407">
        <v>0</v>
      </c>
      <c r="CY543" s="407">
        <v>0</v>
      </c>
      <c r="CZ543" s="407">
        <v>245.85832086169376</v>
      </c>
      <c r="DA543" s="407">
        <v>0</v>
      </c>
      <c r="DB543" s="407">
        <v>0</v>
      </c>
      <c r="DC543" s="407">
        <v>1354.5010476277739</v>
      </c>
      <c r="DD543" s="407">
        <v>0</v>
      </c>
      <c r="DE543" s="407">
        <v>0</v>
      </c>
      <c r="DF543" s="407">
        <v>0</v>
      </c>
      <c r="DG543" s="407">
        <v>45.579054588177542</v>
      </c>
      <c r="DH543" s="407">
        <v>0</v>
      </c>
      <c r="DI543" s="407">
        <v>-167.26527007623872</v>
      </c>
      <c r="DJ543" s="407"/>
      <c r="DK543" s="407">
        <v>0</v>
      </c>
      <c r="DL543" s="407">
        <v>0</v>
      </c>
      <c r="DM543" s="407">
        <v>0</v>
      </c>
      <c r="DN543" s="407">
        <v>0</v>
      </c>
      <c r="DO543" s="407">
        <v>-25.878695190844155</v>
      </c>
      <c r="DP543" s="407">
        <v>-3.0304049717766333</v>
      </c>
      <c r="DQ543" s="407">
        <v>0</v>
      </c>
      <c r="DR543" s="407">
        <v>-414.69248349013071</v>
      </c>
      <c r="DS543" s="407"/>
      <c r="DT543" s="407"/>
      <c r="DU543" s="407">
        <v>4514.7130340054682</v>
      </c>
      <c r="DV543" s="407">
        <v>0</v>
      </c>
      <c r="DW543" s="407">
        <v>0</v>
      </c>
      <c r="DX543" s="407">
        <v>0</v>
      </c>
      <c r="DY543" s="407">
        <v>-2486.9864399999988</v>
      </c>
      <c r="DZ543" s="407">
        <v>1216.7561799999994</v>
      </c>
      <c r="EA543" s="407">
        <v>0</v>
      </c>
      <c r="EB543" s="407">
        <v>0</v>
      </c>
      <c r="EC543" s="407">
        <v>-2306.1259037479317</v>
      </c>
      <c r="ED543" s="407">
        <v>0</v>
      </c>
      <c r="EE543" s="407">
        <v>0</v>
      </c>
      <c r="EF543" s="407">
        <v>0</v>
      </c>
      <c r="EG543" s="407">
        <v>0</v>
      </c>
      <c r="EH543" s="407">
        <v>0</v>
      </c>
      <c r="EI543" s="407">
        <v>0</v>
      </c>
      <c r="EJ543" s="407">
        <v>0</v>
      </c>
      <c r="EK543" s="407">
        <v>0</v>
      </c>
      <c r="EL543" s="407">
        <v>0</v>
      </c>
      <c r="EM543" s="407">
        <v>0</v>
      </c>
      <c r="EN543" s="407">
        <v>0</v>
      </c>
      <c r="EO543" s="407">
        <v>0</v>
      </c>
      <c r="EP543" s="407">
        <v>1131.1869825103743</v>
      </c>
      <c r="EQ543" s="407">
        <v>0</v>
      </c>
      <c r="ER543" s="407">
        <v>0</v>
      </c>
      <c r="ES543" s="407">
        <v>0</v>
      </c>
      <c r="ET543" s="407">
        <v>0</v>
      </c>
      <c r="EU543" s="407">
        <v>0</v>
      </c>
      <c r="EV543" s="407">
        <v>246</v>
      </c>
      <c r="EW543" s="407">
        <v>0</v>
      </c>
      <c r="EX543" s="407">
        <v>0</v>
      </c>
      <c r="EY543" s="407">
        <v>0</v>
      </c>
      <c r="EZ543" s="407"/>
      <c r="FA543" s="407">
        <v>0</v>
      </c>
      <c r="FB543" s="407"/>
      <c r="FC543" s="407"/>
      <c r="FD543" s="407"/>
      <c r="FE543" s="407"/>
      <c r="FF543" s="407">
        <v>0</v>
      </c>
      <c r="FG543" s="407">
        <v>0</v>
      </c>
      <c r="FH543" s="407">
        <v>0</v>
      </c>
      <c r="FI543" s="407">
        <v>0</v>
      </c>
    </row>
    <row r="544" spans="1:165">
      <c r="A544" s="407">
        <v>563</v>
      </c>
      <c r="B544" s="407" t="s">
        <v>1090</v>
      </c>
      <c r="C544" s="407" t="s">
        <v>2317</v>
      </c>
      <c r="D544" s="407" t="s">
        <v>650</v>
      </c>
      <c r="E544" s="407" t="s">
        <v>2316</v>
      </c>
      <c r="F544" s="407" t="s">
        <v>97</v>
      </c>
      <c r="G544" s="407" t="s">
        <v>97</v>
      </c>
      <c r="H544" s="407" t="s">
        <v>97</v>
      </c>
      <c r="I544" s="407" t="s">
        <v>97</v>
      </c>
      <c r="J544" s="407" t="s">
        <v>2307</v>
      </c>
      <c r="K544" s="818">
        <v>44621</v>
      </c>
      <c r="L544" s="407">
        <v>0</v>
      </c>
      <c r="M544" s="407">
        <v>0</v>
      </c>
      <c r="N544" s="407">
        <v>0</v>
      </c>
      <c r="O544" s="407">
        <v>0</v>
      </c>
      <c r="P544" s="407">
        <v>0</v>
      </c>
      <c r="Q544" s="407">
        <v>0</v>
      </c>
      <c r="R544" s="407"/>
      <c r="S544" s="407"/>
      <c r="T544" s="407"/>
      <c r="U544" s="407"/>
      <c r="V544" s="407"/>
      <c r="W544" s="407"/>
      <c r="X544" s="407"/>
      <c r="Y544" s="407"/>
      <c r="Z544" s="407"/>
      <c r="AA544" s="407">
        <v>0</v>
      </c>
      <c r="AB544" s="407"/>
      <c r="AC544" s="407"/>
      <c r="AD544" s="407"/>
      <c r="AE544" s="407"/>
      <c r="AF544" s="407"/>
      <c r="AG544" s="407"/>
      <c r="AH544" s="407"/>
      <c r="AI544" s="407"/>
      <c r="AJ544" s="407"/>
      <c r="AK544" s="407"/>
      <c r="AL544" s="407"/>
      <c r="AM544" s="407"/>
      <c r="AN544" s="407"/>
      <c r="AO544" s="407"/>
      <c r="AP544" s="407"/>
      <c r="AQ544" s="407"/>
      <c r="AR544" s="407"/>
      <c r="AS544" s="407"/>
      <c r="AT544" s="407"/>
      <c r="AU544" s="407"/>
      <c r="AV544" s="407"/>
      <c r="AW544" s="407"/>
      <c r="AX544" s="407"/>
      <c r="AY544" s="407"/>
      <c r="AZ544" s="407">
        <v>0</v>
      </c>
      <c r="BA544" s="407"/>
      <c r="BB544" s="407"/>
      <c r="BC544" s="407"/>
      <c r="BD544" s="407"/>
      <c r="BE544" s="407"/>
      <c r="BF544" s="407"/>
      <c r="BG544" s="407"/>
      <c r="BH544" s="407"/>
      <c r="BI544" s="407">
        <v>68.459999999999994</v>
      </c>
      <c r="BJ544" s="407">
        <v>295.29000000000002</v>
      </c>
      <c r="BK544" s="407">
        <v>13091.46</v>
      </c>
      <c r="BL544" s="407">
        <v>1</v>
      </c>
      <c r="BM544" s="407"/>
      <c r="BN544" s="407"/>
      <c r="BO544" s="407"/>
      <c r="BP544" s="407"/>
      <c r="BQ544" s="407"/>
      <c r="BR544" s="407"/>
      <c r="BS544" s="407"/>
      <c r="BT544" s="407"/>
      <c r="BU544" s="407"/>
      <c r="BV544" s="407"/>
      <c r="BW544" s="407"/>
      <c r="BX544" s="407"/>
      <c r="BY544" s="407"/>
      <c r="BZ544" s="407"/>
      <c r="CA544" s="407"/>
      <c r="CB544" s="407"/>
      <c r="CC544" s="407"/>
      <c r="CD544" s="407"/>
      <c r="CE544" s="407"/>
      <c r="CF544" s="407"/>
      <c r="CG544" s="407"/>
      <c r="CH544" s="407"/>
      <c r="CI544" s="407"/>
      <c r="CJ544" s="407">
        <v>-0.03</v>
      </c>
      <c r="CK544" s="407"/>
      <c r="CL544" s="407"/>
      <c r="CM544" s="407"/>
      <c r="CN544" s="407"/>
      <c r="CO544" s="407">
        <v>0</v>
      </c>
      <c r="CP544" s="407">
        <v>0</v>
      </c>
      <c r="CQ544" s="407">
        <v>31</v>
      </c>
      <c r="CR544" s="407"/>
      <c r="CS544" s="407"/>
      <c r="CT544" s="407"/>
      <c r="CU544" s="407"/>
      <c r="CV544" s="407"/>
      <c r="CW544" s="407"/>
      <c r="CX544" s="407"/>
      <c r="CY544" s="407"/>
      <c r="CZ544" s="407"/>
      <c r="DA544" s="407"/>
      <c r="DB544" s="407"/>
      <c r="DC544" s="407"/>
      <c r="DD544" s="407"/>
      <c r="DE544" s="407"/>
      <c r="DF544" s="407"/>
      <c r="DG544" s="407"/>
      <c r="DH544" s="407"/>
      <c r="DI544" s="407"/>
      <c r="DJ544" s="407"/>
      <c r="DK544" s="407">
        <v>0</v>
      </c>
      <c r="DL544" s="407"/>
      <c r="DM544" s="407"/>
      <c r="DN544" s="407"/>
      <c r="DO544" s="407"/>
      <c r="DP544" s="407"/>
      <c r="DQ544" s="407"/>
      <c r="DR544" s="407"/>
      <c r="DS544" s="407"/>
      <c r="DT544" s="407"/>
      <c r="DU544" s="407"/>
      <c r="DV544" s="407"/>
      <c r="DW544" s="407"/>
      <c r="DX544" s="407"/>
      <c r="DY544" s="407"/>
      <c r="DZ544" s="407"/>
      <c r="EA544" s="407"/>
      <c r="EB544" s="407"/>
      <c r="EC544" s="407"/>
      <c r="ED544" s="407"/>
      <c r="EE544" s="407"/>
      <c r="EF544" s="407"/>
      <c r="EG544" s="407"/>
      <c r="EH544" s="407"/>
      <c r="EI544" s="407"/>
      <c r="EJ544" s="407"/>
      <c r="EK544" s="407"/>
      <c r="EL544" s="407"/>
      <c r="EM544" s="407"/>
      <c r="EN544" s="407"/>
      <c r="EO544" s="407"/>
      <c r="EP544" s="407"/>
      <c r="EQ544" s="407"/>
      <c r="ER544" s="407"/>
      <c r="ES544" s="407"/>
      <c r="ET544" s="407"/>
      <c r="EU544" s="407"/>
      <c r="EV544" s="407">
        <v>246</v>
      </c>
      <c r="EW544" s="407"/>
      <c r="EX544" s="407"/>
      <c r="EY544" s="407"/>
      <c r="EZ544" s="407"/>
      <c r="FA544" s="407">
        <v>0</v>
      </c>
      <c r="FB544" s="407"/>
      <c r="FC544" s="407"/>
      <c r="FD544" s="407"/>
      <c r="FE544" s="407"/>
      <c r="FF544" s="407">
        <v>0</v>
      </c>
      <c r="FG544" s="407">
        <v>0</v>
      </c>
      <c r="FH544" s="407">
        <v>0</v>
      </c>
      <c r="FI544" s="407">
        <v>0</v>
      </c>
    </row>
    <row r="545" spans="1:165">
      <c r="A545" s="407">
        <v>564</v>
      </c>
      <c r="B545" s="407" t="s">
        <v>1090</v>
      </c>
      <c r="C545" s="407" t="s">
        <v>2314</v>
      </c>
      <c r="D545" s="407" t="s">
        <v>650</v>
      </c>
      <c r="E545" s="407" t="s">
        <v>2316</v>
      </c>
      <c r="F545" s="407" t="s">
        <v>97</v>
      </c>
      <c r="G545" s="407" t="s">
        <v>97</v>
      </c>
      <c r="H545" s="407" t="s">
        <v>97</v>
      </c>
      <c r="I545" s="407" t="s">
        <v>1025</v>
      </c>
      <c r="J545" s="407" t="s">
        <v>2307</v>
      </c>
      <c r="K545" s="818">
        <v>44621</v>
      </c>
      <c r="L545" s="407">
        <v>0</v>
      </c>
      <c r="M545" s="407">
        <v>0</v>
      </c>
      <c r="N545" s="407">
        <v>0.68300000000000005</v>
      </c>
      <c r="O545" s="407">
        <v>0.68300000000000005</v>
      </c>
      <c r="P545" s="407">
        <v>0.68300000000000005</v>
      </c>
      <c r="Q545" s="407">
        <v>0.68300000000000005</v>
      </c>
      <c r="R545" s="407"/>
      <c r="S545" s="407">
        <v>2810.7</v>
      </c>
      <c r="T545" s="407">
        <v>159.41</v>
      </c>
      <c r="U545" s="407"/>
      <c r="V545" s="407">
        <v>2028.5851300000002</v>
      </c>
      <c r="W545" s="407">
        <v>2028.5851300000002</v>
      </c>
      <c r="X545" s="407">
        <v>1292.0242700000001</v>
      </c>
      <c r="Y545" s="407">
        <v>0</v>
      </c>
      <c r="Z545" s="407">
        <v>36.823342626856267</v>
      </c>
      <c r="AA545" s="407">
        <v>0</v>
      </c>
      <c r="AB545" s="407">
        <v>0</v>
      </c>
      <c r="AC545" s="407">
        <v>0</v>
      </c>
      <c r="AD545" s="407">
        <v>416.98215028310454</v>
      </c>
      <c r="AE545" s="407">
        <v>1437.6391214941052</v>
      </c>
      <c r="AF545" s="407">
        <v>105.33957951505344</v>
      </c>
      <c r="AG545" s="407">
        <v>3.5391333636296154</v>
      </c>
      <c r="AH545" s="407">
        <v>0</v>
      </c>
      <c r="AI545" s="407">
        <v>0</v>
      </c>
      <c r="AJ545" s="407">
        <v>0</v>
      </c>
      <c r="AK545" s="407">
        <v>0</v>
      </c>
      <c r="AL545" s="407">
        <v>6.5404458045568754</v>
      </c>
      <c r="AM545" s="407"/>
      <c r="AN545" s="407">
        <v>0.73335990114283789</v>
      </c>
      <c r="AO545" s="407">
        <v>0</v>
      </c>
      <c r="AP545" s="407">
        <v>0</v>
      </c>
      <c r="AQ545" s="407">
        <v>0</v>
      </c>
      <c r="AR545" s="407">
        <v>0</v>
      </c>
      <c r="AS545" s="407">
        <v>0</v>
      </c>
      <c r="AT545" s="407">
        <v>0</v>
      </c>
      <c r="AU545" s="407">
        <v>0</v>
      </c>
      <c r="AV545" s="407">
        <v>0</v>
      </c>
      <c r="AW545" s="407">
        <v>0</v>
      </c>
      <c r="AX545" s="407">
        <v>0</v>
      </c>
      <c r="AY545" s="407">
        <v>0</v>
      </c>
      <c r="AZ545" s="407">
        <v>0</v>
      </c>
      <c r="BA545" s="407"/>
      <c r="BB545" s="407">
        <v>0</v>
      </c>
      <c r="BC545" s="407">
        <v>0</v>
      </c>
      <c r="BD545" s="407">
        <v>0</v>
      </c>
      <c r="BE545" s="407">
        <v>0</v>
      </c>
      <c r="BF545" s="407">
        <v>0</v>
      </c>
      <c r="BG545" s="407">
        <v>3.5446841871559043</v>
      </c>
      <c r="BH545" s="407">
        <v>0</v>
      </c>
      <c r="BI545" s="407">
        <v>0</v>
      </c>
      <c r="BJ545" s="407">
        <v>0</v>
      </c>
      <c r="BK545" s="407">
        <v>0</v>
      </c>
      <c r="BL545" s="407">
        <v>0</v>
      </c>
      <c r="BM545" s="407"/>
      <c r="BN545" s="407"/>
      <c r="BO545" s="407"/>
      <c r="BP545" s="407"/>
      <c r="BQ545" s="407"/>
      <c r="BR545" s="407"/>
      <c r="BS545" s="407"/>
      <c r="BT545" s="407"/>
      <c r="BU545" s="407"/>
      <c r="BV545" s="407">
        <v>108.88426370220935</v>
      </c>
      <c r="BW545" s="407"/>
      <c r="BX545" s="407"/>
      <c r="BY545" s="407"/>
      <c r="BZ545" s="407"/>
      <c r="CA545" s="407"/>
      <c r="CB545" s="407"/>
      <c r="CC545" s="407"/>
      <c r="CD545" s="407"/>
      <c r="CE545" s="407"/>
      <c r="CF545" s="407"/>
      <c r="CG545" s="407"/>
      <c r="CH545" s="407"/>
      <c r="CI545" s="407">
        <v>1286.3492000000001</v>
      </c>
      <c r="CJ545" s="407">
        <v>-742.26593000000003</v>
      </c>
      <c r="CK545" s="407"/>
      <c r="CL545" s="407"/>
      <c r="CM545" s="407"/>
      <c r="CN545" s="407"/>
      <c r="CO545" s="407">
        <v>-755.32286999999997</v>
      </c>
      <c r="CP545" s="407">
        <v>18.76201</v>
      </c>
      <c r="CQ545" s="407">
        <v>31</v>
      </c>
      <c r="CR545" s="407">
        <v>-2.2078637475447067</v>
      </c>
      <c r="CS545" s="407">
        <v>0</v>
      </c>
      <c r="CT545" s="407">
        <v>0</v>
      </c>
      <c r="CU545" s="407">
        <v>0</v>
      </c>
      <c r="CV545" s="407">
        <v>0</v>
      </c>
      <c r="CW545" s="407">
        <v>0</v>
      </c>
      <c r="CX545" s="407">
        <v>0</v>
      </c>
      <c r="CY545" s="407">
        <v>0</v>
      </c>
      <c r="CZ545" s="407">
        <v>18.835910524679377</v>
      </c>
      <c r="DA545" s="407">
        <v>0</v>
      </c>
      <c r="DB545" s="407">
        <v>0</v>
      </c>
      <c r="DC545" s="407">
        <v>20.885993938903013</v>
      </c>
      <c r="DD545" s="407">
        <v>0</v>
      </c>
      <c r="DE545" s="407">
        <v>0</v>
      </c>
      <c r="DF545" s="407">
        <v>0</v>
      </c>
      <c r="DG545" s="407">
        <v>0.70281515066883227</v>
      </c>
      <c r="DH545" s="407">
        <v>0</v>
      </c>
      <c r="DI545" s="407">
        <v>-2.5791795607095978</v>
      </c>
      <c r="DJ545" s="407"/>
      <c r="DK545" s="407">
        <v>0</v>
      </c>
      <c r="DL545" s="407">
        <v>0</v>
      </c>
      <c r="DM545" s="407">
        <v>0</v>
      </c>
      <c r="DN545" s="407">
        <v>0</v>
      </c>
      <c r="DO545" s="407">
        <v>-0.399041604175431</v>
      </c>
      <c r="DP545" s="407">
        <v>-4.6727922421173074E-2</v>
      </c>
      <c r="DQ545" s="407">
        <v>0</v>
      </c>
      <c r="DR545" s="407">
        <v>-39.607634274489826</v>
      </c>
      <c r="DS545" s="407"/>
      <c r="DT545" s="407"/>
      <c r="DU545" s="407"/>
      <c r="DV545" s="407">
        <v>1437.6391214941052</v>
      </c>
      <c r="DW545" s="407">
        <v>0</v>
      </c>
      <c r="DX545" s="407">
        <v>0</v>
      </c>
      <c r="DY545" s="407">
        <v>-755.32286999999997</v>
      </c>
      <c r="DZ545" s="407">
        <v>18.762010000000004</v>
      </c>
      <c r="EA545" s="407">
        <v>0</v>
      </c>
      <c r="EB545" s="407">
        <v>0</v>
      </c>
      <c r="EC545" s="407">
        <v>-734.3494023533849</v>
      </c>
      <c r="ED545" s="407">
        <v>0</v>
      </c>
      <c r="EE545" s="407">
        <v>0</v>
      </c>
      <c r="EF545" s="407">
        <v>0</v>
      </c>
      <c r="EG545" s="407">
        <v>0</v>
      </c>
      <c r="EH545" s="407">
        <v>0</v>
      </c>
      <c r="EI545" s="407">
        <v>0</v>
      </c>
      <c r="EJ545" s="407">
        <v>0</v>
      </c>
      <c r="EK545" s="407">
        <v>0</v>
      </c>
      <c r="EL545" s="407">
        <v>0</v>
      </c>
      <c r="EM545" s="407">
        <v>0</v>
      </c>
      <c r="EN545" s="407">
        <v>0</v>
      </c>
      <c r="EO545" s="407">
        <v>0</v>
      </c>
      <c r="EP545" s="407">
        <v>17.442559015997329</v>
      </c>
      <c r="EQ545" s="407">
        <v>0</v>
      </c>
      <c r="ER545" s="407">
        <v>0</v>
      </c>
      <c r="ES545" s="407">
        <v>0</v>
      </c>
      <c r="ET545" s="407">
        <v>0</v>
      </c>
      <c r="EU545" s="407">
        <v>0</v>
      </c>
      <c r="EV545" s="407">
        <v>246</v>
      </c>
      <c r="EW545" s="407">
        <v>0</v>
      </c>
      <c r="EX545" s="407">
        <v>0</v>
      </c>
      <c r="EY545" s="407">
        <v>0</v>
      </c>
      <c r="EZ545" s="407"/>
      <c r="FA545" s="407">
        <v>0</v>
      </c>
      <c r="FB545" s="407"/>
      <c r="FC545" s="407"/>
      <c r="FD545" s="407"/>
      <c r="FE545" s="407"/>
      <c r="FF545" s="407">
        <v>0</v>
      </c>
      <c r="FG545" s="407">
        <v>0</v>
      </c>
      <c r="FH545" s="407">
        <v>0</v>
      </c>
      <c r="FI545" s="407">
        <v>0</v>
      </c>
    </row>
    <row r="546" spans="1:165">
      <c r="A546" s="407">
        <v>565</v>
      </c>
      <c r="B546" s="407" t="s">
        <v>1090</v>
      </c>
      <c r="C546" s="407" t="s">
        <v>2314</v>
      </c>
      <c r="D546" s="407" t="s">
        <v>650</v>
      </c>
      <c r="E546" s="407" t="s">
        <v>2316</v>
      </c>
      <c r="F546" s="407" t="s">
        <v>97</v>
      </c>
      <c r="G546" s="407" t="s">
        <v>97</v>
      </c>
      <c r="H546" s="407" t="s">
        <v>97</v>
      </c>
      <c r="I546" s="407" t="s">
        <v>2290</v>
      </c>
      <c r="J546" s="407" t="s">
        <v>2307</v>
      </c>
      <c r="K546" s="818">
        <v>44621</v>
      </c>
      <c r="L546" s="407">
        <v>0</v>
      </c>
      <c r="M546" s="407">
        <v>0</v>
      </c>
      <c r="N546" s="407">
        <v>6.8979999999999997</v>
      </c>
      <c r="O546" s="407">
        <v>6.8979999999999997</v>
      </c>
      <c r="P546" s="407">
        <v>6.8979999999999997</v>
      </c>
      <c r="Q546" s="407">
        <v>6.8979999999999997</v>
      </c>
      <c r="R546" s="407"/>
      <c r="S546" s="407">
        <v>95.29</v>
      </c>
      <c r="T546" s="407">
        <v>159.41</v>
      </c>
      <c r="U546" s="407"/>
      <c r="V546" s="407">
        <v>1756.9205999999999</v>
      </c>
      <c r="W546" s="407">
        <v>1756.9205999999999</v>
      </c>
      <c r="X546" s="407">
        <v>1910.1251799999998</v>
      </c>
      <c r="Y546" s="407">
        <v>0</v>
      </c>
      <c r="Z546" s="407">
        <v>371.89958629583379</v>
      </c>
      <c r="AA546" s="407">
        <v>0</v>
      </c>
      <c r="AB546" s="407">
        <v>0</v>
      </c>
      <c r="AC546" s="407">
        <v>0</v>
      </c>
      <c r="AD546" s="407">
        <v>0</v>
      </c>
      <c r="AE546" s="407">
        <v>0</v>
      </c>
      <c r="AF546" s="407">
        <v>1063.8834838870257</v>
      </c>
      <c r="AG546" s="407">
        <v>35.743692448487678</v>
      </c>
      <c r="AH546" s="407">
        <v>0</v>
      </c>
      <c r="AI546" s="407">
        <v>0</v>
      </c>
      <c r="AJ546" s="407">
        <v>0</v>
      </c>
      <c r="AK546" s="407">
        <v>0</v>
      </c>
      <c r="AL546" s="407">
        <v>66.055629809419216</v>
      </c>
      <c r="AM546" s="407"/>
      <c r="AN546" s="407">
        <v>7.4066128815275185</v>
      </c>
      <c r="AO546" s="407">
        <v>0</v>
      </c>
      <c r="AP546" s="407">
        <v>0</v>
      </c>
      <c r="AQ546" s="407">
        <v>0</v>
      </c>
      <c r="AR546" s="407">
        <v>0</v>
      </c>
      <c r="AS546" s="407">
        <v>0</v>
      </c>
      <c r="AT546" s="407">
        <v>0</v>
      </c>
      <c r="AU546" s="407">
        <v>0</v>
      </c>
      <c r="AV546" s="407">
        <v>0</v>
      </c>
      <c r="AW546" s="407">
        <v>0</v>
      </c>
      <c r="AX546" s="407">
        <v>0</v>
      </c>
      <c r="AY546" s="407">
        <v>0</v>
      </c>
      <c r="AZ546" s="407">
        <v>0</v>
      </c>
      <c r="BA546" s="407"/>
      <c r="BB546" s="407">
        <v>0</v>
      </c>
      <c r="BC546" s="407">
        <v>0</v>
      </c>
      <c r="BD546" s="407">
        <v>0</v>
      </c>
      <c r="BE546" s="407">
        <v>0</v>
      </c>
      <c r="BF546" s="407">
        <v>0</v>
      </c>
      <c r="BG546" s="407">
        <v>35.799753327966947</v>
      </c>
      <c r="BH546" s="407">
        <v>0</v>
      </c>
      <c r="BI546" s="407">
        <v>0</v>
      </c>
      <c r="BJ546" s="407">
        <v>0</v>
      </c>
      <c r="BK546" s="407">
        <v>0</v>
      </c>
      <c r="BL546" s="407">
        <v>0</v>
      </c>
      <c r="BM546" s="407"/>
      <c r="BN546" s="407"/>
      <c r="BO546" s="407"/>
      <c r="BP546" s="407"/>
      <c r="BQ546" s="407"/>
      <c r="BR546" s="407"/>
      <c r="BS546" s="407"/>
      <c r="BT546" s="407"/>
      <c r="BU546" s="407"/>
      <c r="BV546" s="407">
        <v>1099.6832372149927</v>
      </c>
      <c r="BW546" s="407"/>
      <c r="BX546" s="407"/>
      <c r="BY546" s="407"/>
      <c r="BZ546" s="407"/>
      <c r="CA546" s="407"/>
      <c r="CB546" s="407"/>
      <c r="CC546" s="407"/>
      <c r="CD546" s="407"/>
      <c r="CE546" s="407"/>
      <c r="CF546" s="407"/>
      <c r="CG546" s="407"/>
      <c r="CH546" s="407"/>
      <c r="CI546" s="407">
        <v>1910.6790000000001</v>
      </c>
      <c r="CJ546" s="407">
        <v>153.72840000000019</v>
      </c>
      <c r="CK546" s="407"/>
      <c r="CL546" s="407"/>
      <c r="CM546" s="407"/>
      <c r="CN546" s="407"/>
      <c r="CO546" s="407">
        <v>-36.283480000000033</v>
      </c>
      <c r="CP546" s="407">
        <v>189.48805999999999</v>
      </c>
      <c r="CQ546" s="407">
        <v>31</v>
      </c>
      <c r="CR546" s="407">
        <v>153.18277686770557</v>
      </c>
      <c r="CS546" s="407">
        <v>0</v>
      </c>
      <c r="CT546" s="407">
        <v>0</v>
      </c>
      <c r="CU546" s="407">
        <v>0</v>
      </c>
      <c r="CV546" s="407">
        <v>0</v>
      </c>
      <c r="CW546" s="407">
        <v>0</v>
      </c>
      <c r="CX546" s="407">
        <v>0</v>
      </c>
      <c r="CY546" s="407">
        <v>0</v>
      </c>
      <c r="CZ546" s="407">
        <v>0</v>
      </c>
      <c r="DA546" s="407">
        <v>0</v>
      </c>
      <c r="DB546" s="407">
        <v>0</v>
      </c>
      <c r="DC546" s="407">
        <v>210.93936484707615</v>
      </c>
      <c r="DD546" s="407">
        <v>0</v>
      </c>
      <c r="DE546" s="407">
        <v>0</v>
      </c>
      <c r="DF546" s="407">
        <v>0</v>
      </c>
      <c r="DG546" s="407">
        <v>7.0981243181751168</v>
      </c>
      <c r="DH546" s="407">
        <v>0</v>
      </c>
      <c r="DI546" s="407">
        <v>-26.048580687810841</v>
      </c>
      <c r="DJ546" s="407"/>
      <c r="DK546" s="407">
        <v>0</v>
      </c>
      <c r="DL546" s="407">
        <v>0</v>
      </c>
      <c r="DM546" s="407">
        <v>0</v>
      </c>
      <c r="DN546" s="407">
        <v>0</v>
      </c>
      <c r="DO546" s="407">
        <v>-4.0301449276751526</v>
      </c>
      <c r="DP546" s="407">
        <v>-0.47193149174414639</v>
      </c>
      <c r="DQ546" s="407">
        <v>0</v>
      </c>
      <c r="DR546" s="407">
        <v>-34.30405519031531</v>
      </c>
      <c r="DS546" s="407"/>
      <c r="DT546" s="407"/>
      <c r="DU546" s="407"/>
      <c r="DV546" s="407">
        <v>0</v>
      </c>
      <c r="DW546" s="407">
        <v>0</v>
      </c>
      <c r="DX546" s="407">
        <v>0</v>
      </c>
      <c r="DY546" s="407">
        <v>-36.283480000000054</v>
      </c>
      <c r="DZ546" s="407">
        <v>189.4880599999999</v>
      </c>
      <c r="EA546" s="407">
        <v>0</v>
      </c>
      <c r="EB546" s="407">
        <v>0</v>
      </c>
      <c r="EC546" s="407">
        <v>0</v>
      </c>
      <c r="ED546" s="407">
        <v>0</v>
      </c>
      <c r="EE546" s="407">
        <v>0</v>
      </c>
      <c r="EF546" s="407">
        <v>0</v>
      </c>
      <c r="EG546" s="407">
        <v>0</v>
      </c>
      <c r="EH546" s="407">
        <v>0</v>
      </c>
      <c r="EI546" s="407">
        <v>0</v>
      </c>
      <c r="EJ546" s="407">
        <v>0</v>
      </c>
      <c r="EK546" s="407">
        <v>0</v>
      </c>
      <c r="EL546" s="407">
        <v>0</v>
      </c>
      <c r="EM546" s="407">
        <v>0</v>
      </c>
      <c r="EN546" s="407">
        <v>0</v>
      </c>
      <c r="EO546" s="407">
        <v>0</v>
      </c>
      <c r="EP546" s="407">
        <v>176.16218461544591</v>
      </c>
      <c r="EQ546" s="407">
        <v>0</v>
      </c>
      <c r="ER546" s="407">
        <v>0</v>
      </c>
      <c r="ES546" s="407">
        <v>0</v>
      </c>
      <c r="ET546" s="407">
        <v>0</v>
      </c>
      <c r="EU546" s="407">
        <v>0</v>
      </c>
      <c r="EV546" s="407">
        <v>246</v>
      </c>
      <c r="EW546" s="407">
        <v>0</v>
      </c>
      <c r="EX546" s="407">
        <v>0</v>
      </c>
      <c r="EY546" s="407">
        <v>0</v>
      </c>
      <c r="EZ546" s="407"/>
      <c r="FA546" s="407">
        <v>0</v>
      </c>
      <c r="FB546" s="407"/>
      <c r="FC546" s="407"/>
      <c r="FD546" s="407"/>
      <c r="FE546" s="407"/>
      <c r="FF546" s="407">
        <v>0</v>
      </c>
      <c r="FG546" s="407">
        <v>0</v>
      </c>
      <c r="FH546" s="407">
        <v>0</v>
      </c>
      <c r="FI546" s="407">
        <v>0</v>
      </c>
    </row>
    <row r="547" spans="1:165">
      <c r="A547" s="407">
        <v>566</v>
      </c>
      <c r="B547" s="407" t="s">
        <v>1090</v>
      </c>
      <c r="C547" s="407" t="s">
        <v>2314</v>
      </c>
      <c r="D547" s="407" t="s">
        <v>650</v>
      </c>
      <c r="E547" s="407" t="s">
        <v>2316</v>
      </c>
      <c r="F547" s="407" t="s">
        <v>97</v>
      </c>
      <c r="G547" s="407" t="s">
        <v>97</v>
      </c>
      <c r="H547" s="407" t="s">
        <v>97</v>
      </c>
      <c r="I547" s="407" t="s">
        <v>97</v>
      </c>
      <c r="J547" s="407" t="s">
        <v>2307</v>
      </c>
      <c r="K547" s="818">
        <v>44621</v>
      </c>
      <c r="L547" s="407">
        <v>55</v>
      </c>
      <c r="M547" s="407">
        <v>55</v>
      </c>
      <c r="N547" s="407">
        <v>0</v>
      </c>
      <c r="O547" s="407">
        <v>0</v>
      </c>
      <c r="P547" s="407">
        <v>0</v>
      </c>
      <c r="Q547" s="407">
        <v>0</v>
      </c>
      <c r="R547" s="407">
        <v>43.29</v>
      </c>
      <c r="S547" s="407"/>
      <c r="T547" s="407"/>
      <c r="U547" s="407">
        <v>2380.9499999999998</v>
      </c>
      <c r="V547" s="407"/>
      <c r="W547" s="407">
        <v>2380.9499999999998</v>
      </c>
      <c r="X547" s="407">
        <v>1841.95</v>
      </c>
      <c r="Y547" s="407">
        <v>0</v>
      </c>
      <c r="Z547" s="407">
        <v>0</v>
      </c>
      <c r="AA547" s="407">
        <v>0</v>
      </c>
      <c r="AB547" s="407">
        <v>0</v>
      </c>
      <c r="AC547" s="407">
        <v>0</v>
      </c>
      <c r="AD547" s="407">
        <v>1301.5192937140901</v>
      </c>
      <c r="AE547" s="407">
        <v>1079.605290740438</v>
      </c>
      <c r="AF547" s="407"/>
      <c r="AG547" s="407"/>
      <c r="AH547" s="407"/>
      <c r="AI547" s="407">
        <v>0</v>
      </c>
      <c r="AJ547" s="407">
        <v>0</v>
      </c>
      <c r="AK547" s="407">
        <v>0</v>
      </c>
      <c r="AL547" s="407">
        <v>0</v>
      </c>
      <c r="AM547" s="407"/>
      <c r="AN547" s="407">
        <v>0</v>
      </c>
      <c r="AO547" s="407">
        <v>0</v>
      </c>
      <c r="AP547" s="407">
        <v>0</v>
      </c>
      <c r="AQ547" s="407">
        <v>0</v>
      </c>
      <c r="AR547" s="407">
        <v>0</v>
      </c>
      <c r="AS547" s="407"/>
      <c r="AT547" s="407"/>
      <c r="AU547" s="407">
        <v>0</v>
      </c>
      <c r="AV547" s="407">
        <v>0</v>
      </c>
      <c r="AW547" s="407">
        <v>0</v>
      </c>
      <c r="AX547" s="407"/>
      <c r="AY547" s="407"/>
      <c r="AZ547" s="407">
        <v>0</v>
      </c>
      <c r="BA547" s="407"/>
      <c r="BB547" s="407">
        <v>0</v>
      </c>
      <c r="BC547" s="407">
        <v>0</v>
      </c>
      <c r="BD547" s="407">
        <v>0</v>
      </c>
      <c r="BE547" s="407">
        <v>0</v>
      </c>
      <c r="BF547" s="407"/>
      <c r="BG547" s="407">
        <v>0</v>
      </c>
      <c r="BH547" s="407">
        <v>0</v>
      </c>
      <c r="BI547" s="407">
        <v>10.96</v>
      </c>
      <c r="BJ547" s="407">
        <v>47.26</v>
      </c>
      <c r="BK547" s="407">
        <v>0</v>
      </c>
      <c r="BL547" s="407">
        <v>1</v>
      </c>
      <c r="BM547" s="407"/>
      <c r="BN547" s="407"/>
      <c r="BO547" s="407"/>
      <c r="BP547" s="407"/>
      <c r="BQ547" s="407"/>
      <c r="BR547" s="407"/>
      <c r="BS547" s="407"/>
      <c r="BT547" s="407"/>
      <c r="BU547" s="407"/>
      <c r="BV547" s="407">
        <v>0</v>
      </c>
      <c r="BW547" s="407"/>
      <c r="BX547" s="407"/>
      <c r="BY547" s="407"/>
      <c r="BZ547" s="407"/>
      <c r="CA547" s="407"/>
      <c r="CB547" s="407"/>
      <c r="CC547" s="407"/>
      <c r="CD547" s="407"/>
      <c r="CE547" s="407"/>
      <c r="CF547" s="407"/>
      <c r="CG547" s="407"/>
      <c r="CH547" s="407"/>
      <c r="CI547" s="407">
        <v>1841.95</v>
      </c>
      <c r="CJ547" s="407">
        <v>-539.03000000000043</v>
      </c>
      <c r="CK547" s="407"/>
      <c r="CL547" s="407"/>
      <c r="CM547" s="407"/>
      <c r="CN547" s="407"/>
      <c r="CO547" s="407">
        <v>-538.99999999999989</v>
      </c>
      <c r="CP547" s="407">
        <v>0</v>
      </c>
      <c r="CQ547" s="407">
        <v>31</v>
      </c>
      <c r="CR547" s="407">
        <v>12.301307986806478</v>
      </c>
      <c r="CS547" s="407">
        <v>0</v>
      </c>
      <c r="CT547" s="407">
        <v>0</v>
      </c>
      <c r="CU547" s="407">
        <v>0</v>
      </c>
      <c r="CV547" s="407">
        <v>0</v>
      </c>
      <c r="CW547" s="407"/>
      <c r="CX547" s="407"/>
      <c r="CY547" s="407"/>
      <c r="CZ547" s="407">
        <v>58.792207162578961</v>
      </c>
      <c r="DA547" s="407">
        <v>0</v>
      </c>
      <c r="DB547" s="407">
        <v>0</v>
      </c>
      <c r="DC547" s="407"/>
      <c r="DD547" s="407"/>
      <c r="DE547" s="407">
        <v>0</v>
      </c>
      <c r="DF547" s="407">
        <v>0</v>
      </c>
      <c r="DG547" s="407">
        <v>0</v>
      </c>
      <c r="DH547" s="407">
        <v>0</v>
      </c>
      <c r="DI547" s="407">
        <v>0</v>
      </c>
      <c r="DJ547" s="407"/>
      <c r="DK547" s="407">
        <v>0</v>
      </c>
      <c r="DL547" s="407">
        <v>0</v>
      </c>
      <c r="DM547" s="407"/>
      <c r="DN547" s="407">
        <v>0</v>
      </c>
      <c r="DO547" s="407">
        <v>0</v>
      </c>
      <c r="DP547" s="407">
        <v>0</v>
      </c>
      <c r="DQ547" s="407">
        <v>0</v>
      </c>
      <c r="DR547" s="407">
        <v>-46.49089917577259</v>
      </c>
      <c r="DS547" s="407"/>
      <c r="DT547" s="407"/>
      <c r="DU547" s="407">
        <v>1079.605290740438</v>
      </c>
      <c r="DV547" s="407"/>
      <c r="DW547" s="407">
        <v>0</v>
      </c>
      <c r="DX547" s="407">
        <v>0</v>
      </c>
      <c r="DY547" s="407">
        <v>-538.99999999999977</v>
      </c>
      <c r="DZ547" s="407"/>
      <c r="EA547" s="407">
        <v>0</v>
      </c>
      <c r="EB547" s="407"/>
      <c r="EC547" s="407">
        <v>-551.46489002667931</v>
      </c>
      <c r="ED547" s="407"/>
      <c r="EE547" s="407">
        <v>0</v>
      </c>
      <c r="EF547" s="407">
        <v>0</v>
      </c>
      <c r="EG547" s="407"/>
      <c r="EH547" s="407">
        <v>0</v>
      </c>
      <c r="EI547" s="407">
        <v>0</v>
      </c>
      <c r="EJ547" s="407">
        <v>0</v>
      </c>
      <c r="EK547" s="407">
        <v>0</v>
      </c>
      <c r="EL547" s="407">
        <v>0</v>
      </c>
      <c r="EM547" s="407"/>
      <c r="EN547" s="407"/>
      <c r="EO547" s="407">
        <v>0</v>
      </c>
      <c r="EP547" s="407">
        <v>0</v>
      </c>
      <c r="EQ547" s="407"/>
      <c r="ER547" s="407">
        <v>0</v>
      </c>
      <c r="ES547" s="407"/>
      <c r="ET547" s="407">
        <v>0</v>
      </c>
      <c r="EU547" s="407"/>
      <c r="EV547" s="407">
        <v>246</v>
      </c>
      <c r="EW547" s="407"/>
      <c r="EX547" s="407"/>
      <c r="EY547" s="407"/>
      <c r="EZ547" s="407"/>
      <c r="FA547" s="407">
        <v>0</v>
      </c>
      <c r="FB547" s="407"/>
      <c r="FC547" s="407"/>
      <c r="FD547" s="407"/>
      <c r="FE547" s="407"/>
      <c r="FF547" s="407">
        <v>0</v>
      </c>
      <c r="FG547" s="407">
        <v>0</v>
      </c>
      <c r="FH547" s="407">
        <v>0</v>
      </c>
      <c r="FI547" s="407">
        <v>0</v>
      </c>
    </row>
    <row r="548" spans="1:165">
      <c r="A548" s="407">
        <v>567</v>
      </c>
      <c r="B548" s="407" t="s">
        <v>1090</v>
      </c>
      <c r="C548" s="407" t="s">
        <v>2306</v>
      </c>
      <c r="D548" s="407" t="s">
        <v>2318</v>
      </c>
      <c r="E548" s="407" t="s">
        <v>2319</v>
      </c>
      <c r="F548" s="407" t="s">
        <v>2320</v>
      </c>
      <c r="G548" s="407" t="s">
        <v>97</v>
      </c>
      <c r="H548" s="407" t="s">
        <v>97</v>
      </c>
      <c r="I548" s="407" t="s">
        <v>97</v>
      </c>
      <c r="J548" s="407" t="s">
        <v>2307</v>
      </c>
      <c r="K548" s="818">
        <v>44621</v>
      </c>
      <c r="L548" s="407">
        <v>0</v>
      </c>
      <c r="M548" s="407">
        <v>0</v>
      </c>
      <c r="N548" s="407">
        <v>516.54700000000003</v>
      </c>
      <c r="O548" s="407">
        <v>516.54700000000003</v>
      </c>
      <c r="P548" s="407">
        <v>516.54700000000003</v>
      </c>
      <c r="Q548" s="407">
        <v>516.54700000000003</v>
      </c>
      <c r="R548" s="407"/>
      <c r="S548" s="407">
        <v>356.64</v>
      </c>
      <c r="T548" s="407">
        <v>87.68</v>
      </c>
      <c r="U548" s="407"/>
      <c r="V548" s="407">
        <v>229512.16304000001</v>
      </c>
      <c r="W548" s="407">
        <v>229512.16304000001</v>
      </c>
      <c r="X548" s="407">
        <v>173818.06550000003</v>
      </c>
      <c r="Y548" s="407">
        <v>0</v>
      </c>
      <c r="Z548" s="407">
        <v>17605.800878697948</v>
      </c>
      <c r="AA548" s="407">
        <v>0</v>
      </c>
      <c r="AB548" s="407">
        <v>0</v>
      </c>
      <c r="AC548" s="407">
        <v>0</v>
      </c>
      <c r="AD548" s="407">
        <v>33138.780634567564</v>
      </c>
      <c r="AE548" s="407">
        <v>118625.17089670057</v>
      </c>
      <c r="AF548" s="407">
        <v>43817.077714303399</v>
      </c>
      <c r="AG548" s="407">
        <v>1472.138794832405</v>
      </c>
      <c r="AH548" s="407">
        <v>0</v>
      </c>
      <c r="AI548" s="407">
        <v>0</v>
      </c>
      <c r="AJ548" s="407">
        <v>0</v>
      </c>
      <c r="AK548" s="407">
        <v>0</v>
      </c>
      <c r="AL548" s="407">
        <v>2720.5654647928868</v>
      </c>
      <c r="AM548" s="407"/>
      <c r="AN548" s="407">
        <v>589.53643529119756</v>
      </c>
      <c r="AO548" s="407">
        <v>0</v>
      </c>
      <c r="AP548" s="407">
        <v>0</v>
      </c>
      <c r="AQ548" s="407">
        <v>0</v>
      </c>
      <c r="AR548" s="407">
        <v>0</v>
      </c>
      <c r="AS548" s="407">
        <v>0</v>
      </c>
      <c r="AT548" s="407">
        <v>0</v>
      </c>
      <c r="AU548" s="407">
        <v>0</v>
      </c>
      <c r="AV548" s="407">
        <v>0</v>
      </c>
      <c r="AW548" s="407">
        <v>0</v>
      </c>
      <c r="AX548" s="407">
        <v>0</v>
      </c>
      <c r="AY548" s="407">
        <v>0</v>
      </c>
      <c r="AZ548" s="407">
        <v>0</v>
      </c>
      <c r="BA548" s="407"/>
      <c r="BB548" s="407">
        <v>0</v>
      </c>
      <c r="BC548" s="407">
        <v>0</v>
      </c>
      <c r="BD548" s="407">
        <v>0</v>
      </c>
      <c r="BE548" s="407">
        <v>0</v>
      </c>
      <c r="BF548" s="407">
        <v>0</v>
      </c>
      <c r="BG548" s="407">
        <v>3202.888462601285</v>
      </c>
      <c r="BH548" s="407">
        <v>0</v>
      </c>
      <c r="BI548" s="407">
        <v>398.58</v>
      </c>
      <c r="BJ548" s="407">
        <v>1720.06</v>
      </c>
      <c r="BK548" s="407">
        <v>62321.11</v>
      </c>
      <c r="BL548" s="407">
        <v>62</v>
      </c>
      <c r="BM548" s="407"/>
      <c r="BN548" s="407"/>
      <c r="BO548" s="407"/>
      <c r="BP548" s="407"/>
      <c r="BQ548" s="407"/>
      <c r="BR548" s="407"/>
      <c r="BS548" s="407"/>
      <c r="BT548" s="407"/>
      <c r="BU548" s="407"/>
      <c r="BV548" s="407">
        <v>47019.966176904687</v>
      </c>
      <c r="BW548" s="407"/>
      <c r="BX548" s="407"/>
      <c r="BY548" s="407"/>
      <c r="BZ548" s="407"/>
      <c r="CA548" s="407"/>
      <c r="CB548" s="407"/>
      <c r="CC548" s="407"/>
      <c r="CD548" s="407"/>
      <c r="CE548" s="407"/>
      <c r="CF548" s="407"/>
      <c r="CG548" s="407"/>
      <c r="CH548" s="407"/>
      <c r="CI548" s="407">
        <v>173819.07499999998</v>
      </c>
      <c r="CJ548" s="407">
        <v>-55693.118040000059</v>
      </c>
      <c r="CK548" s="407"/>
      <c r="CL548" s="407"/>
      <c r="CM548" s="407"/>
      <c r="CN548" s="407"/>
      <c r="CO548" s="407">
        <v>-63493.957239999996</v>
      </c>
      <c r="CP548" s="407">
        <v>7799.8596999999972</v>
      </c>
      <c r="CQ548" s="407">
        <v>31</v>
      </c>
      <c r="CR548" s="407">
        <v>4901.8811841638235</v>
      </c>
      <c r="CS548" s="407">
        <v>0</v>
      </c>
      <c r="CT548" s="407">
        <v>0</v>
      </c>
      <c r="CU548" s="407">
        <v>0</v>
      </c>
      <c r="CV548" s="407">
        <v>0</v>
      </c>
      <c r="CW548" s="407">
        <v>0</v>
      </c>
      <c r="CX548" s="407">
        <v>0</v>
      </c>
      <c r="CY548" s="407">
        <v>0</v>
      </c>
      <c r="CZ548" s="407">
        <v>1496.9444291702166</v>
      </c>
      <c r="DA548" s="407">
        <v>0</v>
      </c>
      <c r="DB548" s="407">
        <v>0</v>
      </c>
      <c r="DC548" s="407">
        <v>8687.7432373897173</v>
      </c>
      <c r="DD548" s="407">
        <v>0</v>
      </c>
      <c r="DE548" s="407">
        <v>0</v>
      </c>
      <c r="DF548" s="407">
        <v>0</v>
      </c>
      <c r="DG548" s="407">
        <v>635.04628862993559</v>
      </c>
      <c r="DH548" s="407">
        <v>0</v>
      </c>
      <c r="DI548" s="407">
        <v>-1233.14502532814</v>
      </c>
      <c r="DJ548" s="407"/>
      <c r="DK548" s="407">
        <v>0</v>
      </c>
      <c r="DL548" s="407">
        <v>0</v>
      </c>
      <c r="DM548" s="407">
        <v>0</v>
      </c>
      <c r="DN548" s="407">
        <v>0</v>
      </c>
      <c r="DO548" s="407">
        <v>-165.98544499502759</v>
      </c>
      <c r="DP548" s="407">
        <v>-37.563838396151027</v>
      </c>
      <c r="DQ548" s="407">
        <v>0</v>
      </c>
      <c r="DR548" s="407">
        <v>-4481.1584623067192</v>
      </c>
      <c r="DS548" s="407"/>
      <c r="DT548" s="407"/>
      <c r="DU548" s="407"/>
      <c r="DV548" s="407">
        <v>118625.17089670057</v>
      </c>
      <c r="DW548" s="407">
        <v>0</v>
      </c>
      <c r="DX548" s="407">
        <v>0</v>
      </c>
      <c r="DY548" s="407">
        <v>-63493.957240000003</v>
      </c>
      <c r="DZ548" s="407">
        <v>7799.8596999999936</v>
      </c>
      <c r="EA548" s="407">
        <v>0</v>
      </c>
      <c r="EB548" s="407">
        <v>0</v>
      </c>
      <c r="EC548" s="407">
        <v>-60594.012815626695</v>
      </c>
      <c r="ED548" s="407">
        <v>0</v>
      </c>
      <c r="EE548" s="407">
        <v>0</v>
      </c>
      <c r="EF548" s="407">
        <v>0</v>
      </c>
      <c r="EG548" s="407">
        <v>0</v>
      </c>
      <c r="EH548" s="407">
        <v>0</v>
      </c>
      <c r="EI548" s="407">
        <v>0</v>
      </c>
      <c r="EJ548" s="407">
        <v>0</v>
      </c>
      <c r="EK548" s="407">
        <v>0</v>
      </c>
      <c r="EL548" s="407">
        <v>0</v>
      </c>
      <c r="EM548" s="407">
        <v>0</v>
      </c>
      <c r="EN548" s="407">
        <v>0</v>
      </c>
      <c r="EO548" s="407">
        <v>0</v>
      </c>
      <c r="EP548" s="407">
        <v>8339.5530917015731</v>
      </c>
      <c r="EQ548" s="407">
        <v>0</v>
      </c>
      <c r="ER548" s="407">
        <v>0</v>
      </c>
      <c r="ES548" s="407">
        <v>0</v>
      </c>
      <c r="ET548" s="407">
        <v>0</v>
      </c>
      <c r="EU548" s="407">
        <v>0</v>
      </c>
      <c r="EV548" s="407">
        <v>246</v>
      </c>
      <c r="EW548" s="407">
        <v>0</v>
      </c>
      <c r="EX548" s="407">
        <v>0</v>
      </c>
      <c r="EY548" s="407">
        <v>0</v>
      </c>
      <c r="EZ548" s="407"/>
      <c r="FA548" s="407">
        <v>0</v>
      </c>
      <c r="FB548" s="407"/>
      <c r="FC548" s="407"/>
      <c r="FD548" s="407"/>
      <c r="FE548" s="407"/>
      <c r="FF548" s="407">
        <v>0</v>
      </c>
      <c r="FG548" s="407">
        <v>0</v>
      </c>
      <c r="FH548" s="407">
        <v>0</v>
      </c>
      <c r="FI548" s="407">
        <v>0</v>
      </c>
    </row>
    <row r="549" spans="1:165">
      <c r="A549" s="407">
        <v>568</v>
      </c>
      <c r="B549" s="407" t="s">
        <v>1090</v>
      </c>
      <c r="C549" s="407" t="s">
        <v>2306</v>
      </c>
      <c r="D549" s="407" t="s">
        <v>1219</v>
      </c>
      <c r="E549" s="407" t="s">
        <v>1052</v>
      </c>
      <c r="F549" s="407" t="s">
        <v>2321</v>
      </c>
      <c r="G549" s="407" t="s">
        <v>97</v>
      </c>
      <c r="H549" s="407" t="s">
        <v>97</v>
      </c>
      <c r="I549" s="407" t="s">
        <v>97</v>
      </c>
      <c r="J549" s="407" t="s">
        <v>2307</v>
      </c>
      <c r="K549" s="818">
        <v>44621</v>
      </c>
      <c r="L549" s="407">
        <v>0</v>
      </c>
      <c r="M549" s="407">
        <v>0</v>
      </c>
      <c r="N549" s="407">
        <v>47.533999999999999</v>
      </c>
      <c r="O549" s="407">
        <v>44.681959999999997</v>
      </c>
      <c r="P549" s="407">
        <v>47.533999999999999</v>
      </c>
      <c r="Q549" s="407">
        <v>44.681959999999997</v>
      </c>
      <c r="R549" s="407"/>
      <c r="S549" s="407">
        <v>648.44000000000005</v>
      </c>
      <c r="T549" s="407">
        <v>159.41</v>
      </c>
      <c r="U549" s="407"/>
      <c r="V549" s="407">
        <v>38400.341899999999</v>
      </c>
      <c r="W549" s="407">
        <v>38400.341899999999</v>
      </c>
      <c r="X549" s="407">
        <v>29082.251879999996</v>
      </c>
      <c r="Y549" s="407">
        <v>0</v>
      </c>
      <c r="Z549" s="407">
        <v>2945.6938934467385</v>
      </c>
      <c r="AA549" s="407">
        <v>0</v>
      </c>
      <c r="AB549" s="407">
        <v>0</v>
      </c>
      <c r="AC549" s="407">
        <v>0</v>
      </c>
      <c r="AD549" s="407">
        <v>5544.5761555572153</v>
      </c>
      <c r="AE549" s="407">
        <v>19847.63112607292</v>
      </c>
      <c r="AF549" s="407">
        <v>7331.2028882409222</v>
      </c>
      <c r="AG549" s="407">
        <v>246.30917321635451</v>
      </c>
      <c r="AH549" s="407">
        <v>0</v>
      </c>
      <c r="AI549" s="407">
        <v>0</v>
      </c>
      <c r="AJ549" s="407">
        <v>0</v>
      </c>
      <c r="AK549" s="407">
        <v>0</v>
      </c>
      <c r="AL549" s="407">
        <v>455.18821504217641</v>
      </c>
      <c r="AM549" s="407"/>
      <c r="AN549" s="407">
        <v>98.637596174498356</v>
      </c>
      <c r="AO549" s="407">
        <v>0</v>
      </c>
      <c r="AP549" s="407">
        <v>0</v>
      </c>
      <c r="AQ549" s="407">
        <v>0</v>
      </c>
      <c r="AR549" s="407">
        <v>0</v>
      </c>
      <c r="AS549" s="407">
        <v>0</v>
      </c>
      <c r="AT549" s="407">
        <v>0</v>
      </c>
      <c r="AU549" s="407">
        <v>0</v>
      </c>
      <c r="AV549" s="407">
        <v>0</v>
      </c>
      <c r="AW549" s="407">
        <v>0</v>
      </c>
      <c r="AX549" s="407">
        <v>0</v>
      </c>
      <c r="AY549" s="407">
        <v>0</v>
      </c>
      <c r="AZ549" s="407">
        <v>0</v>
      </c>
      <c r="BA549" s="407"/>
      <c r="BB549" s="407">
        <v>0</v>
      </c>
      <c r="BC549" s="407">
        <v>0</v>
      </c>
      <c r="BD549" s="407">
        <v>0</v>
      </c>
      <c r="BE549" s="407">
        <v>0</v>
      </c>
      <c r="BF549" s="407">
        <v>0</v>
      </c>
      <c r="BG549" s="407">
        <v>535.88752086200759</v>
      </c>
      <c r="BH549" s="407">
        <v>0</v>
      </c>
      <c r="BI549" s="407">
        <v>54.95</v>
      </c>
      <c r="BJ549" s="407">
        <v>237.2</v>
      </c>
      <c r="BK549" s="407">
        <v>12046.28</v>
      </c>
      <c r="BL549" s="407">
        <v>13</v>
      </c>
      <c r="BM549" s="407"/>
      <c r="BN549" s="407"/>
      <c r="BO549" s="407"/>
      <c r="BP549" s="407"/>
      <c r="BQ549" s="407">
        <v>1744.9351128000014</v>
      </c>
      <c r="BR549" s="407"/>
      <c r="BS549" s="407"/>
      <c r="BT549" s="407"/>
      <c r="BU549" s="407"/>
      <c r="BV549" s="407">
        <v>7867.0904091029297</v>
      </c>
      <c r="BW549" s="407"/>
      <c r="BX549" s="407"/>
      <c r="BY549" s="407"/>
      <c r="BZ549" s="407"/>
      <c r="CA549" s="407"/>
      <c r="CB549" s="407"/>
      <c r="CC549" s="407"/>
      <c r="CD549" s="407"/>
      <c r="CE549" s="407"/>
      <c r="CF549" s="407"/>
      <c r="CG549" s="407"/>
      <c r="CH549" s="407"/>
      <c r="CI549" s="407">
        <v>27336.117599999998</v>
      </c>
      <c r="CJ549" s="407">
        <v>-8760.2337860000043</v>
      </c>
      <c r="CK549" s="407"/>
      <c r="CL549" s="407"/>
      <c r="CM549" s="407"/>
      <c r="CN549" s="407"/>
      <c r="CO549" s="407">
        <v>-10623.849000000002</v>
      </c>
      <c r="CP549" s="407">
        <v>1305.7589799999998</v>
      </c>
      <c r="CQ549" s="407">
        <v>31</v>
      </c>
      <c r="CR549" s="407">
        <v>820.15249235630472</v>
      </c>
      <c r="CS549" s="407">
        <v>0</v>
      </c>
      <c r="CT549" s="407">
        <v>0</v>
      </c>
      <c r="CU549" s="407">
        <v>0</v>
      </c>
      <c r="CV549" s="407">
        <v>0</v>
      </c>
      <c r="CW549" s="407">
        <v>0</v>
      </c>
      <c r="CX549" s="407">
        <v>0</v>
      </c>
      <c r="CY549" s="407">
        <v>0</v>
      </c>
      <c r="CZ549" s="407">
        <v>250.45949878775718</v>
      </c>
      <c r="DA549" s="407">
        <v>0</v>
      </c>
      <c r="DB549" s="407">
        <v>0</v>
      </c>
      <c r="DC549" s="407">
        <v>1453.5795547464359</v>
      </c>
      <c r="DD549" s="407">
        <v>0</v>
      </c>
      <c r="DE549" s="407">
        <v>0</v>
      </c>
      <c r="DF549" s="407">
        <v>0</v>
      </c>
      <c r="DG549" s="407">
        <v>106.25202382793111</v>
      </c>
      <c r="DH549" s="407">
        <v>0</v>
      </c>
      <c r="DI549" s="407">
        <v>-206.32221140466982</v>
      </c>
      <c r="DJ549" s="407"/>
      <c r="DK549" s="407">
        <v>0</v>
      </c>
      <c r="DL549" s="407">
        <v>0</v>
      </c>
      <c r="DM549" s="407">
        <v>0</v>
      </c>
      <c r="DN549" s="407">
        <v>0</v>
      </c>
      <c r="DO549" s="407">
        <v>-27.771659755307383</v>
      </c>
      <c r="DP549" s="407">
        <v>-6.2849494970622146</v>
      </c>
      <c r="DQ549" s="407">
        <v>0</v>
      </c>
      <c r="DR549" s="407">
        <v>-749.75976434877884</v>
      </c>
      <c r="DS549" s="407"/>
      <c r="DT549" s="407"/>
      <c r="DU549" s="407"/>
      <c r="DV549" s="407">
        <v>19847.63112607292</v>
      </c>
      <c r="DW549" s="407">
        <v>0</v>
      </c>
      <c r="DX549" s="407">
        <v>0</v>
      </c>
      <c r="DY549" s="407">
        <v>-10623.849000000002</v>
      </c>
      <c r="DZ549" s="407">
        <v>1305.7589799999996</v>
      </c>
      <c r="EA549" s="407">
        <v>0</v>
      </c>
      <c r="EB549" s="407">
        <v>0</v>
      </c>
      <c r="EC549" s="407">
        <v>-10138.216077769646</v>
      </c>
      <c r="ED549" s="407">
        <v>0</v>
      </c>
      <c r="EE549" s="407">
        <v>0</v>
      </c>
      <c r="EF549" s="407">
        <v>0</v>
      </c>
      <c r="EG549" s="407">
        <v>0</v>
      </c>
      <c r="EH549" s="407">
        <v>0</v>
      </c>
      <c r="EI549" s="407">
        <v>0</v>
      </c>
      <c r="EJ549" s="407">
        <v>0</v>
      </c>
      <c r="EK549" s="407">
        <v>0</v>
      </c>
      <c r="EL549" s="407">
        <v>0</v>
      </c>
      <c r="EM549" s="407">
        <v>0</v>
      </c>
      <c r="EN549" s="407">
        <v>0</v>
      </c>
      <c r="EO549" s="407">
        <v>0</v>
      </c>
      <c r="EP549" s="407">
        <v>1395.3225295205691</v>
      </c>
      <c r="EQ549" s="407">
        <v>0</v>
      </c>
      <c r="ER549" s="407">
        <v>0</v>
      </c>
      <c r="ES549" s="407">
        <v>0</v>
      </c>
      <c r="ET549" s="407">
        <v>0</v>
      </c>
      <c r="EU549" s="407">
        <v>0</v>
      </c>
      <c r="EV549" s="407">
        <v>246</v>
      </c>
      <c r="EW549" s="407">
        <v>0</v>
      </c>
      <c r="EX549" s="407">
        <v>0</v>
      </c>
      <c r="EY549" s="407">
        <v>0</v>
      </c>
      <c r="EZ549" s="407"/>
      <c r="FA549" s="407">
        <v>0</v>
      </c>
      <c r="FB549" s="407"/>
      <c r="FC549" s="407"/>
      <c r="FD549" s="407"/>
      <c r="FE549" s="407"/>
      <c r="FF549" s="407">
        <v>0</v>
      </c>
      <c r="FG549" s="407">
        <v>0</v>
      </c>
      <c r="FH549" s="407">
        <v>0</v>
      </c>
      <c r="FI549" s="407">
        <v>0</v>
      </c>
    </row>
    <row r="550" spans="1:165">
      <c r="A550" s="407">
        <v>569</v>
      </c>
      <c r="B550" s="407" t="s">
        <v>2308</v>
      </c>
      <c r="C550" s="407" t="s">
        <v>2306</v>
      </c>
      <c r="D550" s="407" t="s">
        <v>1219</v>
      </c>
      <c r="E550" s="407" t="s">
        <v>1052</v>
      </c>
      <c r="F550" s="407" t="s">
        <v>2321</v>
      </c>
      <c r="G550" s="407" t="s">
        <v>97</v>
      </c>
      <c r="H550" s="407" t="s">
        <v>97</v>
      </c>
      <c r="I550" s="407" t="s">
        <v>97</v>
      </c>
      <c r="J550" s="407" t="s">
        <v>2307</v>
      </c>
      <c r="K550" s="818">
        <v>44621</v>
      </c>
      <c r="L550" s="407">
        <v>0</v>
      </c>
      <c r="M550" s="407">
        <v>0</v>
      </c>
      <c r="N550" s="407">
        <v>-2.4E-2</v>
      </c>
      <c r="O550" s="407">
        <v>-2.256E-2</v>
      </c>
      <c r="P550" s="407">
        <v>-2.4E-2</v>
      </c>
      <c r="Q550" s="407">
        <v>-2.256E-2</v>
      </c>
      <c r="R550" s="407"/>
      <c r="S550" s="407">
        <v>648.44000000000005</v>
      </c>
      <c r="T550" s="407">
        <v>159.41</v>
      </c>
      <c r="U550" s="407"/>
      <c r="V550" s="407">
        <v>-19.388400000000001</v>
      </c>
      <c r="W550" s="407">
        <v>-19.388400000000001</v>
      </c>
      <c r="X550" s="407">
        <v>-14.683680000000001</v>
      </c>
      <c r="Y550" s="407">
        <v>0</v>
      </c>
      <c r="Z550" s="407">
        <v>-1.487286015120161</v>
      </c>
      <c r="AA550" s="407">
        <v>0</v>
      </c>
      <c r="AB550" s="407">
        <v>0</v>
      </c>
      <c r="AC550" s="407">
        <v>0</v>
      </c>
      <c r="AD550" s="407">
        <v>-2.7994662290859842</v>
      </c>
      <c r="AE550" s="407">
        <v>-10.021103778889849</v>
      </c>
      <c r="AF550" s="407">
        <v>-3.7015372011146157</v>
      </c>
      <c r="AG550" s="407">
        <v>-0.12436193371465705</v>
      </c>
      <c r="AH550" s="407">
        <v>0</v>
      </c>
      <c r="AI550" s="407">
        <v>0</v>
      </c>
      <c r="AJ550" s="407">
        <v>0</v>
      </c>
      <c r="AK550" s="407">
        <v>0</v>
      </c>
      <c r="AL550" s="407">
        <v>-0.22982532841781114</v>
      </c>
      <c r="AM550" s="407"/>
      <c r="AN550" s="407">
        <v>-4.9802295371480634E-2</v>
      </c>
      <c r="AO550" s="407">
        <v>0</v>
      </c>
      <c r="AP550" s="407">
        <v>0</v>
      </c>
      <c r="AQ550" s="407">
        <v>0</v>
      </c>
      <c r="AR550" s="407">
        <v>0</v>
      </c>
      <c r="AS550" s="407">
        <v>0</v>
      </c>
      <c r="AT550" s="407">
        <v>0</v>
      </c>
      <c r="AU550" s="407">
        <v>0</v>
      </c>
      <c r="AV550" s="407">
        <v>0</v>
      </c>
      <c r="AW550" s="407">
        <v>0</v>
      </c>
      <c r="AX550" s="407">
        <v>0</v>
      </c>
      <c r="AY550" s="407">
        <v>0</v>
      </c>
      <c r="AZ550" s="407">
        <v>0</v>
      </c>
      <c r="BA550" s="407"/>
      <c r="BB550" s="407">
        <v>0</v>
      </c>
      <c r="BC550" s="407">
        <v>0</v>
      </c>
      <c r="BD550" s="407">
        <v>0</v>
      </c>
      <c r="BE550" s="407">
        <v>0</v>
      </c>
      <c r="BF550" s="407">
        <v>0</v>
      </c>
      <c r="BG550" s="407">
        <v>-0.27057054951588722</v>
      </c>
      <c r="BH550" s="407">
        <v>0</v>
      </c>
      <c r="BI550" s="407">
        <v>-0.03</v>
      </c>
      <c r="BJ550" s="407">
        <v>-0.12</v>
      </c>
      <c r="BK550" s="407">
        <v>-6.08</v>
      </c>
      <c r="BL550" s="407">
        <v>0</v>
      </c>
      <c r="BM550" s="407"/>
      <c r="BN550" s="407"/>
      <c r="BO550" s="407"/>
      <c r="BP550" s="407"/>
      <c r="BQ550" s="407">
        <v>-0.88102080000000016</v>
      </c>
      <c r="BR550" s="407"/>
      <c r="BS550" s="407"/>
      <c r="BT550" s="407"/>
      <c r="BU550" s="407"/>
      <c r="BV550" s="407">
        <v>-3.9721077506305029</v>
      </c>
      <c r="BW550" s="407"/>
      <c r="BX550" s="407"/>
      <c r="BY550" s="407"/>
      <c r="BZ550" s="407"/>
      <c r="CA550" s="407"/>
      <c r="CB550" s="407"/>
      <c r="CC550" s="407"/>
      <c r="CD550" s="407"/>
      <c r="CE550" s="407"/>
      <c r="CF550" s="407"/>
      <c r="CG550" s="407"/>
      <c r="CH550" s="407"/>
      <c r="CI550" s="407">
        <v>-12.2364</v>
      </c>
      <c r="CJ550" s="407">
        <v>5.9586959999999998</v>
      </c>
      <c r="CK550" s="407"/>
      <c r="CL550" s="407"/>
      <c r="CM550" s="407"/>
      <c r="CN550" s="407"/>
      <c r="CO550" s="407">
        <v>5.3640000000000017</v>
      </c>
      <c r="CP550" s="407">
        <v>-0.65927999999999998</v>
      </c>
      <c r="CQ550" s="407">
        <v>31</v>
      </c>
      <c r="CR550" s="407">
        <v>-0.41409643237579985</v>
      </c>
      <c r="CS550" s="407">
        <v>0</v>
      </c>
      <c r="CT550" s="407">
        <v>0</v>
      </c>
      <c r="CU550" s="407">
        <v>0</v>
      </c>
      <c r="CV550" s="407">
        <v>0</v>
      </c>
      <c r="CW550" s="407">
        <v>0</v>
      </c>
      <c r="CX550" s="407">
        <v>0</v>
      </c>
      <c r="CY550" s="407">
        <v>0</v>
      </c>
      <c r="CZ550" s="407">
        <v>-0.12645744037754403</v>
      </c>
      <c r="DA550" s="407">
        <v>0</v>
      </c>
      <c r="DB550" s="407">
        <v>0</v>
      </c>
      <c r="DC550" s="407">
        <v>-0.73391486754564017</v>
      </c>
      <c r="DD550" s="407">
        <v>0</v>
      </c>
      <c r="DE550" s="407">
        <v>0</v>
      </c>
      <c r="DF550" s="407">
        <v>0</v>
      </c>
      <c r="DG550" s="407">
        <v>-5.3646833253467974E-2</v>
      </c>
      <c r="DH550" s="407">
        <v>0</v>
      </c>
      <c r="DI550" s="407">
        <v>0.10417244653746982</v>
      </c>
      <c r="DJ550" s="407"/>
      <c r="DK550" s="407">
        <v>0</v>
      </c>
      <c r="DL550" s="407">
        <v>0</v>
      </c>
      <c r="DM550" s="407">
        <v>0</v>
      </c>
      <c r="DN550" s="407">
        <v>0</v>
      </c>
      <c r="DO550" s="407">
        <v>1.4021959736764789E-2</v>
      </c>
      <c r="DP550" s="407">
        <v>3.1732820282217508E-3</v>
      </c>
      <c r="DQ550" s="407">
        <v>0</v>
      </c>
      <c r="DR550" s="407">
        <v>0.37855502049839473</v>
      </c>
      <c r="DS550" s="407"/>
      <c r="DT550" s="407"/>
      <c r="DU550" s="407"/>
      <c r="DV550" s="407">
        <v>-10.021103778889849</v>
      </c>
      <c r="DW550" s="407">
        <v>0</v>
      </c>
      <c r="DX550" s="407">
        <v>0</v>
      </c>
      <c r="DY550" s="407">
        <v>5.3640000000000008</v>
      </c>
      <c r="DZ550" s="407">
        <v>-0.65928000000000031</v>
      </c>
      <c r="EA550" s="407">
        <v>0</v>
      </c>
      <c r="EB550" s="407">
        <v>0</v>
      </c>
      <c r="EC550" s="407">
        <v>5.1188030855066167</v>
      </c>
      <c r="ED550" s="407">
        <v>0</v>
      </c>
      <c r="EE550" s="407">
        <v>0</v>
      </c>
      <c r="EF550" s="407">
        <v>0</v>
      </c>
      <c r="EG550" s="407">
        <v>0</v>
      </c>
      <c r="EH550" s="407">
        <v>0</v>
      </c>
      <c r="EI550" s="407">
        <v>0</v>
      </c>
      <c r="EJ550" s="407">
        <v>0</v>
      </c>
      <c r="EK550" s="407">
        <v>0</v>
      </c>
      <c r="EL550" s="407">
        <v>0</v>
      </c>
      <c r="EM550" s="407">
        <v>0</v>
      </c>
      <c r="EN550" s="407">
        <v>0</v>
      </c>
      <c r="EO550" s="407">
        <v>0</v>
      </c>
      <c r="EP550" s="407">
        <v>-0.70450079329519211</v>
      </c>
      <c r="EQ550" s="407">
        <v>0</v>
      </c>
      <c r="ER550" s="407">
        <v>0</v>
      </c>
      <c r="ES550" s="407">
        <v>0</v>
      </c>
      <c r="ET550" s="407">
        <v>0</v>
      </c>
      <c r="EU550" s="407">
        <v>0</v>
      </c>
      <c r="EV550" s="407">
        <v>246</v>
      </c>
      <c r="EW550" s="407">
        <v>0</v>
      </c>
      <c r="EX550" s="407">
        <v>0</v>
      </c>
      <c r="EY550" s="407">
        <v>0</v>
      </c>
      <c r="EZ550" s="407"/>
      <c r="FA550" s="407">
        <v>0</v>
      </c>
      <c r="FB550" s="407"/>
      <c r="FC550" s="407"/>
      <c r="FD550" s="407"/>
      <c r="FE550" s="407"/>
      <c r="FF550" s="407">
        <v>0</v>
      </c>
      <c r="FG550" s="407">
        <v>0</v>
      </c>
      <c r="FH550" s="407">
        <v>0</v>
      </c>
      <c r="FI550" s="407">
        <v>0</v>
      </c>
    </row>
    <row r="551" spans="1:165">
      <c r="A551" s="407">
        <v>570</v>
      </c>
      <c r="B551" s="407" t="s">
        <v>1090</v>
      </c>
      <c r="C551" s="407" t="s">
        <v>2317</v>
      </c>
      <c r="D551" s="407" t="s">
        <v>650</v>
      </c>
      <c r="E551" s="407" t="s">
        <v>1052</v>
      </c>
      <c r="F551" s="407" t="s">
        <v>2321</v>
      </c>
      <c r="G551" s="407" t="s">
        <v>97</v>
      </c>
      <c r="H551" s="407" t="s">
        <v>97</v>
      </c>
      <c r="I551" s="407" t="s">
        <v>1025</v>
      </c>
      <c r="J551" s="407" t="s">
        <v>2307</v>
      </c>
      <c r="K551" s="818">
        <v>44621</v>
      </c>
      <c r="L551" s="407">
        <v>708</v>
      </c>
      <c r="M551" s="407">
        <v>665.52</v>
      </c>
      <c r="N551" s="407">
        <v>39.304000000000002</v>
      </c>
      <c r="O551" s="407">
        <v>36.94576</v>
      </c>
      <c r="P551" s="407">
        <v>39.304000000000002</v>
      </c>
      <c r="Q551" s="407">
        <v>36.94576</v>
      </c>
      <c r="R551" s="407">
        <v>112.91</v>
      </c>
      <c r="S551" s="407">
        <v>95.29</v>
      </c>
      <c r="T551" s="407">
        <v>159.41</v>
      </c>
      <c r="U551" s="407">
        <v>79940.28</v>
      </c>
      <c r="V551" s="407">
        <v>10010.728800000001</v>
      </c>
      <c r="W551" s="407">
        <v>89951.008799999996</v>
      </c>
      <c r="X551" s="407">
        <v>58418.790640000007</v>
      </c>
      <c r="Y551" s="407">
        <v>0</v>
      </c>
      <c r="Z551" s="407">
        <v>2119.0404957627502</v>
      </c>
      <c r="AA551" s="407">
        <v>0</v>
      </c>
      <c r="AB551" s="407">
        <v>0</v>
      </c>
      <c r="AC551" s="407">
        <v>0</v>
      </c>
      <c r="AD551" s="407">
        <v>17972.872804850485</v>
      </c>
      <c r="AE551" s="407">
        <v>61965.112641339554</v>
      </c>
      <c r="AF551" s="407">
        <v>6061.8840896920365</v>
      </c>
      <c r="AG551" s="407">
        <v>203.66339344670337</v>
      </c>
      <c r="AH551" s="407">
        <v>0</v>
      </c>
      <c r="AI551" s="407">
        <v>0</v>
      </c>
      <c r="AJ551" s="407">
        <v>0</v>
      </c>
      <c r="AK551" s="407">
        <v>0</v>
      </c>
      <c r="AL551" s="407">
        <v>376.37727950556871</v>
      </c>
      <c r="AM551" s="407"/>
      <c r="AN551" s="407">
        <v>42.202016917303226</v>
      </c>
      <c r="AO551" s="407">
        <v>0</v>
      </c>
      <c r="AP551" s="407">
        <v>0</v>
      </c>
      <c r="AQ551" s="407">
        <v>0</v>
      </c>
      <c r="AR551" s="407">
        <v>0</v>
      </c>
      <c r="AS551" s="407">
        <v>0</v>
      </c>
      <c r="AT551" s="407">
        <v>0</v>
      </c>
      <c r="AU551" s="407">
        <v>0</v>
      </c>
      <c r="AV551" s="407">
        <v>0</v>
      </c>
      <c r="AW551" s="407">
        <v>0</v>
      </c>
      <c r="AX551" s="407">
        <v>0</v>
      </c>
      <c r="AY551" s="407">
        <v>0</v>
      </c>
      <c r="AZ551" s="407">
        <v>0</v>
      </c>
      <c r="BA551" s="407"/>
      <c r="BB551" s="407">
        <v>0</v>
      </c>
      <c r="BC551" s="407">
        <v>0</v>
      </c>
      <c r="BD551" s="407">
        <v>0</v>
      </c>
      <c r="BE551" s="407">
        <v>0</v>
      </c>
      <c r="BF551" s="407">
        <v>0</v>
      </c>
      <c r="BG551" s="407">
        <v>203.98282180377112</v>
      </c>
      <c r="BH551" s="407">
        <v>0</v>
      </c>
      <c r="BI551" s="407">
        <v>0</v>
      </c>
      <c r="BJ551" s="407">
        <v>0</v>
      </c>
      <c r="BK551" s="407">
        <v>0</v>
      </c>
      <c r="BL551" s="407">
        <v>0</v>
      </c>
      <c r="BM551" s="407"/>
      <c r="BN551" s="407"/>
      <c r="BO551" s="407"/>
      <c r="BP551" s="407"/>
      <c r="BQ551" s="407">
        <v>3505.1274384000021</v>
      </c>
      <c r="BR551" s="407"/>
      <c r="BS551" s="407"/>
      <c r="BT551" s="407"/>
      <c r="BU551" s="407"/>
      <c r="BV551" s="407">
        <v>6265.8669114958075</v>
      </c>
      <c r="BW551" s="407"/>
      <c r="BX551" s="407"/>
      <c r="BY551" s="407"/>
      <c r="BZ551" s="407"/>
      <c r="CA551" s="407"/>
      <c r="CB551" s="407"/>
      <c r="CC551" s="407"/>
      <c r="CD551" s="407"/>
      <c r="CE551" s="407"/>
      <c r="CF551" s="407"/>
      <c r="CG551" s="407"/>
      <c r="CH551" s="407"/>
      <c r="CI551" s="407">
        <v>54914.837299999999</v>
      </c>
      <c r="CJ551" s="407">
        <v>-29639.140971999979</v>
      </c>
      <c r="CK551" s="407"/>
      <c r="CL551" s="407"/>
      <c r="CM551" s="407"/>
      <c r="CN551" s="407"/>
      <c r="CO551" s="407">
        <v>-32611.899039999997</v>
      </c>
      <c r="CP551" s="407">
        <v>1079.6808800000001</v>
      </c>
      <c r="CQ551" s="407">
        <v>31</v>
      </c>
      <c r="CR551" s="407">
        <v>123.91748802568327</v>
      </c>
      <c r="CS551" s="407">
        <v>0</v>
      </c>
      <c r="CT551" s="407">
        <v>0</v>
      </c>
      <c r="CU551" s="407">
        <v>0</v>
      </c>
      <c r="CV551" s="407">
        <v>0</v>
      </c>
      <c r="CW551" s="407">
        <v>0</v>
      </c>
      <c r="CX551" s="407">
        <v>0</v>
      </c>
      <c r="CY551" s="407">
        <v>0</v>
      </c>
      <c r="CZ551" s="407">
        <v>811.87030138765112</v>
      </c>
      <c r="DA551" s="407">
        <v>0</v>
      </c>
      <c r="DB551" s="407">
        <v>0</v>
      </c>
      <c r="DC551" s="407">
        <v>1201.9079147505763</v>
      </c>
      <c r="DD551" s="407">
        <v>0</v>
      </c>
      <c r="DE551" s="407">
        <v>0</v>
      </c>
      <c r="DF551" s="407">
        <v>0</v>
      </c>
      <c r="DG551" s="407">
        <v>40.444285039367173</v>
      </c>
      <c r="DH551" s="407">
        <v>0</v>
      </c>
      <c r="DI551" s="407">
        <v>-148.4217766531915</v>
      </c>
      <c r="DJ551" s="407"/>
      <c r="DK551" s="407">
        <v>0</v>
      </c>
      <c r="DL551" s="407">
        <v>0</v>
      </c>
      <c r="DM551" s="407">
        <v>0</v>
      </c>
      <c r="DN551" s="407">
        <v>0</v>
      </c>
      <c r="DO551" s="407">
        <v>-22.963296062241795</v>
      </c>
      <c r="DP551" s="407">
        <v>-2.689010633736153</v>
      </c>
      <c r="DQ551" s="407">
        <v>0</v>
      </c>
      <c r="DR551" s="407">
        <v>-1756.2309298027408</v>
      </c>
      <c r="DS551" s="407"/>
      <c r="DT551" s="407"/>
      <c r="DU551" s="407">
        <v>61965.112641339554</v>
      </c>
      <c r="DV551" s="407">
        <v>0</v>
      </c>
      <c r="DW551" s="407">
        <v>0</v>
      </c>
      <c r="DX551" s="407">
        <v>0</v>
      </c>
      <c r="DY551" s="407">
        <v>-32611.899039999997</v>
      </c>
      <c r="DZ551" s="407">
        <v>1079.6808799999999</v>
      </c>
      <c r="EA551" s="407">
        <v>0</v>
      </c>
      <c r="EB551" s="407">
        <v>0</v>
      </c>
      <c r="EC551" s="407">
        <v>-31651.923458814021</v>
      </c>
      <c r="ED551" s="407">
        <v>0</v>
      </c>
      <c r="EE551" s="407">
        <v>0</v>
      </c>
      <c r="EF551" s="407">
        <v>0</v>
      </c>
      <c r="EG551" s="407">
        <v>0</v>
      </c>
      <c r="EH551" s="407">
        <v>0</v>
      </c>
      <c r="EI551" s="407">
        <v>0</v>
      </c>
      <c r="EJ551" s="407">
        <v>0</v>
      </c>
      <c r="EK551" s="407">
        <v>0</v>
      </c>
      <c r="EL551" s="407">
        <v>0</v>
      </c>
      <c r="EM551" s="407">
        <v>0</v>
      </c>
      <c r="EN551" s="407">
        <v>0</v>
      </c>
      <c r="EO551" s="407">
        <v>0</v>
      </c>
      <c r="EP551" s="407">
        <v>1003.7515952631903</v>
      </c>
      <c r="EQ551" s="407">
        <v>0</v>
      </c>
      <c r="ER551" s="407">
        <v>0</v>
      </c>
      <c r="ES551" s="407">
        <v>0</v>
      </c>
      <c r="ET551" s="407">
        <v>0</v>
      </c>
      <c r="EU551" s="407">
        <v>0</v>
      </c>
      <c r="EV551" s="407">
        <v>246</v>
      </c>
      <c r="EW551" s="407">
        <v>0</v>
      </c>
      <c r="EX551" s="407">
        <v>0</v>
      </c>
      <c r="EY551" s="407">
        <v>0</v>
      </c>
      <c r="EZ551" s="407"/>
      <c r="FA551" s="407">
        <v>0</v>
      </c>
      <c r="FB551" s="407"/>
      <c r="FC551" s="407"/>
      <c r="FD551" s="407"/>
      <c r="FE551" s="407"/>
      <c r="FF551" s="407">
        <v>0</v>
      </c>
      <c r="FG551" s="407">
        <v>0</v>
      </c>
      <c r="FH551" s="407">
        <v>0</v>
      </c>
      <c r="FI551" s="407">
        <v>0</v>
      </c>
    </row>
    <row r="552" spans="1:165">
      <c r="A552" s="407">
        <v>571</v>
      </c>
      <c r="B552" s="407" t="s">
        <v>1090</v>
      </c>
      <c r="C552" s="407" t="s">
        <v>2317</v>
      </c>
      <c r="D552" s="407" t="s">
        <v>650</v>
      </c>
      <c r="E552" s="407" t="s">
        <v>1052</v>
      </c>
      <c r="F552" s="407" t="s">
        <v>2321</v>
      </c>
      <c r="G552" s="407" t="s">
        <v>97</v>
      </c>
      <c r="H552" s="407" t="s">
        <v>97</v>
      </c>
      <c r="I552" s="407" t="s">
        <v>2290</v>
      </c>
      <c r="J552" s="407" t="s">
        <v>2307</v>
      </c>
      <c r="K552" s="818">
        <v>44621</v>
      </c>
      <c r="L552" s="407">
        <v>718</v>
      </c>
      <c r="M552" s="407">
        <v>674.92</v>
      </c>
      <c r="N552" s="407">
        <v>387.91199999999998</v>
      </c>
      <c r="O552" s="407">
        <v>364.63727999999998</v>
      </c>
      <c r="P552" s="407">
        <v>387.91199999999998</v>
      </c>
      <c r="Q552" s="407">
        <v>364.63727999999998</v>
      </c>
      <c r="R552" s="407">
        <v>43.29</v>
      </c>
      <c r="S552" s="407">
        <v>95.29</v>
      </c>
      <c r="T552" s="407">
        <v>159.41</v>
      </c>
      <c r="U552" s="407">
        <v>31082.22</v>
      </c>
      <c r="V552" s="407">
        <v>98801.186400000006</v>
      </c>
      <c r="W552" s="407">
        <v>129883.40640000001</v>
      </c>
      <c r="X552" s="407">
        <v>131462.53191999998</v>
      </c>
      <c r="Y552" s="407">
        <v>0</v>
      </c>
      <c r="Z552" s="407">
        <v>20913.933360276817</v>
      </c>
      <c r="AA552" s="407">
        <v>0</v>
      </c>
      <c r="AB552" s="407">
        <v>0</v>
      </c>
      <c r="AC552" s="407">
        <v>0</v>
      </c>
      <c r="AD552" s="407">
        <v>16990.742779758486</v>
      </c>
      <c r="AE552" s="407">
        <v>14093.756340938808</v>
      </c>
      <c r="AF552" s="407">
        <v>59827.945781615534</v>
      </c>
      <c r="AG552" s="407">
        <v>2010.0619346300018</v>
      </c>
      <c r="AH552" s="407">
        <v>0</v>
      </c>
      <c r="AI552" s="407">
        <v>0</v>
      </c>
      <c r="AJ552" s="407">
        <v>0</v>
      </c>
      <c r="AK552" s="407">
        <v>0</v>
      </c>
      <c r="AL552" s="407">
        <v>3714.666783217081</v>
      </c>
      <c r="AM552" s="407"/>
      <c r="AN552" s="407">
        <v>416.51406438084996</v>
      </c>
      <c r="AO552" s="407">
        <v>0</v>
      </c>
      <c r="AP552" s="407">
        <v>0</v>
      </c>
      <c r="AQ552" s="407">
        <v>0</v>
      </c>
      <c r="AR552" s="407">
        <v>0</v>
      </c>
      <c r="AS552" s="407">
        <v>0</v>
      </c>
      <c r="AT552" s="407">
        <v>0</v>
      </c>
      <c r="AU552" s="407">
        <v>0</v>
      </c>
      <c r="AV552" s="407">
        <v>0</v>
      </c>
      <c r="AW552" s="407">
        <v>0</v>
      </c>
      <c r="AX552" s="407">
        <v>0</v>
      </c>
      <c r="AY552" s="407">
        <v>0</v>
      </c>
      <c r="AZ552" s="407">
        <v>0</v>
      </c>
      <c r="BA552" s="407"/>
      <c r="BB552" s="407">
        <v>0</v>
      </c>
      <c r="BC552" s="407">
        <v>0</v>
      </c>
      <c r="BD552" s="407">
        <v>0</v>
      </c>
      <c r="BE552" s="407">
        <v>0</v>
      </c>
      <c r="BF552" s="407">
        <v>0</v>
      </c>
      <c r="BG552" s="407">
        <v>2013.2145423250674</v>
      </c>
      <c r="BH552" s="407">
        <v>0</v>
      </c>
      <c r="BI552" s="407">
        <v>0</v>
      </c>
      <c r="BJ552" s="407">
        <v>0</v>
      </c>
      <c r="BK552" s="407">
        <v>0</v>
      </c>
      <c r="BL552" s="407">
        <v>0</v>
      </c>
      <c r="BM552" s="407"/>
      <c r="BN552" s="407"/>
      <c r="BO552" s="407"/>
      <c r="BP552" s="407"/>
      <c r="BQ552" s="407">
        <v>7887.7519152000013</v>
      </c>
      <c r="BR552" s="407"/>
      <c r="BS552" s="407"/>
      <c r="BT552" s="407"/>
      <c r="BU552" s="407"/>
      <c r="BV552" s="407">
        <v>61841.160323940603</v>
      </c>
      <c r="BW552" s="407"/>
      <c r="BX552" s="407"/>
      <c r="BY552" s="407"/>
      <c r="BZ552" s="407"/>
      <c r="CA552" s="407"/>
      <c r="CB552" s="407"/>
      <c r="CC552" s="407"/>
      <c r="CD552" s="407"/>
      <c r="CE552" s="407"/>
      <c r="CF552" s="407"/>
      <c r="CG552" s="407"/>
      <c r="CH552" s="407"/>
      <c r="CI552" s="407">
        <v>123575.53319999999</v>
      </c>
      <c r="CJ552" s="407">
        <v>1485.1011839999992</v>
      </c>
      <c r="CK552" s="407"/>
      <c r="CL552" s="407"/>
      <c r="CM552" s="407"/>
      <c r="CN552" s="407"/>
      <c r="CO552" s="407">
        <v>-9076.8171199999997</v>
      </c>
      <c r="CP552" s="407">
        <v>10655.942639999999</v>
      </c>
      <c r="CQ552" s="407">
        <v>31</v>
      </c>
      <c r="CR552" s="407">
        <v>8774.8873957320466</v>
      </c>
      <c r="CS552" s="407">
        <v>0</v>
      </c>
      <c r="CT552" s="407">
        <v>0</v>
      </c>
      <c r="CU552" s="407">
        <v>0</v>
      </c>
      <c r="CV552" s="407">
        <v>0</v>
      </c>
      <c r="CW552" s="407">
        <v>0</v>
      </c>
      <c r="CX552" s="407">
        <v>0</v>
      </c>
      <c r="CY552" s="407">
        <v>0</v>
      </c>
      <c r="CZ552" s="407">
        <v>767.5055407769396</v>
      </c>
      <c r="DA552" s="407">
        <v>0</v>
      </c>
      <c r="DB552" s="407">
        <v>0</v>
      </c>
      <c r="DC552" s="407">
        <v>11862.266004140183</v>
      </c>
      <c r="DD552" s="407">
        <v>0</v>
      </c>
      <c r="DE552" s="407">
        <v>0</v>
      </c>
      <c r="DF552" s="407">
        <v>0</v>
      </c>
      <c r="DG552" s="407">
        <v>399.16607719802073</v>
      </c>
      <c r="DH552" s="407">
        <v>0</v>
      </c>
      <c r="DI552" s="407">
        <v>-1464.8531504450693</v>
      </c>
      <c r="DJ552" s="407"/>
      <c r="DK552" s="407">
        <v>0</v>
      </c>
      <c r="DL552" s="407">
        <v>0</v>
      </c>
      <c r="DM552" s="407">
        <v>0</v>
      </c>
      <c r="DN552" s="407">
        <v>0</v>
      </c>
      <c r="DO552" s="407">
        <v>-226.63693522532913</v>
      </c>
      <c r="DP552" s="407">
        <v>-26.539270632858177</v>
      </c>
      <c r="DQ552" s="407">
        <v>0</v>
      </c>
      <c r="DR552" s="407">
        <v>-2536.0208700798744</v>
      </c>
      <c r="DS552" s="407"/>
      <c r="DT552" s="407"/>
      <c r="DU552" s="407">
        <v>14093.756340938808</v>
      </c>
      <c r="DV552" s="407">
        <v>0</v>
      </c>
      <c r="DW552" s="407">
        <v>0</v>
      </c>
      <c r="DX552" s="407">
        <v>0</v>
      </c>
      <c r="DY552" s="407">
        <v>-9076.8171200000143</v>
      </c>
      <c r="DZ552" s="407">
        <v>10655.942639999994</v>
      </c>
      <c r="EA552" s="407">
        <v>0</v>
      </c>
      <c r="EB552" s="407">
        <v>0</v>
      </c>
      <c r="EC552" s="407">
        <v>-7199.1234734391937</v>
      </c>
      <c r="ED552" s="407">
        <v>0</v>
      </c>
      <c r="EE552" s="407">
        <v>0</v>
      </c>
      <c r="EF552" s="407">
        <v>0</v>
      </c>
      <c r="EG552" s="407">
        <v>0</v>
      </c>
      <c r="EH552" s="407">
        <v>0</v>
      </c>
      <c r="EI552" s="407">
        <v>0</v>
      </c>
      <c r="EJ552" s="407">
        <v>0</v>
      </c>
      <c r="EK552" s="407">
        <v>0</v>
      </c>
      <c r="EL552" s="407">
        <v>0</v>
      </c>
      <c r="EM552" s="407">
        <v>0</v>
      </c>
      <c r="EN552" s="407">
        <v>0</v>
      </c>
      <c r="EO552" s="407">
        <v>0</v>
      </c>
      <c r="EP552" s="407">
        <v>9906.5563001662595</v>
      </c>
      <c r="EQ552" s="407">
        <v>0</v>
      </c>
      <c r="ER552" s="407">
        <v>0</v>
      </c>
      <c r="ES552" s="407">
        <v>0</v>
      </c>
      <c r="ET552" s="407">
        <v>0</v>
      </c>
      <c r="EU552" s="407">
        <v>0</v>
      </c>
      <c r="EV552" s="407">
        <v>246</v>
      </c>
      <c r="EW552" s="407">
        <v>0</v>
      </c>
      <c r="EX552" s="407">
        <v>0</v>
      </c>
      <c r="EY552" s="407">
        <v>0</v>
      </c>
      <c r="EZ552" s="407"/>
      <c r="FA552" s="407">
        <v>0</v>
      </c>
      <c r="FB552" s="407"/>
      <c r="FC552" s="407"/>
      <c r="FD552" s="407"/>
      <c r="FE552" s="407"/>
      <c r="FF552" s="407">
        <v>0</v>
      </c>
      <c r="FG552" s="407">
        <v>0</v>
      </c>
      <c r="FH552" s="407">
        <v>0</v>
      </c>
      <c r="FI552" s="407">
        <v>0</v>
      </c>
    </row>
    <row r="553" spans="1:165">
      <c r="A553" s="407">
        <v>572</v>
      </c>
      <c r="B553" s="407" t="s">
        <v>1090</v>
      </c>
      <c r="C553" s="407" t="s">
        <v>2317</v>
      </c>
      <c r="D553" s="407" t="s">
        <v>650</v>
      </c>
      <c r="E553" s="407" t="s">
        <v>1052</v>
      </c>
      <c r="F553" s="407" t="s">
        <v>2321</v>
      </c>
      <c r="G553" s="407" t="s">
        <v>97</v>
      </c>
      <c r="H553" s="407" t="s">
        <v>97</v>
      </c>
      <c r="I553" s="407" t="s">
        <v>97</v>
      </c>
      <c r="J553" s="407" t="s">
        <v>2307</v>
      </c>
      <c r="K553" s="818">
        <v>44621</v>
      </c>
      <c r="L553" s="407">
        <v>0</v>
      </c>
      <c r="M553" s="407">
        <v>0</v>
      </c>
      <c r="N553" s="407">
        <v>0</v>
      </c>
      <c r="O553" s="407">
        <v>0</v>
      </c>
      <c r="P553" s="407">
        <v>0</v>
      </c>
      <c r="Q553" s="407">
        <v>0</v>
      </c>
      <c r="R553" s="407"/>
      <c r="S553" s="407"/>
      <c r="T553" s="407"/>
      <c r="U553" s="407"/>
      <c r="V553" s="407"/>
      <c r="W553" s="407"/>
      <c r="X553" s="407"/>
      <c r="Y553" s="407"/>
      <c r="Z553" s="407"/>
      <c r="AA553" s="407">
        <v>0</v>
      </c>
      <c r="AB553" s="407"/>
      <c r="AC553" s="407"/>
      <c r="AD553" s="407"/>
      <c r="AE553" s="407"/>
      <c r="AF553" s="407"/>
      <c r="AG553" s="407"/>
      <c r="AH553" s="407"/>
      <c r="AI553" s="407"/>
      <c r="AJ553" s="407"/>
      <c r="AK553" s="407"/>
      <c r="AL553" s="407"/>
      <c r="AM553" s="407"/>
      <c r="AN553" s="407"/>
      <c r="AO553" s="407"/>
      <c r="AP553" s="407"/>
      <c r="AQ553" s="407"/>
      <c r="AR553" s="407"/>
      <c r="AS553" s="407"/>
      <c r="AT553" s="407"/>
      <c r="AU553" s="407"/>
      <c r="AV553" s="407"/>
      <c r="AW553" s="407"/>
      <c r="AX553" s="407"/>
      <c r="AY553" s="407"/>
      <c r="AZ553" s="407">
        <v>0</v>
      </c>
      <c r="BA553" s="407"/>
      <c r="BB553" s="407"/>
      <c r="BC553" s="407"/>
      <c r="BD553" s="407"/>
      <c r="BE553" s="407"/>
      <c r="BF553" s="407"/>
      <c r="BG553" s="407"/>
      <c r="BH553" s="407"/>
      <c r="BI553" s="407">
        <v>385.91</v>
      </c>
      <c r="BJ553" s="407">
        <v>1664.33</v>
      </c>
      <c r="BK553" s="407">
        <v>82054.92</v>
      </c>
      <c r="BL553" s="407">
        <v>3</v>
      </c>
      <c r="BM553" s="407"/>
      <c r="BN553" s="407"/>
      <c r="BO553" s="407"/>
      <c r="BP553" s="407"/>
      <c r="BQ553" s="407"/>
      <c r="BR553" s="407"/>
      <c r="BS553" s="407"/>
      <c r="BT553" s="407"/>
      <c r="BU553" s="407"/>
      <c r="BV553" s="407"/>
      <c r="BW553" s="407"/>
      <c r="BX553" s="407"/>
      <c r="BY553" s="407"/>
      <c r="BZ553" s="407"/>
      <c r="CA553" s="407"/>
      <c r="CB553" s="407"/>
      <c r="CC553" s="407"/>
      <c r="CD553" s="407"/>
      <c r="CE553" s="407"/>
      <c r="CF553" s="407"/>
      <c r="CG553" s="407"/>
      <c r="CH553" s="407"/>
      <c r="CI553" s="407"/>
      <c r="CJ553" s="407">
        <v>-0.03</v>
      </c>
      <c r="CK553" s="407"/>
      <c r="CL553" s="407"/>
      <c r="CM553" s="407"/>
      <c r="CN553" s="407"/>
      <c r="CO553" s="407">
        <v>0</v>
      </c>
      <c r="CP553" s="407">
        <v>0</v>
      </c>
      <c r="CQ553" s="407">
        <v>31</v>
      </c>
      <c r="CR553" s="407"/>
      <c r="CS553" s="407"/>
      <c r="CT553" s="407"/>
      <c r="CU553" s="407"/>
      <c r="CV553" s="407"/>
      <c r="CW553" s="407"/>
      <c r="CX553" s="407"/>
      <c r="CY553" s="407"/>
      <c r="CZ553" s="407"/>
      <c r="DA553" s="407"/>
      <c r="DB553" s="407"/>
      <c r="DC553" s="407"/>
      <c r="DD553" s="407"/>
      <c r="DE553" s="407"/>
      <c r="DF553" s="407"/>
      <c r="DG553" s="407"/>
      <c r="DH553" s="407"/>
      <c r="DI553" s="407"/>
      <c r="DJ553" s="407"/>
      <c r="DK553" s="407">
        <v>0</v>
      </c>
      <c r="DL553" s="407"/>
      <c r="DM553" s="407"/>
      <c r="DN553" s="407"/>
      <c r="DO553" s="407"/>
      <c r="DP553" s="407"/>
      <c r="DQ553" s="407"/>
      <c r="DR553" s="407"/>
      <c r="DS553" s="407"/>
      <c r="DT553" s="407"/>
      <c r="DU553" s="407"/>
      <c r="DV553" s="407"/>
      <c r="DW553" s="407"/>
      <c r="DX553" s="407"/>
      <c r="DY553" s="407"/>
      <c r="DZ553" s="407"/>
      <c r="EA553" s="407"/>
      <c r="EB553" s="407"/>
      <c r="EC553" s="407"/>
      <c r="ED553" s="407"/>
      <c r="EE553" s="407"/>
      <c r="EF553" s="407"/>
      <c r="EG553" s="407"/>
      <c r="EH553" s="407"/>
      <c r="EI553" s="407"/>
      <c r="EJ553" s="407"/>
      <c r="EK553" s="407"/>
      <c r="EL553" s="407"/>
      <c r="EM553" s="407"/>
      <c r="EN553" s="407"/>
      <c r="EO553" s="407"/>
      <c r="EP553" s="407"/>
      <c r="EQ553" s="407"/>
      <c r="ER553" s="407"/>
      <c r="ES553" s="407"/>
      <c r="ET553" s="407"/>
      <c r="EU553" s="407"/>
      <c r="EV553" s="407">
        <v>246</v>
      </c>
      <c r="EW553" s="407"/>
      <c r="EX553" s="407"/>
      <c r="EY553" s="407"/>
      <c r="EZ553" s="407"/>
      <c r="FA553" s="407">
        <v>0</v>
      </c>
      <c r="FB553" s="407"/>
      <c r="FC553" s="407"/>
      <c r="FD553" s="407"/>
      <c r="FE553" s="407"/>
      <c r="FF553" s="407">
        <v>0</v>
      </c>
      <c r="FG553" s="407">
        <v>0</v>
      </c>
      <c r="FH553" s="407">
        <v>0</v>
      </c>
      <c r="FI553" s="407">
        <v>0</v>
      </c>
    </row>
    <row r="554" spans="1:165">
      <c r="A554" s="407">
        <v>573</v>
      </c>
      <c r="B554" s="407" t="s">
        <v>1090</v>
      </c>
      <c r="C554" s="407" t="s">
        <v>2306</v>
      </c>
      <c r="D554" s="407" t="s">
        <v>1219</v>
      </c>
      <c r="E554" s="407" t="s">
        <v>2322</v>
      </c>
      <c r="F554" s="407" t="s">
        <v>97</v>
      </c>
      <c r="G554" s="407" t="s">
        <v>97</v>
      </c>
      <c r="H554" s="407" t="s">
        <v>97</v>
      </c>
      <c r="I554" s="407" t="s">
        <v>97</v>
      </c>
      <c r="J554" s="407" t="s">
        <v>2307</v>
      </c>
      <c r="K554" s="818">
        <v>44621</v>
      </c>
      <c r="L554" s="407">
        <v>0</v>
      </c>
      <c r="M554" s="407">
        <v>0</v>
      </c>
      <c r="N554" s="407">
        <v>4.1929999999999996</v>
      </c>
      <c r="O554" s="407">
        <v>4.1929999999999996</v>
      </c>
      <c r="P554" s="407">
        <v>4.1929999999999996</v>
      </c>
      <c r="Q554" s="407">
        <v>4.1929999999999996</v>
      </c>
      <c r="R554" s="407"/>
      <c r="S554" s="407">
        <v>648.44000000000005</v>
      </c>
      <c r="T554" s="407">
        <v>159.41</v>
      </c>
      <c r="U554" s="407"/>
      <c r="V554" s="407">
        <v>3387.3150499999997</v>
      </c>
      <c r="W554" s="407">
        <v>3387.3150499999997</v>
      </c>
      <c r="X554" s="407">
        <v>2565.3612599999997</v>
      </c>
      <c r="Y554" s="407">
        <v>0</v>
      </c>
      <c r="Z554" s="407">
        <v>259.84126089161811</v>
      </c>
      <c r="AA554" s="407">
        <v>0</v>
      </c>
      <c r="AB554" s="407">
        <v>0</v>
      </c>
      <c r="AC554" s="407">
        <v>0</v>
      </c>
      <c r="AD554" s="407">
        <v>489.09007910656373</v>
      </c>
      <c r="AE554" s="407">
        <v>1750.7703393702138</v>
      </c>
      <c r="AF554" s="407">
        <v>646.68939517806598</v>
      </c>
      <c r="AG554" s="407">
        <v>21.727066169398206</v>
      </c>
      <c r="AH554" s="407">
        <v>0</v>
      </c>
      <c r="AI554" s="407">
        <v>0</v>
      </c>
      <c r="AJ554" s="407">
        <v>0</v>
      </c>
      <c r="AK554" s="407">
        <v>0</v>
      </c>
      <c r="AL554" s="407">
        <v>40.152400085661753</v>
      </c>
      <c r="AM554" s="407"/>
      <c r="AN554" s="407">
        <v>8.7008760205257616</v>
      </c>
      <c r="AO554" s="407">
        <v>0</v>
      </c>
      <c r="AP554" s="407">
        <v>0</v>
      </c>
      <c r="AQ554" s="407">
        <v>0</v>
      </c>
      <c r="AR554" s="407">
        <v>0</v>
      </c>
      <c r="AS554" s="407">
        <v>0</v>
      </c>
      <c r="AT554" s="407">
        <v>0</v>
      </c>
      <c r="AU554" s="407">
        <v>0</v>
      </c>
      <c r="AV554" s="407">
        <v>0</v>
      </c>
      <c r="AW554" s="407">
        <v>0</v>
      </c>
      <c r="AX554" s="407">
        <v>0</v>
      </c>
      <c r="AY554" s="407">
        <v>0</v>
      </c>
      <c r="AZ554" s="407">
        <v>0</v>
      </c>
      <c r="BA554" s="407"/>
      <c r="BB554" s="407">
        <v>0</v>
      </c>
      <c r="BC554" s="407">
        <v>0</v>
      </c>
      <c r="BD554" s="407">
        <v>0</v>
      </c>
      <c r="BE554" s="407">
        <v>0</v>
      </c>
      <c r="BF554" s="407">
        <v>0</v>
      </c>
      <c r="BG554" s="407">
        <v>47.270929755004794</v>
      </c>
      <c r="BH554" s="407">
        <v>0</v>
      </c>
      <c r="BI554" s="407">
        <v>5.09</v>
      </c>
      <c r="BJ554" s="407">
        <v>21.99</v>
      </c>
      <c r="BK554" s="407">
        <v>1062.5899999999999</v>
      </c>
      <c r="BL554" s="407">
        <v>5</v>
      </c>
      <c r="BM554" s="407"/>
      <c r="BN554" s="407"/>
      <c r="BO554" s="407"/>
      <c r="BP554" s="407"/>
      <c r="BQ554" s="407"/>
      <c r="BR554" s="407"/>
      <c r="BS554" s="407"/>
      <c r="BT554" s="407"/>
      <c r="BU554" s="407"/>
      <c r="BV554" s="407">
        <v>693.96032493307075</v>
      </c>
      <c r="BW554" s="407"/>
      <c r="BX554" s="407"/>
      <c r="BY554" s="407"/>
      <c r="BZ554" s="407"/>
      <c r="CA554" s="407"/>
      <c r="CB554" s="407"/>
      <c r="CC554" s="407"/>
      <c r="CD554" s="407"/>
      <c r="CE554" s="407"/>
      <c r="CF554" s="407"/>
      <c r="CG554" s="407"/>
      <c r="CH554" s="407"/>
      <c r="CI554" s="407">
        <v>2563.5258000000003</v>
      </c>
      <c r="CJ554" s="407">
        <v>-823.81925000000001</v>
      </c>
      <c r="CK554" s="407"/>
      <c r="CL554" s="407"/>
      <c r="CM554" s="407"/>
      <c r="CN554" s="407"/>
      <c r="CO554" s="407">
        <v>-937.13550000000021</v>
      </c>
      <c r="CP554" s="407">
        <v>115.18170999999998</v>
      </c>
      <c r="CQ554" s="407">
        <v>31</v>
      </c>
      <c r="CR554" s="407">
        <v>72.346097539655602</v>
      </c>
      <c r="CS554" s="407">
        <v>0</v>
      </c>
      <c r="CT554" s="407">
        <v>0</v>
      </c>
      <c r="CU554" s="407">
        <v>0</v>
      </c>
      <c r="CV554" s="407">
        <v>0</v>
      </c>
      <c r="CW554" s="407">
        <v>0</v>
      </c>
      <c r="CX554" s="407">
        <v>0</v>
      </c>
      <c r="CY554" s="407">
        <v>0</v>
      </c>
      <c r="CZ554" s="407">
        <v>22.093168645960077</v>
      </c>
      <c r="DA554" s="407">
        <v>0</v>
      </c>
      <c r="DB554" s="407">
        <v>0</v>
      </c>
      <c r="DC554" s="407">
        <v>128.22104331745288</v>
      </c>
      <c r="DD554" s="407">
        <v>0</v>
      </c>
      <c r="DE554" s="407">
        <v>0</v>
      </c>
      <c r="DF554" s="407">
        <v>0</v>
      </c>
      <c r="DG554" s="407">
        <v>9.3725488263246319</v>
      </c>
      <c r="DH554" s="407">
        <v>0</v>
      </c>
      <c r="DI554" s="407">
        <v>-18.199794513817125</v>
      </c>
      <c r="DJ554" s="407"/>
      <c r="DK554" s="407">
        <v>0</v>
      </c>
      <c r="DL554" s="407">
        <v>0</v>
      </c>
      <c r="DM554" s="407">
        <v>0</v>
      </c>
      <c r="DN554" s="407">
        <v>0</v>
      </c>
      <c r="DO554" s="407">
        <v>-2.4497532156772834</v>
      </c>
      <c r="DP554" s="407">
        <v>-0.55439881434724292</v>
      </c>
      <c r="DQ554" s="407">
        <v>0</v>
      </c>
      <c r="DR554" s="407">
        <v>-66.136716706240378</v>
      </c>
      <c r="DS554" s="407"/>
      <c r="DT554" s="407"/>
      <c r="DU554" s="407"/>
      <c r="DV554" s="407">
        <v>1750.7703393702138</v>
      </c>
      <c r="DW554" s="407">
        <v>0</v>
      </c>
      <c r="DX554" s="407">
        <v>0</v>
      </c>
      <c r="DY554" s="407">
        <v>-937.13550000000009</v>
      </c>
      <c r="DZ554" s="407">
        <v>115.18170999999995</v>
      </c>
      <c r="EA554" s="407">
        <v>0</v>
      </c>
      <c r="EB554" s="407">
        <v>0</v>
      </c>
      <c r="EC554" s="407">
        <v>-894.29755573038506</v>
      </c>
      <c r="ED554" s="407">
        <v>0</v>
      </c>
      <c r="EE554" s="407">
        <v>0</v>
      </c>
      <c r="EF554" s="407">
        <v>0</v>
      </c>
      <c r="EG554" s="407">
        <v>0</v>
      </c>
      <c r="EH554" s="407">
        <v>0</v>
      </c>
      <c r="EI554" s="407">
        <v>0</v>
      </c>
      <c r="EJ554" s="407">
        <v>0</v>
      </c>
      <c r="EK554" s="407">
        <v>0</v>
      </c>
      <c r="EL554" s="407">
        <v>0</v>
      </c>
      <c r="EM554" s="407">
        <v>0</v>
      </c>
      <c r="EN554" s="407">
        <v>0</v>
      </c>
      <c r="EO554" s="407">
        <v>0</v>
      </c>
      <c r="EP554" s="407">
        <v>123.08215942861416</v>
      </c>
      <c r="EQ554" s="407">
        <v>0</v>
      </c>
      <c r="ER554" s="407">
        <v>0</v>
      </c>
      <c r="ES554" s="407">
        <v>0</v>
      </c>
      <c r="ET554" s="407">
        <v>0</v>
      </c>
      <c r="EU554" s="407">
        <v>0</v>
      </c>
      <c r="EV554" s="407">
        <v>246</v>
      </c>
      <c r="EW554" s="407">
        <v>0</v>
      </c>
      <c r="EX554" s="407">
        <v>0</v>
      </c>
      <c r="EY554" s="407">
        <v>0</v>
      </c>
      <c r="EZ554" s="407"/>
      <c r="FA554" s="407">
        <v>0</v>
      </c>
      <c r="FB554" s="407"/>
      <c r="FC554" s="407"/>
      <c r="FD554" s="407"/>
      <c r="FE554" s="407"/>
      <c r="FF554" s="407">
        <v>0</v>
      </c>
      <c r="FG554" s="407">
        <v>0</v>
      </c>
      <c r="FH554" s="407">
        <v>0</v>
      </c>
      <c r="FI554" s="407">
        <v>0</v>
      </c>
    </row>
    <row r="555" spans="1:165">
      <c r="A555" s="407">
        <v>574</v>
      </c>
      <c r="B555" s="407" t="s">
        <v>1090</v>
      </c>
      <c r="C555" s="407" t="s">
        <v>2306</v>
      </c>
      <c r="D555" s="407" t="s">
        <v>2315</v>
      </c>
      <c r="E555" s="407" t="s">
        <v>1026</v>
      </c>
      <c r="F555" s="407" t="s">
        <v>2323</v>
      </c>
      <c r="G555" s="407" t="s">
        <v>2324</v>
      </c>
      <c r="H555" s="407" t="s">
        <v>97</v>
      </c>
      <c r="I555" s="407" t="s">
        <v>97</v>
      </c>
      <c r="J555" s="407" t="s">
        <v>2307</v>
      </c>
      <c r="K555" s="818">
        <v>44621</v>
      </c>
      <c r="L555" s="407">
        <v>0</v>
      </c>
      <c r="M555" s="407">
        <v>0</v>
      </c>
      <c r="N555" s="407">
        <v>0</v>
      </c>
      <c r="O555" s="407">
        <v>0</v>
      </c>
      <c r="P555" s="407">
        <v>0</v>
      </c>
      <c r="Q555" s="407">
        <v>0</v>
      </c>
      <c r="R555" s="407"/>
      <c r="S555" s="407"/>
      <c r="T555" s="407"/>
      <c r="U555" s="407"/>
      <c r="V555" s="407"/>
      <c r="W555" s="407"/>
      <c r="X555" s="407"/>
      <c r="Y555" s="407"/>
      <c r="Z555" s="407"/>
      <c r="AA555" s="407">
        <v>0</v>
      </c>
      <c r="AB555" s="407"/>
      <c r="AC555" s="407"/>
      <c r="AD555" s="407"/>
      <c r="AE555" s="407"/>
      <c r="AF555" s="407"/>
      <c r="AG555" s="407"/>
      <c r="AH555" s="407"/>
      <c r="AI555" s="407"/>
      <c r="AJ555" s="407"/>
      <c r="AK555" s="407"/>
      <c r="AL555" s="407"/>
      <c r="AM555" s="407"/>
      <c r="AN555" s="407"/>
      <c r="AO555" s="407"/>
      <c r="AP555" s="407"/>
      <c r="AQ555" s="407"/>
      <c r="AR555" s="407"/>
      <c r="AS555" s="407"/>
      <c r="AT555" s="407"/>
      <c r="AU555" s="407"/>
      <c r="AV555" s="407"/>
      <c r="AW555" s="407"/>
      <c r="AX555" s="407"/>
      <c r="AY555" s="407"/>
      <c r="AZ555" s="407">
        <v>0</v>
      </c>
      <c r="BA555" s="407"/>
      <c r="BB555" s="407"/>
      <c r="BC555" s="407"/>
      <c r="BD555" s="407"/>
      <c r="BE555" s="407"/>
      <c r="BF555" s="407"/>
      <c r="BG555" s="407"/>
      <c r="BH555" s="407"/>
      <c r="BI555" s="407">
        <v>65.98</v>
      </c>
      <c r="BJ555" s="407">
        <v>285.38</v>
      </c>
      <c r="BK555" s="407">
        <v>397.29</v>
      </c>
      <c r="BL555" s="407">
        <v>41</v>
      </c>
      <c r="BM555" s="407"/>
      <c r="BN555" s="407"/>
      <c r="BO555" s="407"/>
      <c r="BP555" s="407"/>
      <c r="BQ555" s="407"/>
      <c r="BR555" s="407"/>
      <c r="BS555" s="407"/>
      <c r="BT555" s="407"/>
      <c r="BU555" s="407"/>
      <c r="BV555" s="407"/>
      <c r="BW555" s="407"/>
      <c r="BX555" s="407"/>
      <c r="BY555" s="407"/>
      <c r="BZ555" s="407"/>
      <c r="CA555" s="407"/>
      <c r="CB555" s="407"/>
      <c r="CC555" s="407"/>
      <c r="CD555" s="407"/>
      <c r="CE555" s="407"/>
      <c r="CF555" s="407"/>
      <c r="CG555" s="407"/>
      <c r="CH555" s="407"/>
      <c r="CI555" s="407"/>
      <c r="CJ555" s="407">
        <v>-0.03</v>
      </c>
      <c r="CK555" s="407"/>
      <c r="CL555" s="407"/>
      <c r="CM555" s="407"/>
      <c r="CN555" s="407"/>
      <c r="CO555" s="407">
        <v>0</v>
      </c>
      <c r="CP555" s="407">
        <v>0</v>
      </c>
      <c r="CQ555" s="407">
        <v>31</v>
      </c>
      <c r="CR555" s="407"/>
      <c r="CS555" s="407"/>
      <c r="CT555" s="407"/>
      <c r="CU555" s="407"/>
      <c r="CV555" s="407"/>
      <c r="CW555" s="407"/>
      <c r="CX555" s="407"/>
      <c r="CY555" s="407"/>
      <c r="CZ555" s="407"/>
      <c r="DA555" s="407"/>
      <c r="DB555" s="407"/>
      <c r="DC555" s="407"/>
      <c r="DD555" s="407"/>
      <c r="DE555" s="407"/>
      <c r="DF555" s="407"/>
      <c r="DG555" s="407"/>
      <c r="DH555" s="407"/>
      <c r="DI555" s="407"/>
      <c r="DJ555" s="407"/>
      <c r="DK555" s="407">
        <v>0</v>
      </c>
      <c r="DL555" s="407"/>
      <c r="DM555" s="407"/>
      <c r="DN555" s="407"/>
      <c r="DO555" s="407"/>
      <c r="DP555" s="407"/>
      <c r="DQ555" s="407"/>
      <c r="DR555" s="407"/>
      <c r="DS555" s="407"/>
      <c r="DT555" s="407"/>
      <c r="DU555" s="407"/>
      <c r="DV555" s="407"/>
      <c r="DW555" s="407"/>
      <c r="DX555" s="407"/>
      <c r="DY555" s="407"/>
      <c r="DZ555" s="407"/>
      <c r="EA555" s="407"/>
      <c r="EB555" s="407"/>
      <c r="EC555" s="407"/>
      <c r="ED555" s="407"/>
      <c r="EE555" s="407"/>
      <c r="EF555" s="407"/>
      <c r="EG555" s="407"/>
      <c r="EH555" s="407"/>
      <c r="EI555" s="407"/>
      <c r="EJ555" s="407"/>
      <c r="EK555" s="407"/>
      <c r="EL555" s="407"/>
      <c r="EM555" s="407"/>
      <c r="EN555" s="407"/>
      <c r="EO555" s="407"/>
      <c r="EP555" s="407"/>
      <c r="EQ555" s="407"/>
      <c r="ER555" s="407"/>
      <c r="ES555" s="407"/>
      <c r="ET555" s="407"/>
      <c r="EU555" s="407"/>
      <c r="EV555" s="407">
        <v>246</v>
      </c>
      <c r="EW555" s="407"/>
      <c r="EX555" s="407"/>
      <c r="EY555" s="407"/>
      <c r="EZ555" s="407"/>
      <c r="FA555" s="407">
        <v>0</v>
      </c>
      <c r="FB555" s="407"/>
      <c r="FC555" s="407"/>
      <c r="FD555" s="407"/>
      <c r="FE555" s="407"/>
      <c r="FF555" s="407">
        <v>0</v>
      </c>
      <c r="FG555" s="407">
        <v>0</v>
      </c>
      <c r="FH555" s="407">
        <v>0</v>
      </c>
      <c r="FI555" s="407">
        <v>0</v>
      </c>
    </row>
    <row r="556" spans="1:165">
      <c r="A556" s="407">
        <v>575</v>
      </c>
      <c r="B556" s="407" t="s">
        <v>2308</v>
      </c>
      <c r="C556" s="407" t="s">
        <v>2306</v>
      </c>
      <c r="D556" s="407" t="s">
        <v>2315</v>
      </c>
      <c r="E556" s="407" t="s">
        <v>1026</v>
      </c>
      <c r="F556" s="407" t="s">
        <v>2323</v>
      </c>
      <c r="G556" s="407" t="s">
        <v>2324</v>
      </c>
      <c r="H556" s="407" t="s">
        <v>97</v>
      </c>
      <c r="I556" s="407" t="s">
        <v>97</v>
      </c>
      <c r="J556" s="407" t="s">
        <v>2307</v>
      </c>
      <c r="K556" s="818">
        <v>44621</v>
      </c>
      <c r="L556" s="407">
        <v>0</v>
      </c>
      <c r="M556" s="407">
        <v>0</v>
      </c>
      <c r="N556" s="407">
        <v>0</v>
      </c>
      <c r="O556" s="407">
        <v>0</v>
      </c>
      <c r="P556" s="407">
        <v>0</v>
      </c>
      <c r="Q556" s="407">
        <v>0</v>
      </c>
      <c r="R556" s="407"/>
      <c r="S556" s="407"/>
      <c r="T556" s="407"/>
      <c r="U556" s="407"/>
      <c r="V556" s="407"/>
      <c r="W556" s="407"/>
      <c r="X556" s="407"/>
      <c r="Y556" s="407"/>
      <c r="Z556" s="407"/>
      <c r="AA556" s="407">
        <v>0</v>
      </c>
      <c r="AB556" s="407"/>
      <c r="AC556" s="407"/>
      <c r="AD556" s="407"/>
      <c r="AE556" s="407"/>
      <c r="AF556" s="407"/>
      <c r="AG556" s="407"/>
      <c r="AH556" s="407"/>
      <c r="AI556" s="407"/>
      <c r="AJ556" s="407"/>
      <c r="AK556" s="407"/>
      <c r="AL556" s="407"/>
      <c r="AM556" s="407"/>
      <c r="AN556" s="407"/>
      <c r="AO556" s="407"/>
      <c r="AP556" s="407"/>
      <c r="AQ556" s="407"/>
      <c r="AR556" s="407"/>
      <c r="AS556" s="407"/>
      <c r="AT556" s="407"/>
      <c r="AU556" s="407"/>
      <c r="AV556" s="407"/>
      <c r="AW556" s="407"/>
      <c r="AX556" s="407"/>
      <c r="AY556" s="407"/>
      <c r="AZ556" s="407">
        <v>0</v>
      </c>
      <c r="BA556" s="407"/>
      <c r="BB556" s="407"/>
      <c r="BC556" s="407"/>
      <c r="BD556" s="407"/>
      <c r="BE556" s="407"/>
      <c r="BF556" s="407"/>
      <c r="BG556" s="407"/>
      <c r="BH556" s="407"/>
      <c r="BI556" s="407">
        <v>-3963.68</v>
      </c>
      <c r="BJ556" s="407">
        <v>-17093.349999999999</v>
      </c>
      <c r="BK556" s="407">
        <v>0</v>
      </c>
      <c r="BL556" s="407">
        <v>0</v>
      </c>
      <c r="BM556" s="407"/>
      <c r="BN556" s="407"/>
      <c r="BO556" s="407"/>
      <c r="BP556" s="407"/>
      <c r="BQ556" s="407"/>
      <c r="BR556" s="407"/>
      <c r="BS556" s="407"/>
      <c r="BT556" s="407"/>
      <c r="BU556" s="407"/>
      <c r="BV556" s="407"/>
      <c r="BW556" s="407"/>
      <c r="BX556" s="407"/>
      <c r="BY556" s="407"/>
      <c r="BZ556" s="407"/>
      <c r="CA556" s="407"/>
      <c r="CB556" s="407"/>
      <c r="CC556" s="407"/>
      <c r="CD556" s="407"/>
      <c r="CE556" s="407"/>
      <c r="CF556" s="407"/>
      <c r="CG556" s="407"/>
      <c r="CH556" s="407"/>
      <c r="CI556" s="407"/>
      <c r="CJ556" s="407">
        <v>-0.03</v>
      </c>
      <c r="CK556" s="407"/>
      <c r="CL556" s="407"/>
      <c r="CM556" s="407"/>
      <c r="CN556" s="407"/>
      <c r="CO556" s="407">
        <v>0</v>
      </c>
      <c r="CP556" s="407">
        <v>0</v>
      </c>
      <c r="CQ556" s="407">
        <v>31</v>
      </c>
      <c r="CR556" s="407"/>
      <c r="CS556" s="407"/>
      <c r="CT556" s="407"/>
      <c r="CU556" s="407"/>
      <c r="CV556" s="407"/>
      <c r="CW556" s="407"/>
      <c r="CX556" s="407"/>
      <c r="CY556" s="407"/>
      <c r="CZ556" s="407"/>
      <c r="DA556" s="407"/>
      <c r="DB556" s="407"/>
      <c r="DC556" s="407"/>
      <c r="DD556" s="407"/>
      <c r="DE556" s="407"/>
      <c r="DF556" s="407"/>
      <c r="DG556" s="407"/>
      <c r="DH556" s="407"/>
      <c r="DI556" s="407"/>
      <c r="DJ556" s="407"/>
      <c r="DK556" s="407">
        <v>0</v>
      </c>
      <c r="DL556" s="407"/>
      <c r="DM556" s="407"/>
      <c r="DN556" s="407"/>
      <c r="DO556" s="407"/>
      <c r="DP556" s="407"/>
      <c r="DQ556" s="407"/>
      <c r="DR556" s="407"/>
      <c r="DS556" s="407"/>
      <c r="DT556" s="407"/>
      <c r="DU556" s="407"/>
      <c r="DV556" s="407"/>
      <c r="DW556" s="407"/>
      <c r="DX556" s="407"/>
      <c r="DY556" s="407"/>
      <c r="DZ556" s="407"/>
      <c r="EA556" s="407"/>
      <c r="EB556" s="407"/>
      <c r="EC556" s="407"/>
      <c r="ED556" s="407"/>
      <c r="EE556" s="407"/>
      <c r="EF556" s="407"/>
      <c r="EG556" s="407"/>
      <c r="EH556" s="407"/>
      <c r="EI556" s="407"/>
      <c r="EJ556" s="407"/>
      <c r="EK556" s="407"/>
      <c r="EL556" s="407"/>
      <c r="EM556" s="407"/>
      <c r="EN556" s="407"/>
      <c r="EO556" s="407"/>
      <c r="EP556" s="407"/>
      <c r="EQ556" s="407"/>
      <c r="ER556" s="407"/>
      <c r="ES556" s="407"/>
      <c r="ET556" s="407"/>
      <c r="EU556" s="407"/>
      <c r="EV556" s="407">
        <v>246</v>
      </c>
      <c r="EW556" s="407"/>
      <c r="EX556" s="407"/>
      <c r="EY556" s="407"/>
      <c r="EZ556" s="407"/>
      <c r="FA556" s="407">
        <v>0</v>
      </c>
      <c r="FB556" s="407"/>
      <c r="FC556" s="407"/>
      <c r="FD556" s="407"/>
      <c r="FE556" s="407"/>
      <c r="FF556" s="407">
        <v>0</v>
      </c>
      <c r="FG556" s="407">
        <v>0</v>
      </c>
      <c r="FH556" s="407">
        <v>0</v>
      </c>
      <c r="FI556" s="407">
        <v>0</v>
      </c>
    </row>
    <row r="557" spans="1:165">
      <c r="A557" s="407">
        <v>576</v>
      </c>
      <c r="B557" s="407" t="s">
        <v>2309</v>
      </c>
      <c r="C557" s="407" t="s">
        <v>2306</v>
      </c>
      <c r="D557" s="407" t="s">
        <v>2315</v>
      </c>
      <c r="E557" s="407" t="s">
        <v>1026</v>
      </c>
      <c r="F557" s="407" t="s">
        <v>2323</v>
      </c>
      <c r="G557" s="407" t="s">
        <v>2324</v>
      </c>
      <c r="H557" s="407" t="s">
        <v>97</v>
      </c>
      <c r="I557" s="407" t="s">
        <v>97</v>
      </c>
      <c r="J557" s="407" t="s">
        <v>2307</v>
      </c>
      <c r="K557" s="818">
        <v>44621</v>
      </c>
      <c r="L557" s="407">
        <v>0</v>
      </c>
      <c r="M557" s="407">
        <v>0</v>
      </c>
      <c r="N557" s="407">
        <v>0</v>
      </c>
      <c r="O557" s="407">
        <v>0</v>
      </c>
      <c r="P557" s="407">
        <v>0</v>
      </c>
      <c r="Q557" s="407">
        <v>0</v>
      </c>
      <c r="R557" s="407"/>
      <c r="S557" s="407"/>
      <c r="T557" s="407"/>
      <c r="U557" s="407"/>
      <c r="V557" s="407"/>
      <c r="W557" s="407"/>
      <c r="X557" s="407"/>
      <c r="Y557" s="407"/>
      <c r="Z557" s="407"/>
      <c r="AA557" s="407">
        <v>0</v>
      </c>
      <c r="AB557" s="407"/>
      <c r="AC557" s="407"/>
      <c r="AD557" s="407"/>
      <c r="AE557" s="407"/>
      <c r="AF557" s="407"/>
      <c r="AG557" s="407"/>
      <c r="AH557" s="407"/>
      <c r="AI557" s="407"/>
      <c r="AJ557" s="407"/>
      <c r="AK557" s="407"/>
      <c r="AL557" s="407"/>
      <c r="AM557" s="407"/>
      <c r="AN557" s="407"/>
      <c r="AO557" s="407"/>
      <c r="AP557" s="407"/>
      <c r="AQ557" s="407"/>
      <c r="AR557" s="407"/>
      <c r="AS557" s="407"/>
      <c r="AT557" s="407"/>
      <c r="AU557" s="407"/>
      <c r="AV557" s="407"/>
      <c r="AW557" s="407"/>
      <c r="AX557" s="407"/>
      <c r="AY557" s="407"/>
      <c r="AZ557" s="407">
        <v>0</v>
      </c>
      <c r="BA557" s="407"/>
      <c r="BB557" s="407"/>
      <c r="BC557" s="407"/>
      <c r="BD557" s="407"/>
      <c r="BE557" s="407"/>
      <c r="BF557" s="407"/>
      <c r="BG557" s="407"/>
      <c r="BH557" s="407"/>
      <c r="BI557" s="407">
        <v>5.62</v>
      </c>
      <c r="BJ557" s="407">
        <v>24.42</v>
      </c>
      <c r="BK557" s="407">
        <v>56.37</v>
      </c>
      <c r="BL557" s="407">
        <v>6</v>
      </c>
      <c r="BM557" s="407"/>
      <c r="BN557" s="407"/>
      <c r="BO557" s="407"/>
      <c r="BP557" s="407"/>
      <c r="BQ557" s="407"/>
      <c r="BR557" s="407"/>
      <c r="BS557" s="407"/>
      <c r="BT557" s="407"/>
      <c r="BU557" s="407"/>
      <c r="BV557" s="407"/>
      <c r="BW557" s="407"/>
      <c r="BX557" s="407"/>
      <c r="BY557" s="407"/>
      <c r="BZ557" s="407"/>
      <c r="CA557" s="407"/>
      <c r="CB557" s="407"/>
      <c r="CC557" s="407"/>
      <c r="CD557" s="407"/>
      <c r="CE557" s="407"/>
      <c r="CF557" s="407"/>
      <c r="CG557" s="407"/>
      <c r="CH557" s="407"/>
      <c r="CI557" s="407"/>
      <c r="CJ557" s="407">
        <v>-0.03</v>
      </c>
      <c r="CK557" s="407"/>
      <c r="CL557" s="407"/>
      <c r="CM557" s="407"/>
      <c r="CN557" s="407"/>
      <c r="CO557" s="407">
        <v>0</v>
      </c>
      <c r="CP557" s="407">
        <v>0</v>
      </c>
      <c r="CQ557" s="407">
        <v>31</v>
      </c>
      <c r="CR557" s="407"/>
      <c r="CS557" s="407"/>
      <c r="CT557" s="407"/>
      <c r="CU557" s="407"/>
      <c r="CV557" s="407"/>
      <c r="CW557" s="407"/>
      <c r="CX557" s="407"/>
      <c r="CY557" s="407"/>
      <c r="CZ557" s="407"/>
      <c r="DA557" s="407"/>
      <c r="DB557" s="407"/>
      <c r="DC557" s="407"/>
      <c r="DD557" s="407"/>
      <c r="DE557" s="407"/>
      <c r="DF557" s="407"/>
      <c r="DG557" s="407"/>
      <c r="DH557" s="407"/>
      <c r="DI557" s="407"/>
      <c r="DJ557" s="407"/>
      <c r="DK557" s="407">
        <v>0</v>
      </c>
      <c r="DL557" s="407"/>
      <c r="DM557" s="407"/>
      <c r="DN557" s="407"/>
      <c r="DO557" s="407"/>
      <c r="DP557" s="407"/>
      <c r="DQ557" s="407"/>
      <c r="DR557" s="407"/>
      <c r="DS557" s="407"/>
      <c r="DT557" s="407"/>
      <c r="DU557" s="407"/>
      <c r="DV557" s="407"/>
      <c r="DW557" s="407"/>
      <c r="DX557" s="407"/>
      <c r="DY557" s="407"/>
      <c r="DZ557" s="407"/>
      <c r="EA557" s="407"/>
      <c r="EB557" s="407"/>
      <c r="EC557" s="407"/>
      <c r="ED557" s="407"/>
      <c r="EE557" s="407"/>
      <c r="EF557" s="407"/>
      <c r="EG557" s="407"/>
      <c r="EH557" s="407"/>
      <c r="EI557" s="407"/>
      <c r="EJ557" s="407"/>
      <c r="EK557" s="407"/>
      <c r="EL557" s="407"/>
      <c r="EM557" s="407"/>
      <c r="EN557" s="407"/>
      <c r="EO557" s="407"/>
      <c r="EP557" s="407"/>
      <c r="EQ557" s="407"/>
      <c r="ER557" s="407"/>
      <c r="ES557" s="407"/>
      <c r="ET557" s="407"/>
      <c r="EU557" s="407"/>
      <c r="EV557" s="407">
        <v>246</v>
      </c>
      <c r="EW557" s="407"/>
      <c r="EX557" s="407"/>
      <c r="EY557" s="407"/>
      <c r="EZ557" s="407"/>
      <c r="FA557" s="407">
        <v>0</v>
      </c>
      <c r="FB557" s="407"/>
      <c r="FC557" s="407"/>
      <c r="FD557" s="407"/>
      <c r="FE557" s="407"/>
      <c r="FF557" s="407">
        <v>0</v>
      </c>
      <c r="FG557" s="407">
        <v>0</v>
      </c>
      <c r="FH557" s="407">
        <v>0</v>
      </c>
      <c r="FI557" s="407">
        <v>0</v>
      </c>
    </row>
    <row r="558" spans="1:165">
      <c r="A558" s="407">
        <v>577</v>
      </c>
      <c r="B558" s="407" t="s">
        <v>1090</v>
      </c>
      <c r="C558" s="407" t="s">
        <v>2306</v>
      </c>
      <c r="D558" s="407" t="s">
        <v>2315</v>
      </c>
      <c r="E558" s="407" t="s">
        <v>1026</v>
      </c>
      <c r="F558" s="407" t="s">
        <v>2323</v>
      </c>
      <c r="G558" s="407" t="s">
        <v>2324</v>
      </c>
      <c r="H558" s="407" t="s">
        <v>97</v>
      </c>
      <c r="I558" s="407" t="s">
        <v>97</v>
      </c>
      <c r="J558" s="407" t="s">
        <v>2307</v>
      </c>
      <c r="K558" s="818">
        <v>44621</v>
      </c>
      <c r="L558" s="407">
        <v>0</v>
      </c>
      <c r="M558" s="407">
        <v>0</v>
      </c>
      <c r="N558" s="407">
        <v>44.353000000000002</v>
      </c>
      <c r="O558" s="407">
        <v>44.353000000000002</v>
      </c>
      <c r="P558" s="407">
        <v>44.353000000000002</v>
      </c>
      <c r="Q558" s="407">
        <v>44.353000000000002</v>
      </c>
      <c r="R558" s="407"/>
      <c r="S558" s="407">
        <v>648.44000000000005</v>
      </c>
      <c r="T558" s="407">
        <v>159.41</v>
      </c>
      <c r="U558" s="407"/>
      <c r="V558" s="407">
        <v>35830.571050000006</v>
      </c>
      <c r="W558" s="407">
        <v>35830.571050000006</v>
      </c>
      <c r="X558" s="407">
        <v>27136.052460000003</v>
      </c>
      <c r="Y558" s="407">
        <v>0</v>
      </c>
      <c r="Z558" s="407">
        <v>2748.5665261926874</v>
      </c>
      <c r="AA558" s="407">
        <v>0</v>
      </c>
      <c r="AB558" s="407">
        <v>0</v>
      </c>
      <c r="AC558" s="407">
        <v>0</v>
      </c>
      <c r="AD558" s="407">
        <v>5173.5302357771106</v>
      </c>
      <c r="AE558" s="407">
        <v>18519.417329379226</v>
      </c>
      <c r="AF558" s="407">
        <v>6840.5949783765236</v>
      </c>
      <c r="AG558" s="407">
        <v>229.82603525192434</v>
      </c>
      <c r="AH558" s="407">
        <v>0</v>
      </c>
      <c r="AI558" s="407">
        <v>0</v>
      </c>
      <c r="AJ558" s="407">
        <v>0</v>
      </c>
      <c r="AK558" s="407">
        <v>0</v>
      </c>
      <c r="AL558" s="407">
        <v>424.72678297146575</v>
      </c>
      <c r="AM558" s="407"/>
      <c r="AN558" s="407">
        <v>92.036716942136692</v>
      </c>
      <c r="AO558" s="407">
        <v>0</v>
      </c>
      <c r="AP558" s="407">
        <v>0</v>
      </c>
      <c r="AQ558" s="407">
        <v>0</v>
      </c>
      <c r="AR558" s="407">
        <v>0</v>
      </c>
      <c r="AS558" s="407">
        <v>0</v>
      </c>
      <c r="AT558" s="407">
        <v>0</v>
      </c>
      <c r="AU558" s="407">
        <v>0</v>
      </c>
      <c r="AV558" s="407">
        <v>0</v>
      </c>
      <c r="AW558" s="407">
        <v>0</v>
      </c>
      <c r="AX558" s="407">
        <v>0</v>
      </c>
      <c r="AY558" s="407">
        <v>0</v>
      </c>
      <c r="AZ558" s="407">
        <v>0</v>
      </c>
      <c r="BA558" s="407"/>
      <c r="BB558" s="407">
        <v>0</v>
      </c>
      <c r="BC558" s="407">
        <v>0</v>
      </c>
      <c r="BD558" s="407">
        <v>0</v>
      </c>
      <c r="BE558" s="407">
        <v>0</v>
      </c>
      <c r="BF558" s="407">
        <v>0</v>
      </c>
      <c r="BG558" s="407">
        <v>500.02564927825608</v>
      </c>
      <c r="BH558" s="407">
        <v>0</v>
      </c>
      <c r="BI558" s="407">
        <v>0</v>
      </c>
      <c r="BJ558" s="407">
        <v>0</v>
      </c>
      <c r="BK558" s="407">
        <v>0</v>
      </c>
      <c r="BL558" s="407">
        <v>0</v>
      </c>
      <c r="BM558" s="407"/>
      <c r="BN558" s="407"/>
      <c r="BO558" s="407"/>
      <c r="BP558" s="407"/>
      <c r="BQ558" s="407"/>
      <c r="BR558" s="407">
        <v>3256.3972600000011</v>
      </c>
      <c r="BS558" s="407"/>
      <c r="BT558" s="407"/>
      <c r="BU558" s="407"/>
      <c r="BV558" s="407">
        <v>7340.62062765478</v>
      </c>
      <c r="BW558" s="407"/>
      <c r="BX558" s="407"/>
      <c r="BY558" s="407"/>
      <c r="BZ558" s="407"/>
      <c r="CA558" s="407"/>
      <c r="CB558" s="407"/>
      <c r="CC558" s="407"/>
      <c r="CD558" s="407"/>
      <c r="CE558" s="407"/>
      <c r="CF558" s="407"/>
      <c r="CG558" s="407"/>
      <c r="CH558" s="407"/>
      <c r="CI558" s="407">
        <v>23878.04</v>
      </c>
      <c r="CJ558" s="407">
        <v>-7652.981229999994</v>
      </c>
      <c r="CK558" s="407"/>
      <c r="CL558" s="407"/>
      <c r="CM558" s="407"/>
      <c r="CN558" s="407"/>
      <c r="CO558" s="407">
        <v>-9912.8955000000024</v>
      </c>
      <c r="CP558" s="407">
        <v>1218.37691</v>
      </c>
      <c r="CQ558" s="407">
        <v>31</v>
      </c>
      <c r="CR558" s="407">
        <v>765.26746104849735</v>
      </c>
      <c r="CS558" s="407">
        <v>0</v>
      </c>
      <c r="CT558" s="407">
        <v>0</v>
      </c>
      <c r="CU558" s="407">
        <v>0</v>
      </c>
      <c r="CV558" s="407">
        <v>0</v>
      </c>
      <c r="CW558" s="407">
        <v>0</v>
      </c>
      <c r="CX558" s="407">
        <v>0</v>
      </c>
      <c r="CY558" s="407">
        <v>0</v>
      </c>
      <c r="CZ558" s="407">
        <v>233.69861887771731</v>
      </c>
      <c r="DA558" s="407">
        <v>0</v>
      </c>
      <c r="DB558" s="407">
        <v>0</v>
      </c>
      <c r="DC558" s="407">
        <v>1356.3052550104903</v>
      </c>
      <c r="DD558" s="407">
        <v>0</v>
      </c>
      <c r="DE558" s="407">
        <v>0</v>
      </c>
      <c r="DF558" s="407">
        <v>0</v>
      </c>
      <c r="DG558" s="407">
        <v>99.141583137127782</v>
      </c>
      <c r="DH558" s="407">
        <v>0</v>
      </c>
      <c r="DI558" s="407">
        <v>-192.51502171984976</v>
      </c>
      <c r="DJ558" s="407"/>
      <c r="DK558" s="407">
        <v>0</v>
      </c>
      <c r="DL558" s="407">
        <v>0</v>
      </c>
      <c r="DM558" s="407">
        <v>0</v>
      </c>
      <c r="DN558" s="407">
        <v>0</v>
      </c>
      <c r="DO558" s="407">
        <v>-25.913165841863758</v>
      </c>
      <c r="DP558" s="407">
        <v>-5.8643574082383054</v>
      </c>
      <c r="DQ558" s="407">
        <v>0</v>
      </c>
      <c r="DR558" s="407">
        <v>-699.58545100688764</v>
      </c>
      <c r="DS558" s="407"/>
      <c r="DT558" s="407"/>
      <c r="DU558" s="407"/>
      <c r="DV558" s="407">
        <v>18519.417329379226</v>
      </c>
      <c r="DW558" s="407">
        <v>0</v>
      </c>
      <c r="DX558" s="407">
        <v>0</v>
      </c>
      <c r="DY558" s="407">
        <v>-9912.8955000000024</v>
      </c>
      <c r="DZ558" s="407">
        <v>1218.37691</v>
      </c>
      <c r="EA558" s="407">
        <v>0</v>
      </c>
      <c r="EB558" s="407">
        <v>0</v>
      </c>
      <c r="EC558" s="407">
        <v>-9459.7613854781212</v>
      </c>
      <c r="ED558" s="407">
        <v>0</v>
      </c>
      <c r="EE558" s="407">
        <v>0</v>
      </c>
      <c r="EF558" s="407">
        <v>0</v>
      </c>
      <c r="EG558" s="407">
        <v>0</v>
      </c>
      <c r="EH558" s="407">
        <v>0</v>
      </c>
      <c r="EI558" s="407">
        <v>0</v>
      </c>
      <c r="EJ558" s="407">
        <v>0</v>
      </c>
      <c r="EK558" s="407">
        <v>0</v>
      </c>
      <c r="EL558" s="407">
        <v>0</v>
      </c>
      <c r="EM558" s="407">
        <v>0</v>
      </c>
      <c r="EN558" s="407">
        <v>0</v>
      </c>
      <c r="EO558" s="407">
        <v>0</v>
      </c>
      <c r="EP558" s="407">
        <v>1301.9468202092355</v>
      </c>
      <c r="EQ558" s="407">
        <v>0</v>
      </c>
      <c r="ER558" s="407">
        <v>0</v>
      </c>
      <c r="ES558" s="407">
        <v>0</v>
      </c>
      <c r="ET558" s="407">
        <v>0</v>
      </c>
      <c r="EU558" s="407">
        <v>0</v>
      </c>
      <c r="EV558" s="407">
        <v>246</v>
      </c>
      <c r="EW558" s="407">
        <v>0</v>
      </c>
      <c r="EX558" s="407">
        <v>0</v>
      </c>
      <c r="EY558" s="407">
        <v>0</v>
      </c>
      <c r="EZ558" s="407"/>
      <c r="FA558" s="407">
        <v>0</v>
      </c>
      <c r="FB558" s="407"/>
      <c r="FC558" s="407"/>
      <c r="FD558" s="407"/>
      <c r="FE558" s="407"/>
      <c r="FF558" s="407">
        <v>0</v>
      </c>
      <c r="FG558" s="407">
        <v>0</v>
      </c>
      <c r="FH558" s="407">
        <v>0</v>
      </c>
      <c r="FI558" s="407">
        <v>0</v>
      </c>
    </row>
    <row r="559" spans="1:165">
      <c r="A559" s="407">
        <v>578</v>
      </c>
      <c r="B559" s="407" t="s">
        <v>2308</v>
      </c>
      <c r="C559" s="407" t="s">
        <v>2306</v>
      </c>
      <c r="D559" s="407" t="s">
        <v>2315</v>
      </c>
      <c r="E559" s="407" t="s">
        <v>1026</v>
      </c>
      <c r="F559" s="407" t="s">
        <v>2323</v>
      </c>
      <c r="G559" s="407" t="s">
        <v>2324</v>
      </c>
      <c r="H559" s="407" t="s">
        <v>97</v>
      </c>
      <c r="I559" s="407" t="s">
        <v>97</v>
      </c>
      <c r="J559" s="407" t="s">
        <v>2307</v>
      </c>
      <c r="K559" s="818">
        <v>44621</v>
      </c>
      <c r="L559" s="407">
        <v>0</v>
      </c>
      <c r="M559" s="407">
        <v>0</v>
      </c>
      <c r="N559" s="407">
        <v>-3609.9949999999999</v>
      </c>
      <c r="O559" s="407">
        <v>-3609.9949999999999</v>
      </c>
      <c r="P559" s="407">
        <v>-3609.9949999999999</v>
      </c>
      <c r="Q559" s="407">
        <v>-3609.9949999999999</v>
      </c>
      <c r="R559" s="407"/>
      <c r="S559" s="407">
        <v>648.44000000000005</v>
      </c>
      <c r="T559" s="407">
        <v>159.41</v>
      </c>
      <c r="U559" s="407"/>
      <c r="V559" s="407">
        <v>-2916334.4607500001</v>
      </c>
      <c r="W559" s="407">
        <v>-2916334.4607500001</v>
      </c>
      <c r="X559" s="407">
        <v>-2208667.1409</v>
      </c>
      <c r="Y559" s="407">
        <v>0</v>
      </c>
      <c r="Z559" s="407">
        <v>-223712.29492307105</v>
      </c>
      <c r="AA559" s="407">
        <v>0</v>
      </c>
      <c r="AB559" s="407">
        <v>0</v>
      </c>
      <c r="AC559" s="407">
        <v>0</v>
      </c>
      <c r="AD559" s="407">
        <v>-421085.79540288571</v>
      </c>
      <c r="AE559" s="407">
        <v>-1507338.939011394</v>
      </c>
      <c r="AF559" s="407">
        <v>-556772.11618073983</v>
      </c>
      <c r="AG559" s="407">
        <v>-18706.081620843474</v>
      </c>
      <c r="AH559" s="407">
        <v>0</v>
      </c>
      <c r="AI559" s="407">
        <v>0</v>
      </c>
      <c r="AJ559" s="407">
        <v>0</v>
      </c>
      <c r="AK559" s="407">
        <v>0</v>
      </c>
      <c r="AL559" s="407">
        <v>-34569.511935902337</v>
      </c>
      <c r="AM559" s="407"/>
      <c r="AN559" s="407">
        <v>-7491.0848866486767</v>
      </c>
      <c r="AO559" s="407">
        <v>0</v>
      </c>
      <c r="AP559" s="407">
        <v>0</v>
      </c>
      <c r="AQ559" s="407">
        <v>0</v>
      </c>
      <c r="AR559" s="407">
        <v>0</v>
      </c>
      <c r="AS559" s="407">
        <v>0</v>
      </c>
      <c r="AT559" s="407">
        <v>0</v>
      </c>
      <c r="AU559" s="407">
        <v>0</v>
      </c>
      <c r="AV559" s="407">
        <v>0</v>
      </c>
      <c r="AW559" s="407">
        <v>0</v>
      </c>
      <c r="AX559" s="407">
        <v>0</v>
      </c>
      <c r="AY559" s="407">
        <v>0</v>
      </c>
      <c r="AZ559" s="407">
        <v>0</v>
      </c>
      <c r="BA559" s="407"/>
      <c r="BB559" s="407">
        <v>0</v>
      </c>
      <c r="BC559" s="407">
        <v>0</v>
      </c>
      <c r="BD559" s="407">
        <v>0</v>
      </c>
      <c r="BE559" s="407">
        <v>0</v>
      </c>
      <c r="BF559" s="407">
        <v>0</v>
      </c>
      <c r="BG559" s="407">
        <v>-40698.263787483549</v>
      </c>
      <c r="BH559" s="407">
        <v>0</v>
      </c>
      <c r="BI559" s="407">
        <v>0</v>
      </c>
      <c r="BJ559" s="407">
        <v>0</v>
      </c>
      <c r="BK559" s="407">
        <v>0</v>
      </c>
      <c r="BL559" s="407">
        <v>0</v>
      </c>
      <c r="BM559" s="407"/>
      <c r="BN559" s="407"/>
      <c r="BO559" s="407"/>
      <c r="BP559" s="407"/>
      <c r="BQ559" s="407"/>
      <c r="BR559" s="407">
        <v>-265045.83290000004</v>
      </c>
      <c r="BS559" s="407"/>
      <c r="BT559" s="407"/>
      <c r="BU559" s="407"/>
      <c r="BV559" s="407">
        <v>-597470.37996822339</v>
      </c>
      <c r="BW559" s="407"/>
      <c r="BX559" s="407"/>
      <c r="BY559" s="407"/>
      <c r="BZ559" s="407"/>
      <c r="CA559" s="407"/>
      <c r="CB559" s="407"/>
      <c r="CC559" s="407"/>
      <c r="CD559" s="407"/>
      <c r="CE559" s="407"/>
      <c r="CF559" s="407"/>
      <c r="CG559" s="407"/>
      <c r="CH559" s="407"/>
      <c r="CI559" s="407">
        <v>-1943624</v>
      </c>
      <c r="CJ559" s="407">
        <v>622757.5154500003</v>
      </c>
      <c r="CK559" s="407"/>
      <c r="CL559" s="407"/>
      <c r="CM559" s="407"/>
      <c r="CN559" s="407"/>
      <c r="CO559" s="407">
        <v>806833.88250000018</v>
      </c>
      <c r="CP559" s="407">
        <v>-99166.562649999993</v>
      </c>
      <c r="CQ559" s="407">
        <v>31</v>
      </c>
      <c r="CR559" s="407">
        <v>-62286.918766436866</v>
      </c>
      <c r="CS559" s="407">
        <v>0</v>
      </c>
      <c r="CT559" s="407">
        <v>0</v>
      </c>
      <c r="CU559" s="407">
        <v>0</v>
      </c>
      <c r="CV559" s="407">
        <v>0</v>
      </c>
      <c r="CW559" s="407">
        <v>0</v>
      </c>
      <c r="CX559" s="407">
        <v>0</v>
      </c>
      <c r="CY559" s="407">
        <v>0</v>
      </c>
      <c r="CZ559" s="407">
        <v>-19021.280311488837</v>
      </c>
      <c r="DA559" s="407">
        <v>0</v>
      </c>
      <c r="DB559" s="407">
        <v>0</v>
      </c>
      <c r="DC559" s="407">
        <v>-110392.87509439269</v>
      </c>
      <c r="DD559" s="407">
        <v>0</v>
      </c>
      <c r="DE559" s="407">
        <v>0</v>
      </c>
      <c r="DF559" s="407">
        <v>0</v>
      </c>
      <c r="DG559" s="407">
        <v>-8069.3666587855478</v>
      </c>
      <c r="DH559" s="407">
        <v>0</v>
      </c>
      <c r="DI559" s="407">
        <v>15669.250464084704</v>
      </c>
      <c r="DJ559" s="407"/>
      <c r="DK559" s="407">
        <v>0</v>
      </c>
      <c r="DL559" s="407">
        <v>0</v>
      </c>
      <c r="DM559" s="407">
        <v>0</v>
      </c>
      <c r="DN559" s="407">
        <v>0</v>
      </c>
      <c r="DO559" s="407">
        <v>2109.1335224967588</v>
      </c>
      <c r="DP559" s="407">
        <v>477.31384397793408</v>
      </c>
      <c r="DQ559" s="407">
        <v>0</v>
      </c>
      <c r="DR559" s="407">
        <v>56940.905467670935</v>
      </c>
      <c r="DS559" s="407"/>
      <c r="DT559" s="407"/>
      <c r="DU559" s="407"/>
      <c r="DV559" s="407">
        <v>-1507338.939011394</v>
      </c>
      <c r="DW559" s="407">
        <v>0</v>
      </c>
      <c r="DX559" s="407">
        <v>0</v>
      </c>
      <c r="DY559" s="407">
        <v>806833.8825000003</v>
      </c>
      <c r="DZ559" s="407">
        <v>-99166.562650000094</v>
      </c>
      <c r="EA559" s="407">
        <v>0</v>
      </c>
      <c r="EB559" s="407">
        <v>0</v>
      </c>
      <c r="EC559" s="407">
        <v>769952.23102764401</v>
      </c>
      <c r="ED559" s="407">
        <v>0</v>
      </c>
      <c r="EE559" s="407">
        <v>0</v>
      </c>
      <c r="EF559" s="407">
        <v>0</v>
      </c>
      <c r="EG559" s="407">
        <v>0</v>
      </c>
      <c r="EH559" s="407">
        <v>0</v>
      </c>
      <c r="EI559" s="407">
        <v>0</v>
      </c>
      <c r="EJ559" s="407">
        <v>0</v>
      </c>
      <c r="EK559" s="407">
        <v>0</v>
      </c>
      <c r="EL559" s="407">
        <v>0</v>
      </c>
      <c r="EM559" s="407">
        <v>0</v>
      </c>
      <c r="EN559" s="407">
        <v>0</v>
      </c>
      <c r="EO559" s="407">
        <v>0</v>
      </c>
      <c r="EP559" s="407">
        <v>-105968.51422048653</v>
      </c>
      <c r="EQ559" s="407">
        <v>0</v>
      </c>
      <c r="ER559" s="407">
        <v>0</v>
      </c>
      <c r="ES559" s="407">
        <v>0</v>
      </c>
      <c r="ET559" s="407">
        <v>0</v>
      </c>
      <c r="EU559" s="407">
        <v>0</v>
      </c>
      <c r="EV559" s="407">
        <v>246</v>
      </c>
      <c r="EW559" s="407">
        <v>0</v>
      </c>
      <c r="EX559" s="407">
        <v>0</v>
      </c>
      <c r="EY559" s="407">
        <v>0</v>
      </c>
      <c r="EZ559" s="407"/>
      <c r="FA559" s="407">
        <v>0</v>
      </c>
      <c r="FB559" s="407"/>
      <c r="FC559" s="407"/>
      <c r="FD559" s="407"/>
      <c r="FE559" s="407"/>
      <c r="FF559" s="407">
        <v>0</v>
      </c>
      <c r="FG559" s="407">
        <v>0</v>
      </c>
      <c r="FH559" s="407">
        <v>0</v>
      </c>
      <c r="FI559" s="407">
        <v>0</v>
      </c>
    </row>
    <row r="560" spans="1:165">
      <c r="A560" s="407">
        <v>579</v>
      </c>
      <c r="B560" s="407" t="s">
        <v>2309</v>
      </c>
      <c r="C560" s="407" t="s">
        <v>2306</v>
      </c>
      <c r="D560" s="407" t="s">
        <v>2315</v>
      </c>
      <c r="E560" s="407" t="s">
        <v>1026</v>
      </c>
      <c r="F560" s="407" t="s">
        <v>2323</v>
      </c>
      <c r="G560" s="407" t="s">
        <v>2324</v>
      </c>
      <c r="H560" s="407" t="s">
        <v>97</v>
      </c>
      <c r="I560" s="407" t="s">
        <v>97</v>
      </c>
      <c r="J560" s="407" t="s">
        <v>2307</v>
      </c>
      <c r="K560" s="818">
        <v>44621</v>
      </c>
      <c r="L560" s="407">
        <v>0</v>
      </c>
      <c r="M560" s="407">
        <v>0</v>
      </c>
      <c r="N560" s="407">
        <v>4.1820000000000004</v>
      </c>
      <c r="O560" s="407">
        <v>4.1820000000000004</v>
      </c>
      <c r="P560" s="407">
        <v>4.1820000000000004</v>
      </c>
      <c r="Q560" s="407">
        <v>4.1820000000000004</v>
      </c>
      <c r="R560" s="407"/>
      <c r="S560" s="407">
        <v>648.44000000000005</v>
      </c>
      <c r="T560" s="407">
        <v>159.41</v>
      </c>
      <c r="U560" s="407"/>
      <c r="V560" s="407">
        <v>3378.4287000000004</v>
      </c>
      <c r="W560" s="407">
        <v>3378.4287000000004</v>
      </c>
      <c r="X560" s="407">
        <v>2558.6312400000002</v>
      </c>
      <c r="Y560" s="407">
        <v>0</v>
      </c>
      <c r="Z560" s="407">
        <v>259.15958813468808</v>
      </c>
      <c r="AA560" s="407">
        <v>0</v>
      </c>
      <c r="AB560" s="407">
        <v>0</v>
      </c>
      <c r="AC560" s="407">
        <v>0</v>
      </c>
      <c r="AD560" s="407">
        <v>487.80699041823277</v>
      </c>
      <c r="AE560" s="407">
        <v>1746.1773334715563</v>
      </c>
      <c r="AF560" s="407">
        <v>644.99285729422184</v>
      </c>
      <c r="AG560" s="407">
        <v>21.670066949778992</v>
      </c>
      <c r="AH560" s="407">
        <v>0</v>
      </c>
      <c r="AI560" s="407">
        <v>0</v>
      </c>
      <c r="AJ560" s="407">
        <v>0</v>
      </c>
      <c r="AK560" s="407">
        <v>0</v>
      </c>
      <c r="AL560" s="407">
        <v>40.047063476803594</v>
      </c>
      <c r="AM560" s="407"/>
      <c r="AN560" s="407">
        <v>8.6780499684805008</v>
      </c>
      <c r="AO560" s="407">
        <v>0</v>
      </c>
      <c r="AP560" s="407">
        <v>0</v>
      </c>
      <c r="AQ560" s="407">
        <v>0</v>
      </c>
      <c r="AR560" s="407">
        <v>0</v>
      </c>
      <c r="AS560" s="407">
        <v>0</v>
      </c>
      <c r="AT560" s="407">
        <v>0</v>
      </c>
      <c r="AU560" s="407">
        <v>0</v>
      </c>
      <c r="AV560" s="407">
        <v>0</v>
      </c>
      <c r="AW560" s="407">
        <v>0</v>
      </c>
      <c r="AX560" s="407">
        <v>0</v>
      </c>
      <c r="AY560" s="407">
        <v>0</v>
      </c>
      <c r="AZ560" s="407">
        <v>0</v>
      </c>
      <c r="BA560" s="407"/>
      <c r="BB560" s="407">
        <v>0</v>
      </c>
      <c r="BC560" s="407">
        <v>0</v>
      </c>
      <c r="BD560" s="407">
        <v>0</v>
      </c>
      <c r="BE560" s="407">
        <v>0</v>
      </c>
      <c r="BF560" s="407">
        <v>0</v>
      </c>
      <c r="BG560" s="407">
        <v>47.146918253143347</v>
      </c>
      <c r="BH560" s="407">
        <v>0</v>
      </c>
      <c r="BI560" s="407">
        <v>0</v>
      </c>
      <c r="BJ560" s="407">
        <v>0</v>
      </c>
      <c r="BK560" s="407">
        <v>0</v>
      </c>
      <c r="BL560" s="407">
        <v>0</v>
      </c>
      <c r="BM560" s="407"/>
      <c r="BN560" s="407"/>
      <c r="BO560" s="407"/>
      <c r="BP560" s="407"/>
      <c r="BQ560" s="407"/>
      <c r="BR560" s="407">
        <v>307.04244000000011</v>
      </c>
      <c r="BS560" s="407"/>
      <c r="BT560" s="407"/>
      <c r="BU560" s="407"/>
      <c r="BV560" s="407">
        <v>692.13977554736516</v>
      </c>
      <c r="BW560" s="407"/>
      <c r="BX560" s="407"/>
      <c r="BY560" s="407"/>
      <c r="BZ560" s="407"/>
      <c r="CA560" s="407"/>
      <c r="CB560" s="407"/>
      <c r="CC560" s="407"/>
      <c r="CD560" s="407"/>
      <c r="CE560" s="407"/>
      <c r="CF560" s="407"/>
      <c r="CG560" s="407"/>
      <c r="CH560" s="407"/>
      <c r="CI560" s="407">
        <v>2250.5119999999997</v>
      </c>
      <c r="CJ560" s="407">
        <v>-722.54362000000128</v>
      </c>
      <c r="CK560" s="407"/>
      <c r="CL560" s="407"/>
      <c r="CM560" s="407"/>
      <c r="CN560" s="407"/>
      <c r="CO560" s="407">
        <v>-934.67700000000036</v>
      </c>
      <c r="CP560" s="407">
        <v>114.87954000000001</v>
      </c>
      <c r="CQ560" s="407">
        <v>31</v>
      </c>
      <c r="CR560" s="407">
        <v>72.156303341483635</v>
      </c>
      <c r="CS560" s="407">
        <v>0</v>
      </c>
      <c r="CT560" s="407">
        <v>0</v>
      </c>
      <c r="CU560" s="407">
        <v>0</v>
      </c>
      <c r="CV560" s="407">
        <v>0</v>
      </c>
      <c r="CW560" s="407">
        <v>0</v>
      </c>
      <c r="CX560" s="407">
        <v>0</v>
      </c>
      <c r="CY560" s="407">
        <v>0</v>
      </c>
      <c r="CZ560" s="407">
        <v>22.035208985787051</v>
      </c>
      <c r="DA560" s="407">
        <v>0</v>
      </c>
      <c r="DB560" s="407">
        <v>0</v>
      </c>
      <c r="DC560" s="407">
        <v>127.88466566982788</v>
      </c>
      <c r="DD560" s="407">
        <v>0</v>
      </c>
      <c r="DE560" s="407">
        <v>0</v>
      </c>
      <c r="DF560" s="407">
        <v>0</v>
      </c>
      <c r="DG560" s="407">
        <v>9.3479606944167983</v>
      </c>
      <c r="DH560" s="407">
        <v>0</v>
      </c>
      <c r="DI560" s="407">
        <v>-18.15204880915411</v>
      </c>
      <c r="DJ560" s="407"/>
      <c r="DK560" s="407">
        <v>0</v>
      </c>
      <c r="DL560" s="407">
        <v>0</v>
      </c>
      <c r="DM560" s="407">
        <v>0</v>
      </c>
      <c r="DN560" s="407">
        <v>0</v>
      </c>
      <c r="DO560" s="407">
        <v>-2.4433264841312692</v>
      </c>
      <c r="DP560" s="407">
        <v>-0.5529443934176399</v>
      </c>
      <c r="DQ560" s="407">
        <v>0</v>
      </c>
      <c r="DR560" s="407">
        <v>-65.96321232184529</v>
      </c>
      <c r="DS560" s="407"/>
      <c r="DT560" s="407"/>
      <c r="DU560" s="407"/>
      <c r="DV560" s="407">
        <v>1746.1773334715563</v>
      </c>
      <c r="DW560" s="407">
        <v>0</v>
      </c>
      <c r="DX560" s="407">
        <v>0</v>
      </c>
      <c r="DY560" s="407">
        <v>-934.67700000000036</v>
      </c>
      <c r="DZ560" s="407">
        <v>114.87954000000002</v>
      </c>
      <c r="EA560" s="407">
        <v>0</v>
      </c>
      <c r="EB560" s="407">
        <v>0</v>
      </c>
      <c r="EC560" s="407">
        <v>-891.95143764952797</v>
      </c>
      <c r="ED560" s="407">
        <v>0</v>
      </c>
      <c r="EE560" s="407">
        <v>0</v>
      </c>
      <c r="EF560" s="407">
        <v>0</v>
      </c>
      <c r="EG560" s="407">
        <v>0</v>
      </c>
      <c r="EH560" s="407">
        <v>0</v>
      </c>
      <c r="EI560" s="407">
        <v>0</v>
      </c>
      <c r="EJ560" s="407">
        <v>0</v>
      </c>
      <c r="EK560" s="407">
        <v>0</v>
      </c>
      <c r="EL560" s="407">
        <v>0</v>
      </c>
      <c r="EM560" s="407">
        <v>0</v>
      </c>
      <c r="EN560" s="407">
        <v>0</v>
      </c>
      <c r="EO560" s="407">
        <v>0</v>
      </c>
      <c r="EP560" s="407">
        <v>122.75926323168723</v>
      </c>
      <c r="EQ560" s="407">
        <v>0</v>
      </c>
      <c r="ER560" s="407">
        <v>0</v>
      </c>
      <c r="ES560" s="407">
        <v>0</v>
      </c>
      <c r="ET560" s="407">
        <v>0</v>
      </c>
      <c r="EU560" s="407">
        <v>0</v>
      </c>
      <c r="EV560" s="407">
        <v>246</v>
      </c>
      <c r="EW560" s="407">
        <v>0</v>
      </c>
      <c r="EX560" s="407">
        <v>0</v>
      </c>
      <c r="EY560" s="407">
        <v>0</v>
      </c>
      <c r="EZ560" s="407"/>
      <c r="FA560" s="407">
        <v>0</v>
      </c>
      <c r="FB560" s="407"/>
      <c r="FC560" s="407"/>
      <c r="FD560" s="407"/>
      <c r="FE560" s="407"/>
      <c r="FF560" s="407">
        <v>0</v>
      </c>
      <c r="FG560" s="407">
        <v>0</v>
      </c>
      <c r="FH560" s="407">
        <v>0</v>
      </c>
      <c r="FI560" s="407">
        <v>0</v>
      </c>
    </row>
    <row r="561" spans="1:165">
      <c r="A561" s="407">
        <v>580</v>
      </c>
      <c r="B561" s="407" t="s">
        <v>1090</v>
      </c>
      <c r="C561" s="407" t="s">
        <v>2306</v>
      </c>
      <c r="D561" s="407" t="s">
        <v>2315</v>
      </c>
      <c r="E561" s="407" t="s">
        <v>1026</v>
      </c>
      <c r="F561" s="407" t="s">
        <v>2323</v>
      </c>
      <c r="G561" s="407" t="s">
        <v>2325</v>
      </c>
      <c r="H561" s="407" t="s">
        <v>97</v>
      </c>
      <c r="I561" s="407" t="s">
        <v>97</v>
      </c>
      <c r="J561" s="407" t="s">
        <v>2307</v>
      </c>
      <c r="K561" s="818">
        <v>44621</v>
      </c>
      <c r="L561" s="407">
        <v>0</v>
      </c>
      <c r="M561" s="407">
        <v>0</v>
      </c>
      <c r="N561" s="407">
        <v>39.805</v>
      </c>
      <c r="O561" s="407">
        <v>15.922000000000001</v>
      </c>
      <c r="P561" s="407">
        <v>39.805</v>
      </c>
      <c r="Q561" s="407">
        <v>15.922000000000001</v>
      </c>
      <c r="R561" s="407"/>
      <c r="S561" s="407">
        <v>648.44000000000005</v>
      </c>
      <c r="T561" s="407">
        <v>159.41</v>
      </c>
      <c r="U561" s="407"/>
      <c r="V561" s="407">
        <v>32156.469250000002</v>
      </c>
      <c r="W561" s="407">
        <v>32156.469250000002</v>
      </c>
      <c r="X561" s="407">
        <v>24353.4951</v>
      </c>
      <c r="Y561" s="407">
        <v>0</v>
      </c>
      <c r="Z561" s="407">
        <v>2466.7258263274166</v>
      </c>
      <c r="AA561" s="407">
        <v>0</v>
      </c>
      <c r="AB561" s="407">
        <v>0</v>
      </c>
      <c r="AC561" s="407">
        <v>0</v>
      </c>
      <c r="AD561" s="407">
        <v>4643.0313853653161</v>
      </c>
      <c r="AE561" s="407">
        <v>16620.418163279599</v>
      </c>
      <c r="AF561" s="407">
        <v>6139.1536787653031</v>
      </c>
      <c r="AG561" s="407">
        <v>206.25944881299682</v>
      </c>
      <c r="AH561" s="407">
        <v>0</v>
      </c>
      <c r="AI561" s="407">
        <v>0</v>
      </c>
      <c r="AJ561" s="407">
        <v>0</v>
      </c>
      <c r="AK561" s="407">
        <v>0</v>
      </c>
      <c r="AL561" s="407">
        <v>381.1748832362905</v>
      </c>
      <c r="AM561" s="407"/>
      <c r="AN561" s="407">
        <v>82.599181969241116</v>
      </c>
      <c r="AO561" s="407">
        <v>0</v>
      </c>
      <c r="AP561" s="407">
        <v>0</v>
      </c>
      <c r="AQ561" s="407">
        <v>0</v>
      </c>
      <c r="AR561" s="407">
        <v>0</v>
      </c>
      <c r="AS561" s="407">
        <v>0</v>
      </c>
      <c r="AT561" s="407">
        <v>0</v>
      </c>
      <c r="AU561" s="407">
        <v>0</v>
      </c>
      <c r="AV561" s="407">
        <v>0</v>
      </c>
      <c r="AW561" s="407">
        <v>0</v>
      </c>
      <c r="AX561" s="407">
        <v>0</v>
      </c>
      <c r="AY561" s="407">
        <v>0</v>
      </c>
      <c r="AZ561" s="407">
        <v>0</v>
      </c>
      <c r="BA561" s="407"/>
      <c r="BB561" s="407">
        <v>0</v>
      </c>
      <c r="BC561" s="407">
        <v>0</v>
      </c>
      <c r="BD561" s="407">
        <v>0</v>
      </c>
      <c r="BE561" s="407">
        <v>0</v>
      </c>
      <c r="BF561" s="407">
        <v>0</v>
      </c>
      <c r="BG561" s="407">
        <v>448.75253014499543</v>
      </c>
      <c r="BH561" s="407">
        <v>0</v>
      </c>
      <c r="BI561" s="407">
        <v>0</v>
      </c>
      <c r="BJ561" s="407">
        <v>0</v>
      </c>
      <c r="BK561" s="407">
        <v>0</v>
      </c>
      <c r="BL561" s="407">
        <v>0</v>
      </c>
      <c r="BM561" s="407"/>
      <c r="BN561" s="407"/>
      <c r="BO561" s="407"/>
      <c r="BP561" s="407"/>
      <c r="BQ561" s="407"/>
      <c r="BR561" s="407"/>
      <c r="BS561" s="407">
        <v>15781.0903</v>
      </c>
      <c r="BT561" s="407"/>
      <c r="BU561" s="407"/>
      <c r="BV561" s="407">
        <v>6587.9062089102981</v>
      </c>
      <c r="BW561" s="407"/>
      <c r="BX561" s="407"/>
      <c r="BY561" s="407"/>
      <c r="BZ561" s="407"/>
      <c r="CA561" s="407"/>
      <c r="CB561" s="407"/>
      <c r="CC561" s="407"/>
      <c r="CD561" s="407"/>
      <c r="CE561" s="407"/>
      <c r="CF561" s="407"/>
      <c r="CG561" s="407"/>
      <c r="CH561" s="407"/>
      <c r="CI561" s="407">
        <v>8571.3279999999995</v>
      </c>
      <c r="CJ561" s="407">
        <v>-2747.811020000001</v>
      </c>
      <c r="CK561" s="407"/>
      <c r="CL561" s="407"/>
      <c r="CM561" s="407"/>
      <c r="CN561" s="407"/>
      <c r="CO561" s="407">
        <v>-8896.4175000000014</v>
      </c>
      <c r="CP561" s="407">
        <v>1093.44335</v>
      </c>
      <c r="CQ561" s="407">
        <v>31</v>
      </c>
      <c r="CR561" s="407">
        <v>686.79618711328294</v>
      </c>
      <c r="CS561" s="407">
        <v>0</v>
      </c>
      <c r="CT561" s="407">
        <v>0</v>
      </c>
      <c r="CU561" s="407">
        <v>0</v>
      </c>
      <c r="CV561" s="407">
        <v>0</v>
      </c>
      <c r="CW561" s="407">
        <v>0</v>
      </c>
      <c r="CX561" s="407">
        <v>0</v>
      </c>
      <c r="CY561" s="407">
        <v>0</v>
      </c>
      <c r="CZ561" s="407">
        <v>209.73493392617274</v>
      </c>
      <c r="DA561" s="407">
        <v>0</v>
      </c>
      <c r="DB561" s="407">
        <v>0</v>
      </c>
      <c r="DC561" s="407">
        <v>1217.2283876105921</v>
      </c>
      <c r="DD561" s="407">
        <v>0</v>
      </c>
      <c r="DE561" s="407">
        <v>0</v>
      </c>
      <c r="DF561" s="407">
        <v>0</v>
      </c>
      <c r="DG561" s="407">
        <v>88.975508235595555</v>
      </c>
      <c r="DH561" s="407">
        <v>0</v>
      </c>
      <c r="DI561" s="407">
        <v>-172.77434310099898</v>
      </c>
      <c r="DJ561" s="407"/>
      <c r="DK561" s="407">
        <v>0</v>
      </c>
      <c r="DL561" s="407">
        <v>0</v>
      </c>
      <c r="DM561" s="407">
        <v>0</v>
      </c>
      <c r="DN561" s="407">
        <v>0</v>
      </c>
      <c r="DO561" s="407">
        <v>-23.256004471746792</v>
      </c>
      <c r="DP561" s="407">
        <v>-5.2630204638902995</v>
      </c>
      <c r="DQ561" s="407">
        <v>0</v>
      </c>
      <c r="DR561" s="407">
        <v>-627.84927462244173</v>
      </c>
      <c r="DS561" s="407"/>
      <c r="DT561" s="407"/>
      <c r="DU561" s="407"/>
      <c r="DV561" s="407">
        <v>16620.418163279599</v>
      </c>
      <c r="DW561" s="407">
        <v>0</v>
      </c>
      <c r="DX561" s="407">
        <v>0</v>
      </c>
      <c r="DY561" s="407">
        <v>-8896.4174999999996</v>
      </c>
      <c r="DZ561" s="407">
        <v>1093.4433499999996</v>
      </c>
      <c r="EA561" s="407">
        <v>0</v>
      </c>
      <c r="EB561" s="407">
        <v>0</v>
      </c>
      <c r="EC561" s="407">
        <v>-8489.7482007746185</v>
      </c>
      <c r="ED561" s="407">
        <v>0</v>
      </c>
      <c r="EE561" s="407">
        <v>0</v>
      </c>
      <c r="EF561" s="407">
        <v>0</v>
      </c>
      <c r="EG561" s="407">
        <v>0</v>
      </c>
      <c r="EH561" s="407">
        <v>0</v>
      </c>
      <c r="EI561" s="407">
        <v>0</v>
      </c>
      <c r="EJ561" s="407">
        <v>0</v>
      </c>
      <c r="EK561" s="407">
        <v>0</v>
      </c>
      <c r="EL561" s="407">
        <v>0</v>
      </c>
      <c r="EM561" s="407">
        <v>0</v>
      </c>
      <c r="EN561" s="407">
        <v>0</v>
      </c>
      <c r="EO561" s="407">
        <v>0</v>
      </c>
      <c r="EP561" s="407">
        <v>1168.4439198797966</v>
      </c>
      <c r="EQ561" s="407">
        <v>0</v>
      </c>
      <c r="ER561" s="407">
        <v>0</v>
      </c>
      <c r="ES561" s="407">
        <v>0</v>
      </c>
      <c r="ET561" s="407">
        <v>0</v>
      </c>
      <c r="EU561" s="407">
        <v>0</v>
      </c>
      <c r="EV561" s="407">
        <v>246</v>
      </c>
      <c r="EW561" s="407">
        <v>0</v>
      </c>
      <c r="EX561" s="407">
        <v>0</v>
      </c>
      <c r="EY561" s="407">
        <v>0</v>
      </c>
      <c r="EZ561" s="407"/>
      <c r="FA561" s="407">
        <v>0</v>
      </c>
      <c r="FB561" s="407"/>
      <c r="FC561" s="407"/>
      <c r="FD561" s="407"/>
      <c r="FE561" s="407"/>
      <c r="FF561" s="407">
        <v>0</v>
      </c>
      <c r="FG561" s="407">
        <v>0</v>
      </c>
      <c r="FH561" s="407">
        <v>0</v>
      </c>
      <c r="FI561" s="407">
        <v>0</v>
      </c>
    </row>
    <row r="562" spans="1:165">
      <c r="A562" s="407">
        <v>582</v>
      </c>
      <c r="B562" s="407" t="s">
        <v>2309</v>
      </c>
      <c r="C562" s="407" t="s">
        <v>2306</v>
      </c>
      <c r="D562" s="407" t="s">
        <v>2315</v>
      </c>
      <c r="E562" s="407" t="s">
        <v>1026</v>
      </c>
      <c r="F562" s="407" t="s">
        <v>2323</v>
      </c>
      <c r="G562" s="407" t="s">
        <v>2325</v>
      </c>
      <c r="H562" s="407" t="s">
        <v>97</v>
      </c>
      <c r="I562" s="407" t="s">
        <v>97</v>
      </c>
      <c r="J562" s="407" t="s">
        <v>2307</v>
      </c>
      <c r="K562" s="818">
        <v>44621</v>
      </c>
      <c r="L562" s="407">
        <v>0</v>
      </c>
      <c r="M562" s="407">
        <v>0</v>
      </c>
      <c r="N562" s="407">
        <v>2.4279999999999999</v>
      </c>
      <c r="O562" s="407">
        <v>0.97119999999999995</v>
      </c>
      <c r="P562" s="407">
        <v>2.4279999999999999</v>
      </c>
      <c r="Q562" s="407">
        <v>0.97119999999999995</v>
      </c>
      <c r="R562" s="407"/>
      <c r="S562" s="407">
        <v>648.44000000000005</v>
      </c>
      <c r="T562" s="407">
        <v>159.41</v>
      </c>
      <c r="U562" s="407"/>
      <c r="V562" s="407">
        <v>1961.4598000000001</v>
      </c>
      <c r="W562" s="407">
        <v>1961.4598000000001</v>
      </c>
      <c r="X562" s="407">
        <v>1485.4989599999999</v>
      </c>
      <c r="Y562" s="407">
        <v>0</v>
      </c>
      <c r="Z562" s="407">
        <v>150.46376852965628</v>
      </c>
      <c r="AA562" s="407">
        <v>0</v>
      </c>
      <c r="AB562" s="407">
        <v>0</v>
      </c>
      <c r="AC562" s="407">
        <v>0</v>
      </c>
      <c r="AD562" s="407">
        <v>283.21266684253203</v>
      </c>
      <c r="AE562" s="407">
        <v>1013.801665631023</v>
      </c>
      <c r="AF562" s="407">
        <v>374.47218017942862</v>
      </c>
      <c r="AG562" s="407">
        <v>12.581282294132805</v>
      </c>
      <c r="AH562" s="407">
        <v>0</v>
      </c>
      <c r="AI562" s="407">
        <v>0</v>
      </c>
      <c r="AJ562" s="407">
        <v>0</v>
      </c>
      <c r="AK562" s="407">
        <v>0</v>
      </c>
      <c r="AL562" s="407">
        <v>23.250662391601892</v>
      </c>
      <c r="AM562" s="407"/>
      <c r="AN562" s="407">
        <v>5.0383322150814571</v>
      </c>
      <c r="AO562" s="407">
        <v>0</v>
      </c>
      <c r="AP562" s="407">
        <v>0</v>
      </c>
      <c r="AQ562" s="407">
        <v>0</v>
      </c>
      <c r="AR562" s="407">
        <v>0</v>
      </c>
      <c r="AS562" s="407">
        <v>0</v>
      </c>
      <c r="AT562" s="407">
        <v>0</v>
      </c>
      <c r="AU562" s="407">
        <v>0</v>
      </c>
      <c r="AV562" s="407">
        <v>0</v>
      </c>
      <c r="AW562" s="407">
        <v>0</v>
      </c>
      <c r="AX562" s="407">
        <v>0</v>
      </c>
      <c r="AY562" s="407">
        <v>0</v>
      </c>
      <c r="AZ562" s="407">
        <v>0</v>
      </c>
      <c r="BA562" s="407"/>
      <c r="BB562" s="407">
        <v>0</v>
      </c>
      <c r="BC562" s="407">
        <v>0</v>
      </c>
      <c r="BD562" s="407">
        <v>0</v>
      </c>
      <c r="BE562" s="407">
        <v>0</v>
      </c>
      <c r="BF562" s="407">
        <v>0</v>
      </c>
      <c r="BG562" s="407">
        <v>27.372720592690587</v>
      </c>
      <c r="BH562" s="407">
        <v>0</v>
      </c>
      <c r="BI562" s="407">
        <v>0</v>
      </c>
      <c r="BJ562" s="407">
        <v>0</v>
      </c>
      <c r="BK562" s="407">
        <v>0</v>
      </c>
      <c r="BL562" s="407">
        <v>0</v>
      </c>
      <c r="BM562" s="407"/>
      <c r="BN562" s="407"/>
      <c r="BO562" s="407"/>
      <c r="BP562" s="407"/>
      <c r="BQ562" s="407"/>
      <c r="BR562" s="407"/>
      <c r="BS562" s="407">
        <v>962.60487999999998</v>
      </c>
      <c r="BT562" s="407"/>
      <c r="BU562" s="407"/>
      <c r="BV562" s="407">
        <v>401.84490077211922</v>
      </c>
      <c r="BW562" s="407"/>
      <c r="BX562" s="407"/>
      <c r="BY562" s="407"/>
      <c r="BZ562" s="407"/>
      <c r="CA562" s="407"/>
      <c r="CB562" s="407"/>
      <c r="CC562" s="407"/>
      <c r="CD562" s="407"/>
      <c r="CE562" s="407"/>
      <c r="CF562" s="407"/>
      <c r="CG562" s="407"/>
      <c r="CH562" s="407"/>
      <c r="CI562" s="407">
        <v>522.24799999999993</v>
      </c>
      <c r="CJ562" s="407">
        <v>-168.21779200000003</v>
      </c>
      <c r="CK562" s="407"/>
      <c r="CL562" s="407"/>
      <c r="CM562" s="407"/>
      <c r="CN562" s="407"/>
      <c r="CO562" s="407">
        <v>-542.65800000000013</v>
      </c>
      <c r="CP562" s="407">
        <v>66.697159999999997</v>
      </c>
      <c r="CQ562" s="407">
        <v>31</v>
      </c>
      <c r="CR562" s="407">
        <v>41.892755742018608</v>
      </c>
      <c r="CS562" s="407">
        <v>0</v>
      </c>
      <c r="CT562" s="407">
        <v>0</v>
      </c>
      <c r="CU562" s="407">
        <v>0</v>
      </c>
      <c r="CV562" s="407">
        <v>0</v>
      </c>
      <c r="CW562" s="407">
        <v>0</v>
      </c>
      <c r="CX562" s="407">
        <v>0</v>
      </c>
      <c r="CY562" s="407">
        <v>0</v>
      </c>
      <c r="CZ562" s="407">
        <v>12.793277718194872</v>
      </c>
      <c r="DA562" s="407">
        <v>0</v>
      </c>
      <c r="DB562" s="407">
        <v>0</v>
      </c>
      <c r="DC562" s="407">
        <v>74.247720766700581</v>
      </c>
      <c r="DD562" s="407">
        <v>0</v>
      </c>
      <c r="DE562" s="407">
        <v>0</v>
      </c>
      <c r="DF562" s="407">
        <v>0</v>
      </c>
      <c r="DG562" s="407">
        <v>5.4272712974758441</v>
      </c>
      <c r="DH562" s="407">
        <v>0</v>
      </c>
      <c r="DI562" s="407">
        <v>-10.538779174707344</v>
      </c>
      <c r="DJ562" s="407"/>
      <c r="DK562" s="407">
        <v>0</v>
      </c>
      <c r="DL562" s="407">
        <v>0</v>
      </c>
      <c r="DM562" s="407">
        <v>0</v>
      </c>
      <c r="DN562" s="407">
        <v>0</v>
      </c>
      <c r="DO562" s="407">
        <v>-1.4185549267027042</v>
      </c>
      <c r="DP562" s="407">
        <v>-0.32103036518843364</v>
      </c>
      <c r="DQ562" s="407">
        <v>0</v>
      </c>
      <c r="DR562" s="407">
        <v>-38.297149573754268</v>
      </c>
      <c r="DS562" s="407"/>
      <c r="DT562" s="407"/>
      <c r="DU562" s="407"/>
      <c r="DV562" s="407">
        <v>1013.801665631023</v>
      </c>
      <c r="DW562" s="407">
        <v>0</v>
      </c>
      <c r="DX562" s="407">
        <v>0</v>
      </c>
      <c r="DY562" s="407">
        <v>-542.65800000000013</v>
      </c>
      <c r="DZ562" s="407">
        <v>66.697159999999997</v>
      </c>
      <c r="EA562" s="407">
        <v>0</v>
      </c>
      <c r="EB562" s="407">
        <v>0</v>
      </c>
      <c r="EC562" s="407">
        <v>-517.85224548375265</v>
      </c>
      <c r="ED562" s="407">
        <v>0</v>
      </c>
      <c r="EE562" s="407">
        <v>0</v>
      </c>
      <c r="EF562" s="407">
        <v>0</v>
      </c>
      <c r="EG562" s="407">
        <v>0</v>
      </c>
      <c r="EH562" s="407">
        <v>0</v>
      </c>
      <c r="EI562" s="407">
        <v>0</v>
      </c>
      <c r="EJ562" s="407">
        <v>0</v>
      </c>
      <c r="EK562" s="407">
        <v>0</v>
      </c>
      <c r="EL562" s="407">
        <v>0</v>
      </c>
      <c r="EM562" s="407">
        <v>0</v>
      </c>
      <c r="EN562" s="407">
        <v>0</v>
      </c>
      <c r="EO562" s="407">
        <v>0</v>
      </c>
      <c r="EP562" s="407">
        <v>71.271996921696925</v>
      </c>
      <c r="EQ562" s="407">
        <v>0</v>
      </c>
      <c r="ER562" s="407">
        <v>0</v>
      </c>
      <c r="ES562" s="407">
        <v>0</v>
      </c>
      <c r="ET562" s="407">
        <v>0</v>
      </c>
      <c r="EU562" s="407">
        <v>0</v>
      </c>
      <c r="EV562" s="407">
        <v>246</v>
      </c>
      <c r="EW562" s="407">
        <v>0</v>
      </c>
      <c r="EX562" s="407">
        <v>0</v>
      </c>
      <c r="EY562" s="407">
        <v>0</v>
      </c>
      <c r="EZ562" s="407"/>
      <c r="FA562" s="407">
        <v>0</v>
      </c>
      <c r="FB562" s="407"/>
      <c r="FC562" s="407"/>
      <c r="FD562" s="407"/>
      <c r="FE562" s="407"/>
      <c r="FF562" s="407">
        <v>0</v>
      </c>
      <c r="FG562" s="407">
        <v>0</v>
      </c>
      <c r="FH562" s="407">
        <v>0</v>
      </c>
      <c r="FI562" s="407">
        <v>0</v>
      </c>
    </row>
    <row r="563" spans="1:165">
      <c r="A563" s="407">
        <v>583</v>
      </c>
      <c r="B563" s="407" t="s">
        <v>1090</v>
      </c>
      <c r="C563" s="407" t="s">
        <v>2314</v>
      </c>
      <c r="D563" s="407" t="s">
        <v>650</v>
      </c>
      <c r="E563" s="407" t="s">
        <v>1026</v>
      </c>
      <c r="F563" s="407" t="s">
        <v>2323</v>
      </c>
      <c r="G563" s="407" t="s">
        <v>97</v>
      </c>
      <c r="H563" s="407" t="s">
        <v>97</v>
      </c>
      <c r="I563" s="407" t="s">
        <v>1025</v>
      </c>
      <c r="J563" s="407" t="s">
        <v>2307</v>
      </c>
      <c r="K563" s="818">
        <v>44621</v>
      </c>
      <c r="L563" s="407">
        <v>0</v>
      </c>
      <c r="M563" s="407">
        <v>0</v>
      </c>
      <c r="N563" s="407">
        <v>2.5310000000000001</v>
      </c>
      <c r="O563" s="407">
        <v>2.4297599999999999</v>
      </c>
      <c r="P563" s="407">
        <v>2.5310000000000001</v>
      </c>
      <c r="Q563" s="407">
        <v>2.4297599999999999</v>
      </c>
      <c r="R563" s="407"/>
      <c r="S563" s="407">
        <v>2810.7</v>
      </c>
      <c r="T563" s="407">
        <v>159.41</v>
      </c>
      <c r="U563" s="407"/>
      <c r="V563" s="407">
        <v>7517.3484099999996</v>
      </c>
      <c r="W563" s="407">
        <v>7517.3484099999996</v>
      </c>
      <c r="X563" s="407">
        <v>4787.8673899999994</v>
      </c>
      <c r="Y563" s="407">
        <v>0</v>
      </c>
      <c r="Z563" s="407">
        <v>136.45663277975578</v>
      </c>
      <c r="AA563" s="407">
        <v>0</v>
      </c>
      <c r="AB563" s="407">
        <v>0</v>
      </c>
      <c r="AC563" s="407">
        <v>0</v>
      </c>
      <c r="AD563" s="407">
        <v>1545.2149668616948</v>
      </c>
      <c r="AE563" s="407">
        <v>5327.4738162541435</v>
      </c>
      <c r="AF563" s="407">
        <v>390.35794400087889</v>
      </c>
      <c r="AG563" s="407">
        <v>13.115002259658208</v>
      </c>
      <c r="AH563" s="407">
        <v>0</v>
      </c>
      <c r="AI563" s="407">
        <v>0</v>
      </c>
      <c r="AJ563" s="407">
        <v>0</v>
      </c>
      <c r="AK563" s="407">
        <v>0</v>
      </c>
      <c r="AL563" s="407">
        <v>24.236996092728333</v>
      </c>
      <c r="AM563" s="407"/>
      <c r="AN563" s="407">
        <v>2.7176191944253629</v>
      </c>
      <c r="AO563" s="407">
        <v>0</v>
      </c>
      <c r="AP563" s="407">
        <v>0</v>
      </c>
      <c r="AQ563" s="407">
        <v>0</v>
      </c>
      <c r="AR563" s="407">
        <v>0</v>
      </c>
      <c r="AS563" s="407">
        <v>0</v>
      </c>
      <c r="AT563" s="407">
        <v>0</v>
      </c>
      <c r="AU563" s="407">
        <v>0</v>
      </c>
      <c r="AV563" s="407">
        <v>0</v>
      </c>
      <c r="AW563" s="407">
        <v>0</v>
      </c>
      <c r="AX563" s="407">
        <v>0</v>
      </c>
      <c r="AY563" s="407">
        <v>0</v>
      </c>
      <c r="AZ563" s="407">
        <v>0</v>
      </c>
      <c r="BA563" s="407"/>
      <c r="BB563" s="407">
        <v>0</v>
      </c>
      <c r="BC563" s="407">
        <v>0</v>
      </c>
      <c r="BD563" s="407">
        <v>0</v>
      </c>
      <c r="BE563" s="407">
        <v>0</v>
      </c>
      <c r="BF563" s="407">
        <v>0</v>
      </c>
      <c r="BG563" s="407">
        <v>13.135572002476712</v>
      </c>
      <c r="BH563" s="407">
        <v>0</v>
      </c>
      <c r="BI563" s="407">
        <v>0</v>
      </c>
      <c r="BJ563" s="407">
        <v>0</v>
      </c>
      <c r="BK563" s="407">
        <v>0</v>
      </c>
      <c r="BL563" s="407">
        <v>0</v>
      </c>
      <c r="BM563" s="407"/>
      <c r="BN563" s="407"/>
      <c r="BO563" s="407"/>
      <c r="BP563" s="407"/>
      <c r="BQ563" s="407"/>
      <c r="BR563" s="407">
        <v>191.51469560000041</v>
      </c>
      <c r="BS563" s="407"/>
      <c r="BT563" s="407"/>
      <c r="BU563" s="407"/>
      <c r="BV563" s="407">
        <v>403.49351600335558</v>
      </c>
      <c r="BW563" s="407"/>
      <c r="BX563" s="407"/>
      <c r="BY563" s="407"/>
      <c r="BZ563" s="407"/>
      <c r="CA563" s="407"/>
      <c r="CB563" s="407"/>
      <c r="CC563" s="407"/>
      <c r="CD563" s="407"/>
      <c r="CE563" s="407"/>
      <c r="CF563" s="407"/>
      <c r="CG563" s="407"/>
      <c r="CH563" s="407"/>
      <c r="CI563" s="407">
        <v>4596.8067000000001</v>
      </c>
      <c r="CJ563" s="407">
        <v>-2619.8777735999993</v>
      </c>
      <c r="CK563" s="407"/>
      <c r="CL563" s="407"/>
      <c r="CM563" s="407"/>
      <c r="CN563" s="407"/>
      <c r="CO563" s="407">
        <v>-2799.0075899999997</v>
      </c>
      <c r="CP563" s="407">
        <v>69.526570000000007</v>
      </c>
      <c r="CQ563" s="407">
        <v>31</v>
      </c>
      <c r="CR563" s="407">
        <v>-8.1817029941958026</v>
      </c>
      <c r="CS563" s="407">
        <v>0</v>
      </c>
      <c r="CT563" s="407">
        <v>0</v>
      </c>
      <c r="CU563" s="407">
        <v>0</v>
      </c>
      <c r="CV563" s="407">
        <v>0</v>
      </c>
      <c r="CW563" s="407">
        <v>0</v>
      </c>
      <c r="CX563" s="407">
        <v>0</v>
      </c>
      <c r="CY563" s="407">
        <v>0</v>
      </c>
      <c r="CZ563" s="407">
        <v>69.800423920883759</v>
      </c>
      <c r="DA563" s="407">
        <v>0</v>
      </c>
      <c r="DB563" s="407">
        <v>0</v>
      </c>
      <c r="DC563" s="407">
        <v>77.397438739917277</v>
      </c>
      <c r="DD563" s="407">
        <v>0</v>
      </c>
      <c r="DE563" s="407">
        <v>0</v>
      </c>
      <c r="DF563" s="407">
        <v>0</v>
      </c>
      <c r="DG563" s="407">
        <v>2.6044292040158332</v>
      </c>
      <c r="DH563" s="407">
        <v>0</v>
      </c>
      <c r="DI563" s="407">
        <v>-9.5576917542547335</v>
      </c>
      <c r="DJ563" s="407"/>
      <c r="DK563" s="407">
        <v>0</v>
      </c>
      <c r="DL563" s="407">
        <v>0</v>
      </c>
      <c r="DM563" s="407">
        <v>0</v>
      </c>
      <c r="DN563" s="407">
        <v>0</v>
      </c>
      <c r="DO563" s="407">
        <v>-1.4787325039063219</v>
      </c>
      <c r="DP563" s="407">
        <v>-0.17316013418446463</v>
      </c>
      <c r="DQ563" s="407">
        <v>0</v>
      </c>
      <c r="DR563" s="407">
        <v>-146.77441046666729</v>
      </c>
      <c r="DS563" s="407"/>
      <c r="DT563" s="407"/>
      <c r="DU563" s="407"/>
      <c r="DV563" s="407">
        <v>5327.4738162541435</v>
      </c>
      <c r="DW563" s="407">
        <v>0</v>
      </c>
      <c r="DX563" s="407">
        <v>0</v>
      </c>
      <c r="DY563" s="407">
        <v>-2799.0075900000002</v>
      </c>
      <c r="DZ563" s="407">
        <v>69.526569999999992</v>
      </c>
      <c r="EA563" s="407">
        <v>0</v>
      </c>
      <c r="EB563" s="407">
        <v>0</v>
      </c>
      <c r="EC563" s="407">
        <v>-2721.2859990577113</v>
      </c>
      <c r="ED563" s="407">
        <v>0</v>
      </c>
      <c r="EE563" s="407">
        <v>0</v>
      </c>
      <c r="EF563" s="407">
        <v>0</v>
      </c>
      <c r="EG563" s="407">
        <v>0</v>
      </c>
      <c r="EH563" s="407">
        <v>0</v>
      </c>
      <c r="EI563" s="407">
        <v>0</v>
      </c>
      <c r="EJ563" s="407">
        <v>0</v>
      </c>
      <c r="EK563" s="407">
        <v>0</v>
      </c>
      <c r="EL563" s="407">
        <v>0</v>
      </c>
      <c r="EM563" s="407">
        <v>0</v>
      </c>
      <c r="EN563" s="407">
        <v>0</v>
      </c>
      <c r="EO563" s="407">
        <v>0</v>
      </c>
      <c r="EP563" s="407">
        <v>64.637067158842228</v>
      </c>
      <c r="EQ563" s="407">
        <v>0</v>
      </c>
      <c r="ER563" s="407">
        <v>0</v>
      </c>
      <c r="ES563" s="407">
        <v>0</v>
      </c>
      <c r="ET563" s="407">
        <v>0</v>
      </c>
      <c r="EU563" s="407">
        <v>0</v>
      </c>
      <c r="EV563" s="407">
        <v>246</v>
      </c>
      <c r="EW563" s="407">
        <v>0</v>
      </c>
      <c r="EX563" s="407">
        <v>0</v>
      </c>
      <c r="EY563" s="407">
        <v>0</v>
      </c>
      <c r="EZ563" s="407"/>
      <c r="FA563" s="407">
        <v>0</v>
      </c>
      <c r="FB563" s="407"/>
      <c r="FC563" s="407"/>
      <c r="FD563" s="407"/>
      <c r="FE563" s="407"/>
      <c r="FF563" s="407">
        <v>0</v>
      </c>
      <c r="FG563" s="407">
        <v>0</v>
      </c>
      <c r="FH563" s="407">
        <v>0</v>
      </c>
      <c r="FI563" s="407">
        <v>0</v>
      </c>
    </row>
    <row r="564" spans="1:165">
      <c r="A564" s="407">
        <v>585</v>
      </c>
      <c r="B564" s="407" t="s">
        <v>1090</v>
      </c>
      <c r="C564" s="407" t="s">
        <v>2314</v>
      </c>
      <c r="D564" s="407" t="s">
        <v>650</v>
      </c>
      <c r="E564" s="407" t="s">
        <v>1026</v>
      </c>
      <c r="F564" s="407" t="s">
        <v>2323</v>
      </c>
      <c r="G564" s="407" t="s">
        <v>97</v>
      </c>
      <c r="H564" s="407" t="s">
        <v>97</v>
      </c>
      <c r="I564" s="407" t="s">
        <v>2290</v>
      </c>
      <c r="J564" s="407" t="s">
        <v>2307</v>
      </c>
      <c r="K564" s="818">
        <v>44621</v>
      </c>
      <c r="L564" s="407">
        <v>0</v>
      </c>
      <c r="M564" s="407">
        <v>0</v>
      </c>
      <c r="N564" s="407">
        <v>52.570999999999998</v>
      </c>
      <c r="O564" s="407">
        <v>50.468159999999997</v>
      </c>
      <c r="P564" s="407">
        <v>52.570999999999998</v>
      </c>
      <c r="Q564" s="407">
        <v>50.468159999999997</v>
      </c>
      <c r="R564" s="407"/>
      <c r="S564" s="407">
        <v>95.29</v>
      </c>
      <c r="T564" s="407">
        <v>159.41</v>
      </c>
      <c r="U564" s="407"/>
      <c r="V564" s="407">
        <v>13389.833699999999</v>
      </c>
      <c r="W564" s="407">
        <v>13389.833699999999</v>
      </c>
      <c r="X564" s="407">
        <v>14557.43561</v>
      </c>
      <c r="Y564" s="407">
        <v>0</v>
      </c>
      <c r="Z564" s="407">
        <v>2834.3190999069698</v>
      </c>
      <c r="AA564" s="407">
        <v>0</v>
      </c>
      <c r="AB564" s="407">
        <v>0</v>
      </c>
      <c r="AC564" s="407">
        <v>0</v>
      </c>
      <c r="AD564" s="407">
        <v>0</v>
      </c>
      <c r="AE564" s="407">
        <v>0</v>
      </c>
      <c r="AF564" s="407">
        <v>8108.0630083248525</v>
      </c>
      <c r="AG564" s="407">
        <v>272.40963405471814</v>
      </c>
      <c r="AH564" s="407">
        <v>0</v>
      </c>
      <c r="AI564" s="407">
        <v>0</v>
      </c>
      <c r="AJ564" s="407">
        <v>0</v>
      </c>
      <c r="AK564" s="407">
        <v>0</v>
      </c>
      <c r="AL564" s="407">
        <v>503.42280584386452</v>
      </c>
      <c r="AM564" s="407"/>
      <c r="AN564" s="407">
        <v>56.447237720322299</v>
      </c>
      <c r="AO564" s="407">
        <v>0</v>
      </c>
      <c r="AP564" s="407">
        <v>0</v>
      </c>
      <c r="AQ564" s="407">
        <v>0</v>
      </c>
      <c r="AR564" s="407">
        <v>0</v>
      </c>
      <c r="AS564" s="407">
        <v>0</v>
      </c>
      <c r="AT564" s="407">
        <v>0</v>
      </c>
      <c r="AU564" s="407">
        <v>0</v>
      </c>
      <c r="AV564" s="407">
        <v>0</v>
      </c>
      <c r="AW564" s="407">
        <v>0</v>
      </c>
      <c r="AX564" s="407">
        <v>0</v>
      </c>
      <c r="AY564" s="407">
        <v>0</v>
      </c>
      <c r="AZ564" s="407">
        <v>0</v>
      </c>
      <c r="BA564" s="407"/>
      <c r="BB564" s="407">
        <v>0</v>
      </c>
      <c r="BC564" s="407">
        <v>0</v>
      </c>
      <c r="BD564" s="407">
        <v>0</v>
      </c>
      <c r="BE564" s="407">
        <v>0</v>
      </c>
      <c r="BF564" s="407">
        <v>0</v>
      </c>
      <c r="BG564" s="407">
        <v>272.83688492382583</v>
      </c>
      <c r="BH564" s="407">
        <v>0</v>
      </c>
      <c r="BI564" s="407">
        <v>0</v>
      </c>
      <c r="BJ564" s="407">
        <v>0</v>
      </c>
      <c r="BK564" s="407">
        <v>0</v>
      </c>
      <c r="BL564" s="407">
        <v>0</v>
      </c>
      <c r="BM564" s="407"/>
      <c r="BN564" s="407"/>
      <c r="BO564" s="407"/>
      <c r="BP564" s="407"/>
      <c r="BQ564" s="407"/>
      <c r="BR564" s="407">
        <v>582.29742440000007</v>
      </c>
      <c r="BS564" s="407"/>
      <c r="BT564" s="407"/>
      <c r="BU564" s="407"/>
      <c r="BV564" s="407">
        <v>8380.8998932486775</v>
      </c>
      <c r="BW564" s="407"/>
      <c r="BX564" s="407"/>
      <c r="BY564" s="407"/>
      <c r="BZ564" s="407"/>
      <c r="CA564" s="407"/>
      <c r="CB564" s="407"/>
      <c r="CC564" s="407"/>
      <c r="CD564" s="407"/>
      <c r="CE564" s="407"/>
      <c r="CF564" s="407"/>
      <c r="CG564" s="407"/>
      <c r="CH564" s="407"/>
      <c r="CI564" s="407">
        <v>13975.6477</v>
      </c>
      <c r="CJ564" s="407">
        <v>1121.3773479999982</v>
      </c>
      <c r="CK564" s="407"/>
      <c r="CL564" s="407"/>
      <c r="CM564" s="407"/>
      <c r="CN564" s="407"/>
      <c r="CO564" s="407">
        <v>-276.52346000000028</v>
      </c>
      <c r="CP564" s="407">
        <v>1444.12537</v>
      </c>
      <c r="CQ564" s="407">
        <v>31</v>
      </c>
      <c r="CR564" s="407">
        <v>1167.4357440870062</v>
      </c>
      <c r="CS564" s="407">
        <v>0</v>
      </c>
      <c r="CT564" s="407">
        <v>0</v>
      </c>
      <c r="CU564" s="407">
        <v>0</v>
      </c>
      <c r="CV564" s="407">
        <v>0</v>
      </c>
      <c r="CW564" s="407">
        <v>0</v>
      </c>
      <c r="CX564" s="407">
        <v>0</v>
      </c>
      <c r="CY564" s="407">
        <v>0</v>
      </c>
      <c r="CZ564" s="407">
        <v>0</v>
      </c>
      <c r="DA564" s="407">
        <v>0</v>
      </c>
      <c r="DB564" s="407">
        <v>0</v>
      </c>
      <c r="DC564" s="407">
        <v>1607.6099375725771</v>
      </c>
      <c r="DD564" s="407">
        <v>0</v>
      </c>
      <c r="DE564" s="407">
        <v>0</v>
      </c>
      <c r="DF564" s="407">
        <v>0</v>
      </c>
      <c r="DG564" s="407">
        <v>54.096186362827495</v>
      </c>
      <c r="DH564" s="407">
        <v>0</v>
      </c>
      <c r="DI564" s="407">
        <v>-198.52130115089903</v>
      </c>
      <c r="DJ564" s="407"/>
      <c r="DK564" s="407">
        <v>0</v>
      </c>
      <c r="DL564" s="407">
        <v>0</v>
      </c>
      <c r="DM564" s="407">
        <v>0</v>
      </c>
      <c r="DN564" s="407">
        <v>0</v>
      </c>
      <c r="DO564" s="407">
        <v>-30.71451855506092</v>
      </c>
      <c r="DP564" s="407">
        <v>-3.5966817124502128</v>
      </c>
      <c r="DQ564" s="407">
        <v>0</v>
      </c>
      <c r="DR564" s="407">
        <v>-261.43787842998927</v>
      </c>
      <c r="DS564" s="407"/>
      <c r="DT564" s="407"/>
      <c r="DU564" s="407"/>
      <c r="DV564" s="407">
        <v>0</v>
      </c>
      <c r="DW564" s="407">
        <v>0</v>
      </c>
      <c r="DX564" s="407">
        <v>0</v>
      </c>
      <c r="DY564" s="407">
        <v>-276.52346000000034</v>
      </c>
      <c r="DZ564" s="407">
        <v>1444.1253699999997</v>
      </c>
      <c r="EA564" s="407">
        <v>0</v>
      </c>
      <c r="EB564" s="407">
        <v>0</v>
      </c>
      <c r="EC564" s="407">
        <v>0</v>
      </c>
      <c r="ED564" s="407">
        <v>0</v>
      </c>
      <c r="EE564" s="407">
        <v>0</v>
      </c>
      <c r="EF564" s="407">
        <v>0</v>
      </c>
      <c r="EG564" s="407">
        <v>0</v>
      </c>
      <c r="EH564" s="407">
        <v>0</v>
      </c>
      <c r="EI564" s="407">
        <v>0</v>
      </c>
      <c r="EJ564" s="407">
        <v>0</v>
      </c>
      <c r="EK564" s="407">
        <v>0</v>
      </c>
      <c r="EL564" s="407">
        <v>0</v>
      </c>
      <c r="EM564" s="407">
        <v>0</v>
      </c>
      <c r="EN564" s="407">
        <v>0</v>
      </c>
      <c r="EO564" s="407">
        <v>0</v>
      </c>
      <c r="EP564" s="407">
        <v>1342.5662811566551</v>
      </c>
      <c r="EQ564" s="407">
        <v>0</v>
      </c>
      <c r="ER564" s="407">
        <v>0</v>
      </c>
      <c r="ES564" s="407">
        <v>0</v>
      </c>
      <c r="ET564" s="407">
        <v>0</v>
      </c>
      <c r="EU564" s="407">
        <v>0</v>
      </c>
      <c r="EV564" s="407">
        <v>246</v>
      </c>
      <c r="EW564" s="407">
        <v>0</v>
      </c>
      <c r="EX564" s="407">
        <v>0</v>
      </c>
      <c r="EY564" s="407">
        <v>0</v>
      </c>
      <c r="EZ564" s="407"/>
      <c r="FA564" s="407">
        <v>0</v>
      </c>
      <c r="FB564" s="407"/>
      <c r="FC564" s="407"/>
      <c r="FD564" s="407"/>
      <c r="FE564" s="407"/>
      <c r="FF564" s="407">
        <v>0</v>
      </c>
      <c r="FG564" s="407">
        <v>0</v>
      </c>
      <c r="FH564" s="407">
        <v>0</v>
      </c>
      <c r="FI564" s="407">
        <v>0</v>
      </c>
    </row>
    <row r="565" spans="1:165">
      <c r="A565" s="407">
        <v>587</v>
      </c>
      <c r="B565" s="407" t="s">
        <v>1090</v>
      </c>
      <c r="C565" s="407" t="s">
        <v>2314</v>
      </c>
      <c r="D565" s="407" t="s">
        <v>650</v>
      </c>
      <c r="E565" s="407" t="s">
        <v>1026</v>
      </c>
      <c r="F565" s="407" t="s">
        <v>2323</v>
      </c>
      <c r="G565" s="407" t="s">
        <v>97</v>
      </c>
      <c r="H565" s="407" t="s">
        <v>97</v>
      </c>
      <c r="I565" s="407" t="s">
        <v>97</v>
      </c>
      <c r="J565" s="407" t="s">
        <v>2307</v>
      </c>
      <c r="K565" s="818">
        <v>44621</v>
      </c>
      <c r="L565" s="407">
        <v>2755</v>
      </c>
      <c r="M565" s="407">
        <v>2644.8</v>
      </c>
      <c r="N565" s="407">
        <v>0</v>
      </c>
      <c r="O565" s="407">
        <v>0</v>
      </c>
      <c r="P565" s="407">
        <v>0</v>
      </c>
      <c r="Q565" s="407">
        <v>0</v>
      </c>
      <c r="R565" s="407">
        <v>43.29</v>
      </c>
      <c r="S565" s="407"/>
      <c r="T565" s="407"/>
      <c r="U565" s="407">
        <v>119263.95</v>
      </c>
      <c r="V565" s="407"/>
      <c r="W565" s="407">
        <v>119263.95</v>
      </c>
      <c r="X565" s="407">
        <v>92264.950000000012</v>
      </c>
      <c r="Y565" s="407">
        <v>0</v>
      </c>
      <c r="Z565" s="407">
        <v>0</v>
      </c>
      <c r="AA565" s="407">
        <v>0</v>
      </c>
      <c r="AB565" s="407">
        <v>0</v>
      </c>
      <c r="AC565" s="407">
        <v>0</v>
      </c>
      <c r="AD565" s="407">
        <v>65194.284621496692</v>
      </c>
      <c r="AE565" s="407">
        <v>54078.410472543757</v>
      </c>
      <c r="AF565" s="407"/>
      <c r="AG565" s="407"/>
      <c r="AH565" s="407"/>
      <c r="AI565" s="407">
        <v>0</v>
      </c>
      <c r="AJ565" s="407">
        <v>0</v>
      </c>
      <c r="AK565" s="407">
        <v>0</v>
      </c>
      <c r="AL565" s="407">
        <v>0</v>
      </c>
      <c r="AM565" s="407"/>
      <c r="AN565" s="407">
        <v>0</v>
      </c>
      <c r="AO565" s="407">
        <v>0</v>
      </c>
      <c r="AP565" s="407">
        <v>0</v>
      </c>
      <c r="AQ565" s="407">
        <v>0</v>
      </c>
      <c r="AR565" s="407">
        <v>0</v>
      </c>
      <c r="AS565" s="407"/>
      <c r="AT565" s="407"/>
      <c r="AU565" s="407">
        <v>0</v>
      </c>
      <c r="AV565" s="407">
        <v>0</v>
      </c>
      <c r="AW565" s="407">
        <v>0</v>
      </c>
      <c r="AX565" s="407"/>
      <c r="AY565" s="407"/>
      <c r="AZ565" s="407">
        <v>0</v>
      </c>
      <c r="BA565" s="407"/>
      <c r="BB565" s="407">
        <v>0</v>
      </c>
      <c r="BC565" s="407">
        <v>0</v>
      </c>
      <c r="BD565" s="407">
        <v>0</v>
      </c>
      <c r="BE565" s="407">
        <v>0</v>
      </c>
      <c r="BF565" s="407"/>
      <c r="BG565" s="407">
        <v>0</v>
      </c>
      <c r="BH565" s="407">
        <v>0</v>
      </c>
      <c r="BI565" s="407">
        <v>197.96</v>
      </c>
      <c r="BJ565" s="407">
        <v>854.65</v>
      </c>
      <c r="BK565" s="407">
        <v>262.25</v>
      </c>
      <c r="BL565" s="407">
        <v>42</v>
      </c>
      <c r="BM565" s="407"/>
      <c r="BN565" s="407"/>
      <c r="BO565" s="407"/>
      <c r="BP565" s="407"/>
      <c r="BQ565" s="407"/>
      <c r="BR565" s="407">
        <v>3690.597999999994</v>
      </c>
      <c r="BS565" s="407"/>
      <c r="BT565" s="407"/>
      <c r="BU565" s="407"/>
      <c r="BV565" s="407">
        <v>0</v>
      </c>
      <c r="BW565" s="407"/>
      <c r="BX565" s="407"/>
      <c r="BY565" s="407"/>
      <c r="BZ565" s="407"/>
      <c r="CA565" s="407"/>
      <c r="CB565" s="407"/>
      <c r="CC565" s="407"/>
      <c r="CD565" s="407"/>
      <c r="CE565" s="407"/>
      <c r="CF565" s="407"/>
      <c r="CG565" s="407"/>
      <c r="CH565" s="407"/>
      <c r="CI565" s="407">
        <v>88574.352000000014</v>
      </c>
      <c r="CJ565" s="407">
        <v>-25919.069999999978</v>
      </c>
      <c r="CK565" s="407"/>
      <c r="CL565" s="407"/>
      <c r="CM565" s="407"/>
      <c r="CN565" s="407"/>
      <c r="CO565" s="407">
        <v>-26998.999999999993</v>
      </c>
      <c r="CP565" s="407">
        <v>0</v>
      </c>
      <c r="CQ565" s="407">
        <v>31</v>
      </c>
      <c r="CR565" s="407">
        <v>616.18370006638725</v>
      </c>
      <c r="CS565" s="407">
        <v>0</v>
      </c>
      <c r="CT565" s="407">
        <v>0</v>
      </c>
      <c r="CU565" s="407">
        <v>0</v>
      </c>
      <c r="CV565" s="407">
        <v>0</v>
      </c>
      <c r="CW565" s="407"/>
      <c r="CX565" s="407"/>
      <c r="CY565" s="407"/>
      <c r="CZ565" s="407">
        <v>2944.9551042346357</v>
      </c>
      <c r="DA565" s="407">
        <v>0</v>
      </c>
      <c r="DB565" s="407">
        <v>0</v>
      </c>
      <c r="DC565" s="407"/>
      <c r="DD565" s="407"/>
      <c r="DE565" s="407">
        <v>0</v>
      </c>
      <c r="DF565" s="407">
        <v>0</v>
      </c>
      <c r="DG565" s="407">
        <v>0</v>
      </c>
      <c r="DH565" s="407">
        <v>0</v>
      </c>
      <c r="DI565" s="407">
        <v>0</v>
      </c>
      <c r="DJ565" s="407"/>
      <c r="DK565" s="407">
        <v>0</v>
      </c>
      <c r="DL565" s="407">
        <v>0</v>
      </c>
      <c r="DM565" s="407"/>
      <c r="DN565" s="407">
        <v>0</v>
      </c>
      <c r="DO565" s="407">
        <v>0</v>
      </c>
      <c r="DP565" s="407">
        <v>0</v>
      </c>
      <c r="DQ565" s="407">
        <v>0</v>
      </c>
      <c r="DR565" s="407">
        <v>-2328.7714041682452</v>
      </c>
      <c r="DS565" s="407"/>
      <c r="DT565" s="407"/>
      <c r="DU565" s="407">
        <v>54078.410472543757</v>
      </c>
      <c r="DV565" s="407"/>
      <c r="DW565" s="407">
        <v>0</v>
      </c>
      <c r="DX565" s="407">
        <v>0</v>
      </c>
      <c r="DY565" s="407">
        <v>-26998.999999999985</v>
      </c>
      <c r="DZ565" s="407"/>
      <c r="EA565" s="407">
        <v>0</v>
      </c>
      <c r="EB565" s="407"/>
      <c r="EC565" s="407">
        <v>-27623.377673154569</v>
      </c>
      <c r="ED565" s="407"/>
      <c r="EE565" s="407">
        <v>0</v>
      </c>
      <c r="EF565" s="407">
        <v>0</v>
      </c>
      <c r="EG565" s="407"/>
      <c r="EH565" s="407">
        <v>0</v>
      </c>
      <c r="EI565" s="407">
        <v>0</v>
      </c>
      <c r="EJ565" s="407">
        <v>0</v>
      </c>
      <c r="EK565" s="407">
        <v>0</v>
      </c>
      <c r="EL565" s="407">
        <v>0</v>
      </c>
      <c r="EM565" s="407"/>
      <c r="EN565" s="407"/>
      <c r="EO565" s="407">
        <v>0</v>
      </c>
      <c r="EP565" s="407">
        <v>0</v>
      </c>
      <c r="EQ565" s="407"/>
      <c r="ER565" s="407">
        <v>0</v>
      </c>
      <c r="ES565" s="407"/>
      <c r="ET565" s="407">
        <v>0</v>
      </c>
      <c r="EU565" s="407"/>
      <c r="EV565" s="407">
        <v>246</v>
      </c>
      <c r="EW565" s="407"/>
      <c r="EX565" s="407"/>
      <c r="EY565" s="407"/>
      <c r="EZ565" s="407"/>
      <c r="FA565" s="407">
        <v>0</v>
      </c>
      <c r="FB565" s="407"/>
      <c r="FC565" s="407"/>
      <c r="FD565" s="407"/>
      <c r="FE565" s="407"/>
      <c r="FF565" s="407">
        <v>0</v>
      </c>
      <c r="FG565" s="407">
        <v>0</v>
      </c>
      <c r="FH565" s="407">
        <v>0</v>
      </c>
      <c r="FI565" s="407">
        <v>0</v>
      </c>
    </row>
    <row r="566" spans="1:165">
      <c r="A566" s="407">
        <v>588</v>
      </c>
      <c r="B566" s="407" t="s">
        <v>2309</v>
      </c>
      <c r="C566" s="407" t="s">
        <v>2314</v>
      </c>
      <c r="D566" s="407" t="s">
        <v>650</v>
      </c>
      <c r="E566" s="407" t="s">
        <v>1026</v>
      </c>
      <c r="F566" s="407" t="s">
        <v>2323</v>
      </c>
      <c r="G566" s="407" t="s">
        <v>97</v>
      </c>
      <c r="H566" s="407" t="s">
        <v>97</v>
      </c>
      <c r="I566" s="407" t="s">
        <v>97</v>
      </c>
      <c r="J566" s="407" t="s">
        <v>2307</v>
      </c>
      <c r="K566" s="818">
        <v>44621</v>
      </c>
      <c r="L566" s="407">
        <v>110</v>
      </c>
      <c r="M566" s="407">
        <v>105.6</v>
      </c>
      <c r="N566" s="407">
        <v>0</v>
      </c>
      <c r="O566" s="407">
        <v>0</v>
      </c>
      <c r="P566" s="407">
        <v>0</v>
      </c>
      <c r="Q566" s="407">
        <v>0</v>
      </c>
      <c r="R566" s="407">
        <v>43.29</v>
      </c>
      <c r="S566" s="407"/>
      <c r="T566" s="407"/>
      <c r="U566" s="407">
        <v>4761.8999999999996</v>
      </c>
      <c r="V566" s="407"/>
      <c r="W566" s="407">
        <v>4761.8999999999996</v>
      </c>
      <c r="X566" s="407">
        <v>3683.9</v>
      </c>
      <c r="Y566" s="407">
        <v>0</v>
      </c>
      <c r="Z566" s="407">
        <v>0</v>
      </c>
      <c r="AA566" s="407">
        <v>0</v>
      </c>
      <c r="AB566" s="407">
        <v>0</v>
      </c>
      <c r="AC566" s="407">
        <v>0</v>
      </c>
      <c r="AD566" s="407">
        <v>2603.0385874281801</v>
      </c>
      <c r="AE566" s="407">
        <v>2159.210581480876</v>
      </c>
      <c r="AF566" s="407"/>
      <c r="AG566" s="407"/>
      <c r="AH566" s="407"/>
      <c r="AI566" s="407">
        <v>0</v>
      </c>
      <c r="AJ566" s="407">
        <v>0</v>
      </c>
      <c r="AK566" s="407">
        <v>0</v>
      </c>
      <c r="AL566" s="407">
        <v>0</v>
      </c>
      <c r="AM566" s="407"/>
      <c r="AN566" s="407">
        <v>0</v>
      </c>
      <c r="AO566" s="407">
        <v>0</v>
      </c>
      <c r="AP566" s="407">
        <v>0</v>
      </c>
      <c r="AQ566" s="407">
        <v>0</v>
      </c>
      <c r="AR566" s="407">
        <v>0</v>
      </c>
      <c r="AS566" s="407"/>
      <c r="AT566" s="407"/>
      <c r="AU566" s="407">
        <v>0</v>
      </c>
      <c r="AV566" s="407">
        <v>0</v>
      </c>
      <c r="AW566" s="407">
        <v>0</v>
      </c>
      <c r="AX566" s="407"/>
      <c r="AY566" s="407"/>
      <c r="AZ566" s="407">
        <v>0</v>
      </c>
      <c r="BA566" s="407"/>
      <c r="BB566" s="407">
        <v>0</v>
      </c>
      <c r="BC566" s="407">
        <v>0</v>
      </c>
      <c r="BD566" s="407">
        <v>0</v>
      </c>
      <c r="BE566" s="407">
        <v>0</v>
      </c>
      <c r="BF566" s="407"/>
      <c r="BG566" s="407">
        <v>0</v>
      </c>
      <c r="BH566" s="407">
        <v>0</v>
      </c>
      <c r="BI566" s="407">
        <v>22.36</v>
      </c>
      <c r="BJ566" s="407">
        <v>96.46</v>
      </c>
      <c r="BK566" s="407">
        <v>10.029999999999999</v>
      </c>
      <c r="BL566" s="407">
        <v>4</v>
      </c>
      <c r="BM566" s="407"/>
      <c r="BN566" s="407"/>
      <c r="BO566" s="407"/>
      <c r="BP566" s="407"/>
      <c r="BQ566" s="407"/>
      <c r="BR566" s="407">
        <v>147.35600000000019</v>
      </c>
      <c r="BS566" s="407"/>
      <c r="BT566" s="407"/>
      <c r="BU566" s="407"/>
      <c r="BV566" s="407">
        <v>0</v>
      </c>
      <c r="BW566" s="407"/>
      <c r="BX566" s="407"/>
      <c r="BY566" s="407"/>
      <c r="BZ566" s="407"/>
      <c r="CA566" s="407"/>
      <c r="CB566" s="407"/>
      <c r="CC566" s="407"/>
      <c r="CD566" s="407"/>
      <c r="CE566" s="407"/>
      <c r="CF566" s="407"/>
      <c r="CG566" s="407"/>
      <c r="CH566" s="407"/>
      <c r="CI566" s="407">
        <v>3536.5439999999999</v>
      </c>
      <c r="CJ566" s="407">
        <v>-1034.9100000000008</v>
      </c>
      <c r="CK566" s="407"/>
      <c r="CL566" s="407"/>
      <c r="CM566" s="407"/>
      <c r="CN566" s="407"/>
      <c r="CO566" s="407">
        <v>-1077.9999999999998</v>
      </c>
      <c r="CP566" s="407">
        <v>0</v>
      </c>
      <c r="CQ566" s="407">
        <v>31</v>
      </c>
      <c r="CR566" s="407">
        <v>24.602615973612956</v>
      </c>
      <c r="CS566" s="407">
        <v>0</v>
      </c>
      <c r="CT566" s="407">
        <v>0</v>
      </c>
      <c r="CU566" s="407">
        <v>0</v>
      </c>
      <c r="CV566" s="407">
        <v>0</v>
      </c>
      <c r="CW566" s="407"/>
      <c r="CX566" s="407"/>
      <c r="CY566" s="407"/>
      <c r="CZ566" s="407">
        <v>117.58441432515792</v>
      </c>
      <c r="DA566" s="407">
        <v>0</v>
      </c>
      <c r="DB566" s="407">
        <v>0</v>
      </c>
      <c r="DC566" s="407"/>
      <c r="DD566" s="407"/>
      <c r="DE566" s="407">
        <v>0</v>
      </c>
      <c r="DF566" s="407">
        <v>0</v>
      </c>
      <c r="DG566" s="407">
        <v>0</v>
      </c>
      <c r="DH566" s="407">
        <v>0</v>
      </c>
      <c r="DI566" s="407">
        <v>0</v>
      </c>
      <c r="DJ566" s="407"/>
      <c r="DK566" s="407">
        <v>0</v>
      </c>
      <c r="DL566" s="407">
        <v>0</v>
      </c>
      <c r="DM566" s="407"/>
      <c r="DN566" s="407">
        <v>0</v>
      </c>
      <c r="DO566" s="407">
        <v>0</v>
      </c>
      <c r="DP566" s="407">
        <v>0</v>
      </c>
      <c r="DQ566" s="407">
        <v>0</v>
      </c>
      <c r="DR566" s="407">
        <v>-92.98179835154518</v>
      </c>
      <c r="DS566" s="407"/>
      <c r="DT566" s="407"/>
      <c r="DU566" s="407">
        <v>2159.210581480876</v>
      </c>
      <c r="DV566" s="407"/>
      <c r="DW566" s="407">
        <v>0</v>
      </c>
      <c r="DX566" s="407">
        <v>0</v>
      </c>
      <c r="DY566" s="407">
        <v>-1077.9999999999995</v>
      </c>
      <c r="DZ566" s="407"/>
      <c r="EA566" s="407">
        <v>0</v>
      </c>
      <c r="EB566" s="407"/>
      <c r="EC566" s="407">
        <v>-1102.9297800533586</v>
      </c>
      <c r="ED566" s="407"/>
      <c r="EE566" s="407">
        <v>0</v>
      </c>
      <c r="EF566" s="407">
        <v>0</v>
      </c>
      <c r="EG566" s="407"/>
      <c r="EH566" s="407">
        <v>0</v>
      </c>
      <c r="EI566" s="407">
        <v>0</v>
      </c>
      <c r="EJ566" s="407">
        <v>0</v>
      </c>
      <c r="EK566" s="407">
        <v>0</v>
      </c>
      <c r="EL566" s="407">
        <v>0</v>
      </c>
      <c r="EM566" s="407"/>
      <c r="EN566" s="407"/>
      <c r="EO566" s="407">
        <v>0</v>
      </c>
      <c r="EP566" s="407">
        <v>0</v>
      </c>
      <c r="EQ566" s="407"/>
      <c r="ER566" s="407">
        <v>0</v>
      </c>
      <c r="ES566" s="407"/>
      <c r="ET566" s="407">
        <v>0</v>
      </c>
      <c r="EU566" s="407"/>
      <c r="EV566" s="407">
        <v>246</v>
      </c>
      <c r="EW566" s="407"/>
      <c r="EX566" s="407"/>
      <c r="EY566" s="407"/>
      <c r="EZ566" s="407"/>
      <c r="FA566" s="407">
        <v>0</v>
      </c>
      <c r="FB566" s="407"/>
      <c r="FC566" s="407"/>
      <c r="FD566" s="407"/>
      <c r="FE566" s="407"/>
      <c r="FF566" s="407">
        <v>0</v>
      </c>
      <c r="FG566" s="407">
        <v>0</v>
      </c>
      <c r="FH566" s="407">
        <v>0</v>
      </c>
      <c r="FI566" s="407">
        <v>0</v>
      </c>
    </row>
    <row r="567" spans="1:165">
      <c r="A567" s="407">
        <v>589</v>
      </c>
      <c r="B567" s="407" t="s">
        <v>1090</v>
      </c>
      <c r="C567" s="407" t="s">
        <v>2314</v>
      </c>
      <c r="D567" s="407" t="s">
        <v>650</v>
      </c>
      <c r="E567" s="407" t="s">
        <v>1026</v>
      </c>
      <c r="F567" s="407" t="s">
        <v>2323</v>
      </c>
      <c r="G567" s="407" t="s">
        <v>2325</v>
      </c>
      <c r="H567" s="407" t="s">
        <v>97</v>
      </c>
      <c r="I567" s="407" t="s">
        <v>2290</v>
      </c>
      <c r="J567" s="407" t="s">
        <v>2307</v>
      </c>
      <c r="K567" s="818">
        <v>44621</v>
      </c>
      <c r="L567" s="407">
        <v>0</v>
      </c>
      <c r="M567" s="407">
        <v>0</v>
      </c>
      <c r="N567" s="407">
        <v>40.887</v>
      </c>
      <c r="O567" s="407">
        <v>12.2661</v>
      </c>
      <c r="P567" s="407">
        <v>40.887</v>
      </c>
      <c r="Q567" s="407">
        <v>12.2661</v>
      </c>
      <c r="R567" s="407"/>
      <c r="S567" s="407">
        <v>95.29</v>
      </c>
      <c r="T567" s="407">
        <v>159.41</v>
      </c>
      <c r="U567" s="407"/>
      <c r="V567" s="407">
        <v>10413.918900000001</v>
      </c>
      <c r="W567" s="407">
        <v>10413.918900000001</v>
      </c>
      <c r="X567" s="407">
        <v>11322.01917</v>
      </c>
      <c r="Y567" s="407">
        <v>0</v>
      </c>
      <c r="Z567" s="407">
        <v>2204.3865446329019</v>
      </c>
      <c r="AA567" s="407">
        <v>0</v>
      </c>
      <c r="AB567" s="407">
        <v>0</v>
      </c>
      <c r="AC567" s="407">
        <v>0</v>
      </c>
      <c r="AD567" s="407">
        <v>0</v>
      </c>
      <c r="AE567" s="407">
        <v>0</v>
      </c>
      <c r="AF567" s="407">
        <v>6306.0313142488876</v>
      </c>
      <c r="AG567" s="407">
        <v>211.86609932463261</v>
      </c>
      <c r="AH567" s="407">
        <v>0</v>
      </c>
      <c r="AI567" s="407">
        <v>0</v>
      </c>
      <c r="AJ567" s="407">
        <v>0</v>
      </c>
      <c r="AK567" s="407">
        <v>0</v>
      </c>
      <c r="AL567" s="407">
        <v>391.53617512579348</v>
      </c>
      <c r="AM567" s="407"/>
      <c r="AN567" s="407">
        <v>43.901736863875861</v>
      </c>
      <c r="AO567" s="407">
        <v>0</v>
      </c>
      <c r="AP567" s="407">
        <v>0</v>
      </c>
      <c r="AQ567" s="407">
        <v>0</v>
      </c>
      <c r="AR567" s="407">
        <v>0</v>
      </c>
      <c r="AS567" s="407">
        <v>0</v>
      </c>
      <c r="AT567" s="407">
        <v>0</v>
      </c>
      <c r="AU567" s="407">
        <v>0</v>
      </c>
      <c r="AV567" s="407">
        <v>0</v>
      </c>
      <c r="AW567" s="407">
        <v>0</v>
      </c>
      <c r="AX567" s="407">
        <v>0</v>
      </c>
      <c r="AY567" s="407">
        <v>0</v>
      </c>
      <c r="AZ567" s="407">
        <v>0</v>
      </c>
      <c r="BA567" s="407"/>
      <c r="BB567" s="407">
        <v>0</v>
      </c>
      <c r="BC567" s="407">
        <v>0</v>
      </c>
      <c r="BD567" s="407">
        <v>0</v>
      </c>
      <c r="BE567" s="407">
        <v>0</v>
      </c>
      <c r="BF567" s="407">
        <v>0</v>
      </c>
      <c r="BG567" s="407">
        <v>212.19839291397284</v>
      </c>
      <c r="BH567" s="407">
        <v>0</v>
      </c>
      <c r="BI567" s="407">
        <v>0</v>
      </c>
      <c r="BJ567" s="407">
        <v>0</v>
      </c>
      <c r="BK567" s="407">
        <v>0</v>
      </c>
      <c r="BL567" s="407">
        <v>0</v>
      </c>
      <c r="BM567" s="407"/>
      <c r="BN567" s="407"/>
      <c r="BO567" s="407"/>
      <c r="BP567" s="407"/>
      <c r="BQ567" s="407"/>
      <c r="BR567" s="407"/>
      <c r="BS567" s="407">
        <v>7925.4134189999995</v>
      </c>
      <c r="BT567" s="407"/>
      <c r="BU567" s="407"/>
      <c r="BV567" s="407">
        <v>6518.22970716286</v>
      </c>
      <c r="BW567" s="407"/>
      <c r="BX567" s="407"/>
      <c r="BY567" s="407"/>
      <c r="BZ567" s="407"/>
      <c r="CA567" s="407"/>
      <c r="CB567" s="407"/>
      <c r="CC567" s="407"/>
      <c r="CD567" s="407"/>
      <c r="CE567" s="407"/>
      <c r="CF567" s="407"/>
      <c r="CG567" s="407"/>
      <c r="CH567" s="407"/>
      <c r="CI567" s="407">
        <v>3397.6856999999995</v>
      </c>
      <c r="CJ567" s="407">
        <v>273.48002999999926</v>
      </c>
      <c r="CK567" s="407"/>
      <c r="CL567" s="407"/>
      <c r="CM567" s="407"/>
      <c r="CN567" s="407"/>
      <c r="CO567" s="407">
        <v>-215.06562000000022</v>
      </c>
      <c r="CP567" s="407">
        <v>1123.16589</v>
      </c>
      <c r="CQ567" s="407">
        <v>31</v>
      </c>
      <c r="CR567" s="407">
        <v>907.9710347622331</v>
      </c>
      <c r="CS567" s="407">
        <v>0</v>
      </c>
      <c r="CT567" s="407">
        <v>0</v>
      </c>
      <c r="CU567" s="407">
        <v>0</v>
      </c>
      <c r="CV567" s="407">
        <v>0</v>
      </c>
      <c r="CW567" s="407">
        <v>0</v>
      </c>
      <c r="CX567" s="407">
        <v>0</v>
      </c>
      <c r="CY567" s="407">
        <v>0</v>
      </c>
      <c r="CZ567" s="407">
        <v>0</v>
      </c>
      <c r="DA567" s="407">
        <v>0</v>
      </c>
      <c r="DB567" s="407">
        <v>0</v>
      </c>
      <c r="DC567" s="407">
        <v>1250.3157162224406</v>
      </c>
      <c r="DD567" s="407">
        <v>0</v>
      </c>
      <c r="DE567" s="407">
        <v>0</v>
      </c>
      <c r="DF567" s="407">
        <v>0</v>
      </c>
      <c r="DG567" s="407">
        <v>42.073210930302423</v>
      </c>
      <c r="DH567" s="407">
        <v>0</v>
      </c>
      <c r="DI567" s="407">
        <v>-154.3995822821862</v>
      </c>
      <c r="DJ567" s="407"/>
      <c r="DK567" s="407">
        <v>0</v>
      </c>
      <c r="DL567" s="407">
        <v>0</v>
      </c>
      <c r="DM567" s="407">
        <v>0</v>
      </c>
      <c r="DN567" s="407">
        <v>0</v>
      </c>
      <c r="DO567" s="407">
        <v>-23.888161156545891</v>
      </c>
      <c r="DP567" s="407">
        <v>-2.797312685262817</v>
      </c>
      <c r="DQ567" s="407">
        <v>0</v>
      </c>
      <c r="DR567" s="407">
        <v>-203.33283626651524</v>
      </c>
      <c r="DS567" s="407"/>
      <c r="DT567" s="407"/>
      <c r="DU567" s="407"/>
      <c r="DV567" s="407">
        <v>0</v>
      </c>
      <c r="DW567" s="407">
        <v>0</v>
      </c>
      <c r="DX567" s="407">
        <v>0</v>
      </c>
      <c r="DY567" s="407">
        <v>-215.06562000000031</v>
      </c>
      <c r="DZ567" s="407">
        <v>1123.1658900000002</v>
      </c>
      <c r="EA567" s="407">
        <v>0</v>
      </c>
      <c r="EB567" s="407">
        <v>0</v>
      </c>
      <c r="EC567" s="407">
        <v>0</v>
      </c>
      <c r="ED567" s="407">
        <v>0</v>
      </c>
      <c r="EE567" s="407">
        <v>0</v>
      </c>
      <c r="EF567" s="407">
        <v>0</v>
      </c>
      <c r="EG567" s="407">
        <v>0</v>
      </c>
      <c r="EH567" s="407">
        <v>0</v>
      </c>
      <c r="EI567" s="407">
        <v>0</v>
      </c>
      <c r="EJ567" s="407">
        <v>0</v>
      </c>
      <c r="EK567" s="407">
        <v>0</v>
      </c>
      <c r="EL567" s="407">
        <v>0</v>
      </c>
      <c r="EM567" s="407">
        <v>0</v>
      </c>
      <c r="EN567" s="407">
        <v>0</v>
      </c>
      <c r="EO567" s="407">
        <v>0</v>
      </c>
      <c r="EP567" s="407">
        <v>1044.1784926604432</v>
      </c>
      <c r="EQ567" s="407">
        <v>0</v>
      </c>
      <c r="ER567" s="407">
        <v>0</v>
      </c>
      <c r="ES567" s="407">
        <v>0</v>
      </c>
      <c r="ET567" s="407">
        <v>0</v>
      </c>
      <c r="EU567" s="407">
        <v>0</v>
      </c>
      <c r="EV567" s="407">
        <v>246</v>
      </c>
      <c r="EW567" s="407">
        <v>0</v>
      </c>
      <c r="EX567" s="407">
        <v>0</v>
      </c>
      <c r="EY567" s="407">
        <v>0</v>
      </c>
      <c r="EZ567" s="407"/>
      <c r="FA567" s="407">
        <v>0</v>
      </c>
      <c r="FB567" s="407"/>
      <c r="FC567" s="407"/>
      <c r="FD567" s="407"/>
      <c r="FE567" s="407"/>
      <c r="FF567" s="407">
        <v>0</v>
      </c>
      <c r="FG567" s="407">
        <v>0</v>
      </c>
      <c r="FH567" s="407">
        <v>0</v>
      </c>
      <c r="FI567" s="407">
        <v>0</v>
      </c>
    </row>
    <row r="568" spans="1:165">
      <c r="A568" s="407">
        <v>591</v>
      </c>
      <c r="B568" s="407" t="s">
        <v>1090</v>
      </c>
      <c r="C568" s="407" t="s">
        <v>2306</v>
      </c>
      <c r="D568" s="407" t="s">
        <v>2315</v>
      </c>
      <c r="E568" s="407" t="s">
        <v>1026</v>
      </c>
      <c r="F568" s="407" t="s">
        <v>2326</v>
      </c>
      <c r="G568" s="407" t="s">
        <v>2324</v>
      </c>
      <c r="H568" s="407" t="s">
        <v>97</v>
      </c>
      <c r="I568" s="407" t="s">
        <v>97</v>
      </c>
      <c r="J568" s="407" t="s">
        <v>2307</v>
      </c>
      <c r="K568" s="818">
        <v>44621</v>
      </c>
      <c r="L568" s="407">
        <v>0</v>
      </c>
      <c r="M568" s="407">
        <v>0</v>
      </c>
      <c r="N568" s="407">
        <v>0</v>
      </c>
      <c r="O568" s="407">
        <v>0</v>
      </c>
      <c r="P568" s="407">
        <v>0</v>
      </c>
      <c r="Q568" s="407">
        <v>0</v>
      </c>
      <c r="R568" s="407"/>
      <c r="S568" s="407"/>
      <c r="T568" s="407"/>
      <c r="U568" s="407"/>
      <c r="V568" s="407"/>
      <c r="W568" s="407"/>
      <c r="X568" s="407"/>
      <c r="Y568" s="407"/>
      <c r="Z568" s="407"/>
      <c r="AA568" s="407">
        <v>0</v>
      </c>
      <c r="AB568" s="407"/>
      <c r="AC568" s="407"/>
      <c r="AD568" s="407"/>
      <c r="AE568" s="407"/>
      <c r="AF568" s="407"/>
      <c r="AG568" s="407"/>
      <c r="AH568" s="407"/>
      <c r="AI568" s="407"/>
      <c r="AJ568" s="407"/>
      <c r="AK568" s="407"/>
      <c r="AL568" s="407"/>
      <c r="AM568" s="407"/>
      <c r="AN568" s="407"/>
      <c r="AO568" s="407"/>
      <c r="AP568" s="407"/>
      <c r="AQ568" s="407"/>
      <c r="AR568" s="407"/>
      <c r="AS568" s="407"/>
      <c r="AT568" s="407"/>
      <c r="AU568" s="407"/>
      <c r="AV568" s="407"/>
      <c r="AW568" s="407"/>
      <c r="AX568" s="407"/>
      <c r="AY568" s="407"/>
      <c r="AZ568" s="407">
        <v>0</v>
      </c>
      <c r="BA568" s="407"/>
      <c r="BB568" s="407"/>
      <c r="BC568" s="407"/>
      <c r="BD568" s="407"/>
      <c r="BE568" s="407"/>
      <c r="BF568" s="407"/>
      <c r="BG568" s="407"/>
      <c r="BH568" s="407"/>
      <c r="BI568" s="407">
        <v>13.42</v>
      </c>
      <c r="BJ568" s="407">
        <v>58.01</v>
      </c>
      <c r="BK568" s="407">
        <v>46.62</v>
      </c>
      <c r="BL568" s="407">
        <v>5</v>
      </c>
      <c r="BM568" s="407"/>
      <c r="BN568" s="407"/>
      <c r="BO568" s="407"/>
      <c r="BP568" s="407"/>
      <c r="BQ568" s="407"/>
      <c r="BR568" s="407"/>
      <c r="BS568" s="407"/>
      <c r="BT568" s="407"/>
      <c r="BU568" s="407"/>
      <c r="BV568" s="407"/>
      <c r="BW568" s="407"/>
      <c r="BX568" s="407"/>
      <c r="BY568" s="407"/>
      <c r="BZ568" s="407"/>
      <c r="CA568" s="407"/>
      <c r="CB568" s="407"/>
      <c r="CC568" s="407"/>
      <c r="CD568" s="407"/>
      <c r="CE568" s="407"/>
      <c r="CF568" s="407"/>
      <c r="CG568" s="407"/>
      <c r="CH568" s="407"/>
      <c r="CI568" s="407"/>
      <c r="CJ568" s="407">
        <v>-0.03</v>
      </c>
      <c r="CK568" s="407"/>
      <c r="CL568" s="407"/>
      <c r="CM568" s="407"/>
      <c r="CN568" s="407"/>
      <c r="CO568" s="407">
        <v>0</v>
      </c>
      <c r="CP568" s="407">
        <v>0</v>
      </c>
      <c r="CQ568" s="407">
        <v>31</v>
      </c>
      <c r="CR568" s="407"/>
      <c r="CS568" s="407"/>
      <c r="CT568" s="407"/>
      <c r="CU568" s="407"/>
      <c r="CV568" s="407"/>
      <c r="CW568" s="407"/>
      <c r="CX568" s="407"/>
      <c r="CY568" s="407"/>
      <c r="CZ568" s="407"/>
      <c r="DA568" s="407"/>
      <c r="DB568" s="407"/>
      <c r="DC568" s="407"/>
      <c r="DD568" s="407"/>
      <c r="DE568" s="407"/>
      <c r="DF568" s="407"/>
      <c r="DG568" s="407"/>
      <c r="DH568" s="407"/>
      <c r="DI568" s="407"/>
      <c r="DJ568" s="407"/>
      <c r="DK568" s="407">
        <v>0</v>
      </c>
      <c r="DL568" s="407"/>
      <c r="DM568" s="407"/>
      <c r="DN568" s="407"/>
      <c r="DO568" s="407"/>
      <c r="DP568" s="407"/>
      <c r="DQ568" s="407"/>
      <c r="DR568" s="407"/>
      <c r="DS568" s="407"/>
      <c r="DT568" s="407"/>
      <c r="DU568" s="407"/>
      <c r="DV568" s="407"/>
      <c r="DW568" s="407"/>
      <c r="DX568" s="407"/>
      <c r="DY568" s="407"/>
      <c r="DZ568" s="407"/>
      <c r="EA568" s="407"/>
      <c r="EB568" s="407"/>
      <c r="EC568" s="407"/>
      <c r="ED568" s="407"/>
      <c r="EE568" s="407"/>
      <c r="EF568" s="407"/>
      <c r="EG568" s="407"/>
      <c r="EH568" s="407"/>
      <c r="EI568" s="407"/>
      <c r="EJ568" s="407"/>
      <c r="EK568" s="407"/>
      <c r="EL568" s="407"/>
      <c r="EM568" s="407"/>
      <c r="EN568" s="407"/>
      <c r="EO568" s="407"/>
      <c r="EP568" s="407"/>
      <c r="EQ568" s="407"/>
      <c r="ER568" s="407"/>
      <c r="ES568" s="407"/>
      <c r="ET568" s="407"/>
      <c r="EU568" s="407"/>
      <c r="EV568" s="407">
        <v>246</v>
      </c>
      <c r="EW568" s="407"/>
      <c r="EX568" s="407"/>
      <c r="EY568" s="407"/>
      <c r="EZ568" s="407"/>
      <c r="FA568" s="407">
        <v>0</v>
      </c>
      <c r="FB568" s="407"/>
      <c r="FC568" s="407"/>
      <c r="FD568" s="407"/>
      <c r="FE568" s="407"/>
      <c r="FF568" s="407">
        <v>0</v>
      </c>
      <c r="FG568" s="407">
        <v>0</v>
      </c>
      <c r="FH568" s="407">
        <v>0</v>
      </c>
      <c r="FI568" s="407">
        <v>0</v>
      </c>
    </row>
    <row r="569" spans="1:165">
      <c r="A569" s="407">
        <v>592</v>
      </c>
      <c r="B569" s="407" t="s">
        <v>1090</v>
      </c>
      <c r="C569" s="407" t="s">
        <v>2306</v>
      </c>
      <c r="D569" s="407" t="s">
        <v>2315</v>
      </c>
      <c r="E569" s="407" t="s">
        <v>1026</v>
      </c>
      <c r="F569" s="407" t="s">
        <v>2326</v>
      </c>
      <c r="G569" s="407" t="s">
        <v>2324</v>
      </c>
      <c r="H569" s="407" t="s">
        <v>97</v>
      </c>
      <c r="I569" s="407" t="s">
        <v>97</v>
      </c>
      <c r="J569" s="407" t="s">
        <v>2307</v>
      </c>
      <c r="K569" s="818">
        <v>44621</v>
      </c>
      <c r="L569" s="407">
        <v>0</v>
      </c>
      <c r="M569" s="407">
        <v>0</v>
      </c>
      <c r="N569" s="407">
        <v>8.4990000000000006</v>
      </c>
      <c r="O569" s="407">
        <v>8.4990000000000006</v>
      </c>
      <c r="P569" s="407">
        <v>8.4990000000000006</v>
      </c>
      <c r="Q569" s="407">
        <v>8.4990000000000006</v>
      </c>
      <c r="R569" s="407"/>
      <c r="S569" s="407">
        <v>648.44000000000005</v>
      </c>
      <c r="T569" s="407">
        <v>159.41</v>
      </c>
      <c r="U569" s="407"/>
      <c r="V569" s="407">
        <v>6865.9171500000011</v>
      </c>
      <c r="W569" s="407">
        <v>6865.9171500000011</v>
      </c>
      <c r="X569" s="407">
        <v>5199.8581800000002</v>
      </c>
      <c r="Y569" s="407">
        <v>0</v>
      </c>
      <c r="Z569" s="407">
        <v>526.68516010442704</v>
      </c>
      <c r="AA569" s="407">
        <v>0</v>
      </c>
      <c r="AB569" s="407">
        <v>0</v>
      </c>
      <c r="AC569" s="407">
        <v>0</v>
      </c>
      <c r="AD569" s="407">
        <v>991.36097837507418</v>
      </c>
      <c r="AE569" s="407">
        <v>3548.7233756993678</v>
      </c>
      <c r="AF569" s="407">
        <v>1310.8068613447133</v>
      </c>
      <c r="AG569" s="407">
        <v>44.039669776702929</v>
      </c>
      <c r="AH569" s="407">
        <v>0</v>
      </c>
      <c r="AI569" s="407">
        <v>0</v>
      </c>
      <c r="AJ569" s="407">
        <v>0</v>
      </c>
      <c r="AK569" s="407">
        <v>0</v>
      </c>
      <c r="AL569" s="407">
        <v>81.386894425957379</v>
      </c>
      <c r="AM569" s="407"/>
      <c r="AN569" s="407">
        <v>17.63623784842558</v>
      </c>
      <c r="AO569" s="407">
        <v>0</v>
      </c>
      <c r="AP569" s="407">
        <v>0</v>
      </c>
      <c r="AQ569" s="407">
        <v>0</v>
      </c>
      <c r="AR569" s="407">
        <v>0</v>
      </c>
      <c r="AS569" s="407">
        <v>0</v>
      </c>
      <c r="AT569" s="407">
        <v>0</v>
      </c>
      <c r="AU569" s="407">
        <v>0</v>
      </c>
      <c r="AV569" s="407">
        <v>0</v>
      </c>
      <c r="AW569" s="407">
        <v>0</v>
      </c>
      <c r="AX569" s="407">
        <v>0</v>
      </c>
      <c r="AY569" s="407">
        <v>0</v>
      </c>
      <c r="AZ569" s="407">
        <v>0</v>
      </c>
      <c r="BA569" s="407"/>
      <c r="BB569" s="407">
        <v>0</v>
      </c>
      <c r="BC569" s="407">
        <v>0</v>
      </c>
      <c r="BD569" s="407">
        <v>0</v>
      </c>
      <c r="BE569" s="407">
        <v>0</v>
      </c>
      <c r="BF569" s="407">
        <v>0</v>
      </c>
      <c r="BG569" s="407">
        <v>95.815795847313566</v>
      </c>
      <c r="BH569" s="407">
        <v>0</v>
      </c>
      <c r="BI569" s="407">
        <v>0</v>
      </c>
      <c r="BJ569" s="407">
        <v>0</v>
      </c>
      <c r="BK569" s="407">
        <v>0</v>
      </c>
      <c r="BL569" s="407">
        <v>0</v>
      </c>
      <c r="BM569" s="407"/>
      <c r="BN569" s="407"/>
      <c r="BO569" s="407"/>
      <c r="BP569" s="407"/>
      <c r="BQ569" s="407"/>
      <c r="BR569" s="407">
        <v>623.99658000000022</v>
      </c>
      <c r="BS569" s="407"/>
      <c r="BT569" s="407"/>
      <c r="BU569" s="407"/>
      <c r="BV569" s="407">
        <v>1406.622657192027</v>
      </c>
      <c r="BW569" s="407"/>
      <c r="BX569" s="407"/>
      <c r="BY569" s="407"/>
      <c r="BZ569" s="407"/>
      <c r="CA569" s="407"/>
      <c r="CB569" s="407"/>
      <c r="CC569" s="407"/>
      <c r="CD569" s="407"/>
      <c r="CE569" s="407"/>
      <c r="CF569" s="407"/>
      <c r="CG569" s="407"/>
      <c r="CH569" s="407"/>
      <c r="CI569" s="407">
        <v>4576.3999999999996</v>
      </c>
      <c r="CJ569" s="407">
        <v>-1465.6540900000018</v>
      </c>
      <c r="CK569" s="407"/>
      <c r="CL569" s="407"/>
      <c r="CM569" s="407"/>
      <c r="CN569" s="407"/>
      <c r="CO569" s="407">
        <v>-1899.5265000000006</v>
      </c>
      <c r="CP569" s="407">
        <v>233.46753000000001</v>
      </c>
      <c r="CQ569" s="407">
        <v>31</v>
      </c>
      <c r="CR569" s="407">
        <v>146.64189911508083</v>
      </c>
      <c r="CS569" s="407">
        <v>0</v>
      </c>
      <c r="CT569" s="407">
        <v>0</v>
      </c>
      <c r="CU569" s="407">
        <v>0</v>
      </c>
      <c r="CV569" s="407">
        <v>0</v>
      </c>
      <c r="CW569" s="407">
        <v>0</v>
      </c>
      <c r="CX569" s="407">
        <v>0</v>
      </c>
      <c r="CY569" s="407">
        <v>0</v>
      </c>
      <c r="CZ569" s="407">
        <v>44.781741073697731</v>
      </c>
      <c r="DA569" s="407">
        <v>0</v>
      </c>
      <c r="DB569" s="407">
        <v>0</v>
      </c>
      <c r="DC569" s="407">
        <v>259.89760246959986</v>
      </c>
      <c r="DD569" s="407">
        <v>0</v>
      </c>
      <c r="DE569" s="407">
        <v>0</v>
      </c>
      <c r="DF569" s="407">
        <v>0</v>
      </c>
      <c r="DG569" s="407">
        <v>18.997684825884349</v>
      </c>
      <c r="DH569" s="407">
        <v>0</v>
      </c>
      <c r="DI569" s="407">
        <v>-36.890067630081489</v>
      </c>
      <c r="DJ569" s="407"/>
      <c r="DK569" s="407">
        <v>0</v>
      </c>
      <c r="DL569" s="407">
        <v>0</v>
      </c>
      <c r="DM569" s="407">
        <v>0</v>
      </c>
      <c r="DN569" s="407">
        <v>0</v>
      </c>
      <c r="DO569" s="407">
        <v>-4.9655264917818442</v>
      </c>
      <c r="DP569" s="407">
        <v>-1.1237384982440268</v>
      </c>
      <c r="DQ569" s="407">
        <v>0</v>
      </c>
      <c r="DR569" s="407">
        <v>-134.05579663399405</v>
      </c>
      <c r="DS569" s="407"/>
      <c r="DT569" s="407"/>
      <c r="DU569" s="407"/>
      <c r="DV569" s="407">
        <v>3548.7233756993678</v>
      </c>
      <c r="DW569" s="407">
        <v>0</v>
      </c>
      <c r="DX569" s="407">
        <v>0</v>
      </c>
      <c r="DY569" s="407">
        <v>-1899.5265000000004</v>
      </c>
      <c r="DZ569" s="407">
        <v>233.4675299999999</v>
      </c>
      <c r="EA569" s="407">
        <v>0</v>
      </c>
      <c r="EB569" s="407">
        <v>0</v>
      </c>
      <c r="EC569" s="407">
        <v>-1812.6961426550306</v>
      </c>
      <c r="ED569" s="407">
        <v>0</v>
      </c>
      <c r="EE569" s="407">
        <v>0</v>
      </c>
      <c r="EF569" s="407">
        <v>0</v>
      </c>
      <c r="EG569" s="407">
        <v>0</v>
      </c>
      <c r="EH569" s="407">
        <v>0</v>
      </c>
      <c r="EI569" s="407">
        <v>0</v>
      </c>
      <c r="EJ569" s="407">
        <v>0</v>
      </c>
      <c r="EK569" s="407">
        <v>0</v>
      </c>
      <c r="EL569" s="407">
        <v>0</v>
      </c>
      <c r="EM569" s="407">
        <v>0</v>
      </c>
      <c r="EN569" s="407">
        <v>0</v>
      </c>
      <c r="EO569" s="407">
        <v>0</v>
      </c>
      <c r="EP569" s="407">
        <v>249.4813434256599</v>
      </c>
      <c r="EQ569" s="407">
        <v>0</v>
      </c>
      <c r="ER569" s="407">
        <v>0</v>
      </c>
      <c r="ES569" s="407">
        <v>0</v>
      </c>
      <c r="ET569" s="407">
        <v>0</v>
      </c>
      <c r="EU569" s="407">
        <v>0</v>
      </c>
      <c r="EV569" s="407">
        <v>246</v>
      </c>
      <c r="EW569" s="407">
        <v>0</v>
      </c>
      <c r="EX569" s="407">
        <v>0</v>
      </c>
      <c r="EY569" s="407">
        <v>0</v>
      </c>
      <c r="EZ569" s="407"/>
      <c r="FA569" s="407">
        <v>0</v>
      </c>
      <c r="FB569" s="407"/>
      <c r="FC569" s="407"/>
      <c r="FD569" s="407"/>
      <c r="FE569" s="407"/>
      <c r="FF569" s="407">
        <v>0</v>
      </c>
      <c r="FG569" s="407">
        <v>0</v>
      </c>
      <c r="FH569" s="407">
        <v>0</v>
      </c>
      <c r="FI569" s="407">
        <v>0</v>
      </c>
    </row>
    <row r="570" spans="1:165">
      <c r="A570" s="407">
        <v>593</v>
      </c>
      <c r="B570" s="407" t="s">
        <v>1090</v>
      </c>
      <c r="C570" s="407" t="s">
        <v>2306</v>
      </c>
      <c r="D570" s="407" t="s">
        <v>2315</v>
      </c>
      <c r="E570" s="407" t="s">
        <v>1026</v>
      </c>
      <c r="F570" s="407" t="s">
        <v>2326</v>
      </c>
      <c r="G570" s="407" t="s">
        <v>2325</v>
      </c>
      <c r="H570" s="407" t="s">
        <v>97</v>
      </c>
      <c r="I570" s="407" t="s">
        <v>97</v>
      </c>
      <c r="J570" s="407" t="s">
        <v>2307</v>
      </c>
      <c r="K570" s="818">
        <v>44621</v>
      </c>
      <c r="L570" s="407">
        <v>0</v>
      </c>
      <c r="M570" s="407">
        <v>0</v>
      </c>
      <c r="N570" s="407">
        <v>9.3729999999999993</v>
      </c>
      <c r="O570" s="407">
        <v>3.7492000000000001</v>
      </c>
      <c r="P570" s="407">
        <v>9.3729999999999993</v>
      </c>
      <c r="Q570" s="407">
        <v>3.7492000000000001</v>
      </c>
      <c r="R570" s="407"/>
      <c r="S570" s="407">
        <v>648.44000000000005</v>
      </c>
      <c r="T570" s="407">
        <v>159.41</v>
      </c>
      <c r="U570" s="407"/>
      <c r="V570" s="407">
        <v>7571.9780499999997</v>
      </c>
      <c r="W570" s="407">
        <v>7571.9780499999997</v>
      </c>
      <c r="X570" s="407">
        <v>5734.5888599999998</v>
      </c>
      <c r="Y570" s="407">
        <v>0</v>
      </c>
      <c r="Z570" s="407">
        <v>580.84715915505274</v>
      </c>
      <c r="AA570" s="407">
        <v>0</v>
      </c>
      <c r="AB570" s="407">
        <v>0</v>
      </c>
      <c r="AC570" s="407">
        <v>0</v>
      </c>
      <c r="AD570" s="407">
        <v>1093.3082068842887</v>
      </c>
      <c r="AE570" s="407">
        <v>3913.6585716472728</v>
      </c>
      <c r="AF570" s="407">
        <v>1445.6045077519705</v>
      </c>
      <c r="AG570" s="407">
        <v>48.568516862811684</v>
      </c>
      <c r="AH570" s="407">
        <v>0</v>
      </c>
      <c r="AI570" s="407">
        <v>0</v>
      </c>
      <c r="AJ570" s="407">
        <v>0</v>
      </c>
      <c r="AK570" s="407">
        <v>0</v>
      </c>
      <c r="AL570" s="407">
        <v>89.75636680250598</v>
      </c>
      <c r="AM570" s="407"/>
      <c r="AN570" s="407">
        <v>19.449871438203665</v>
      </c>
      <c r="AO570" s="407">
        <v>0</v>
      </c>
      <c r="AP570" s="407">
        <v>0</v>
      </c>
      <c r="AQ570" s="407">
        <v>0</v>
      </c>
      <c r="AR570" s="407">
        <v>0</v>
      </c>
      <c r="AS570" s="407">
        <v>0</v>
      </c>
      <c r="AT570" s="407">
        <v>0</v>
      </c>
      <c r="AU570" s="407">
        <v>0</v>
      </c>
      <c r="AV570" s="407">
        <v>0</v>
      </c>
      <c r="AW570" s="407">
        <v>0</v>
      </c>
      <c r="AX570" s="407">
        <v>0</v>
      </c>
      <c r="AY570" s="407">
        <v>0</v>
      </c>
      <c r="AZ570" s="407">
        <v>0</v>
      </c>
      <c r="BA570" s="407"/>
      <c r="BB570" s="407">
        <v>0</v>
      </c>
      <c r="BC570" s="407">
        <v>0</v>
      </c>
      <c r="BD570" s="407">
        <v>0</v>
      </c>
      <c r="BE570" s="407">
        <v>0</v>
      </c>
      <c r="BF570" s="407">
        <v>0</v>
      </c>
      <c r="BG570" s="407">
        <v>105.66907335885044</v>
      </c>
      <c r="BH570" s="407">
        <v>0</v>
      </c>
      <c r="BI570" s="407">
        <v>0</v>
      </c>
      <c r="BJ570" s="407">
        <v>0</v>
      </c>
      <c r="BK570" s="407">
        <v>0</v>
      </c>
      <c r="BL570" s="407">
        <v>0</v>
      </c>
      <c r="BM570" s="407"/>
      <c r="BN570" s="407"/>
      <c r="BO570" s="407"/>
      <c r="BP570" s="407"/>
      <c r="BQ570" s="407"/>
      <c r="BR570" s="407"/>
      <c r="BS570" s="407">
        <v>3716.0195799999997</v>
      </c>
      <c r="BT570" s="407"/>
      <c r="BU570" s="407"/>
      <c r="BV570" s="407">
        <v>1551.2735811108209</v>
      </c>
      <c r="BW570" s="407"/>
      <c r="BX570" s="407"/>
      <c r="BY570" s="407"/>
      <c r="BZ570" s="407"/>
      <c r="CA570" s="407"/>
      <c r="CB570" s="407"/>
      <c r="CC570" s="407"/>
      <c r="CD570" s="407"/>
      <c r="CE570" s="407"/>
      <c r="CF570" s="407"/>
      <c r="CG570" s="407"/>
      <c r="CH570" s="407"/>
      <c r="CI570" s="407">
        <v>2019</v>
      </c>
      <c r="CJ570" s="407">
        <v>-646.37377200000083</v>
      </c>
      <c r="CK570" s="407"/>
      <c r="CL570" s="407"/>
      <c r="CM570" s="407"/>
      <c r="CN570" s="407"/>
      <c r="CO570" s="407">
        <v>-2094.8655000000003</v>
      </c>
      <c r="CP570" s="407">
        <v>257.47630999999996</v>
      </c>
      <c r="CQ570" s="407">
        <v>31</v>
      </c>
      <c r="CR570" s="407">
        <v>161.72191086076646</v>
      </c>
      <c r="CS570" s="407">
        <v>0</v>
      </c>
      <c r="CT570" s="407">
        <v>0</v>
      </c>
      <c r="CU570" s="407">
        <v>0</v>
      </c>
      <c r="CV570" s="407">
        <v>0</v>
      </c>
      <c r="CW570" s="407">
        <v>0</v>
      </c>
      <c r="CX570" s="407">
        <v>0</v>
      </c>
      <c r="CY570" s="407">
        <v>0</v>
      </c>
      <c r="CZ570" s="407">
        <v>49.386899527446531</v>
      </c>
      <c r="DA570" s="407">
        <v>0</v>
      </c>
      <c r="DB570" s="407">
        <v>0</v>
      </c>
      <c r="DC570" s="407">
        <v>286.62433556272026</v>
      </c>
      <c r="DD570" s="407">
        <v>0</v>
      </c>
      <c r="DE570" s="407">
        <v>0</v>
      </c>
      <c r="DF570" s="407">
        <v>0</v>
      </c>
      <c r="DG570" s="407">
        <v>20.95132367019815</v>
      </c>
      <c r="DH570" s="407">
        <v>0</v>
      </c>
      <c r="DI570" s="407">
        <v>-40.683680891487597</v>
      </c>
      <c r="DJ570" s="407"/>
      <c r="DK570" s="407">
        <v>0</v>
      </c>
      <c r="DL570" s="407">
        <v>0</v>
      </c>
      <c r="DM570" s="407">
        <v>0</v>
      </c>
      <c r="DN570" s="407">
        <v>0</v>
      </c>
      <c r="DO570" s="407">
        <v>-5.4761595255290132</v>
      </c>
      <c r="DP570" s="407">
        <v>-1.2392988521051045</v>
      </c>
      <c r="DQ570" s="407">
        <v>0</v>
      </c>
      <c r="DR570" s="407">
        <v>-147.84150863047722</v>
      </c>
      <c r="DS570" s="407"/>
      <c r="DT570" s="407"/>
      <c r="DU570" s="407"/>
      <c r="DV570" s="407">
        <v>3913.6585716472728</v>
      </c>
      <c r="DW570" s="407">
        <v>0</v>
      </c>
      <c r="DX570" s="407">
        <v>0</v>
      </c>
      <c r="DY570" s="407">
        <v>-2094.8655000000003</v>
      </c>
      <c r="DZ570" s="407">
        <v>257.47631000000001</v>
      </c>
      <c r="EA570" s="407">
        <v>0</v>
      </c>
      <c r="EB570" s="407">
        <v>0</v>
      </c>
      <c r="EC570" s="407">
        <v>-1999.1058883522296</v>
      </c>
      <c r="ED570" s="407">
        <v>0</v>
      </c>
      <c r="EE570" s="407">
        <v>0</v>
      </c>
      <c r="EF570" s="407">
        <v>0</v>
      </c>
      <c r="EG570" s="407">
        <v>0</v>
      </c>
      <c r="EH570" s="407">
        <v>0</v>
      </c>
      <c r="EI570" s="407">
        <v>0</v>
      </c>
      <c r="EJ570" s="407">
        <v>0</v>
      </c>
      <c r="EK570" s="407">
        <v>0</v>
      </c>
      <c r="EL570" s="407">
        <v>0</v>
      </c>
      <c r="EM570" s="407">
        <v>0</v>
      </c>
      <c r="EN570" s="407">
        <v>0</v>
      </c>
      <c r="EO570" s="407">
        <v>0</v>
      </c>
      <c r="EP570" s="407">
        <v>275.13691398149308</v>
      </c>
      <c r="EQ570" s="407">
        <v>0</v>
      </c>
      <c r="ER570" s="407">
        <v>0</v>
      </c>
      <c r="ES570" s="407">
        <v>0</v>
      </c>
      <c r="ET570" s="407">
        <v>0</v>
      </c>
      <c r="EU570" s="407">
        <v>0</v>
      </c>
      <c r="EV570" s="407">
        <v>246</v>
      </c>
      <c r="EW570" s="407">
        <v>0</v>
      </c>
      <c r="EX570" s="407">
        <v>0</v>
      </c>
      <c r="EY570" s="407">
        <v>0</v>
      </c>
      <c r="EZ570" s="407"/>
      <c r="FA570" s="407">
        <v>0</v>
      </c>
      <c r="FB570" s="407"/>
      <c r="FC570" s="407"/>
      <c r="FD570" s="407"/>
      <c r="FE570" s="407"/>
      <c r="FF570" s="407">
        <v>0</v>
      </c>
      <c r="FG570" s="407">
        <v>0</v>
      </c>
      <c r="FH570" s="407">
        <v>0</v>
      </c>
      <c r="FI570" s="407">
        <v>0</v>
      </c>
    </row>
    <row r="571" spans="1:165">
      <c r="A571" s="407">
        <v>594</v>
      </c>
      <c r="B571" s="407" t="s">
        <v>1090</v>
      </c>
      <c r="C571" s="407" t="s">
        <v>2306</v>
      </c>
      <c r="D571" s="407" t="s">
        <v>1218</v>
      </c>
      <c r="E571" s="407" t="s">
        <v>1021</v>
      </c>
      <c r="F571" s="407" t="s">
        <v>1021</v>
      </c>
      <c r="G571" s="407" t="s">
        <v>97</v>
      </c>
      <c r="H571" s="407" t="s">
        <v>97</v>
      </c>
      <c r="I571" s="407" t="s">
        <v>97</v>
      </c>
      <c r="J571" s="407" t="s">
        <v>2307</v>
      </c>
      <c r="K571" s="818">
        <v>44652</v>
      </c>
      <c r="L571" s="407">
        <v>0</v>
      </c>
      <c r="M571" s="407">
        <v>0</v>
      </c>
      <c r="N571" s="407">
        <v>1207.991</v>
      </c>
      <c r="O571" s="407">
        <v>1207.991</v>
      </c>
      <c r="P571" s="407">
        <v>1207.991</v>
      </c>
      <c r="Q571" s="407">
        <v>1207.991</v>
      </c>
      <c r="R571" s="407"/>
      <c r="S571" s="407">
        <v>648.44000000000005</v>
      </c>
      <c r="T571" s="407">
        <v>159.41</v>
      </c>
      <c r="U571" s="407"/>
      <c r="V571" s="407">
        <v>975875.52935000008</v>
      </c>
      <c r="W571" s="407">
        <v>975875.52935000008</v>
      </c>
      <c r="X571" s="407">
        <v>739073.05362000002</v>
      </c>
      <c r="Y571" s="407">
        <v>0</v>
      </c>
      <c r="Z571" s="407">
        <v>74859.505028792424</v>
      </c>
      <c r="AA571" s="407">
        <v>0</v>
      </c>
      <c r="AB571" s="407">
        <v>0</v>
      </c>
      <c r="AC571" s="407">
        <v>0</v>
      </c>
      <c r="AD571" s="407">
        <v>140905.41706415862</v>
      </c>
      <c r="AE571" s="407">
        <v>504391.79895687196</v>
      </c>
      <c r="AF571" s="407">
        <v>186309.31771298524</v>
      </c>
      <c r="AG571" s="407">
        <v>6259.5040279125951</v>
      </c>
      <c r="AH571" s="407">
        <v>0</v>
      </c>
      <c r="AI571" s="407">
        <v>0</v>
      </c>
      <c r="AJ571" s="407">
        <v>0</v>
      </c>
      <c r="AK571" s="407">
        <v>0</v>
      </c>
      <c r="AL571" s="407">
        <v>11567.788679198336</v>
      </c>
      <c r="AM571" s="407"/>
      <c r="AN571" s="407">
        <v>2506.6968578370943</v>
      </c>
      <c r="AO571" s="407">
        <v>0</v>
      </c>
      <c r="AP571" s="407">
        <v>0</v>
      </c>
      <c r="AQ571" s="407">
        <v>0</v>
      </c>
      <c r="AR571" s="407">
        <v>0</v>
      </c>
      <c r="AS571" s="407">
        <v>0</v>
      </c>
      <c r="AT571" s="407">
        <v>0</v>
      </c>
      <c r="AU571" s="407">
        <v>0</v>
      </c>
      <c r="AV571" s="407">
        <v>0</v>
      </c>
      <c r="AW571" s="407">
        <v>0</v>
      </c>
      <c r="AX571" s="407">
        <v>0</v>
      </c>
      <c r="AY571" s="407">
        <v>0</v>
      </c>
      <c r="AZ571" s="407">
        <v>0</v>
      </c>
      <c r="BA571" s="407"/>
      <c r="BB571" s="407">
        <v>0</v>
      </c>
      <c r="BC571" s="407">
        <v>0</v>
      </c>
      <c r="BD571" s="407">
        <v>0</v>
      </c>
      <c r="BE571" s="407">
        <v>0</v>
      </c>
      <c r="BF571" s="407">
        <v>0</v>
      </c>
      <c r="BG571" s="407">
        <v>13618.616195010254</v>
      </c>
      <c r="BH571" s="407">
        <v>0</v>
      </c>
      <c r="BI571" s="407">
        <v>1793.75</v>
      </c>
      <c r="BJ571" s="407">
        <v>9052.2099999999991</v>
      </c>
      <c r="BK571" s="407">
        <v>300785.49</v>
      </c>
      <c r="BL571" s="407">
        <v>6977</v>
      </c>
      <c r="BM571" s="407"/>
      <c r="BN571" s="407"/>
      <c r="BO571" s="407"/>
      <c r="BP571" s="407"/>
      <c r="BQ571" s="407"/>
      <c r="BR571" s="407"/>
      <c r="BS571" s="407"/>
      <c r="BT571" s="407"/>
      <c r="BU571" s="407"/>
      <c r="BV571" s="407">
        <v>199927.9339079955</v>
      </c>
      <c r="BW571" s="407"/>
      <c r="BX571" s="407"/>
      <c r="BY571" s="407"/>
      <c r="BZ571" s="407"/>
      <c r="CA571" s="407"/>
      <c r="CB571" s="407"/>
      <c r="CC571" s="407"/>
      <c r="CD571" s="407"/>
      <c r="CE571" s="407"/>
      <c r="CF571" s="407"/>
      <c r="CG571" s="407"/>
      <c r="CH571" s="407"/>
      <c r="CI571" s="407">
        <v>739072.44179999991</v>
      </c>
      <c r="CJ571" s="407">
        <v>-236803.1175500002</v>
      </c>
      <c r="CK571" s="407"/>
      <c r="CL571" s="407"/>
      <c r="CM571" s="407"/>
      <c r="CN571" s="407"/>
      <c r="CO571" s="407">
        <v>-269985.98850000009</v>
      </c>
      <c r="CP571" s="407">
        <v>33183.512770000001</v>
      </c>
      <c r="CQ571" s="407">
        <v>30</v>
      </c>
      <c r="CR571" s="407">
        <v>20842.698476753256</v>
      </c>
      <c r="CS571" s="407">
        <v>0</v>
      </c>
      <c r="CT571" s="407">
        <v>0</v>
      </c>
      <c r="CU571" s="407">
        <v>0</v>
      </c>
      <c r="CV571" s="407">
        <v>0</v>
      </c>
      <c r="CW571" s="407">
        <v>0</v>
      </c>
      <c r="CX571" s="407">
        <v>0</v>
      </c>
      <c r="CY571" s="407">
        <v>0</v>
      </c>
      <c r="CZ571" s="407">
        <v>6364.9770774629142</v>
      </c>
      <c r="DA571" s="407">
        <v>0</v>
      </c>
      <c r="DB571" s="407">
        <v>0</v>
      </c>
      <c r="DC571" s="407">
        <v>36940.106448388542</v>
      </c>
      <c r="DD571" s="407">
        <v>0</v>
      </c>
      <c r="DE571" s="407">
        <v>0</v>
      </c>
      <c r="DF571" s="407">
        <v>0</v>
      </c>
      <c r="DG571" s="407">
        <v>2700.2038228620859</v>
      </c>
      <c r="DH571" s="407">
        <v>0</v>
      </c>
      <c r="DI571" s="407">
        <v>-5243.3074110518501</v>
      </c>
      <c r="DJ571" s="407"/>
      <c r="DK571" s="407">
        <v>0</v>
      </c>
      <c r="DL571" s="407">
        <v>0</v>
      </c>
      <c r="DM571" s="407">
        <v>0</v>
      </c>
      <c r="DN571" s="407">
        <v>0</v>
      </c>
      <c r="DO571" s="407">
        <v>-705.76671518225885</v>
      </c>
      <c r="DP571" s="407">
        <v>-159.72067210640125</v>
      </c>
      <c r="DQ571" s="407">
        <v>0</v>
      </c>
      <c r="DR571" s="407">
        <v>-19053.794073619847</v>
      </c>
      <c r="DS571" s="407"/>
      <c r="DT571" s="407"/>
      <c r="DU571" s="407"/>
      <c r="DV571" s="407">
        <v>504391.79895687196</v>
      </c>
      <c r="DW571" s="407">
        <v>0</v>
      </c>
      <c r="DX571" s="407">
        <v>0</v>
      </c>
      <c r="DY571" s="407">
        <v>-269985.98850000009</v>
      </c>
      <c r="DZ571" s="407">
        <v>33183.512770000001</v>
      </c>
      <c r="EA571" s="407">
        <v>0</v>
      </c>
      <c r="EB571" s="407">
        <v>0</v>
      </c>
      <c r="EC571" s="407">
        <v>-257644.50241934264</v>
      </c>
      <c r="ED571" s="407">
        <v>0</v>
      </c>
      <c r="EE571" s="407">
        <v>0</v>
      </c>
      <c r="EF571" s="407">
        <v>0</v>
      </c>
      <c r="EG571" s="407">
        <v>0</v>
      </c>
      <c r="EH571" s="407">
        <v>0</v>
      </c>
      <c r="EI571" s="407">
        <v>0</v>
      </c>
      <c r="EJ571" s="407">
        <v>0</v>
      </c>
      <c r="EK571" s="407">
        <v>0</v>
      </c>
      <c r="EL571" s="407">
        <v>0</v>
      </c>
      <c r="EM571" s="407">
        <v>0</v>
      </c>
      <c r="EN571" s="407">
        <v>0</v>
      </c>
      <c r="EO571" s="407">
        <v>0</v>
      </c>
      <c r="EP571" s="407">
        <v>35459.609074727181</v>
      </c>
      <c r="EQ571" s="407">
        <v>0</v>
      </c>
      <c r="ER571" s="407">
        <v>0</v>
      </c>
      <c r="ES571" s="407">
        <v>0</v>
      </c>
      <c r="ET571" s="407">
        <v>0</v>
      </c>
      <c r="EU571" s="407">
        <v>0</v>
      </c>
      <c r="EV571" s="407">
        <v>246</v>
      </c>
      <c r="EW571" s="407">
        <v>0</v>
      </c>
      <c r="EX571" s="407">
        <v>0</v>
      </c>
      <c r="EY571" s="407">
        <v>0</v>
      </c>
      <c r="EZ571" s="407"/>
      <c r="FA571" s="407">
        <v>0</v>
      </c>
      <c r="FB571" s="407"/>
      <c r="FC571" s="407"/>
      <c r="FD571" s="407"/>
      <c r="FE571" s="407"/>
      <c r="FF571" s="407">
        <v>0</v>
      </c>
      <c r="FG571" s="407">
        <v>0</v>
      </c>
      <c r="FH571" s="407">
        <v>0</v>
      </c>
      <c r="FI571" s="407">
        <v>0</v>
      </c>
    </row>
    <row r="572" spans="1:165">
      <c r="A572" s="407">
        <v>595</v>
      </c>
      <c r="B572" s="407" t="s">
        <v>2308</v>
      </c>
      <c r="C572" s="407" t="s">
        <v>2306</v>
      </c>
      <c r="D572" s="407" t="s">
        <v>1218</v>
      </c>
      <c r="E572" s="407" t="s">
        <v>1021</v>
      </c>
      <c r="F572" s="407" t="s">
        <v>1021</v>
      </c>
      <c r="G572" s="407" t="s">
        <v>97</v>
      </c>
      <c r="H572" s="407" t="s">
        <v>97</v>
      </c>
      <c r="I572" s="407" t="s">
        <v>97</v>
      </c>
      <c r="J572" s="407" t="s">
        <v>2307</v>
      </c>
      <c r="K572" s="818">
        <v>44652</v>
      </c>
      <c r="L572" s="407">
        <v>0</v>
      </c>
      <c r="M572" s="407">
        <v>0</v>
      </c>
      <c r="N572" s="407">
        <v>-0.64200000000000002</v>
      </c>
      <c r="O572" s="407">
        <v>-0.64200000000000002</v>
      </c>
      <c r="P572" s="407">
        <v>-0.64200000000000002</v>
      </c>
      <c r="Q572" s="407">
        <v>-0.64200000000000002</v>
      </c>
      <c r="R572" s="407"/>
      <c r="S572" s="407">
        <v>648.44000000000005</v>
      </c>
      <c r="T572" s="407">
        <v>159.41</v>
      </c>
      <c r="U572" s="407"/>
      <c r="V572" s="407">
        <v>-518.63970000000006</v>
      </c>
      <c r="W572" s="407">
        <v>-518.63970000000006</v>
      </c>
      <c r="X572" s="407">
        <v>-392.78844000000004</v>
      </c>
      <c r="Y572" s="407">
        <v>0</v>
      </c>
      <c r="Z572" s="407">
        <v>-39.784900904464301</v>
      </c>
      <c r="AA572" s="407">
        <v>0</v>
      </c>
      <c r="AB572" s="407">
        <v>0</v>
      </c>
      <c r="AC572" s="407">
        <v>0</v>
      </c>
      <c r="AD572" s="407">
        <v>-74.885721628050078</v>
      </c>
      <c r="AE572" s="407">
        <v>-268.06452608530344</v>
      </c>
      <c r="AF572" s="407">
        <v>-99.016120129815974</v>
      </c>
      <c r="AG572" s="407">
        <v>-3.3266817268670761</v>
      </c>
      <c r="AH572" s="407">
        <v>0</v>
      </c>
      <c r="AI572" s="407">
        <v>0</v>
      </c>
      <c r="AJ572" s="407">
        <v>0</v>
      </c>
      <c r="AK572" s="407">
        <v>0</v>
      </c>
      <c r="AL572" s="407">
        <v>-6.1478275351764484</v>
      </c>
      <c r="AM572" s="407"/>
      <c r="AN572" s="407">
        <v>-1.3322114011871071</v>
      </c>
      <c r="AO572" s="407">
        <v>0</v>
      </c>
      <c r="AP572" s="407">
        <v>0</v>
      </c>
      <c r="AQ572" s="407">
        <v>0</v>
      </c>
      <c r="AR572" s="407">
        <v>0</v>
      </c>
      <c r="AS572" s="407">
        <v>0</v>
      </c>
      <c r="AT572" s="407">
        <v>0</v>
      </c>
      <c r="AU572" s="407">
        <v>0</v>
      </c>
      <c r="AV572" s="407">
        <v>0</v>
      </c>
      <c r="AW572" s="407">
        <v>0</v>
      </c>
      <c r="AX572" s="407">
        <v>0</v>
      </c>
      <c r="AY572" s="407">
        <v>0</v>
      </c>
      <c r="AZ572" s="407">
        <v>0</v>
      </c>
      <c r="BA572" s="407"/>
      <c r="BB572" s="407">
        <v>0</v>
      </c>
      <c r="BC572" s="407">
        <v>0</v>
      </c>
      <c r="BD572" s="407">
        <v>0</v>
      </c>
      <c r="BE572" s="407">
        <v>0</v>
      </c>
      <c r="BF572" s="407">
        <v>0</v>
      </c>
      <c r="BG572" s="407">
        <v>-7.2377621995499828</v>
      </c>
      <c r="BH572" s="407">
        <v>0</v>
      </c>
      <c r="BI572" s="407">
        <v>-0.73</v>
      </c>
      <c r="BJ572" s="407">
        <v>-3.14</v>
      </c>
      <c r="BK572" s="407">
        <v>-171.6</v>
      </c>
      <c r="BL572" s="407">
        <v>0</v>
      </c>
      <c r="BM572" s="407"/>
      <c r="BN572" s="407"/>
      <c r="BO572" s="407"/>
      <c r="BP572" s="407"/>
      <c r="BQ572" s="407"/>
      <c r="BR572" s="407"/>
      <c r="BS572" s="407"/>
      <c r="BT572" s="407"/>
      <c r="BU572" s="407"/>
      <c r="BV572" s="407">
        <v>-106.25388232936595</v>
      </c>
      <c r="BW572" s="407"/>
      <c r="BX572" s="407"/>
      <c r="BY572" s="407"/>
      <c r="BZ572" s="407"/>
      <c r="CA572" s="407"/>
      <c r="CB572" s="407"/>
      <c r="CC572" s="407"/>
      <c r="CD572" s="407"/>
      <c r="CE572" s="407"/>
      <c r="CF572" s="407"/>
      <c r="CG572" s="407"/>
      <c r="CH572" s="407"/>
      <c r="CI572" s="407">
        <v>-391.56479999999999</v>
      </c>
      <c r="CJ572" s="407">
        <v>127.0449000000001</v>
      </c>
      <c r="CK572" s="407"/>
      <c r="CL572" s="407"/>
      <c r="CM572" s="407"/>
      <c r="CN572" s="407"/>
      <c r="CO572" s="407">
        <v>143.48700000000005</v>
      </c>
      <c r="CP572" s="407">
        <v>-17.635739999999998</v>
      </c>
      <c r="CQ572" s="407">
        <v>30</v>
      </c>
      <c r="CR572" s="407">
        <v>-11.077079566052703</v>
      </c>
      <c r="CS572" s="407">
        <v>0</v>
      </c>
      <c r="CT572" s="407">
        <v>0</v>
      </c>
      <c r="CU572" s="407">
        <v>0</v>
      </c>
      <c r="CV572" s="407">
        <v>0</v>
      </c>
      <c r="CW572" s="407">
        <v>0</v>
      </c>
      <c r="CX572" s="407">
        <v>0</v>
      </c>
      <c r="CY572" s="407">
        <v>0</v>
      </c>
      <c r="CZ572" s="407">
        <v>-3.3827365300992938</v>
      </c>
      <c r="DA572" s="407">
        <v>0</v>
      </c>
      <c r="DB572" s="407">
        <v>0</v>
      </c>
      <c r="DC572" s="407">
        <v>-19.63222270684588</v>
      </c>
      <c r="DD572" s="407">
        <v>0</v>
      </c>
      <c r="DE572" s="407">
        <v>0</v>
      </c>
      <c r="DF572" s="407">
        <v>0</v>
      </c>
      <c r="DG572" s="407">
        <v>-1.4350527895302685</v>
      </c>
      <c r="DH572" s="407">
        <v>0</v>
      </c>
      <c r="DI572" s="407">
        <v>2.7866129448773123</v>
      </c>
      <c r="DJ572" s="407"/>
      <c r="DK572" s="407">
        <v>0</v>
      </c>
      <c r="DL572" s="407">
        <v>0</v>
      </c>
      <c r="DM572" s="407">
        <v>0</v>
      </c>
      <c r="DN572" s="407">
        <v>0</v>
      </c>
      <c r="DO572" s="407">
        <v>0.37508742295845909</v>
      </c>
      <c r="DP572" s="407">
        <v>8.4885294254932075E-2</v>
      </c>
      <c r="DQ572" s="407">
        <v>0</v>
      </c>
      <c r="DR572" s="407">
        <v>10.126346798332058</v>
      </c>
      <c r="DS572" s="407"/>
      <c r="DT572" s="407"/>
      <c r="DU572" s="407"/>
      <c r="DV572" s="407">
        <v>-268.06452608530344</v>
      </c>
      <c r="DW572" s="407">
        <v>0</v>
      </c>
      <c r="DX572" s="407">
        <v>0</v>
      </c>
      <c r="DY572" s="407">
        <v>143.48700000000002</v>
      </c>
      <c r="DZ572" s="407">
        <v>-17.635739999999998</v>
      </c>
      <c r="EA572" s="407">
        <v>0</v>
      </c>
      <c r="EB572" s="407">
        <v>0</v>
      </c>
      <c r="EC572" s="407">
        <v>136.92798253730197</v>
      </c>
      <c r="ED572" s="407">
        <v>0</v>
      </c>
      <c r="EE572" s="407">
        <v>0</v>
      </c>
      <c r="EF572" s="407">
        <v>0</v>
      </c>
      <c r="EG572" s="407">
        <v>0</v>
      </c>
      <c r="EH572" s="407">
        <v>0</v>
      </c>
      <c r="EI572" s="407">
        <v>0</v>
      </c>
      <c r="EJ572" s="407">
        <v>0</v>
      </c>
      <c r="EK572" s="407">
        <v>0</v>
      </c>
      <c r="EL572" s="407">
        <v>0</v>
      </c>
      <c r="EM572" s="407">
        <v>0</v>
      </c>
      <c r="EN572" s="407">
        <v>0</v>
      </c>
      <c r="EO572" s="407">
        <v>0</v>
      </c>
      <c r="EP572" s="407">
        <v>-18.845396220646389</v>
      </c>
      <c r="EQ572" s="407">
        <v>0</v>
      </c>
      <c r="ER572" s="407">
        <v>0</v>
      </c>
      <c r="ES572" s="407">
        <v>0</v>
      </c>
      <c r="ET572" s="407">
        <v>0</v>
      </c>
      <c r="EU572" s="407">
        <v>0</v>
      </c>
      <c r="EV572" s="407">
        <v>246</v>
      </c>
      <c r="EW572" s="407">
        <v>0</v>
      </c>
      <c r="EX572" s="407">
        <v>0</v>
      </c>
      <c r="EY572" s="407">
        <v>0</v>
      </c>
      <c r="EZ572" s="407"/>
      <c r="FA572" s="407">
        <v>0</v>
      </c>
      <c r="FB572" s="407"/>
      <c r="FC572" s="407"/>
      <c r="FD572" s="407"/>
      <c r="FE572" s="407"/>
      <c r="FF572" s="407">
        <v>0</v>
      </c>
      <c r="FG572" s="407">
        <v>0</v>
      </c>
      <c r="FH572" s="407">
        <v>0</v>
      </c>
      <c r="FI572" s="407">
        <v>0</v>
      </c>
    </row>
    <row r="573" spans="1:165">
      <c r="A573" s="407">
        <v>596</v>
      </c>
      <c r="B573" s="407" t="s">
        <v>2309</v>
      </c>
      <c r="C573" s="407" t="s">
        <v>2306</v>
      </c>
      <c r="D573" s="407" t="s">
        <v>1218</v>
      </c>
      <c r="E573" s="407" t="s">
        <v>1021</v>
      </c>
      <c r="F573" s="407" t="s">
        <v>1021</v>
      </c>
      <c r="G573" s="407" t="s">
        <v>97</v>
      </c>
      <c r="H573" s="407" t="s">
        <v>97</v>
      </c>
      <c r="I573" s="407" t="s">
        <v>97</v>
      </c>
      <c r="J573" s="407" t="s">
        <v>2307</v>
      </c>
      <c r="K573" s="818">
        <v>44652</v>
      </c>
      <c r="L573" s="407">
        <v>0</v>
      </c>
      <c r="M573" s="407">
        <v>0</v>
      </c>
      <c r="N573" s="407">
        <v>30.974</v>
      </c>
      <c r="O573" s="407">
        <v>30.974</v>
      </c>
      <c r="P573" s="407">
        <v>30.974</v>
      </c>
      <c r="Q573" s="407">
        <v>30.974</v>
      </c>
      <c r="R573" s="407"/>
      <c r="S573" s="407">
        <v>648.44000000000005</v>
      </c>
      <c r="T573" s="407">
        <v>159.41</v>
      </c>
      <c r="U573" s="407"/>
      <c r="V573" s="407">
        <v>25022.345900000004</v>
      </c>
      <c r="W573" s="407">
        <v>25022.345900000004</v>
      </c>
      <c r="X573" s="407">
        <v>18950.51268</v>
      </c>
      <c r="Y573" s="407">
        <v>0</v>
      </c>
      <c r="Z573" s="407">
        <v>1919.4665430138277</v>
      </c>
      <c r="AA573" s="407">
        <v>0</v>
      </c>
      <c r="AB573" s="407">
        <v>0</v>
      </c>
      <c r="AC573" s="407">
        <v>0</v>
      </c>
      <c r="AD573" s="407">
        <v>3612.9444574878862</v>
      </c>
      <c r="AE573" s="407">
        <v>12933.069518638924</v>
      </c>
      <c r="AF573" s="407">
        <v>4777.142219471838</v>
      </c>
      <c r="AG573" s="407">
        <v>160.49943895324114</v>
      </c>
      <c r="AH573" s="407">
        <v>0</v>
      </c>
      <c r="AI573" s="407">
        <v>0</v>
      </c>
      <c r="AJ573" s="407">
        <v>0</v>
      </c>
      <c r="AK573" s="407">
        <v>0</v>
      </c>
      <c r="AL573" s="407">
        <v>296.60873843388674</v>
      </c>
      <c r="AM573" s="407"/>
      <c r="AN573" s="407">
        <v>64.274012368176713</v>
      </c>
      <c r="AO573" s="407">
        <v>0</v>
      </c>
      <c r="AP573" s="407">
        <v>0</v>
      </c>
      <c r="AQ573" s="407">
        <v>0</v>
      </c>
      <c r="AR573" s="407">
        <v>0</v>
      </c>
      <c r="AS573" s="407">
        <v>0</v>
      </c>
      <c r="AT573" s="407">
        <v>0</v>
      </c>
      <c r="AU573" s="407">
        <v>0</v>
      </c>
      <c r="AV573" s="407">
        <v>0</v>
      </c>
      <c r="AW573" s="407">
        <v>0</v>
      </c>
      <c r="AX573" s="407">
        <v>0</v>
      </c>
      <c r="AY573" s="407">
        <v>0</v>
      </c>
      <c r="AZ573" s="407">
        <v>0</v>
      </c>
      <c r="BA573" s="407"/>
      <c r="BB573" s="407">
        <v>0</v>
      </c>
      <c r="BC573" s="407">
        <v>0</v>
      </c>
      <c r="BD573" s="407">
        <v>0</v>
      </c>
      <c r="BE573" s="407">
        <v>0</v>
      </c>
      <c r="BF573" s="407">
        <v>0</v>
      </c>
      <c r="BG573" s="407">
        <v>349.19384169604541</v>
      </c>
      <c r="BH573" s="407">
        <v>0</v>
      </c>
      <c r="BI573" s="407">
        <v>45.46</v>
      </c>
      <c r="BJ573" s="407">
        <v>232.25</v>
      </c>
      <c r="BK573" s="407">
        <v>19184.400000000001</v>
      </c>
      <c r="BL573" s="407">
        <v>281</v>
      </c>
      <c r="BM573" s="407"/>
      <c r="BN573" s="407"/>
      <c r="BO573" s="407"/>
      <c r="BP573" s="407"/>
      <c r="BQ573" s="407"/>
      <c r="BR573" s="407"/>
      <c r="BS573" s="407"/>
      <c r="BT573" s="407"/>
      <c r="BU573" s="407"/>
      <c r="BV573" s="407">
        <v>5126.3360611678836</v>
      </c>
      <c r="BW573" s="407"/>
      <c r="BX573" s="407"/>
      <c r="BY573" s="407"/>
      <c r="BZ573" s="407"/>
      <c r="CA573" s="407"/>
      <c r="CB573" s="407"/>
      <c r="CC573" s="407"/>
      <c r="CD573" s="407"/>
      <c r="CE573" s="407"/>
      <c r="CF573" s="407"/>
      <c r="CG573" s="407"/>
      <c r="CH573" s="407"/>
      <c r="CI573" s="407">
        <v>18948.065399999999</v>
      </c>
      <c r="CJ573" s="407">
        <v>-6074.3104999999996</v>
      </c>
      <c r="CK573" s="407"/>
      <c r="CL573" s="407"/>
      <c r="CM573" s="407"/>
      <c r="CN573" s="407"/>
      <c r="CO573" s="407">
        <v>-6922.6890000000021</v>
      </c>
      <c r="CP573" s="407">
        <v>850.85577999999998</v>
      </c>
      <c r="CQ573" s="407">
        <v>30</v>
      </c>
      <c r="CR573" s="407">
        <v>534.42595401700601</v>
      </c>
      <c r="CS573" s="407">
        <v>0</v>
      </c>
      <c r="CT573" s="407">
        <v>0</v>
      </c>
      <c r="CU573" s="407">
        <v>0</v>
      </c>
      <c r="CV573" s="407">
        <v>0</v>
      </c>
      <c r="CW573" s="407">
        <v>0</v>
      </c>
      <c r="CX573" s="407">
        <v>0</v>
      </c>
      <c r="CY573" s="407">
        <v>0</v>
      </c>
      <c r="CZ573" s="407">
        <v>163.20386492725174</v>
      </c>
      <c r="DA573" s="407">
        <v>0</v>
      </c>
      <c r="DB573" s="407">
        <v>0</v>
      </c>
      <c r="DC573" s="407">
        <v>947.178296139944</v>
      </c>
      <c r="DD573" s="407">
        <v>0</v>
      </c>
      <c r="DE573" s="407">
        <v>0</v>
      </c>
      <c r="DF573" s="407">
        <v>0</v>
      </c>
      <c r="DG573" s="407">
        <v>69.235708883038228</v>
      </c>
      <c r="DH573" s="407">
        <v>0</v>
      </c>
      <c r="DI573" s="407">
        <v>-134.44322329381612</v>
      </c>
      <c r="DJ573" s="407"/>
      <c r="DK573" s="407">
        <v>0</v>
      </c>
      <c r="DL573" s="407">
        <v>0</v>
      </c>
      <c r="DM573" s="407">
        <v>0</v>
      </c>
      <c r="DN573" s="407">
        <v>0</v>
      </c>
      <c r="DO573" s="407">
        <v>-18.096507536939669</v>
      </c>
      <c r="DP573" s="407">
        <v>-4.0953848975891916</v>
      </c>
      <c r="DQ573" s="407">
        <v>0</v>
      </c>
      <c r="DR573" s="407">
        <v>-488.5568002048866</v>
      </c>
      <c r="DS573" s="407"/>
      <c r="DT573" s="407"/>
      <c r="DU573" s="407"/>
      <c r="DV573" s="407">
        <v>12933.069518638924</v>
      </c>
      <c r="DW573" s="407">
        <v>0</v>
      </c>
      <c r="DX573" s="407">
        <v>0</v>
      </c>
      <c r="DY573" s="407">
        <v>-6922.6890000000021</v>
      </c>
      <c r="DZ573" s="407">
        <v>850.85577999999987</v>
      </c>
      <c r="EA573" s="407">
        <v>0</v>
      </c>
      <c r="EB573" s="407">
        <v>0</v>
      </c>
      <c r="EC573" s="407">
        <v>-6606.2419487700809</v>
      </c>
      <c r="ED573" s="407">
        <v>0</v>
      </c>
      <c r="EE573" s="407">
        <v>0</v>
      </c>
      <c r="EF573" s="407">
        <v>0</v>
      </c>
      <c r="EG573" s="407">
        <v>0</v>
      </c>
      <c r="EH573" s="407">
        <v>0</v>
      </c>
      <c r="EI573" s="407">
        <v>0</v>
      </c>
      <c r="EJ573" s="407">
        <v>0</v>
      </c>
      <c r="EK573" s="407">
        <v>0</v>
      </c>
      <c r="EL573" s="407">
        <v>0</v>
      </c>
      <c r="EM573" s="407">
        <v>0</v>
      </c>
      <c r="EN573" s="407">
        <v>0</v>
      </c>
      <c r="EO573" s="407">
        <v>0</v>
      </c>
      <c r="EP573" s="407">
        <v>909.21698214688661</v>
      </c>
      <c r="EQ573" s="407">
        <v>0</v>
      </c>
      <c r="ER573" s="407">
        <v>0</v>
      </c>
      <c r="ES573" s="407">
        <v>0</v>
      </c>
      <c r="ET573" s="407">
        <v>0</v>
      </c>
      <c r="EU573" s="407">
        <v>0</v>
      </c>
      <c r="EV573" s="407">
        <v>246</v>
      </c>
      <c r="EW573" s="407">
        <v>0</v>
      </c>
      <c r="EX573" s="407">
        <v>0</v>
      </c>
      <c r="EY573" s="407">
        <v>0</v>
      </c>
      <c r="EZ573" s="407"/>
      <c r="FA573" s="407">
        <v>0</v>
      </c>
      <c r="FB573" s="407"/>
      <c r="FC573" s="407"/>
      <c r="FD573" s="407"/>
      <c r="FE573" s="407"/>
      <c r="FF573" s="407">
        <v>0</v>
      </c>
      <c r="FG573" s="407">
        <v>0</v>
      </c>
      <c r="FH573" s="407">
        <v>0</v>
      </c>
      <c r="FI573" s="407">
        <v>0</v>
      </c>
    </row>
    <row r="574" spans="1:165">
      <c r="A574" s="407">
        <v>597</v>
      </c>
      <c r="B574" s="407" t="s">
        <v>1090</v>
      </c>
      <c r="C574" s="407" t="s">
        <v>2306</v>
      </c>
      <c r="D574" s="407" t="s">
        <v>1218</v>
      </c>
      <c r="E574" s="407" t="s">
        <v>1021</v>
      </c>
      <c r="F574" s="407" t="s">
        <v>2310</v>
      </c>
      <c r="G574" s="407" t="s">
        <v>97</v>
      </c>
      <c r="H574" s="407" t="s">
        <v>97</v>
      </c>
      <c r="I574" s="407" t="s">
        <v>97</v>
      </c>
      <c r="J574" s="407" t="s">
        <v>2307</v>
      </c>
      <c r="K574" s="818">
        <v>44652</v>
      </c>
      <c r="L574" s="407">
        <v>0</v>
      </c>
      <c r="M574" s="407">
        <v>0</v>
      </c>
      <c r="N574" s="407">
        <v>46.44</v>
      </c>
      <c r="O574" s="407">
        <v>46.44</v>
      </c>
      <c r="P574" s="407">
        <v>46.44</v>
      </c>
      <c r="Q574" s="407">
        <v>46.44</v>
      </c>
      <c r="R574" s="407"/>
      <c r="S574" s="407">
        <v>547.54</v>
      </c>
      <c r="T574" s="407">
        <v>159.41</v>
      </c>
      <c r="U574" s="407"/>
      <c r="V574" s="407">
        <v>32830.757999999994</v>
      </c>
      <c r="W574" s="407">
        <v>32830.757999999994</v>
      </c>
      <c r="X574" s="407">
        <v>24047.560799999999</v>
      </c>
      <c r="Y574" s="407">
        <v>0</v>
      </c>
      <c r="Z574" s="407">
        <v>0</v>
      </c>
      <c r="AA574" s="407">
        <v>0</v>
      </c>
      <c r="AB574" s="407">
        <v>0</v>
      </c>
      <c r="AC574" s="407">
        <v>0</v>
      </c>
      <c r="AD574" s="407">
        <v>5416.9671532813791</v>
      </c>
      <c r="AE574" s="407">
        <v>19390.835812151854</v>
      </c>
      <c r="AF574" s="407">
        <v>7162.4744841567808</v>
      </c>
      <c r="AG574" s="407">
        <v>240.64034173786138</v>
      </c>
      <c r="AH574" s="407">
        <v>0</v>
      </c>
      <c r="AI574" s="407">
        <v>0</v>
      </c>
      <c r="AJ574" s="407">
        <v>0</v>
      </c>
      <c r="AK574" s="407">
        <v>0</v>
      </c>
      <c r="AL574" s="407">
        <v>0</v>
      </c>
      <c r="AM574" s="407"/>
      <c r="AN574" s="407">
        <v>96.367441543815019</v>
      </c>
      <c r="AO574" s="407">
        <v>0</v>
      </c>
      <c r="AP574" s="407">
        <v>0</v>
      </c>
      <c r="AQ574" s="407">
        <v>0</v>
      </c>
      <c r="AR574" s="407">
        <v>0</v>
      </c>
      <c r="AS574" s="407">
        <v>0</v>
      </c>
      <c r="AT574" s="407">
        <v>0</v>
      </c>
      <c r="AU574" s="407">
        <v>0</v>
      </c>
      <c r="AV574" s="407">
        <v>0</v>
      </c>
      <c r="AW574" s="407">
        <v>0</v>
      </c>
      <c r="AX574" s="407">
        <v>0</v>
      </c>
      <c r="AY574" s="407">
        <v>0</v>
      </c>
      <c r="AZ574" s="407">
        <v>0</v>
      </c>
      <c r="BA574" s="407"/>
      <c r="BB574" s="407">
        <v>0</v>
      </c>
      <c r="BC574" s="407">
        <v>0</v>
      </c>
      <c r="BD574" s="407">
        <v>0</v>
      </c>
      <c r="BE574" s="407">
        <v>0</v>
      </c>
      <c r="BF574" s="407">
        <v>0</v>
      </c>
      <c r="BG574" s="407">
        <v>523.55401331324174</v>
      </c>
      <c r="BH574" s="407">
        <v>0</v>
      </c>
      <c r="BI574" s="407">
        <v>15.03</v>
      </c>
      <c r="BJ574" s="407">
        <v>75.150000000000006</v>
      </c>
      <c r="BK574" s="407">
        <v>2563.0100000000002</v>
      </c>
      <c r="BL574" s="407">
        <v>95</v>
      </c>
      <c r="BM574" s="407"/>
      <c r="BN574" s="407"/>
      <c r="BO574" s="407"/>
      <c r="BP574" s="407"/>
      <c r="BQ574" s="407"/>
      <c r="BR574" s="407"/>
      <c r="BS574" s="407"/>
      <c r="BT574" s="407">
        <v>15630.7752</v>
      </c>
      <c r="BU574" s="407"/>
      <c r="BV574" s="407">
        <v>7686.0284974700226</v>
      </c>
      <c r="BW574" s="407"/>
      <c r="BX574" s="407"/>
      <c r="BY574" s="407"/>
      <c r="BZ574" s="407"/>
      <c r="CA574" s="407"/>
      <c r="CB574" s="407"/>
      <c r="CC574" s="407"/>
      <c r="CD574" s="407"/>
      <c r="CE574" s="407"/>
      <c r="CF574" s="407"/>
      <c r="CG574" s="407"/>
      <c r="CH574" s="407"/>
      <c r="CI574" s="407">
        <v>8416.7855999999992</v>
      </c>
      <c r="CJ574" s="407">
        <v>-3073.8936000000012</v>
      </c>
      <c r="CK574" s="407"/>
      <c r="CL574" s="407"/>
      <c r="CM574" s="407"/>
      <c r="CN574" s="407"/>
      <c r="CO574" s="407">
        <v>-10058.903999999999</v>
      </c>
      <c r="CP574" s="407">
        <v>1275.7067999999999</v>
      </c>
      <c r="CQ574" s="407">
        <v>30</v>
      </c>
      <c r="CR574" s="407">
        <v>1121.472299478135</v>
      </c>
      <c r="CS574" s="407">
        <v>0</v>
      </c>
      <c r="CT574" s="407">
        <v>0</v>
      </c>
      <c r="CU574" s="407">
        <v>0</v>
      </c>
      <c r="CV574" s="407">
        <v>0</v>
      </c>
      <c r="CW574" s="407">
        <v>0</v>
      </c>
      <c r="CX574" s="407">
        <v>0</v>
      </c>
      <c r="CY574" s="407">
        <v>0</v>
      </c>
      <c r="CZ574" s="407">
        <v>244.69514713054741</v>
      </c>
      <c r="DA574" s="407">
        <v>0</v>
      </c>
      <c r="DB574" s="407">
        <v>0</v>
      </c>
      <c r="DC574" s="407">
        <v>1420.1252687008146</v>
      </c>
      <c r="DD574" s="407">
        <v>0</v>
      </c>
      <c r="DE574" s="407">
        <v>0</v>
      </c>
      <c r="DF574" s="407">
        <v>0</v>
      </c>
      <c r="DG574" s="407">
        <v>103.80662234546048</v>
      </c>
      <c r="DH574" s="407">
        <v>0</v>
      </c>
      <c r="DI574" s="407">
        <v>0</v>
      </c>
      <c r="DJ574" s="407"/>
      <c r="DK574" s="407">
        <v>0</v>
      </c>
      <c r="DL574" s="407">
        <v>0</v>
      </c>
      <c r="DM574" s="407">
        <v>0</v>
      </c>
      <c r="DN574" s="407">
        <v>0</v>
      </c>
      <c r="DO574" s="407">
        <v>0</v>
      </c>
      <c r="DP574" s="407">
        <v>-6.1403007246090908</v>
      </c>
      <c r="DQ574" s="407">
        <v>0</v>
      </c>
      <c r="DR574" s="407">
        <v>-641.01443797408047</v>
      </c>
      <c r="DS574" s="407"/>
      <c r="DT574" s="407"/>
      <c r="DU574" s="407"/>
      <c r="DV574" s="407">
        <v>19390.835812151854</v>
      </c>
      <c r="DW574" s="407">
        <v>0</v>
      </c>
      <c r="DX574" s="407">
        <v>0</v>
      </c>
      <c r="DY574" s="407">
        <v>-10058.903999999999</v>
      </c>
      <c r="DZ574" s="407">
        <v>1275.706799999999</v>
      </c>
      <c r="EA574" s="407">
        <v>0</v>
      </c>
      <c r="EB574" s="407">
        <v>0</v>
      </c>
      <c r="EC574" s="407">
        <v>-9904.8839704552993</v>
      </c>
      <c r="ED574" s="407">
        <v>0</v>
      </c>
      <c r="EE574" s="407">
        <v>0</v>
      </c>
      <c r="EF574" s="407">
        <v>0</v>
      </c>
      <c r="EG574" s="407">
        <v>0</v>
      </c>
      <c r="EH574" s="407">
        <v>0</v>
      </c>
      <c r="EI574" s="407">
        <v>0</v>
      </c>
      <c r="EJ574" s="407">
        <v>0</v>
      </c>
      <c r="EK574" s="407">
        <v>0</v>
      </c>
      <c r="EL574" s="407">
        <v>0</v>
      </c>
      <c r="EM574" s="407">
        <v>0</v>
      </c>
      <c r="EN574" s="407">
        <v>0</v>
      </c>
      <c r="EO574" s="407">
        <v>0</v>
      </c>
      <c r="EP574" s="407">
        <v>0</v>
      </c>
      <c r="EQ574" s="407">
        <v>0</v>
      </c>
      <c r="ER574" s="407">
        <v>0</v>
      </c>
      <c r="ES574" s="407">
        <v>0</v>
      </c>
      <c r="ET574" s="407">
        <v>0</v>
      </c>
      <c r="EU574" s="407">
        <v>0</v>
      </c>
      <c r="EV574" s="407">
        <v>246</v>
      </c>
      <c r="EW574" s="407">
        <v>0</v>
      </c>
      <c r="EX574" s="407">
        <v>0</v>
      </c>
      <c r="EY574" s="407">
        <v>0</v>
      </c>
      <c r="EZ574" s="407"/>
      <c r="FA574" s="407">
        <v>0</v>
      </c>
      <c r="FB574" s="407"/>
      <c r="FC574" s="407"/>
      <c r="FD574" s="407"/>
      <c r="FE574" s="407"/>
      <c r="FF574" s="407">
        <v>0</v>
      </c>
      <c r="FG574" s="407">
        <v>0</v>
      </c>
      <c r="FH574" s="407">
        <v>0</v>
      </c>
      <c r="FI574" s="407">
        <v>0</v>
      </c>
    </row>
    <row r="575" spans="1:165">
      <c r="A575" s="407">
        <v>598</v>
      </c>
      <c r="B575" s="407" t="s">
        <v>2309</v>
      </c>
      <c r="C575" s="407" t="s">
        <v>2306</v>
      </c>
      <c r="D575" s="407" t="s">
        <v>1218</v>
      </c>
      <c r="E575" s="407" t="s">
        <v>1021</v>
      </c>
      <c r="F575" s="407" t="s">
        <v>2310</v>
      </c>
      <c r="G575" s="407" t="s">
        <v>97</v>
      </c>
      <c r="H575" s="407" t="s">
        <v>97</v>
      </c>
      <c r="I575" s="407" t="s">
        <v>97</v>
      </c>
      <c r="J575" s="407" t="s">
        <v>2307</v>
      </c>
      <c r="K575" s="818">
        <v>44652</v>
      </c>
      <c r="L575" s="407">
        <v>0</v>
      </c>
      <c r="M575" s="407">
        <v>0</v>
      </c>
      <c r="N575" s="407">
        <v>0.03</v>
      </c>
      <c r="O575" s="407">
        <v>0.03</v>
      </c>
      <c r="P575" s="407">
        <v>0.03</v>
      </c>
      <c r="Q575" s="407">
        <v>0.03</v>
      </c>
      <c r="R575" s="407"/>
      <c r="S575" s="407">
        <v>547.54</v>
      </c>
      <c r="T575" s="407">
        <v>159.41</v>
      </c>
      <c r="U575" s="407"/>
      <c r="V575" s="407">
        <v>21.208499999999997</v>
      </c>
      <c r="W575" s="407">
        <v>21.208499999999997</v>
      </c>
      <c r="X575" s="407">
        <v>15.534600000000001</v>
      </c>
      <c r="Y575" s="407">
        <v>0</v>
      </c>
      <c r="Z575" s="407">
        <v>0</v>
      </c>
      <c r="AA575" s="407">
        <v>0</v>
      </c>
      <c r="AB575" s="407">
        <v>0</v>
      </c>
      <c r="AC575" s="407">
        <v>0</v>
      </c>
      <c r="AD575" s="407">
        <v>3.4993327863574799</v>
      </c>
      <c r="AE575" s="407">
        <v>12.52637972361231</v>
      </c>
      <c r="AF575" s="407">
        <v>4.6269215013932694</v>
      </c>
      <c r="AG575" s="407">
        <v>0.15545241714332131</v>
      </c>
      <c r="AH575" s="407">
        <v>0</v>
      </c>
      <c r="AI575" s="407">
        <v>0</v>
      </c>
      <c r="AJ575" s="407">
        <v>0</v>
      </c>
      <c r="AK575" s="407">
        <v>0</v>
      </c>
      <c r="AL575" s="407">
        <v>0</v>
      </c>
      <c r="AM575" s="407"/>
      <c r="AN575" s="407">
        <v>6.2252869214350789E-2</v>
      </c>
      <c r="AO575" s="407">
        <v>0</v>
      </c>
      <c r="AP575" s="407">
        <v>0</v>
      </c>
      <c r="AQ575" s="407">
        <v>0</v>
      </c>
      <c r="AR575" s="407">
        <v>0</v>
      </c>
      <c r="AS575" s="407">
        <v>0</v>
      </c>
      <c r="AT575" s="407">
        <v>0</v>
      </c>
      <c r="AU575" s="407">
        <v>0</v>
      </c>
      <c r="AV575" s="407">
        <v>0</v>
      </c>
      <c r="AW575" s="407">
        <v>0</v>
      </c>
      <c r="AX575" s="407">
        <v>0</v>
      </c>
      <c r="AY575" s="407">
        <v>0</v>
      </c>
      <c r="AZ575" s="407">
        <v>0</v>
      </c>
      <c r="BA575" s="407"/>
      <c r="BB575" s="407">
        <v>0</v>
      </c>
      <c r="BC575" s="407">
        <v>0</v>
      </c>
      <c r="BD575" s="407">
        <v>0</v>
      </c>
      <c r="BE575" s="407">
        <v>0</v>
      </c>
      <c r="BF575" s="407">
        <v>0</v>
      </c>
      <c r="BG575" s="407">
        <v>0.33821318689485902</v>
      </c>
      <c r="BH575" s="407">
        <v>0</v>
      </c>
      <c r="BI575" s="407">
        <v>0.01</v>
      </c>
      <c r="BJ575" s="407">
        <v>0.05</v>
      </c>
      <c r="BK575" s="407">
        <v>5.28</v>
      </c>
      <c r="BL575" s="407">
        <v>0</v>
      </c>
      <c r="BM575" s="407"/>
      <c r="BN575" s="407"/>
      <c r="BO575" s="407"/>
      <c r="BP575" s="407"/>
      <c r="BQ575" s="407"/>
      <c r="BR575" s="407"/>
      <c r="BS575" s="407"/>
      <c r="BT575" s="407">
        <v>10.0974</v>
      </c>
      <c r="BU575" s="407"/>
      <c r="BV575" s="407">
        <v>4.9651346882881287</v>
      </c>
      <c r="BW575" s="407"/>
      <c r="BX575" s="407"/>
      <c r="BY575" s="407"/>
      <c r="BZ575" s="407"/>
      <c r="CA575" s="407"/>
      <c r="CB575" s="407"/>
      <c r="CC575" s="407"/>
      <c r="CD575" s="407"/>
      <c r="CE575" s="407"/>
      <c r="CF575" s="407"/>
      <c r="CG575" s="407"/>
      <c r="CH575" s="407"/>
      <c r="CI575" s="407">
        <v>5.4371999999999998</v>
      </c>
      <c r="CJ575" s="407">
        <v>-2.0156999999999989</v>
      </c>
      <c r="CK575" s="407"/>
      <c r="CL575" s="407"/>
      <c r="CM575" s="407"/>
      <c r="CN575" s="407"/>
      <c r="CO575" s="407">
        <v>-6.4979999999999984</v>
      </c>
      <c r="CP575" s="407">
        <v>0.82409999999999994</v>
      </c>
      <c r="CQ575" s="407">
        <v>30</v>
      </c>
      <c r="CR575" s="407">
        <v>0.72446530974039369</v>
      </c>
      <c r="CS575" s="407">
        <v>0</v>
      </c>
      <c r="CT575" s="407">
        <v>0</v>
      </c>
      <c r="CU575" s="407">
        <v>0</v>
      </c>
      <c r="CV575" s="407">
        <v>0</v>
      </c>
      <c r="CW575" s="407">
        <v>0</v>
      </c>
      <c r="CX575" s="407">
        <v>0</v>
      </c>
      <c r="CY575" s="407">
        <v>0</v>
      </c>
      <c r="CZ575" s="407">
        <v>0.1580718004719297</v>
      </c>
      <c r="DA575" s="407">
        <v>0</v>
      </c>
      <c r="DB575" s="407">
        <v>0</v>
      </c>
      <c r="DC575" s="407">
        <v>0.91739358443204999</v>
      </c>
      <c r="DD575" s="407">
        <v>0</v>
      </c>
      <c r="DE575" s="407">
        <v>0</v>
      </c>
      <c r="DF575" s="407">
        <v>0</v>
      </c>
      <c r="DG575" s="407">
        <v>6.7058541566834939E-2</v>
      </c>
      <c r="DH575" s="407">
        <v>0</v>
      </c>
      <c r="DI575" s="407">
        <v>0</v>
      </c>
      <c r="DJ575" s="407"/>
      <c r="DK575" s="407">
        <v>0</v>
      </c>
      <c r="DL575" s="407">
        <v>0</v>
      </c>
      <c r="DM575" s="407">
        <v>0</v>
      </c>
      <c r="DN575" s="407">
        <v>0</v>
      </c>
      <c r="DO575" s="407">
        <v>0</v>
      </c>
      <c r="DP575" s="407">
        <v>-3.9666025352771903E-3</v>
      </c>
      <c r="DQ575" s="407">
        <v>0</v>
      </c>
      <c r="DR575" s="407">
        <v>-0.41409201419514241</v>
      </c>
      <c r="DS575" s="407"/>
      <c r="DT575" s="407"/>
      <c r="DU575" s="407"/>
      <c r="DV575" s="407">
        <v>12.52637972361231</v>
      </c>
      <c r="DW575" s="407">
        <v>0</v>
      </c>
      <c r="DX575" s="407">
        <v>0</v>
      </c>
      <c r="DY575" s="407">
        <v>-6.4979999999999976</v>
      </c>
      <c r="DZ575" s="407">
        <v>0.8241000000000005</v>
      </c>
      <c r="EA575" s="407">
        <v>0</v>
      </c>
      <c r="EB575" s="407">
        <v>0</v>
      </c>
      <c r="EC575" s="407">
        <v>-6.3985038568832699</v>
      </c>
      <c r="ED575" s="407">
        <v>0</v>
      </c>
      <c r="EE575" s="407">
        <v>0</v>
      </c>
      <c r="EF575" s="407">
        <v>0</v>
      </c>
      <c r="EG575" s="407">
        <v>0</v>
      </c>
      <c r="EH575" s="407">
        <v>0</v>
      </c>
      <c r="EI575" s="407">
        <v>0</v>
      </c>
      <c r="EJ575" s="407">
        <v>0</v>
      </c>
      <c r="EK575" s="407">
        <v>0</v>
      </c>
      <c r="EL575" s="407">
        <v>0</v>
      </c>
      <c r="EM575" s="407">
        <v>0</v>
      </c>
      <c r="EN575" s="407">
        <v>0</v>
      </c>
      <c r="EO575" s="407">
        <v>0</v>
      </c>
      <c r="EP575" s="407">
        <v>0</v>
      </c>
      <c r="EQ575" s="407">
        <v>0</v>
      </c>
      <c r="ER575" s="407">
        <v>0</v>
      </c>
      <c r="ES575" s="407">
        <v>0</v>
      </c>
      <c r="ET575" s="407">
        <v>0</v>
      </c>
      <c r="EU575" s="407">
        <v>0</v>
      </c>
      <c r="EV575" s="407">
        <v>246</v>
      </c>
      <c r="EW575" s="407">
        <v>0</v>
      </c>
      <c r="EX575" s="407">
        <v>0</v>
      </c>
      <c r="EY575" s="407">
        <v>0</v>
      </c>
      <c r="EZ575" s="407"/>
      <c r="FA575" s="407">
        <v>0</v>
      </c>
      <c r="FB575" s="407"/>
      <c r="FC575" s="407"/>
      <c r="FD575" s="407"/>
      <c r="FE575" s="407"/>
      <c r="FF575" s="407">
        <v>0</v>
      </c>
      <c r="FG575" s="407">
        <v>0</v>
      </c>
      <c r="FH575" s="407">
        <v>0</v>
      </c>
      <c r="FI575" s="407">
        <v>0</v>
      </c>
    </row>
    <row r="576" spans="1:165">
      <c r="A576" s="407">
        <v>599</v>
      </c>
      <c r="B576" s="407" t="s">
        <v>1090</v>
      </c>
      <c r="C576" s="407" t="s">
        <v>2306</v>
      </c>
      <c r="D576" s="407" t="s">
        <v>1218</v>
      </c>
      <c r="E576" s="407" t="s">
        <v>1021</v>
      </c>
      <c r="F576" s="407" t="s">
        <v>2311</v>
      </c>
      <c r="G576" s="407" t="s">
        <v>97</v>
      </c>
      <c r="H576" s="407" t="s">
        <v>97</v>
      </c>
      <c r="I576" s="407" t="s">
        <v>97</v>
      </c>
      <c r="J576" s="407" t="s">
        <v>2307</v>
      </c>
      <c r="K576" s="818">
        <v>44652</v>
      </c>
      <c r="L576" s="407">
        <v>0</v>
      </c>
      <c r="M576" s="407">
        <v>0</v>
      </c>
      <c r="N576" s="407">
        <v>90.688000000000002</v>
      </c>
      <c r="O576" s="407">
        <v>90.688000000000002</v>
      </c>
      <c r="P576" s="407">
        <v>90.688000000000002</v>
      </c>
      <c r="Q576" s="407">
        <v>90.688000000000002</v>
      </c>
      <c r="R576" s="407"/>
      <c r="S576" s="407">
        <v>547.54</v>
      </c>
      <c r="T576" s="407">
        <v>159.41</v>
      </c>
      <c r="U576" s="407"/>
      <c r="V576" s="407">
        <v>64111.881599999993</v>
      </c>
      <c r="W576" s="407">
        <v>64111.881599999993</v>
      </c>
      <c r="X576" s="407">
        <v>46960.060160000001</v>
      </c>
      <c r="Y576" s="407">
        <v>0</v>
      </c>
      <c r="Z576" s="407">
        <v>0</v>
      </c>
      <c r="AA576" s="407">
        <v>0</v>
      </c>
      <c r="AB576" s="407">
        <v>0</v>
      </c>
      <c r="AC576" s="407">
        <v>0</v>
      </c>
      <c r="AD576" s="407">
        <v>10578.249724306239</v>
      </c>
      <c r="AE576" s="407">
        <v>37866.410812498441</v>
      </c>
      <c r="AF576" s="407">
        <v>13986.875237278429</v>
      </c>
      <c r="AG576" s="407">
        <v>469.9222935297841</v>
      </c>
      <c r="AH576" s="407">
        <v>0</v>
      </c>
      <c r="AI576" s="407">
        <v>0</v>
      </c>
      <c r="AJ576" s="407">
        <v>0</v>
      </c>
      <c r="AK576" s="407">
        <v>0</v>
      </c>
      <c r="AL576" s="407">
        <v>0</v>
      </c>
      <c r="AM576" s="407"/>
      <c r="AN576" s="407">
        <v>188.18627344370151</v>
      </c>
      <c r="AO576" s="407">
        <v>0</v>
      </c>
      <c r="AP576" s="407">
        <v>0</v>
      </c>
      <c r="AQ576" s="407">
        <v>0</v>
      </c>
      <c r="AR576" s="407">
        <v>0</v>
      </c>
      <c r="AS576" s="407">
        <v>0</v>
      </c>
      <c r="AT576" s="407">
        <v>0</v>
      </c>
      <c r="AU576" s="407">
        <v>0</v>
      </c>
      <c r="AV576" s="407">
        <v>0</v>
      </c>
      <c r="AW576" s="407">
        <v>0</v>
      </c>
      <c r="AX576" s="407">
        <v>0</v>
      </c>
      <c r="AY576" s="407">
        <v>0</v>
      </c>
      <c r="AZ576" s="407">
        <v>0</v>
      </c>
      <c r="BA576" s="407"/>
      <c r="BB576" s="407">
        <v>0</v>
      </c>
      <c r="BC576" s="407">
        <v>0</v>
      </c>
      <c r="BD576" s="407">
        <v>0</v>
      </c>
      <c r="BE576" s="407">
        <v>0</v>
      </c>
      <c r="BF576" s="407">
        <v>0</v>
      </c>
      <c r="BG576" s="407">
        <v>1022.3959164373658</v>
      </c>
      <c r="BH576" s="407">
        <v>0</v>
      </c>
      <c r="BI576" s="407">
        <v>50.62</v>
      </c>
      <c r="BJ576" s="407">
        <v>283.20999999999998</v>
      </c>
      <c r="BK576" s="407">
        <v>9347.74</v>
      </c>
      <c r="BL576" s="407">
        <v>386</v>
      </c>
      <c r="BM576" s="407"/>
      <c r="BN576" s="407"/>
      <c r="BO576" s="407"/>
      <c r="BP576" s="407"/>
      <c r="BQ576" s="407"/>
      <c r="BR576" s="407"/>
      <c r="BS576" s="407"/>
      <c r="BT576" s="407">
        <v>18784.205439999998</v>
      </c>
      <c r="BU576" s="407"/>
      <c r="BV576" s="407">
        <v>15009.271153715796</v>
      </c>
      <c r="BW576" s="407"/>
      <c r="BX576" s="407"/>
      <c r="BY576" s="407"/>
      <c r="BZ576" s="407"/>
      <c r="CA576" s="407"/>
      <c r="CB576" s="407"/>
      <c r="CC576" s="407"/>
      <c r="CD576" s="407"/>
      <c r="CE576" s="407"/>
      <c r="CF576" s="407"/>
      <c r="CG576" s="407"/>
      <c r="CH576" s="407"/>
      <c r="CI576" s="407">
        <v>28176.4761</v>
      </c>
      <c r="CJ576" s="407">
        <v>-10290.682860000001</v>
      </c>
      <c r="CK576" s="407"/>
      <c r="CL576" s="407"/>
      <c r="CM576" s="407"/>
      <c r="CN576" s="407"/>
      <c r="CO576" s="407">
        <v>-19643.020799999998</v>
      </c>
      <c r="CP576" s="407">
        <v>2491.1993600000001</v>
      </c>
      <c r="CQ576" s="407">
        <v>30</v>
      </c>
      <c r="CR576" s="407">
        <v>2190.0103336578977</v>
      </c>
      <c r="CS576" s="407">
        <v>0</v>
      </c>
      <c r="CT576" s="407">
        <v>0</v>
      </c>
      <c r="CU576" s="407">
        <v>0</v>
      </c>
      <c r="CV576" s="407">
        <v>0</v>
      </c>
      <c r="CW576" s="407">
        <v>0</v>
      </c>
      <c r="CX576" s="407">
        <v>0</v>
      </c>
      <c r="CY576" s="407">
        <v>0</v>
      </c>
      <c r="CZ576" s="407">
        <v>477.84051470661325</v>
      </c>
      <c r="DA576" s="407">
        <v>0</v>
      </c>
      <c r="DB576" s="407">
        <v>0</v>
      </c>
      <c r="DC576" s="407">
        <v>2773.2196461657913</v>
      </c>
      <c r="DD576" s="407">
        <v>0</v>
      </c>
      <c r="DE576" s="407">
        <v>0</v>
      </c>
      <c r="DF576" s="407">
        <v>0</v>
      </c>
      <c r="DG576" s="407">
        <v>202.71350058710448</v>
      </c>
      <c r="DH576" s="407">
        <v>0</v>
      </c>
      <c r="DI576" s="407">
        <v>0</v>
      </c>
      <c r="DJ576" s="407"/>
      <c r="DK576" s="407">
        <v>0</v>
      </c>
      <c r="DL576" s="407">
        <v>0</v>
      </c>
      <c r="DM576" s="407">
        <v>0</v>
      </c>
      <c r="DN576" s="407">
        <v>0</v>
      </c>
      <c r="DO576" s="407">
        <v>0</v>
      </c>
      <c r="DP576" s="407">
        <v>-11.990775023973953</v>
      </c>
      <c r="DQ576" s="407">
        <v>0</v>
      </c>
      <c r="DR576" s="407">
        <v>-1251.7725527776358</v>
      </c>
      <c r="DS576" s="407"/>
      <c r="DT576" s="407"/>
      <c r="DU576" s="407"/>
      <c r="DV576" s="407">
        <v>37866.410812498441</v>
      </c>
      <c r="DW576" s="407">
        <v>0</v>
      </c>
      <c r="DX576" s="407">
        <v>0</v>
      </c>
      <c r="DY576" s="407">
        <v>-19643.020799999995</v>
      </c>
      <c r="DZ576" s="407">
        <v>2491.1993600000005</v>
      </c>
      <c r="EA576" s="407">
        <v>0</v>
      </c>
      <c r="EB576" s="407">
        <v>0</v>
      </c>
      <c r="EC576" s="407">
        <v>-19342.250592434335</v>
      </c>
      <c r="ED576" s="407">
        <v>0</v>
      </c>
      <c r="EE576" s="407">
        <v>0</v>
      </c>
      <c r="EF576" s="407">
        <v>0</v>
      </c>
      <c r="EG576" s="407">
        <v>0</v>
      </c>
      <c r="EH576" s="407">
        <v>0</v>
      </c>
      <c r="EI576" s="407">
        <v>0</v>
      </c>
      <c r="EJ576" s="407">
        <v>0</v>
      </c>
      <c r="EK576" s="407">
        <v>0</v>
      </c>
      <c r="EL576" s="407">
        <v>0</v>
      </c>
      <c r="EM576" s="407">
        <v>0</v>
      </c>
      <c r="EN576" s="407">
        <v>0</v>
      </c>
      <c r="EO576" s="407">
        <v>0</v>
      </c>
      <c r="EP576" s="407">
        <v>0</v>
      </c>
      <c r="EQ576" s="407">
        <v>0</v>
      </c>
      <c r="ER576" s="407">
        <v>0</v>
      </c>
      <c r="ES576" s="407">
        <v>0</v>
      </c>
      <c r="ET576" s="407">
        <v>0</v>
      </c>
      <c r="EU576" s="407">
        <v>0</v>
      </c>
      <c r="EV576" s="407">
        <v>246</v>
      </c>
      <c r="EW576" s="407">
        <v>0</v>
      </c>
      <c r="EX576" s="407">
        <v>0</v>
      </c>
      <c r="EY576" s="407">
        <v>0</v>
      </c>
      <c r="EZ576" s="407"/>
      <c r="FA576" s="407">
        <v>0</v>
      </c>
      <c r="FB576" s="407"/>
      <c r="FC576" s="407"/>
      <c r="FD576" s="407"/>
      <c r="FE576" s="407"/>
      <c r="FF576" s="407">
        <v>0</v>
      </c>
      <c r="FG576" s="407">
        <v>0</v>
      </c>
      <c r="FH576" s="407">
        <v>0</v>
      </c>
      <c r="FI576" s="407">
        <v>0</v>
      </c>
    </row>
    <row r="577" spans="1:165">
      <c r="A577" s="407">
        <v>600</v>
      </c>
      <c r="B577" s="407" t="s">
        <v>2309</v>
      </c>
      <c r="C577" s="407" t="s">
        <v>2306</v>
      </c>
      <c r="D577" s="407" t="s">
        <v>1218</v>
      </c>
      <c r="E577" s="407" t="s">
        <v>1021</v>
      </c>
      <c r="F577" s="407" t="s">
        <v>2311</v>
      </c>
      <c r="G577" s="407" t="s">
        <v>97</v>
      </c>
      <c r="H577" s="407" t="s">
        <v>97</v>
      </c>
      <c r="I577" s="407" t="s">
        <v>97</v>
      </c>
      <c r="J577" s="407" t="s">
        <v>2307</v>
      </c>
      <c r="K577" s="818">
        <v>44652</v>
      </c>
      <c r="L577" s="407">
        <v>0</v>
      </c>
      <c r="M577" s="407">
        <v>0</v>
      </c>
      <c r="N577" s="407">
        <v>7.0000000000000007E-2</v>
      </c>
      <c r="O577" s="407">
        <v>7.0000000000000007E-2</v>
      </c>
      <c r="P577" s="407">
        <v>7.0000000000000007E-2</v>
      </c>
      <c r="Q577" s="407">
        <v>7.0000000000000007E-2</v>
      </c>
      <c r="R577" s="407"/>
      <c r="S577" s="407">
        <v>547.54</v>
      </c>
      <c r="T577" s="407">
        <v>159.41</v>
      </c>
      <c r="U577" s="407"/>
      <c r="V577" s="407">
        <v>49.486500000000007</v>
      </c>
      <c r="W577" s="407">
        <v>49.486500000000007</v>
      </c>
      <c r="X577" s="407">
        <v>36.247399999999999</v>
      </c>
      <c r="Y577" s="407">
        <v>0</v>
      </c>
      <c r="Z577" s="407">
        <v>0</v>
      </c>
      <c r="AA577" s="407">
        <v>0</v>
      </c>
      <c r="AB577" s="407">
        <v>0</v>
      </c>
      <c r="AC577" s="407">
        <v>0</v>
      </c>
      <c r="AD577" s="407">
        <v>8.1651098348341211</v>
      </c>
      <c r="AE577" s="407">
        <v>29.228219355095394</v>
      </c>
      <c r="AF577" s="407">
        <v>10.796150169917631</v>
      </c>
      <c r="AG577" s="407">
        <v>0.36272230666774974</v>
      </c>
      <c r="AH577" s="407">
        <v>0</v>
      </c>
      <c r="AI577" s="407">
        <v>0</v>
      </c>
      <c r="AJ577" s="407">
        <v>0</v>
      </c>
      <c r="AK577" s="407">
        <v>0</v>
      </c>
      <c r="AL577" s="407">
        <v>0</v>
      </c>
      <c r="AM577" s="407"/>
      <c r="AN577" s="407">
        <v>0.14525669483348519</v>
      </c>
      <c r="AO577" s="407">
        <v>0</v>
      </c>
      <c r="AP577" s="407">
        <v>0</v>
      </c>
      <c r="AQ577" s="407">
        <v>0</v>
      </c>
      <c r="AR577" s="407">
        <v>0</v>
      </c>
      <c r="AS577" s="407">
        <v>0</v>
      </c>
      <c r="AT577" s="407">
        <v>0</v>
      </c>
      <c r="AU577" s="407">
        <v>0</v>
      </c>
      <c r="AV577" s="407">
        <v>0</v>
      </c>
      <c r="AW577" s="407">
        <v>0</v>
      </c>
      <c r="AX577" s="407">
        <v>0</v>
      </c>
      <c r="AY577" s="407">
        <v>0</v>
      </c>
      <c r="AZ577" s="407">
        <v>0</v>
      </c>
      <c r="BA577" s="407"/>
      <c r="BB577" s="407">
        <v>0</v>
      </c>
      <c r="BC577" s="407">
        <v>0</v>
      </c>
      <c r="BD577" s="407">
        <v>0</v>
      </c>
      <c r="BE577" s="407">
        <v>0</v>
      </c>
      <c r="BF577" s="407">
        <v>0</v>
      </c>
      <c r="BG577" s="407">
        <v>0.78916410275467108</v>
      </c>
      <c r="BH577" s="407">
        <v>0</v>
      </c>
      <c r="BI577" s="407">
        <v>0.04</v>
      </c>
      <c r="BJ577" s="407">
        <v>0.22</v>
      </c>
      <c r="BK577" s="407">
        <v>21.22</v>
      </c>
      <c r="BL577" s="407">
        <v>0</v>
      </c>
      <c r="BM577" s="407"/>
      <c r="BN577" s="407"/>
      <c r="BO577" s="407"/>
      <c r="BP577" s="407"/>
      <c r="BQ577" s="407"/>
      <c r="BR577" s="407"/>
      <c r="BS577" s="407"/>
      <c r="BT577" s="407">
        <v>14.499100000000002</v>
      </c>
      <c r="BU577" s="407"/>
      <c r="BV577" s="407">
        <v>11.585314272672303</v>
      </c>
      <c r="BW577" s="407"/>
      <c r="BX577" s="407"/>
      <c r="BY577" s="407"/>
      <c r="BZ577" s="407"/>
      <c r="CA577" s="407"/>
      <c r="CB577" s="407"/>
      <c r="CC577" s="407"/>
      <c r="CD577" s="407"/>
      <c r="CE577" s="407"/>
      <c r="CF577" s="407"/>
      <c r="CG577" s="407"/>
      <c r="CH577" s="407"/>
      <c r="CI577" s="407">
        <v>21.748300000000004</v>
      </c>
      <c r="CJ577" s="407">
        <v>-7.9736000000000047</v>
      </c>
      <c r="CK577" s="407"/>
      <c r="CL577" s="407"/>
      <c r="CM577" s="407"/>
      <c r="CN577" s="407"/>
      <c r="CO577" s="407">
        <v>-15.161999999999999</v>
      </c>
      <c r="CP577" s="407">
        <v>1.9229000000000001</v>
      </c>
      <c r="CQ577" s="407">
        <v>30</v>
      </c>
      <c r="CR577" s="407">
        <v>1.6904190560609216</v>
      </c>
      <c r="CS577" s="407">
        <v>0</v>
      </c>
      <c r="CT577" s="407">
        <v>0</v>
      </c>
      <c r="CU577" s="407">
        <v>0</v>
      </c>
      <c r="CV577" s="407">
        <v>0</v>
      </c>
      <c r="CW577" s="407">
        <v>0</v>
      </c>
      <c r="CX577" s="407">
        <v>0</v>
      </c>
      <c r="CY577" s="407">
        <v>0</v>
      </c>
      <c r="CZ577" s="407">
        <v>0.36883420110116916</v>
      </c>
      <c r="DA577" s="407">
        <v>0</v>
      </c>
      <c r="DB577" s="407">
        <v>0</v>
      </c>
      <c r="DC577" s="407">
        <v>2.14058503034145</v>
      </c>
      <c r="DD577" s="407">
        <v>0</v>
      </c>
      <c r="DE577" s="407">
        <v>0</v>
      </c>
      <c r="DF577" s="407">
        <v>0</v>
      </c>
      <c r="DG577" s="407">
        <v>0.15646993032261503</v>
      </c>
      <c r="DH577" s="407">
        <v>0</v>
      </c>
      <c r="DI577" s="407">
        <v>0</v>
      </c>
      <c r="DJ577" s="407"/>
      <c r="DK577" s="407">
        <v>0</v>
      </c>
      <c r="DL577" s="407">
        <v>0</v>
      </c>
      <c r="DM577" s="407">
        <v>0</v>
      </c>
      <c r="DN577" s="407">
        <v>0</v>
      </c>
      <c r="DO577" s="407">
        <v>0</v>
      </c>
      <c r="DP577" s="407">
        <v>-9.255405915646775E-3</v>
      </c>
      <c r="DQ577" s="407">
        <v>0</v>
      </c>
      <c r="DR577" s="407">
        <v>-0.9662146997886657</v>
      </c>
      <c r="DS577" s="407"/>
      <c r="DT577" s="407"/>
      <c r="DU577" s="407"/>
      <c r="DV577" s="407">
        <v>29.228219355095394</v>
      </c>
      <c r="DW577" s="407">
        <v>0</v>
      </c>
      <c r="DX577" s="407">
        <v>0</v>
      </c>
      <c r="DY577" s="407">
        <v>-15.162000000000003</v>
      </c>
      <c r="DZ577" s="407">
        <v>1.9229000000000003</v>
      </c>
      <c r="EA577" s="407">
        <v>0</v>
      </c>
      <c r="EB577" s="407">
        <v>0</v>
      </c>
      <c r="EC577" s="407">
        <v>-14.929842332727631</v>
      </c>
      <c r="ED577" s="407">
        <v>0</v>
      </c>
      <c r="EE577" s="407">
        <v>0</v>
      </c>
      <c r="EF577" s="407">
        <v>0</v>
      </c>
      <c r="EG577" s="407">
        <v>0</v>
      </c>
      <c r="EH577" s="407">
        <v>0</v>
      </c>
      <c r="EI577" s="407">
        <v>0</v>
      </c>
      <c r="EJ577" s="407">
        <v>0</v>
      </c>
      <c r="EK577" s="407">
        <v>0</v>
      </c>
      <c r="EL577" s="407">
        <v>0</v>
      </c>
      <c r="EM577" s="407">
        <v>0</v>
      </c>
      <c r="EN577" s="407">
        <v>0</v>
      </c>
      <c r="EO577" s="407">
        <v>0</v>
      </c>
      <c r="EP577" s="407">
        <v>0</v>
      </c>
      <c r="EQ577" s="407">
        <v>0</v>
      </c>
      <c r="ER577" s="407">
        <v>0</v>
      </c>
      <c r="ES577" s="407">
        <v>0</v>
      </c>
      <c r="ET577" s="407">
        <v>0</v>
      </c>
      <c r="EU577" s="407">
        <v>0</v>
      </c>
      <c r="EV577" s="407">
        <v>246</v>
      </c>
      <c r="EW577" s="407">
        <v>0</v>
      </c>
      <c r="EX577" s="407">
        <v>0</v>
      </c>
      <c r="EY577" s="407">
        <v>0</v>
      </c>
      <c r="EZ577" s="407"/>
      <c r="FA577" s="407">
        <v>0</v>
      </c>
      <c r="FB577" s="407"/>
      <c r="FC577" s="407"/>
      <c r="FD577" s="407"/>
      <c r="FE577" s="407"/>
      <c r="FF577" s="407">
        <v>0</v>
      </c>
      <c r="FG577" s="407">
        <v>0</v>
      </c>
      <c r="FH577" s="407">
        <v>0</v>
      </c>
      <c r="FI577" s="407">
        <v>0</v>
      </c>
    </row>
    <row r="578" spans="1:165">
      <c r="A578" s="407">
        <v>601</v>
      </c>
      <c r="B578" s="407" t="s">
        <v>1090</v>
      </c>
      <c r="C578" s="407" t="s">
        <v>2306</v>
      </c>
      <c r="D578" s="407" t="s">
        <v>1218</v>
      </c>
      <c r="E578" s="407" t="s">
        <v>1021</v>
      </c>
      <c r="F578" s="407" t="s">
        <v>2312</v>
      </c>
      <c r="G578" s="407" t="s">
        <v>97</v>
      </c>
      <c r="H578" s="407" t="s">
        <v>97</v>
      </c>
      <c r="I578" s="407" t="s">
        <v>97</v>
      </c>
      <c r="J578" s="407" t="s">
        <v>2307</v>
      </c>
      <c r="K578" s="818">
        <v>44652</v>
      </c>
      <c r="L578" s="407">
        <v>0</v>
      </c>
      <c r="M578" s="407">
        <v>0</v>
      </c>
      <c r="N578" s="407">
        <v>72.463999999999999</v>
      </c>
      <c r="O578" s="407">
        <v>72.463999999999999</v>
      </c>
      <c r="P578" s="407">
        <v>72.463999999999999</v>
      </c>
      <c r="Q578" s="407">
        <v>72.463999999999999</v>
      </c>
      <c r="R578" s="407"/>
      <c r="S578" s="407">
        <v>547.54</v>
      </c>
      <c r="T578" s="407">
        <v>159.41</v>
      </c>
      <c r="U578" s="407"/>
      <c r="V578" s="407">
        <v>51228.424799999993</v>
      </c>
      <c r="W578" s="407">
        <v>51228.424799999993</v>
      </c>
      <c r="X578" s="407">
        <v>37523.30848</v>
      </c>
      <c r="Y578" s="407">
        <v>0</v>
      </c>
      <c r="Z578" s="407">
        <v>0</v>
      </c>
      <c r="AA578" s="407">
        <v>0</v>
      </c>
      <c r="AB578" s="407">
        <v>0</v>
      </c>
      <c r="AC578" s="407">
        <v>0</v>
      </c>
      <c r="AD578" s="407">
        <v>8452.5217010202814</v>
      </c>
      <c r="AE578" s="407">
        <v>30257.052676394749</v>
      </c>
      <c r="AF578" s="407">
        <v>11176.174655898729</v>
      </c>
      <c r="AG578" s="407">
        <v>375.49013186245452</v>
      </c>
      <c r="AH578" s="407">
        <v>0</v>
      </c>
      <c r="AI578" s="407">
        <v>0</v>
      </c>
      <c r="AJ578" s="407">
        <v>0</v>
      </c>
      <c r="AK578" s="407">
        <v>0</v>
      </c>
      <c r="AL578" s="407">
        <v>0</v>
      </c>
      <c r="AM578" s="407"/>
      <c r="AN578" s="407">
        <v>150.36973049162387</v>
      </c>
      <c r="AO578" s="407">
        <v>0</v>
      </c>
      <c r="AP578" s="407">
        <v>0</v>
      </c>
      <c r="AQ578" s="407">
        <v>0</v>
      </c>
      <c r="AR578" s="407">
        <v>0</v>
      </c>
      <c r="AS578" s="407">
        <v>0</v>
      </c>
      <c r="AT578" s="407">
        <v>0</v>
      </c>
      <c r="AU578" s="407">
        <v>0</v>
      </c>
      <c r="AV578" s="407">
        <v>0</v>
      </c>
      <c r="AW578" s="407">
        <v>0</v>
      </c>
      <c r="AX578" s="407">
        <v>0</v>
      </c>
      <c r="AY578" s="407">
        <v>0</v>
      </c>
      <c r="AZ578" s="407">
        <v>0</v>
      </c>
      <c r="BA578" s="407"/>
      <c r="BB578" s="407">
        <v>0</v>
      </c>
      <c r="BC578" s="407">
        <v>0</v>
      </c>
      <c r="BD578" s="407">
        <v>0</v>
      </c>
      <c r="BE578" s="407">
        <v>0</v>
      </c>
      <c r="BF578" s="407">
        <v>0</v>
      </c>
      <c r="BG578" s="407">
        <v>816.9426791716354</v>
      </c>
      <c r="BH578" s="407">
        <v>0</v>
      </c>
      <c r="BI578" s="407">
        <v>67.53</v>
      </c>
      <c r="BJ578" s="407">
        <v>342.3</v>
      </c>
      <c r="BK578" s="407">
        <v>11387.91</v>
      </c>
      <c r="BL578" s="407">
        <v>846</v>
      </c>
      <c r="BM578" s="407"/>
      <c r="BN578" s="407"/>
      <c r="BO578" s="407"/>
      <c r="BP578" s="407"/>
      <c r="BQ578" s="407"/>
      <c r="BR578" s="407"/>
      <c r="BS578" s="407"/>
      <c r="BT578" s="407">
        <v>3752.9105600000016</v>
      </c>
      <c r="BU578" s="407"/>
      <c r="BV578" s="407">
        <v>11993.117335070365</v>
      </c>
      <c r="BW578" s="407"/>
      <c r="BX578" s="407"/>
      <c r="BY578" s="407"/>
      <c r="BZ578" s="407"/>
      <c r="CA578" s="407"/>
      <c r="CB578" s="407"/>
      <c r="CC578" s="407"/>
      <c r="CD578" s="407"/>
      <c r="CE578" s="407"/>
      <c r="CF578" s="407"/>
      <c r="CG578" s="407"/>
      <c r="CH578" s="407"/>
      <c r="CI578" s="407">
        <v>33768.533799999997</v>
      </c>
      <c r="CJ578" s="407">
        <v>-12337.44084000001</v>
      </c>
      <c r="CK578" s="407"/>
      <c r="CL578" s="407"/>
      <c r="CM578" s="407"/>
      <c r="CN578" s="407"/>
      <c r="CO578" s="407">
        <v>-15695.702399999996</v>
      </c>
      <c r="CP578" s="407">
        <v>1990.5860799999998</v>
      </c>
      <c r="CQ578" s="407">
        <v>30</v>
      </c>
      <c r="CR578" s="407">
        <v>1749.921806834267</v>
      </c>
      <c r="CS578" s="407">
        <v>0</v>
      </c>
      <c r="CT578" s="407">
        <v>0</v>
      </c>
      <c r="CU578" s="407">
        <v>0</v>
      </c>
      <c r="CV578" s="407">
        <v>0</v>
      </c>
      <c r="CW578" s="407">
        <v>0</v>
      </c>
      <c r="CX578" s="407">
        <v>0</v>
      </c>
      <c r="CY578" s="407">
        <v>0</v>
      </c>
      <c r="CZ578" s="407">
        <v>381.81716497992966</v>
      </c>
      <c r="DA578" s="407">
        <v>0</v>
      </c>
      <c r="DB578" s="407">
        <v>0</v>
      </c>
      <c r="DC578" s="407">
        <v>2215.9336234094699</v>
      </c>
      <c r="DD578" s="407">
        <v>0</v>
      </c>
      <c r="DE578" s="407">
        <v>0</v>
      </c>
      <c r="DF578" s="407">
        <v>0</v>
      </c>
      <c r="DG578" s="407">
        <v>161.977671869971</v>
      </c>
      <c r="DH578" s="407">
        <v>0</v>
      </c>
      <c r="DI578" s="407">
        <v>0</v>
      </c>
      <c r="DJ578" s="407"/>
      <c r="DK578" s="407">
        <v>0</v>
      </c>
      <c r="DL578" s="407">
        <v>0</v>
      </c>
      <c r="DM578" s="407">
        <v>0</v>
      </c>
      <c r="DN578" s="407">
        <v>0</v>
      </c>
      <c r="DO578" s="407">
        <v>0</v>
      </c>
      <c r="DP578" s="407">
        <v>-9.5811962038775675</v>
      </c>
      <c r="DQ578" s="407">
        <v>0</v>
      </c>
      <c r="DR578" s="407">
        <v>-1000.2254572212266</v>
      </c>
      <c r="DS578" s="407"/>
      <c r="DT578" s="407"/>
      <c r="DU578" s="407"/>
      <c r="DV578" s="407">
        <v>30257.052676394749</v>
      </c>
      <c r="DW578" s="407">
        <v>0</v>
      </c>
      <c r="DX578" s="407">
        <v>0</v>
      </c>
      <c r="DY578" s="407">
        <v>-15695.702399999995</v>
      </c>
      <c r="DZ578" s="407">
        <v>1990.5860799999991</v>
      </c>
      <c r="EA578" s="407">
        <v>0</v>
      </c>
      <c r="EB578" s="407">
        <v>0</v>
      </c>
      <c r="EC578" s="407">
        <v>-15455.372782839644</v>
      </c>
      <c r="ED578" s="407">
        <v>0</v>
      </c>
      <c r="EE578" s="407">
        <v>0</v>
      </c>
      <c r="EF578" s="407">
        <v>0</v>
      </c>
      <c r="EG578" s="407">
        <v>0</v>
      </c>
      <c r="EH578" s="407">
        <v>0</v>
      </c>
      <c r="EI578" s="407">
        <v>0</v>
      </c>
      <c r="EJ578" s="407">
        <v>0</v>
      </c>
      <c r="EK578" s="407">
        <v>0</v>
      </c>
      <c r="EL578" s="407">
        <v>0</v>
      </c>
      <c r="EM578" s="407">
        <v>0</v>
      </c>
      <c r="EN578" s="407">
        <v>0</v>
      </c>
      <c r="EO578" s="407">
        <v>0</v>
      </c>
      <c r="EP578" s="407">
        <v>0</v>
      </c>
      <c r="EQ578" s="407">
        <v>0</v>
      </c>
      <c r="ER578" s="407">
        <v>0</v>
      </c>
      <c r="ES578" s="407">
        <v>0</v>
      </c>
      <c r="ET578" s="407">
        <v>0</v>
      </c>
      <c r="EU578" s="407">
        <v>0</v>
      </c>
      <c r="EV578" s="407">
        <v>246</v>
      </c>
      <c r="EW578" s="407">
        <v>0</v>
      </c>
      <c r="EX578" s="407">
        <v>0</v>
      </c>
      <c r="EY578" s="407">
        <v>0</v>
      </c>
      <c r="EZ578" s="407"/>
      <c r="FA578" s="407">
        <v>0</v>
      </c>
      <c r="FB578" s="407"/>
      <c r="FC578" s="407"/>
      <c r="FD578" s="407"/>
      <c r="FE578" s="407"/>
      <c r="FF578" s="407">
        <v>0</v>
      </c>
      <c r="FG578" s="407">
        <v>0</v>
      </c>
      <c r="FH578" s="407">
        <v>0</v>
      </c>
      <c r="FI578" s="407">
        <v>0</v>
      </c>
    </row>
    <row r="579" spans="1:165">
      <c r="A579" s="407">
        <v>602</v>
      </c>
      <c r="B579" s="407" t="s">
        <v>2309</v>
      </c>
      <c r="C579" s="407" t="s">
        <v>2306</v>
      </c>
      <c r="D579" s="407" t="s">
        <v>1218</v>
      </c>
      <c r="E579" s="407" t="s">
        <v>1021</v>
      </c>
      <c r="F579" s="407" t="s">
        <v>2312</v>
      </c>
      <c r="G579" s="407" t="s">
        <v>97</v>
      </c>
      <c r="H579" s="407" t="s">
        <v>97</v>
      </c>
      <c r="I579" s="407" t="s">
        <v>97</v>
      </c>
      <c r="J579" s="407" t="s">
        <v>2307</v>
      </c>
      <c r="K579" s="818">
        <v>44652</v>
      </c>
      <c r="L579" s="407">
        <v>0</v>
      </c>
      <c r="M579" s="407">
        <v>0</v>
      </c>
      <c r="N579" s="407">
        <v>2.8000000000000001E-2</v>
      </c>
      <c r="O579" s="407">
        <v>2.8000000000000001E-2</v>
      </c>
      <c r="P579" s="407">
        <v>2.8000000000000001E-2</v>
      </c>
      <c r="Q579" s="407">
        <v>2.8000000000000001E-2</v>
      </c>
      <c r="R579" s="407"/>
      <c r="S579" s="407">
        <v>547.54</v>
      </c>
      <c r="T579" s="407">
        <v>159.41</v>
      </c>
      <c r="U579" s="407"/>
      <c r="V579" s="407">
        <v>19.794599999999999</v>
      </c>
      <c r="W579" s="407">
        <v>19.794599999999999</v>
      </c>
      <c r="X579" s="407">
        <v>14.49896</v>
      </c>
      <c r="Y579" s="407">
        <v>0</v>
      </c>
      <c r="Z579" s="407">
        <v>0</v>
      </c>
      <c r="AA579" s="407">
        <v>0</v>
      </c>
      <c r="AB579" s="407">
        <v>0</v>
      </c>
      <c r="AC579" s="407">
        <v>0</v>
      </c>
      <c r="AD579" s="407">
        <v>3.266043933933648</v>
      </c>
      <c r="AE579" s="407">
        <v>11.691287742038156</v>
      </c>
      <c r="AF579" s="407">
        <v>4.3184600679670515</v>
      </c>
      <c r="AG579" s="407">
        <v>0.14508892266709988</v>
      </c>
      <c r="AH579" s="407">
        <v>0</v>
      </c>
      <c r="AI579" s="407">
        <v>0</v>
      </c>
      <c r="AJ579" s="407">
        <v>0</v>
      </c>
      <c r="AK579" s="407">
        <v>0</v>
      </c>
      <c r="AL579" s="407">
        <v>0</v>
      </c>
      <c r="AM579" s="407"/>
      <c r="AN579" s="407">
        <v>5.8102677933394076E-2</v>
      </c>
      <c r="AO579" s="407">
        <v>0</v>
      </c>
      <c r="AP579" s="407">
        <v>0</v>
      </c>
      <c r="AQ579" s="407">
        <v>0</v>
      </c>
      <c r="AR579" s="407">
        <v>0</v>
      </c>
      <c r="AS579" s="407">
        <v>0</v>
      </c>
      <c r="AT579" s="407">
        <v>0</v>
      </c>
      <c r="AU579" s="407">
        <v>0</v>
      </c>
      <c r="AV579" s="407">
        <v>0</v>
      </c>
      <c r="AW579" s="407">
        <v>0</v>
      </c>
      <c r="AX579" s="407">
        <v>0</v>
      </c>
      <c r="AY579" s="407">
        <v>0</v>
      </c>
      <c r="AZ579" s="407">
        <v>0</v>
      </c>
      <c r="BA579" s="407"/>
      <c r="BB579" s="407">
        <v>0</v>
      </c>
      <c r="BC579" s="407">
        <v>0</v>
      </c>
      <c r="BD579" s="407">
        <v>0</v>
      </c>
      <c r="BE579" s="407">
        <v>0</v>
      </c>
      <c r="BF579" s="407">
        <v>0</v>
      </c>
      <c r="BG579" s="407">
        <v>0.3156656411018684</v>
      </c>
      <c r="BH579" s="407">
        <v>0</v>
      </c>
      <c r="BI579" s="407">
        <v>0.03</v>
      </c>
      <c r="BJ579" s="407">
        <v>0.13</v>
      </c>
      <c r="BK579" s="407">
        <v>42.02</v>
      </c>
      <c r="BL579" s="407">
        <v>2</v>
      </c>
      <c r="BM579" s="407"/>
      <c r="BN579" s="407"/>
      <c r="BO579" s="407"/>
      <c r="BP579" s="407"/>
      <c r="BQ579" s="407"/>
      <c r="BR579" s="407"/>
      <c r="BS579" s="407"/>
      <c r="BT579" s="407">
        <v>1.4501200000000005</v>
      </c>
      <c r="BU579" s="407"/>
      <c r="BV579" s="407">
        <v>4.6341257090689201</v>
      </c>
      <c r="BW579" s="407"/>
      <c r="BX579" s="407"/>
      <c r="BY579" s="407"/>
      <c r="BZ579" s="407"/>
      <c r="CA579" s="407"/>
      <c r="CB579" s="407"/>
      <c r="CC579" s="407"/>
      <c r="CD579" s="407"/>
      <c r="CE579" s="407"/>
      <c r="CF579" s="407"/>
      <c r="CG579" s="407"/>
      <c r="CH579" s="407"/>
      <c r="CI579" s="407">
        <v>13.980899999999998</v>
      </c>
      <c r="CJ579" s="407">
        <v>-3.8643800000000041</v>
      </c>
      <c r="CK579" s="407"/>
      <c r="CL579" s="407"/>
      <c r="CM579" s="407"/>
      <c r="CN579" s="407"/>
      <c r="CO579" s="407">
        <v>-6.0647999999999991</v>
      </c>
      <c r="CP579" s="407">
        <v>0.76915999999999995</v>
      </c>
      <c r="CQ579" s="407">
        <v>30</v>
      </c>
      <c r="CR579" s="407">
        <v>0.67616762242436756</v>
      </c>
      <c r="CS579" s="407">
        <v>0</v>
      </c>
      <c r="CT579" s="407">
        <v>0</v>
      </c>
      <c r="CU579" s="407">
        <v>0</v>
      </c>
      <c r="CV579" s="407">
        <v>0</v>
      </c>
      <c r="CW579" s="407">
        <v>0</v>
      </c>
      <c r="CX579" s="407">
        <v>0</v>
      </c>
      <c r="CY579" s="407">
        <v>0</v>
      </c>
      <c r="CZ579" s="407">
        <v>0.14753368044046811</v>
      </c>
      <c r="DA579" s="407">
        <v>0</v>
      </c>
      <c r="DB579" s="407">
        <v>0</v>
      </c>
      <c r="DC579" s="407">
        <v>0.85623401213658035</v>
      </c>
      <c r="DD579" s="407">
        <v>0</v>
      </c>
      <c r="DE579" s="407">
        <v>0</v>
      </c>
      <c r="DF579" s="407">
        <v>0</v>
      </c>
      <c r="DG579" s="407">
        <v>6.2587972129045988E-2</v>
      </c>
      <c r="DH579" s="407">
        <v>0</v>
      </c>
      <c r="DI579" s="407">
        <v>0</v>
      </c>
      <c r="DJ579" s="407"/>
      <c r="DK579" s="407">
        <v>0</v>
      </c>
      <c r="DL579" s="407">
        <v>0</v>
      </c>
      <c r="DM579" s="407">
        <v>0</v>
      </c>
      <c r="DN579" s="407">
        <v>0</v>
      </c>
      <c r="DO579" s="407">
        <v>0</v>
      </c>
      <c r="DP579" s="407">
        <v>-3.7021623662587128E-3</v>
      </c>
      <c r="DQ579" s="407">
        <v>0</v>
      </c>
      <c r="DR579" s="407">
        <v>-0.38648587991546623</v>
      </c>
      <c r="DS579" s="407"/>
      <c r="DT579" s="407"/>
      <c r="DU579" s="407"/>
      <c r="DV579" s="407">
        <v>11.691287742038156</v>
      </c>
      <c r="DW579" s="407">
        <v>0</v>
      </c>
      <c r="DX579" s="407">
        <v>0</v>
      </c>
      <c r="DY579" s="407">
        <v>-6.0647999999999982</v>
      </c>
      <c r="DZ579" s="407">
        <v>0.76916000000000029</v>
      </c>
      <c r="EA579" s="407">
        <v>0</v>
      </c>
      <c r="EB579" s="407">
        <v>0</v>
      </c>
      <c r="EC579" s="407">
        <v>-5.9719369330910519</v>
      </c>
      <c r="ED579" s="407">
        <v>0</v>
      </c>
      <c r="EE579" s="407">
        <v>0</v>
      </c>
      <c r="EF579" s="407">
        <v>0</v>
      </c>
      <c r="EG579" s="407">
        <v>0</v>
      </c>
      <c r="EH579" s="407">
        <v>0</v>
      </c>
      <c r="EI579" s="407">
        <v>0</v>
      </c>
      <c r="EJ579" s="407">
        <v>0</v>
      </c>
      <c r="EK579" s="407">
        <v>0</v>
      </c>
      <c r="EL579" s="407">
        <v>0</v>
      </c>
      <c r="EM579" s="407">
        <v>0</v>
      </c>
      <c r="EN579" s="407">
        <v>0</v>
      </c>
      <c r="EO579" s="407">
        <v>0</v>
      </c>
      <c r="EP579" s="407">
        <v>0</v>
      </c>
      <c r="EQ579" s="407">
        <v>0</v>
      </c>
      <c r="ER579" s="407">
        <v>0</v>
      </c>
      <c r="ES579" s="407">
        <v>0</v>
      </c>
      <c r="ET579" s="407">
        <v>0</v>
      </c>
      <c r="EU579" s="407">
        <v>0</v>
      </c>
      <c r="EV579" s="407">
        <v>246</v>
      </c>
      <c r="EW579" s="407">
        <v>0</v>
      </c>
      <c r="EX579" s="407">
        <v>0</v>
      </c>
      <c r="EY579" s="407">
        <v>0</v>
      </c>
      <c r="EZ579" s="407"/>
      <c r="FA579" s="407">
        <v>0</v>
      </c>
      <c r="FB579" s="407"/>
      <c r="FC579" s="407"/>
      <c r="FD579" s="407"/>
      <c r="FE579" s="407"/>
      <c r="FF579" s="407">
        <v>0</v>
      </c>
      <c r="FG579" s="407">
        <v>0</v>
      </c>
      <c r="FH579" s="407">
        <v>0</v>
      </c>
      <c r="FI579" s="407">
        <v>0</v>
      </c>
    </row>
    <row r="580" spans="1:165">
      <c r="A580" s="407">
        <v>603</v>
      </c>
      <c r="B580" s="407" t="s">
        <v>1090</v>
      </c>
      <c r="C580" s="407" t="s">
        <v>2306</v>
      </c>
      <c r="D580" s="407" t="s">
        <v>1218</v>
      </c>
      <c r="E580" s="407" t="s">
        <v>1021</v>
      </c>
      <c r="F580" s="407" t="s">
        <v>2313</v>
      </c>
      <c r="G580" s="407" t="s">
        <v>97</v>
      </c>
      <c r="H580" s="407" t="s">
        <v>97</v>
      </c>
      <c r="I580" s="407" t="s">
        <v>97</v>
      </c>
      <c r="J580" s="407" t="s">
        <v>2307</v>
      </c>
      <c r="K580" s="818">
        <v>44652</v>
      </c>
      <c r="L580" s="407">
        <v>0</v>
      </c>
      <c r="M580" s="407">
        <v>0</v>
      </c>
      <c r="N580" s="407">
        <v>14.282</v>
      </c>
      <c r="O580" s="407">
        <v>14.282</v>
      </c>
      <c r="P580" s="407">
        <v>14.282</v>
      </c>
      <c r="Q580" s="407">
        <v>14.282</v>
      </c>
      <c r="R580" s="407"/>
      <c r="S580" s="407">
        <v>547.54</v>
      </c>
      <c r="T580" s="407">
        <v>159.41</v>
      </c>
      <c r="U580" s="407"/>
      <c r="V580" s="407">
        <v>10096.659899999999</v>
      </c>
      <c r="W580" s="407">
        <v>10096.659899999999</v>
      </c>
      <c r="X580" s="407">
        <v>7395.5052400000004</v>
      </c>
      <c r="Y580" s="407">
        <v>0</v>
      </c>
      <c r="Z580" s="407">
        <v>0</v>
      </c>
      <c r="AA580" s="407">
        <v>0</v>
      </c>
      <c r="AB580" s="407">
        <v>0</v>
      </c>
      <c r="AC580" s="407">
        <v>0</v>
      </c>
      <c r="AD580" s="407">
        <v>1665.9156951585842</v>
      </c>
      <c r="AE580" s="407">
        <v>5963.3918404210335</v>
      </c>
      <c r="AF580" s="407">
        <v>2202.7230960966226</v>
      </c>
      <c r="AG580" s="407">
        <v>74.005714054697165</v>
      </c>
      <c r="AH580" s="407">
        <v>0</v>
      </c>
      <c r="AI580" s="407">
        <v>0</v>
      </c>
      <c r="AJ580" s="407">
        <v>0</v>
      </c>
      <c r="AK580" s="407">
        <v>0</v>
      </c>
      <c r="AL580" s="407">
        <v>0</v>
      </c>
      <c r="AM580" s="407"/>
      <c r="AN580" s="407">
        <v>29.636515937311934</v>
      </c>
      <c r="AO580" s="407">
        <v>0</v>
      </c>
      <c r="AP580" s="407">
        <v>0</v>
      </c>
      <c r="AQ580" s="407">
        <v>0</v>
      </c>
      <c r="AR580" s="407">
        <v>0</v>
      </c>
      <c r="AS580" s="407">
        <v>0</v>
      </c>
      <c r="AT580" s="407">
        <v>0</v>
      </c>
      <c r="AU580" s="407">
        <v>0</v>
      </c>
      <c r="AV580" s="407">
        <v>0</v>
      </c>
      <c r="AW580" s="407">
        <v>0</v>
      </c>
      <c r="AX580" s="407">
        <v>0</v>
      </c>
      <c r="AY580" s="407">
        <v>0</v>
      </c>
      <c r="AZ580" s="407">
        <v>0</v>
      </c>
      <c r="BA580" s="407"/>
      <c r="BB580" s="407">
        <v>0</v>
      </c>
      <c r="BC580" s="407">
        <v>0</v>
      </c>
      <c r="BD580" s="407">
        <v>0</v>
      </c>
      <c r="BE580" s="407">
        <v>0</v>
      </c>
      <c r="BF580" s="407">
        <v>0</v>
      </c>
      <c r="BG580" s="407">
        <v>161.01202450774588</v>
      </c>
      <c r="BH580" s="407">
        <v>0</v>
      </c>
      <c r="BI580" s="407">
        <v>15.62</v>
      </c>
      <c r="BJ580" s="407">
        <v>72.44</v>
      </c>
      <c r="BK580" s="407">
        <v>2494.79</v>
      </c>
      <c r="BL580" s="407">
        <v>221</v>
      </c>
      <c r="BM580" s="407"/>
      <c r="BN580" s="407"/>
      <c r="BO580" s="407"/>
      <c r="BP580" s="407"/>
      <c r="BQ580" s="407"/>
      <c r="BR580" s="407"/>
      <c r="BS580" s="407"/>
      <c r="BT580" s="407"/>
      <c r="BU580" s="407"/>
      <c r="BV580" s="407">
        <v>2363.7351206043686</v>
      </c>
      <c r="BW580" s="407"/>
      <c r="BX580" s="407"/>
      <c r="BY580" s="407"/>
      <c r="BZ580" s="407"/>
      <c r="CA580" s="407"/>
      <c r="CB580" s="407"/>
      <c r="CC580" s="407"/>
      <c r="CD580" s="407"/>
      <c r="CE580" s="407"/>
      <c r="CF580" s="407"/>
      <c r="CG580" s="407"/>
      <c r="CH580" s="407"/>
      <c r="CI580" s="407">
        <v>7394.4695999999994</v>
      </c>
      <c r="CJ580" s="407">
        <v>-2702.2203</v>
      </c>
      <c r="CK580" s="407"/>
      <c r="CL580" s="407"/>
      <c r="CM580" s="407"/>
      <c r="CN580" s="407"/>
      <c r="CO580" s="407">
        <v>-3093.4811999999997</v>
      </c>
      <c r="CP580" s="407">
        <v>392.32653999999997</v>
      </c>
      <c r="CQ580" s="407">
        <v>30</v>
      </c>
      <c r="CR580" s="407">
        <v>344.89378512374424</v>
      </c>
      <c r="CS580" s="407">
        <v>0</v>
      </c>
      <c r="CT580" s="407">
        <v>0</v>
      </c>
      <c r="CU580" s="407">
        <v>0</v>
      </c>
      <c r="CV580" s="407">
        <v>0</v>
      </c>
      <c r="CW580" s="407">
        <v>0</v>
      </c>
      <c r="CX580" s="407">
        <v>0</v>
      </c>
      <c r="CY580" s="407">
        <v>0</v>
      </c>
      <c r="CZ580" s="407">
        <v>75.252715144670219</v>
      </c>
      <c r="DA580" s="407">
        <v>0</v>
      </c>
      <c r="DB580" s="407">
        <v>0</v>
      </c>
      <c r="DC580" s="407">
        <v>436.74050576195123</v>
      </c>
      <c r="DD580" s="407">
        <v>0</v>
      </c>
      <c r="DE580" s="407">
        <v>0</v>
      </c>
      <c r="DF580" s="407">
        <v>0</v>
      </c>
      <c r="DG580" s="407">
        <v>31.924336355251256</v>
      </c>
      <c r="DH580" s="407">
        <v>0</v>
      </c>
      <c r="DI580" s="407">
        <v>0</v>
      </c>
      <c r="DJ580" s="407"/>
      <c r="DK580" s="407">
        <v>0</v>
      </c>
      <c r="DL580" s="407">
        <v>0</v>
      </c>
      <c r="DM580" s="407">
        <v>0</v>
      </c>
      <c r="DN580" s="407">
        <v>0</v>
      </c>
      <c r="DO580" s="407">
        <v>0</v>
      </c>
      <c r="DP580" s="407">
        <v>-1.8883672469609607</v>
      </c>
      <c r="DQ580" s="407">
        <v>0</v>
      </c>
      <c r="DR580" s="407">
        <v>-197.13540489116747</v>
      </c>
      <c r="DS580" s="407"/>
      <c r="DT580" s="407"/>
      <c r="DU580" s="407"/>
      <c r="DV580" s="407">
        <v>5963.3918404210335</v>
      </c>
      <c r="DW580" s="407">
        <v>0</v>
      </c>
      <c r="DX580" s="407">
        <v>0</v>
      </c>
      <c r="DY580" s="407">
        <v>-3093.4811999999993</v>
      </c>
      <c r="DZ580" s="407">
        <v>392.32654000000002</v>
      </c>
      <c r="EA580" s="407">
        <v>0</v>
      </c>
      <c r="EB580" s="407">
        <v>0</v>
      </c>
      <c r="EC580" s="407">
        <v>-3046.1144028002282</v>
      </c>
      <c r="ED580" s="407">
        <v>0</v>
      </c>
      <c r="EE580" s="407">
        <v>0</v>
      </c>
      <c r="EF580" s="407">
        <v>0</v>
      </c>
      <c r="EG580" s="407">
        <v>0</v>
      </c>
      <c r="EH580" s="407">
        <v>0</v>
      </c>
      <c r="EI580" s="407">
        <v>0</v>
      </c>
      <c r="EJ580" s="407">
        <v>0</v>
      </c>
      <c r="EK580" s="407">
        <v>0</v>
      </c>
      <c r="EL580" s="407">
        <v>0</v>
      </c>
      <c r="EM580" s="407">
        <v>0</v>
      </c>
      <c r="EN580" s="407">
        <v>0</v>
      </c>
      <c r="EO580" s="407">
        <v>0</v>
      </c>
      <c r="EP580" s="407">
        <v>0</v>
      </c>
      <c r="EQ580" s="407">
        <v>0</v>
      </c>
      <c r="ER580" s="407">
        <v>0</v>
      </c>
      <c r="ES580" s="407">
        <v>0</v>
      </c>
      <c r="ET580" s="407">
        <v>0</v>
      </c>
      <c r="EU580" s="407">
        <v>0</v>
      </c>
      <c r="EV580" s="407">
        <v>246</v>
      </c>
      <c r="EW580" s="407">
        <v>0</v>
      </c>
      <c r="EX580" s="407">
        <v>0</v>
      </c>
      <c r="EY580" s="407">
        <v>0</v>
      </c>
      <c r="EZ580" s="407"/>
      <c r="FA580" s="407">
        <v>0</v>
      </c>
      <c r="FB580" s="407"/>
      <c r="FC580" s="407"/>
      <c r="FD580" s="407"/>
      <c r="FE580" s="407"/>
      <c r="FF580" s="407">
        <v>0</v>
      </c>
      <c r="FG580" s="407">
        <v>0</v>
      </c>
      <c r="FH580" s="407">
        <v>0</v>
      </c>
      <c r="FI580" s="407">
        <v>0</v>
      </c>
    </row>
    <row r="581" spans="1:165">
      <c r="A581" s="407">
        <v>604</v>
      </c>
      <c r="B581" s="407" t="s">
        <v>2309</v>
      </c>
      <c r="C581" s="407" t="s">
        <v>2306</v>
      </c>
      <c r="D581" s="407" t="s">
        <v>1218</v>
      </c>
      <c r="E581" s="407" t="s">
        <v>1021</v>
      </c>
      <c r="F581" s="407" t="s">
        <v>2313</v>
      </c>
      <c r="G581" s="407" t="s">
        <v>97</v>
      </c>
      <c r="H581" s="407" t="s">
        <v>97</v>
      </c>
      <c r="I581" s="407" t="s">
        <v>97</v>
      </c>
      <c r="J581" s="407" t="s">
        <v>2307</v>
      </c>
      <c r="K581" s="818">
        <v>44652</v>
      </c>
      <c r="L581" s="407">
        <v>0</v>
      </c>
      <c r="M581" s="407">
        <v>0</v>
      </c>
      <c r="N581" s="407">
        <v>0</v>
      </c>
      <c r="O581" s="407">
        <v>0</v>
      </c>
      <c r="P581" s="407">
        <v>0</v>
      </c>
      <c r="Q581" s="407">
        <v>0</v>
      </c>
      <c r="R581" s="407"/>
      <c r="S581" s="407"/>
      <c r="T581" s="407"/>
      <c r="U581" s="407"/>
      <c r="V581" s="407"/>
      <c r="W581" s="407"/>
      <c r="X581" s="407"/>
      <c r="Y581" s="407"/>
      <c r="Z581" s="407"/>
      <c r="AA581" s="407">
        <v>0</v>
      </c>
      <c r="AB581" s="407"/>
      <c r="AC581" s="407"/>
      <c r="AD581" s="407"/>
      <c r="AE581" s="407"/>
      <c r="AF581" s="407"/>
      <c r="AG581" s="407"/>
      <c r="AH581" s="407"/>
      <c r="AI581" s="407"/>
      <c r="AJ581" s="407"/>
      <c r="AK581" s="407"/>
      <c r="AL581" s="407"/>
      <c r="AM581" s="407"/>
      <c r="AN581" s="407"/>
      <c r="AO581" s="407"/>
      <c r="AP581" s="407"/>
      <c r="AQ581" s="407"/>
      <c r="AR581" s="407"/>
      <c r="AS581" s="407"/>
      <c r="AT581" s="407"/>
      <c r="AU581" s="407"/>
      <c r="AV581" s="407"/>
      <c r="AW581" s="407"/>
      <c r="AX581" s="407"/>
      <c r="AY581" s="407"/>
      <c r="AZ581" s="407">
        <v>0</v>
      </c>
      <c r="BA581" s="407"/>
      <c r="BB581" s="407"/>
      <c r="BC581" s="407"/>
      <c r="BD581" s="407"/>
      <c r="BE581" s="407"/>
      <c r="BF581" s="407"/>
      <c r="BG581" s="407"/>
      <c r="BH581" s="407"/>
      <c r="BI581" s="407">
        <v>0</v>
      </c>
      <c r="BJ581" s="407">
        <v>0</v>
      </c>
      <c r="BK581" s="407">
        <v>35.299999999999997</v>
      </c>
      <c r="BL581" s="407">
        <v>2</v>
      </c>
      <c r="BM581" s="407"/>
      <c r="BN581" s="407"/>
      <c r="BO581" s="407"/>
      <c r="BP581" s="407"/>
      <c r="BQ581" s="407"/>
      <c r="BR581" s="407"/>
      <c r="BS581" s="407"/>
      <c r="BT581" s="407"/>
      <c r="BU581" s="407"/>
      <c r="BV581" s="407"/>
      <c r="BW581" s="407"/>
      <c r="BX581" s="407"/>
      <c r="BY581" s="407"/>
      <c r="BZ581" s="407"/>
      <c r="CA581" s="407"/>
      <c r="CB581" s="407"/>
      <c r="CC581" s="407"/>
      <c r="CD581" s="407"/>
      <c r="CE581" s="407"/>
      <c r="CF581" s="407"/>
      <c r="CG581" s="407"/>
      <c r="CH581" s="407"/>
      <c r="CI581" s="407"/>
      <c r="CJ581" s="407">
        <v>-0.03</v>
      </c>
      <c r="CK581" s="407"/>
      <c r="CL581" s="407"/>
      <c r="CM581" s="407"/>
      <c r="CN581" s="407"/>
      <c r="CO581" s="407">
        <v>0</v>
      </c>
      <c r="CP581" s="407">
        <v>0</v>
      </c>
      <c r="CQ581" s="407">
        <v>30</v>
      </c>
      <c r="CR581" s="407"/>
      <c r="CS581" s="407"/>
      <c r="CT581" s="407"/>
      <c r="CU581" s="407"/>
      <c r="CV581" s="407"/>
      <c r="CW581" s="407"/>
      <c r="CX581" s="407"/>
      <c r="CY581" s="407"/>
      <c r="CZ581" s="407"/>
      <c r="DA581" s="407"/>
      <c r="DB581" s="407"/>
      <c r="DC581" s="407"/>
      <c r="DD581" s="407"/>
      <c r="DE581" s="407"/>
      <c r="DF581" s="407"/>
      <c r="DG581" s="407"/>
      <c r="DH581" s="407"/>
      <c r="DI581" s="407"/>
      <c r="DJ581" s="407"/>
      <c r="DK581" s="407">
        <v>0</v>
      </c>
      <c r="DL581" s="407"/>
      <c r="DM581" s="407"/>
      <c r="DN581" s="407"/>
      <c r="DO581" s="407"/>
      <c r="DP581" s="407"/>
      <c r="DQ581" s="407"/>
      <c r="DR581" s="407"/>
      <c r="DS581" s="407"/>
      <c r="DT581" s="407"/>
      <c r="DU581" s="407"/>
      <c r="DV581" s="407"/>
      <c r="DW581" s="407"/>
      <c r="DX581" s="407"/>
      <c r="DY581" s="407"/>
      <c r="DZ581" s="407"/>
      <c r="EA581" s="407"/>
      <c r="EB581" s="407"/>
      <c r="EC581" s="407"/>
      <c r="ED581" s="407"/>
      <c r="EE581" s="407"/>
      <c r="EF581" s="407"/>
      <c r="EG581" s="407"/>
      <c r="EH581" s="407"/>
      <c r="EI581" s="407"/>
      <c r="EJ581" s="407"/>
      <c r="EK581" s="407"/>
      <c r="EL581" s="407"/>
      <c r="EM581" s="407"/>
      <c r="EN581" s="407"/>
      <c r="EO581" s="407"/>
      <c r="EP581" s="407"/>
      <c r="EQ581" s="407"/>
      <c r="ER581" s="407"/>
      <c r="ES581" s="407"/>
      <c r="ET581" s="407"/>
      <c r="EU581" s="407"/>
      <c r="EV581" s="407">
        <v>246</v>
      </c>
      <c r="EW581" s="407"/>
      <c r="EX581" s="407"/>
      <c r="EY581" s="407"/>
      <c r="EZ581" s="407"/>
      <c r="FA581" s="407">
        <v>0</v>
      </c>
      <c r="FB581" s="407"/>
      <c r="FC581" s="407"/>
      <c r="FD581" s="407"/>
      <c r="FE581" s="407"/>
      <c r="FF581" s="407">
        <v>0</v>
      </c>
      <c r="FG581" s="407">
        <v>0</v>
      </c>
      <c r="FH581" s="407">
        <v>0</v>
      </c>
      <c r="FI581" s="407">
        <v>0</v>
      </c>
    </row>
    <row r="582" spans="1:165">
      <c r="A582" s="407">
        <v>605</v>
      </c>
      <c r="B582" s="407" t="s">
        <v>1090</v>
      </c>
      <c r="C582" s="407" t="s">
        <v>2306</v>
      </c>
      <c r="D582" s="407" t="s">
        <v>1219</v>
      </c>
      <c r="E582" s="407" t="s">
        <v>1022</v>
      </c>
      <c r="F582" s="407" t="s">
        <v>97</v>
      </c>
      <c r="G582" s="407" t="s">
        <v>97</v>
      </c>
      <c r="H582" s="407" t="s">
        <v>97</v>
      </c>
      <c r="I582" s="407" t="s">
        <v>97</v>
      </c>
      <c r="J582" s="407" t="s">
        <v>2307</v>
      </c>
      <c r="K582" s="818">
        <v>44652</v>
      </c>
      <c r="L582" s="407">
        <v>0</v>
      </c>
      <c r="M582" s="407">
        <v>0</v>
      </c>
      <c r="N582" s="407">
        <v>101.809</v>
      </c>
      <c r="O582" s="407">
        <v>101.809</v>
      </c>
      <c r="P582" s="407">
        <v>101.809</v>
      </c>
      <c r="Q582" s="407">
        <v>101.809</v>
      </c>
      <c r="R582" s="407"/>
      <c r="S582" s="407">
        <v>648.44000000000005</v>
      </c>
      <c r="T582" s="407">
        <v>159.41</v>
      </c>
      <c r="U582" s="407"/>
      <c r="V582" s="407">
        <v>82246.400650000011</v>
      </c>
      <c r="W582" s="407">
        <v>82246.400650000011</v>
      </c>
      <c r="X582" s="407">
        <v>62288.78237999999</v>
      </c>
      <c r="Y582" s="407">
        <v>0</v>
      </c>
      <c r="Z582" s="407">
        <v>6309.1292463903519</v>
      </c>
      <c r="AA582" s="407">
        <v>0</v>
      </c>
      <c r="AB582" s="407">
        <v>0</v>
      </c>
      <c r="AC582" s="407">
        <v>0</v>
      </c>
      <c r="AD582" s="407">
        <v>11875.452388208956</v>
      </c>
      <c r="AE582" s="407">
        <v>42509.939776041523</v>
      </c>
      <c r="AF582" s="407">
        <v>15702.075037844912</v>
      </c>
      <c r="AG582" s="407">
        <v>527.54850456481324</v>
      </c>
      <c r="AH582" s="407">
        <v>0</v>
      </c>
      <c r="AI582" s="407">
        <v>0</v>
      </c>
      <c r="AJ582" s="407">
        <v>0</v>
      </c>
      <c r="AK582" s="407">
        <v>0</v>
      </c>
      <c r="AL582" s="407">
        <v>974.92861920370558</v>
      </c>
      <c r="AM582" s="407"/>
      <c r="AN582" s="407">
        <v>211.26341206146134</v>
      </c>
      <c r="AO582" s="407">
        <v>0</v>
      </c>
      <c r="AP582" s="407">
        <v>0</v>
      </c>
      <c r="AQ582" s="407">
        <v>0</v>
      </c>
      <c r="AR582" s="407">
        <v>0</v>
      </c>
      <c r="AS582" s="407">
        <v>0</v>
      </c>
      <c r="AT582" s="407">
        <v>0</v>
      </c>
      <c r="AU582" s="407">
        <v>0</v>
      </c>
      <c r="AV582" s="407">
        <v>0</v>
      </c>
      <c r="AW582" s="407">
        <v>0</v>
      </c>
      <c r="AX582" s="407">
        <v>0</v>
      </c>
      <c r="AY582" s="407">
        <v>0</v>
      </c>
      <c r="AZ582" s="407">
        <v>0</v>
      </c>
      <c r="BA582" s="407"/>
      <c r="BB582" s="407">
        <v>0</v>
      </c>
      <c r="BC582" s="407">
        <v>0</v>
      </c>
      <c r="BD582" s="407">
        <v>0</v>
      </c>
      <c r="BE582" s="407">
        <v>0</v>
      </c>
      <c r="BF582" s="407">
        <v>0</v>
      </c>
      <c r="BG582" s="407">
        <v>1147.7715448192901</v>
      </c>
      <c r="BH582" s="407">
        <v>0</v>
      </c>
      <c r="BI582" s="407">
        <v>152.4</v>
      </c>
      <c r="BJ582" s="407">
        <v>756.47</v>
      </c>
      <c r="BK582" s="407">
        <v>15650.33</v>
      </c>
      <c r="BL582" s="407">
        <v>87</v>
      </c>
      <c r="BM582" s="407"/>
      <c r="BN582" s="407"/>
      <c r="BO582" s="407"/>
      <c r="BP582" s="407"/>
      <c r="BQ582" s="407"/>
      <c r="BR582" s="407"/>
      <c r="BS582" s="407"/>
      <c r="BT582" s="407"/>
      <c r="BU582" s="407"/>
      <c r="BV582" s="407">
        <v>16849.846582664202</v>
      </c>
      <c r="BW582" s="407"/>
      <c r="BX582" s="407"/>
      <c r="BY582" s="407"/>
      <c r="BZ582" s="407"/>
      <c r="CA582" s="407"/>
      <c r="CB582" s="407"/>
      <c r="CC582" s="407"/>
      <c r="CD582" s="407"/>
      <c r="CE582" s="407"/>
      <c r="CF582" s="407"/>
      <c r="CG582" s="407"/>
      <c r="CH582" s="407"/>
      <c r="CI582" s="407">
        <v>62289.394199999995</v>
      </c>
      <c r="CJ582" s="407">
        <v>-19957.03645</v>
      </c>
      <c r="CK582" s="407"/>
      <c r="CL582" s="407"/>
      <c r="CM582" s="407"/>
      <c r="CN582" s="407"/>
      <c r="CO582" s="407">
        <v>-22754.311500000003</v>
      </c>
      <c r="CP582" s="407">
        <v>2796.6932299999999</v>
      </c>
      <c r="CQ582" s="407">
        <v>30</v>
      </c>
      <c r="CR582" s="407">
        <v>1756.6143201561645</v>
      </c>
      <c r="CS582" s="407">
        <v>0</v>
      </c>
      <c r="CT582" s="407">
        <v>0</v>
      </c>
      <c r="CU582" s="407">
        <v>0</v>
      </c>
      <c r="CV582" s="407">
        <v>0</v>
      </c>
      <c r="CW582" s="407">
        <v>0</v>
      </c>
      <c r="CX582" s="407">
        <v>0</v>
      </c>
      <c r="CY582" s="407">
        <v>0</v>
      </c>
      <c r="CZ582" s="407">
        <v>536.43773114155738</v>
      </c>
      <c r="DA582" s="407">
        <v>0</v>
      </c>
      <c r="DB582" s="407">
        <v>0</v>
      </c>
      <c r="DC582" s="407">
        <v>3113.2974479147524</v>
      </c>
      <c r="DD582" s="407">
        <v>0</v>
      </c>
      <c r="DE582" s="407">
        <v>0</v>
      </c>
      <c r="DF582" s="407">
        <v>0</v>
      </c>
      <c r="DG582" s="407">
        <v>227.57210194592994</v>
      </c>
      <c r="DH582" s="407">
        <v>0</v>
      </c>
      <c r="DI582" s="407">
        <v>-441.90385873055129</v>
      </c>
      <c r="DJ582" s="407"/>
      <c r="DK582" s="407">
        <v>0</v>
      </c>
      <c r="DL582" s="407">
        <v>0</v>
      </c>
      <c r="DM582" s="407">
        <v>0</v>
      </c>
      <c r="DN582" s="407">
        <v>0</v>
      </c>
      <c r="DO582" s="407">
        <v>-59.481737451678669</v>
      </c>
      <c r="DP582" s="407">
        <v>-13.461194583801216</v>
      </c>
      <c r="DQ582" s="407">
        <v>0</v>
      </c>
      <c r="DR582" s="407">
        <v>-1605.8461700800444</v>
      </c>
      <c r="DS582" s="407"/>
      <c r="DT582" s="407"/>
      <c r="DU582" s="407"/>
      <c r="DV582" s="407">
        <v>42509.939776041523</v>
      </c>
      <c r="DW582" s="407">
        <v>0</v>
      </c>
      <c r="DX582" s="407">
        <v>0</v>
      </c>
      <c r="DY582" s="407">
        <v>-22754.311500000011</v>
      </c>
      <c r="DZ582" s="407">
        <v>2796.6932299999971</v>
      </c>
      <c r="EA582" s="407">
        <v>0</v>
      </c>
      <c r="EB582" s="407">
        <v>0</v>
      </c>
      <c r="EC582" s="407">
        <v>-21714.175972180961</v>
      </c>
      <c r="ED582" s="407">
        <v>0</v>
      </c>
      <c r="EE582" s="407">
        <v>0</v>
      </c>
      <c r="EF582" s="407">
        <v>0</v>
      </c>
      <c r="EG582" s="407">
        <v>0</v>
      </c>
      <c r="EH582" s="407">
        <v>0</v>
      </c>
      <c r="EI582" s="407">
        <v>0</v>
      </c>
      <c r="EJ582" s="407">
        <v>0</v>
      </c>
      <c r="EK582" s="407">
        <v>0</v>
      </c>
      <c r="EL582" s="407">
        <v>0</v>
      </c>
      <c r="EM582" s="407">
        <v>0</v>
      </c>
      <c r="EN582" s="407">
        <v>0</v>
      </c>
      <c r="EO582" s="407">
        <v>0</v>
      </c>
      <c r="EP582" s="407">
        <v>2988.5217193579251</v>
      </c>
      <c r="EQ582" s="407">
        <v>0</v>
      </c>
      <c r="ER582" s="407">
        <v>0</v>
      </c>
      <c r="ES582" s="407">
        <v>0</v>
      </c>
      <c r="ET582" s="407">
        <v>0</v>
      </c>
      <c r="EU582" s="407">
        <v>0</v>
      </c>
      <c r="EV582" s="407">
        <v>246</v>
      </c>
      <c r="EW582" s="407">
        <v>0</v>
      </c>
      <c r="EX582" s="407">
        <v>0</v>
      </c>
      <c r="EY582" s="407">
        <v>0</v>
      </c>
      <c r="EZ582" s="407"/>
      <c r="FA582" s="407">
        <v>0</v>
      </c>
      <c r="FB582" s="407"/>
      <c r="FC582" s="407"/>
      <c r="FD582" s="407"/>
      <c r="FE582" s="407"/>
      <c r="FF582" s="407">
        <v>0</v>
      </c>
      <c r="FG582" s="407">
        <v>0</v>
      </c>
      <c r="FH582" s="407">
        <v>0</v>
      </c>
      <c r="FI582" s="407">
        <v>0</v>
      </c>
    </row>
    <row r="583" spans="1:165">
      <c r="A583" s="407">
        <v>606</v>
      </c>
      <c r="B583" s="407" t="s">
        <v>2309</v>
      </c>
      <c r="C583" s="407" t="s">
        <v>2306</v>
      </c>
      <c r="D583" s="407" t="s">
        <v>1219</v>
      </c>
      <c r="E583" s="407" t="s">
        <v>1022</v>
      </c>
      <c r="F583" s="407" t="s">
        <v>97</v>
      </c>
      <c r="G583" s="407" t="s">
        <v>97</v>
      </c>
      <c r="H583" s="407" t="s">
        <v>97</v>
      </c>
      <c r="I583" s="407" t="s">
        <v>97</v>
      </c>
      <c r="J583" s="407" t="s">
        <v>2307</v>
      </c>
      <c r="K583" s="818">
        <v>44652</v>
      </c>
      <c r="L583" s="407">
        <v>0</v>
      </c>
      <c r="M583" s="407">
        <v>0</v>
      </c>
      <c r="N583" s="407">
        <v>18.198</v>
      </c>
      <c r="O583" s="407">
        <v>18.198</v>
      </c>
      <c r="P583" s="407">
        <v>18.198</v>
      </c>
      <c r="Q583" s="407">
        <v>18.198</v>
      </c>
      <c r="R583" s="407"/>
      <c r="S583" s="407">
        <v>648.44000000000005</v>
      </c>
      <c r="T583" s="407">
        <v>159.41</v>
      </c>
      <c r="U583" s="407"/>
      <c r="V583" s="407">
        <v>14701.254300000002</v>
      </c>
      <c r="W583" s="407">
        <v>14701.254300000002</v>
      </c>
      <c r="X583" s="407">
        <v>11133.90036</v>
      </c>
      <c r="Y583" s="407">
        <v>0</v>
      </c>
      <c r="Z583" s="407">
        <v>1127.734620964862</v>
      </c>
      <c r="AA583" s="407">
        <v>0</v>
      </c>
      <c r="AB583" s="407">
        <v>0</v>
      </c>
      <c r="AC583" s="407">
        <v>0</v>
      </c>
      <c r="AD583" s="407">
        <v>2122.6952682044475</v>
      </c>
      <c r="AE583" s="407">
        <v>7598.5019403432279</v>
      </c>
      <c r="AF583" s="407">
        <v>2806.6905827451574</v>
      </c>
      <c r="AG583" s="407">
        <v>94.297436239138705</v>
      </c>
      <c r="AH583" s="407">
        <v>0</v>
      </c>
      <c r="AI583" s="407">
        <v>0</v>
      </c>
      <c r="AJ583" s="407">
        <v>0</v>
      </c>
      <c r="AK583" s="407">
        <v>0</v>
      </c>
      <c r="AL583" s="407">
        <v>174.26505527280528</v>
      </c>
      <c r="AM583" s="407"/>
      <c r="AN583" s="407">
        <v>37.762590465425191</v>
      </c>
      <c r="AO583" s="407">
        <v>0</v>
      </c>
      <c r="AP583" s="407">
        <v>0</v>
      </c>
      <c r="AQ583" s="407">
        <v>0</v>
      </c>
      <c r="AR583" s="407">
        <v>0</v>
      </c>
      <c r="AS583" s="407">
        <v>0</v>
      </c>
      <c r="AT583" s="407">
        <v>0</v>
      </c>
      <c r="AU583" s="407">
        <v>0</v>
      </c>
      <c r="AV583" s="407">
        <v>0</v>
      </c>
      <c r="AW583" s="407">
        <v>0</v>
      </c>
      <c r="AX583" s="407">
        <v>0</v>
      </c>
      <c r="AY583" s="407">
        <v>0</v>
      </c>
      <c r="AZ583" s="407">
        <v>0</v>
      </c>
      <c r="BA583" s="407"/>
      <c r="BB583" s="407">
        <v>0</v>
      </c>
      <c r="BC583" s="407">
        <v>0</v>
      </c>
      <c r="BD583" s="407">
        <v>0</v>
      </c>
      <c r="BE583" s="407">
        <v>0</v>
      </c>
      <c r="BF583" s="407">
        <v>0</v>
      </c>
      <c r="BG583" s="407">
        <v>205.16011917042147</v>
      </c>
      <c r="BH583" s="407">
        <v>0</v>
      </c>
      <c r="BI583" s="407">
        <v>27.6</v>
      </c>
      <c r="BJ583" s="407">
        <v>137.16</v>
      </c>
      <c r="BK583" s="407">
        <v>5516.39</v>
      </c>
      <c r="BL583" s="407">
        <v>20</v>
      </c>
      <c r="BM583" s="407"/>
      <c r="BN583" s="407"/>
      <c r="BO583" s="407"/>
      <c r="BP583" s="407"/>
      <c r="BQ583" s="407"/>
      <c r="BR583" s="407"/>
      <c r="BS583" s="407"/>
      <c r="BT583" s="407"/>
      <c r="BU583" s="407"/>
      <c r="BV583" s="407">
        <v>3011.8507019155786</v>
      </c>
      <c r="BW583" s="407"/>
      <c r="BX583" s="407"/>
      <c r="BY583" s="407"/>
      <c r="BZ583" s="407"/>
      <c r="CA583" s="407"/>
      <c r="CB583" s="407"/>
      <c r="CC583" s="407"/>
      <c r="CD583" s="407"/>
      <c r="CE583" s="407"/>
      <c r="CF583" s="407"/>
      <c r="CG583" s="407"/>
      <c r="CH583" s="407"/>
      <c r="CI583" s="407">
        <v>11135.124</v>
      </c>
      <c r="CJ583" s="407">
        <v>-3566.1603000000032</v>
      </c>
      <c r="CK583" s="407"/>
      <c r="CL583" s="407"/>
      <c r="CM583" s="407"/>
      <c r="CN583" s="407"/>
      <c r="CO583" s="407">
        <v>-4067.2530000000011</v>
      </c>
      <c r="CP583" s="407">
        <v>499.89905999999996</v>
      </c>
      <c r="CQ583" s="407">
        <v>30</v>
      </c>
      <c r="CR583" s="407">
        <v>313.98861984895029</v>
      </c>
      <c r="CS583" s="407">
        <v>0</v>
      </c>
      <c r="CT583" s="407">
        <v>0</v>
      </c>
      <c r="CU583" s="407">
        <v>0</v>
      </c>
      <c r="CV583" s="407">
        <v>0</v>
      </c>
      <c r="CW583" s="407">
        <v>0</v>
      </c>
      <c r="CX583" s="407">
        <v>0</v>
      </c>
      <c r="CY583" s="407">
        <v>0</v>
      </c>
      <c r="CZ583" s="407">
        <v>95.886354166272667</v>
      </c>
      <c r="DA583" s="407">
        <v>0</v>
      </c>
      <c r="DB583" s="407">
        <v>0</v>
      </c>
      <c r="DC583" s="407">
        <v>556.49094831648154</v>
      </c>
      <c r="DD583" s="407">
        <v>0</v>
      </c>
      <c r="DE583" s="407">
        <v>0</v>
      </c>
      <c r="DF583" s="407">
        <v>0</v>
      </c>
      <c r="DG583" s="407">
        <v>40.677711314442121</v>
      </c>
      <c r="DH583" s="407">
        <v>0</v>
      </c>
      <c r="DI583" s="407">
        <v>-78.988757587036389</v>
      </c>
      <c r="DJ583" s="407"/>
      <c r="DK583" s="407">
        <v>0</v>
      </c>
      <c r="DL583" s="407">
        <v>0</v>
      </c>
      <c r="DM583" s="407">
        <v>0</v>
      </c>
      <c r="DN583" s="407">
        <v>0</v>
      </c>
      <c r="DO583" s="407">
        <v>-10.632150970401909</v>
      </c>
      <c r="DP583" s="407">
        <v>-2.4061410978991447</v>
      </c>
      <c r="DQ583" s="407">
        <v>0</v>
      </c>
      <c r="DR583" s="407">
        <v>-287.0393442929078</v>
      </c>
      <c r="DS583" s="407"/>
      <c r="DT583" s="407"/>
      <c r="DU583" s="407"/>
      <c r="DV583" s="407">
        <v>7598.5019403432279</v>
      </c>
      <c r="DW583" s="407">
        <v>0</v>
      </c>
      <c r="DX583" s="407">
        <v>0</v>
      </c>
      <c r="DY583" s="407">
        <v>-4067.2530000000024</v>
      </c>
      <c r="DZ583" s="407">
        <v>499.89905999999974</v>
      </c>
      <c r="EA583" s="407">
        <v>0</v>
      </c>
      <c r="EB583" s="407">
        <v>0</v>
      </c>
      <c r="EC583" s="407">
        <v>-3881.332439585392</v>
      </c>
      <c r="ED583" s="407">
        <v>0</v>
      </c>
      <c r="EE583" s="407">
        <v>0</v>
      </c>
      <c r="EF583" s="407">
        <v>0</v>
      </c>
      <c r="EG583" s="407">
        <v>0</v>
      </c>
      <c r="EH583" s="407">
        <v>0</v>
      </c>
      <c r="EI583" s="407">
        <v>0</v>
      </c>
      <c r="EJ583" s="407">
        <v>0</v>
      </c>
      <c r="EK583" s="407">
        <v>0</v>
      </c>
      <c r="EL583" s="407">
        <v>0</v>
      </c>
      <c r="EM583" s="407">
        <v>0</v>
      </c>
      <c r="EN583" s="407">
        <v>0</v>
      </c>
      <c r="EO583" s="407">
        <v>0</v>
      </c>
      <c r="EP583" s="407">
        <v>534.18772651607935</v>
      </c>
      <c r="EQ583" s="407">
        <v>0</v>
      </c>
      <c r="ER583" s="407">
        <v>0</v>
      </c>
      <c r="ES583" s="407">
        <v>0</v>
      </c>
      <c r="ET583" s="407">
        <v>0</v>
      </c>
      <c r="EU583" s="407">
        <v>0</v>
      </c>
      <c r="EV583" s="407">
        <v>246</v>
      </c>
      <c r="EW583" s="407">
        <v>0</v>
      </c>
      <c r="EX583" s="407">
        <v>0</v>
      </c>
      <c r="EY583" s="407">
        <v>0</v>
      </c>
      <c r="EZ583" s="407"/>
      <c r="FA583" s="407">
        <v>0</v>
      </c>
      <c r="FB583" s="407"/>
      <c r="FC583" s="407"/>
      <c r="FD583" s="407"/>
      <c r="FE583" s="407"/>
      <c r="FF583" s="407">
        <v>0</v>
      </c>
      <c r="FG583" s="407">
        <v>0</v>
      </c>
      <c r="FH583" s="407">
        <v>0</v>
      </c>
      <c r="FI583" s="407">
        <v>0</v>
      </c>
    </row>
    <row r="584" spans="1:165">
      <c r="A584" s="407">
        <v>607</v>
      </c>
      <c r="B584" s="407" t="s">
        <v>1090</v>
      </c>
      <c r="C584" s="407" t="s">
        <v>2314</v>
      </c>
      <c r="D584" s="407" t="s">
        <v>650</v>
      </c>
      <c r="E584" s="407" t="s">
        <v>1022</v>
      </c>
      <c r="F584" s="407" t="s">
        <v>97</v>
      </c>
      <c r="G584" s="407" t="s">
        <v>97</v>
      </c>
      <c r="H584" s="407" t="s">
        <v>97</v>
      </c>
      <c r="I584" s="407" t="s">
        <v>1025</v>
      </c>
      <c r="J584" s="407" t="s">
        <v>2307</v>
      </c>
      <c r="K584" s="818">
        <v>44652</v>
      </c>
      <c r="L584" s="407">
        <v>0</v>
      </c>
      <c r="M584" s="407">
        <v>0</v>
      </c>
      <c r="N584" s="407">
        <v>13.648999999999999</v>
      </c>
      <c r="O584" s="407">
        <v>13.648999999999999</v>
      </c>
      <c r="P584" s="407">
        <v>13.648999999999999</v>
      </c>
      <c r="Q584" s="407">
        <v>13.648999999999999</v>
      </c>
      <c r="R584" s="407"/>
      <c r="S584" s="407">
        <v>2810.7</v>
      </c>
      <c r="T584" s="407">
        <v>159.41</v>
      </c>
      <c r="U584" s="407"/>
      <c r="V584" s="407">
        <v>40539.031389999996</v>
      </c>
      <c r="W584" s="407">
        <v>40539.031389999996</v>
      </c>
      <c r="X584" s="407">
        <v>25819.676809999997</v>
      </c>
      <c r="Y584" s="407">
        <v>0</v>
      </c>
      <c r="Z584" s="407">
        <v>735.87379723859601</v>
      </c>
      <c r="AA584" s="407">
        <v>0</v>
      </c>
      <c r="AB584" s="407">
        <v>0</v>
      </c>
      <c r="AC584" s="407">
        <v>0</v>
      </c>
      <c r="AD584" s="407">
        <v>8332.9273341348362</v>
      </c>
      <c r="AE584" s="407">
        <v>28729.628651937099</v>
      </c>
      <c r="AF584" s="407">
        <v>2105.0950524172245</v>
      </c>
      <c r="AG584" s="407">
        <v>70.725668052973077</v>
      </c>
      <c r="AH584" s="407">
        <v>0</v>
      </c>
      <c r="AI584" s="407">
        <v>0</v>
      </c>
      <c r="AJ584" s="407">
        <v>0</v>
      </c>
      <c r="AK584" s="407">
        <v>0</v>
      </c>
      <c r="AL584" s="407">
        <v>130.70357948227934</v>
      </c>
      <c r="AM584" s="407"/>
      <c r="AN584" s="407">
        <v>14.655386955634837</v>
      </c>
      <c r="AO584" s="407">
        <v>0</v>
      </c>
      <c r="AP584" s="407">
        <v>0</v>
      </c>
      <c r="AQ584" s="407">
        <v>0</v>
      </c>
      <c r="AR584" s="407">
        <v>0</v>
      </c>
      <c r="AS584" s="407">
        <v>0</v>
      </c>
      <c r="AT584" s="407">
        <v>0</v>
      </c>
      <c r="AU584" s="407">
        <v>0</v>
      </c>
      <c r="AV584" s="407">
        <v>0</v>
      </c>
      <c r="AW584" s="407">
        <v>0</v>
      </c>
      <c r="AX584" s="407">
        <v>0</v>
      </c>
      <c r="AY584" s="407">
        <v>0</v>
      </c>
      <c r="AZ584" s="407">
        <v>0</v>
      </c>
      <c r="BA584" s="407"/>
      <c r="BB584" s="407">
        <v>0</v>
      </c>
      <c r="BC584" s="407">
        <v>0</v>
      </c>
      <c r="BD584" s="407">
        <v>0</v>
      </c>
      <c r="BE584" s="407">
        <v>0</v>
      </c>
      <c r="BF584" s="407">
        <v>0</v>
      </c>
      <c r="BG584" s="407">
        <v>70.836595125169737</v>
      </c>
      <c r="BH584" s="407">
        <v>0</v>
      </c>
      <c r="BI584" s="407">
        <v>0</v>
      </c>
      <c r="BJ584" s="407">
        <v>0</v>
      </c>
      <c r="BK584" s="407">
        <v>0</v>
      </c>
      <c r="BL584" s="407">
        <v>0</v>
      </c>
      <c r="BM584" s="407"/>
      <c r="BN584" s="407"/>
      <c r="BO584" s="407"/>
      <c r="BP584" s="407"/>
      <c r="BQ584" s="407"/>
      <c r="BR584" s="407"/>
      <c r="BS584" s="407"/>
      <c r="BT584" s="407"/>
      <c r="BU584" s="407"/>
      <c r="BV584" s="407">
        <v>2175.9316475423943</v>
      </c>
      <c r="BW584" s="407"/>
      <c r="BX584" s="407"/>
      <c r="BY584" s="407"/>
      <c r="BZ584" s="407"/>
      <c r="CA584" s="407"/>
      <c r="CB584" s="407"/>
      <c r="CC584" s="407"/>
      <c r="CD584" s="407"/>
      <c r="CE584" s="407"/>
      <c r="CF584" s="407"/>
      <c r="CG584" s="407"/>
      <c r="CH584" s="407"/>
      <c r="CI584" s="407">
        <v>25821.568500000001</v>
      </c>
      <c r="CJ584" s="407">
        <v>-14717.492890000001</v>
      </c>
      <c r="CK584" s="407"/>
      <c r="CL584" s="407"/>
      <c r="CM584" s="407"/>
      <c r="CN584" s="407"/>
      <c r="CO584" s="407">
        <v>-15094.292609999997</v>
      </c>
      <c r="CP584" s="407">
        <v>374.93802999999997</v>
      </c>
      <c r="CQ584" s="407">
        <v>30</v>
      </c>
      <c r="CR584" s="407">
        <v>-44.121716383951934</v>
      </c>
      <c r="CS584" s="407">
        <v>0</v>
      </c>
      <c r="CT584" s="407">
        <v>0</v>
      </c>
      <c r="CU584" s="407">
        <v>0</v>
      </c>
      <c r="CV584" s="407">
        <v>0</v>
      </c>
      <c r="CW584" s="407">
        <v>0</v>
      </c>
      <c r="CX584" s="407">
        <v>0</v>
      </c>
      <c r="CY584" s="407">
        <v>0</v>
      </c>
      <c r="CZ584" s="407">
        <v>376.414850294801</v>
      </c>
      <c r="DA584" s="407">
        <v>0</v>
      </c>
      <c r="DB584" s="407">
        <v>0</v>
      </c>
      <c r="DC584" s="407">
        <v>417.38350113043498</v>
      </c>
      <c r="DD584" s="407">
        <v>0</v>
      </c>
      <c r="DE584" s="407">
        <v>0</v>
      </c>
      <c r="DF584" s="407">
        <v>0</v>
      </c>
      <c r="DG584" s="407">
        <v>14.044983882106735</v>
      </c>
      <c r="DH584" s="407">
        <v>0</v>
      </c>
      <c r="DI584" s="407">
        <v>-51.542052451135078</v>
      </c>
      <c r="DJ584" s="407"/>
      <c r="DK584" s="407">
        <v>0</v>
      </c>
      <c r="DL584" s="407">
        <v>0</v>
      </c>
      <c r="DM584" s="407">
        <v>0</v>
      </c>
      <c r="DN584" s="407">
        <v>0</v>
      </c>
      <c r="DO584" s="407">
        <v>-7.9744053519626164</v>
      </c>
      <c r="DP584" s="407">
        <v>-0.93380587573439477</v>
      </c>
      <c r="DQ584" s="407">
        <v>0</v>
      </c>
      <c r="DR584" s="407">
        <v>-791.51478801246219</v>
      </c>
      <c r="DS584" s="407"/>
      <c r="DT584" s="407"/>
      <c r="DU584" s="407"/>
      <c r="DV584" s="407">
        <v>28729.628651937099</v>
      </c>
      <c r="DW584" s="407">
        <v>0</v>
      </c>
      <c r="DX584" s="407">
        <v>0</v>
      </c>
      <c r="DY584" s="407">
        <v>-15094.29261</v>
      </c>
      <c r="DZ584" s="407">
        <v>374.9380299999998</v>
      </c>
      <c r="EA584" s="407">
        <v>0</v>
      </c>
      <c r="EB584" s="407">
        <v>0</v>
      </c>
      <c r="EC584" s="407">
        <v>-14675.161043515882</v>
      </c>
      <c r="ED584" s="407">
        <v>0</v>
      </c>
      <c r="EE584" s="407">
        <v>0</v>
      </c>
      <c r="EF584" s="407">
        <v>0</v>
      </c>
      <c r="EG584" s="407">
        <v>0</v>
      </c>
      <c r="EH584" s="407">
        <v>0</v>
      </c>
      <c r="EI584" s="407">
        <v>0</v>
      </c>
      <c r="EJ584" s="407">
        <v>0</v>
      </c>
      <c r="EK584" s="407">
        <v>0</v>
      </c>
      <c r="EL584" s="407">
        <v>0</v>
      </c>
      <c r="EM584" s="407">
        <v>0</v>
      </c>
      <c r="EN584" s="407">
        <v>0</v>
      </c>
      <c r="EO584" s="407">
        <v>0</v>
      </c>
      <c r="EP584" s="407">
        <v>348.57026062862008</v>
      </c>
      <c r="EQ584" s="407">
        <v>0</v>
      </c>
      <c r="ER584" s="407">
        <v>0</v>
      </c>
      <c r="ES584" s="407">
        <v>0</v>
      </c>
      <c r="ET584" s="407">
        <v>0</v>
      </c>
      <c r="EU584" s="407">
        <v>0</v>
      </c>
      <c r="EV584" s="407">
        <v>246</v>
      </c>
      <c r="EW584" s="407">
        <v>0</v>
      </c>
      <c r="EX584" s="407">
        <v>0</v>
      </c>
      <c r="EY584" s="407">
        <v>0</v>
      </c>
      <c r="EZ584" s="407"/>
      <c r="FA584" s="407">
        <v>0</v>
      </c>
      <c r="FB584" s="407"/>
      <c r="FC584" s="407"/>
      <c r="FD584" s="407"/>
      <c r="FE584" s="407"/>
      <c r="FF584" s="407">
        <v>0</v>
      </c>
      <c r="FG584" s="407">
        <v>0</v>
      </c>
      <c r="FH584" s="407">
        <v>0</v>
      </c>
      <c r="FI584" s="407">
        <v>0</v>
      </c>
    </row>
    <row r="585" spans="1:165">
      <c r="A585" s="407">
        <v>608</v>
      </c>
      <c r="B585" s="407" t="s">
        <v>1090</v>
      </c>
      <c r="C585" s="407" t="s">
        <v>2314</v>
      </c>
      <c r="D585" s="407" t="s">
        <v>650</v>
      </c>
      <c r="E585" s="407" t="s">
        <v>1022</v>
      </c>
      <c r="F585" s="407" t="s">
        <v>97</v>
      </c>
      <c r="G585" s="407" t="s">
        <v>97</v>
      </c>
      <c r="H585" s="407" t="s">
        <v>97</v>
      </c>
      <c r="I585" s="407" t="s">
        <v>2290</v>
      </c>
      <c r="J585" s="407" t="s">
        <v>2307</v>
      </c>
      <c r="K585" s="818">
        <v>44652</v>
      </c>
      <c r="L585" s="407">
        <v>0</v>
      </c>
      <c r="M585" s="407">
        <v>0</v>
      </c>
      <c r="N585" s="407">
        <v>466.97300000000001</v>
      </c>
      <c r="O585" s="407">
        <v>466.97300000000001</v>
      </c>
      <c r="P585" s="407">
        <v>466.97300000000001</v>
      </c>
      <c r="Q585" s="407">
        <v>466.97300000000001</v>
      </c>
      <c r="R585" s="407"/>
      <c r="S585" s="407">
        <v>95.29</v>
      </c>
      <c r="T585" s="407">
        <v>159.41</v>
      </c>
      <c r="U585" s="407"/>
      <c r="V585" s="407">
        <v>118938.02310000001</v>
      </c>
      <c r="W585" s="407">
        <v>118938.02310000001</v>
      </c>
      <c r="X585" s="407">
        <v>129309.49343</v>
      </c>
      <c r="Y585" s="407">
        <v>0</v>
      </c>
      <c r="Z585" s="407">
        <v>25176.437447278109</v>
      </c>
      <c r="AA585" s="407">
        <v>0</v>
      </c>
      <c r="AB585" s="407">
        <v>0</v>
      </c>
      <c r="AC585" s="407">
        <v>0</v>
      </c>
      <c r="AD585" s="407">
        <v>0</v>
      </c>
      <c r="AE585" s="407">
        <v>0</v>
      </c>
      <c r="AF585" s="407">
        <v>72021.580475670649</v>
      </c>
      <c r="AG585" s="407">
        <v>2419.7360530222727</v>
      </c>
      <c r="AH585" s="407">
        <v>0</v>
      </c>
      <c r="AI585" s="407">
        <v>0</v>
      </c>
      <c r="AJ585" s="407">
        <v>0</v>
      </c>
      <c r="AK585" s="407">
        <v>0</v>
      </c>
      <c r="AL585" s="407">
        <v>4471.7592953021049</v>
      </c>
      <c r="AM585" s="407"/>
      <c r="AN585" s="407">
        <v>501.40449943832277</v>
      </c>
      <c r="AO585" s="407">
        <v>0</v>
      </c>
      <c r="AP585" s="407">
        <v>0</v>
      </c>
      <c r="AQ585" s="407">
        <v>0</v>
      </c>
      <c r="AR585" s="407">
        <v>0</v>
      </c>
      <c r="AS585" s="407">
        <v>0</v>
      </c>
      <c r="AT585" s="407">
        <v>0</v>
      </c>
      <c r="AU585" s="407">
        <v>0</v>
      </c>
      <c r="AV585" s="407">
        <v>0</v>
      </c>
      <c r="AW585" s="407">
        <v>0</v>
      </c>
      <c r="AX585" s="407">
        <v>0</v>
      </c>
      <c r="AY585" s="407">
        <v>0</v>
      </c>
      <c r="AZ585" s="407">
        <v>0</v>
      </c>
      <c r="BA585" s="407"/>
      <c r="BB585" s="407">
        <v>0</v>
      </c>
      <c r="BC585" s="407">
        <v>0</v>
      </c>
      <c r="BD585" s="407">
        <v>0</v>
      </c>
      <c r="BE585" s="407">
        <v>0</v>
      </c>
      <c r="BF585" s="407">
        <v>0</v>
      </c>
      <c r="BG585" s="407">
        <v>2423.5311990172095</v>
      </c>
      <c r="BH585" s="407">
        <v>0</v>
      </c>
      <c r="BI585" s="407">
        <v>0</v>
      </c>
      <c r="BJ585" s="407">
        <v>0</v>
      </c>
      <c r="BK585" s="407">
        <v>0</v>
      </c>
      <c r="BL585" s="407">
        <v>0</v>
      </c>
      <c r="BM585" s="407"/>
      <c r="BN585" s="407"/>
      <c r="BO585" s="407"/>
      <c r="BP585" s="407"/>
      <c r="BQ585" s="407"/>
      <c r="BR585" s="407"/>
      <c r="BS585" s="407"/>
      <c r="BT585" s="407"/>
      <c r="BU585" s="407"/>
      <c r="BV585" s="407">
        <v>74445.111674687854</v>
      </c>
      <c r="BW585" s="407"/>
      <c r="BX585" s="407"/>
      <c r="BY585" s="407"/>
      <c r="BZ585" s="407"/>
      <c r="CA585" s="407"/>
      <c r="CB585" s="407"/>
      <c r="CC585" s="407"/>
      <c r="CD585" s="407"/>
      <c r="CE585" s="407"/>
      <c r="CF585" s="407"/>
      <c r="CG585" s="407"/>
      <c r="CH585" s="407"/>
      <c r="CI585" s="407">
        <v>129308.66270000002</v>
      </c>
      <c r="CJ585" s="407">
        <v>10370.609600000011</v>
      </c>
      <c r="CK585" s="407"/>
      <c r="CL585" s="407"/>
      <c r="CM585" s="407"/>
      <c r="CN585" s="407"/>
      <c r="CO585" s="407">
        <v>-2456.2779800000026</v>
      </c>
      <c r="CP585" s="407">
        <v>12827.748309999999</v>
      </c>
      <c r="CQ585" s="407">
        <v>30</v>
      </c>
      <c r="CR585" s="407">
        <v>10369.994326216751</v>
      </c>
      <c r="CS585" s="407">
        <v>0</v>
      </c>
      <c r="CT585" s="407">
        <v>0</v>
      </c>
      <c r="CU585" s="407">
        <v>0</v>
      </c>
      <c r="CV585" s="407">
        <v>0</v>
      </c>
      <c r="CW585" s="407">
        <v>0</v>
      </c>
      <c r="CX585" s="407">
        <v>0</v>
      </c>
      <c r="CY585" s="407">
        <v>0</v>
      </c>
      <c r="CZ585" s="407">
        <v>0</v>
      </c>
      <c r="DA585" s="407">
        <v>0</v>
      </c>
      <c r="DB585" s="407">
        <v>0</v>
      </c>
      <c r="DC585" s="407">
        <v>14279.934476766255</v>
      </c>
      <c r="DD585" s="407">
        <v>0</v>
      </c>
      <c r="DE585" s="407">
        <v>0</v>
      </c>
      <c r="DF585" s="407">
        <v>0</v>
      </c>
      <c r="DG585" s="407">
        <v>480.52078968268916</v>
      </c>
      <c r="DH585" s="407">
        <v>0</v>
      </c>
      <c r="DI585" s="407">
        <v>-1763.4073455391517</v>
      </c>
      <c r="DJ585" s="407"/>
      <c r="DK585" s="407">
        <v>0</v>
      </c>
      <c r="DL585" s="407">
        <v>0</v>
      </c>
      <c r="DM585" s="407">
        <v>0</v>
      </c>
      <c r="DN585" s="407">
        <v>0</v>
      </c>
      <c r="DO585" s="407">
        <v>-272.82819183984429</v>
      </c>
      <c r="DP585" s="407">
        <v>-31.948284211980251</v>
      </c>
      <c r="DQ585" s="407">
        <v>0</v>
      </c>
      <c r="DR585" s="407">
        <v>-2322.2771186412165</v>
      </c>
      <c r="DS585" s="407"/>
      <c r="DT585" s="407"/>
      <c r="DU585" s="407"/>
      <c r="DV585" s="407">
        <v>0</v>
      </c>
      <c r="DW585" s="407">
        <v>0</v>
      </c>
      <c r="DX585" s="407">
        <v>0</v>
      </c>
      <c r="DY585" s="407">
        <v>-2456.2779799999989</v>
      </c>
      <c r="DZ585" s="407">
        <v>12827.748309999995</v>
      </c>
      <c r="EA585" s="407">
        <v>0</v>
      </c>
      <c r="EB585" s="407">
        <v>0</v>
      </c>
      <c r="EC585" s="407">
        <v>0</v>
      </c>
      <c r="ED585" s="407">
        <v>0</v>
      </c>
      <c r="EE585" s="407">
        <v>0</v>
      </c>
      <c r="EF585" s="407">
        <v>0</v>
      </c>
      <c r="EG585" s="407">
        <v>0</v>
      </c>
      <c r="EH585" s="407">
        <v>0</v>
      </c>
      <c r="EI585" s="407">
        <v>0</v>
      </c>
      <c r="EJ585" s="407">
        <v>0</v>
      </c>
      <c r="EK585" s="407">
        <v>0</v>
      </c>
      <c r="EL585" s="407">
        <v>0</v>
      </c>
      <c r="EM585" s="407">
        <v>0</v>
      </c>
      <c r="EN585" s="407">
        <v>0</v>
      </c>
      <c r="EO585" s="407">
        <v>0</v>
      </c>
      <c r="EP585" s="407">
        <v>11925.628274344539</v>
      </c>
      <c r="EQ585" s="407">
        <v>0</v>
      </c>
      <c r="ER585" s="407">
        <v>0</v>
      </c>
      <c r="ES585" s="407">
        <v>0</v>
      </c>
      <c r="ET585" s="407">
        <v>0</v>
      </c>
      <c r="EU585" s="407">
        <v>0</v>
      </c>
      <c r="EV585" s="407">
        <v>246</v>
      </c>
      <c r="EW585" s="407">
        <v>0</v>
      </c>
      <c r="EX585" s="407">
        <v>0</v>
      </c>
      <c r="EY585" s="407">
        <v>0</v>
      </c>
      <c r="EZ585" s="407"/>
      <c r="FA585" s="407">
        <v>0</v>
      </c>
      <c r="FB585" s="407"/>
      <c r="FC585" s="407"/>
      <c r="FD585" s="407"/>
      <c r="FE585" s="407"/>
      <c r="FF585" s="407">
        <v>0</v>
      </c>
      <c r="FG585" s="407">
        <v>0</v>
      </c>
      <c r="FH585" s="407">
        <v>0</v>
      </c>
      <c r="FI585" s="407">
        <v>0</v>
      </c>
    </row>
    <row r="586" spans="1:165">
      <c r="A586" s="407">
        <v>609</v>
      </c>
      <c r="B586" s="407" t="s">
        <v>1090</v>
      </c>
      <c r="C586" s="407" t="s">
        <v>2314</v>
      </c>
      <c r="D586" s="407" t="s">
        <v>650</v>
      </c>
      <c r="E586" s="407" t="s">
        <v>1022</v>
      </c>
      <c r="F586" s="407" t="s">
        <v>97</v>
      </c>
      <c r="G586" s="407" t="s">
        <v>97</v>
      </c>
      <c r="H586" s="407" t="s">
        <v>97</v>
      </c>
      <c r="I586" s="407" t="s">
        <v>97</v>
      </c>
      <c r="J586" s="407" t="s">
        <v>2307</v>
      </c>
      <c r="K586" s="818">
        <v>44652</v>
      </c>
      <c r="L586" s="407">
        <v>2299</v>
      </c>
      <c r="M586" s="407">
        <v>2299</v>
      </c>
      <c r="N586" s="407">
        <v>0</v>
      </c>
      <c r="O586" s="407">
        <v>0</v>
      </c>
      <c r="P586" s="407">
        <v>0</v>
      </c>
      <c r="Q586" s="407">
        <v>0</v>
      </c>
      <c r="R586" s="407">
        <v>43.29</v>
      </c>
      <c r="S586" s="407"/>
      <c r="T586" s="407"/>
      <c r="U586" s="407">
        <v>99523.709999999992</v>
      </c>
      <c r="V586" s="407"/>
      <c r="W586" s="407">
        <v>99523.709999999992</v>
      </c>
      <c r="X586" s="407">
        <v>76993.510000000009</v>
      </c>
      <c r="Y586" s="407">
        <v>0</v>
      </c>
      <c r="Z586" s="407">
        <v>0</v>
      </c>
      <c r="AA586" s="407">
        <v>0</v>
      </c>
      <c r="AB586" s="407">
        <v>0</v>
      </c>
      <c r="AC586" s="407">
        <v>0</v>
      </c>
      <c r="AD586" s="407">
        <v>54403.506477248964</v>
      </c>
      <c r="AE586" s="407">
        <v>45127.50115295031</v>
      </c>
      <c r="AF586" s="407"/>
      <c r="AG586" s="407"/>
      <c r="AH586" s="407"/>
      <c r="AI586" s="407">
        <v>0</v>
      </c>
      <c r="AJ586" s="407">
        <v>0</v>
      </c>
      <c r="AK586" s="407">
        <v>0</v>
      </c>
      <c r="AL586" s="407">
        <v>0</v>
      </c>
      <c r="AM586" s="407"/>
      <c r="AN586" s="407">
        <v>0</v>
      </c>
      <c r="AO586" s="407">
        <v>0</v>
      </c>
      <c r="AP586" s="407">
        <v>0</v>
      </c>
      <c r="AQ586" s="407">
        <v>0</v>
      </c>
      <c r="AR586" s="407">
        <v>0</v>
      </c>
      <c r="AS586" s="407"/>
      <c r="AT586" s="407"/>
      <c r="AU586" s="407">
        <v>0</v>
      </c>
      <c r="AV586" s="407">
        <v>0</v>
      </c>
      <c r="AW586" s="407">
        <v>0</v>
      </c>
      <c r="AX586" s="407"/>
      <c r="AY586" s="407"/>
      <c r="AZ586" s="407">
        <v>0</v>
      </c>
      <c r="BA586" s="407"/>
      <c r="BB586" s="407">
        <v>0</v>
      </c>
      <c r="BC586" s="407">
        <v>0</v>
      </c>
      <c r="BD586" s="407">
        <v>0</v>
      </c>
      <c r="BE586" s="407">
        <v>0</v>
      </c>
      <c r="BF586" s="407"/>
      <c r="BG586" s="407">
        <v>0</v>
      </c>
      <c r="BH586" s="407">
        <v>0</v>
      </c>
      <c r="BI586" s="407">
        <v>547.21</v>
      </c>
      <c r="BJ586" s="407">
        <v>2709.19</v>
      </c>
      <c r="BK586" s="407">
        <v>54015.73</v>
      </c>
      <c r="BL586" s="407">
        <v>13</v>
      </c>
      <c r="BM586" s="407"/>
      <c r="BN586" s="407"/>
      <c r="BO586" s="407"/>
      <c r="BP586" s="407"/>
      <c r="BQ586" s="407"/>
      <c r="BR586" s="407"/>
      <c r="BS586" s="407"/>
      <c r="BT586" s="407"/>
      <c r="BU586" s="407"/>
      <c r="BV586" s="407">
        <v>0</v>
      </c>
      <c r="BW586" s="407"/>
      <c r="BX586" s="407"/>
      <c r="BY586" s="407"/>
      <c r="BZ586" s="407"/>
      <c r="CA586" s="407"/>
      <c r="CB586" s="407"/>
      <c r="CC586" s="407"/>
      <c r="CD586" s="407"/>
      <c r="CE586" s="407"/>
      <c r="CF586" s="407"/>
      <c r="CG586" s="407"/>
      <c r="CH586" s="407"/>
      <c r="CI586" s="407">
        <v>76993.510000000009</v>
      </c>
      <c r="CJ586" s="407">
        <v>-22530.229999999967</v>
      </c>
      <c r="CK586" s="407"/>
      <c r="CL586" s="407"/>
      <c r="CM586" s="407"/>
      <c r="CN586" s="407"/>
      <c r="CO586" s="407">
        <v>-22530.199999999993</v>
      </c>
      <c r="CP586" s="407">
        <v>0</v>
      </c>
      <c r="CQ586" s="407">
        <v>30</v>
      </c>
      <c r="CR586" s="407">
        <v>514.19467384850577</v>
      </c>
      <c r="CS586" s="407">
        <v>0</v>
      </c>
      <c r="CT586" s="407">
        <v>0</v>
      </c>
      <c r="CU586" s="407">
        <v>0</v>
      </c>
      <c r="CV586" s="407">
        <v>0</v>
      </c>
      <c r="CW586" s="407"/>
      <c r="CX586" s="407"/>
      <c r="CY586" s="407"/>
      <c r="CZ586" s="407">
        <v>2457.5142593958008</v>
      </c>
      <c r="DA586" s="407">
        <v>0</v>
      </c>
      <c r="DB586" s="407">
        <v>0</v>
      </c>
      <c r="DC586" s="407"/>
      <c r="DD586" s="407"/>
      <c r="DE586" s="407">
        <v>0</v>
      </c>
      <c r="DF586" s="407">
        <v>0</v>
      </c>
      <c r="DG586" s="407">
        <v>0</v>
      </c>
      <c r="DH586" s="407">
        <v>0</v>
      </c>
      <c r="DI586" s="407">
        <v>0</v>
      </c>
      <c r="DJ586" s="407"/>
      <c r="DK586" s="407">
        <v>0</v>
      </c>
      <c r="DL586" s="407">
        <v>0</v>
      </c>
      <c r="DM586" s="407"/>
      <c r="DN586" s="407">
        <v>0</v>
      </c>
      <c r="DO586" s="407">
        <v>0</v>
      </c>
      <c r="DP586" s="407">
        <v>0</v>
      </c>
      <c r="DQ586" s="407">
        <v>0</v>
      </c>
      <c r="DR586" s="407">
        <v>-1943.3195855472941</v>
      </c>
      <c r="DS586" s="407"/>
      <c r="DT586" s="407"/>
      <c r="DU586" s="407">
        <v>45127.50115295031</v>
      </c>
      <c r="DV586" s="407"/>
      <c r="DW586" s="407">
        <v>0</v>
      </c>
      <c r="DX586" s="407">
        <v>0</v>
      </c>
      <c r="DY586" s="407">
        <v>-22530.199999999983</v>
      </c>
      <c r="DZ586" s="407"/>
      <c r="EA586" s="407">
        <v>0</v>
      </c>
      <c r="EB586" s="407"/>
      <c r="EC586" s="407">
        <v>-23051.232403115195</v>
      </c>
      <c r="ED586" s="407"/>
      <c r="EE586" s="407">
        <v>0</v>
      </c>
      <c r="EF586" s="407">
        <v>0</v>
      </c>
      <c r="EG586" s="407"/>
      <c r="EH586" s="407">
        <v>0</v>
      </c>
      <c r="EI586" s="407">
        <v>0</v>
      </c>
      <c r="EJ586" s="407">
        <v>0</v>
      </c>
      <c r="EK586" s="407">
        <v>0</v>
      </c>
      <c r="EL586" s="407">
        <v>0</v>
      </c>
      <c r="EM586" s="407"/>
      <c r="EN586" s="407"/>
      <c r="EO586" s="407">
        <v>0</v>
      </c>
      <c r="EP586" s="407">
        <v>0</v>
      </c>
      <c r="EQ586" s="407"/>
      <c r="ER586" s="407">
        <v>0</v>
      </c>
      <c r="ES586" s="407"/>
      <c r="ET586" s="407">
        <v>0</v>
      </c>
      <c r="EU586" s="407"/>
      <c r="EV586" s="407">
        <v>246</v>
      </c>
      <c r="EW586" s="407"/>
      <c r="EX586" s="407"/>
      <c r="EY586" s="407"/>
      <c r="EZ586" s="407"/>
      <c r="FA586" s="407">
        <v>0</v>
      </c>
      <c r="FB586" s="407"/>
      <c r="FC586" s="407"/>
      <c r="FD586" s="407"/>
      <c r="FE586" s="407"/>
      <c r="FF586" s="407">
        <v>0</v>
      </c>
      <c r="FG586" s="407">
        <v>0</v>
      </c>
      <c r="FH586" s="407">
        <v>0</v>
      </c>
      <c r="FI586" s="407">
        <v>0</v>
      </c>
    </row>
    <row r="587" spans="1:165">
      <c r="A587" s="407">
        <v>610</v>
      </c>
      <c r="B587" s="407" t="s">
        <v>1090</v>
      </c>
      <c r="C587" s="407" t="s">
        <v>2306</v>
      </c>
      <c r="D587" s="407" t="s">
        <v>1219</v>
      </c>
      <c r="E587" s="407" t="s">
        <v>1049</v>
      </c>
      <c r="F587" s="407" t="s">
        <v>97</v>
      </c>
      <c r="G587" s="407" t="s">
        <v>97</v>
      </c>
      <c r="H587" s="407" t="s">
        <v>97</v>
      </c>
      <c r="I587" s="407" t="s">
        <v>97</v>
      </c>
      <c r="J587" s="407" t="s">
        <v>2307</v>
      </c>
      <c r="K587" s="818">
        <v>44652</v>
      </c>
      <c r="L587" s="407">
        <v>0</v>
      </c>
      <c r="M587" s="407">
        <v>0</v>
      </c>
      <c r="N587" s="407">
        <v>713.46</v>
      </c>
      <c r="O587" s="407">
        <v>713.46</v>
      </c>
      <c r="P587" s="407">
        <v>713.46</v>
      </c>
      <c r="Q587" s="407">
        <v>713.46</v>
      </c>
      <c r="R587" s="407"/>
      <c r="S587" s="407">
        <v>648.44000000000005</v>
      </c>
      <c r="T587" s="407">
        <v>159.41</v>
      </c>
      <c r="U587" s="407"/>
      <c r="V587" s="407">
        <v>576368.66100000008</v>
      </c>
      <c r="W587" s="407">
        <v>576368.66100000008</v>
      </c>
      <c r="X587" s="407">
        <v>436509.09719999996</v>
      </c>
      <c r="Y587" s="407">
        <v>0</v>
      </c>
      <c r="Z587" s="407">
        <v>44213.295014484582</v>
      </c>
      <c r="AA587" s="407">
        <v>0</v>
      </c>
      <c r="AB587" s="407">
        <v>0</v>
      </c>
      <c r="AC587" s="407">
        <v>0</v>
      </c>
      <c r="AD587" s="407">
        <v>83221.132325153594</v>
      </c>
      <c r="AE587" s="407">
        <v>297902.36258694797</v>
      </c>
      <c r="AF587" s="407">
        <v>110037.44714613474</v>
      </c>
      <c r="AG587" s="407">
        <v>3696.9693845024676</v>
      </c>
      <c r="AH587" s="407">
        <v>0</v>
      </c>
      <c r="AI587" s="407">
        <v>0</v>
      </c>
      <c r="AJ587" s="407">
        <v>0</v>
      </c>
      <c r="AK587" s="407">
        <v>0</v>
      </c>
      <c r="AL587" s="407">
        <v>6832.1324505404809</v>
      </c>
      <c r="AM587" s="407"/>
      <c r="AN587" s="407">
        <v>1480.4977356556906</v>
      </c>
      <c r="AO587" s="407">
        <v>0</v>
      </c>
      <c r="AP587" s="407">
        <v>0</v>
      </c>
      <c r="AQ587" s="407">
        <v>0</v>
      </c>
      <c r="AR587" s="407">
        <v>0</v>
      </c>
      <c r="AS587" s="407">
        <v>0</v>
      </c>
      <c r="AT587" s="407">
        <v>0</v>
      </c>
      <c r="AU587" s="407">
        <v>0</v>
      </c>
      <c r="AV587" s="407">
        <v>0</v>
      </c>
      <c r="AW587" s="407">
        <v>0</v>
      </c>
      <c r="AX587" s="407">
        <v>0</v>
      </c>
      <c r="AY587" s="407">
        <v>0</v>
      </c>
      <c r="AZ587" s="407">
        <v>0</v>
      </c>
      <c r="BA587" s="407"/>
      <c r="BB587" s="407">
        <v>0</v>
      </c>
      <c r="BC587" s="407">
        <v>0</v>
      </c>
      <c r="BD587" s="407">
        <v>0</v>
      </c>
      <c r="BE587" s="407">
        <v>0</v>
      </c>
      <c r="BF587" s="407">
        <v>0</v>
      </c>
      <c r="BG587" s="407">
        <v>8043.3860107335377</v>
      </c>
      <c r="BH587" s="407">
        <v>0</v>
      </c>
      <c r="BI587" s="407">
        <v>1067.49</v>
      </c>
      <c r="BJ587" s="407">
        <v>5321.96</v>
      </c>
      <c r="BK587" s="407">
        <v>179174.06</v>
      </c>
      <c r="BL587" s="407">
        <v>1528</v>
      </c>
      <c r="BM587" s="407"/>
      <c r="BN587" s="407"/>
      <c r="BO587" s="407"/>
      <c r="BP587" s="407"/>
      <c r="BQ587" s="407"/>
      <c r="BR587" s="407"/>
      <c r="BS587" s="407"/>
      <c r="BT587" s="407"/>
      <c r="BU587" s="407"/>
      <c r="BV587" s="407">
        <v>118080.83315686828</v>
      </c>
      <c r="BW587" s="407"/>
      <c r="BX587" s="407"/>
      <c r="BY587" s="407"/>
      <c r="BZ587" s="407"/>
      <c r="CA587" s="407"/>
      <c r="CB587" s="407"/>
      <c r="CC587" s="407"/>
      <c r="CD587" s="407"/>
      <c r="CE587" s="407"/>
      <c r="CF587" s="407"/>
      <c r="CG587" s="407"/>
      <c r="CH587" s="407"/>
      <c r="CI587" s="407">
        <v>436509.09719999996</v>
      </c>
      <c r="CJ587" s="407">
        <v>-139859.59380000015</v>
      </c>
      <c r="CK587" s="407"/>
      <c r="CL587" s="407"/>
      <c r="CM587" s="407"/>
      <c r="CN587" s="407"/>
      <c r="CO587" s="407">
        <v>-159458.31000000006</v>
      </c>
      <c r="CP587" s="407">
        <v>19598.746200000001</v>
      </c>
      <c r="CQ587" s="407">
        <v>30</v>
      </c>
      <c r="CR587" s="407">
        <v>12310.051693451591</v>
      </c>
      <c r="CS587" s="407">
        <v>0</v>
      </c>
      <c r="CT587" s="407">
        <v>0</v>
      </c>
      <c r="CU587" s="407">
        <v>0</v>
      </c>
      <c r="CV587" s="407">
        <v>0</v>
      </c>
      <c r="CW587" s="407">
        <v>0</v>
      </c>
      <c r="CX587" s="407">
        <v>0</v>
      </c>
      <c r="CY587" s="407">
        <v>0</v>
      </c>
      <c r="CZ587" s="407">
        <v>3759.2635588234407</v>
      </c>
      <c r="DA587" s="407">
        <v>0</v>
      </c>
      <c r="DB587" s="407">
        <v>0</v>
      </c>
      <c r="DC587" s="407">
        <v>21817.454224963032</v>
      </c>
      <c r="DD587" s="407">
        <v>0</v>
      </c>
      <c r="DE587" s="407">
        <v>0</v>
      </c>
      <c r="DF587" s="407">
        <v>0</v>
      </c>
      <c r="DG587" s="407">
        <v>1594.7862355424686</v>
      </c>
      <c r="DH587" s="407">
        <v>0</v>
      </c>
      <c r="DI587" s="407">
        <v>-3096.7864044426242</v>
      </c>
      <c r="DJ587" s="407"/>
      <c r="DK587" s="407">
        <v>0</v>
      </c>
      <c r="DL587" s="407">
        <v>0</v>
      </c>
      <c r="DM587" s="407">
        <v>0</v>
      </c>
      <c r="DN587" s="407">
        <v>0</v>
      </c>
      <c r="DO587" s="407">
        <v>-416.83780807467519</v>
      </c>
      <c r="DP587" s="407">
        <v>-94.333741493962179</v>
      </c>
      <c r="DQ587" s="407">
        <v>0</v>
      </c>
      <c r="DR587" s="407">
        <v>-11253.494371866031</v>
      </c>
      <c r="DS587" s="407"/>
      <c r="DT587" s="407"/>
      <c r="DU587" s="407"/>
      <c r="DV587" s="407">
        <v>297902.36258694797</v>
      </c>
      <c r="DW587" s="407">
        <v>0</v>
      </c>
      <c r="DX587" s="407">
        <v>0</v>
      </c>
      <c r="DY587" s="407">
        <v>-159458.31000000006</v>
      </c>
      <c r="DZ587" s="407">
        <v>19598.74619999998</v>
      </c>
      <c r="EA587" s="407">
        <v>0</v>
      </c>
      <c r="EB587" s="407">
        <v>0</v>
      </c>
      <c r="EC587" s="407">
        <v>-152169.21872439791</v>
      </c>
      <c r="ED587" s="407">
        <v>0</v>
      </c>
      <c r="EE587" s="407">
        <v>0</v>
      </c>
      <c r="EF587" s="407">
        <v>0</v>
      </c>
      <c r="EG587" s="407">
        <v>0</v>
      </c>
      <c r="EH587" s="407">
        <v>0</v>
      </c>
      <c r="EI587" s="407">
        <v>0</v>
      </c>
      <c r="EJ587" s="407">
        <v>0</v>
      </c>
      <c r="EK587" s="407">
        <v>0</v>
      </c>
      <c r="EL587" s="407">
        <v>0</v>
      </c>
      <c r="EM587" s="407">
        <v>0</v>
      </c>
      <c r="EN587" s="407">
        <v>0</v>
      </c>
      <c r="EO587" s="407">
        <v>0</v>
      </c>
      <c r="EP587" s="407">
        <v>20943.047332682821</v>
      </c>
      <c r="EQ587" s="407">
        <v>0</v>
      </c>
      <c r="ER587" s="407">
        <v>0</v>
      </c>
      <c r="ES587" s="407">
        <v>0</v>
      </c>
      <c r="ET587" s="407">
        <v>0</v>
      </c>
      <c r="EU587" s="407">
        <v>0</v>
      </c>
      <c r="EV587" s="407">
        <v>246</v>
      </c>
      <c r="EW587" s="407">
        <v>0</v>
      </c>
      <c r="EX587" s="407">
        <v>0</v>
      </c>
      <c r="EY587" s="407">
        <v>0</v>
      </c>
      <c r="EZ587" s="407"/>
      <c r="FA587" s="407">
        <v>0</v>
      </c>
      <c r="FB587" s="407"/>
      <c r="FC587" s="407"/>
      <c r="FD587" s="407"/>
      <c r="FE587" s="407"/>
      <c r="FF587" s="407">
        <v>0</v>
      </c>
      <c r="FG587" s="407">
        <v>0</v>
      </c>
      <c r="FH587" s="407">
        <v>0</v>
      </c>
      <c r="FI587" s="407">
        <v>0</v>
      </c>
    </row>
    <row r="588" spans="1:165">
      <c r="A588" s="407">
        <v>611</v>
      </c>
      <c r="B588" s="407" t="s">
        <v>2309</v>
      </c>
      <c r="C588" s="407" t="s">
        <v>2306</v>
      </c>
      <c r="D588" s="407" t="s">
        <v>1219</v>
      </c>
      <c r="E588" s="407" t="s">
        <v>1049</v>
      </c>
      <c r="F588" s="407" t="s">
        <v>97</v>
      </c>
      <c r="G588" s="407" t="s">
        <v>97</v>
      </c>
      <c r="H588" s="407" t="s">
        <v>97</v>
      </c>
      <c r="I588" s="407" t="s">
        <v>97</v>
      </c>
      <c r="J588" s="407" t="s">
        <v>2307</v>
      </c>
      <c r="K588" s="818">
        <v>44652</v>
      </c>
      <c r="L588" s="407">
        <v>0</v>
      </c>
      <c r="M588" s="407">
        <v>0</v>
      </c>
      <c r="N588" s="407">
        <v>104.82899999999999</v>
      </c>
      <c r="O588" s="407">
        <v>104.82899999999999</v>
      </c>
      <c r="P588" s="407">
        <v>104.82899999999999</v>
      </c>
      <c r="Q588" s="407">
        <v>104.82899999999999</v>
      </c>
      <c r="R588" s="407"/>
      <c r="S588" s="407">
        <v>648.44000000000005</v>
      </c>
      <c r="T588" s="407">
        <v>159.41</v>
      </c>
      <c r="U588" s="407"/>
      <c r="V588" s="407">
        <v>84686.107650000005</v>
      </c>
      <c r="W588" s="407">
        <v>84686.107650000005</v>
      </c>
      <c r="X588" s="407">
        <v>64136.47877999999</v>
      </c>
      <c r="Y588" s="407">
        <v>0</v>
      </c>
      <c r="Z588" s="407">
        <v>6496.2794032929723</v>
      </c>
      <c r="AA588" s="407">
        <v>0</v>
      </c>
      <c r="AB588" s="407">
        <v>0</v>
      </c>
      <c r="AC588" s="407">
        <v>0</v>
      </c>
      <c r="AD588" s="407">
        <v>12227.718555368941</v>
      </c>
      <c r="AE588" s="407">
        <v>43770.928668218497</v>
      </c>
      <c r="AF588" s="407">
        <v>16167.851802318501</v>
      </c>
      <c r="AG588" s="407">
        <v>543.19738122390766</v>
      </c>
      <c r="AH588" s="407">
        <v>0</v>
      </c>
      <c r="AI588" s="407">
        <v>0</v>
      </c>
      <c r="AJ588" s="407">
        <v>0</v>
      </c>
      <c r="AK588" s="407">
        <v>0</v>
      </c>
      <c r="AL588" s="407">
        <v>1003.8483063629468</v>
      </c>
      <c r="AM588" s="407"/>
      <c r="AN588" s="407">
        <v>217.53020089570597</v>
      </c>
      <c r="AO588" s="407">
        <v>0</v>
      </c>
      <c r="AP588" s="407">
        <v>0</v>
      </c>
      <c r="AQ588" s="407">
        <v>0</v>
      </c>
      <c r="AR588" s="407">
        <v>0</v>
      </c>
      <c r="AS588" s="407">
        <v>0</v>
      </c>
      <c r="AT588" s="407">
        <v>0</v>
      </c>
      <c r="AU588" s="407">
        <v>0</v>
      </c>
      <c r="AV588" s="407">
        <v>0</v>
      </c>
      <c r="AW588" s="407">
        <v>0</v>
      </c>
      <c r="AX588" s="407">
        <v>0</v>
      </c>
      <c r="AY588" s="407">
        <v>0</v>
      </c>
      <c r="AZ588" s="407">
        <v>0</v>
      </c>
      <c r="BA588" s="407"/>
      <c r="BB588" s="407">
        <v>0</v>
      </c>
      <c r="BC588" s="407">
        <v>0</v>
      </c>
      <c r="BD588" s="407">
        <v>0</v>
      </c>
      <c r="BE588" s="407">
        <v>0</v>
      </c>
      <c r="BF588" s="407">
        <v>0</v>
      </c>
      <c r="BG588" s="407">
        <v>1181.8183389667058</v>
      </c>
      <c r="BH588" s="407">
        <v>0</v>
      </c>
      <c r="BI588" s="407">
        <v>158.69999999999999</v>
      </c>
      <c r="BJ588" s="407">
        <v>789.59</v>
      </c>
      <c r="BK588" s="407">
        <v>45457.39</v>
      </c>
      <c r="BL588" s="407">
        <v>141</v>
      </c>
      <c r="BM588" s="407"/>
      <c r="BN588" s="407"/>
      <c r="BO588" s="407"/>
      <c r="BP588" s="407"/>
      <c r="BQ588" s="407"/>
      <c r="BR588" s="407"/>
      <c r="BS588" s="407"/>
      <c r="BT588" s="407"/>
      <c r="BU588" s="407"/>
      <c r="BV588" s="407">
        <v>17349.670141285205</v>
      </c>
      <c r="BW588" s="407"/>
      <c r="BX588" s="407"/>
      <c r="BY588" s="407"/>
      <c r="BZ588" s="407"/>
      <c r="CA588" s="407"/>
      <c r="CB588" s="407"/>
      <c r="CC588" s="407"/>
      <c r="CD588" s="407"/>
      <c r="CE588" s="407"/>
      <c r="CF588" s="407"/>
      <c r="CG588" s="407"/>
      <c r="CH588" s="407"/>
      <c r="CI588" s="407">
        <v>64137.090599999996</v>
      </c>
      <c r="CJ588" s="407">
        <v>-20549.047049999994</v>
      </c>
      <c r="CK588" s="407"/>
      <c r="CL588" s="407"/>
      <c r="CM588" s="407"/>
      <c r="CN588" s="407"/>
      <c r="CO588" s="407">
        <v>-23429.281500000005</v>
      </c>
      <c r="CP588" s="407">
        <v>2879.6526299999996</v>
      </c>
      <c r="CQ588" s="407">
        <v>30</v>
      </c>
      <c r="CR588" s="407">
        <v>1808.7214545634561</v>
      </c>
      <c r="CS588" s="407">
        <v>0</v>
      </c>
      <c r="CT588" s="407">
        <v>0</v>
      </c>
      <c r="CU588" s="407">
        <v>0</v>
      </c>
      <c r="CV588" s="407">
        <v>0</v>
      </c>
      <c r="CW588" s="407">
        <v>0</v>
      </c>
      <c r="CX588" s="407">
        <v>0</v>
      </c>
      <c r="CY588" s="407">
        <v>0</v>
      </c>
      <c r="CZ588" s="407">
        <v>552.35029238906463</v>
      </c>
      <c r="DA588" s="407">
        <v>0</v>
      </c>
      <c r="DB588" s="407">
        <v>0</v>
      </c>
      <c r="DC588" s="407">
        <v>3205.648402080913</v>
      </c>
      <c r="DD588" s="407">
        <v>0</v>
      </c>
      <c r="DE588" s="407">
        <v>0</v>
      </c>
      <c r="DF588" s="407">
        <v>0</v>
      </c>
      <c r="DG588" s="407">
        <v>234.3226617969915</v>
      </c>
      <c r="DH588" s="407">
        <v>0</v>
      </c>
      <c r="DI588" s="407">
        <v>-455.01222491985027</v>
      </c>
      <c r="DJ588" s="407"/>
      <c r="DK588" s="407">
        <v>0</v>
      </c>
      <c r="DL588" s="407">
        <v>0</v>
      </c>
      <c r="DM588" s="407">
        <v>0</v>
      </c>
      <c r="DN588" s="407">
        <v>0</v>
      </c>
      <c r="DO588" s="407">
        <v>-61.246167385221611</v>
      </c>
      <c r="DP588" s="407">
        <v>-13.860499239019106</v>
      </c>
      <c r="DQ588" s="407">
        <v>0</v>
      </c>
      <c r="DR588" s="407">
        <v>-1653.4810101594258</v>
      </c>
      <c r="DS588" s="407"/>
      <c r="DT588" s="407"/>
      <c r="DU588" s="407"/>
      <c r="DV588" s="407">
        <v>43770.928668218497</v>
      </c>
      <c r="DW588" s="407">
        <v>0</v>
      </c>
      <c r="DX588" s="407">
        <v>0</v>
      </c>
      <c r="DY588" s="407">
        <v>-23429.281500000005</v>
      </c>
      <c r="DZ588" s="407">
        <v>2879.6526299999969</v>
      </c>
      <c r="EA588" s="407">
        <v>0</v>
      </c>
      <c r="EB588" s="407">
        <v>0</v>
      </c>
      <c r="EC588" s="407">
        <v>-22358.292027107214</v>
      </c>
      <c r="ED588" s="407">
        <v>0</v>
      </c>
      <c r="EE588" s="407">
        <v>0</v>
      </c>
      <c r="EF588" s="407">
        <v>0</v>
      </c>
      <c r="EG588" s="407">
        <v>0</v>
      </c>
      <c r="EH588" s="407">
        <v>0</v>
      </c>
      <c r="EI588" s="407">
        <v>0</v>
      </c>
      <c r="EJ588" s="407">
        <v>0</v>
      </c>
      <c r="EK588" s="407">
        <v>0</v>
      </c>
      <c r="EL588" s="407">
        <v>0</v>
      </c>
      <c r="EM588" s="407">
        <v>0</v>
      </c>
      <c r="EN588" s="407">
        <v>0</v>
      </c>
      <c r="EO588" s="407">
        <v>0</v>
      </c>
      <c r="EP588" s="407">
        <v>3077.1714025142369</v>
      </c>
      <c r="EQ588" s="407">
        <v>0</v>
      </c>
      <c r="ER588" s="407">
        <v>0</v>
      </c>
      <c r="ES588" s="407">
        <v>0</v>
      </c>
      <c r="ET588" s="407">
        <v>0</v>
      </c>
      <c r="EU588" s="407">
        <v>0</v>
      </c>
      <c r="EV588" s="407">
        <v>246</v>
      </c>
      <c r="EW588" s="407">
        <v>0</v>
      </c>
      <c r="EX588" s="407">
        <v>0</v>
      </c>
      <c r="EY588" s="407">
        <v>0</v>
      </c>
      <c r="EZ588" s="407"/>
      <c r="FA588" s="407">
        <v>0</v>
      </c>
      <c r="FB588" s="407"/>
      <c r="FC588" s="407"/>
      <c r="FD588" s="407"/>
      <c r="FE588" s="407"/>
      <c r="FF588" s="407">
        <v>0</v>
      </c>
      <c r="FG588" s="407">
        <v>0</v>
      </c>
      <c r="FH588" s="407">
        <v>0</v>
      </c>
      <c r="FI588" s="407">
        <v>0</v>
      </c>
    </row>
    <row r="589" spans="1:165">
      <c r="A589" s="407">
        <v>612</v>
      </c>
      <c r="B589" s="407" t="s">
        <v>1090</v>
      </c>
      <c r="C589" s="407" t="s">
        <v>2314</v>
      </c>
      <c r="D589" s="407" t="s">
        <v>650</v>
      </c>
      <c r="E589" s="407" t="s">
        <v>1049</v>
      </c>
      <c r="F589" s="407" t="s">
        <v>97</v>
      </c>
      <c r="G589" s="407" t="s">
        <v>97</v>
      </c>
      <c r="H589" s="407" t="s">
        <v>97</v>
      </c>
      <c r="I589" s="407" t="s">
        <v>1025</v>
      </c>
      <c r="J589" s="407" t="s">
        <v>2307</v>
      </c>
      <c r="K589" s="818">
        <v>44652</v>
      </c>
      <c r="L589" s="407">
        <v>0</v>
      </c>
      <c r="M589" s="407">
        <v>0</v>
      </c>
      <c r="N589" s="407">
        <v>9.7110000000000003</v>
      </c>
      <c r="O589" s="407">
        <v>9.7110000000000003</v>
      </c>
      <c r="P589" s="407">
        <v>9.7110000000000003</v>
      </c>
      <c r="Q589" s="407">
        <v>9.7110000000000003</v>
      </c>
      <c r="R589" s="407"/>
      <c r="S589" s="407">
        <v>2810.7</v>
      </c>
      <c r="T589" s="407">
        <v>159.41</v>
      </c>
      <c r="U589" s="407"/>
      <c r="V589" s="407">
        <v>28842.73821</v>
      </c>
      <c r="W589" s="407">
        <v>28842.73821</v>
      </c>
      <c r="X589" s="407">
        <v>18370.201589999997</v>
      </c>
      <c r="Y589" s="407">
        <v>0</v>
      </c>
      <c r="Z589" s="407">
        <v>523.56000036515547</v>
      </c>
      <c r="AA589" s="407">
        <v>0</v>
      </c>
      <c r="AB589" s="407">
        <v>0</v>
      </c>
      <c r="AC589" s="407">
        <v>0</v>
      </c>
      <c r="AD589" s="407">
        <v>5928.7169273780792</v>
      </c>
      <c r="AE589" s="407">
        <v>20440.57614762702</v>
      </c>
      <c r="AF589" s="407">
        <v>1497.7344900010014</v>
      </c>
      <c r="AG589" s="407">
        <v>50.319947429293109</v>
      </c>
      <c r="AH589" s="407">
        <v>0</v>
      </c>
      <c r="AI589" s="407">
        <v>0</v>
      </c>
      <c r="AJ589" s="407">
        <v>0</v>
      </c>
      <c r="AK589" s="407">
        <v>0</v>
      </c>
      <c r="AL589" s="407">
        <v>92.993073511056835</v>
      </c>
      <c r="AM589" s="407"/>
      <c r="AN589" s="407">
        <v>10.427024890187553</v>
      </c>
      <c r="AO589" s="407">
        <v>0</v>
      </c>
      <c r="AP589" s="407">
        <v>0</v>
      </c>
      <c r="AQ589" s="407">
        <v>0</v>
      </c>
      <c r="AR589" s="407">
        <v>0</v>
      </c>
      <c r="AS589" s="407">
        <v>0</v>
      </c>
      <c r="AT589" s="407">
        <v>0</v>
      </c>
      <c r="AU589" s="407">
        <v>0</v>
      </c>
      <c r="AV589" s="407">
        <v>0</v>
      </c>
      <c r="AW589" s="407">
        <v>0</v>
      </c>
      <c r="AX589" s="407">
        <v>0</v>
      </c>
      <c r="AY589" s="407">
        <v>0</v>
      </c>
      <c r="AZ589" s="407">
        <v>0</v>
      </c>
      <c r="BA589" s="407"/>
      <c r="BB589" s="407">
        <v>0</v>
      </c>
      <c r="BC589" s="407">
        <v>0</v>
      </c>
      <c r="BD589" s="407">
        <v>0</v>
      </c>
      <c r="BE589" s="407">
        <v>0</v>
      </c>
      <c r="BF589" s="407">
        <v>0</v>
      </c>
      <c r="BG589" s="407">
        <v>50.398869899664696</v>
      </c>
      <c r="BH589" s="407">
        <v>0</v>
      </c>
      <c r="BI589" s="407">
        <v>0</v>
      </c>
      <c r="BJ589" s="407">
        <v>0</v>
      </c>
      <c r="BK589" s="407">
        <v>0</v>
      </c>
      <c r="BL589" s="407">
        <v>0</v>
      </c>
      <c r="BM589" s="407"/>
      <c r="BN589" s="407"/>
      <c r="BO589" s="407"/>
      <c r="BP589" s="407"/>
      <c r="BQ589" s="407"/>
      <c r="BR589" s="407"/>
      <c r="BS589" s="407"/>
      <c r="BT589" s="407"/>
      <c r="BU589" s="407"/>
      <c r="BV589" s="407">
        <v>1548.1333599006662</v>
      </c>
      <c r="BW589" s="407"/>
      <c r="BX589" s="407"/>
      <c r="BY589" s="407"/>
      <c r="BZ589" s="407"/>
      <c r="CA589" s="407"/>
      <c r="CB589" s="407"/>
      <c r="CC589" s="407"/>
      <c r="CD589" s="407"/>
      <c r="CE589" s="407"/>
      <c r="CF589" s="407"/>
      <c r="CG589" s="407"/>
      <c r="CH589" s="407"/>
      <c r="CI589" s="407">
        <v>18368.3099</v>
      </c>
      <c r="CJ589" s="407">
        <v>-10474.458309999995</v>
      </c>
      <c r="CK589" s="407"/>
      <c r="CL589" s="407"/>
      <c r="CM589" s="407"/>
      <c r="CN589" s="407"/>
      <c r="CO589" s="407">
        <v>-10739.297789999999</v>
      </c>
      <c r="CP589" s="407">
        <v>266.76116999999999</v>
      </c>
      <c r="CQ589" s="407">
        <v>30</v>
      </c>
      <c r="CR589" s="407">
        <v>-31.391749417871324</v>
      </c>
      <c r="CS589" s="407">
        <v>0</v>
      </c>
      <c r="CT589" s="407">
        <v>0</v>
      </c>
      <c r="CU589" s="407">
        <v>0</v>
      </c>
      <c r="CV589" s="407">
        <v>0</v>
      </c>
      <c r="CW589" s="407">
        <v>0</v>
      </c>
      <c r="CX589" s="407">
        <v>0</v>
      </c>
      <c r="CY589" s="407">
        <v>0</v>
      </c>
      <c r="CZ589" s="407">
        <v>267.8118991290803</v>
      </c>
      <c r="DA589" s="407">
        <v>0</v>
      </c>
      <c r="DB589" s="407">
        <v>0</v>
      </c>
      <c r="DC589" s="407">
        <v>296.96030328065467</v>
      </c>
      <c r="DD589" s="407">
        <v>0</v>
      </c>
      <c r="DE589" s="407">
        <v>0</v>
      </c>
      <c r="DF589" s="407">
        <v>0</v>
      </c>
      <c r="DG589" s="407">
        <v>9.9927348874744197</v>
      </c>
      <c r="DH589" s="407">
        <v>0</v>
      </c>
      <c r="DI589" s="407">
        <v>-36.671175276794884</v>
      </c>
      <c r="DJ589" s="407"/>
      <c r="DK589" s="407">
        <v>0</v>
      </c>
      <c r="DL589" s="407">
        <v>0</v>
      </c>
      <c r="DM589" s="407">
        <v>0</v>
      </c>
      <c r="DN589" s="407">
        <v>0</v>
      </c>
      <c r="DO589" s="407">
        <v>-5.6736354584884623</v>
      </c>
      <c r="DP589" s="407">
        <v>-0.66438485304833428</v>
      </c>
      <c r="DQ589" s="407">
        <v>0</v>
      </c>
      <c r="DR589" s="407">
        <v>-563.14749112675065</v>
      </c>
      <c r="DS589" s="407"/>
      <c r="DT589" s="407"/>
      <c r="DU589" s="407"/>
      <c r="DV589" s="407">
        <v>20440.57614762702</v>
      </c>
      <c r="DW589" s="407">
        <v>0</v>
      </c>
      <c r="DX589" s="407">
        <v>0</v>
      </c>
      <c r="DY589" s="407">
        <v>-10739.297790000001</v>
      </c>
      <c r="DZ589" s="407">
        <v>266.76116999999999</v>
      </c>
      <c r="EA589" s="407">
        <v>0</v>
      </c>
      <c r="EB589" s="407">
        <v>0</v>
      </c>
      <c r="EC589" s="407">
        <v>-10441.093771967378</v>
      </c>
      <c r="ED589" s="407">
        <v>0</v>
      </c>
      <c r="EE589" s="407">
        <v>0</v>
      </c>
      <c r="EF589" s="407">
        <v>0</v>
      </c>
      <c r="EG589" s="407">
        <v>0</v>
      </c>
      <c r="EH589" s="407">
        <v>0</v>
      </c>
      <c r="EI589" s="407">
        <v>0</v>
      </c>
      <c r="EJ589" s="407">
        <v>0</v>
      </c>
      <c r="EK589" s="407">
        <v>0</v>
      </c>
      <c r="EL589" s="407">
        <v>0</v>
      </c>
      <c r="EM589" s="407">
        <v>0</v>
      </c>
      <c r="EN589" s="407">
        <v>0</v>
      </c>
      <c r="EO589" s="407">
        <v>0</v>
      </c>
      <c r="EP589" s="407">
        <v>248.00101113374825</v>
      </c>
      <c r="EQ589" s="407">
        <v>0</v>
      </c>
      <c r="ER589" s="407">
        <v>0</v>
      </c>
      <c r="ES589" s="407">
        <v>0</v>
      </c>
      <c r="ET589" s="407">
        <v>0</v>
      </c>
      <c r="EU589" s="407">
        <v>0</v>
      </c>
      <c r="EV589" s="407">
        <v>246</v>
      </c>
      <c r="EW589" s="407">
        <v>0</v>
      </c>
      <c r="EX589" s="407">
        <v>0</v>
      </c>
      <c r="EY589" s="407">
        <v>0</v>
      </c>
      <c r="EZ589" s="407"/>
      <c r="FA589" s="407">
        <v>0</v>
      </c>
      <c r="FB589" s="407"/>
      <c r="FC589" s="407"/>
      <c r="FD589" s="407"/>
      <c r="FE589" s="407"/>
      <c r="FF589" s="407">
        <v>0</v>
      </c>
      <c r="FG589" s="407">
        <v>0</v>
      </c>
      <c r="FH589" s="407">
        <v>0</v>
      </c>
      <c r="FI589" s="407">
        <v>0</v>
      </c>
    </row>
    <row r="590" spans="1:165">
      <c r="A590" s="407">
        <v>613</v>
      </c>
      <c r="B590" s="407" t="s">
        <v>2309</v>
      </c>
      <c r="C590" s="407" t="s">
        <v>2314</v>
      </c>
      <c r="D590" s="407" t="s">
        <v>650</v>
      </c>
      <c r="E590" s="407" t="s">
        <v>1049</v>
      </c>
      <c r="F590" s="407" t="s">
        <v>97</v>
      </c>
      <c r="G590" s="407" t="s">
        <v>97</v>
      </c>
      <c r="H590" s="407" t="s">
        <v>97</v>
      </c>
      <c r="I590" s="407" t="s">
        <v>1025</v>
      </c>
      <c r="J590" s="407" t="s">
        <v>2307</v>
      </c>
      <c r="K590" s="818">
        <v>44652</v>
      </c>
      <c r="L590" s="407">
        <v>0</v>
      </c>
      <c r="M590" s="407">
        <v>0</v>
      </c>
      <c r="N590" s="407">
        <v>8.6630000000000003</v>
      </c>
      <c r="O590" s="407">
        <v>8.6630000000000003</v>
      </c>
      <c r="P590" s="407">
        <v>8.6630000000000003</v>
      </c>
      <c r="Q590" s="407">
        <v>8.6630000000000003</v>
      </c>
      <c r="R590" s="407"/>
      <c r="S590" s="407">
        <v>2810.7</v>
      </c>
      <c r="T590" s="407">
        <v>159.41</v>
      </c>
      <c r="U590" s="407"/>
      <c r="V590" s="407">
        <v>25730.06293</v>
      </c>
      <c r="W590" s="407">
        <v>25730.06293</v>
      </c>
      <c r="X590" s="407">
        <v>16387.710469999998</v>
      </c>
      <c r="Y590" s="407">
        <v>0</v>
      </c>
      <c r="Z590" s="407">
        <v>467.05800465074054</v>
      </c>
      <c r="AA590" s="407">
        <v>0</v>
      </c>
      <c r="AB590" s="407">
        <v>0</v>
      </c>
      <c r="AC590" s="407">
        <v>0</v>
      </c>
      <c r="AD590" s="407">
        <v>5288.8965855088354</v>
      </c>
      <c r="AE590" s="407">
        <v>18234.652576139724</v>
      </c>
      <c r="AF590" s="407">
        <v>1336.1006988856632</v>
      </c>
      <c r="AG590" s="407">
        <v>44.889476323753087</v>
      </c>
      <c r="AH590" s="407">
        <v>0</v>
      </c>
      <c r="AI590" s="407">
        <v>0</v>
      </c>
      <c r="AJ590" s="407">
        <v>0</v>
      </c>
      <c r="AK590" s="407">
        <v>0</v>
      </c>
      <c r="AL590" s="407">
        <v>82.957367503479077</v>
      </c>
      <c r="AM590" s="407"/>
      <c r="AN590" s="407">
        <v>9.3017523039537409</v>
      </c>
      <c r="AO590" s="407">
        <v>0</v>
      </c>
      <c r="AP590" s="407">
        <v>0</v>
      </c>
      <c r="AQ590" s="407">
        <v>0</v>
      </c>
      <c r="AR590" s="407">
        <v>0</v>
      </c>
      <c r="AS590" s="407">
        <v>0</v>
      </c>
      <c r="AT590" s="407">
        <v>0</v>
      </c>
      <c r="AU590" s="407">
        <v>0</v>
      </c>
      <c r="AV590" s="407">
        <v>0</v>
      </c>
      <c r="AW590" s="407">
        <v>0</v>
      </c>
      <c r="AX590" s="407">
        <v>0</v>
      </c>
      <c r="AY590" s="407">
        <v>0</v>
      </c>
      <c r="AZ590" s="407">
        <v>0</v>
      </c>
      <c r="BA590" s="407"/>
      <c r="BB590" s="407">
        <v>0</v>
      </c>
      <c r="BC590" s="407">
        <v>0</v>
      </c>
      <c r="BD590" s="407">
        <v>0</v>
      </c>
      <c r="BE590" s="407">
        <v>0</v>
      </c>
      <c r="BF590" s="407">
        <v>0</v>
      </c>
      <c r="BG590" s="407">
        <v>44.95988157149575</v>
      </c>
      <c r="BH590" s="407">
        <v>0</v>
      </c>
      <c r="BI590" s="407">
        <v>0</v>
      </c>
      <c r="BJ590" s="407">
        <v>0</v>
      </c>
      <c r="BK590" s="407">
        <v>0</v>
      </c>
      <c r="BL590" s="407">
        <v>0</v>
      </c>
      <c r="BM590" s="407"/>
      <c r="BN590" s="407"/>
      <c r="BO590" s="407"/>
      <c r="BP590" s="407"/>
      <c r="BQ590" s="407"/>
      <c r="BR590" s="407"/>
      <c r="BS590" s="407"/>
      <c r="BT590" s="407"/>
      <c r="BU590" s="407"/>
      <c r="BV590" s="407">
        <v>1381.0605804571589</v>
      </c>
      <c r="BW590" s="407"/>
      <c r="BX590" s="407"/>
      <c r="BY590" s="407"/>
      <c r="BZ590" s="407"/>
      <c r="CA590" s="407"/>
      <c r="CB590" s="407"/>
      <c r="CC590" s="407"/>
      <c r="CD590" s="407"/>
      <c r="CE590" s="407"/>
      <c r="CF590" s="407"/>
      <c r="CG590" s="407"/>
      <c r="CH590" s="407"/>
      <c r="CI590" s="407">
        <v>16382.035400000001</v>
      </c>
      <c r="CJ590" s="407">
        <v>-9348.0575299999946</v>
      </c>
      <c r="CK590" s="407"/>
      <c r="CL590" s="407"/>
      <c r="CM590" s="407"/>
      <c r="CN590" s="407"/>
      <c r="CO590" s="407">
        <v>-9580.325069999999</v>
      </c>
      <c r="CP590" s="407">
        <v>237.97261</v>
      </c>
      <c r="CQ590" s="407">
        <v>30</v>
      </c>
      <c r="CR590" s="407">
        <v>-28.003987767173385</v>
      </c>
      <c r="CS590" s="407">
        <v>0</v>
      </c>
      <c r="CT590" s="407">
        <v>0</v>
      </c>
      <c r="CU590" s="407">
        <v>0</v>
      </c>
      <c r="CV590" s="407">
        <v>0</v>
      </c>
      <c r="CW590" s="407">
        <v>0</v>
      </c>
      <c r="CX590" s="407">
        <v>0</v>
      </c>
      <c r="CY590" s="407">
        <v>0</v>
      </c>
      <c r="CZ590" s="407">
        <v>238.909945644652</v>
      </c>
      <c r="DA590" s="407">
        <v>0</v>
      </c>
      <c r="DB590" s="407">
        <v>0</v>
      </c>
      <c r="DC590" s="407">
        <v>264.91268739782845</v>
      </c>
      <c r="DD590" s="407">
        <v>0</v>
      </c>
      <c r="DE590" s="407">
        <v>0</v>
      </c>
      <c r="DF590" s="407">
        <v>0</v>
      </c>
      <c r="DG590" s="407">
        <v>8.9143303810308865</v>
      </c>
      <c r="DH590" s="407">
        <v>0</v>
      </c>
      <c r="DI590" s="407">
        <v>-32.713664032836334</v>
      </c>
      <c r="DJ590" s="407"/>
      <c r="DK590" s="407">
        <v>0</v>
      </c>
      <c r="DL590" s="407">
        <v>0</v>
      </c>
      <c r="DM590" s="407">
        <v>0</v>
      </c>
      <c r="DN590" s="407">
        <v>0</v>
      </c>
      <c r="DO590" s="407">
        <v>-5.0613432166497176</v>
      </c>
      <c r="DP590" s="407">
        <v>-0.59268520048993167</v>
      </c>
      <c r="DQ590" s="407">
        <v>0</v>
      </c>
      <c r="DR590" s="407">
        <v>-502.37325874071064</v>
      </c>
      <c r="DS590" s="407"/>
      <c r="DT590" s="407"/>
      <c r="DU590" s="407"/>
      <c r="DV590" s="407">
        <v>18234.652576139724</v>
      </c>
      <c r="DW590" s="407">
        <v>0</v>
      </c>
      <c r="DX590" s="407">
        <v>0</v>
      </c>
      <c r="DY590" s="407">
        <v>-9580.325069999999</v>
      </c>
      <c r="DZ590" s="407">
        <v>237.97261000000003</v>
      </c>
      <c r="EA590" s="407">
        <v>0</v>
      </c>
      <c r="EB590" s="407">
        <v>0</v>
      </c>
      <c r="EC590" s="407">
        <v>-9314.3028881220671</v>
      </c>
      <c r="ED590" s="407">
        <v>0</v>
      </c>
      <c r="EE590" s="407">
        <v>0</v>
      </c>
      <c r="EF590" s="407">
        <v>0</v>
      </c>
      <c r="EG590" s="407">
        <v>0</v>
      </c>
      <c r="EH590" s="407">
        <v>0</v>
      </c>
      <c r="EI590" s="407">
        <v>0</v>
      </c>
      <c r="EJ590" s="407">
        <v>0</v>
      </c>
      <c r="EK590" s="407">
        <v>0</v>
      </c>
      <c r="EL590" s="407">
        <v>0</v>
      </c>
      <c r="EM590" s="407">
        <v>0</v>
      </c>
      <c r="EN590" s="407">
        <v>0</v>
      </c>
      <c r="EO590" s="407">
        <v>0</v>
      </c>
      <c r="EP590" s="407">
        <v>221.2370259964639</v>
      </c>
      <c r="EQ590" s="407">
        <v>0</v>
      </c>
      <c r="ER590" s="407">
        <v>0</v>
      </c>
      <c r="ES590" s="407">
        <v>0</v>
      </c>
      <c r="ET590" s="407">
        <v>0</v>
      </c>
      <c r="EU590" s="407">
        <v>0</v>
      </c>
      <c r="EV590" s="407">
        <v>246</v>
      </c>
      <c r="EW590" s="407">
        <v>0</v>
      </c>
      <c r="EX590" s="407">
        <v>0</v>
      </c>
      <c r="EY590" s="407">
        <v>0</v>
      </c>
      <c r="EZ590" s="407"/>
      <c r="FA590" s="407">
        <v>0</v>
      </c>
      <c r="FB590" s="407"/>
      <c r="FC590" s="407"/>
      <c r="FD590" s="407"/>
      <c r="FE590" s="407"/>
      <c r="FF590" s="407">
        <v>0</v>
      </c>
      <c r="FG590" s="407">
        <v>0</v>
      </c>
      <c r="FH590" s="407">
        <v>0</v>
      </c>
      <c r="FI590" s="407">
        <v>0</v>
      </c>
    </row>
    <row r="591" spans="1:165">
      <c r="A591" s="407">
        <v>614</v>
      </c>
      <c r="B591" s="407" t="s">
        <v>1090</v>
      </c>
      <c r="C591" s="407" t="s">
        <v>2314</v>
      </c>
      <c r="D591" s="407" t="s">
        <v>650</v>
      </c>
      <c r="E591" s="407" t="s">
        <v>1049</v>
      </c>
      <c r="F591" s="407" t="s">
        <v>97</v>
      </c>
      <c r="G591" s="407" t="s">
        <v>97</v>
      </c>
      <c r="H591" s="407" t="s">
        <v>97</v>
      </c>
      <c r="I591" s="407" t="s">
        <v>2290</v>
      </c>
      <c r="J591" s="407" t="s">
        <v>2307</v>
      </c>
      <c r="K591" s="818">
        <v>44652</v>
      </c>
      <c r="L591" s="407">
        <v>0</v>
      </c>
      <c r="M591" s="407">
        <v>0</v>
      </c>
      <c r="N591" s="407">
        <v>165.41300000000001</v>
      </c>
      <c r="O591" s="407">
        <v>165.41300000000001</v>
      </c>
      <c r="P591" s="407">
        <v>165.41300000000001</v>
      </c>
      <c r="Q591" s="407">
        <v>165.41300000000001</v>
      </c>
      <c r="R591" s="407"/>
      <c r="S591" s="407">
        <v>95.29</v>
      </c>
      <c r="T591" s="407">
        <v>159.41</v>
      </c>
      <c r="U591" s="407"/>
      <c r="V591" s="407">
        <v>42130.691100000004</v>
      </c>
      <c r="W591" s="407">
        <v>42130.691100000004</v>
      </c>
      <c r="X591" s="407">
        <v>45804.513830000004</v>
      </c>
      <c r="Y591" s="407">
        <v>0</v>
      </c>
      <c r="Z591" s="407">
        <v>8918.0960086913256</v>
      </c>
      <c r="AA591" s="407">
        <v>0</v>
      </c>
      <c r="AB591" s="407">
        <v>0</v>
      </c>
      <c r="AC591" s="407">
        <v>0</v>
      </c>
      <c r="AD591" s="407">
        <v>0</v>
      </c>
      <c r="AE591" s="407">
        <v>0</v>
      </c>
      <c r="AF591" s="407">
        <v>25511.7655436655</v>
      </c>
      <c r="AG591" s="407">
        <v>857.12835589760698</v>
      </c>
      <c r="AH591" s="407">
        <v>0</v>
      </c>
      <c r="AI591" s="407">
        <v>0</v>
      </c>
      <c r="AJ591" s="407">
        <v>0</v>
      </c>
      <c r="AK591" s="407">
        <v>0</v>
      </c>
      <c r="AL591" s="407">
        <v>1584.0040437323082</v>
      </c>
      <c r="AM591" s="407"/>
      <c r="AN591" s="407">
        <v>177.60946021631077</v>
      </c>
      <c r="AO591" s="407">
        <v>0</v>
      </c>
      <c r="AP591" s="407">
        <v>0</v>
      </c>
      <c r="AQ591" s="407">
        <v>0</v>
      </c>
      <c r="AR591" s="407">
        <v>0</v>
      </c>
      <c r="AS591" s="407">
        <v>0</v>
      </c>
      <c r="AT591" s="407">
        <v>0</v>
      </c>
      <c r="AU591" s="407">
        <v>0</v>
      </c>
      <c r="AV591" s="407">
        <v>0</v>
      </c>
      <c r="AW591" s="407">
        <v>0</v>
      </c>
      <c r="AX591" s="407">
        <v>0</v>
      </c>
      <c r="AY591" s="407">
        <v>0</v>
      </c>
      <c r="AZ591" s="407">
        <v>0</v>
      </c>
      <c r="BA591" s="407"/>
      <c r="BB591" s="407">
        <v>0</v>
      </c>
      <c r="BC591" s="407">
        <v>0</v>
      </c>
      <c r="BD591" s="407">
        <v>0</v>
      </c>
      <c r="BE591" s="407">
        <v>0</v>
      </c>
      <c r="BF591" s="407">
        <v>0</v>
      </c>
      <c r="BG591" s="407">
        <v>858.47268733531428</v>
      </c>
      <c r="BH591" s="407">
        <v>0</v>
      </c>
      <c r="BI591" s="407">
        <v>0</v>
      </c>
      <c r="BJ591" s="407">
        <v>0</v>
      </c>
      <c r="BK591" s="407">
        <v>0</v>
      </c>
      <c r="BL591" s="407">
        <v>0</v>
      </c>
      <c r="BM591" s="407"/>
      <c r="BN591" s="407"/>
      <c r="BO591" s="407"/>
      <c r="BP591" s="407"/>
      <c r="BQ591" s="407"/>
      <c r="BR591" s="407"/>
      <c r="BS591" s="407"/>
      <c r="BT591" s="407"/>
      <c r="BU591" s="407"/>
      <c r="BV591" s="407">
        <v>26370.238231000814</v>
      </c>
      <c r="BW591" s="407"/>
      <c r="BX591" s="407"/>
      <c r="BY591" s="407"/>
      <c r="BZ591" s="407"/>
      <c r="CA591" s="407"/>
      <c r="CB591" s="407"/>
      <c r="CC591" s="407"/>
      <c r="CD591" s="407"/>
      <c r="CE591" s="407"/>
      <c r="CF591" s="407"/>
      <c r="CG591" s="407"/>
      <c r="CH591" s="407"/>
      <c r="CI591" s="407">
        <v>45803.683099999995</v>
      </c>
      <c r="CJ591" s="407">
        <v>3672.9619999999923</v>
      </c>
      <c r="CK591" s="407"/>
      <c r="CL591" s="407"/>
      <c r="CM591" s="407"/>
      <c r="CN591" s="407"/>
      <c r="CO591" s="407">
        <v>-870.07238000000086</v>
      </c>
      <c r="CP591" s="407">
        <v>4543.8951100000004</v>
      </c>
      <c r="CQ591" s="407">
        <v>30</v>
      </c>
      <c r="CR591" s="407">
        <v>3673.2998941747937</v>
      </c>
      <c r="CS591" s="407">
        <v>0</v>
      </c>
      <c r="CT591" s="407">
        <v>0</v>
      </c>
      <c r="CU591" s="407">
        <v>0</v>
      </c>
      <c r="CV591" s="407">
        <v>0</v>
      </c>
      <c r="CW591" s="407">
        <v>0</v>
      </c>
      <c r="CX591" s="407">
        <v>0</v>
      </c>
      <c r="CY591" s="407">
        <v>0</v>
      </c>
      <c r="CZ591" s="407">
        <v>0</v>
      </c>
      <c r="DA591" s="407">
        <v>0</v>
      </c>
      <c r="DB591" s="407">
        <v>0</v>
      </c>
      <c r="DC591" s="407">
        <v>5058.2941660552897</v>
      </c>
      <c r="DD591" s="407">
        <v>0</v>
      </c>
      <c r="DE591" s="407">
        <v>0</v>
      </c>
      <c r="DF591" s="407">
        <v>0</v>
      </c>
      <c r="DG591" s="407">
        <v>170.21195097742839</v>
      </c>
      <c r="DH591" s="407">
        <v>0</v>
      </c>
      <c r="DI591" s="407">
        <v>-624.64103759246973</v>
      </c>
      <c r="DJ591" s="407"/>
      <c r="DK591" s="407">
        <v>0</v>
      </c>
      <c r="DL591" s="407">
        <v>0</v>
      </c>
      <c r="DM591" s="407">
        <v>0</v>
      </c>
      <c r="DN591" s="407">
        <v>0</v>
      </c>
      <c r="DO591" s="407">
        <v>-96.642267747394953</v>
      </c>
      <c r="DP591" s="407">
        <v>-11.316846019697692</v>
      </c>
      <c r="DQ591" s="407">
        <v>0</v>
      </c>
      <c r="DR591" s="407">
        <v>-822.60607149835118</v>
      </c>
      <c r="DS591" s="407"/>
      <c r="DT591" s="407"/>
      <c r="DU591" s="407"/>
      <c r="DV591" s="407">
        <v>0</v>
      </c>
      <c r="DW591" s="407">
        <v>0</v>
      </c>
      <c r="DX591" s="407">
        <v>0</v>
      </c>
      <c r="DY591" s="407">
        <v>-870.07238000000143</v>
      </c>
      <c r="DZ591" s="407">
        <v>4543.8951100000013</v>
      </c>
      <c r="EA591" s="407">
        <v>0</v>
      </c>
      <c r="EB591" s="407">
        <v>0</v>
      </c>
      <c r="EC591" s="407">
        <v>0</v>
      </c>
      <c r="ED591" s="407">
        <v>0</v>
      </c>
      <c r="EE591" s="407">
        <v>0</v>
      </c>
      <c r="EF591" s="407">
        <v>0</v>
      </c>
      <c r="EG591" s="407">
        <v>0</v>
      </c>
      <c r="EH591" s="407">
        <v>0</v>
      </c>
      <c r="EI591" s="407">
        <v>0</v>
      </c>
      <c r="EJ591" s="407">
        <v>0</v>
      </c>
      <c r="EK591" s="407">
        <v>0</v>
      </c>
      <c r="EL591" s="407">
        <v>0</v>
      </c>
      <c r="EM591" s="407">
        <v>0</v>
      </c>
      <c r="EN591" s="407">
        <v>0</v>
      </c>
      <c r="EO591" s="407">
        <v>0</v>
      </c>
      <c r="EP591" s="407">
        <v>4224.342627398486</v>
      </c>
      <c r="EQ591" s="407">
        <v>0</v>
      </c>
      <c r="ER591" s="407">
        <v>0</v>
      </c>
      <c r="ES591" s="407">
        <v>0</v>
      </c>
      <c r="ET591" s="407">
        <v>0</v>
      </c>
      <c r="EU591" s="407">
        <v>0</v>
      </c>
      <c r="EV591" s="407">
        <v>246</v>
      </c>
      <c r="EW591" s="407">
        <v>0</v>
      </c>
      <c r="EX591" s="407">
        <v>0</v>
      </c>
      <c r="EY591" s="407">
        <v>0</v>
      </c>
      <c r="EZ591" s="407"/>
      <c r="FA591" s="407">
        <v>0</v>
      </c>
      <c r="FB591" s="407"/>
      <c r="FC591" s="407"/>
      <c r="FD591" s="407"/>
      <c r="FE591" s="407"/>
      <c r="FF591" s="407">
        <v>0</v>
      </c>
      <c r="FG591" s="407">
        <v>0</v>
      </c>
      <c r="FH591" s="407">
        <v>0</v>
      </c>
      <c r="FI591" s="407">
        <v>0</v>
      </c>
    </row>
    <row r="592" spans="1:165">
      <c r="A592" s="407">
        <v>615</v>
      </c>
      <c r="B592" s="407" t="s">
        <v>2309</v>
      </c>
      <c r="C592" s="407" t="s">
        <v>2314</v>
      </c>
      <c r="D592" s="407" t="s">
        <v>650</v>
      </c>
      <c r="E592" s="407" t="s">
        <v>1049</v>
      </c>
      <c r="F592" s="407" t="s">
        <v>97</v>
      </c>
      <c r="G592" s="407" t="s">
        <v>97</v>
      </c>
      <c r="H592" s="407" t="s">
        <v>97</v>
      </c>
      <c r="I592" s="407" t="s">
        <v>2290</v>
      </c>
      <c r="J592" s="407" t="s">
        <v>2307</v>
      </c>
      <c r="K592" s="818">
        <v>44652</v>
      </c>
      <c r="L592" s="407">
        <v>0</v>
      </c>
      <c r="M592" s="407">
        <v>0</v>
      </c>
      <c r="N592" s="407">
        <v>81.173000000000002</v>
      </c>
      <c r="O592" s="407">
        <v>81.173000000000002</v>
      </c>
      <c r="P592" s="407">
        <v>81.173000000000002</v>
      </c>
      <c r="Q592" s="407">
        <v>81.173000000000002</v>
      </c>
      <c r="R592" s="407"/>
      <c r="S592" s="407">
        <v>95.29</v>
      </c>
      <c r="T592" s="407">
        <v>159.41</v>
      </c>
      <c r="U592" s="407"/>
      <c r="V592" s="407">
        <v>20674.7631</v>
      </c>
      <c r="W592" s="407">
        <v>20674.7631</v>
      </c>
      <c r="X592" s="407">
        <v>22477.615429999998</v>
      </c>
      <c r="Y592" s="407">
        <v>0</v>
      </c>
      <c r="Z592" s="407">
        <v>4376.3707043188924</v>
      </c>
      <c r="AA592" s="407">
        <v>0</v>
      </c>
      <c r="AB592" s="407">
        <v>0</v>
      </c>
      <c r="AC592" s="407">
        <v>0</v>
      </c>
      <c r="AD592" s="407">
        <v>0</v>
      </c>
      <c r="AE592" s="407">
        <v>0</v>
      </c>
      <c r="AF592" s="407">
        <v>12519.369967753197</v>
      </c>
      <c r="AG592" s="407">
        <v>420.61796855916072</v>
      </c>
      <c r="AH592" s="407">
        <v>0</v>
      </c>
      <c r="AI592" s="407">
        <v>0</v>
      </c>
      <c r="AJ592" s="407">
        <v>0</v>
      </c>
      <c r="AK592" s="407">
        <v>0</v>
      </c>
      <c r="AL592" s="407">
        <v>777.31714098579096</v>
      </c>
      <c r="AM592" s="407"/>
      <c r="AN592" s="407">
        <v>87.158159964081378</v>
      </c>
      <c r="AO592" s="407">
        <v>0</v>
      </c>
      <c r="AP592" s="407">
        <v>0</v>
      </c>
      <c r="AQ592" s="407">
        <v>0</v>
      </c>
      <c r="AR592" s="407">
        <v>0</v>
      </c>
      <c r="AS592" s="407">
        <v>0</v>
      </c>
      <c r="AT592" s="407">
        <v>0</v>
      </c>
      <c r="AU592" s="407">
        <v>0</v>
      </c>
      <c r="AV592" s="407">
        <v>0</v>
      </c>
      <c r="AW592" s="407">
        <v>0</v>
      </c>
      <c r="AX592" s="407">
        <v>0</v>
      </c>
      <c r="AY592" s="407">
        <v>0</v>
      </c>
      <c r="AZ592" s="407">
        <v>0</v>
      </c>
      <c r="BA592" s="407"/>
      <c r="BB592" s="407">
        <v>0</v>
      </c>
      <c r="BC592" s="407">
        <v>0</v>
      </c>
      <c r="BD592" s="407">
        <v>0</v>
      </c>
      <c r="BE592" s="407">
        <v>0</v>
      </c>
      <c r="BF592" s="407">
        <v>0</v>
      </c>
      <c r="BG592" s="407">
        <v>421.27767133822289</v>
      </c>
      <c r="BH592" s="407">
        <v>0</v>
      </c>
      <c r="BI592" s="407">
        <v>0</v>
      </c>
      <c r="BJ592" s="407">
        <v>0</v>
      </c>
      <c r="BK592" s="407">
        <v>0</v>
      </c>
      <c r="BL592" s="407">
        <v>0</v>
      </c>
      <c r="BM592" s="407"/>
      <c r="BN592" s="407"/>
      <c r="BO592" s="407"/>
      <c r="BP592" s="407"/>
      <c r="BQ592" s="407"/>
      <c r="BR592" s="407"/>
      <c r="BS592" s="407"/>
      <c r="BT592" s="407"/>
      <c r="BU592" s="407"/>
      <c r="BV592" s="407">
        <v>12940.647639091419</v>
      </c>
      <c r="BW592" s="407"/>
      <c r="BX592" s="407"/>
      <c r="BY592" s="407"/>
      <c r="BZ592" s="407"/>
      <c r="CA592" s="407"/>
      <c r="CB592" s="407"/>
      <c r="CC592" s="407"/>
      <c r="CD592" s="407"/>
      <c r="CE592" s="407"/>
      <c r="CF592" s="407"/>
      <c r="CG592" s="407"/>
      <c r="CH592" s="407"/>
      <c r="CI592" s="407">
        <v>22476.7847</v>
      </c>
      <c r="CJ592" s="407">
        <v>1801.9916000000012</v>
      </c>
      <c r="CK592" s="407"/>
      <c r="CL592" s="407"/>
      <c r="CM592" s="407"/>
      <c r="CN592" s="407"/>
      <c r="CO592" s="407">
        <v>-426.96998000000042</v>
      </c>
      <c r="CP592" s="407">
        <v>2229.82231</v>
      </c>
      <c r="CQ592" s="407">
        <v>30</v>
      </c>
      <c r="CR592" s="407">
        <v>1802.595759159507</v>
      </c>
      <c r="CS592" s="407">
        <v>0</v>
      </c>
      <c r="CT592" s="407">
        <v>0</v>
      </c>
      <c r="CU592" s="407">
        <v>0</v>
      </c>
      <c r="CV592" s="407">
        <v>0</v>
      </c>
      <c r="CW592" s="407">
        <v>0</v>
      </c>
      <c r="CX592" s="407">
        <v>0</v>
      </c>
      <c r="CY592" s="407">
        <v>0</v>
      </c>
      <c r="CZ592" s="407">
        <v>0</v>
      </c>
      <c r="DA592" s="407">
        <v>0</v>
      </c>
      <c r="DB592" s="407">
        <v>0</v>
      </c>
      <c r="DC592" s="407">
        <v>2482.2529809700936</v>
      </c>
      <c r="DD592" s="407">
        <v>0</v>
      </c>
      <c r="DE592" s="407">
        <v>0</v>
      </c>
      <c r="DF592" s="407">
        <v>0</v>
      </c>
      <c r="DG592" s="407">
        <v>83.527985688493573</v>
      </c>
      <c r="DH592" s="407">
        <v>0</v>
      </c>
      <c r="DI592" s="407">
        <v>-306.52963760099601</v>
      </c>
      <c r="DJ592" s="407"/>
      <c r="DK592" s="407">
        <v>0</v>
      </c>
      <c r="DL592" s="407">
        <v>0</v>
      </c>
      <c r="DM592" s="407">
        <v>0</v>
      </c>
      <c r="DN592" s="407">
        <v>0</v>
      </c>
      <c r="DO592" s="407">
        <v>-47.42518907135036</v>
      </c>
      <c r="DP592" s="407">
        <v>-5.5535075354229662</v>
      </c>
      <c r="DQ592" s="407">
        <v>0</v>
      </c>
      <c r="DR592" s="407">
        <v>-403.67687329131121</v>
      </c>
      <c r="DS592" s="407"/>
      <c r="DT592" s="407"/>
      <c r="DU592" s="407"/>
      <c r="DV592" s="407">
        <v>0</v>
      </c>
      <c r="DW592" s="407">
        <v>0</v>
      </c>
      <c r="DX592" s="407">
        <v>0</v>
      </c>
      <c r="DY592" s="407">
        <v>-426.96998000000076</v>
      </c>
      <c r="DZ592" s="407">
        <v>2229.8223099999996</v>
      </c>
      <c r="EA592" s="407">
        <v>0</v>
      </c>
      <c r="EB592" s="407">
        <v>0</v>
      </c>
      <c r="EC592" s="407">
        <v>0</v>
      </c>
      <c r="ED592" s="407">
        <v>0</v>
      </c>
      <c r="EE592" s="407">
        <v>0</v>
      </c>
      <c r="EF592" s="407">
        <v>0</v>
      </c>
      <c r="EG592" s="407">
        <v>0</v>
      </c>
      <c r="EH592" s="407">
        <v>0</v>
      </c>
      <c r="EI592" s="407">
        <v>0</v>
      </c>
      <c r="EJ592" s="407">
        <v>0</v>
      </c>
      <c r="EK592" s="407">
        <v>0</v>
      </c>
      <c r="EL592" s="407">
        <v>0</v>
      </c>
      <c r="EM592" s="407">
        <v>0</v>
      </c>
      <c r="EN592" s="407">
        <v>0</v>
      </c>
      <c r="EO592" s="407">
        <v>0</v>
      </c>
      <c r="EP592" s="407">
        <v>2073.008554912959</v>
      </c>
      <c r="EQ592" s="407">
        <v>0</v>
      </c>
      <c r="ER592" s="407">
        <v>0</v>
      </c>
      <c r="ES592" s="407">
        <v>0</v>
      </c>
      <c r="ET592" s="407">
        <v>0</v>
      </c>
      <c r="EU592" s="407">
        <v>0</v>
      </c>
      <c r="EV592" s="407">
        <v>246</v>
      </c>
      <c r="EW592" s="407">
        <v>0</v>
      </c>
      <c r="EX592" s="407">
        <v>0</v>
      </c>
      <c r="EY592" s="407">
        <v>0</v>
      </c>
      <c r="EZ592" s="407"/>
      <c r="FA592" s="407">
        <v>0</v>
      </c>
      <c r="FB592" s="407"/>
      <c r="FC592" s="407"/>
      <c r="FD592" s="407"/>
      <c r="FE592" s="407"/>
      <c r="FF592" s="407">
        <v>0</v>
      </c>
      <c r="FG592" s="407">
        <v>0</v>
      </c>
      <c r="FH592" s="407">
        <v>0</v>
      </c>
      <c r="FI592" s="407">
        <v>0</v>
      </c>
    </row>
    <row r="593" spans="1:165">
      <c r="A593" s="407">
        <v>616</v>
      </c>
      <c r="B593" s="407" t="s">
        <v>1090</v>
      </c>
      <c r="C593" s="407" t="s">
        <v>2314</v>
      </c>
      <c r="D593" s="407" t="s">
        <v>650</v>
      </c>
      <c r="E593" s="407" t="s">
        <v>1049</v>
      </c>
      <c r="F593" s="407" t="s">
        <v>97</v>
      </c>
      <c r="G593" s="407" t="s">
        <v>97</v>
      </c>
      <c r="H593" s="407" t="s">
        <v>97</v>
      </c>
      <c r="I593" s="407" t="s">
        <v>97</v>
      </c>
      <c r="J593" s="407" t="s">
        <v>2307</v>
      </c>
      <c r="K593" s="818">
        <v>44652</v>
      </c>
      <c r="L593" s="407">
        <v>1656</v>
      </c>
      <c r="M593" s="407">
        <v>1656</v>
      </c>
      <c r="N593" s="407">
        <v>0</v>
      </c>
      <c r="O593" s="407">
        <v>0</v>
      </c>
      <c r="P593" s="407">
        <v>0</v>
      </c>
      <c r="Q593" s="407">
        <v>0</v>
      </c>
      <c r="R593" s="407">
        <v>43.29</v>
      </c>
      <c r="S593" s="407"/>
      <c r="T593" s="407"/>
      <c r="U593" s="407">
        <v>71688.240000000005</v>
      </c>
      <c r="V593" s="407"/>
      <c r="W593" s="407">
        <v>71688.240000000005</v>
      </c>
      <c r="X593" s="407">
        <v>55459.44</v>
      </c>
      <c r="Y593" s="407">
        <v>0</v>
      </c>
      <c r="Z593" s="407">
        <v>0</v>
      </c>
      <c r="AA593" s="407">
        <v>0</v>
      </c>
      <c r="AB593" s="407">
        <v>0</v>
      </c>
      <c r="AC593" s="407">
        <v>0</v>
      </c>
      <c r="AD593" s="407">
        <v>39187.562734373329</v>
      </c>
      <c r="AE593" s="407">
        <v>32505.933844839368</v>
      </c>
      <c r="AF593" s="407"/>
      <c r="AG593" s="407"/>
      <c r="AH593" s="407"/>
      <c r="AI593" s="407">
        <v>0</v>
      </c>
      <c r="AJ593" s="407">
        <v>0</v>
      </c>
      <c r="AK593" s="407">
        <v>0</v>
      </c>
      <c r="AL593" s="407">
        <v>0</v>
      </c>
      <c r="AM593" s="407"/>
      <c r="AN593" s="407">
        <v>0</v>
      </c>
      <c r="AO593" s="407">
        <v>0</v>
      </c>
      <c r="AP593" s="407">
        <v>0</v>
      </c>
      <c r="AQ593" s="407">
        <v>0</v>
      </c>
      <c r="AR593" s="407">
        <v>0</v>
      </c>
      <c r="AS593" s="407"/>
      <c r="AT593" s="407"/>
      <c r="AU593" s="407">
        <v>0</v>
      </c>
      <c r="AV593" s="407">
        <v>0</v>
      </c>
      <c r="AW593" s="407">
        <v>0</v>
      </c>
      <c r="AX593" s="407"/>
      <c r="AY593" s="407"/>
      <c r="AZ593" s="407">
        <v>0</v>
      </c>
      <c r="BA593" s="407"/>
      <c r="BB593" s="407">
        <v>0</v>
      </c>
      <c r="BC593" s="407">
        <v>0</v>
      </c>
      <c r="BD593" s="407">
        <v>0</v>
      </c>
      <c r="BE593" s="407">
        <v>0</v>
      </c>
      <c r="BF593" s="407"/>
      <c r="BG593" s="407">
        <v>0</v>
      </c>
      <c r="BH593" s="407">
        <v>0</v>
      </c>
      <c r="BI593" s="407">
        <v>274.02999999999997</v>
      </c>
      <c r="BJ593" s="407">
        <v>1356.77</v>
      </c>
      <c r="BK593" s="407">
        <v>44495.95</v>
      </c>
      <c r="BL593" s="407">
        <v>12</v>
      </c>
      <c r="BM593" s="407"/>
      <c r="BN593" s="407"/>
      <c r="BO593" s="407"/>
      <c r="BP593" s="407"/>
      <c r="BQ593" s="407"/>
      <c r="BR593" s="407"/>
      <c r="BS593" s="407"/>
      <c r="BT593" s="407"/>
      <c r="BU593" s="407"/>
      <c r="BV593" s="407">
        <v>0</v>
      </c>
      <c r="BW593" s="407"/>
      <c r="BX593" s="407"/>
      <c r="BY593" s="407"/>
      <c r="BZ593" s="407"/>
      <c r="CA593" s="407"/>
      <c r="CB593" s="407"/>
      <c r="CC593" s="407"/>
      <c r="CD593" s="407"/>
      <c r="CE593" s="407"/>
      <c r="CF593" s="407"/>
      <c r="CG593" s="407"/>
      <c r="CH593" s="407"/>
      <c r="CI593" s="407">
        <v>55459.44</v>
      </c>
      <c r="CJ593" s="407">
        <v>-16228.829999999987</v>
      </c>
      <c r="CK593" s="407"/>
      <c r="CL593" s="407"/>
      <c r="CM593" s="407"/>
      <c r="CN593" s="407"/>
      <c r="CO593" s="407">
        <v>-16228.799999999996</v>
      </c>
      <c r="CP593" s="407">
        <v>0</v>
      </c>
      <c r="CQ593" s="407">
        <v>30</v>
      </c>
      <c r="CR593" s="407">
        <v>370.38120047548</v>
      </c>
      <c r="CS593" s="407">
        <v>0</v>
      </c>
      <c r="CT593" s="407">
        <v>0</v>
      </c>
      <c r="CU593" s="407">
        <v>0</v>
      </c>
      <c r="CV593" s="407">
        <v>0</v>
      </c>
      <c r="CW593" s="407"/>
      <c r="CX593" s="407"/>
      <c r="CY593" s="407"/>
      <c r="CZ593" s="407">
        <v>1770.1799102041987</v>
      </c>
      <c r="DA593" s="407">
        <v>0</v>
      </c>
      <c r="DB593" s="407">
        <v>0</v>
      </c>
      <c r="DC593" s="407"/>
      <c r="DD593" s="407"/>
      <c r="DE593" s="407">
        <v>0</v>
      </c>
      <c r="DF593" s="407">
        <v>0</v>
      </c>
      <c r="DG593" s="407">
        <v>0</v>
      </c>
      <c r="DH593" s="407">
        <v>0</v>
      </c>
      <c r="DI593" s="407">
        <v>0</v>
      </c>
      <c r="DJ593" s="407"/>
      <c r="DK593" s="407">
        <v>0</v>
      </c>
      <c r="DL593" s="407">
        <v>0</v>
      </c>
      <c r="DM593" s="407"/>
      <c r="DN593" s="407">
        <v>0</v>
      </c>
      <c r="DO593" s="407">
        <v>0</v>
      </c>
      <c r="DP593" s="407">
        <v>0</v>
      </c>
      <c r="DQ593" s="407">
        <v>0</v>
      </c>
      <c r="DR593" s="407">
        <v>-1399.7987097287164</v>
      </c>
      <c r="DS593" s="407"/>
      <c r="DT593" s="407"/>
      <c r="DU593" s="407">
        <v>32505.933844839368</v>
      </c>
      <c r="DV593" s="407"/>
      <c r="DW593" s="407">
        <v>0</v>
      </c>
      <c r="DX593" s="407">
        <v>0</v>
      </c>
      <c r="DY593" s="407">
        <v>-16228.800000000003</v>
      </c>
      <c r="DZ593" s="407"/>
      <c r="EA593" s="407">
        <v>0</v>
      </c>
      <c r="EB593" s="407"/>
      <c r="EC593" s="407">
        <v>-16604.106506985103</v>
      </c>
      <c r="ED593" s="407"/>
      <c r="EE593" s="407">
        <v>0</v>
      </c>
      <c r="EF593" s="407">
        <v>0</v>
      </c>
      <c r="EG593" s="407"/>
      <c r="EH593" s="407">
        <v>0</v>
      </c>
      <c r="EI593" s="407">
        <v>0</v>
      </c>
      <c r="EJ593" s="407">
        <v>0</v>
      </c>
      <c r="EK593" s="407">
        <v>0</v>
      </c>
      <c r="EL593" s="407">
        <v>0</v>
      </c>
      <c r="EM593" s="407"/>
      <c r="EN593" s="407"/>
      <c r="EO593" s="407">
        <v>0</v>
      </c>
      <c r="EP593" s="407">
        <v>0</v>
      </c>
      <c r="EQ593" s="407"/>
      <c r="ER593" s="407">
        <v>0</v>
      </c>
      <c r="ES593" s="407"/>
      <c r="ET593" s="407">
        <v>0</v>
      </c>
      <c r="EU593" s="407"/>
      <c r="EV593" s="407">
        <v>246</v>
      </c>
      <c r="EW593" s="407"/>
      <c r="EX593" s="407"/>
      <c r="EY593" s="407"/>
      <c r="EZ593" s="407"/>
      <c r="FA593" s="407">
        <v>0</v>
      </c>
      <c r="FB593" s="407"/>
      <c r="FC593" s="407"/>
      <c r="FD593" s="407"/>
      <c r="FE593" s="407"/>
      <c r="FF593" s="407">
        <v>0</v>
      </c>
      <c r="FG593" s="407">
        <v>0</v>
      </c>
      <c r="FH593" s="407">
        <v>0</v>
      </c>
      <c r="FI593" s="407">
        <v>0</v>
      </c>
    </row>
    <row r="594" spans="1:165">
      <c r="A594" s="407">
        <v>617</v>
      </c>
      <c r="B594" s="407" t="s">
        <v>2309</v>
      </c>
      <c r="C594" s="407" t="s">
        <v>2314</v>
      </c>
      <c r="D594" s="407" t="s">
        <v>650</v>
      </c>
      <c r="E594" s="407" t="s">
        <v>1049</v>
      </c>
      <c r="F594" s="407" t="s">
        <v>97</v>
      </c>
      <c r="G594" s="407" t="s">
        <v>97</v>
      </c>
      <c r="H594" s="407" t="s">
        <v>97</v>
      </c>
      <c r="I594" s="407" t="s">
        <v>97</v>
      </c>
      <c r="J594" s="407" t="s">
        <v>2307</v>
      </c>
      <c r="K594" s="818">
        <v>44652</v>
      </c>
      <c r="L594" s="407">
        <v>1013</v>
      </c>
      <c r="M594" s="407">
        <v>1013</v>
      </c>
      <c r="N594" s="407">
        <v>0</v>
      </c>
      <c r="O594" s="407">
        <v>0</v>
      </c>
      <c r="P594" s="407">
        <v>0</v>
      </c>
      <c r="Q594" s="407">
        <v>0</v>
      </c>
      <c r="R594" s="407">
        <v>43.29</v>
      </c>
      <c r="S594" s="407"/>
      <c r="T594" s="407"/>
      <c r="U594" s="407">
        <v>43852.77</v>
      </c>
      <c r="V594" s="407"/>
      <c r="W594" s="407">
        <v>43852.77</v>
      </c>
      <c r="X594" s="407">
        <v>33925.370000000003</v>
      </c>
      <c r="Y594" s="407">
        <v>0</v>
      </c>
      <c r="Z594" s="407">
        <v>0</v>
      </c>
      <c r="AA594" s="407">
        <v>0</v>
      </c>
      <c r="AB594" s="407">
        <v>0</v>
      </c>
      <c r="AC594" s="407">
        <v>0</v>
      </c>
      <c r="AD594" s="407">
        <v>23971.618991497697</v>
      </c>
      <c r="AE594" s="407">
        <v>19884.36653672843</v>
      </c>
      <c r="AF594" s="407"/>
      <c r="AG594" s="407"/>
      <c r="AH594" s="407"/>
      <c r="AI594" s="407">
        <v>0</v>
      </c>
      <c r="AJ594" s="407">
        <v>0</v>
      </c>
      <c r="AK594" s="407">
        <v>0</v>
      </c>
      <c r="AL594" s="407">
        <v>0</v>
      </c>
      <c r="AM594" s="407"/>
      <c r="AN594" s="407">
        <v>0</v>
      </c>
      <c r="AO594" s="407">
        <v>0</v>
      </c>
      <c r="AP594" s="407">
        <v>0</v>
      </c>
      <c r="AQ594" s="407">
        <v>0</v>
      </c>
      <c r="AR594" s="407">
        <v>0</v>
      </c>
      <c r="AS594" s="407"/>
      <c r="AT594" s="407"/>
      <c r="AU594" s="407">
        <v>0</v>
      </c>
      <c r="AV594" s="407">
        <v>0</v>
      </c>
      <c r="AW594" s="407">
        <v>0</v>
      </c>
      <c r="AX594" s="407"/>
      <c r="AY594" s="407"/>
      <c r="AZ594" s="407">
        <v>0</v>
      </c>
      <c r="BA594" s="407"/>
      <c r="BB594" s="407">
        <v>0</v>
      </c>
      <c r="BC594" s="407">
        <v>0</v>
      </c>
      <c r="BD594" s="407">
        <v>0</v>
      </c>
      <c r="BE594" s="407">
        <v>0</v>
      </c>
      <c r="BF594" s="407"/>
      <c r="BG594" s="407">
        <v>0</v>
      </c>
      <c r="BH594" s="407">
        <v>0</v>
      </c>
      <c r="BI594" s="407">
        <v>184.92</v>
      </c>
      <c r="BJ594" s="407">
        <v>915.5</v>
      </c>
      <c r="BK594" s="407">
        <v>31781.98</v>
      </c>
      <c r="BL594" s="407">
        <v>6</v>
      </c>
      <c r="BM594" s="407"/>
      <c r="BN594" s="407"/>
      <c r="BO594" s="407"/>
      <c r="BP594" s="407"/>
      <c r="BQ594" s="407"/>
      <c r="BR594" s="407"/>
      <c r="BS594" s="407"/>
      <c r="BT594" s="407"/>
      <c r="BU594" s="407"/>
      <c r="BV594" s="407">
        <v>0</v>
      </c>
      <c r="BW594" s="407"/>
      <c r="BX594" s="407"/>
      <c r="BY594" s="407"/>
      <c r="BZ594" s="407"/>
      <c r="CA594" s="407"/>
      <c r="CB594" s="407"/>
      <c r="CC594" s="407"/>
      <c r="CD594" s="407"/>
      <c r="CE594" s="407"/>
      <c r="CF594" s="407"/>
      <c r="CG594" s="407"/>
      <c r="CH594" s="407"/>
      <c r="CI594" s="407">
        <v>33925.370000000003</v>
      </c>
      <c r="CJ594" s="407">
        <v>-9927.43</v>
      </c>
      <c r="CK594" s="407"/>
      <c r="CL594" s="407"/>
      <c r="CM594" s="407"/>
      <c r="CN594" s="407"/>
      <c r="CO594" s="407">
        <v>-9927.3999999999978</v>
      </c>
      <c r="CP594" s="407">
        <v>0</v>
      </c>
      <c r="CQ594" s="407">
        <v>30</v>
      </c>
      <c r="CR594" s="407">
        <v>226.56772710245059</v>
      </c>
      <c r="CS594" s="407">
        <v>0</v>
      </c>
      <c r="CT594" s="407">
        <v>0</v>
      </c>
      <c r="CU594" s="407">
        <v>0</v>
      </c>
      <c r="CV594" s="407">
        <v>0</v>
      </c>
      <c r="CW594" s="407"/>
      <c r="CX594" s="407"/>
      <c r="CY594" s="407"/>
      <c r="CZ594" s="407">
        <v>1082.8455610125893</v>
      </c>
      <c r="DA594" s="407">
        <v>0</v>
      </c>
      <c r="DB594" s="407">
        <v>0</v>
      </c>
      <c r="DC594" s="407"/>
      <c r="DD594" s="407"/>
      <c r="DE594" s="407">
        <v>0</v>
      </c>
      <c r="DF594" s="407">
        <v>0</v>
      </c>
      <c r="DG594" s="407">
        <v>0</v>
      </c>
      <c r="DH594" s="407">
        <v>0</v>
      </c>
      <c r="DI594" s="407">
        <v>0</v>
      </c>
      <c r="DJ594" s="407"/>
      <c r="DK594" s="407">
        <v>0</v>
      </c>
      <c r="DL594" s="407">
        <v>0</v>
      </c>
      <c r="DM594" s="407"/>
      <c r="DN594" s="407">
        <v>0</v>
      </c>
      <c r="DO594" s="407">
        <v>0</v>
      </c>
      <c r="DP594" s="407">
        <v>0</v>
      </c>
      <c r="DQ594" s="407">
        <v>0</v>
      </c>
      <c r="DR594" s="407">
        <v>-856.27783391013872</v>
      </c>
      <c r="DS594" s="407"/>
      <c r="DT594" s="407"/>
      <c r="DU594" s="407">
        <v>19884.36653672843</v>
      </c>
      <c r="DV594" s="407"/>
      <c r="DW594" s="407">
        <v>0</v>
      </c>
      <c r="DX594" s="407">
        <v>0</v>
      </c>
      <c r="DY594" s="407">
        <v>-9927.3999999999942</v>
      </c>
      <c r="DZ594" s="407"/>
      <c r="EA594" s="407">
        <v>0</v>
      </c>
      <c r="EB594" s="407"/>
      <c r="EC594" s="407">
        <v>-10156.980610855018</v>
      </c>
      <c r="ED594" s="407"/>
      <c r="EE594" s="407">
        <v>0</v>
      </c>
      <c r="EF594" s="407">
        <v>0</v>
      </c>
      <c r="EG594" s="407"/>
      <c r="EH594" s="407">
        <v>0</v>
      </c>
      <c r="EI594" s="407">
        <v>0</v>
      </c>
      <c r="EJ594" s="407">
        <v>0</v>
      </c>
      <c r="EK594" s="407">
        <v>0</v>
      </c>
      <c r="EL594" s="407">
        <v>0</v>
      </c>
      <c r="EM594" s="407"/>
      <c r="EN594" s="407"/>
      <c r="EO594" s="407">
        <v>0</v>
      </c>
      <c r="EP594" s="407">
        <v>0</v>
      </c>
      <c r="EQ594" s="407"/>
      <c r="ER594" s="407">
        <v>0</v>
      </c>
      <c r="ES594" s="407"/>
      <c r="ET594" s="407">
        <v>0</v>
      </c>
      <c r="EU594" s="407"/>
      <c r="EV594" s="407">
        <v>246</v>
      </c>
      <c r="EW594" s="407"/>
      <c r="EX594" s="407"/>
      <c r="EY594" s="407"/>
      <c r="EZ594" s="407"/>
      <c r="FA594" s="407">
        <v>0</v>
      </c>
      <c r="FB594" s="407"/>
      <c r="FC594" s="407"/>
      <c r="FD594" s="407"/>
      <c r="FE594" s="407"/>
      <c r="FF594" s="407">
        <v>0</v>
      </c>
      <c r="FG594" s="407">
        <v>0</v>
      </c>
      <c r="FH594" s="407">
        <v>0</v>
      </c>
      <c r="FI594" s="407">
        <v>0</v>
      </c>
    </row>
    <row r="595" spans="1:165">
      <c r="A595" s="407">
        <v>618</v>
      </c>
      <c r="B595" s="407" t="s">
        <v>1090</v>
      </c>
      <c r="C595" s="407" t="s">
        <v>2306</v>
      </c>
      <c r="D595" s="407" t="s">
        <v>2315</v>
      </c>
      <c r="E595" s="407" t="s">
        <v>1026</v>
      </c>
      <c r="F595" s="407" t="s">
        <v>97</v>
      </c>
      <c r="G595" s="407" t="s">
        <v>97</v>
      </c>
      <c r="H595" s="407" t="s">
        <v>97</v>
      </c>
      <c r="I595" s="407" t="s">
        <v>97</v>
      </c>
      <c r="J595" s="407" t="s">
        <v>2307</v>
      </c>
      <c r="K595" s="818">
        <v>44652</v>
      </c>
      <c r="L595" s="407">
        <v>0</v>
      </c>
      <c r="M595" s="407">
        <v>0</v>
      </c>
      <c r="N595" s="407">
        <v>4028.9430000000002</v>
      </c>
      <c r="O595" s="407">
        <v>4028.9430000000002</v>
      </c>
      <c r="P595" s="407">
        <v>4028.9430000000002</v>
      </c>
      <c r="Q595" s="407">
        <v>4028.9430000000002</v>
      </c>
      <c r="R595" s="407"/>
      <c r="S595" s="407">
        <v>648.44000000000005</v>
      </c>
      <c r="T595" s="407">
        <v>159.41</v>
      </c>
      <c r="U595" s="407"/>
      <c r="V595" s="407">
        <v>3254781.6025500004</v>
      </c>
      <c r="W595" s="407">
        <v>3254781.6025500004</v>
      </c>
      <c r="X595" s="407">
        <v>2464987.9062600001</v>
      </c>
      <c r="Y595" s="407">
        <v>0</v>
      </c>
      <c r="Z595" s="407">
        <v>249674.6074840111</v>
      </c>
      <c r="AA595" s="407">
        <v>0</v>
      </c>
      <c r="AB595" s="407">
        <v>0</v>
      </c>
      <c r="AC595" s="407">
        <v>0</v>
      </c>
      <c r="AD595" s="407">
        <v>469953.7444755155</v>
      </c>
      <c r="AE595" s="407">
        <v>1682268.9967596584</v>
      </c>
      <c r="AF595" s="407">
        <v>621386.76648626348</v>
      </c>
      <c r="AG595" s="407">
        <v>20876.964262755482</v>
      </c>
      <c r="AH595" s="407">
        <v>0</v>
      </c>
      <c r="AI595" s="407">
        <v>0</v>
      </c>
      <c r="AJ595" s="407">
        <v>0</v>
      </c>
      <c r="AK595" s="407">
        <v>0</v>
      </c>
      <c r="AL595" s="407">
        <v>38581.381172985057</v>
      </c>
      <c r="AM595" s="407"/>
      <c r="AN595" s="407">
        <v>8360.4420550358045</v>
      </c>
      <c r="AO595" s="407">
        <v>0</v>
      </c>
      <c r="AP595" s="407">
        <v>0</v>
      </c>
      <c r="AQ595" s="407">
        <v>0</v>
      </c>
      <c r="AR595" s="407">
        <v>0</v>
      </c>
      <c r="AS595" s="407">
        <v>0</v>
      </c>
      <c r="AT595" s="407">
        <v>0</v>
      </c>
      <c r="AU595" s="407">
        <v>0</v>
      </c>
      <c r="AV595" s="407">
        <v>0</v>
      </c>
      <c r="AW595" s="407">
        <v>0</v>
      </c>
      <c r="AX595" s="407">
        <v>0</v>
      </c>
      <c r="AY595" s="407">
        <v>0</v>
      </c>
      <c r="AZ595" s="407">
        <v>0</v>
      </c>
      <c r="BA595" s="407"/>
      <c r="BB595" s="407">
        <v>0</v>
      </c>
      <c r="BC595" s="407">
        <v>0</v>
      </c>
      <c r="BD595" s="407">
        <v>0</v>
      </c>
      <c r="BE595" s="407">
        <v>0</v>
      </c>
      <c r="BF595" s="407">
        <v>0</v>
      </c>
      <c r="BG595" s="407">
        <v>45421.38839492447</v>
      </c>
      <c r="BH595" s="407">
        <v>0</v>
      </c>
      <c r="BI595" s="407">
        <v>5396.67</v>
      </c>
      <c r="BJ595" s="407">
        <v>27027.279999999999</v>
      </c>
      <c r="BK595" s="407">
        <v>189569.2</v>
      </c>
      <c r="BL595" s="407">
        <v>13188</v>
      </c>
      <c r="BM595" s="407"/>
      <c r="BN595" s="407"/>
      <c r="BO595" s="407"/>
      <c r="BP595" s="407"/>
      <c r="BQ595" s="407"/>
      <c r="BR595" s="407">
        <v>295804.9950600001</v>
      </c>
      <c r="BS595" s="407"/>
      <c r="BT595" s="407"/>
      <c r="BU595" s="407"/>
      <c r="BV595" s="407">
        <v>666808.15488118795</v>
      </c>
      <c r="BW595" s="407"/>
      <c r="BX595" s="407"/>
      <c r="BY595" s="407"/>
      <c r="BZ595" s="407"/>
      <c r="CA595" s="407"/>
      <c r="CB595" s="407"/>
      <c r="CC595" s="407"/>
      <c r="CD595" s="407"/>
      <c r="CE595" s="407"/>
      <c r="CF595" s="407"/>
      <c r="CG595" s="407"/>
      <c r="CH595" s="407"/>
      <c r="CI595" s="407">
        <v>2169181.2960000001</v>
      </c>
      <c r="CJ595" s="407">
        <v>-695034.60212999955</v>
      </c>
      <c r="CK595" s="407"/>
      <c r="CL595" s="407"/>
      <c r="CM595" s="407"/>
      <c r="CN595" s="407"/>
      <c r="CO595" s="407">
        <v>-900468.76050000032</v>
      </c>
      <c r="CP595" s="407">
        <v>110675.06421</v>
      </c>
      <c r="CQ595" s="407">
        <v>30</v>
      </c>
      <c r="CR595" s="407">
        <v>69515.455106060952</v>
      </c>
      <c r="CS595" s="407">
        <v>0</v>
      </c>
      <c r="CT595" s="407">
        <v>0</v>
      </c>
      <c r="CU595" s="407">
        <v>0</v>
      </c>
      <c r="CV595" s="407">
        <v>0</v>
      </c>
      <c r="CW595" s="407">
        <v>0</v>
      </c>
      <c r="CX595" s="407">
        <v>0</v>
      </c>
      <c r="CY595" s="407">
        <v>0</v>
      </c>
      <c r="CZ595" s="407">
        <v>21228.742466959287</v>
      </c>
      <c r="DA595" s="407">
        <v>0</v>
      </c>
      <c r="DB595" s="407">
        <v>0</v>
      </c>
      <c r="DC595" s="407">
        <v>123204.21534141398</v>
      </c>
      <c r="DD595" s="407">
        <v>0</v>
      </c>
      <c r="DE595" s="407">
        <v>0</v>
      </c>
      <c r="DF595" s="407">
        <v>0</v>
      </c>
      <c r="DG595" s="407">
        <v>9005.8347211969594</v>
      </c>
      <c r="DH595" s="407">
        <v>0</v>
      </c>
      <c r="DI595" s="407">
        <v>-17487.702052917186</v>
      </c>
      <c r="DJ595" s="407"/>
      <c r="DK595" s="407">
        <v>0</v>
      </c>
      <c r="DL595" s="407">
        <v>0</v>
      </c>
      <c r="DM595" s="407">
        <v>0</v>
      </c>
      <c r="DN595" s="407">
        <v>0</v>
      </c>
      <c r="DO595" s="407">
        <v>-2353.9031886550219</v>
      </c>
      <c r="DP595" s="407">
        <v>-532.70718394290998</v>
      </c>
      <c r="DQ595" s="407">
        <v>0</v>
      </c>
      <c r="DR595" s="407">
        <v>-63549.024997994333</v>
      </c>
      <c r="DS595" s="407"/>
      <c r="DT595" s="407"/>
      <c r="DU595" s="407"/>
      <c r="DV595" s="407">
        <v>1682268.9967596584</v>
      </c>
      <c r="DW595" s="407">
        <v>0</v>
      </c>
      <c r="DX595" s="407">
        <v>0</v>
      </c>
      <c r="DY595" s="407">
        <v>-900468.76050000032</v>
      </c>
      <c r="DZ595" s="407">
        <v>110675.0642100001</v>
      </c>
      <c r="EA595" s="407">
        <v>0</v>
      </c>
      <c r="EB595" s="407">
        <v>0</v>
      </c>
      <c r="EC595" s="407">
        <v>-859306.91082209512</v>
      </c>
      <c r="ED595" s="407">
        <v>0</v>
      </c>
      <c r="EE595" s="407">
        <v>0</v>
      </c>
      <c r="EF595" s="407">
        <v>0</v>
      </c>
      <c r="EG595" s="407">
        <v>0</v>
      </c>
      <c r="EH595" s="407">
        <v>0</v>
      </c>
      <c r="EI595" s="407">
        <v>0</v>
      </c>
      <c r="EJ595" s="407">
        <v>0</v>
      </c>
      <c r="EK595" s="407">
        <v>0</v>
      </c>
      <c r="EL595" s="407">
        <v>0</v>
      </c>
      <c r="EM595" s="407">
        <v>0</v>
      </c>
      <c r="EN595" s="407">
        <v>0</v>
      </c>
      <c r="EO595" s="407">
        <v>0</v>
      </c>
      <c r="EP595" s="407">
        <v>118266.3974850463</v>
      </c>
      <c r="EQ595" s="407">
        <v>0</v>
      </c>
      <c r="ER595" s="407">
        <v>0</v>
      </c>
      <c r="ES595" s="407">
        <v>0</v>
      </c>
      <c r="ET595" s="407">
        <v>0</v>
      </c>
      <c r="EU595" s="407">
        <v>0</v>
      </c>
      <c r="EV595" s="407">
        <v>246</v>
      </c>
      <c r="EW595" s="407">
        <v>0</v>
      </c>
      <c r="EX595" s="407">
        <v>0</v>
      </c>
      <c r="EY595" s="407">
        <v>0</v>
      </c>
      <c r="EZ595" s="407"/>
      <c r="FA595" s="407">
        <v>0</v>
      </c>
      <c r="FB595" s="407"/>
      <c r="FC595" s="407"/>
      <c r="FD595" s="407"/>
      <c r="FE595" s="407"/>
      <c r="FF595" s="407">
        <v>0</v>
      </c>
      <c r="FG595" s="407">
        <v>0</v>
      </c>
      <c r="FH595" s="407">
        <v>0</v>
      </c>
      <c r="FI595" s="407">
        <v>0</v>
      </c>
    </row>
    <row r="596" spans="1:165">
      <c r="A596" s="407">
        <v>619</v>
      </c>
      <c r="B596" s="407" t="s">
        <v>2308</v>
      </c>
      <c r="C596" s="407" t="s">
        <v>2306</v>
      </c>
      <c r="D596" s="407" t="s">
        <v>2315</v>
      </c>
      <c r="E596" s="407" t="s">
        <v>1026</v>
      </c>
      <c r="F596" s="407" t="s">
        <v>97</v>
      </c>
      <c r="G596" s="407" t="s">
        <v>97</v>
      </c>
      <c r="H596" s="407" t="s">
        <v>97</v>
      </c>
      <c r="I596" s="407" t="s">
        <v>97</v>
      </c>
      <c r="J596" s="407" t="s">
        <v>2307</v>
      </c>
      <c r="K596" s="818">
        <v>44652</v>
      </c>
      <c r="L596" s="407">
        <v>0</v>
      </c>
      <c r="M596" s="407">
        <v>0</v>
      </c>
      <c r="N596" s="407">
        <v>-0.24299999999999999</v>
      </c>
      <c r="O596" s="407">
        <v>-0.24299999999999999</v>
      </c>
      <c r="P596" s="407">
        <v>-0.24299999999999999</v>
      </c>
      <c r="Q596" s="407">
        <v>-0.24299999999999999</v>
      </c>
      <c r="R596" s="407"/>
      <c r="S596" s="407">
        <v>648.44000000000005</v>
      </c>
      <c r="T596" s="407">
        <v>159.41</v>
      </c>
      <c r="U596" s="407"/>
      <c r="V596" s="407">
        <v>-196.30754999999999</v>
      </c>
      <c r="W596" s="407">
        <v>-196.30754999999999</v>
      </c>
      <c r="X596" s="407">
        <v>-148.67225999999999</v>
      </c>
      <c r="Y596" s="407">
        <v>0</v>
      </c>
      <c r="Z596" s="407">
        <v>-15.058770903091629</v>
      </c>
      <c r="AA596" s="407">
        <v>0</v>
      </c>
      <c r="AB596" s="407">
        <v>0</v>
      </c>
      <c r="AC596" s="407">
        <v>0</v>
      </c>
      <c r="AD596" s="407">
        <v>-28.344595569495588</v>
      </c>
      <c r="AE596" s="407">
        <v>-101.46367576125971</v>
      </c>
      <c r="AF596" s="407">
        <v>-37.478064161285481</v>
      </c>
      <c r="AG596" s="407">
        <v>-1.2591645788609025</v>
      </c>
      <c r="AH596" s="407">
        <v>0</v>
      </c>
      <c r="AI596" s="407">
        <v>0</v>
      </c>
      <c r="AJ596" s="407">
        <v>0</v>
      </c>
      <c r="AK596" s="407">
        <v>0</v>
      </c>
      <c r="AL596" s="407">
        <v>-2.3269814502303379</v>
      </c>
      <c r="AM596" s="407"/>
      <c r="AN596" s="407">
        <v>-0.50424824063624141</v>
      </c>
      <c r="AO596" s="407">
        <v>0</v>
      </c>
      <c r="AP596" s="407">
        <v>0</v>
      </c>
      <c r="AQ596" s="407">
        <v>0</v>
      </c>
      <c r="AR596" s="407">
        <v>0</v>
      </c>
      <c r="AS596" s="407">
        <v>0</v>
      </c>
      <c r="AT596" s="407">
        <v>0</v>
      </c>
      <c r="AU596" s="407">
        <v>0</v>
      </c>
      <c r="AV596" s="407">
        <v>0</v>
      </c>
      <c r="AW596" s="407">
        <v>0</v>
      </c>
      <c r="AX596" s="407">
        <v>0</v>
      </c>
      <c r="AY596" s="407">
        <v>0</v>
      </c>
      <c r="AZ596" s="407">
        <v>0</v>
      </c>
      <c r="BA596" s="407"/>
      <c r="BB596" s="407">
        <v>0</v>
      </c>
      <c r="BC596" s="407">
        <v>0</v>
      </c>
      <c r="BD596" s="407">
        <v>0</v>
      </c>
      <c r="BE596" s="407">
        <v>0</v>
      </c>
      <c r="BF596" s="407">
        <v>0</v>
      </c>
      <c r="BG596" s="407">
        <v>-2.7395268138483577</v>
      </c>
      <c r="BH596" s="407">
        <v>0</v>
      </c>
      <c r="BI596" s="407">
        <v>-0.27</v>
      </c>
      <c r="BJ596" s="407">
        <v>-1.1499999999999999</v>
      </c>
      <c r="BK596" s="407">
        <v>0</v>
      </c>
      <c r="BL596" s="407">
        <v>0</v>
      </c>
      <c r="BM596" s="407"/>
      <c r="BN596" s="407"/>
      <c r="BO596" s="407"/>
      <c r="BP596" s="407"/>
      <c r="BQ596" s="407"/>
      <c r="BR596" s="407">
        <v>-17.841060000000002</v>
      </c>
      <c r="BS596" s="407"/>
      <c r="BT596" s="407"/>
      <c r="BU596" s="407"/>
      <c r="BV596" s="407">
        <v>-40.217590975133838</v>
      </c>
      <c r="BW596" s="407"/>
      <c r="BX596" s="407"/>
      <c r="BY596" s="407"/>
      <c r="BZ596" s="407"/>
      <c r="CA596" s="407"/>
      <c r="CB596" s="407"/>
      <c r="CC596" s="407"/>
      <c r="CD596" s="407"/>
      <c r="CE596" s="407"/>
      <c r="CF596" s="407"/>
      <c r="CG596" s="407"/>
      <c r="CH596" s="407"/>
      <c r="CI596" s="407">
        <v>-129.21599999999998</v>
      </c>
      <c r="CJ596" s="407">
        <v>43.505130000000037</v>
      </c>
      <c r="CK596" s="407"/>
      <c r="CL596" s="407"/>
      <c r="CM596" s="407"/>
      <c r="CN596" s="407"/>
      <c r="CO596" s="407">
        <v>54.310500000000012</v>
      </c>
      <c r="CP596" s="407">
        <v>-6.6752099999999999</v>
      </c>
      <c r="CQ596" s="407">
        <v>30</v>
      </c>
      <c r="CR596" s="407">
        <v>-4.1927263778049877</v>
      </c>
      <c r="CS596" s="407">
        <v>0</v>
      </c>
      <c r="CT596" s="407">
        <v>0</v>
      </c>
      <c r="CU596" s="407">
        <v>0</v>
      </c>
      <c r="CV596" s="407">
        <v>0</v>
      </c>
      <c r="CW596" s="407">
        <v>0</v>
      </c>
      <c r="CX596" s="407">
        <v>0</v>
      </c>
      <c r="CY596" s="407">
        <v>0</v>
      </c>
      <c r="CZ596" s="407">
        <v>-1.2803815838226313</v>
      </c>
      <c r="DA596" s="407">
        <v>0</v>
      </c>
      <c r="DB596" s="407">
        <v>0</v>
      </c>
      <c r="DC596" s="407">
        <v>-7.4308880338996062</v>
      </c>
      <c r="DD596" s="407">
        <v>0</v>
      </c>
      <c r="DE596" s="407">
        <v>0</v>
      </c>
      <c r="DF596" s="407">
        <v>0</v>
      </c>
      <c r="DG596" s="407">
        <v>-0.54317418669136375</v>
      </c>
      <c r="DH596" s="407">
        <v>0</v>
      </c>
      <c r="DI596" s="407">
        <v>1.05474602119188</v>
      </c>
      <c r="DJ596" s="407"/>
      <c r="DK596" s="407">
        <v>0</v>
      </c>
      <c r="DL596" s="407">
        <v>0</v>
      </c>
      <c r="DM596" s="407">
        <v>0</v>
      </c>
      <c r="DN596" s="407">
        <v>0</v>
      </c>
      <c r="DO596" s="407">
        <v>0.14197234233474365</v>
      </c>
      <c r="DP596" s="407">
        <v>3.212948053574527E-2</v>
      </c>
      <c r="DQ596" s="407">
        <v>0</v>
      </c>
      <c r="DR596" s="407">
        <v>3.8328695825462464</v>
      </c>
      <c r="DS596" s="407"/>
      <c r="DT596" s="407"/>
      <c r="DU596" s="407"/>
      <c r="DV596" s="407">
        <v>-101.46367576125971</v>
      </c>
      <c r="DW596" s="407">
        <v>0</v>
      </c>
      <c r="DX596" s="407">
        <v>0</v>
      </c>
      <c r="DY596" s="407">
        <v>54.310500000000005</v>
      </c>
      <c r="DZ596" s="407">
        <v>-6.6752099999999999</v>
      </c>
      <c r="EA596" s="407">
        <v>0</v>
      </c>
      <c r="EB596" s="407">
        <v>0</v>
      </c>
      <c r="EC596" s="407">
        <v>51.827881240754479</v>
      </c>
      <c r="ED596" s="407">
        <v>0</v>
      </c>
      <c r="EE596" s="407">
        <v>0</v>
      </c>
      <c r="EF596" s="407">
        <v>0</v>
      </c>
      <c r="EG596" s="407">
        <v>0</v>
      </c>
      <c r="EH596" s="407">
        <v>0</v>
      </c>
      <c r="EI596" s="407">
        <v>0</v>
      </c>
      <c r="EJ596" s="407">
        <v>0</v>
      </c>
      <c r="EK596" s="407">
        <v>0</v>
      </c>
      <c r="EL596" s="407">
        <v>0</v>
      </c>
      <c r="EM596" s="407">
        <v>0</v>
      </c>
      <c r="EN596" s="407">
        <v>0</v>
      </c>
      <c r="EO596" s="407">
        <v>0</v>
      </c>
      <c r="EP596" s="407">
        <v>-7.1330705321138188</v>
      </c>
      <c r="EQ596" s="407">
        <v>0</v>
      </c>
      <c r="ER596" s="407">
        <v>0</v>
      </c>
      <c r="ES596" s="407">
        <v>0</v>
      </c>
      <c r="ET596" s="407">
        <v>0</v>
      </c>
      <c r="EU596" s="407">
        <v>0</v>
      </c>
      <c r="EV596" s="407">
        <v>246</v>
      </c>
      <c r="EW596" s="407">
        <v>0</v>
      </c>
      <c r="EX596" s="407">
        <v>0</v>
      </c>
      <c r="EY596" s="407">
        <v>0</v>
      </c>
      <c r="EZ596" s="407"/>
      <c r="FA596" s="407">
        <v>0</v>
      </c>
      <c r="FB596" s="407"/>
      <c r="FC596" s="407"/>
      <c r="FD596" s="407"/>
      <c r="FE596" s="407"/>
      <c r="FF596" s="407">
        <v>0</v>
      </c>
      <c r="FG596" s="407">
        <v>0</v>
      </c>
      <c r="FH596" s="407">
        <v>0</v>
      </c>
      <c r="FI596" s="407">
        <v>0</v>
      </c>
    </row>
    <row r="597" spans="1:165">
      <c r="A597" s="407">
        <v>620</v>
      </c>
      <c r="B597" s="407" t="s">
        <v>2309</v>
      </c>
      <c r="C597" s="407" t="s">
        <v>2306</v>
      </c>
      <c r="D597" s="407" t="s">
        <v>2315</v>
      </c>
      <c r="E597" s="407" t="s">
        <v>1026</v>
      </c>
      <c r="F597" s="407" t="s">
        <v>97</v>
      </c>
      <c r="G597" s="407" t="s">
        <v>97</v>
      </c>
      <c r="H597" s="407" t="s">
        <v>97</v>
      </c>
      <c r="I597" s="407" t="s">
        <v>97</v>
      </c>
      <c r="J597" s="407" t="s">
        <v>2307</v>
      </c>
      <c r="K597" s="818">
        <v>44652</v>
      </c>
      <c r="L597" s="407">
        <v>0</v>
      </c>
      <c r="M597" s="407">
        <v>0</v>
      </c>
      <c r="N597" s="407">
        <v>116.14400000000001</v>
      </c>
      <c r="O597" s="407">
        <v>116.14400000000001</v>
      </c>
      <c r="P597" s="407">
        <v>116.14400000000001</v>
      </c>
      <c r="Q597" s="407">
        <v>116.14400000000001</v>
      </c>
      <c r="R597" s="407"/>
      <c r="S597" s="407">
        <v>648.44000000000005</v>
      </c>
      <c r="T597" s="407">
        <v>159.41</v>
      </c>
      <c r="U597" s="407"/>
      <c r="V597" s="407">
        <v>93826.930400000012</v>
      </c>
      <c r="W597" s="407">
        <v>93826.930400000012</v>
      </c>
      <c r="X597" s="407">
        <v>71059.222080000007</v>
      </c>
      <c r="Y597" s="407">
        <v>0</v>
      </c>
      <c r="Z597" s="407">
        <v>7197.4727891714992</v>
      </c>
      <c r="AA597" s="407">
        <v>0</v>
      </c>
      <c r="AB597" s="407">
        <v>0</v>
      </c>
      <c r="AC597" s="407">
        <v>0</v>
      </c>
      <c r="AD597" s="407">
        <v>13547.550237956772</v>
      </c>
      <c r="AE597" s="407">
        <v>48495.461553974274</v>
      </c>
      <c r="AF597" s="407">
        <v>17912.972361927332</v>
      </c>
      <c r="AG597" s="407">
        <v>601.82885122313041</v>
      </c>
      <c r="AH597" s="407">
        <v>0</v>
      </c>
      <c r="AI597" s="407">
        <v>0</v>
      </c>
      <c r="AJ597" s="407">
        <v>0</v>
      </c>
      <c r="AK597" s="407">
        <v>0</v>
      </c>
      <c r="AL597" s="407">
        <v>1112.201372656594</v>
      </c>
      <c r="AM597" s="407"/>
      <c r="AN597" s="407">
        <v>241.00990806771864</v>
      </c>
      <c r="AO597" s="407">
        <v>0</v>
      </c>
      <c r="AP597" s="407">
        <v>0</v>
      </c>
      <c r="AQ597" s="407">
        <v>0</v>
      </c>
      <c r="AR597" s="407">
        <v>0</v>
      </c>
      <c r="AS597" s="407">
        <v>0</v>
      </c>
      <c r="AT597" s="407">
        <v>0</v>
      </c>
      <c r="AU597" s="407">
        <v>0</v>
      </c>
      <c r="AV597" s="407">
        <v>0</v>
      </c>
      <c r="AW597" s="407">
        <v>0</v>
      </c>
      <c r="AX597" s="407">
        <v>0</v>
      </c>
      <c r="AY597" s="407">
        <v>0</v>
      </c>
      <c r="AZ597" s="407">
        <v>0</v>
      </c>
      <c r="BA597" s="407"/>
      <c r="BB597" s="407">
        <v>0</v>
      </c>
      <c r="BC597" s="407">
        <v>0</v>
      </c>
      <c r="BD597" s="407">
        <v>0</v>
      </c>
      <c r="BE597" s="407">
        <v>0</v>
      </c>
      <c r="BF597" s="407">
        <v>0</v>
      </c>
      <c r="BG597" s="407">
        <v>1309.3810792905501</v>
      </c>
      <c r="BH597" s="407">
        <v>0</v>
      </c>
      <c r="BI597" s="407">
        <v>159.29</v>
      </c>
      <c r="BJ597" s="407">
        <v>800.4</v>
      </c>
      <c r="BK597" s="407">
        <v>6123.1</v>
      </c>
      <c r="BL597" s="407">
        <v>482</v>
      </c>
      <c r="BM597" s="407"/>
      <c r="BN597" s="407"/>
      <c r="BO597" s="407"/>
      <c r="BP597" s="407"/>
      <c r="BQ597" s="407"/>
      <c r="BR597" s="407">
        <v>8527.2924800000019</v>
      </c>
      <c r="BS597" s="407"/>
      <c r="BT597" s="407"/>
      <c r="BU597" s="407"/>
      <c r="BV597" s="407">
        <v>19222.353441217881</v>
      </c>
      <c r="BW597" s="407"/>
      <c r="BX597" s="407"/>
      <c r="BY597" s="407"/>
      <c r="BZ597" s="407"/>
      <c r="CA597" s="407"/>
      <c r="CB597" s="407"/>
      <c r="CC597" s="407"/>
      <c r="CD597" s="407"/>
      <c r="CE597" s="407"/>
      <c r="CF597" s="407"/>
      <c r="CG597" s="407"/>
      <c r="CH597" s="407"/>
      <c r="CI597" s="407">
        <v>62529.775999999998</v>
      </c>
      <c r="CJ597" s="407">
        <v>-20038.185039999982</v>
      </c>
      <c r="CK597" s="407"/>
      <c r="CL597" s="407"/>
      <c r="CM597" s="407"/>
      <c r="CN597" s="407"/>
      <c r="CO597" s="407">
        <v>-25958.184000000008</v>
      </c>
      <c r="CP597" s="407">
        <v>3190.47568</v>
      </c>
      <c r="CQ597" s="407">
        <v>30</v>
      </c>
      <c r="CR597" s="407">
        <v>2003.9506684106309</v>
      </c>
      <c r="CS597" s="407">
        <v>0</v>
      </c>
      <c r="CT597" s="407">
        <v>0</v>
      </c>
      <c r="CU597" s="407">
        <v>0</v>
      </c>
      <c r="CV597" s="407">
        <v>0</v>
      </c>
      <c r="CW597" s="407">
        <v>0</v>
      </c>
      <c r="CX597" s="407">
        <v>0</v>
      </c>
      <c r="CY597" s="407">
        <v>0</v>
      </c>
      <c r="CZ597" s="407">
        <v>611.96970646706177</v>
      </c>
      <c r="DA597" s="407">
        <v>0</v>
      </c>
      <c r="DB597" s="407">
        <v>0</v>
      </c>
      <c r="DC597" s="407">
        <v>3551.658682342535</v>
      </c>
      <c r="DD597" s="407">
        <v>0</v>
      </c>
      <c r="DE597" s="407">
        <v>0</v>
      </c>
      <c r="DF597" s="407">
        <v>0</v>
      </c>
      <c r="DG597" s="407">
        <v>259.61490839128282</v>
      </c>
      <c r="DH597" s="407">
        <v>0</v>
      </c>
      <c r="DI597" s="407">
        <v>-504.12519294366211</v>
      </c>
      <c r="DJ597" s="407"/>
      <c r="DK597" s="407">
        <v>0</v>
      </c>
      <c r="DL597" s="407">
        <v>0</v>
      </c>
      <c r="DM597" s="407">
        <v>0</v>
      </c>
      <c r="DN597" s="407">
        <v>0</v>
      </c>
      <c r="DO597" s="407">
        <v>-67.856937152783757</v>
      </c>
      <c r="DP597" s="407">
        <v>-15.35656949524116</v>
      </c>
      <c r="DQ597" s="407">
        <v>0</v>
      </c>
      <c r="DR597" s="407">
        <v>-1831.953929198565</v>
      </c>
      <c r="DS597" s="407"/>
      <c r="DT597" s="407"/>
      <c r="DU597" s="407"/>
      <c r="DV597" s="407">
        <v>48495.461553974274</v>
      </c>
      <c r="DW597" s="407">
        <v>0</v>
      </c>
      <c r="DX597" s="407">
        <v>0</v>
      </c>
      <c r="DY597" s="407">
        <v>-25958.184000000008</v>
      </c>
      <c r="DZ597" s="407">
        <v>3190.4756799999996</v>
      </c>
      <c r="EA597" s="407">
        <v>0</v>
      </c>
      <c r="EB597" s="407">
        <v>0</v>
      </c>
      <c r="EC597" s="407">
        <v>-24771.594398461682</v>
      </c>
      <c r="ED597" s="407">
        <v>0</v>
      </c>
      <c r="EE597" s="407">
        <v>0</v>
      </c>
      <c r="EF597" s="407">
        <v>0</v>
      </c>
      <c r="EG597" s="407">
        <v>0</v>
      </c>
      <c r="EH597" s="407">
        <v>0</v>
      </c>
      <c r="EI597" s="407">
        <v>0</v>
      </c>
      <c r="EJ597" s="407">
        <v>0</v>
      </c>
      <c r="EK597" s="407">
        <v>0</v>
      </c>
      <c r="EL597" s="407">
        <v>0</v>
      </c>
      <c r="EM597" s="407">
        <v>0</v>
      </c>
      <c r="EN597" s="407">
        <v>0</v>
      </c>
      <c r="EO597" s="407">
        <v>0</v>
      </c>
      <c r="EP597" s="407">
        <v>3409.3141723531994</v>
      </c>
      <c r="EQ597" s="407">
        <v>0</v>
      </c>
      <c r="ER597" s="407">
        <v>0</v>
      </c>
      <c r="ES597" s="407">
        <v>0</v>
      </c>
      <c r="ET597" s="407">
        <v>0</v>
      </c>
      <c r="EU597" s="407">
        <v>0</v>
      </c>
      <c r="EV597" s="407">
        <v>246</v>
      </c>
      <c r="EW597" s="407">
        <v>0</v>
      </c>
      <c r="EX597" s="407">
        <v>0</v>
      </c>
      <c r="EY597" s="407">
        <v>0</v>
      </c>
      <c r="EZ597" s="407"/>
      <c r="FA597" s="407">
        <v>0</v>
      </c>
      <c r="FB597" s="407"/>
      <c r="FC597" s="407"/>
      <c r="FD597" s="407"/>
      <c r="FE597" s="407"/>
      <c r="FF597" s="407">
        <v>0</v>
      </c>
      <c r="FG597" s="407">
        <v>0</v>
      </c>
      <c r="FH597" s="407">
        <v>0</v>
      </c>
      <c r="FI597" s="407">
        <v>0</v>
      </c>
    </row>
    <row r="598" spans="1:165">
      <c r="A598" s="407">
        <v>621</v>
      </c>
      <c r="B598" s="407" t="s">
        <v>2309</v>
      </c>
      <c r="C598" s="407" t="s">
        <v>2306</v>
      </c>
      <c r="D598" s="407" t="s">
        <v>2315</v>
      </c>
      <c r="E598" s="407" t="s">
        <v>1026</v>
      </c>
      <c r="F598" s="407" t="s">
        <v>97</v>
      </c>
      <c r="G598" s="407" t="s">
        <v>97</v>
      </c>
      <c r="H598" s="407" t="s">
        <v>97</v>
      </c>
      <c r="I598" s="407" t="s">
        <v>97</v>
      </c>
      <c r="J598" s="407" t="s">
        <v>2307</v>
      </c>
      <c r="K598" s="818">
        <v>44652</v>
      </c>
      <c r="L598" s="407">
        <v>0</v>
      </c>
      <c r="M598" s="407">
        <v>0</v>
      </c>
      <c r="N598" s="407">
        <v>-0.46600000000000003</v>
      </c>
      <c r="O598" s="407">
        <v>-0.46600000000000003</v>
      </c>
      <c r="P598" s="407">
        <v>-0.46600000000000003</v>
      </c>
      <c r="Q598" s="407">
        <v>-0.46600000000000003</v>
      </c>
      <c r="R598" s="407"/>
      <c r="S598" s="407">
        <v>648.44000000000005</v>
      </c>
      <c r="T598" s="407">
        <v>159.41</v>
      </c>
      <c r="U598" s="407"/>
      <c r="V598" s="407">
        <v>-376.4581</v>
      </c>
      <c r="W598" s="407">
        <v>-376.4581</v>
      </c>
      <c r="X598" s="407">
        <v>-285.10811999999999</v>
      </c>
      <c r="Y598" s="407">
        <v>0</v>
      </c>
      <c r="Z598" s="407">
        <v>-28.878136793583124</v>
      </c>
      <c r="AA598" s="407">
        <v>0</v>
      </c>
      <c r="AB598" s="407">
        <v>0</v>
      </c>
      <c r="AC598" s="407">
        <v>0</v>
      </c>
      <c r="AD598" s="407">
        <v>-54.356302614752856</v>
      </c>
      <c r="AE598" s="407">
        <v>-194.5764317067779</v>
      </c>
      <c r="AF598" s="407">
        <v>-71.871513988308791</v>
      </c>
      <c r="AG598" s="407">
        <v>-2.4146942129595912</v>
      </c>
      <c r="AH598" s="407">
        <v>0</v>
      </c>
      <c r="AI598" s="407">
        <v>0</v>
      </c>
      <c r="AJ598" s="407">
        <v>0</v>
      </c>
      <c r="AK598" s="407">
        <v>0</v>
      </c>
      <c r="AL598" s="407">
        <v>-4.4624417934458327</v>
      </c>
      <c r="AM598" s="407"/>
      <c r="AN598" s="407">
        <v>-0.96699456846291576</v>
      </c>
      <c r="AO598" s="407">
        <v>0</v>
      </c>
      <c r="AP598" s="407">
        <v>0</v>
      </c>
      <c r="AQ598" s="407">
        <v>0</v>
      </c>
      <c r="AR598" s="407">
        <v>0</v>
      </c>
      <c r="AS598" s="407">
        <v>0</v>
      </c>
      <c r="AT598" s="407">
        <v>0</v>
      </c>
      <c r="AU598" s="407">
        <v>0</v>
      </c>
      <c r="AV598" s="407">
        <v>0</v>
      </c>
      <c r="AW598" s="407">
        <v>0</v>
      </c>
      <c r="AX598" s="407">
        <v>0</v>
      </c>
      <c r="AY598" s="407">
        <v>0</v>
      </c>
      <c r="AZ598" s="407">
        <v>0</v>
      </c>
      <c r="BA598" s="407"/>
      <c r="BB598" s="407">
        <v>0</v>
      </c>
      <c r="BC598" s="407">
        <v>0</v>
      </c>
      <c r="BD598" s="407">
        <v>0</v>
      </c>
      <c r="BE598" s="407">
        <v>0</v>
      </c>
      <c r="BF598" s="407">
        <v>0</v>
      </c>
      <c r="BG598" s="407">
        <v>-5.2535781697668105</v>
      </c>
      <c r="BH598" s="407">
        <v>0</v>
      </c>
      <c r="BI598" s="407">
        <v>-0.51</v>
      </c>
      <c r="BJ598" s="407">
        <v>-2.21</v>
      </c>
      <c r="BK598" s="407">
        <v>-3.2</v>
      </c>
      <c r="BL598" s="407">
        <v>2</v>
      </c>
      <c r="BM598" s="407"/>
      <c r="BN598" s="407"/>
      <c r="BO598" s="407"/>
      <c r="BP598" s="407"/>
      <c r="BQ598" s="407"/>
      <c r="BR598" s="407">
        <v>-34.213720000000009</v>
      </c>
      <c r="BS598" s="407"/>
      <c r="BT598" s="407"/>
      <c r="BU598" s="407"/>
      <c r="BV598" s="407">
        <v>-77.125092158075603</v>
      </c>
      <c r="BW598" s="407"/>
      <c r="BX598" s="407"/>
      <c r="BY598" s="407"/>
      <c r="BZ598" s="407"/>
      <c r="CA598" s="407"/>
      <c r="CB598" s="407"/>
      <c r="CC598" s="407"/>
      <c r="CD598" s="407"/>
      <c r="CE598" s="407"/>
      <c r="CF598" s="407"/>
      <c r="CG598" s="407"/>
      <c r="CH598" s="407"/>
      <c r="CI598" s="407">
        <v>-253.04799999999997</v>
      </c>
      <c r="CJ598" s="407">
        <v>78.206060000000065</v>
      </c>
      <c r="CK598" s="407"/>
      <c r="CL598" s="407"/>
      <c r="CM598" s="407"/>
      <c r="CN598" s="407"/>
      <c r="CO598" s="407">
        <v>104.15100000000004</v>
      </c>
      <c r="CP598" s="407">
        <v>-12.801019999999999</v>
      </c>
      <c r="CQ598" s="407">
        <v>30</v>
      </c>
      <c r="CR598" s="407">
        <v>-8.0403723952967994</v>
      </c>
      <c r="CS598" s="407">
        <v>0</v>
      </c>
      <c r="CT598" s="407">
        <v>0</v>
      </c>
      <c r="CU598" s="407">
        <v>0</v>
      </c>
      <c r="CV598" s="407">
        <v>0</v>
      </c>
      <c r="CW598" s="407">
        <v>0</v>
      </c>
      <c r="CX598" s="407">
        <v>0</v>
      </c>
      <c r="CY598" s="407">
        <v>0</v>
      </c>
      <c r="CZ598" s="407">
        <v>-2.455381967330645</v>
      </c>
      <c r="DA598" s="407">
        <v>0</v>
      </c>
      <c r="DB598" s="407">
        <v>0</v>
      </c>
      <c r="DC598" s="407">
        <v>-14.250180344844509</v>
      </c>
      <c r="DD598" s="407">
        <v>0</v>
      </c>
      <c r="DE598" s="407">
        <v>0</v>
      </c>
      <c r="DF598" s="407">
        <v>0</v>
      </c>
      <c r="DG598" s="407">
        <v>-1.0416426790048368</v>
      </c>
      <c r="DH598" s="407">
        <v>0</v>
      </c>
      <c r="DI598" s="407">
        <v>2.0226816702692005</v>
      </c>
      <c r="DJ598" s="407"/>
      <c r="DK598" s="407">
        <v>0</v>
      </c>
      <c r="DL598" s="407">
        <v>0</v>
      </c>
      <c r="DM598" s="407">
        <v>0</v>
      </c>
      <c r="DN598" s="407">
        <v>0</v>
      </c>
      <c r="DO598" s="407">
        <v>0.27225971822218309</v>
      </c>
      <c r="DP598" s="407">
        <v>6.1614559381305778E-2</v>
      </c>
      <c r="DQ598" s="407">
        <v>0</v>
      </c>
      <c r="DR598" s="407">
        <v>7.3502766480104977</v>
      </c>
      <c r="DS598" s="407"/>
      <c r="DT598" s="407"/>
      <c r="DU598" s="407"/>
      <c r="DV598" s="407">
        <v>-194.5764317067779</v>
      </c>
      <c r="DW598" s="407">
        <v>0</v>
      </c>
      <c r="DX598" s="407">
        <v>0</v>
      </c>
      <c r="DY598" s="407">
        <v>104.15100000000001</v>
      </c>
      <c r="DZ598" s="407">
        <v>-12.801020000000008</v>
      </c>
      <c r="EA598" s="407">
        <v>0</v>
      </c>
      <c r="EB598" s="407">
        <v>0</v>
      </c>
      <c r="EC598" s="407">
        <v>99.39009324358679</v>
      </c>
      <c r="ED598" s="407">
        <v>0</v>
      </c>
      <c r="EE598" s="407">
        <v>0</v>
      </c>
      <c r="EF598" s="407">
        <v>0</v>
      </c>
      <c r="EG598" s="407">
        <v>0</v>
      </c>
      <c r="EH598" s="407">
        <v>0</v>
      </c>
      <c r="EI598" s="407">
        <v>0</v>
      </c>
      <c r="EJ598" s="407">
        <v>0</v>
      </c>
      <c r="EK598" s="407">
        <v>0</v>
      </c>
      <c r="EL598" s="407">
        <v>0</v>
      </c>
      <c r="EM598" s="407">
        <v>0</v>
      </c>
      <c r="EN598" s="407">
        <v>0</v>
      </c>
      <c r="EO598" s="407">
        <v>0</v>
      </c>
      <c r="EP598" s="407">
        <v>-13.679057069814979</v>
      </c>
      <c r="EQ598" s="407">
        <v>0</v>
      </c>
      <c r="ER598" s="407">
        <v>0</v>
      </c>
      <c r="ES598" s="407">
        <v>0</v>
      </c>
      <c r="ET598" s="407">
        <v>0</v>
      </c>
      <c r="EU598" s="407">
        <v>0</v>
      </c>
      <c r="EV598" s="407">
        <v>246</v>
      </c>
      <c r="EW598" s="407">
        <v>0</v>
      </c>
      <c r="EX598" s="407">
        <v>0</v>
      </c>
      <c r="EY598" s="407">
        <v>0</v>
      </c>
      <c r="EZ598" s="407"/>
      <c r="FA598" s="407">
        <v>0</v>
      </c>
      <c r="FB598" s="407"/>
      <c r="FC598" s="407"/>
      <c r="FD598" s="407"/>
      <c r="FE598" s="407"/>
      <c r="FF598" s="407">
        <v>0</v>
      </c>
      <c r="FG598" s="407">
        <v>0</v>
      </c>
      <c r="FH598" s="407">
        <v>0</v>
      </c>
      <c r="FI598" s="407">
        <v>0</v>
      </c>
    </row>
    <row r="599" spans="1:165">
      <c r="A599" s="407">
        <v>622</v>
      </c>
      <c r="B599" s="407" t="s">
        <v>1090</v>
      </c>
      <c r="C599" s="407" t="s">
        <v>2314</v>
      </c>
      <c r="D599" s="407" t="s">
        <v>650</v>
      </c>
      <c r="E599" s="407" t="s">
        <v>1026</v>
      </c>
      <c r="F599" s="407" t="s">
        <v>97</v>
      </c>
      <c r="G599" s="407" t="s">
        <v>97</v>
      </c>
      <c r="H599" s="407" t="s">
        <v>97</v>
      </c>
      <c r="I599" s="407" t="s">
        <v>1025</v>
      </c>
      <c r="J599" s="407" t="s">
        <v>2307</v>
      </c>
      <c r="K599" s="818">
        <v>44652</v>
      </c>
      <c r="L599" s="407">
        <v>0</v>
      </c>
      <c r="M599" s="407">
        <v>0</v>
      </c>
      <c r="N599" s="407">
        <v>31.984999999999999</v>
      </c>
      <c r="O599" s="407">
        <v>30.7056</v>
      </c>
      <c r="P599" s="407">
        <v>31.984999999999999</v>
      </c>
      <c r="Q599" s="407">
        <v>30.7056</v>
      </c>
      <c r="R599" s="407"/>
      <c r="S599" s="407">
        <v>2810.7</v>
      </c>
      <c r="T599" s="407">
        <v>159.41</v>
      </c>
      <c r="U599" s="407"/>
      <c r="V599" s="407">
        <v>94998.968349999996</v>
      </c>
      <c r="W599" s="407">
        <v>94998.968349999996</v>
      </c>
      <c r="X599" s="407">
        <v>60505.70465</v>
      </c>
      <c r="Y599" s="407">
        <v>0</v>
      </c>
      <c r="Z599" s="407">
        <v>1724.4430657686639</v>
      </c>
      <c r="AA599" s="407">
        <v>0</v>
      </c>
      <c r="AB599" s="407">
        <v>0</v>
      </c>
      <c r="AC599" s="407">
        <v>0</v>
      </c>
      <c r="AD599" s="407">
        <v>19527.341254473056</v>
      </c>
      <c r="AE599" s="407">
        <v>67324.871597348392</v>
      </c>
      <c r="AF599" s="407">
        <v>4933.0694740687914</v>
      </c>
      <c r="AG599" s="407">
        <v>165.73818541097106</v>
      </c>
      <c r="AH599" s="407">
        <v>0</v>
      </c>
      <c r="AI599" s="407">
        <v>0</v>
      </c>
      <c r="AJ599" s="407">
        <v>0</v>
      </c>
      <c r="AK599" s="407">
        <v>0</v>
      </c>
      <c r="AL599" s="407">
        <v>306.29013039348706</v>
      </c>
      <c r="AM599" s="407"/>
      <c r="AN599" s="407">
        <v>34.343362281191318</v>
      </c>
      <c r="AO599" s="407">
        <v>0</v>
      </c>
      <c r="AP599" s="407">
        <v>0</v>
      </c>
      <c r="AQ599" s="407">
        <v>0</v>
      </c>
      <c r="AR599" s="407">
        <v>0</v>
      </c>
      <c r="AS599" s="407">
        <v>0</v>
      </c>
      <c r="AT599" s="407">
        <v>0</v>
      </c>
      <c r="AU599" s="407">
        <v>0</v>
      </c>
      <c r="AV599" s="407">
        <v>0</v>
      </c>
      <c r="AW599" s="407">
        <v>0</v>
      </c>
      <c r="AX599" s="407">
        <v>0</v>
      </c>
      <c r="AY599" s="407">
        <v>0</v>
      </c>
      <c r="AZ599" s="407">
        <v>0</v>
      </c>
      <c r="BA599" s="407"/>
      <c r="BB599" s="407">
        <v>0</v>
      </c>
      <c r="BC599" s="407">
        <v>0</v>
      </c>
      <c r="BD599" s="407">
        <v>0</v>
      </c>
      <c r="BE599" s="407">
        <v>0</v>
      </c>
      <c r="BF599" s="407">
        <v>0</v>
      </c>
      <c r="BG599" s="407">
        <v>165.99813137069046</v>
      </c>
      <c r="BH599" s="407">
        <v>0</v>
      </c>
      <c r="BI599" s="407">
        <v>0</v>
      </c>
      <c r="BJ599" s="407">
        <v>0</v>
      </c>
      <c r="BK599" s="407">
        <v>0</v>
      </c>
      <c r="BL599" s="407">
        <v>0</v>
      </c>
      <c r="BM599" s="407"/>
      <c r="BN599" s="407"/>
      <c r="BO599" s="407"/>
      <c r="BP599" s="407"/>
      <c r="BQ599" s="407"/>
      <c r="BR599" s="407">
        <v>2420.228185999998</v>
      </c>
      <c r="BS599" s="407"/>
      <c r="BT599" s="407"/>
      <c r="BU599" s="407"/>
      <c r="BV599" s="407">
        <v>5099.0676054394817</v>
      </c>
      <c r="BW599" s="407"/>
      <c r="BX599" s="407"/>
      <c r="BY599" s="407"/>
      <c r="BZ599" s="407"/>
      <c r="CA599" s="407"/>
      <c r="CB599" s="407"/>
      <c r="CC599" s="407"/>
      <c r="CD599" s="407"/>
      <c r="CE599" s="407"/>
      <c r="CF599" s="407"/>
      <c r="CG599" s="407"/>
      <c r="CH599" s="407"/>
      <c r="CI599" s="407">
        <v>58093.799899999998</v>
      </c>
      <c r="CJ599" s="407">
        <v>-33105.239715999982</v>
      </c>
      <c r="CK599" s="407"/>
      <c r="CL599" s="407"/>
      <c r="CM599" s="407"/>
      <c r="CN599" s="407"/>
      <c r="CO599" s="407">
        <v>-35371.891649999998</v>
      </c>
      <c r="CP599" s="407">
        <v>878.62794999999994</v>
      </c>
      <c r="CQ599" s="407">
        <v>30</v>
      </c>
      <c r="CR599" s="407">
        <v>-103.39461488319284</v>
      </c>
      <c r="CS599" s="407">
        <v>0</v>
      </c>
      <c r="CT599" s="407">
        <v>0</v>
      </c>
      <c r="CU599" s="407">
        <v>0</v>
      </c>
      <c r="CV599" s="407">
        <v>0</v>
      </c>
      <c r="CW599" s="407">
        <v>0</v>
      </c>
      <c r="CX599" s="407">
        <v>0</v>
      </c>
      <c r="CY599" s="407">
        <v>0</v>
      </c>
      <c r="CZ599" s="407">
        <v>882.08872347272336</v>
      </c>
      <c r="DA599" s="407">
        <v>0</v>
      </c>
      <c r="DB599" s="407">
        <v>0</v>
      </c>
      <c r="DC599" s="407">
        <v>978.09445993530335</v>
      </c>
      <c r="DD599" s="407">
        <v>0</v>
      </c>
      <c r="DE599" s="407">
        <v>0</v>
      </c>
      <c r="DF599" s="407">
        <v>0</v>
      </c>
      <c r="DG599" s="407">
        <v>32.912946697134146</v>
      </c>
      <c r="DH599" s="407">
        <v>0</v>
      </c>
      <c r="DI599" s="407">
        <v>-120.78339421566079</v>
      </c>
      <c r="DJ599" s="407"/>
      <c r="DK599" s="407">
        <v>0</v>
      </c>
      <c r="DL599" s="407">
        <v>0</v>
      </c>
      <c r="DM599" s="407">
        <v>0</v>
      </c>
      <c r="DN599" s="407">
        <v>0</v>
      </c>
      <c r="DO599" s="407">
        <v>-18.687182590850966</v>
      </c>
      <c r="DP599" s="407">
        <v>-2.1882761327104276</v>
      </c>
      <c r="DQ599" s="407">
        <v>0</v>
      </c>
      <c r="DR599" s="407">
        <v>-1854.831892049132</v>
      </c>
      <c r="DS599" s="407"/>
      <c r="DT599" s="407"/>
      <c r="DU599" s="407"/>
      <c r="DV599" s="407">
        <v>67324.871597348392</v>
      </c>
      <c r="DW599" s="407">
        <v>0</v>
      </c>
      <c r="DX599" s="407">
        <v>0</v>
      </c>
      <c r="DY599" s="407">
        <v>-35371.891649999998</v>
      </c>
      <c r="DZ599" s="407">
        <v>878.62795000000006</v>
      </c>
      <c r="EA599" s="407">
        <v>0</v>
      </c>
      <c r="EB599" s="407">
        <v>0</v>
      </c>
      <c r="EC599" s="407">
        <v>-34389.70078224453</v>
      </c>
      <c r="ED599" s="407">
        <v>0</v>
      </c>
      <c r="EE599" s="407">
        <v>0</v>
      </c>
      <c r="EF599" s="407">
        <v>0</v>
      </c>
      <c r="EG599" s="407">
        <v>0</v>
      </c>
      <c r="EH599" s="407">
        <v>0</v>
      </c>
      <c r="EI599" s="407">
        <v>0</v>
      </c>
      <c r="EJ599" s="407">
        <v>0</v>
      </c>
      <c r="EK599" s="407">
        <v>0</v>
      </c>
      <c r="EL599" s="407">
        <v>0</v>
      </c>
      <c r="EM599" s="407">
        <v>0</v>
      </c>
      <c r="EN599" s="407">
        <v>0</v>
      </c>
      <c r="EO599" s="407">
        <v>0</v>
      </c>
      <c r="EP599" s="407">
        <v>816.83784791606809</v>
      </c>
      <c r="EQ599" s="407">
        <v>0</v>
      </c>
      <c r="ER599" s="407">
        <v>0</v>
      </c>
      <c r="ES599" s="407">
        <v>0</v>
      </c>
      <c r="ET599" s="407">
        <v>0</v>
      </c>
      <c r="EU599" s="407">
        <v>0</v>
      </c>
      <c r="EV599" s="407">
        <v>246</v>
      </c>
      <c r="EW599" s="407">
        <v>0</v>
      </c>
      <c r="EX599" s="407">
        <v>0</v>
      </c>
      <c r="EY599" s="407">
        <v>0</v>
      </c>
      <c r="EZ599" s="407"/>
      <c r="FA599" s="407">
        <v>0</v>
      </c>
      <c r="FB599" s="407"/>
      <c r="FC599" s="407"/>
      <c r="FD599" s="407"/>
      <c r="FE599" s="407"/>
      <c r="FF599" s="407">
        <v>0</v>
      </c>
      <c r="FG599" s="407">
        <v>0</v>
      </c>
      <c r="FH599" s="407">
        <v>0</v>
      </c>
      <c r="FI599" s="407">
        <v>0</v>
      </c>
    </row>
    <row r="600" spans="1:165">
      <c r="A600" s="407">
        <v>623</v>
      </c>
      <c r="B600" s="407" t="s">
        <v>2309</v>
      </c>
      <c r="C600" s="407" t="s">
        <v>2314</v>
      </c>
      <c r="D600" s="407" t="s">
        <v>650</v>
      </c>
      <c r="E600" s="407" t="s">
        <v>1026</v>
      </c>
      <c r="F600" s="407" t="s">
        <v>97</v>
      </c>
      <c r="G600" s="407" t="s">
        <v>97</v>
      </c>
      <c r="H600" s="407" t="s">
        <v>97</v>
      </c>
      <c r="I600" s="407" t="s">
        <v>1025</v>
      </c>
      <c r="J600" s="407" t="s">
        <v>2307</v>
      </c>
      <c r="K600" s="818">
        <v>44652</v>
      </c>
      <c r="L600" s="407">
        <v>0</v>
      </c>
      <c r="M600" s="407">
        <v>0</v>
      </c>
      <c r="N600" s="407">
        <v>2.2549999999999999</v>
      </c>
      <c r="O600" s="407">
        <v>2.1648000000000001</v>
      </c>
      <c r="P600" s="407">
        <v>2.2549999999999999</v>
      </c>
      <c r="Q600" s="407">
        <v>2.1648000000000001</v>
      </c>
      <c r="R600" s="407"/>
      <c r="S600" s="407">
        <v>2810.7</v>
      </c>
      <c r="T600" s="407">
        <v>159.41</v>
      </c>
      <c r="U600" s="407"/>
      <c r="V600" s="407">
        <v>6697.5980499999987</v>
      </c>
      <c r="W600" s="407">
        <v>6697.5980499999987</v>
      </c>
      <c r="X600" s="407">
        <v>4265.7609499999999</v>
      </c>
      <c r="Y600" s="407">
        <v>0</v>
      </c>
      <c r="Z600" s="407">
        <v>121.57633619847857</v>
      </c>
      <c r="AA600" s="407">
        <v>0</v>
      </c>
      <c r="AB600" s="407">
        <v>0</v>
      </c>
      <c r="AC600" s="407">
        <v>0</v>
      </c>
      <c r="AD600" s="407">
        <v>1376.7126630869702</v>
      </c>
      <c r="AE600" s="407">
        <v>4746.5244787250467</v>
      </c>
      <c r="AF600" s="407">
        <v>347.79026618806074</v>
      </c>
      <c r="AG600" s="407">
        <v>11.684840021939651</v>
      </c>
      <c r="AH600" s="407">
        <v>0</v>
      </c>
      <c r="AI600" s="407">
        <v>0</v>
      </c>
      <c r="AJ600" s="407">
        <v>0</v>
      </c>
      <c r="AK600" s="407">
        <v>0</v>
      </c>
      <c r="AL600" s="407">
        <v>21.594004815923505</v>
      </c>
      <c r="AM600" s="407"/>
      <c r="AN600" s="407">
        <v>2.4212687804935569</v>
      </c>
      <c r="AO600" s="407">
        <v>0</v>
      </c>
      <c r="AP600" s="407">
        <v>0</v>
      </c>
      <c r="AQ600" s="407">
        <v>0</v>
      </c>
      <c r="AR600" s="407">
        <v>0</v>
      </c>
      <c r="AS600" s="407">
        <v>0</v>
      </c>
      <c r="AT600" s="407">
        <v>0</v>
      </c>
      <c r="AU600" s="407">
        <v>0</v>
      </c>
      <c r="AV600" s="407">
        <v>0</v>
      </c>
      <c r="AW600" s="407">
        <v>0</v>
      </c>
      <c r="AX600" s="407">
        <v>0</v>
      </c>
      <c r="AY600" s="407">
        <v>0</v>
      </c>
      <c r="AZ600" s="407">
        <v>0</v>
      </c>
      <c r="BA600" s="407"/>
      <c r="BB600" s="407">
        <v>0</v>
      </c>
      <c r="BC600" s="407">
        <v>0</v>
      </c>
      <c r="BD600" s="407">
        <v>0</v>
      </c>
      <c r="BE600" s="407">
        <v>0</v>
      </c>
      <c r="BF600" s="407">
        <v>0</v>
      </c>
      <c r="BG600" s="407">
        <v>11.703166679409318</v>
      </c>
      <c r="BH600" s="407">
        <v>0</v>
      </c>
      <c r="BI600" s="407">
        <v>0</v>
      </c>
      <c r="BJ600" s="407">
        <v>0</v>
      </c>
      <c r="BK600" s="407">
        <v>0</v>
      </c>
      <c r="BL600" s="407">
        <v>0</v>
      </c>
      <c r="BM600" s="407"/>
      <c r="BN600" s="407"/>
      <c r="BO600" s="407"/>
      <c r="BP600" s="407"/>
      <c r="BQ600" s="407"/>
      <c r="BR600" s="407">
        <v>170.63043799999969</v>
      </c>
      <c r="BS600" s="407"/>
      <c r="BT600" s="407"/>
      <c r="BU600" s="407"/>
      <c r="BV600" s="407">
        <v>359.49343286747006</v>
      </c>
      <c r="BW600" s="407"/>
      <c r="BX600" s="407"/>
      <c r="BY600" s="407"/>
      <c r="BZ600" s="407"/>
      <c r="CA600" s="407"/>
      <c r="CB600" s="407"/>
      <c r="CC600" s="407"/>
      <c r="CD600" s="407"/>
      <c r="CE600" s="407"/>
      <c r="CF600" s="407"/>
      <c r="CG600" s="407"/>
      <c r="CH600" s="407"/>
      <c r="CI600" s="407">
        <v>4086.0504000000001</v>
      </c>
      <c r="CJ600" s="407">
        <v>-2343.6737280000007</v>
      </c>
      <c r="CK600" s="407"/>
      <c r="CL600" s="407"/>
      <c r="CM600" s="407"/>
      <c r="CN600" s="407"/>
      <c r="CO600" s="407">
        <v>-2493.7819499999996</v>
      </c>
      <c r="CP600" s="407">
        <v>61.944849999999995</v>
      </c>
      <c r="CQ600" s="407">
        <v>30</v>
      </c>
      <c r="CR600" s="407">
        <v>-7.2895062235925252</v>
      </c>
      <c r="CS600" s="407">
        <v>0</v>
      </c>
      <c r="CT600" s="407">
        <v>0</v>
      </c>
      <c r="CU600" s="407">
        <v>0</v>
      </c>
      <c r="CV600" s="407">
        <v>0</v>
      </c>
      <c r="CW600" s="407">
        <v>0</v>
      </c>
      <c r="CX600" s="407">
        <v>0</v>
      </c>
      <c r="CY600" s="407">
        <v>0</v>
      </c>
      <c r="CZ600" s="407">
        <v>62.18884075132064</v>
      </c>
      <c r="DA600" s="407">
        <v>0</v>
      </c>
      <c r="DB600" s="407">
        <v>0</v>
      </c>
      <c r="DC600" s="407">
        <v>68.957417763142473</v>
      </c>
      <c r="DD600" s="407">
        <v>0</v>
      </c>
      <c r="DE600" s="407">
        <v>0</v>
      </c>
      <c r="DF600" s="407">
        <v>0</v>
      </c>
      <c r="DG600" s="407">
        <v>2.3204219103341384</v>
      </c>
      <c r="DH600" s="407">
        <v>0</v>
      </c>
      <c r="DI600" s="407">
        <v>-8.515446426647344</v>
      </c>
      <c r="DJ600" s="407"/>
      <c r="DK600" s="407">
        <v>0</v>
      </c>
      <c r="DL600" s="407">
        <v>0</v>
      </c>
      <c r="DM600" s="407">
        <v>0</v>
      </c>
      <c r="DN600" s="407">
        <v>0</v>
      </c>
      <c r="DO600" s="407">
        <v>-1.3174799669335258</v>
      </c>
      <c r="DP600" s="407">
        <v>-0.1542774012587782</v>
      </c>
      <c r="DQ600" s="407">
        <v>0</v>
      </c>
      <c r="DR600" s="407">
        <v>-130.76898285354986</v>
      </c>
      <c r="DS600" s="407"/>
      <c r="DT600" s="407"/>
      <c r="DU600" s="407"/>
      <c r="DV600" s="407">
        <v>4746.5244787250467</v>
      </c>
      <c r="DW600" s="407">
        <v>0</v>
      </c>
      <c r="DX600" s="407">
        <v>0</v>
      </c>
      <c r="DY600" s="407">
        <v>-2493.7819499999991</v>
      </c>
      <c r="DZ600" s="407">
        <v>61.944849999999974</v>
      </c>
      <c r="EA600" s="407">
        <v>0</v>
      </c>
      <c r="EB600" s="407">
        <v>0</v>
      </c>
      <c r="EC600" s="407">
        <v>-2424.535728121351</v>
      </c>
      <c r="ED600" s="407">
        <v>0</v>
      </c>
      <c r="EE600" s="407">
        <v>0</v>
      </c>
      <c r="EF600" s="407">
        <v>0</v>
      </c>
      <c r="EG600" s="407">
        <v>0</v>
      </c>
      <c r="EH600" s="407">
        <v>0</v>
      </c>
      <c r="EI600" s="407">
        <v>0</v>
      </c>
      <c r="EJ600" s="407">
        <v>0</v>
      </c>
      <c r="EK600" s="407">
        <v>0</v>
      </c>
      <c r="EL600" s="407">
        <v>0</v>
      </c>
      <c r="EM600" s="407">
        <v>0</v>
      </c>
      <c r="EN600" s="407">
        <v>0</v>
      </c>
      <c r="EO600" s="407">
        <v>0</v>
      </c>
      <c r="EP600" s="407">
        <v>57.588536721923823</v>
      </c>
      <c r="EQ600" s="407">
        <v>0</v>
      </c>
      <c r="ER600" s="407">
        <v>0</v>
      </c>
      <c r="ES600" s="407">
        <v>0</v>
      </c>
      <c r="ET600" s="407">
        <v>0</v>
      </c>
      <c r="EU600" s="407">
        <v>0</v>
      </c>
      <c r="EV600" s="407">
        <v>246</v>
      </c>
      <c r="EW600" s="407">
        <v>0</v>
      </c>
      <c r="EX600" s="407">
        <v>0</v>
      </c>
      <c r="EY600" s="407">
        <v>0</v>
      </c>
      <c r="EZ600" s="407"/>
      <c r="FA600" s="407">
        <v>0</v>
      </c>
      <c r="FB600" s="407"/>
      <c r="FC600" s="407"/>
      <c r="FD600" s="407"/>
      <c r="FE600" s="407"/>
      <c r="FF600" s="407">
        <v>0</v>
      </c>
      <c r="FG600" s="407">
        <v>0</v>
      </c>
      <c r="FH600" s="407">
        <v>0</v>
      </c>
      <c r="FI600" s="407">
        <v>0</v>
      </c>
    </row>
    <row r="601" spans="1:165">
      <c r="A601" s="407">
        <v>624</v>
      </c>
      <c r="B601" s="407" t="s">
        <v>1090</v>
      </c>
      <c r="C601" s="407" t="s">
        <v>2314</v>
      </c>
      <c r="D601" s="407" t="s">
        <v>650</v>
      </c>
      <c r="E601" s="407" t="s">
        <v>1026</v>
      </c>
      <c r="F601" s="407" t="s">
        <v>97</v>
      </c>
      <c r="G601" s="407" t="s">
        <v>97</v>
      </c>
      <c r="H601" s="407" t="s">
        <v>97</v>
      </c>
      <c r="I601" s="407" t="s">
        <v>2290</v>
      </c>
      <c r="J601" s="407" t="s">
        <v>2307</v>
      </c>
      <c r="K601" s="818">
        <v>44652</v>
      </c>
      <c r="L601" s="407">
        <v>0</v>
      </c>
      <c r="M601" s="407">
        <v>0</v>
      </c>
      <c r="N601" s="407">
        <v>771.48900000000003</v>
      </c>
      <c r="O601" s="407">
        <v>740.62944000000005</v>
      </c>
      <c r="P601" s="407">
        <v>771.48900000000003</v>
      </c>
      <c r="Q601" s="407">
        <v>740.62944000000005</v>
      </c>
      <c r="R601" s="407"/>
      <c r="S601" s="407">
        <v>95.29</v>
      </c>
      <c r="T601" s="407">
        <v>159.41</v>
      </c>
      <c r="U601" s="407"/>
      <c r="V601" s="407">
        <v>196498.24830000004</v>
      </c>
      <c r="W601" s="407">
        <v>196498.24830000004</v>
      </c>
      <c r="X601" s="407">
        <v>213633.01899000001</v>
      </c>
      <c r="Y601" s="407">
        <v>0</v>
      </c>
      <c r="Z601" s="407">
        <v>41594.149018815093</v>
      </c>
      <c r="AA601" s="407">
        <v>0</v>
      </c>
      <c r="AB601" s="407">
        <v>0</v>
      </c>
      <c r="AC601" s="407">
        <v>0</v>
      </c>
      <c r="AD601" s="407">
        <v>0</v>
      </c>
      <c r="AE601" s="407">
        <v>0</v>
      </c>
      <c r="AF601" s="407">
        <v>118987.30140627974</v>
      </c>
      <c r="AG601" s="407">
        <v>3997.6609949827939</v>
      </c>
      <c r="AH601" s="407">
        <v>0</v>
      </c>
      <c r="AI601" s="407">
        <v>0</v>
      </c>
      <c r="AJ601" s="407">
        <v>0</v>
      </c>
      <c r="AK601" s="407">
        <v>0</v>
      </c>
      <c r="AL601" s="407">
        <v>7387.8213664886962</v>
      </c>
      <c r="AM601" s="407"/>
      <c r="AN601" s="407">
        <v>828.37349454287971</v>
      </c>
      <c r="AO601" s="407">
        <v>0</v>
      </c>
      <c r="AP601" s="407">
        <v>0</v>
      </c>
      <c r="AQ601" s="407">
        <v>0</v>
      </c>
      <c r="AR601" s="407">
        <v>0</v>
      </c>
      <c r="AS601" s="407">
        <v>0</v>
      </c>
      <c r="AT601" s="407">
        <v>0</v>
      </c>
      <c r="AU601" s="407">
        <v>0</v>
      </c>
      <c r="AV601" s="407">
        <v>0</v>
      </c>
      <c r="AW601" s="407">
        <v>0</v>
      </c>
      <c r="AX601" s="407">
        <v>0</v>
      </c>
      <c r="AY601" s="407">
        <v>0</v>
      </c>
      <c r="AZ601" s="407">
        <v>0</v>
      </c>
      <c r="BA601" s="407"/>
      <c r="BB601" s="407">
        <v>0</v>
      </c>
      <c r="BC601" s="407">
        <v>0</v>
      </c>
      <c r="BD601" s="407">
        <v>0</v>
      </c>
      <c r="BE601" s="407">
        <v>0</v>
      </c>
      <c r="BF601" s="407">
        <v>0</v>
      </c>
      <c r="BG601" s="407">
        <v>4003.9309793041311</v>
      </c>
      <c r="BH601" s="407">
        <v>0</v>
      </c>
      <c r="BI601" s="407">
        <v>0</v>
      </c>
      <c r="BJ601" s="407">
        <v>0</v>
      </c>
      <c r="BK601" s="407">
        <v>0</v>
      </c>
      <c r="BL601" s="407">
        <v>0</v>
      </c>
      <c r="BM601" s="407"/>
      <c r="BN601" s="407"/>
      <c r="BO601" s="407"/>
      <c r="BP601" s="407"/>
      <c r="BQ601" s="407"/>
      <c r="BR601" s="407">
        <v>8545.3207595999957</v>
      </c>
      <c r="BS601" s="407"/>
      <c r="BT601" s="407"/>
      <c r="BU601" s="407"/>
      <c r="BV601" s="407">
        <v>122991.23238558388</v>
      </c>
      <c r="BW601" s="407"/>
      <c r="BX601" s="407"/>
      <c r="BY601" s="407"/>
      <c r="BZ601" s="407"/>
      <c r="CA601" s="407"/>
      <c r="CB601" s="407"/>
      <c r="CC601" s="407"/>
      <c r="CD601" s="407"/>
      <c r="CE601" s="407"/>
      <c r="CF601" s="407"/>
      <c r="CG601" s="407"/>
      <c r="CH601" s="407"/>
      <c r="CI601" s="407">
        <v>205087.85330000002</v>
      </c>
      <c r="CJ601" s="407">
        <v>16449.504932000011</v>
      </c>
      <c r="CK601" s="407"/>
      <c r="CL601" s="407"/>
      <c r="CM601" s="407"/>
      <c r="CN601" s="407"/>
      <c r="CO601" s="407">
        <v>-4058.0321400000039</v>
      </c>
      <c r="CP601" s="407">
        <v>21192.802830000001</v>
      </c>
      <c r="CQ601" s="407">
        <v>30</v>
      </c>
      <c r="CR601" s="407">
        <v>17132.332174962241</v>
      </c>
      <c r="CS601" s="407">
        <v>0</v>
      </c>
      <c r="CT601" s="407">
        <v>0</v>
      </c>
      <c r="CU601" s="407">
        <v>0</v>
      </c>
      <c r="CV601" s="407">
        <v>0</v>
      </c>
      <c r="CW601" s="407">
        <v>0</v>
      </c>
      <c r="CX601" s="407">
        <v>0</v>
      </c>
      <c r="CY601" s="407">
        <v>0</v>
      </c>
      <c r="CZ601" s="407">
        <v>0</v>
      </c>
      <c r="DA601" s="407">
        <v>0</v>
      </c>
      <c r="DB601" s="407">
        <v>0</v>
      </c>
      <c r="DC601" s="407">
        <v>23591.968635329933</v>
      </c>
      <c r="DD601" s="407">
        <v>0</v>
      </c>
      <c r="DE601" s="407">
        <v>0</v>
      </c>
      <c r="DF601" s="407">
        <v>0</v>
      </c>
      <c r="DG601" s="407">
        <v>793.87138766375847</v>
      </c>
      <c r="DH601" s="407">
        <v>0</v>
      </c>
      <c r="DI601" s="407">
        <v>-2913.3362519945586</v>
      </c>
      <c r="DJ601" s="407"/>
      <c r="DK601" s="407">
        <v>0</v>
      </c>
      <c r="DL601" s="407">
        <v>0</v>
      </c>
      <c r="DM601" s="407">
        <v>0</v>
      </c>
      <c r="DN601" s="407">
        <v>0</v>
      </c>
      <c r="DO601" s="407">
        <v>-450.74115397320566</v>
      </c>
      <c r="DP601" s="407">
        <v>-52.781959210524747</v>
      </c>
      <c r="DQ601" s="407">
        <v>0</v>
      </c>
      <c r="DR601" s="407">
        <v>-3836.6484828531702</v>
      </c>
      <c r="DS601" s="407"/>
      <c r="DT601" s="407"/>
      <c r="DU601" s="407"/>
      <c r="DV601" s="407">
        <v>0</v>
      </c>
      <c r="DW601" s="407">
        <v>0</v>
      </c>
      <c r="DX601" s="407">
        <v>0</v>
      </c>
      <c r="DY601" s="407">
        <v>-4058.0321400000103</v>
      </c>
      <c r="DZ601" s="407">
        <v>21192.802829999986</v>
      </c>
      <c r="EA601" s="407">
        <v>0</v>
      </c>
      <c r="EB601" s="407">
        <v>0</v>
      </c>
      <c r="EC601" s="407">
        <v>0</v>
      </c>
      <c r="ED601" s="407">
        <v>0</v>
      </c>
      <c r="EE601" s="407">
        <v>0</v>
      </c>
      <c r="EF601" s="407">
        <v>0</v>
      </c>
      <c r="EG601" s="407">
        <v>0</v>
      </c>
      <c r="EH601" s="407">
        <v>0</v>
      </c>
      <c r="EI601" s="407">
        <v>0</v>
      </c>
      <c r="EJ601" s="407">
        <v>0</v>
      </c>
      <c r="EK601" s="407">
        <v>0</v>
      </c>
      <c r="EL601" s="407">
        <v>0</v>
      </c>
      <c r="EM601" s="407">
        <v>0</v>
      </c>
      <c r="EN601" s="407">
        <v>0</v>
      </c>
      <c r="EO601" s="407">
        <v>0</v>
      </c>
      <c r="EP601" s="407">
        <v>19702.404703796139</v>
      </c>
      <c r="EQ601" s="407">
        <v>0</v>
      </c>
      <c r="ER601" s="407">
        <v>0</v>
      </c>
      <c r="ES601" s="407">
        <v>0</v>
      </c>
      <c r="ET601" s="407">
        <v>0</v>
      </c>
      <c r="EU601" s="407">
        <v>0</v>
      </c>
      <c r="EV601" s="407">
        <v>246</v>
      </c>
      <c r="EW601" s="407">
        <v>0</v>
      </c>
      <c r="EX601" s="407">
        <v>0</v>
      </c>
      <c r="EY601" s="407">
        <v>0</v>
      </c>
      <c r="EZ601" s="407"/>
      <c r="FA601" s="407">
        <v>0</v>
      </c>
      <c r="FB601" s="407"/>
      <c r="FC601" s="407"/>
      <c r="FD601" s="407"/>
      <c r="FE601" s="407"/>
      <c r="FF601" s="407">
        <v>0</v>
      </c>
      <c r="FG601" s="407">
        <v>0</v>
      </c>
      <c r="FH601" s="407">
        <v>0</v>
      </c>
      <c r="FI601" s="407">
        <v>0</v>
      </c>
    </row>
    <row r="602" spans="1:165">
      <c r="A602" s="407">
        <v>625</v>
      </c>
      <c r="B602" s="407" t="s">
        <v>2309</v>
      </c>
      <c r="C602" s="407" t="s">
        <v>2314</v>
      </c>
      <c r="D602" s="407" t="s">
        <v>650</v>
      </c>
      <c r="E602" s="407" t="s">
        <v>1026</v>
      </c>
      <c r="F602" s="407" t="s">
        <v>97</v>
      </c>
      <c r="G602" s="407" t="s">
        <v>97</v>
      </c>
      <c r="H602" s="407" t="s">
        <v>97</v>
      </c>
      <c r="I602" s="407" t="s">
        <v>2290</v>
      </c>
      <c r="J602" s="407" t="s">
        <v>2307</v>
      </c>
      <c r="K602" s="818">
        <v>44652</v>
      </c>
      <c r="L602" s="407">
        <v>0</v>
      </c>
      <c r="M602" s="407">
        <v>0</v>
      </c>
      <c r="N602" s="407">
        <v>47.116999999999997</v>
      </c>
      <c r="O602" s="407">
        <v>45.232320000000001</v>
      </c>
      <c r="P602" s="407">
        <v>47.116999999999997</v>
      </c>
      <c r="Q602" s="407">
        <v>45.232320000000001</v>
      </c>
      <c r="R602" s="407"/>
      <c r="S602" s="407">
        <v>95.29</v>
      </c>
      <c r="T602" s="407">
        <v>159.41</v>
      </c>
      <c r="U602" s="407"/>
      <c r="V602" s="407">
        <v>12000.6999</v>
      </c>
      <c r="W602" s="407">
        <v>12000.6999</v>
      </c>
      <c r="X602" s="407">
        <v>13047.168470000001</v>
      </c>
      <c r="Y602" s="407">
        <v>0</v>
      </c>
      <c r="Z602" s="407">
        <v>2540.2715000726007</v>
      </c>
      <c r="AA602" s="407">
        <v>0</v>
      </c>
      <c r="AB602" s="407">
        <v>0</v>
      </c>
      <c r="AC602" s="407">
        <v>0</v>
      </c>
      <c r="AD602" s="407">
        <v>0</v>
      </c>
      <c r="AE602" s="407">
        <v>0</v>
      </c>
      <c r="AF602" s="407">
        <v>7266.8886793715556</v>
      </c>
      <c r="AG602" s="407">
        <v>244.14838461806232</v>
      </c>
      <c r="AH602" s="407">
        <v>0</v>
      </c>
      <c r="AI602" s="407">
        <v>0</v>
      </c>
      <c r="AJ602" s="407">
        <v>0</v>
      </c>
      <c r="AK602" s="407">
        <v>0</v>
      </c>
      <c r="AL602" s="407">
        <v>451.19499996091696</v>
      </c>
      <c r="AM602" s="407"/>
      <c r="AN602" s="407">
        <v>50.591095845017705</v>
      </c>
      <c r="AO602" s="407">
        <v>0</v>
      </c>
      <c r="AP602" s="407">
        <v>0</v>
      </c>
      <c r="AQ602" s="407">
        <v>0</v>
      </c>
      <c r="AR602" s="407">
        <v>0</v>
      </c>
      <c r="AS602" s="407">
        <v>0</v>
      </c>
      <c r="AT602" s="407">
        <v>0</v>
      </c>
      <c r="AU602" s="407">
        <v>0</v>
      </c>
      <c r="AV602" s="407">
        <v>0</v>
      </c>
      <c r="AW602" s="407">
        <v>0</v>
      </c>
      <c r="AX602" s="407">
        <v>0</v>
      </c>
      <c r="AY602" s="407">
        <v>0</v>
      </c>
      <c r="AZ602" s="407">
        <v>0</v>
      </c>
      <c r="BA602" s="407"/>
      <c r="BB602" s="407">
        <v>0</v>
      </c>
      <c r="BC602" s="407">
        <v>0</v>
      </c>
      <c r="BD602" s="407">
        <v>0</v>
      </c>
      <c r="BE602" s="407">
        <v>0</v>
      </c>
      <c r="BF602" s="407">
        <v>0</v>
      </c>
      <c r="BG602" s="407">
        <v>244.53131017016798</v>
      </c>
      <c r="BH602" s="407">
        <v>0</v>
      </c>
      <c r="BI602" s="407">
        <v>0</v>
      </c>
      <c r="BJ602" s="407">
        <v>0</v>
      </c>
      <c r="BK602" s="407">
        <v>0</v>
      </c>
      <c r="BL602" s="407">
        <v>0</v>
      </c>
      <c r="BM602" s="407"/>
      <c r="BN602" s="407"/>
      <c r="BO602" s="407"/>
      <c r="BP602" s="407"/>
      <c r="BQ602" s="407"/>
      <c r="BR602" s="407">
        <v>521.88673879999885</v>
      </c>
      <c r="BS602" s="407"/>
      <c r="BT602" s="407"/>
      <c r="BU602" s="407"/>
      <c r="BV602" s="407">
        <v>7511.4199895417232</v>
      </c>
      <c r="BW602" s="407"/>
      <c r="BX602" s="407"/>
      <c r="BY602" s="407"/>
      <c r="BZ602" s="407"/>
      <c r="CA602" s="407"/>
      <c r="CB602" s="407"/>
      <c r="CC602" s="407"/>
      <c r="CD602" s="407"/>
      <c r="CE602" s="407"/>
      <c r="CF602" s="407"/>
      <c r="CG602" s="407"/>
      <c r="CH602" s="407"/>
      <c r="CI602" s="407">
        <v>12524.639299999999</v>
      </c>
      <c r="CJ602" s="407">
        <v>1003.9373959999975</v>
      </c>
      <c r="CK602" s="407"/>
      <c r="CL602" s="407"/>
      <c r="CM602" s="407"/>
      <c r="CN602" s="407"/>
      <c r="CO602" s="407">
        <v>-247.83542000000023</v>
      </c>
      <c r="CP602" s="407">
        <v>1294.3039899999999</v>
      </c>
      <c r="CQ602" s="407">
        <v>30</v>
      </c>
      <c r="CR602" s="407">
        <v>1046.3196430379357</v>
      </c>
      <c r="CS602" s="407">
        <v>0</v>
      </c>
      <c r="CT602" s="407">
        <v>0</v>
      </c>
      <c r="CU602" s="407">
        <v>0</v>
      </c>
      <c r="CV602" s="407">
        <v>0</v>
      </c>
      <c r="CW602" s="407">
        <v>0</v>
      </c>
      <c r="CX602" s="407">
        <v>0</v>
      </c>
      <c r="CY602" s="407">
        <v>0</v>
      </c>
      <c r="CZ602" s="407">
        <v>0</v>
      </c>
      <c r="DA602" s="407">
        <v>0</v>
      </c>
      <c r="DB602" s="407">
        <v>0</v>
      </c>
      <c r="DC602" s="407">
        <v>1440.8277839228303</v>
      </c>
      <c r="DD602" s="407">
        <v>0</v>
      </c>
      <c r="DE602" s="407">
        <v>0</v>
      </c>
      <c r="DF602" s="407">
        <v>0</v>
      </c>
      <c r="DG602" s="407">
        <v>48.483955276813134</v>
      </c>
      <c r="DH602" s="407">
        <v>0</v>
      </c>
      <c r="DI602" s="407">
        <v>-177.92562717709234</v>
      </c>
      <c r="DJ602" s="407"/>
      <c r="DK602" s="407">
        <v>0</v>
      </c>
      <c r="DL602" s="407">
        <v>0</v>
      </c>
      <c r="DM602" s="407">
        <v>0</v>
      </c>
      <c r="DN602" s="407">
        <v>0</v>
      </c>
      <c r="DO602" s="407">
        <v>-27.528028204881139</v>
      </c>
      <c r="DP602" s="407">
        <v>-3.2235424900708907</v>
      </c>
      <c r="DQ602" s="407">
        <v>0</v>
      </c>
      <c r="DR602" s="407">
        <v>-234.3148982896617</v>
      </c>
      <c r="DS602" s="407"/>
      <c r="DT602" s="407"/>
      <c r="DU602" s="407"/>
      <c r="DV602" s="407">
        <v>0</v>
      </c>
      <c r="DW602" s="407">
        <v>0</v>
      </c>
      <c r="DX602" s="407">
        <v>0</v>
      </c>
      <c r="DY602" s="407">
        <v>-247.83542000000034</v>
      </c>
      <c r="DZ602" s="407">
        <v>1294.3039900000003</v>
      </c>
      <c r="EA602" s="407">
        <v>0</v>
      </c>
      <c r="EB602" s="407">
        <v>0</v>
      </c>
      <c r="EC602" s="407">
        <v>0</v>
      </c>
      <c r="ED602" s="407">
        <v>0</v>
      </c>
      <c r="EE602" s="407">
        <v>0</v>
      </c>
      <c r="EF602" s="407">
        <v>0</v>
      </c>
      <c r="EG602" s="407">
        <v>0</v>
      </c>
      <c r="EH602" s="407">
        <v>0</v>
      </c>
      <c r="EI602" s="407">
        <v>0</v>
      </c>
      <c r="EJ602" s="407">
        <v>0</v>
      </c>
      <c r="EK602" s="407">
        <v>0</v>
      </c>
      <c r="EL602" s="407">
        <v>0</v>
      </c>
      <c r="EM602" s="407">
        <v>0</v>
      </c>
      <c r="EN602" s="407">
        <v>0</v>
      </c>
      <c r="EO602" s="407">
        <v>0</v>
      </c>
      <c r="EP602" s="407">
        <v>1203.2811905662461</v>
      </c>
      <c r="EQ602" s="407">
        <v>0</v>
      </c>
      <c r="ER602" s="407">
        <v>0</v>
      </c>
      <c r="ES602" s="407">
        <v>0</v>
      </c>
      <c r="ET602" s="407">
        <v>0</v>
      </c>
      <c r="EU602" s="407">
        <v>0</v>
      </c>
      <c r="EV602" s="407">
        <v>246</v>
      </c>
      <c r="EW602" s="407">
        <v>0</v>
      </c>
      <c r="EX602" s="407">
        <v>0</v>
      </c>
      <c r="EY602" s="407">
        <v>0</v>
      </c>
      <c r="EZ602" s="407"/>
      <c r="FA602" s="407">
        <v>0</v>
      </c>
      <c r="FB602" s="407"/>
      <c r="FC602" s="407"/>
      <c r="FD602" s="407"/>
      <c r="FE602" s="407"/>
      <c r="FF602" s="407">
        <v>0</v>
      </c>
      <c r="FG602" s="407">
        <v>0</v>
      </c>
      <c r="FH602" s="407">
        <v>0</v>
      </c>
      <c r="FI602" s="407">
        <v>0</v>
      </c>
    </row>
    <row r="603" spans="1:165">
      <c r="A603" s="407">
        <v>626</v>
      </c>
      <c r="B603" s="407" t="s">
        <v>1090</v>
      </c>
      <c r="C603" s="407" t="s">
        <v>2314</v>
      </c>
      <c r="D603" s="407" t="s">
        <v>650</v>
      </c>
      <c r="E603" s="407" t="s">
        <v>1026</v>
      </c>
      <c r="F603" s="407" t="s">
        <v>97</v>
      </c>
      <c r="G603" s="407" t="s">
        <v>97</v>
      </c>
      <c r="H603" s="407" t="s">
        <v>97</v>
      </c>
      <c r="I603" s="407" t="s">
        <v>97</v>
      </c>
      <c r="J603" s="407" t="s">
        <v>2307</v>
      </c>
      <c r="K603" s="818">
        <v>44652</v>
      </c>
      <c r="L603" s="407">
        <v>3703</v>
      </c>
      <c r="M603" s="407">
        <v>3554.88</v>
      </c>
      <c r="N603" s="407">
        <v>0</v>
      </c>
      <c r="O603" s="407">
        <v>0</v>
      </c>
      <c r="P603" s="407">
        <v>0</v>
      </c>
      <c r="Q603" s="407">
        <v>0</v>
      </c>
      <c r="R603" s="407">
        <v>43.29</v>
      </c>
      <c r="S603" s="407"/>
      <c r="T603" s="407"/>
      <c r="U603" s="407">
        <v>160302.87</v>
      </c>
      <c r="V603" s="407"/>
      <c r="W603" s="407">
        <v>160302.87</v>
      </c>
      <c r="X603" s="407">
        <v>124013.47</v>
      </c>
      <c r="Y603" s="407">
        <v>0</v>
      </c>
      <c r="Z603" s="407">
        <v>0</v>
      </c>
      <c r="AA603" s="407">
        <v>0</v>
      </c>
      <c r="AB603" s="407">
        <v>0</v>
      </c>
      <c r="AC603" s="407">
        <v>0</v>
      </c>
      <c r="AD603" s="407">
        <v>87627.744447695921</v>
      </c>
      <c r="AE603" s="407">
        <v>72686.879847488031</v>
      </c>
      <c r="AF603" s="407"/>
      <c r="AG603" s="407"/>
      <c r="AH603" s="407"/>
      <c r="AI603" s="407">
        <v>0</v>
      </c>
      <c r="AJ603" s="407">
        <v>0</v>
      </c>
      <c r="AK603" s="407">
        <v>0</v>
      </c>
      <c r="AL603" s="407">
        <v>0</v>
      </c>
      <c r="AM603" s="407"/>
      <c r="AN603" s="407">
        <v>0</v>
      </c>
      <c r="AO603" s="407">
        <v>0</v>
      </c>
      <c r="AP603" s="407">
        <v>0</v>
      </c>
      <c r="AQ603" s="407">
        <v>0</v>
      </c>
      <c r="AR603" s="407">
        <v>0</v>
      </c>
      <c r="AS603" s="407"/>
      <c r="AT603" s="407"/>
      <c r="AU603" s="407">
        <v>0</v>
      </c>
      <c r="AV603" s="407">
        <v>0</v>
      </c>
      <c r="AW603" s="407">
        <v>0</v>
      </c>
      <c r="AX603" s="407"/>
      <c r="AY603" s="407"/>
      <c r="AZ603" s="407">
        <v>0</v>
      </c>
      <c r="BA603" s="407"/>
      <c r="BB603" s="407">
        <v>0</v>
      </c>
      <c r="BC603" s="407">
        <v>0</v>
      </c>
      <c r="BD603" s="407">
        <v>0</v>
      </c>
      <c r="BE603" s="407">
        <v>0</v>
      </c>
      <c r="BF603" s="407"/>
      <c r="BG603" s="407">
        <v>0</v>
      </c>
      <c r="BH603" s="407">
        <v>0</v>
      </c>
      <c r="BI603" s="407">
        <v>889.01</v>
      </c>
      <c r="BJ603" s="407">
        <v>4401.13</v>
      </c>
      <c r="BK603" s="407">
        <v>150.84</v>
      </c>
      <c r="BL603" s="407">
        <v>22</v>
      </c>
      <c r="BM603" s="407"/>
      <c r="BN603" s="407"/>
      <c r="BO603" s="407"/>
      <c r="BP603" s="407"/>
      <c r="BQ603" s="407"/>
      <c r="BR603" s="407">
        <v>4960.5387999999966</v>
      </c>
      <c r="BS603" s="407"/>
      <c r="BT603" s="407"/>
      <c r="BU603" s="407"/>
      <c r="BV603" s="407">
        <v>0</v>
      </c>
      <c r="BW603" s="407"/>
      <c r="BX603" s="407"/>
      <c r="BY603" s="407"/>
      <c r="BZ603" s="407"/>
      <c r="CA603" s="407"/>
      <c r="CB603" s="407"/>
      <c r="CC603" s="407"/>
      <c r="CD603" s="407"/>
      <c r="CE603" s="407"/>
      <c r="CF603" s="407"/>
      <c r="CG603" s="407"/>
      <c r="CH603" s="407"/>
      <c r="CI603" s="407">
        <v>119052.93120000001</v>
      </c>
      <c r="CJ603" s="407">
        <v>-34837.854000000036</v>
      </c>
      <c r="CK603" s="407"/>
      <c r="CL603" s="407"/>
      <c r="CM603" s="407"/>
      <c r="CN603" s="407"/>
      <c r="CO603" s="407">
        <v>-36289.399999999987</v>
      </c>
      <c r="CP603" s="407">
        <v>0</v>
      </c>
      <c r="CQ603" s="407">
        <v>30</v>
      </c>
      <c r="CR603" s="407">
        <v>828.21351772989146</v>
      </c>
      <c r="CS603" s="407">
        <v>0</v>
      </c>
      <c r="CT603" s="407">
        <v>0</v>
      </c>
      <c r="CU603" s="407">
        <v>0</v>
      </c>
      <c r="CV603" s="407">
        <v>0</v>
      </c>
      <c r="CW603" s="407"/>
      <c r="CX603" s="407"/>
      <c r="CY603" s="407"/>
      <c r="CZ603" s="407">
        <v>3958.3189658732736</v>
      </c>
      <c r="DA603" s="407">
        <v>0</v>
      </c>
      <c r="DB603" s="407">
        <v>0</v>
      </c>
      <c r="DC603" s="407"/>
      <c r="DD603" s="407"/>
      <c r="DE603" s="407">
        <v>0</v>
      </c>
      <c r="DF603" s="407">
        <v>0</v>
      </c>
      <c r="DG603" s="407">
        <v>0</v>
      </c>
      <c r="DH603" s="407">
        <v>0</v>
      </c>
      <c r="DI603" s="407">
        <v>0</v>
      </c>
      <c r="DJ603" s="407"/>
      <c r="DK603" s="407">
        <v>0</v>
      </c>
      <c r="DL603" s="407">
        <v>0</v>
      </c>
      <c r="DM603" s="407"/>
      <c r="DN603" s="407">
        <v>0</v>
      </c>
      <c r="DO603" s="407">
        <v>0</v>
      </c>
      <c r="DP603" s="407">
        <v>0</v>
      </c>
      <c r="DQ603" s="407">
        <v>0</v>
      </c>
      <c r="DR603" s="407">
        <v>-3130.1054481433798</v>
      </c>
      <c r="DS603" s="407"/>
      <c r="DT603" s="407"/>
      <c r="DU603" s="407">
        <v>72686.879847488031</v>
      </c>
      <c r="DV603" s="407"/>
      <c r="DW603" s="407">
        <v>0</v>
      </c>
      <c r="DX603" s="407">
        <v>0</v>
      </c>
      <c r="DY603" s="407">
        <v>-36289.399999999994</v>
      </c>
      <c r="DZ603" s="407"/>
      <c r="EA603" s="407">
        <v>0</v>
      </c>
      <c r="EB603" s="407"/>
      <c r="EC603" s="407">
        <v>-37128.627050341689</v>
      </c>
      <c r="ED603" s="407"/>
      <c r="EE603" s="407">
        <v>0</v>
      </c>
      <c r="EF603" s="407">
        <v>0</v>
      </c>
      <c r="EG603" s="407"/>
      <c r="EH603" s="407">
        <v>0</v>
      </c>
      <c r="EI603" s="407">
        <v>0</v>
      </c>
      <c r="EJ603" s="407">
        <v>0</v>
      </c>
      <c r="EK603" s="407">
        <v>0</v>
      </c>
      <c r="EL603" s="407">
        <v>0</v>
      </c>
      <c r="EM603" s="407"/>
      <c r="EN603" s="407"/>
      <c r="EO603" s="407">
        <v>0</v>
      </c>
      <c r="EP603" s="407">
        <v>0</v>
      </c>
      <c r="EQ603" s="407"/>
      <c r="ER603" s="407">
        <v>0</v>
      </c>
      <c r="ES603" s="407"/>
      <c r="ET603" s="407">
        <v>0</v>
      </c>
      <c r="EU603" s="407"/>
      <c r="EV603" s="407">
        <v>246</v>
      </c>
      <c r="EW603" s="407"/>
      <c r="EX603" s="407"/>
      <c r="EY603" s="407"/>
      <c r="EZ603" s="407"/>
      <c r="FA603" s="407">
        <v>0</v>
      </c>
      <c r="FB603" s="407"/>
      <c r="FC603" s="407"/>
      <c r="FD603" s="407"/>
      <c r="FE603" s="407"/>
      <c r="FF603" s="407">
        <v>0</v>
      </c>
      <c r="FG603" s="407">
        <v>0</v>
      </c>
      <c r="FH603" s="407">
        <v>0</v>
      </c>
      <c r="FI603" s="407">
        <v>0</v>
      </c>
    </row>
    <row r="604" spans="1:165">
      <c r="A604" s="407">
        <v>627</v>
      </c>
      <c r="B604" s="407" t="s">
        <v>2309</v>
      </c>
      <c r="C604" s="407" t="s">
        <v>2314</v>
      </c>
      <c r="D604" s="407" t="s">
        <v>650</v>
      </c>
      <c r="E604" s="407" t="s">
        <v>1026</v>
      </c>
      <c r="F604" s="407" t="s">
        <v>97</v>
      </c>
      <c r="G604" s="407" t="s">
        <v>97</v>
      </c>
      <c r="H604" s="407" t="s">
        <v>97</v>
      </c>
      <c r="I604" s="407" t="s">
        <v>97</v>
      </c>
      <c r="J604" s="407" t="s">
        <v>2307</v>
      </c>
      <c r="K604" s="818">
        <v>44652</v>
      </c>
      <c r="L604" s="407">
        <v>489</v>
      </c>
      <c r="M604" s="407">
        <v>469.44</v>
      </c>
      <c r="N604" s="407">
        <v>0</v>
      </c>
      <c r="O604" s="407">
        <v>0</v>
      </c>
      <c r="P604" s="407">
        <v>0</v>
      </c>
      <c r="Q604" s="407">
        <v>0</v>
      </c>
      <c r="R604" s="407">
        <v>43.29</v>
      </c>
      <c r="S604" s="407"/>
      <c r="T604" s="407"/>
      <c r="U604" s="407">
        <v>21168.81</v>
      </c>
      <c r="V604" s="407"/>
      <c r="W604" s="407">
        <v>21168.81</v>
      </c>
      <c r="X604" s="407">
        <v>16376.61</v>
      </c>
      <c r="Y604" s="407">
        <v>0</v>
      </c>
      <c r="Z604" s="407">
        <v>0</v>
      </c>
      <c r="AA604" s="407">
        <v>0</v>
      </c>
      <c r="AB604" s="407">
        <v>0</v>
      </c>
      <c r="AC604" s="407">
        <v>0</v>
      </c>
      <c r="AD604" s="407">
        <v>11571.689720476183</v>
      </c>
      <c r="AE604" s="407">
        <v>9598.6724940377117</v>
      </c>
      <c r="AF604" s="407"/>
      <c r="AG604" s="407"/>
      <c r="AH604" s="407"/>
      <c r="AI604" s="407">
        <v>0</v>
      </c>
      <c r="AJ604" s="407">
        <v>0</v>
      </c>
      <c r="AK604" s="407">
        <v>0</v>
      </c>
      <c r="AL604" s="407">
        <v>0</v>
      </c>
      <c r="AM604" s="407"/>
      <c r="AN604" s="407">
        <v>0</v>
      </c>
      <c r="AO604" s="407">
        <v>0</v>
      </c>
      <c r="AP604" s="407">
        <v>0</v>
      </c>
      <c r="AQ604" s="407">
        <v>0</v>
      </c>
      <c r="AR604" s="407">
        <v>0</v>
      </c>
      <c r="AS604" s="407"/>
      <c r="AT604" s="407"/>
      <c r="AU604" s="407">
        <v>0</v>
      </c>
      <c r="AV604" s="407">
        <v>0</v>
      </c>
      <c r="AW604" s="407">
        <v>0</v>
      </c>
      <c r="AX604" s="407"/>
      <c r="AY604" s="407"/>
      <c r="AZ604" s="407">
        <v>0</v>
      </c>
      <c r="BA604" s="407"/>
      <c r="BB604" s="407">
        <v>0</v>
      </c>
      <c r="BC604" s="407">
        <v>0</v>
      </c>
      <c r="BD604" s="407">
        <v>0</v>
      </c>
      <c r="BE604" s="407">
        <v>0</v>
      </c>
      <c r="BF604" s="407"/>
      <c r="BG604" s="407">
        <v>0</v>
      </c>
      <c r="BH604" s="407">
        <v>0</v>
      </c>
      <c r="BI604" s="407">
        <v>73.64</v>
      </c>
      <c r="BJ604" s="407">
        <v>364.62</v>
      </c>
      <c r="BK604" s="407">
        <v>17.27</v>
      </c>
      <c r="BL604" s="407">
        <v>3</v>
      </c>
      <c r="BM604" s="407"/>
      <c r="BN604" s="407"/>
      <c r="BO604" s="407"/>
      <c r="BP604" s="407"/>
      <c r="BQ604" s="407"/>
      <c r="BR604" s="407">
        <v>655.06440000000009</v>
      </c>
      <c r="BS604" s="407"/>
      <c r="BT604" s="407"/>
      <c r="BU604" s="407"/>
      <c r="BV604" s="407">
        <v>0</v>
      </c>
      <c r="BW604" s="407"/>
      <c r="BX604" s="407"/>
      <c r="BY604" s="407"/>
      <c r="BZ604" s="407"/>
      <c r="CA604" s="407"/>
      <c r="CB604" s="407"/>
      <c r="CC604" s="407"/>
      <c r="CD604" s="407"/>
      <c r="CE604" s="407"/>
      <c r="CF604" s="407"/>
      <c r="CG604" s="407"/>
      <c r="CH604" s="407"/>
      <c r="CI604" s="407">
        <v>15721.545600000001</v>
      </c>
      <c r="CJ604" s="407">
        <v>-4600.541999999994</v>
      </c>
      <c r="CK604" s="407"/>
      <c r="CL604" s="407"/>
      <c r="CM604" s="407"/>
      <c r="CN604" s="407"/>
      <c r="CO604" s="407">
        <v>-4792.1999999999989</v>
      </c>
      <c r="CP604" s="407">
        <v>0</v>
      </c>
      <c r="CQ604" s="407">
        <v>30</v>
      </c>
      <c r="CR604" s="407">
        <v>109.36981100996854</v>
      </c>
      <c r="CS604" s="407">
        <v>0</v>
      </c>
      <c r="CT604" s="407">
        <v>0</v>
      </c>
      <c r="CU604" s="407">
        <v>0</v>
      </c>
      <c r="CV604" s="407">
        <v>0</v>
      </c>
      <c r="CW604" s="407"/>
      <c r="CX604" s="407"/>
      <c r="CY604" s="407"/>
      <c r="CZ604" s="407">
        <v>522.71616913638354</v>
      </c>
      <c r="DA604" s="407">
        <v>0</v>
      </c>
      <c r="DB604" s="407">
        <v>0</v>
      </c>
      <c r="DC604" s="407"/>
      <c r="DD604" s="407"/>
      <c r="DE604" s="407">
        <v>0</v>
      </c>
      <c r="DF604" s="407">
        <v>0</v>
      </c>
      <c r="DG604" s="407">
        <v>0</v>
      </c>
      <c r="DH604" s="407">
        <v>0</v>
      </c>
      <c r="DI604" s="407">
        <v>0</v>
      </c>
      <c r="DJ604" s="407"/>
      <c r="DK604" s="407">
        <v>0</v>
      </c>
      <c r="DL604" s="407">
        <v>0</v>
      </c>
      <c r="DM604" s="407"/>
      <c r="DN604" s="407">
        <v>0</v>
      </c>
      <c r="DO604" s="407">
        <v>0</v>
      </c>
      <c r="DP604" s="407">
        <v>0</v>
      </c>
      <c r="DQ604" s="407">
        <v>0</v>
      </c>
      <c r="DR604" s="407">
        <v>-413.34635812641449</v>
      </c>
      <c r="DS604" s="407"/>
      <c r="DT604" s="407"/>
      <c r="DU604" s="407">
        <v>9598.6724940377117</v>
      </c>
      <c r="DV604" s="407"/>
      <c r="DW604" s="407">
        <v>0</v>
      </c>
      <c r="DX604" s="407">
        <v>0</v>
      </c>
      <c r="DY604" s="407">
        <v>-4792.2000000000007</v>
      </c>
      <c r="DZ604" s="407"/>
      <c r="EA604" s="407">
        <v>0</v>
      </c>
      <c r="EB604" s="407"/>
      <c r="EC604" s="407">
        <v>-4903.024204055384</v>
      </c>
      <c r="ED604" s="407"/>
      <c r="EE604" s="407">
        <v>0</v>
      </c>
      <c r="EF604" s="407">
        <v>0</v>
      </c>
      <c r="EG604" s="407"/>
      <c r="EH604" s="407">
        <v>0</v>
      </c>
      <c r="EI604" s="407">
        <v>0</v>
      </c>
      <c r="EJ604" s="407">
        <v>0</v>
      </c>
      <c r="EK604" s="407">
        <v>0</v>
      </c>
      <c r="EL604" s="407">
        <v>0</v>
      </c>
      <c r="EM604" s="407"/>
      <c r="EN604" s="407"/>
      <c r="EO604" s="407">
        <v>0</v>
      </c>
      <c r="EP604" s="407">
        <v>0</v>
      </c>
      <c r="EQ604" s="407"/>
      <c r="ER604" s="407">
        <v>0</v>
      </c>
      <c r="ES604" s="407"/>
      <c r="ET604" s="407">
        <v>0</v>
      </c>
      <c r="EU604" s="407"/>
      <c r="EV604" s="407">
        <v>246</v>
      </c>
      <c r="EW604" s="407"/>
      <c r="EX604" s="407"/>
      <c r="EY604" s="407"/>
      <c r="EZ604" s="407"/>
      <c r="FA604" s="407">
        <v>0</v>
      </c>
      <c r="FB604" s="407"/>
      <c r="FC604" s="407"/>
      <c r="FD604" s="407"/>
      <c r="FE604" s="407"/>
      <c r="FF604" s="407">
        <v>0</v>
      </c>
      <c r="FG604" s="407">
        <v>0</v>
      </c>
      <c r="FH604" s="407">
        <v>0</v>
      </c>
      <c r="FI604" s="407">
        <v>0</v>
      </c>
    </row>
    <row r="605" spans="1:165">
      <c r="A605" s="407">
        <v>628</v>
      </c>
      <c r="B605" s="407" t="s">
        <v>1090</v>
      </c>
      <c r="C605" s="407" t="s">
        <v>2306</v>
      </c>
      <c r="D605" s="407" t="s">
        <v>1219</v>
      </c>
      <c r="E605" s="407" t="s">
        <v>2316</v>
      </c>
      <c r="F605" s="407" t="s">
        <v>97</v>
      </c>
      <c r="G605" s="407" t="s">
        <v>97</v>
      </c>
      <c r="H605" s="407" t="s">
        <v>97</v>
      </c>
      <c r="I605" s="407" t="s">
        <v>97</v>
      </c>
      <c r="J605" s="407" t="s">
        <v>2307</v>
      </c>
      <c r="K605" s="818">
        <v>44652</v>
      </c>
      <c r="L605" s="407">
        <v>0</v>
      </c>
      <c r="M605" s="407">
        <v>0</v>
      </c>
      <c r="N605" s="407">
        <v>301.18599999999998</v>
      </c>
      <c r="O605" s="407">
        <v>301.18599999999998</v>
      </c>
      <c r="P605" s="407">
        <v>301.18599999999998</v>
      </c>
      <c r="Q605" s="407">
        <v>301.18599999999998</v>
      </c>
      <c r="R605" s="407"/>
      <c r="S605" s="407">
        <v>648.44000000000005</v>
      </c>
      <c r="T605" s="407">
        <v>159.41</v>
      </c>
      <c r="U605" s="407"/>
      <c r="V605" s="407">
        <v>243313.11009999999</v>
      </c>
      <c r="W605" s="407">
        <v>243313.11009999999</v>
      </c>
      <c r="X605" s="407">
        <v>184271.61851999999</v>
      </c>
      <c r="Y605" s="407">
        <v>0</v>
      </c>
      <c r="Z605" s="407">
        <v>18664.571906249199</v>
      </c>
      <c r="AA605" s="407">
        <v>0</v>
      </c>
      <c r="AB605" s="407">
        <v>0</v>
      </c>
      <c r="AC605" s="407">
        <v>0</v>
      </c>
      <c r="AD605" s="407">
        <v>35131.668153062128</v>
      </c>
      <c r="AE605" s="407">
        <v>125759.00678119657</v>
      </c>
      <c r="AF605" s="407">
        <v>46452.132643954443</v>
      </c>
      <c r="AG605" s="407">
        <v>1560.6697236576124</v>
      </c>
      <c r="AH605" s="407">
        <v>0</v>
      </c>
      <c r="AI605" s="407">
        <v>0</v>
      </c>
      <c r="AJ605" s="407">
        <v>0</v>
      </c>
      <c r="AK605" s="407">
        <v>0</v>
      </c>
      <c r="AL605" s="407">
        <v>2884.1738068686191</v>
      </c>
      <c r="AM605" s="407"/>
      <c r="AN605" s="407">
        <v>624.98975557311519</v>
      </c>
      <c r="AO605" s="407">
        <v>0</v>
      </c>
      <c r="AP605" s="407">
        <v>0</v>
      </c>
      <c r="AQ605" s="407">
        <v>0</v>
      </c>
      <c r="AR605" s="407">
        <v>0</v>
      </c>
      <c r="AS605" s="407">
        <v>0</v>
      </c>
      <c r="AT605" s="407">
        <v>0</v>
      </c>
      <c r="AU605" s="407">
        <v>0</v>
      </c>
      <c r="AV605" s="407">
        <v>0</v>
      </c>
      <c r="AW605" s="407">
        <v>0</v>
      </c>
      <c r="AX605" s="407">
        <v>0</v>
      </c>
      <c r="AY605" s="407">
        <v>0</v>
      </c>
      <c r="AZ605" s="407">
        <v>0</v>
      </c>
      <c r="BA605" s="407"/>
      <c r="BB605" s="407">
        <v>0</v>
      </c>
      <c r="BC605" s="407">
        <v>0</v>
      </c>
      <c r="BD605" s="407">
        <v>0</v>
      </c>
      <c r="BE605" s="407">
        <v>0</v>
      </c>
      <c r="BF605" s="407">
        <v>0</v>
      </c>
      <c r="BG605" s="407">
        <v>3395.5025636038331</v>
      </c>
      <c r="BH605" s="407">
        <v>0</v>
      </c>
      <c r="BI605" s="407">
        <v>455.14</v>
      </c>
      <c r="BJ605" s="407">
        <v>2262.16</v>
      </c>
      <c r="BK605" s="407">
        <v>69775.679999999993</v>
      </c>
      <c r="BL605" s="407">
        <v>360</v>
      </c>
      <c r="BM605" s="407"/>
      <c r="BN605" s="407"/>
      <c r="BO605" s="407"/>
      <c r="BP605" s="407"/>
      <c r="BQ605" s="407"/>
      <c r="BR605" s="407"/>
      <c r="BS605" s="407"/>
      <c r="BT605" s="407"/>
      <c r="BU605" s="407"/>
      <c r="BV605" s="407">
        <v>49847.635207558276</v>
      </c>
      <c r="BW605" s="407"/>
      <c r="BX605" s="407"/>
      <c r="BY605" s="407"/>
      <c r="BZ605" s="407"/>
      <c r="CA605" s="407"/>
      <c r="CB605" s="407"/>
      <c r="CC605" s="407"/>
      <c r="CD605" s="407"/>
      <c r="CE605" s="407"/>
      <c r="CF605" s="407"/>
      <c r="CG605" s="407"/>
      <c r="CH605" s="407"/>
      <c r="CI605" s="407">
        <v>184274.06579999998</v>
      </c>
      <c r="CJ605" s="407">
        <v>-59039.074300000037</v>
      </c>
      <c r="CK605" s="407"/>
      <c r="CL605" s="407"/>
      <c r="CM605" s="407"/>
      <c r="CN605" s="407"/>
      <c r="CO605" s="407">
        <v>-67315.071000000011</v>
      </c>
      <c r="CP605" s="407">
        <v>8273.5794199999982</v>
      </c>
      <c r="CQ605" s="407">
        <v>30</v>
      </c>
      <c r="CR605" s="407">
        <v>5196.6686700640857</v>
      </c>
      <c r="CS605" s="407">
        <v>0</v>
      </c>
      <c r="CT605" s="407">
        <v>0</v>
      </c>
      <c r="CU605" s="407">
        <v>0</v>
      </c>
      <c r="CV605" s="407">
        <v>0</v>
      </c>
      <c r="CW605" s="407">
        <v>0</v>
      </c>
      <c r="CX605" s="407">
        <v>0</v>
      </c>
      <c r="CY605" s="407">
        <v>0</v>
      </c>
      <c r="CZ605" s="407">
        <v>1586.9671098979597</v>
      </c>
      <c r="DA605" s="407">
        <v>0</v>
      </c>
      <c r="DB605" s="407">
        <v>0</v>
      </c>
      <c r="DC605" s="407">
        <v>9210.2034706917111</v>
      </c>
      <c r="DD605" s="407">
        <v>0</v>
      </c>
      <c r="DE605" s="407">
        <v>0</v>
      </c>
      <c r="DF605" s="407">
        <v>0</v>
      </c>
      <c r="DG605" s="407">
        <v>673.23646334495879</v>
      </c>
      <c r="DH605" s="407">
        <v>0</v>
      </c>
      <c r="DI605" s="407">
        <v>-1307.3034367847649</v>
      </c>
      <c r="DJ605" s="407"/>
      <c r="DK605" s="407">
        <v>0</v>
      </c>
      <c r="DL605" s="407">
        <v>0</v>
      </c>
      <c r="DM605" s="407">
        <v>0</v>
      </c>
      <c r="DN605" s="407">
        <v>0</v>
      </c>
      <c r="DO605" s="407">
        <v>-175.96741521988497</v>
      </c>
      <c r="DP605" s="407">
        <v>-39.822838372999854</v>
      </c>
      <c r="DQ605" s="407">
        <v>0</v>
      </c>
      <c r="DR605" s="407">
        <v>-4750.6446834928956</v>
      </c>
      <c r="DS605" s="407"/>
      <c r="DT605" s="407"/>
      <c r="DU605" s="407"/>
      <c r="DV605" s="407">
        <v>125759.00678119657</v>
      </c>
      <c r="DW605" s="407">
        <v>0</v>
      </c>
      <c r="DX605" s="407">
        <v>0</v>
      </c>
      <c r="DY605" s="407">
        <v>-67315.070999999996</v>
      </c>
      <c r="DZ605" s="407">
        <v>8273.5794199999946</v>
      </c>
      <c r="EA605" s="407">
        <v>0</v>
      </c>
      <c r="EB605" s="407">
        <v>0</v>
      </c>
      <c r="EC605" s="407">
        <v>-64237.992754641484</v>
      </c>
      <c r="ED605" s="407">
        <v>0</v>
      </c>
      <c r="EE605" s="407">
        <v>0</v>
      </c>
      <c r="EF605" s="407">
        <v>0</v>
      </c>
      <c r="EG605" s="407">
        <v>0</v>
      </c>
      <c r="EH605" s="407">
        <v>0</v>
      </c>
      <c r="EI605" s="407">
        <v>0</v>
      </c>
      <c r="EJ605" s="407">
        <v>0</v>
      </c>
      <c r="EK605" s="407">
        <v>0</v>
      </c>
      <c r="EL605" s="407">
        <v>0</v>
      </c>
      <c r="EM605" s="407">
        <v>0</v>
      </c>
      <c r="EN605" s="407">
        <v>0</v>
      </c>
      <c r="EO605" s="407">
        <v>0</v>
      </c>
      <c r="EP605" s="407">
        <v>8841.073997058571</v>
      </c>
      <c r="EQ605" s="407">
        <v>0</v>
      </c>
      <c r="ER605" s="407">
        <v>0</v>
      </c>
      <c r="ES605" s="407">
        <v>0</v>
      </c>
      <c r="ET605" s="407">
        <v>0</v>
      </c>
      <c r="EU605" s="407">
        <v>0</v>
      </c>
      <c r="EV605" s="407">
        <v>246</v>
      </c>
      <c r="EW605" s="407">
        <v>0</v>
      </c>
      <c r="EX605" s="407">
        <v>0</v>
      </c>
      <c r="EY605" s="407">
        <v>0</v>
      </c>
      <c r="EZ605" s="407"/>
      <c r="FA605" s="407">
        <v>0</v>
      </c>
      <c r="FB605" s="407"/>
      <c r="FC605" s="407"/>
      <c r="FD605" s="407"/>
      <c r="FE605" s="407"/>
      <c r="FF605" s="407">
        <v>0</v>
      </c>
      <c r="FG605" s="407">
        <v>0</v>
      </c>
      <c r="FH605" s="407">
        <v>0</v>
      </c>
      <c r="FI605" s="407">
        <v>0</v>
      </c>
    </row>
    <row r="606" spans="1:165">
      <c r="A606" s="407">
        <v>629</v>
      </c>
      <c r="B606" s="407" t="s">
        <v>2308</v>
      </c>
      <c r="C606" s="407" t="s">
        <v>2306</v>
      </c>
      <c r="D606" s="407" t="s">
        <v>1219</v>
      </c>
      <c r="E606" s="407" t="s">
        <v>2316</v>
      </c>
      <c r="F606" s="407" t="s">
        <v>97</v>
      </c>
      <c r="G606" s="407" t="s">
        <v>97</v>
      </c>
      <c r="H606" s="407" t="s">
        <v>97</v>
      </c>
      <c r="I606" s="407" t="s">
        <v>97</v>
      </c>
      <c r="J606" s="407" t="s">
        <v>2307</v>
      </c>
      <c r="K606" s="818">
        <v>44652</v>
      </c>
      <c r="L606" s="407">
        <v>0</v>
      </c>
      <c r="M606" s="407">
        <v>0</v>
      </c>
      <c r="N606" s="407">
        <v>-0.13100000000000001</v>
      </c>
      <c r="O606" s="407">
        <v>-0.13100000000000001</v>
      </c>
      <c r="P606" s="407">
        <v>-0.13100000000000001</v>
      </c>
      <c r="Q606" s="407">
        <v>-0.13100000000000001</v>
      </c>
      <c r="R606" s="407"/>
      <c r="S606" s="407">
        <v>648.44000000000005</v>
      </c>
      <c r="T606" s="407">
        <v>159.41</v>
      </c>
      <c r="U606" s="407"/>
      <c r="V606" s="407">
        <v>-105.82835000000001</v>
      </c>
      <c r="W606" s="407">
        <v>-105.82835000000001</v>
      </c>
      <c r="X606" s="407">
        <v>-80.148420000000002</v>
      </c>
      <c r="Y606" s="407">
        <v>0</v>
      </c>
      <c r="Z606" s="407">
        <v>-8.1181028325308784</v>
      </c>
      <c r="AA606" s="407">
        <v>0</v>
      </c>
      <c r="AB606" s="407">
        <v>0</v>
      </c>
      <c r="AC606" s="407">
        <v>0</v>
      </c>
      <c r="AD606" s="407">
        <v>-15.280419833760996</v>
      </c>
      <c r="AE606" s="407">
        <v>-54.69852479310709</v>
      </c>
      <c r="AF606" s="407">
        <v>-20.204223889417278</v>
      </c>
      <c r="AG606" s="407">
        <v>-0.67880888819250307</v>
      </c>
      <c r="AH606" s="407">
        <v>0</v>
      </c>
      <c r="AI606" s="407">
        <v>0</v>
      </c>
      <c r="AJ606" s="407">
        <v>0</v>
      </c>
      <c r="AK606" s="407">
        <v>0</v>
      </c>
      <c r="AL606" s="407">
        <v>-1.2544632509472191</v>
      </c>
      <c r="AM606" s="407"/>
      <c r="AN606" s="407">
        <v>-0.27183752890266516</v>
      </c>
      <c r="AO606" s="407">
        <v>0</v>
      </c>
      <c r="AP606" s="407">
        <v>0</v>
      </c>
      <c r="AQ606" s="407">
        <v>0</v>
      </c>
      <c r="AR606" s="407">
        <v>0</v>
      </c>
      <c r="AS606" s="407">
        <v>0</v>
      </c>
      <c r="AT606" s="407">
        <v>0</v>
      </c>
      <c r="AU606" s="407">
        <v>0</v>
      </c>
      <c r="AV606" s="407">
        <v>0</v>
      </c>
      <c r="AW606" s="407">
        <v>0</v>
      </c>
      <c r="AX606" s="407">
        <v>0</v>
      </c>
      <c r="AY606" s="407">
        <v>0</v>
      </c>
      <c r="AZ606" s="407">
        <v>0</v>
      </c>
      <c r="BA606" s="407"/>
      <c r="BB606" s="407">
        <v>0</v>
      </c>
      <c r="BC606" s="407">
        <v>0</v>
      </c>
      <c r="BD606" s="407">
        <v>0</v>
      </c>
      <c r="BE606" s="407">
        <v>0</v>
      </c>
      <c r="BF606" s="407">
        <v>0</v>
      </c>
      <c r="BG606" s="407">
        <v>-1.4768642494408843</v>
      </c>
      <c r="BH606" s="407">
        <v>0</v>
      </c>
      <c r="BI606" s="407">
        <v>-0.16</v>
      </c>
      <c r="BJ606" s="407">
        <v>-0.69</v>
      </c>
      <c r="BK606" s="407">
        <v>-33.200000000000003</v>
      </c>
      <c r="BL606" s="407">
        <v>0</v>
      </c>
      <c r="BM606" s="407"/>
      <c r="BN606" s="407"/>
      <c r="BO606" s="407"/>
      <c r="BP606" s="407"/>
      <c r="BQ606" s="407"/>
      <c r="BR606" s="407"/>
      <c r="BS606" s="407"/>
      <c r="BT606" s="407"/>
      <c r="BU606" s="407"/>
      <c r="BV606" s="407">
        <v>-21.681088138858161</v>
      </c>
      <c r="BW606" s="407"/>
      <c r="BX606" s="407"/>
      <c r="BY606" s="407"/>
      <c r="BZ606" s="407"/>
      <c r="CA606" s="407"/>
      <c r="CB606" s="407"/>
      <c r="CC606" s="407"/>
      <c r="CD606" s="407"/>
      <c r="CE606" s="407"/>
      <c r="CF606" s="407"/>
      <c r="CG606" s="407"/>
      <c r="CH606" s="407"/>
      <c r="CI606" s="407">
        <v>-79.536600000000007</v>
      </c>
      <c r="CJ606" s="407">
        <v>26.261749999999992</v>
      </c>
      <c r="CK606" s="407"/>
      <c r="CL606" s="407"/>
      <c r="CM606" s="407"/>
      <c r="CN606" s="407"/>
      <c r="CO606" s="407">
        <v>29.278500000000008</v>
      </c>
      <c r="CP606" s="407">
        <v>-3.59857</v>
      </c>
      <c r="CQ606" s="407">
        <v>30</v>
      </c>
      <c r="CR606" s="407">
        <v>-2.2602763600512432</v>
      </c>
      <c r="CS606" s="407">
        <v>0</v>
      </c>
      <c r="CT606" s="407">
        <v>0</v>
      </c>
      <c r="CU606" s="407">
        <v>0</v>
      </c>
      <c r="CV606" s="407">
        <v>0</v>
      </c>
      <c r="CW606" s="407">
        <v>0</v>
      </c>
      <c r="CX606" s="407">
        <v>0</v>
      </c>
      <c r="CY606" s="407">
        <v>0</v>
      </c>
      <c r="CZ606" s="407">
        <v>-0.69024686206076069</v>
      </c>
      <c r="DA606" s="407">
        <v>0</v>
      </c>
      <c r="DB606" s="407">
        <v>0</v>
      </c>
      <c r="DC606" s="407">
        <v>-4.0059519853532848</v>
      </c>
      <c r="DD606" s="407">
        <v>0</v>
      </c>
      <c r="DE606" s="407">
        <v>0</v>
      </c>
      <c r="DF606" s="407">
        <v>0</v>
      </c>
      <c r="DG606" s="407">
        <v>-0.29282229817517957</v>
      </c>
      <c r="DH606" s="407">
        <v>0</v>
      </c>
      <c r="DI606" s="407">
        <v>0.56860793735035475</v>
      </c>
      <c r="DJ606" s="407"/>
      <c r="DK606" s="407">
        <v>0</v>
      </c>
      <c r="DL606" s="407">
        <v>0</v>
      </c>
      <c r="DM606" s="407">
        <v>0</v>
      </c>
      <c r="DN606" s="407">
        <v>0</v>
      </c>
      <c r="DO606" s="407">
        <v>7.6536530229841082E-2</v>
      </c>
      <c r="DP606" s="407">
        <v>1.7320831070710418E-2</v>
      </c>
      <c r="DQ606" s="407">
        <v>0</v>
      </c>
      <c r="DR606" s="407">
        <v>2.0662794868870713</v>
      </c>
      <c r="DS606" s="407"/>
      <c r="DT606" s="407"/>
      <c r="DU606" s="407"/>
      <c r="DV606" s="407">
        <v>-54.69852479310709</v>
      </c>
      <c r="DW606" s="407">
        <v>0</v>
      </c>
      <c r="DX606" s="407">
        <v>0</v>
      </c>
      <c r="DY606" s="407">
        <v>29.278500000000008</v>
      </c>
      <c r="DZ606" s="407">
        <v>-3.5985700000000023</v>
      </c>
      <c r="EA606" s="407">
        <v>0</v>
      </c>
      <c r="EB606" s="407">
        <v>0</v>
      </c>
      <c r="EC606" s="407">
        <v>27.940133508390279</v>
      </c>
      <c r="ED606" s="407">
        <v>0</v>
      </c>
      <c r="EE606" s="407">
        <v>0</v>
      </c>
      <c r="EF606" s="407">
        <v>0</v>
      </c>
      <c r="EG606" s="407">
        <v>0</v>
      </c>
      <c r="EH606" s="407">
        <v>0</v>
      </c>
      <c r="EI606" s="407">
        <v>0</v>
      </c>
      <c r="EJ606" s="407">
        <v>0</v>
      </c>
      <c r="EK606" s="407">
        <v>0</v>
      </c>
      <c r="EL606" s="407">
        <v>0</v>
      </c>
      <c r="EM606" s="407">
        <v>0</v>
      </c>
      <c r="EN606" s="407">
        <v>0</v>
      </c>
      <c r="EO606" s="407">
        <v>0</v>
      </c>
      <c r="EP606" s="407">
        <v>-3.8454001634029233</v>
      </c>
      <c r="EQ606" s="407">
        <v>0</v>
      </c>
      <c r="ER606" s="407">
        <v>0</v>
      </c>
      <c r="ES606" s="407">
        <v>0</v>
      </c>
      <c r="ET606" s="407">
        <v>0</v>
      </c>
      <c r="EU606" s="407">
        <v>0</v>
      </c>
      <c r="EV606" s="407">
        <v>246</v>
      </c>
      <c r="EW606" s="407">
        <v>0</v>
      </c>
      <c r="EX606" s="407">
        <v>0</v>
      </c>
      <c r="EY606" s="407">
        <v>0</v>
      </c>
      <c r="EZ606" s="407"/>
      <c r="FA606" s="407">
        <v>0</v>
      </c>
      <c r="FB606" s="407"/>
      <c r="FC606" s="407"/>
      <c r="FD606" s="407"/>
      <c r="FE606" s="407"/>
      <c r="FF606" s="407">
        <v>0</v>
      </c>
      <c r="FG606" s="407">
        <v>0</v>
      </c>
      <c r="FH606" s="407">
        <v>0</v>
      </c>
      <c r="FI606" s="407">
        <v>0</v>
      </c>
    </row>
    <row r="607" spans="1:165">
      <c r="A607" s="407">
        <v>630</v>
      </c>
      <c r="B607" s="407" t="s">
        <v>1090</v>
      </c>
      <c r="C607" s="407" t="s">
        <v>2317</v>
      </c>
      <c r="D607" s="407" t="s">
        <v>650</v>
      </c>
      <c r="E607" s="407" t="s">
        <v>2316</v>
      </c>
      <c r="F607" s="407" t="s">
        <v>97</v>
      </c>
      <c r="G607" s="407" t="s">
        <v>97</v>
      </c>
      <c r="H607" s="407" t="s">
        <v>97</v>
      </c>
      <c r="I607" s="407" t="s">
        <v>1025</v>
      </c>
      <c r="J607" s="407" t="s">
        <v>2307</v>
      </c>
      <c r="K607" s="818">
        <v>44652</v>
      </c>
      <c r="L607" s="407">
        <v>200</v>
      </c>
      <c r="M607" s="407">
        <v>200</v>
      </c>
      <c r="N607" s="407">
        <v>5.1959999999999997</v>
      </c>
      <c r="O607" s="407">
        <v>5.1959999999999997</v>
      </c>
      <c r="P607" s="407">
        <v>5.1959999999999997</v>
      </c>
      <c r="Q607" s="407">
        <v>5.1959999999999997</v>
      </c>
      <c r="R607" s="407">
        <v>112.91</v>
      </c>
      <c r="S607" s="407">
        <v>95.29</v>
      </c>
      <c r="T607" s="407">
        <v>159.41</v>
      </c>
      <c r="U607" s="407">
        <v>22582</v>
      </c>
      <c r="V607" s="407">
        <v>1323.4212</v>
      </c>
      <c r="W607" s="407">
        <v>23905.421200000001</v>
      </c>
      <c r="X607" s="407">
        <v>14866.824359999999</v>
      </c>
      <c r="Y607" s="407">
        <v>0</v>
      </c>
      <c r="Z607" s="407">
        <v>280.13775737795771</v>
      </c>
      <c r="AA607" s="407">
        <v>0</v>
      </c>
      <c r="AB607" s="407">
        <v>0</v>
      </c>
      <c r="AC607" s="407">
        <v>0</v>
      </c>
      <c r="AD607" s="407">
        <v>5077.0827132346003</v>
      </c>
      <c r="AE607" s="407">
        <v>17504.269107723037</v>
      </c>
      <c r="AF607" s="407">
        <v>801.38280404131422</v>
      </c>
      <c r="AG607" s="407">
        <v>26.924358649223251</v>
      </c>
      <c r="AH607" s="407">
        <v>0</v>
      </c>
      <c r="AI607" s="407">
        <v>0</v>
      </c>
      <c r="AJ607" s="407">
        <v>0</v>
      </c>
      <c r="AK607" s="407">
        <v>0</v>
      </c>
      <c r="AL607" s="407">
        <v>49.757183602456109</v>
      </c>
      <c r="AM607" s="407"/>
      <c r="AN607" s="407">
        <v>5.5791186622813838</v>
      </c>
      <c r="AO607" s="407">
        <v>0</v>
      </c>
      <c r="AP607" s="407">
        <v>0</v>
      </c>
      <c r="AQ607" s="407">
        <v>0</v>
      </c>
      <c r="AR607" s="407">
        <v>0</v>
      </c>
      <c r="AS607" s="407">
        <v>0</v>
      </c>
      <c r="AT607" s="407">
        <v>0</v>
      </c>
      <c r="AU607" s="407">
        <v>0</v>
      </c>
      <c r="AV607" s="407">
        <v>0</v>
      </c>
      <c r="AW607" s="407">
        <v>0</v>
      </c>
      <c r="AX607" s="407">
        <v>0</v>
      </c>
      <c r="AY607" s="407">
        <v>0</v>
      </c>
      <c r="AZ607" s="407">
        <v>0</v>
      </c>
      <c r="BA607" s="407"/>
      <c r="BB607" s="407">
        <v>0</v>
      </c>
      <c r="BC607" s="407">
        <v>0</v>
      </c>
      <c r="BD607" s="407">
        <v>0</v>
      </c>
      <c r="BE607" s="407">
        <v>0</v>
      </c>
      <c r="BF607" s="407">
        <v>0</v>
      </c>
      <c r="BG607" s="407">
        <v>26.966587169051358</v>
      </c>
      <c r="BH607" s="407">
        <v>0</v>
      </c>
      <c r="BI607" s="407">
        <v>0</v>
      </c>
      <c r="BJ607" s="407">
        <v>0</v>
      </c>
      <c r="BK607" s="407">
        <v>0</v>
      </c>
      <c r="BL607" s="407">
        <v>0</v>
      </c>
      <c r="BM607" s="407"/>
      <c r="BN607" s="407"/>
      <c r="BO607" s="407"/>
      <c r="BP607" s="407"/>
      <c r="BQ607" s="407"/>
      <c r="BR607" s="407"/>
      <c r="BS607" s="407"/>
      <c r="BT607" s="407"/>
      <c r="BU607" s="407"/>
      <c r="BV607" s="407">
        <v>828.34939121036552</v>
      </c>
      <c r="BW607" s="407"/>
      <c r="BX607" s="407"/>
      <c r="BY607" s="407"/>
      <c r="BZ607" s="407"/>
      <c r="CA607" s="407"/>
      <c r="CB607" s="407"/>
      <c r="CC607" s="407"/>
      <c r="CD607" s="407"/>
      <c r="CE607" s="407"/>
      <c r="CF607" s="407"/>
      <c r="CG607" s="407"/>
      <c r="CH607" s="407"/>
      <c r="CI607" s="407">
        <v>14867.932000000001</v>
      </c>
      <c r="CJ607" s="407">
        <v>-9037.5191999999952</v>
      </c>
      <c r="CK607" s="407"/>
      <c r="CL607" s="407"/>
      <c r="CM607" s="407"/>
      <c r="CN607" s="407"/>
      <c r="CO607" s="407">
        <v>-9181.3309599999993</v>
      </c>
      <c r="CP607" s="407">
        <v>142.73411999999999</v>
      </c>
      <c r="CQ607" s="407">
        <v>30</v>
      </c>
      <c r="CR607" s="407">
        <v>-96.166969757337029</v>
      </c>
      <c r="CS607" s="407">
        <v>0</v>
      </c>
      <c r="CT607" s="407">
        <v>0</v>
      </c>
      <c r="CU607" s="407">
        <v>0</v>
      </c>
      <c r="CV607" s="407">
        <v>0</v>
      </c>
      <c r="CW607" s="407">
        <v>0</v>
      </c>
      <c r="CX607" s="407">
        <v>0</v>
      </c>
      <c r="CY607" s="407">
        <v>0</v>
      </c>
      <c r="CZ607" s="407">
        <v>229.34189304735992</v>
      </c>
      <c r="DA607" s="407">
        <v>0</v>
      </c>
      <c r="DB607" s="407">
        <v>0</v>
      </c>
      <c r="DC607" s="407">
        <v>158.89256882363111</v>
      </c>
      <c r="DD607" s="407">
        <v>0</v>
      </c>
      <c r="DE607" s="407">
        <v>0</v>
      </c>
      <c r="DF607" s="407">
        <v>0</v>
      </c>
      <c r="DG607" s="407">
        <v>5.3467460071379946</v>
      </c>
      <c r="DH607" s="407">
        <v>0</v>
      </c>
      <c r="DI607" s="407">
        <v>-19.621401167565239</v>
      </c>
      <c r="DJ607" s="407"/>
      <c r="DK607" s="407">
        <v>0</v>
      </c>
      <c r="DL607" s="407">
        <v>0</v>
      </c>
      <c r="DM607" s="407">
        <v>0</v>
      </c>
      <c r="DN607" s="407">
        <v>0</v>
      </c>
      <c r="DO607" s="407">
        <v>-3.0357542830095809</v>
      </c>
      <c r="DP607" s="407">
        <v>-0.35548797203574711</v>
      </c>
      <c r="DQ607" s="407">
        <v>0</v>
      </c>
      <c r="DR607" s="407">
        <v>-466.73553421285555</v>
      </c>
      <c r="DS607" s="407"/>
      <c r="DT607" s="407"/>
      <c r="DU607" s="407">
        <v>17504.269107723037</v>
      </c>
      <c r="DV607" s="407">
        <v>0</v>
      </c>
      <c r="DW607" s="407">
        <v>0</v>
      </c>
      <c r="DX607" s="407">
        <v>0</v>
      </c>
      <c r="DY607" s="407">
        <v>-9181.3309600000011</v>
      </c>
      <c r="DZ607" s="407">
        <v>142.73411999999996</v>
      </c>
      <c r="EA607" s="407">
        <v>0</v>
      </c>
      <c r="EB607" s="407">
        <v>0</v>
      </c>
      <c r="EC607" s="407">
        <v>-8941.2213160491574</v>
      </c>
      <c r="ED607" s="407">
        <v>0</v>
      </c>
      <c r="EE607" s="407">
        <v>0</v>
      </c>
      <c r="EF607" s="407">
        <v>0</v>
      </c>
      <c r="EG607" s="407">
        <v>0</v>
      </c>
      <c r="EH607" s="407">
        <v>0</v>
      </c>
      <c r="EI607" s="407">
        <v>0</v>
      </c>
      <c r="EJ607" s="407">
        <v>0</v>
      </c>
      <c r="EK607" s="407">
        <v>0</v>
      </c>
      <c r="EL607" s="407">
        <v>0</v>
      </c>
      <c r="EM607" s="407">
        <v>0</v>
      </c>
      <c r="EN607" s="407">
        <v>0</v>
      </c>
      <c r="EO607" s="407">
        <v>0</v>
      </c>
      <c r="EP607" s="407">
        <v>132.69624692111583</v>
      </c>
      <c r="EQ607" s="407">
        <v>0</v>
      </c>
      <c r="ER607" s="407">
        <v>0</v>
      </c>
      <c r="ES607" s="407">
        <v>0</v>
      </c>
      <c r="ET607" s="407">
        <v>0</v>
      </c>
      <c r="EU607" s="407">
        <v>0</v>
      </c>
      <c r="EV607" s="407">
        <v>246</v>
      </c>
      <c r="EW607" s="407">
        <v>0</v>
      </c>
      <c r="EX607" s="407">
        <v>0</v>
      </c>
      <c r="EY607" s="407">
        <v>0</v>
      </c>
      <c r="EZ607" s="407"/>
      <c r="FA607" s="407">
        <v>0</v>
      </c>
      <c r="FB607" s="407"/>
      <c r="FC607" s="407"/>
      <c r="FD607" s="407"/>
      <c r="FE607" s="407"/>
      <c r="FF607" s="407">
        <v>0</v>
      </c>
      <c r="FG607" s="407">
        <v>0</v>
      </c>
      <c r="FH607" s="407">
        <v>0</v>
      </c>
      <c r="FI607" s="407">
        <v>0</v>
      </c>
    </row>
    <row r="608" spans="1:165">
      <c r="A608" s="407">
        <v>631</v>
      </c>
      <c r="B608" s="407" t="s">
        <v>1090</v>
      </c>
      <c r="C608" s="407" t="s">
        <v>2317</v>
      </c>
      <c r="D608" s="407" t="s">
        <v>650</v>
      </c>
      <c r="E608" s="407" t="s">
        <v>2316</v>
      </c>
      <c r="F608" s="407" t="s">
        <v>97</v>
      </c>
      <c r="G608" s="407" t="s">
        <v>97</v>
      </c>
      <c r="H608" s="407" t="s">
        <v>97</v>
      </c>
      <c r="I608" s="407" t="s">
        <v>2290</v>
      </c>
      <c r="J608" s="407" t="s">
        <v>2307</v>
      </c>
      <c r="K608" s="818">
        <v>44652</v>
      </c>
      <c r="L608" s="407">
        <v>230</v>
      </c>
      <c r="M608" s="407">
        <v>230</v>
      </c>
      <c r="N608" s="407">
        <v>36.773000000000003</v>
      </c>
      <c r="O608" s="407">
        <v>36.773000000000003</v>
      </c>
      <c r="P608" s="407">
        <v>36.773000000000003</v>
      </c>
      <c r="Q608" s="407">
        <v>36.773000000000003</v>
      </c>
      <c r="R608" s="407">
        <v>43.29</v>
      </c>
      <c r="S608" s="407">
        <v>95.29</v>
      </c>
      <c r="T608" s="407">
        <v>159.41</v>
      </c>
      <c r="U608" s="407">
        <v>9956.6999999999989</v>
      </c>
      <c r="V608" s="407">
        <v>9366.0830999999998</v>
      </c>
      <c r="W608" s="407">
        <v>19322.783100000001</v>
      </c>
      <c r="X608" s="407">
        <v>17885.511430000002</v>
      </c>
      <c r="Y608" s="407">
        <v>0</v>
      </c>
      <c r="Z608" s="407">
        <v>1982.5838629829948</v>
      </c>
      <c r="AA608" s="407">
        <v>0</v>
      </c>
      <c r="AB608" s="407">
        <v>0</v>
      </c>
      <c r="AC608" s="407">
        <v>0</v>
      </c>
      <c r="AD608" s="407">
        <v>5442.71704644074</v>
      </c>
      <c r="AE608" s="407">
        <v>4514.7130340054682</v>
      </c>
      <c r="AF608" s="407">
        <v>5671.5261456911576</v>
      </c>
      <c r="AG608" s="407">
        <v>190.54839118704515</v>
      </c>
      <c r="AH608" s="407">
        <v>0</v>
      </c>
      <c r="AI608" s="407">
        <v>0</v>
      </c>
      <c r="AJ608" s="407">
        <v>0</v>
      </c>
      <c r="AK608" s="407">
        <v>0</v>
      </c>
      <c r="AL608" s="407">
        <v>352.1402834128404</v>
      </c>
      <c r="AM608" s="407"/>
      <c r="AN608" s="407">
        <v>39.484397722877858</v>
      </c>
      <c r="AO608" s="407">
        <v>0</v>
      </c>
      <c r="AP608" s="407">
        <v>0</v>
      </c>
      <c r="AQ608" s="407">
        <v>0</v>
      </c>
      <c r="AR608" s="407">
        <v>0</v>
      </c>
      <c r="AS608" s="407">
        <v>0</v>
      </c>
      <c r="AT608" s="407">
        <v>0</v>
      </c>
      <c r="AU608" s="407">
        <v>0</v>
      </c>
      <c r="AV608" s="407">
        <v>0</v>
      </c>
      <c r="AW608" s="407">
        <v>0</v>
      </c>
      <c r="AX608" s="407">
        <v>0</v>
      </c>
      <c r="AY608" s="407">
        <v>0</v>
      </c>
      <c r="AZ608" s="407">
        <v>0</v>
      </c>
      <c r="BA608" s="407"/>
      <c r="BB608" s="407">
        <v>0</v>
      </c>
      <c r="BC608" s="407">
        <v>0</v>
      </c>
      <c r="BD608" s="407">
        <v>0</v>
      </c>
      <c r="BE608" s="407">
        <v>0</v>
      </c>
      <c r="BF608" s="407">
        <v>0</v>
      </c>
      <c r="BG608" s="407">
        <v>190.8472498012944</v>
      </c>
      <c r="BH608" s="407">
        <v>0</v>
      </c>
      <c r="BI608" s="407">
        <v>0</v>
      </c>
      <c r="BJ608" s="407">
        <v>0</v>
      </c>
      <c r="BK608" s="407">
        <v>0</v>
      </c>
      <c r="BL608" s="407">
        <v>0</v>
      </c>
      <c r="BM608" s="407"/>
      <c r="BN608" s="407"/>
      <c r="BO608" s="407"/>
      <c r="BP608" s="407"/>
      <c r="BQ608" s="407"/>
      <c r="BR608" s="407"/>
      <c r="BS608" s="407"/>
      <c r="BT608" s="407"/>
      <c r="BU608" s="407"/>
      <c r="BV608" s="407">
        <v>5862.3733954924519</v>
      </c>
      <c r="BW608" s="407"/>
      <c r="BX608" s="407"/>
      <c r="BY608" s="407"/>
      <c r="BZ608" s="407"/>
      <c r="CA608" s="407"/>
      <c r="CB608" s="407"/>
      <c r="CC608" s="407"/>
      <c r="CD608" s="407"/>
      <c r="CE608" s="407"/>
      <c r="CF608" s="407"/>
      <c r="CG608" s="407"/>
      <c r="CH608" s="407"/>
      <c r="CI608" s="407">
        <v>17884.680700000001</v>
      </c>
      <c r="CJ608" s="407">
        <v>-1438.1323999999986</v>
      </c>
      <c r="CK608" s="407"/>
      <c r="CL608" s="407"/>
      <c r="CM608" s="407"/>
      <c r="CN608" s="407"/>
      <c r="CO608" s="407">
        <v>-2447.42598</v>
      </c>
      <c r="CP608" s="407">
        <v>1010.15431</v>
      </c>
      <c r="CQ608" s="407">
        <v>30</v>
      </c>
      <c r="CR608" s="407">
        <v>868.05393165337955</v>
      </c>
      <c r="CS608" s="407">
        <v>0</v>
      </c>
      <c r="CT608" s="407">
        <v>0</v>
      </c>
      <c r="CU608" s="407">
        <v>0</v>
      </c>
      <c r="CV608" s="407">
        <v>0</v>
      </c>
      <c r="CW608" s="407">
        <v>0</v>
      </c>
      <c r="CX608" s="407">
        <v>0</v>
      </c>
      <c r="CY608" s="407">
        <v>0</v>
      </c>
      <c r="CZ608" s="407">
        <v>245.85832086169376</v>
      </c>
      <c r="DA608" s="407">
        <v>0</v>
      </c>
      <c r="DB608" s="407">
        <v>0</v>
      </c>
      <c r="DC608" s="407">
        <v>1124.5104760106597</v>
      </c>
      <c r="DD608" s="407">
        <v>0</v>
      </c>
      <c r="DE608" s="407">
        <v>0</v>
      </c>
      <c r="DF608" s="407">
        <v>0</v>
      </c>
      <c r="DG608" s="407">
        <v>37.839855835351358</v>
      </c>
      <c r="DH608" s="407">
        <v>0</v>
      </c>
      <c r="DI608" s="407">
        <v>-138.86408489893711</v>
      </c>
      <c r="DJ608" s="407"/>
      <c r="DK608" s="407">
        <v>0</v>
      </c>
      <c r="DL608" s="407">
        <v>0</v>
      </c>
      <c r="DM608" s="407">
        <v>0</v>
      </c>
      <c r="DN608" s="407">
        <v>0</v>
      </c>
      <c r="DO608" s="407">
        <v>-21.484563558335481</v>
      </c>
      <c r="DP608" s="407">
        <v>-2.5158504995516822</v>
      </c>
      <c r="DQ608" s="407">
        <v>0</v>
      </c>
      <c r="DR608" s="407">
        <v>-377.29022209750076</v>
      </c>
      <c r="DS608" s="407"/>
      <c r="DT608" s="407"/>
      <c r="DU608" s="407">
        <v>4514.7130340054682</v>
      </c>
      <c r="DV608" s="407">
        <v>0</v>
      </c>
      <c r="DW608" s="407">
        <v>0</v>
      </c>
      <c r="DX608" s="407">
        <v>0</v>
      </c>
      <c r="DY608" s="407">
        <v>-2447.4259799999963</v>
      </c>
      <c r="DZ608" s="407">
        <v>1010.1543099999999</v>
      </c>
      <c r="EA608" s="407">
        <v>0</v>
      </c>
      <c r="EB608" s="407">
        <v>0</v>
      </c>
      <c r="EC608" s="407">
        <v>-2306.1259037479317</v>
      </c>
      <c r="ED608" s="407">
        <v>0</v>
      </c>
      <c r="EE608" s="407">
        <v>0</v>
      </c>
      <c r="EF608" s="407">
        <v>0</v>
      </c>
      <c r="EG608" s="407">
        <v>0</v>
      </c>
      <c r="EH608" s="407">
        <v>0</v>
      </c>
      <c r="EI608" s="407">
        <v>0</v>
      </c>
      <c r="EJ608" s="407">
        <v>0</v>
      </c>
      <c r="EK608" s="407">
        <v>0</v>
      </c>
      <c r="EL608" s="407">
        <v>0</v>
      </c>
      <c r="EM608" s="407">
        <v>0</v>
      </c>
      <c r="EN608" s="407">
        <v>0</v>
      </c>
      <c r="EO608" s="407">
        <v>0</v>
      </c>
      <c r="EP608" s="407">
        <v>939.1145281043481</v>
      </c>
      <c r="EQ608" s="407">
        <v>0</v>
      </c>
      <c r="ER608" s="407">
        <v>0</v>
      </c>
      <c r="ES608" s="407">
        <v>0</v>
      </c>
      <c r="ET608" s="407">
        <v>0</v>
      </c>
      <c r="EU608" s="407">
        <v>0</v>
      </c>
      <c r="EV608" s="407">
        <v>246</v>
      </c>
      <c r="EW608" s="407">
        <v>0</v>
      </c>
      <c r="EX608" s="407">
        <v>0</v>
      </c>
      <c r="EY608" s="407">
        <v>0</v>
      </c>
      <c r="EZ608" s="407"/>
      <c r="FA608" s="407">
        <v>0</v>
      </c>
      <c r="FB608" s="407"/>
      <c r="FC608" s="407"/>
      <c r="FD608" s="407"/>
      <c r="FE608" s="407"/>
      <c r="FF608" s="407">
        <v>0</v>
      </c>
      <c r="FG608" s="407">
        <v>0</v>
      </c>
      <c r="FH608" s="407">
        <v>0</v>
      </c>
      <c r="FI608" s="407">
        <v>0</v>
      </c>
    </row>
    <row r="609" spans="1:165">
      <c r="A609" s="407">
        <v>632</v>
      </c>
      <c r="B609" s="407" t="s">
        <v>1090</v>
      </c>
      <c r="C609" s="407" t="s">
        <v>2317</v>
      </c>
      <c r="D609" s="407" t="s">
        <v>650</v>
      </c>
      <c r="E609" s="407" t="s">
        <v>2316</v>
      </c>
      <c r="F609" s="407" t="s">
        <v>97</v>
      </c>
      <c r="G609" s="407" t="s">
        <v>97</v>
      </c>
      <c r="H609" s="407" t="s">
        <v>97</v>
      </c>
      <c r="I609" s="407" t="s">
        <v>97</v>
      </c>
      <c r="J609" s="407" t="s">
        <v>2307</v>
      </c>
      <c r="K609" s="818">
        <v>44652</v>
      </c>
      <c r="L609" s="407">
        <v>0</v>
      </c>
      <c r="M609" s="407">
        <v>0</v>
      </c>
      <c r="N609" s="407">
        <v>0</v>
      </c>
      <c r="O609" s="407">
        <v>0</v>
      </c>
      <c r="P609" s="407">
        <v>0</v>
      </c>
      <c r="Q609" s="407">
        <v>0</v>
      </c>
      <c r="R609" s="407"/>
      <c r="S609" s="407"/>
      <c r="T609" s="407"/>
      <c r="U609" s="407"/>
      <c r="V609" s="407"/>
      <c r="W609" s="407"/>
      <c r="X609" s="407"/>
      <c r="Y609" s="407"/>
      <c r="Z609" s="407"/>
      <c r="AA609" s="407">
        <v>0</v>
      </c>
      <c r="AB609" s="407"/>
      <c r="AC609" s="407"/>
      <c r="AD609" s="407"/>
      <c r="AE609" s="407"/>
      <c r="AF609" s="407"/>
      <c r="AG609" s="407"/>
      <c r="AH609" s="407"/>
      <c r="AI609" s="407"/>
      <c r="AJ609" s="407"/>
      <c r="AK609" s="407"/>
      <c r="AL609" s="407"/>
      <c r="AM609" s="407"/>
      <c r="AN609" s="407"/>
      <c r="AO609" s="407"/>
      <c r="AP609" s="407"/>
      <c r="AQ609" s="407"/>
      <c r="AR609" s="407"/>
      <c r="AS609" s="407"/>
      <c r="AT609" s="407"/>
      <c r="AU609" s="407"/>
      <c r="AV609" s="407"/>
      <c r="AW609" s="407"/>
      <c r="AX609" s="407"/>
      <c r="AY609" s="407"/>
      <c r="AZ609" s="407">
        <v>0</v>
      </c>
      <c r="BA609" s="407"/>
      <c r="BB609" s="407"/>
      <c r="BC609" s="407"/>
      <c r="BD609" s="407"/>
      <c r="BE609" s="407"/>
      <c r="BF609" s="407"/>
      <c r="BG609" s="407"/>
      <c r="BH609" s="407"/>
      <c r="BI609" s="407">
        <v>72.319999999999993</v>
      </c>
      <c r="BJ609" s="407">
        <v>358.01</v>
      </c>
      <c r="BK609" s="407">
        <v>10369.14</v>
      </c>
      <c r="BL609" s="407">
        <v>1</v>
      </c>
      <c r="BM609" s="407"/>
      <c r="BN609" s="407"/>
      <c r="BO609" s="407"/>
      <c r="BP609" s="407"/>
      <c r="BQ609" s="407"/>
      <c r="BR609" s="407"/>
      <c r="BS609" s="407"/>
      <c r="BT609" s="407"/>
      <c r="BU609" s="407"/>
      <c r="BV609" s="407"/>
      <c r="BW609" s="407"/>
      <c r="BX609" s="407"/>
      <c r="BY609" s="407"/>
      <c r="BZ609" s="407"/>
      <c r="CA609" s="407"/>
      <c r="CB609" s="407"/>
      <c r="CC609" s="407"/>
      <c r="CD609" s="407"/>
      <c r="CE609" s="407"/>
      <c r="CF609" s="407"/>
      <c r="CG609" s="407"/>
      <c r="CH609" s="407"/>
      <c r="CI609" s="407"/>
      <c r="CJ609" s="407">
        <v>-0.03</v>
      </c>
      <c r="CK609" s="407"/>
      <c r="CL609" s="407"/>
      <c r="CM609" s="407"/>
      <c r="CN609" s="407"/>
      <c r="CO609" s="407">
        <v>0</v>
      </c>
      <c r="CP609" s="407">
        <v>0</v>
      </c>
      <c r="CQ609" s="407">
        <v>30</v>
      </c>
      <c r="CR609" s="407"/>
      <c r="CS609" s="407"/>
      <c r="CT609" s="407"/>
      <c r="CU609" s="407"/>
      <c r="CV609" s="407"/>
      <c r="CW609" s="407"/>
      <c r="CX609" s="407"/>
      <c r="CY609" s="407"/>
      <c r="CZ609" s="407"/>
      <c r="DA609" s="407"/>
      <c r="DB609" s="407"/>
      <c r="DC609" s="407"/>
      <c r="DD609" s="407"/>
      <c r="DE609" s="407"/>
      <c r="DF609" s="407"/>
      <c r="DG609" s="407"/>
      <c r="DH609" s="407"/>
      <c r="DI609" s="407"/>
      <c r="DJ609" s="407"/>
      <c r="DK609" s="407">
        <v>0</v>
      </c>
      <c r="DL609" s="407"/>
      <c r="DM609" s="407"/>
      <c r="DN609" s="407"/>
      <c r="DO609" s="407"/>
      <c r="DP609" s="407"/>
      <c r="DQ609" s="407"/>
      <c r="DR609" s="407"/>
      <c r="DS609" s="407"/>
      <c r="DT609" s="407"/>
      <c r="DU609" s="407"/>
      <c r="DV609" s="407"/>
      <c r="DW609" s="407"/>
      <c r="DX609" s="407"/>
      <c r="DY609" s="407"/>
      <c r="DZ609" s="407"/>
      <c r="EA609" s="407"/>
      <c r="EB609" s="407"/>
      <c r="EC609" s="407"/>
      <c r="ED609" s="407"/>
      <c r="EE609" s="407"/>
      <c r="EF609" s="407"/>
      <c r="EG609" s="407"/>
      <c r="EH609" s="407"/>
      <c r="EI609" s="407"/>
      <c r="EJ609" s="407"/>
      <c r="EK609" s="407"/>
      <c r="EL609" s="407"/>
      <c r="EM609" s="407"/>
      <c r="EN609" s="407"/>
      <c r="EO609" s="407"/>
      <c r="EP609" s="407"/>
      <c r="EQ609" s="407"/>
      <c r="ER609" s="407"/>
      <c r="ES609" s="407"/>
      <c r="ET609" s="407"/>
      <c r="EU609" s="407"/>
      <c r="EV609" s="407">
        <v>246</v>
      </c>
      <c r="EW609" s="407"/>
      <c r="EX609" s="407"/>
      <c r="EY609" s="407"/>
      <c r="EZ609" s="407"/>
      <c r="FA609" s="407">
        <v>0</v>
      </c>
      <c r="FB609" s="407"/>
      <c r="FC609" s="407"/>
      <c r="FD609" s="407"/>
      <c r="FE609" s="407"/>
      <c r="FF609" s="407">
        <v>0</v>
      </c>
      <c r="FG609" s="407">
        <v>0</v>
      </c>
      <c r="FH609" s="407">
        <v>0</v>
      </c>
      <c r="FI609" s="407">
        <v>0</v>
      </c>
    </row>
    <row r="610" spans="1:165">
      <c r="A610" s="407">
        <v>633</v>
      </c>
      <c r="B610" s="407" t="s">
        <v>1090</v>
      </c>
      <c r="C610" s="407" t="s">
        <v>2314</v>
      </c>
      <c r="D610" s="407" t="s">
        <v>650</v>
      </c>
      <c r="E610" s="407" t="s">
        <v>2316</v>
      </c>
      <c r="F610" s="407" t="s">
        <v>97</v>
      </c>
      <c r="G610" s="407" t="s">
        <v>97</v>
      </c>
      <c r="H610" s="407" t="s">
        <v>97</v>
      </c>
      <c r="I610" s="407" t="s">
        <v>1025</v>
      </c>
      <c r="J610" s="407" t="s">
        <v>2307</v>
      </c>
      <c r="K610" s="818">
        <v>44652</v>
      </c>
      <c r="L610" s="407">
        <v>0</v>
      </c>
      <c r="M610" s="407">
        <v>0</v>
      </c>
      <c r="N610" s="407">
        <v>0.40799999999999997</v>
      </c>
      <c r="O610" s="407">
        <v>0.40799999999999997</v>
      </c>
      <c r="P610" s="407">
        <v>0.40799999999999997</v>
      </c>
      <c r="Q610" s="407">
        <v>0.40799999999999997</v>
      </c>
      <c r="R610" s="407"/>
      <c r="S610" s="407">
        <v>2810.7</v>
      </c>
      <c r="T610" s="407">
        <v>159.41</v>
      </c>
      <c r="U610" s="407"/>
      <c r="V610" s="407">
        <v>1211.8048799999999</v>
      </c>
      <c r="W610" s="407">
        <v>1211.8048799999999</v>
      </c>
      <c r="X610" s="407">
        <v>771.80951999999991</v>
      </c>
      <c r="Y610" s="407">
        <v>0</v>
      </c>
      <c r="Z610" s="407">
        <v>21.996960163627165</v>
      </c>
      <c r="AA610" s="407">
        <v>0</v>
      </c>
      <c r="AB610" s="407">
        <v>0</v>
      </c>
      <c r="AC610" s="407">
        <v>0</v>
      </c>
      <c r="AD610" s="407">
        <v>249.09036210176666</v>
      </c>
      <c r="AE610" s="407">
        <v>858.79467286909926</v>
      </c>
      <c r="AF610" s="407">
        <v>62.926132418948463</v>
      </c>
      <c r="AG610" s="407">
        <v>2.1141528731491697</v>
      </c>
      <c r="AH610" s="407">
        <v>0</v>
      </c>
      <c r="AI610" s="407">
        <v>0</v>
      </c>
      <c r="AJ610" s="407">
        <v>0</v>
      </c>
      <c r="AK610" s="407">
        <v>0</v>
      </c>
      <c r="AL610" s="407">
        <v>3.9070305831027889</v>
      </c>
      <c r="AM610" s="407"/>
      <c r="AN610" s="407">
        <v>0.43808322059484311</v>
      </c>
      <c r="AO610" s="407">
        <v>0</v>
      </c>
      <c r="AP610" s="407">
        <v>0</v>
      </c>
      <c r="AQ610" s="407">
        <v>0</v>
      </c>
      <c r="AR610" s="407">
        <v>0</v>
      </c>
      <c r="AS610" s="407">
        <v>0</v>
      </c>
      <c r="AT610" s="407">
        <v>0</v>
      </c>
      <c r="AU610" s="407">
        <v>0</v>
      </c>
      <c r="AV610" s="407">
        <v>0</v>
      </c>
      <c r="AW610" s="407">
        <v>0</v>
      </c>
      <c r="AX610" s="407">
        <v>0</v>
      </c>
      <c r="AY610" s="407">
        <v>0</v>
      </c>
      <c r="AZ610" s="407">
        <v>0</v>
      </c>
      <c r="BA610" s="407"/>
      <c r="BB610" s="407">
        <v>0</v>
      </c>
      <c r="BC610" s="407">
        <v>0</v>
      </c>
      <c r="BD610" s="407">
        <v>0</v>
      </c>
      <c r="BE610" s="407">
        <v>0</v>
      </c>
      <c r="BF610" s="407">
        <v>0</v>
      </c>
      <c r="BG610" s="407">
        <v>2.1174687384474509</v>
      </c>
      <c r="BH610" s="407">
        <v>0</v>
      </c>
      <c r="BI610" s="407">
        <v>0</v>
      </c>
      <c r="BJ610" s="407">
        <v>0</v>
      </c>
      <c r="BK610" s="407">
        <v>0</v>
      </c>
      <c r="BL610" s="407">
        <v>0</v>
      </c>
      <c r="BM610" s="407"/>
      <c r="BN610" s="407"/>
      <c r="BO610" s="407"/>
      <c r="BP610" s="407"/>
      <c r="BQ610" s="407"/>
      <c r="BR610" s="407"/>
      <c r="BS610" s="407"/>
      <c r="BT610" s="407"/>
      <c r="BU610" s="407"/>
      <c r="BV610" s="407">
        <v>65.043601157395912</v>
      </c>
      <c r="BW610" s="407"/>
      <c r="BX610" s="407"/>
      <c r="BY610" s="407"/>
      <c r="BZ610" s="407"/>
      <c r="CA610" s="407"/>
      <c r="CB610" s="407"/>
      <c r="CC610" s="407"/>
      <c r="CD610" s="407"/>
      <c r="CE610" s="407"/>
      <c r="CF610" s="407"/>
      <c r="CG610" s="407"/>
      <c r="CH610" s="407"/>
      <c r="CI610" s="407">
        <v>775.59289999999999</v>
      </c>
      <c r="CJ610" s="407">
        <v>-436.2419799999999</v>
      </c>
      <c r="CK610" s="407"/>
      <c r="CL610" s="407"/>
      <c r="CM610" s="407"/>
      <c r="CN610" s="407"/>
      <c r="CO610" s="407">
        <v>-451.2031199999999</v>
      </c>
      <c r="CP610" s="407">
        <v>11.207759999999999</v>
      </c>
      <c r="CQ610" s="407">
        <v>30</v>
      </c>
      <c r="CR610" s="407">
        <v>-1.318899573935937</v>
      </c>
      <c r="CS610" s="407">
        <v>0</v>
      </c>
      <c r="CT610" s="407">
        <v>0</v>
      </c>
      <c r="CU610" s="407">
        <v>0</v>
      </c>
      <c r="CV610" s="407">
        <v>0</v>
      </c>
      <c r="CW610" s="407">
        <v>0</v>
      </c>
      <c r="CX610" s="407">
        <v>0</v>
      </c>
      <c r="CY610" s="407">
        <v>0</v>
      </c>
      <c r="CZ610" s="407">
        <v>11.251905555006118</v>
      </c>
      <c r="DA610" s="407">
        <v>0</v>
      </c>
      <c r="DB610" s="407">
        <v>0</v>
      </c>
      <c r="DC610" s="407">
        <v>12.476552748275886</v>
      </c>
      <c r="DD610" s="407">
        <v>0</v>
      </c>
      <c r="DE610" s="407">
        <v>0</v>
      </c>
      <c r="DF610" s="407">
        <v>0</v>
      </c>
      <c r="DG610" s="407">
        <v>0.41983686892076655</v>
      </c>
      <c r="DH610" s="407">
        <v>0</v>
      </c>
      <c r="DI610" s="407">
        <v>-1.540710484289189</v>
      </c>
      <c r="DJ610" s="407"/>
      <c r="DK610" s="407">
        <v>0</v>
      </c>
      <c r="DL610" s="407">
        <v>0</v>
      </c>
      <c r="DM610" s="407">
        <v>0</v>
      </c>
      <c r="DN610" s="407">
        <v>0</v>
      </c>
      <c r="DO610" s="407">
        <v>-0.23837331552500141</v>
      </c>
      <c r="DP610" s="407">
        <v>-2.7913605194492874E-2</v>
      </c>
      <c r="DQ610" s="407">
        <v>0</v>
      </c>
      <c r="DR610" s="407">
        <v>-23.660197341130086</v>
      </c>
      <c r="DS610" s="407"/>
      <c r="DT610" s="407"/>
      <c r="DU610" s="407"/>
      <c r="DV610" s="407">
        <v>858.79467286909926</v>
      </c>
      <c r="DW610" s="407">
        <v>0</v>
      </c>
      <c r="DX610" s="407">
        <v>0</v>
      </c>
      <c r="DY610" s="407">
        <v>-451.20312000000001</v>
      </c>
      <c r="DZ610" s="407">
        <v>11.207760000000007</v>
      </c>
      <c r="EA610" s="407">
        <v>0</v>
      </c>
      <c r="EB610" s="407">
        <v>0</v>
      </c>
      <c r="EC610" s="407">
        <v>-438.67431355809799</v>
      </c>
      <c r="ED610" s="407">
        <v>0</v>
      </c>
      <c r="EE610" s="407">
        <v>0</v>
      </c>
      <c r="EF610" s="407">
        <v>0</v>
      </c>
      <c r="EG610" s="407">
        <v>0</v>
      </c>
      <c r="EH610" s="407">
        <v>0</v>
      </c>
      <c r="EI610" s="407">
        <v>0</v>
      </c>
      <c r="EJ610" s="407">
        <v>0</v>
      </c>
      <c r="EK610" s="407">
        <v>0</v>
      </c>
      <c r="EL610" s="407">
        <v>0</v>
      </c>
      <c r="EM610" s="407">
        <v>0</v>
      </c>
      <c r="EN610" s="407">
        <v>0</v>
      </c>
      <c r="EO610" s="407">
        <v>0</v>
      </c>
      <c r="EP610" s="407">
        <v>10.419566732835884</v>
      </c>
      <c r="EQ610" s="407">
        <v>0</v>
      </c>
      <c r="ER610" s="407">
        <v>0</v>
      </c>
      <c r="ES610" s="407">
        <v>0</v>
      </c>
      <c r="ET610" s="407">
        <v>0</v>
      </c>
      <c r="EU610" s="407">
        <v>0</v>
      </c>
      <c r="EV610" s="407">
        <v>246</v>
      </c>
      <c r="EW610" s="407">
        <v>0</v>
      </c>
      <c r="EX610" s="407">
        <v>0</v>
      </c>
      <c r="EY610" s="407">
        <v>0</v>
      </c>
      <c r="EZ610" s="407"/>
      <c r="FA610" s="407">
        <v>0</v>
      </c>
      <c r="FB610" s="407"/>
      <c r="FC610" s="407"/>
      <c r="FD610" s="407"/>
      <c r="FE610" s="407"/>
      <c r="FF610" s="407">
        <v>0</v>
      </c>
      <c r="FG610" s="407">
        <v>0</v>
      </c>
      <c r="FH610" s="407">
        <v>0</v>
      </c>
      <c r="FI610" s="407">
        <v>0</v>
      </c>
    </row>
    <row r="611" spans="1:165">
      <c r="A611" s="407">
        <v>634</v>
      </c>
      <c r="B611" s="407" t="s">
        <v>1090</v>
      </c>
      <c r="C611" s="407" t="s">
        <v>2314</v>
      </c>
      <c r="D611" s="407" t="s">
        <v>650</v>
      </c>
      <c r="E611" s="407" t="s">
        <v>2316</v>
      </c>
      <c r="F611" s="407" t="s">
        <v>97</v>
      </c>
      <c r="G611" s="407" t="s">
        <v>97</v>
      </c>
      <c r="H611" s="407" t="s">
        <v>97</v>
      </c>
      <c r="I611" s="407" t="s">
        <v>2290</v>
      </c>
      <c r="J611" s="407" t="s">
        <v>2307</v>
      </c>
      <c r="K611" s="818">
        <v>44652</v>
      </c>
      <c r="L611" s="407">
        <v>0</v>
      </c>
      <c r="M611" s="407">
        <v>0</v>
      </c>
      <c r="N611" s="407">
        <v>4.0209999999999999</v>
      </c>
      <c r="O611" s="407">
        <v>4.0209999999999999</v>
      </c>
      <c r="P611" s="407">
        <v>4.0209999999999999</v>
      </c>
      <c r="Q611" s="407">
        <v>4.0209999999999999</v>
      </c>
      <c r="R611" s="407"/>
      <c r="S611" s="407">
        <v>95.29</v>
      </c>
      <c r="T611" s="407">
        <v>159.41</v>
      </c>
      <c r="U611" s="407"/>
      <c r="V611" s="407">
        <v>1024.1487</v>
      </c>
      <c r="W611" s="407">
        <v>1024.1487</v>
      </c>
      <c r="X611" s="407">
        <v>1113.4551099999999</v>
      </c>
      <c r="Y611" s="407">
        <v>0</v>
      </c>
      <c r="Z611" s="407">
        <v>216.78866867143341</v>
      </c>
      <c r="AA611" s="407">
        <v>0</v>
      </c>
      <c r="AB611" s="407">
        <v>0</v>
      </c>
      <c r="AC611" s="407">
        <v>0</v>
      </c>
      <c r="AD611" s="407">
        <v>0</v>
      </c>
      <c r="AE611" s="407">
        <v>0</v>
      </c>
      <c r="AF611" s="407">
        <v>620.16171190341129</v>
      </c>
      <c r="AG611" s="407">
        <v>20.835805644443166</v>
      </c>
      <c r="AH611" s="407">
        <v>0</v>
      </c>
      <c r="AI611" s="407">
        <v>0</v>
      </c>
      <c r="AJ611" s="407">
        <v>0</v>
      </c>
      <c r="AK611" s="407">
        <v>0</v>
      </c>
      <c r="AL611" s="407">
        <v>38.505318565334107</v>
      </c>
      <c r="AM611" s="407"/>
      <c r="AN611" s="407">
        <v>4.3174819363035883</v>
      </c>
      <c r="AO611" s="407">
        <v>0</v>
      </c>
      <c r="AP611" s="407">
        <v>0</v>
      </c>
      <c r="AQ611" s="407">
        <v>0</v>
      </c>
      <c r="AR611" s="407">
        <v>0</v>
      </c>
      <c r="AS611" s="407">
        <v>0</v>
      </c>
      <c r="AT611" s="407">
        <v>0</v>
      </c>
      <c r="AU611" s="407">
        <v>0</v>
      </c>
      <c r="AV611" s="407">
        <v>0</v>
      </c>
      <c r="AW611" s="407">
        <v>0</v>
      </c>
      <c r="AX611" s="407">
        <v>0</v>
      </c>
      <c r="AY611" s="407">
        <v>0</v>
      </c>
      <c r="AZ611" s="407">
        <v>0</v>
      </c>
      <c r="BA611" s="407"/>
      <c r="BB611" s="407">
        <v>0</v>
      </c>
      <c r="BC611" s="407">
        <v>0</v>
      </c>
      <c r="BD611" s="407">
        <v>0</v>
      </c>
      <c r="BE611" s="407">
        <v>0</v>
      </c>
      <c r="BF611" s="407">
        <v>0</v>
      </c>
      <c r="BG611" s="407">
        <v>20.868484797297057</v>
      </c>
      <c r="BH611" s="407">
        <v>0</v>
      </c>
      <c r="BI611" s="407">
        <v>0</v>
      </c>
      <c r="BJ611" s="407">
        <v>0</v>
      </c>
      <c r="BK611" s="407">
        <v>0</v>
      </c>
      <c r="BL611" s="407">
        <v>0</v>
      </c>
      <c r="BM611" s="407"/>
      <c r="BN611" s="407"/>
      <c r="BO611" s="407"/>
      <c r="BP611" s="407"/>
      <c r="BQ611" s="407"/>
      <c r="BR611" s="407"/>
      <c r="BS611" s="407"/>
      <c r="BT611" s="407"/>
      <c r="BU611" s="407"/>
      <c r="BV611" s="407">
        <v>641.0301967007083</v>
      </c>
      <c r="BW611" s="407"/>
      <c r="BX611" s="407"/>
      <c r="BY611" s="407"/>
      <c r="BZ611" s="407"/>
      <c r="CA611" s="407"/>
      <c r="CB611" s="407"/>
      <c r="CC611" s="407"/>
      <c r="CD611" s="407"/>
      <c r="CE611" s="407"/>
      <c r="CF611" s="407"/>
      <c r="CG611" s="407"/>
      <c r="CH611" s="407"/>
      <c r="CI611" s="407">
        <v>1113.1781999999998</v>
      </c>
      <c r="CJ611" s="407">
        <v>88.999499999999898</v>
      </c>
      <c r="CK611" s="407"/>
      <c r="CL611" s="407"/>
      <c r="CM611" s="407"/>
      <c r="CN611" s="407"/>
      <c r="CO611" s="407">
        <v>-21.15046000000002</v>
      </c>
      <c r="CP611" s="407">
        <v>110.45687</v>
      </c>
      <c r="CQ611" s="407">
        <v>30</v>
      </c>
      <c r="CR611" s="407">
        <v>89.293700461734716</v>
      </c>
      <c r="CS611" s="407">
        <v>0</v>
      </c>
      <c r="CT611" s="407">
        <v>0</v>
      </c>
      <c r="CU611" s="407">
        <v>0</v>
      </c>
      <c r="CV611" s="407">
        <v>0</v>
      </c>
      <c r="CW611" s="407">
        <v>0</v>
      </c>
      <c r="CX611" s="407">
        <v>0</v>
      </c>
      <c r="CY611" s="407">
        <v>0</v>
      </c>
      <c r="CZ611" s="407">
        <v>0</v>
      </c>
      <c r="DA611" s="407">
        <v>0</v>
      </c>
      <c r="DB611" s="407">
        <v>0</v>
      </c>
      <c r="DC611" s="407">
        <v>122.96132010004237</v>
      </c>
      <c r="DD611" s="407">
        <v>0</v>
      </c>
      <c r="DE611" s="407">
        <v>0</v>
      </c>
      <c r="DF611" s="407">
        <v>0</v>
      </c>
      <c r="DG611" s="407">
        <v>4.1376569851235345</v>
      </c>
      <c r="DH611" s="407">
        <v>0</v>
      </c>
      <c r="DI611" s="407">
        <v>-15.184306022859857</v>
      </c>
      <c r="DJ611" s="407"/>
      <c r="DK611" s="407">
        <v>0</v>
      </c>
      <c r="DL611" s="407">
        <v>0</v>
      </c>
      <c r="DM611" s="407">
        <v>0</v>
      </c>
      <c r="DN611" s="407">
        <v>0</v>
      </c>
      <c r="DO611" s="407">
        <v>-2.3492625042304667</v>
      </c>
      <c r="DP611" s="407">
        <v>-0.27509952570356777</v>
      </c>
      <c r="DQ611" s="407">
        <v>0</v>
      </c>
      <c r="DR611" s="407">
        <v>-19.996608570637555</v>
      </c>
      <c r="DS611" s="407"/>
      <c r="DT611" s="407"/>
      <c r="DU611" s="407"/>
      <c r="DV611" s="407">
        <v>0</v>
      </c>
      <c r="DW611" s="407">
        <v>0</v>
      </c>
      <c r="DX611" s="407">
        <v>0</v>
      </c>
      <c r="DY611" s="407">
        <v>-21.15046000000001</v>
      </c>
      <c r="DZ611" s="407">
        <v>110.45686999999998</v>
      </c>
      <c r="EA611" s="407">
        <v>0</v>
      </c>
      <c r="EB611" s="407">
        <v>0</v>
      </c>
      <c r="EC611" s="407">
        <v>0</v>
      </c>
      <c r="ED611" s="407">
        <v>0</v>
      </c>
      <c r="EE611" s="407">
        <v>0</v>
      </c>
      <c r="EF611" s="407">
        <v>0</v>
      </c>
      <c r="EG611" s="407">
        <v>0</v>
      </c>
      <c r="EH611" s="407">
        <v>0</v>
      </c>
      <c r="EI611" s="407">
        <v>0</v>
      </c>
      <c r="EJ611" s="407">
        <v>0</v>
      </c>
      <c r="EK611" s="407">
        <v>0</v>
      </c>
      <c r="EL611" s="407">
        <v>0</v>
      </c>
      <c r="EM611" s="407">
        <v>0</v>
      </c>
      <c r="EN611" s="407">
        <v>0</v>
      </c>
      <c r="EO611" s="407">
        <v>0</v>
      </c>
      <c r="EP611" s="407">
        <v>102.68891625669876</v>
      </c>
      <c r="EQ611" s="407">
        <v>0</v>
      </c>
      <c r="ER611" s="407">
        <v>0</v>
      </c>
      <c r="ES611" s="407">
        <v>0</v>
      </c>
      <c r="ET611" s="407">
        <v>0</v>
      </c>
      <c r="EU611" s="407">
        <v>0</v>
      </c>
      <c r="EV611" s="407">
        <v>246</v>
      </c>
      <c r="EW611" s="407">
        <v>0</v>
      </c>
      <c r="EX611" s="407">
        <v>0</v>
      </c>
      <c r="EY611" s="407">
        <v>0</v>
      </c>
      <c r="EZ611" s="407"/>
      <c r="FA611" s="407">
        <v>0</v>
      </c>
      <c r="FB611" s="407"/>
      <c r="FC611" s="407"/>
      <c r="FD611" s="407"/>
      <c r="FE611" s="407"/>
      <c r="FF611" s="407">
        <v>0</v>
      </c>
      <c r="FG611" s="407">
        <v>0</v>
      </c>
      <c r="FH611" s="407">
        <v>0</v>
      </c>
      <c r="FI611" s="407">
        <v>0</v>
      </c>
    </row>
    <row r="612" spans="1:165">
      <c r="A612" s="407">
        <v>635</v>
      </c>
      <c r="B612" s="407" t="s">
        <v>1090</v>
      </c>
      <c r="C612" s="407" t="s">
        <v>2314</v>
      </c>
      <c r="D612" s="407" t="s">
        <v>650</v>
      </c>
      <c r="E612" s="407" t="s">
        <v>2316</v>
      </c>
      <c r="F612" s="407" t="s">
        <v>97</v>
      </c>
      <c r="G612" s="407" t="s">
        <v>97</v>
      </c>
      <c r="H612" s="407" t="s">
        <v>97</v>
      </c>
      <c r="I612" s="407" t="s">
        <v>97</v>
      </c>
      <c r="J612" s="407" t="s">
        <v>2307</v>
      </c>
      <c r="K612" s="818">
        <v>44652</v>
      </c>
      <c r="L612" s="407">
        <v>45</v>
      </c>
      <c r="M612" s="407">
        <v>45</v>
      </c>
      <c r="N612" s="407">
        <v>0</v>
      </c>
      <c r="O612" s="407">
        <v>0</v>
      </c>
      <c r="P612" s="407">
        <v>0</v>
      </c>
      <c r="Q612" s="407">
        <v>0</v>
      </c>
      <c r="R612" s="407">
        <v>43.29</v>
      </c>
      <c r="S612" s="407"/>
      <c r="T612" s="407"/>
      <c r="U612" s="407">
        <v>1948.05</v>
      </c>
      <c r="V612" s="407"/>
      <c r="W612" s="407">
        <v>1948.05</v>
      </c>
      <c r="X612" s="407">
        <v>1507.0500000000002</v>
      </c>
      <c r="Y612" s="407">
        <v>0</v>
      </c>
      <c r="Z612" s="407">
        <v>0</v>
      </c>
      <c r="AA612" s="407">
        <v>0</v>
      </c>
      <c r="AB612" s="407">
        <v>0</v>
      </c>
      <c r="AC612" s="407">
        <v>0</v>
      </c>
      <c r="AD612" s="407">
        <v>1064.8794221297101</v>
      </c>
      <c r="AE612" s="407">
        <v>883.31341969672201</v>
      </c>
      <c r="AF612" s="407"/>
      <c r="AG612" s="407"/>
      <c r="AH612" s="407"/>
      <c r="AI612" s="407">
        <v>0</v>
      </c>
      <c r="AJ612" s="407">
        <v>0</v>
      </c>
      <c r="AK612" s="407">
        <v>0</v>
      </c>
      <c r="AL612" s="407">
        <v>0</v>
      </c>
      <c r="AM612" s="407"/>
      <c r="AN612" s="407">
        <v>0</v>
      </c>
      <c r="AO612" s="407">
        <v>0</v>
      </c>
      <c r="AP612" s="407">
        <v>0</v>
      </c>
      <c r="AQ612" s="407">
        <v>0</v>
      </c>
      <c r="AR612" s="407">
        <v>0</v>
      </c>
      <c r="AS612" s="407"/>
      <c r="AT612" s="407"/>
      <c r="AU612" s="407">
        <v>0</v>
      </c>
      <c r="AV612" s="407">
        <v>0</v>
      </c>
      <c r="AW612" s="407">
        <v>0</v>
      </c>
      <c r="AX612" s="407"/>
      <c r="AY612" s="407"/>
      <c r="AZ612" s="407">
        <v>0</v>
      </c>
      <c r="BA612" s="407"/>
      <c r="BB612" s="407">
        <v>0</v>
      </c>
      <c r="BC612" s="407">
        <v>0</v>
      </c>
      <c r="BD612" s="407">
        <v>0</v>
      </c>
      <c r="BE612" s="407">
        <v>0</v>
      </c>
      <c r="BF612" s="407"/>
      <c r="BG612" s="407">
        <v>0</v>
      </c>
      <c r="BH612" s="407">
        <v>0</v>
      </c>
      <c r="BI612" s="407">
        <v>7.49</v>
      </c>
      <c r="BJ612" s="407">
        <v>37.15</v>
      </c>
      <c r="BK612" s="407">
        <v>0</v>
      </c>
      <c r="BL612" s="407">
        <v>1</v>
      </c>
      <c r="BM612" s="407"/>
      <c r="BN612" s="407"/>
      <c r="BO612" s="407"/>
      <c r="BP612" s="407"/>
      <c r="BQ612" s="407"/>
      <c r="BR612" s="407"/>
      <c r="BS612" s="407"/>
      <c r="BT612" s="407"/>
      <c r="BU612" s="407"/>
      <c r="BV612" s="407">
        <v>0</v>
      </c>
      <c r="BW612" s="407"/>
      <c r="BX612" s="407"/>
      <c r="BY612" s="407"/>
      <c r="BZ612" s="407"/>
      <c r="CA612" s="407"/>
      <c r="CB612" s="407"/>
      <c r="CC612" s="407"/>
      <c r="CD612" s="407"/>
      <c r="CE612" s="407"/>
      <c r="CF612" s="407"/>
      <c r="CG612" s="407"/>
      <c r="CH612" s="407"/>
      <c r="CI612" s="407">
        <v>1507.0500000000002</v>
      </c>
      <c r="CJ612" s="407">
        <v>-441.02999999999975</v>
      </c>
      <c r="CK612" s="407"/>
      <c r="CL612" s="407"/>
      <c r="CM612" s="407"/>
      <c r="CN612" s="407"/>
      <c r="CO612" s="407">
        <v>-440.99999999999989</v>
      </c>
      <c r="CP612" s="407">
        <v>0</v>
      </c>
      <c r="CQ612" s="407">
        <v>30</v>
      </c>
      <c r="CR612" s="407">
        <v>10.064706534659763</v>
      </c>
      <c r="CS612" s="407">
        <v>0</v>
      </c>
      <c r="CT612" s="407">
        <v>0</v>
      </c>
      <c r="CU612" s="407">
        <v>0</v>
      </c>
      <c r="CV612" s="407">
        <v>0</v>
      </c>
      <c r="CW612" s="407"/>
      <c r="CX612" s="407"/>
      <c r="CY612" s="407"/>
      <c r="CZ612" s="407">
        <v>48.102714951201051</v>
      </c>
      <c r="DA612" s="407">
        <v>0</v>
      </c>
      <c r="DB612" s="407">
        <v>0</v>
      </c>
      <c r="DC612" s="407"/>
      <c r="DD612" s="407"/>
      <c r="DE612" s="407">
        <v>0</v>
      </c>
      <c r="DF612" s="407">
        <v>0</v>
      </c>
      <c r="DG612" s="407">
        <v>0</v>
      </c>
      <c r="DH612" s="407">
        <v>0</v>
      </c>
      <c r="DI612" s="407">
        <v>0</v>
      </c>
      <c r="DJ612" s="407"/>
      <c r="DK612" s="407">
        <v>0</v>
      </c>
      <c r="DL612" s="407">
        <v>0</v>
      </c>
      <c r="DM612" s="407"/>
      <c r="DN612" s="407">
        <v>0</v>
      </c>
      <c r="DO612" s="407">
        <v>0</v>
      </c>
      <c r="DP612" s="407">
        <v>0</v>
      </c>
      <c r="DQ612" s="407">
        <v>0</v>
      </c>
      <c r="DR612" s="407">
        <v>-38.03800841654121</v>
      </c>
      <c r="DS612" s="407"/>
      <c r="DT612" s="407"/>
      <c r="DU612" s="407">
        <v>883.31341969672201</v>
      </c>
      <c r="DV612" s="407"/>
      <c r="DW612" s="407">
        <v>0</v>
      </c>
      <c r="DX612" s="407">
        <v>0</v>
      </c>
      <c r="DY612" s="407">
        <v>-440.99999999999977</v>
      </c>
      <c r="DZ612" s="407"/>
      <c r="EA612" s="407">
        <v>0</v>
      </c>
      <c r="EB612" s="407"/>
      <c r="EC612" s="407">
        <v>-451.19854638546485</v>
      </c>
      <c r="ED612" s="407"/>
      <c r="EE612" s="407">
        <v>0</v>
      </c>
      <c r="EF612" s="407">
        <v>0</v>
      </c>
      <c r="EG612" s="407"/>
      <c r="EH612" s="407">
        <v>0</v>
      </c>
      <c r="EI612" s="407">
        <v>0</v>
      </c>
      <c r="EJ612" s="407">
        <v>0</v>
      </c>
      <c r="EK612" s="407">
        <v>0</v>
      </c>
      <c r="EL612" s="407">
        <v>0</v>
      </c>
      <c r="EM612" s="407"/>
      <c r="EN612" s="407"/>
      <c r="EO612" s="407">
        <v>0</v>
      </c>
      <c r="EP612" s="407">
        <v>0</v>
      </c>
      <c r="EQ612" s="407"/>
      <c r="ER612" s="407">
        <v>0</v>
      </c>
      <c r="ES612" s="407"/>
      <c r="ET612" s="407">
        <v>0</v>
      </c>
      <c r="EU612" s="407"/>
      <c r="EV612" s="407">
        <v>246</v>
      </c>
      <c r="EW612" s="407"/>
      <c r="EX612" s="407"/>
      <c r="EY612" s="407"/>
      <c r="EZ612" s="407"/>
      <c r="FA612" s="407">
        <v>0</v>
      </c>
      <c r="FB612" s="407"/>
      <c r="FC612" s="407"/>
      <c r="FD612" s="407"/>
      <c r="FE612" s="407"/>
      <c r="FF612" s="407">
        <v>0</v>
      </c>
      <c r="FG612" s="407">
        <v>0</v>
      </c>
      <c r="FH612" s="407">
        <v>0</v>
      </c>
      <c r="FI612" s="407">
        <v>0</v>
      </c>
    </row>
    <row r="613" spans="1:165">
      <c r="A613" s="407">
        <v>636</v>
      </c>
      <c r="B613" s="407" t="s">
        <v>1090</v>
      </c>
      <c r="C613" s="407" t="s">
        <v>2306</v>
      </c>
      <c r="D613" s="407" t="s">
        <v>2318</v>
      </c>
      <c r="E613" s="407" t="s">
        <v>2319</v>
      </c>
      <c r="F613" s="407" t="s">
        <v>2320</v>
      </c>
      <c r="G613" s="407" t="s">
        <v>97</v>
      </c>
      <c r="H613" s="407" t="s">
        <v>97</v>
      </c>
      <c r="I613" s="407" t="s">
        <v>97</v>
      </c>
      <c r="J613" s="407" t="s">
        <v>2307</v>
      </c>
      <c r="K613" s="818">
        <v>44652</v>
      </c>
      <c r="L613" s="407">
        <v>0</v>
      </c>
      <c r="M613" s="407">
        <v>0</v>
      </c>
      <c r="N613" s="407">
        <v>506.28399999999999</v>
      </c>
      <c r="O613" s="407">
        <v>506.28399999999999</v>
      </c>
      <c r="P613" s="407">
        <v>506.28399999999999</v>
      </c>
      <c r="Q613" s="407">
        <v>506.28399999999999</v>
      </c>
      <c r="R613" s="407"/>
      <c r="S613" s="407">
        <v>356.64</v>
      </c>
      <c r="T613" s="407">
        <v>87.68</v>
      </c>
      <c r="U613" s="407"/>
      <c r="V613" s="407">
        <v>224952.10688000001</v>
      </c>
      <c r="W613" s="407">
        <v>224952.10688000001</v>
      </c>
      <c r="X613" s="407">
        <v>170364.56599999999</v>
      </c>
      <c r="Y613" s="407">
        <v>0</v>
      </c>
      <c r="Z613" s="407">
        <v>17256.000503479278</v>
      </c>
      <c r="AA613" s="407">
        <v>0</v>
      </c>
      <c r="AB613" s="407">
        <v>0</v>
      </c>
      <c r="AC613" s="407">
        <v>0</v>
      </c>
      <c r="AD613" s="407">
        <v>32480.363674150471</v>
      </c>
      <c r="AE613" s="407">
        <v>116268.26991980428</v>
      </c>
      <c r="AF613" s="407">
        <v>42946.49929920875</v>
      </c>
      <c r="AG613" s="407">
        <v>1442.8896452848032</v>
      </c>
      <c r="AH613" s="407">
        <v>0</v>
      </c>
      <c r="AI613" s="407">
        <v>0</v>
      </c>
      <c r="AJ613" s="407">
        <v>0</v>
      </c>
      <c r="AK613" s="407">
        <v>0</v>
      </c>
      <c r="AL613" s="407">
        <v>2666.5119839573199</v>
      </c>
      <c r="AM613" s="407"/>
      <c r="AN613" s="407">
        <v>577.82324668417141</v>
      </c>
      <c r="AO613" s="407">
        <v>0</v>
      </c>
      <c r="AP613" s="407">
        <v>0</v>
      </c>
      <c r="AQ613" s="407">
        <v>0</v>
      </c>
      <c r="AR613" s="407">
        <v>0</v>
      </c>
      <c r="AS613" s="407">
        <v>0</v>
      </c>
      <c r="AT613" s="407">
        <v>0</v>
      </c>
      <c r="AU613" s="407">
        <v>0</v>
      </c>
      <c r="AV613" s="407">
        <v>0</v>
      </c>
      <c r="AW613" s="407">
        <v>0</v>
      </c>
      <c r="AX613" s="407">
        <v>0</v>
      </c>
      <c r="AY613" s="407">
        <v>0</v>
      </c>
      <c r="AZ613" s="407">
        <v>0</v>
      </c>
      <c r="BA613" s="407"/>
      <c r="BB613" s="407">
        <v>0</v>
      </c>
      <c r="BC613" s="407">
        <v>0</v>
      </c>
      <c r="BD613" s="407">
        <v>0</v>
      </c>
      <c r="BE613" s="407">
        <v>0</v>
      </c>
      <c r="BF613" s="407">
        <v>0</v>
      </c>
      <c r="BG613" s="407">
        <v>3139.2519604210825</v>
      </c>
      <c r="BH613" s="407">
        <v>0</v>
      </c>
      <c r="BI613" s="407">
        <v>421.12</v>
      </c>
      <c r="BJ613" s="407">
        <v>2086.08</v>
      </c>
      <c r="BK613" s="407">
        <v>52678.69</v>
      </c>
      <c r="BL613" s="407">
        <v>62</v>
      </c>
      <c r="BM613" s="407"/>
      <c r="BN613" s="407"/>
      <c r="BO613" s="407"/>
      <c r="BP613" s="407"/>
      <c r="BQ613" s="407"/>
      <c r="BR613" s="407"/>
      <c r="BS613" s="407"/>
      <c r="BT613" s="407"/>
      <c r="BU613" s="407"/>
      <c r="BV613" s="407">
        <v>46085.751259629833</v>
      </c>
      <c r="BW613" s="407"/>
      <c r="BX613" s="407"/>
      <c r="BY613" s="407"/>
      <c r="BZ613" s="407"/>
      <c r="CA613" s="407"/>
      <c r="CB613" s="407"/>
      <c r="CC613" s="407"/>
      <c r="CD613" s="407"/>
      <c r="CE613" s="407"/>
      <c r="CF613" s="407"/>
      <c r="CG613" s="407"/>
      <c r="CH613" s="407"/>
      <c r="CI613" s="407">
        <v>170363.22</v>
      </c>
      <c r="CJ613" s="407">
        <v>-54588.916880000033</v>
      </c>
      <c r="CK613" s="407"/>
      <c r="CL613" s="407"/>
      <c r="CM613" s="407"/>
      <c r="CN613" s="407"/>
      <c r="CO613" s="407">
        <v>-62232.429279999989</v>
      </c>
      <c r="CP613" s="407">
        <v>7644.8883999999971</v>
      </c>
      <c r="CQ613" s="407">
        <v>30</v>
      </c>
      <c r="CR613" s="407">
        <v>4804.4882913717593</v>
      </c>
      <c r="CS613" s="407">
        <v>0</v>
      </c>
      <c r="CT613" s="407">
        <v>0</v>
      </c>
      <c r="CU613" s="407">
        <v>0</v>
      </c>
      <c r="CV613" s="407">
        <v>0</v>
      </c>
      <c r="CW613" s="407">
        <v>0</v>
      </c>
      <c r="CX613" s="407">
        <v>0</v>
      </c>
      <c r="CY613" s="407">
        <v>0</v>
      </c>
      <c r="CZ613" s="407">
        <v>1467.2024295524207</v>
      </c>
      <c r="DA613" s="407">
        <v>0</v>
      </c>
      <c r="DB613" s="407">
        <v>0</v>
      </c>
      <c r="DC613" s="407">
        <v>8515.1310475108985</v>
      </c>
      <c r="DD613" s="407">
        <v>0</v>
      </c>
      <c r="DE613" s="407">
        <v>0</v>
      </c>
      <c r="DF613" s="407">
        <v>0</v>
      </c>
      <c r="DG613" s="407">
        <v>622.42888874142773</v>
      </c>
      <c r="DH613" s="407">
        <v>0</v>
      </c>
      <c r="DI613" s="407">
        <v>-1208.6443169803151</v>
      </c>
      <c r="DJ613" s="407"/>
      <c r="DK613" s="407">
        <v>0</v>
      </c>
      <c r="DL613" s="407">
        <v>0</v>
      </c>
      <c r="DM613" s="407">
        <v>0</v>
      </c>
      <c r="DN613" s="407">
        <v>0</v>
      </c>
      <c r="DO613" s="407">
        <v>-162.68756770218852</v>
      </c>
      <c r="DP613" s="407">
        <v>-36.817502296125895</v>
      </c>
      <c r="DQ613" s="407">
        <v>0</v>
      </c>
      <c r="DR613" s="407">
        <v>-4392.1246874543749</v>
      </c>
      <c r="DS613" s="407"/>
      <c r="DT613" s="407"/>
      <c r="DU613" s="407"/>
      <c r="DV613" s="407">
        <v>116268.26991980428</v>
      </c>
      <c r="DW613" s="407">
        <v>0</v>
      </c>
      <c r="DX613" s="407">
        <v>0</v>
      </c>
      <c r="DY613" s="407">
        <v>-62232.429279999997</v>
      </c>
      <c r="DZ613" s="407">
        <v>7644.8883999999962</v>
      </c>
      <c r="EA613" s="407">
        <v>0</v>
      </c>
      <c r="EB613" s="407">
        <v>0</v>
      </c>
      <c r="EC613" s="407">
        <v>-59390.102322434817</v>
      </c>
      <c r="ED613" s="407">
        <v>0</v>
      </c>
      <c r="EE613" s="407">
        <v>0</v>
      </c>
      <c r="EF613" s="407">
        <v>0</v>
      </c>
      <c r="EG613" s="407">
        <v>0</v>
      </c>
      <c r="EH613" s="407">
        <v>0</v>
      </c>
      <c r="EI613" s="407">
        <v>0</v>
      </c>
      <c r="EJ613" s="407">
        <v>0</v>
      </c>
      <c r="EK613" s="407">
        <v>0</v>
      </c>
      <c r="EL613" s="407">
        <v>0</v>
      </c>
      <c r="EM613" s="407">
        <v>0</v>
      </c>
      <c r="EN613" s="407">
        <v>0</v>
      </c>
      <c r="EO613" s="407">
        <v>0</v>
      </c>
      <c r="EP613" s="407">
        <v>8173.8589082485014</v>
      </c>
      <c r="EQ613" s="407">
        <v>0</v>
      </c>
      <c r="ER613" s="407">
        <v>0</v>
      </c>
      <c r="ES613" s="407">
        <v>0</v>
      </c>
      <c r="ET613" s="407">
        <v>0</v>
      </c>
      <c r="EU613" s="407">
        <v>0</v>
      </c>
      <c r="EV613" s="407">
        <v>246</v>
      </c>
      <c r="EW613" s="407">
        <v>0</v>
      </c>
      <c r="EX613" s="407">
        <v>0</v>
      </c>
      <c r="EY613" s="407">
        <v>0</v>
      </c>
      <c r="EZ613" s="407"/>
      <c r="FA613" s="407">
        <v>0</v>
      </c>
      <c r="FB613" s="407"/>
      <c r="FC613" s="407"/>
      <c r="FD613" s="407"/>
      <c r="FE613" s="407"/>
      <c r="FF613" s="407">
        <v>0</v>
      </c>
      <c r="FG613" s="407">
        <v>0</v>
      </c>
      <c r="FH613" s="407">
        <v>0</v>
      </c>
      <c r="FI613" s="407">
        <v>0</v>
      </c>
    </row>
    <row r="614" spans="1:165">
      <c r="A614" s="407">
        <v>637</v>
      </c>
      <c r="B614" s="407" t="s">
        <v>1090</v>
      </c>
      <c r="C614" s="407" t="s">
        <v>2306</v>
      </c>
      <c r="D614" s="407" t="s">
        <v>1219</v>
      </c>
      <c r="E614" s="407" t="s">
        <v>1052</v>
      </c>
      <c r="F614" s="407" t="s">
        <v>2321</v>
      </c>
      <c r="G614" s="407" t="s">
        <v>97</v>
      </c>
      <c r="H614" s="407" t="s">
        <v>97</v>
      </c>
      <c r="I614" s="407" t="s">
        <v>97</v>
      </c>
      <c r="J614" s="407" t="s">
        <v>2307</v>
      </c>
      <c r="K614" s="818">
        <v>44652</v>
      </c>
      <c r="L614" s="407">
        <v>0</v>
      </c>
      <c r="M614" s="407">
        <v>0</v>
      </c>
      <c r="N614" s="407">
        <v>51.499000000000002</v>
      </c>
      <c r="O614" s="407">
        <v>48.409059999999997</v>
      </c>
      <c r="P614" s="407">
        <v>51.499000000000002</v>
      </c>
      <c r="Q614" s="407">
        <v>48.409059999999997</v>
      </c>
      <c r="R614" s="407"/>
      <c r="S614" s="407">
        <v>648.44000000000005</v>
      </c>
      <c r="T614" s="407">
        <v>159.41</v>
      </c>
      <c r="U614" s="407"/>
      <c r="V614" s="407">
        <v>41603.467150000004</v>
      </c>
      <c r="W614" s="407">
        <v>41603.467150000004</v>
      </c>
      <c r="X614" s="407">
        <v>31508.118179999998</v>
      </c>
      <c r="Y614" s="407">
        <v>0</v>
      </c>
      <c r="Z614" s="407">
        <v>3191.4059371947155</v>
      </c>
      <c r="AA614" s="407">
        <v>0</v>
      </c>
      <c r="AB614" s="407">
        <v>0</v>
      </c>
      <c r="AC614" s="407">
        <v>0</v>
      </c>
      <c r="AD614" s="407">
        <v>6007.0713054874623</v>
      </c>
      <c r="AE614" s="407">
        <v>21503.200979543679</v>
      </c>
      <c r="AF614" s="407">
        <v>7942.7276800084001</v>
      </c>
      <c r="AG614" s="407">
        <v>266.85480101546347</v>
      </c>
      <c r="AH614" s="407">
        <v>0</v>
      </c>
      <c r="AI614" s="407">
        <v>0</v>
      </c>
      <c r="AJ614" s="407">
        <v>0</v>
      </c>
      <c r="AK614" s="407">
        <v>0</v>
      </c>
      <c r="AL614" s="407">
        <v>493.15727450786903</v>
      </c>
      <c r="AM614" s="407"/>
      <c r="AN614" s="407">
        <v>106.86535038899505</v>
      </c>
      <c r="AO614" s="407">
        <v>0</v>
      </c>
      <c r="AP614" s="407">
        <v>0</v>
      </c>
      <c r="AQ614" s="407">
        <v>0</v>
      </c>
      <c r="AR614" s="407">
        <v>0</v>
      </c>
      <c r="AS614" s="407">
        <v>0</v>
      </c>
      <c r="AT614" s="407">
        <v>0</v>
      </c>
      <c r="AU614" s="407">
        <v>0</v>
      </c>
      <c r="AV614" s="407">
        <v>0</v>
      </c>
      <c r="AW614" s="407">
        <v>0</v>
      </c>
      <c r="AX614" s="407">
        <v>0</v>
      </c>
      <c r="AY614" s="407">
        <v>0</v>
      </c>
      <c r="AZ614" s="407">
        <v>0</v>
      </c>
      <c r="BA614" s="407"/>
      <c r="BB614" s="407">
        <v>0</v>
      </c>
      <c r="BC614" s="407">
        <v>0</v>
      </c>
      <c r="BD614" s="407">
        <v>0</v>
      </c>
      <c r="BE614" s="407">
        <v>0</v>
      </c>
      <c r="BF614" s="407">
        <v>0</v>
      </c>
      <c r="BG614" s="407">
        <v>580.58803039661154</v>
      </c>
      <c r="BH614" s="407">
        <v>0</v>
      </c>
      <c r="BI614" s="407">
        <v>73.760000000000005</v>
      </c>
      <c r="BJ614" s="407">
        <v>365.52</v>
      </c>
      <c r="BK614" s="407">
        <v>12944.01</v>
      </c>
      <c r="BL614" s="407">
        <v>13</v>
      </c>
      <c r="BM614" s="407"/>
      <c r="BN614" s="407"/>
      <c r="BO614" s="407"/>
      <c r="BP614" s="407"/>
      <c r="BQ614" s="407">
        <v>1890.4870908000034</v>
      </c>
      <c r="BR614" s="407"/>
      <c r="BS614" s="407"/>
      <c r="BT614" s="407"/>
      <c r="BU614" s="407"/>
      <c r="BV614" s="407">
        <v>8523.3157104050115</v>
      </c>
      <c r="BW614" s="407"/>
      <c r="BX614" s="407"/>
      <c r="BY614" s="407"/>
      <c r="BZ614" s="407"/>
      <c r="CA614" s="407"/>
      <c r="CB614" s="407"/>
      <c r="CC614" s="407"/>
      <c r="CD614" s="407"/>
      <c r="CE614" s="407"/>
      <c r="CF614" s="407"/>
      <c r="CG614" s="407"/>
      <c r="CH614" s="407"/>
      <c r="CI614" s="407">
        <v>29618.206199999997</v>
      </c>
      <c r="CJ614" s="407">
        <v>-9489.0829210000047</v>
      </c>
      <c r="CK614" s="407"/>
      <c r="CL614" s="407"/>
      <c r="CM614" s="407"/>
      <c r="CN614" s="407"/>
      <c r="CO614" s="407">
        <v>-11510.026500000004</v>
      </c>
      <c r="CP614" s="407">
        <v>1414.6775299999999</v>
      </c>
      <c r="CQ614" s="407">
        <v>30</v>
      </c>
      <c r="CR614" s="407">
        <v>888.56467378839443</v>
      </c>
      <c r="CS614" s="407">
        <v>0</v>
      </c>
      <c r="CT614" s="407">
        <v>0</v>
      </c>
      <c r="CU614" s="407">
        <v>0</v>
      </c>
      <c r="CV614" s="407">
        <v>0</v>
      </c>
      <c r="CW614" s="407">
        <v>0</v>
      </c>
      <c r="CX614" s="407">
        <v>0</v>
      </c>
      <c r="CY614" s="407">
        <v>0</v>
      </c>
      <c r="CZ614" s="407">
        <v>271.35132175013041</v>
      </c>
      <c r="DA614" s="407">
        <v>0</v>
      </c>
      <c r="DB614" s="407">
        <v>0</v>
      </c>
      <c r="DC614" s="407">
        <v>1574.8284068222056</v>
      </c>
      <c r="DD614" s="407">
        <v>0</v>
      </c>
      <c r="DE614" s="407">
        <v>0</v>
      </c>
      <c r="DF614" s="407">
        <v>0</v>
      </c>
      <c r="DG614" s="407">
        <v>115.11492773834777</v>
      </c>
      <c r="DH614" s="407">
        <v>0</v>
      </c>
      <c r="DI614" s="407">
        <v>-223.53236767638145</v>
      </c>
      <c r="DJ614" s="407"/>
      <c r="DK614" s="407">
        <v>0</v>
      </c>
      <c r="DL614" s="407">
        <v>0</v>
      </c>
      <c r="DM614" s="407">
        <v>0</v>
      </c>
      <c r="DN614" s="407">
        <v>0</v>
      </c>
      <c r="DO614" s="407">
        <v>-30.08820435348548</v>
      </c>
      <c r="DP614" s="407">
        <v>-6.809202132141337</v>
      </c>
      <c r="DQ614" s="407">
        <v>0</v>
      </c>
      <c r="DR614" s="407">
        <v>-812.30020836028461</v>
      </c>
      <c r="DS614" s="407"/>
      <c r="DT614" s="407"/>
      <c r="DU614" s="407"/>
      <c r="DV614" s="407">
        <v>21503.200979543679</v>
      </c>
      <c r="DW614" s="407">
        <v>0</v>
      </c>
      <c r="DX614" s="407">
        <v>0</v>
      </c>
      <c r="DY614" s="407">
        <v>-11510.026500000007</v>
      </c>
      <c r="DZ614" s="407">
        <v>1414.6775300000008</v>
      </c>
      <c r="EA614" s="407">
        <v>0</v>
      </c>
      <c r="EB614" s="407">
        <v>0</v>
      </c>
      <c r="EC614" s="407">
        <v>-10983.885004187716</v>
      </c>
      <c r="ED614" s="407">
        <v>0</v>
      </c>
      <c r="EE614" s="407">
        <v>0</v>
      </c>
      <c r="EF614" s="407">
        <v>0</v>
      </c>
      <c r="EG614" s="407">
        <v>0</v>
      </c>
      <c r="EH614" s="407">
        <v>0</v>
      </c>
      <c r="EI614" s="407">
        <v>0</v>
      </c>
      <c r="EJ614" s="407">
        <v>0</v>
      </c>
      <c r="EK614" s="407">
        <v>0</v>
      </c>
      <c r="EL614" s="407">
        <v>0</v>
      </c>
      <c r="EM614" s="407">
        <v>0</v>
      </c>
      <c r="EN614" s="407">
        <v>0</v>
      </c>
      <c r="EO614" s="407">
        <v>0</v>
      </c>
      <c r="EP614" s="407">
        <v>1511.711931412879</v>
      </c>
      <c r="EQ614" s="407">
        <v>0</v>
      </c>
      <c r="ER614" s="407">
        <v>0</v>
      </c>
      <c r="ES614" s="407">
        <v>0</v>
      </c>
      <c r="ET614" s="407">
        <v>0</v>
      </c>
      <c r="EU614" s="407">
        <v>0</v>
      </c>
      <c r="EV614" s="407">
        <v>246</v>
      </c>
      <c r="EW614" s="407">
        <v>0</v>
      </c>
      <c r="EX614" s="407">
        <v>0</v>
      </c>
      <c r="EY614" s="407">
        <v>0</v>
      </c>
      <c r="EZ614" s="407"/>
      <c r="FA614" s="407">
        <v>0</v>
      </c>
      <c r="FB614" s="407"/>
      <c r="FC614" s="407"/>
      <c r="FD614" s="407"/>
      <c r="FE614" s="407"/>
      <c r="FF614" s="407">
        <v>0</v>
      </c>
      <c r="FG614" s="407">
        <v>0</v>
      </c>
      <c r="FH614" s="407">
        <v>0</v>
      </c>
      <c r="FI614" s="407">
        <v>0</v>
      </c>
    </row>
    <row r="615" spans="1:165">
      <c r="A615" s="407">
        <v>638</v>
      </c>
      <c r="B615" s="407" t="s">
        <v>1090</v>
      </c>
      <c r="C615" s="407" t="s">
        <v>2317</v>
      </c>
      <c r="D615" s="407" t="s">
        <v>650</v>
      </c>
      <c r="E615" s="407" t="s">
        <v>1052</v>
      </c>
      <c r="F615" s="407" t="s">
        <v>2321</v>
      </c>
      <c r="G615" s="407" t="s">
        <v>97</v>
      </c>
      <c r="H615" s="407" t="s">
        <v>97</v>
      </c>
      <c r="I615" s="407" t="s">
        <v>1025</v>
      </c>
      <c r="J615" s="407" t="s">
        <v>2307</v>
      </c>
      <c r="K615" s="818">
        <v>44652</v>
      </c>
      <c r="L615" s="407">
        <v>708</v>
      </c>
      <c r="M615" s="407">
        <v>665.52</v>
      </c>
      <c r="N615" s="407">
        <v>33.828000000000003</v>
      </c>
      <c r="O615" s="407">
        <v>31.79832</v>
      </c>
      <c r="P615" s="407">
        <v>33.828000000000003</v>
      </c>
      <c r="Q615" s="407">
        <v>31.79832</v>
      </c>
      <c r="R615" s="407">
        <v>112.91</v>
      </c>
      <c r="S615" s="407">
        <v>95.29</v>
      </c>
      <c r="T615" s="407">
        <v>159.41</v>
      </c>
      <c r="U615" s="407">
        <v>79940.28</v>
      </c>
      <c r="V615" s="407">
        <v>8615.9916000000012</v>
      </c>
      <c r="W615" s="407">
        <v>88556.271599999993</v>
      </c>
      <c r="X615" s="407">
        <v>56902.431479999999</v>
      </c>
      <c r="Y615" s="407">
        <v>0</v>
      </c>
      <c r="Z615" s="407">
        <v>1823.8067853313232</v>
      </c>
      <c r="AA615" s="407">
        <v>0</v>
      </c>
      <c r="AB615" s="407">
        <v>0</v>
      </c>
      <c r="AC615" s="407">
        <v>0</v>
      </c>
      <c r="AD615" s="407">
        <v>17972.872804850485</v>
      </c>
      <c r="AE615" s="407">
        <v>61965.112641339554</v>
      </c>
      <c r="AF615" s="407">
        <v>5217.3166849710515</v>
      </c>
      <c r="AG615" s="407">
        <v>175.28814557080912</v>
      </c>
      <c r="AH615" s="407">
        <v>0</v>
      </c>
      <c r="AI615" s="407">
        <v>0</v>
      </c>
      <c r="AJ615" s="407">
        <v>0</v>
      </c>
      <c r="AK615" s="407">
        <v>0</v>
      </c>
      <c r="AL615" s="407">
        <v>323.93880040490484</v>
      </c>
      <c r="AM615" s="407"/>
      <c r="AN615" s="407">
        <v>36.322252907554791</v>
      </c>
      <c r="AO615" s="407">
        <v>0</v>
      </c>
      <c r="AP615" s="407">
        <v>0</v>
      </c>
      <c r="AQ615" s="407">
        <v>0</v>
      </c>
      <c r="AR615" s="407">
        <v>0</v>
      </c>
      <c r="AS615" s="407">
        <v>0</v>
      </c>
      <c r="AT615" s="407">
        <v>0</v>
      </c>
      <c r="AU615" s="407">
        <v>0</v>
      </c>
      <c r="AV615" s="407">
        <v>0</v>
      </c>
      <c r="AW615" s="407">
        <v>0</v>
      </c>
      <c r="AX615" s="407">
        <v>0</v>
      </c>
      <c r="AY615" s="407">
        <v>0</v>
      </c>
      <c r="AZ615" s="407">
        <v>0</v>
      </c>
      <c r="BA615" s="407"/>
      <c r="BB615" s="407">
        <v>0</v>
      </c>
      <c r="BC615" s="407">
        <v>0</v>
      </c>
      <c r="BD615" s="407">
        <v>0</v>
      </c>
      <c r="BE615" s="407">
        <v>0</v>
      </c>
      <c r="BF615" s="407">
        <v>0</v>
      </c>
      <c r="BG615" s="407">
        <v>175.56306981421659</v>
      </c>
      <c r="BH615" s="407">
        <v>0</v>
      </c>
      <c r="BI615" s="407">
        <v>0</v>
      </c>
      <c r="BJ615" s="407">
        <v>0</v>
      </c>
      <c r="BK615" s="407">
        <v>0</v>
      </c>
      <c r="BL615" s="407">
        <v>0</v>
      </c>
      <c r="BM615" s="407"/>
      <c r="BN615" s="407"/>
      <c r="BO615" s="407"/>
      <c r="BP615" s="407"/>
      <c r="BQ615" s="407">
        <v>3414.145888800002</v>
      </c>
      <c r="BR615" s="407"/>
      <c r="BS615" s="407"/>
      <c r="BT615" s="407"/>
      <c r="BU615" s="407"/>
      <c r="BV615" s="407">
        <v>5392.8797547852682</v>
      </c>
      <c r="BW615" s="407"/>
      <c r="BX615" s="407"/>
      <c r="BY615" s="407"/>
      <c r="BZ615" s="407"/>
      <c r="CA615" s="407"/>
      <c r="CB615" s="407"/>
      <c r="CC615" s="407"/>
      <c r="CD615" s="407"/>
      <c r="CE615" s="407"/>
      <c r="CF615" s="407"/>
      <c r="CG615" s="407"/>
      <c r="CH615" s="407"/>
      <c r="CI615" s="407">
        <v>53488.750799999994</v>
      </c>
      <c r="CJ615" s="407">
        <v>-29754.174503999981</v>
      </c>
      <c r="CK615" s="407"/>
      <c r="CL615" s="407"/>
      <c r="CM615" s="407"/>
      <c r="CN615" s="407"/>
      <c r="CO615" s="407">
        <v>-32583.095279999998</v>
      </c>
      <c r="CP615" s="407">
        <v>929.25516000000005</v>
      </c>
      <c r="CQ615" s="407">
        <v>30</v>
      </c>
      <c r="CR615" s="407">
        <v>2.3128365140037204</v>
      </c>
      <c r="CS615" s="407">
        <v>0</v>
      </c>
      <c r="CT615" s="407">
        <v>0</v>
      </c>
      <c r="CU615" s="407">
        <v>0</v>
      </c>
      <c r="CV615" s="407">
        <v>0</v>
      </c>
      <c r="CW615" s="407">
        <v>0</v>
      </c>
      <c r="CX615" s="407">
        <v>0</v>
      </c>
      <c r="CY615" s="407">
        <v>0</v>
      </c>
      <c r="CZ615" s="407">
        <v>811.87030138765112</v>
      </c>
      <c r="DA615" s="407">
        <v>0</v>
      </c>
      <c r="DB615" s="407">
        <v>0</v>
      </c>
      <c r="DC615" s="407">
        <v>1034.4530058055798</v>
      </c>
      <c r="DD615" s="407">
        <v>0</v>
      </c>
      <c r="DE615" s="407">
        <v>0</v>
      </c>
      <c r="DF615" s="407">
        <v>0</v>
      </c>
      <c r="DG615" s="407">
        <v>34.809415690812983</v>
      </c>
      <c r="DH615" s="407">
        <v>0</v>
      </c>
      <c r="DI615" s="407">
        <v>-127.74302515327122</v>
      </c>
      <c r="DJ615" s="407"/>
      <c r="DK615" s="407">
        <v>0</v>
      </c>
      <c r="DL615" s="407">
        <v>0</v>
      </c>
      <c r="DM615" s="407">
        <v>0</v>
      </c>
      <c r="DN615" s="407">
        <v>0</v>
      </c>
      <c r="DO615" s="407">
        <v>-19.763952248969986</v>
      </c>
      <c r="DP615" s="407">
        <v>-2.3143662659786912</v>
      </c>
      <c r="DQ615" s="407">
        <v>0</v>
      </c>
      <c r="DR615" s="407">
        <v>-1728.9985427018178</v>
      </c>
      <c r="DS615" s="407"/>
      <c r="DT615" s="407"/>
      <c r="DU615" s="407">
        <v>61965.112641339554</v>
      </c>
      <c r="DV615" s="407">
        <v>0</v>
      </c>
      <c r="DW615" s="407">
        <v>0</v>
      </c>
      <c r="DX615" s="407">
        <v>0</v>
      </c>
      <c r="DY615" s="407">
        <v>-32583.095279999994</v>
      </c>
      <c r="DZ615" s="407">
        <v>929.25515999999971</v>
      </c>
      <c r="EA615" s="407">
        <v>0</v>
      </c>
      <c r="EB615" s="407">
        <v>0</v>
      </c>
      <c r="EC615" s="407">
        <v>-31651.923458814021</v>
      </c>
      <c r="ED615" s="407">
        <v>0</v>
      </c>
      <c r="EE615" s="407">
        <v>0</v>
      </c>
      <c r="EF615" s="407">
        <v>0</v>
      </c>
      <c r="EG615" s="407">
        <v>0</v>
      </c>
      <c r="EH615" s="407">
        <v>0</v>
      </c>
      <c r="EI615" s="407">
        <v>0</v>
      </c>
      <c r="EJ615" s="407">
        <v>0</v>
      </c>
      <c r="EK615" s="407">
        <v>0</v>
      </c>
      <c r="EL615" s="407">
        <v>0</v>
      </c>
      <c r="EM615" s="407">
        <v>0</v>
      </c>
      <c r="EN615" s="407">
        <v>0</v>
      </c>
      <c r="EO615" s="407">
        <v>0</v>
      </c>
      <c r="EP615" s="407">
        <v>863.90466529012826</v>
      </c>
      <c r="EQ615" s="407">
        <v>0</v>
      </c>
      <c r="ER615" s="407">
        <v>0</v>
      </c>
      <c r="ES615" s="407">
        <v>0</v>
      </c>
      <c r="ET615" s="407">
        <v>0</v>
      </c>
      <c r="EU615" s="407">
        <v>0</v>
      </c>
      <c r="EV615" s="407">
        <v>246</v>
      </c>
      <c r="EW615" s="407">
        <v>0</v>
      </c>
      <c r="EX615" s="407">
        <v>0</v>
      </c>
      <c r="EY615" s="407">
        <v>0</v>
      </c>
      <c r="EZ615" s="407"/>
      <c r="FA615" s="407">
        <v>0</v>
      </c>
      <c r="FB615" s="407"/>
      <c r="FC615" s="407"/>
      <c r="FD615" s="407"/>
      <c r="FE615" s="407"/>
      <c r="FF615" s="407">
        <v>0</v>
      </c>
      <c r="FG615" s="407">
        <v>0</v>
      </c>
      <c r="FH615" s="407">
        <v>0</v>
      </c>
      <c r="FI615" s="407">
        <v>0</v>
      </c>
    </row>
    <row r="616" spans="1:165">
      <c r="A616" s="407">
        <v>639</v>
      </c>
      <c r="B616" s="407" t="s">
        <v>1090</v>
      </c>
      <c r="C616" s="407" t="s">
        <v>2317</v>
      </c>
      <c r="D616" s="407" t="s">
        <v>650</v>
      </c>
      <c r="E616" s="407" t="s">
        <v>1052</v>
      </c>
      <c r="F616" s="407" t="s">
        <v>2321</v>
      </c>
      <c r="G616" s="407" t="s">
        <v>97</v>
      </c>
      <c r="H616" s="407" t="s">
        <v>97</v>
      </c>
      <c r="I616" s="407" t="s">
        <v>2290</v>
      </c>
      <c r="J616" s="407" t="s">
        <v>2307</v>
      </c>
      <c r="K616" s="818">
        <v>44652</v>
      </c>
      <c r="L616" s="407">
        <v>718</v>
      </c>
      <c r="M616" s="407">
        <v>674.92</v>
      </c>
      <c r="N616" s="407">
        <v>359.19400000000002</v>
      </c>
      <c r="O616" s="407">
        <v>337.64236</v>
      </c>
      <c r="P616" s="407">
        <v>359.19400000000002</v>
      </c>
      <c r="Q616" s="407">
        <v>337.64236</v>
      </c>
      <c r="R616" s="407">
        <v>43.29</v>
      </c>
      <c r="S616" s="407">
        <v>95.29</v>
      </c>
      <c r="T616" s="407">
        <v>159.41</v>
      </c>
      <c r="U616" s="407">
        <v>31082.22</v>
      </c>
      <c r="V616" s="407">
        <v>91486.711800000005</v>
      </c>
      <c r="W616" s="407">
        <v>122568.93180000001</v>
      </c>
      <c r="X616" s="407">
        <v>123510.23053999999</v>
      </c>
      <c r="Y616" s="407">
        <v>0</v>
      </c>
      <c r="Z616" s="407">
        <v>19365.627718171316</v>
      </c>
      <c r="AA616" s="407">
        <v>0</v>
      </c>
      <c r="AB616" s="407">
        <v>0</v>
      </c>
      <c r="AC616" s="407">
        <v>0</v>
      </c>
      <c r="AD616" s="407">
        <v>16990.742779758486</v>
      </c>
      <c r="AE616" s="407">
        <v>14093.756340938808</v>
      </c>
      <c r="AF616" s="407">
        <v>55398.74805904847</v>
      </c>
      <c r="AG616" s="407">
        <v>1861.2525174459386</v>
      </c>
      <c r="AH616" s="407">
        <v>0</v>
      </c>
      <c r="AI616" s="407">
        <v>0</v>
      </c>
      <c r="AJ616" s="407">
        <v>0</v>
      </c>
      <c r="AK616" s="407">
        <v>0</v>
      </c>
      <c r="AL616" s="407">
        <v>3439.6616256544689</v>
      </c>
      <c r="AM616" s="407"/>
      <c r="AN616" s="407">
        <v>385.67858906456883</v>
      </c>
      <c r="AO616" s="407">
        <v>0</v>
      </c>
      <c r="AP616" s="407">
        <v>0</v>
      </c>
      <c r="AQ616" s="407">
        <v>0</v>
      </c>
      <c r="AR616" s="407">
        <v>0</v>
      </c>
      <c r="AS616" s="407">
        <v>0</v>
      </c>
      <c r="AT616" s="407">
        <v>0</v>
      </c>
      <c r="AU616" s="407">
        <v>0</v>
      </c>
      <c r="AV616" s="407">
        <v>0</v>
      </c>
      <c r="AW616" s="407">
        <v>0</v>
      </c>
      <c r="AX616" s="407">
        <v>0</v>
      </c>
      <c r="AY616" s="407">
        <v>0</v>
      </c>
      <c r="AZ616" s="407">
        <v>0</v>
      </c>
      <c r="BA616" s="407"/>
      <c r="BB616" s="407">
        <v>0</v>
      </c>
      <c r="BC616" s="407">
        <v>0</v>
      </c>
      <c r="BD616" s="407">
        <v>0</v>
      </c>
      <c r="BE616" s="407">
        <v>0</v>
      </c>
      <c r="BF616" s="407">
        <v>0</v>
      </c>
      <c r="BG616" s="407">
        <v>1864.1717304850335</v>
      </c>
      <c r="BH616" s="407">
        <v>0</v>
      </c>
      <c r="BI616" s="407">
        <v>0</v>
      </c>
      <c r="BJ616" s="407">
        <v>0</v>
      </c>
      <c r="BK616" s="407">
        <v>0</v>
      </c>
      <c r="BL616" s="407">
        <v>0</v>
      </c>
      <c r="BM616" s="407"/>
      <c r="BN616" s="407"/>
      <c r="BO616" s="407"/>
      <c r="BP616" s="407"/>
      <c r="BQ616" s="407">
        <v>7410.6138324000067</v>
      </c>
      <c r="BR616" s="407"/>
      <c r="BS616" s="407"/>
      <c r="BT616" s="407"/>
      <c r="BU616" s="407"/>
      <c r="BV616" s="407">
        <v>57262.919789533502</v>
      </c>
      <c r="BW616" s="407"/>
      <c r="BX616" s="407"/>
      <c r="BY616" s="407"/>
      <c r="BZ616" s="407"/>
      <c r="CA616" s="407"/>
      <c r="CB616" s="407"/>
      <c r="CC616" s="407"/>
      <c r="CD616" s="407"/>
      <c r="CE616" s="407"/>
      <c r="CF616" s="407"/>
      <c r="CG616" s="407"/>
      <c r="CH616" s="407"/>
      <c r="CI616" s="407">
        <v>116098.9632</v>
      </c>
      <c r="CJ616" s="407">
        <v>884.13730800000485</v>
      </c>
      <c r="CK616" s="407"/>
      <c r="CL616" s="407"/>
      <c r="CM616" s="407"/>
      <c r="CN616" s="407"/>
      <c r="CO616" s="407">
        <v>-8925.76044</v>
      </c>
      <c r="CP616" s="407">
        <v>9867.0591800000002</v>
      </c>
      <c r="CQ616" s="407">
        <v>30</v>
      </c>
      <c r="CR616" s="407">
        <v>8137.1513873112126</v>
      </c>
      <c r="CS616" s="407">
        <v>0</v>
      </c>
      <c r="CT616" s="407">
        <v>0</v>
      </c>
      <c r="CU616" s="407">
        <v>0</v>
      </c>
      <c r="CV616" s="407">
        <v>0</v>
      </c>
      <c r="CW616" s="407">
        <v>0</v>
      </c>
      <c r="CX616" s="407">
        <v>0</v>
      </c>
      <c r="CY616" s="407">
        <v>0</v>
      </c>
      <c r="CZ616" s="407">
        <v>767.5055407769396</v>
      </c>
      <c r="DA616" s="407">
        <v>0</v>
      </c>
      <c r="DB616" s="407">
        <v>0</v>
      </c>
      <c r="DC616" s="407">
        <v>10984.075705549527</v>
      </c>
      <c r="DD616" s="407">
        <v>0</v>
      </c>
      <c r="DE616" s="407">
        <v>0</v>
      </c>
      <c r="DF616" s="407">
        <v>0</v>
      </c>
      <c r="DG616" s="407">
        <v>369.61491248805351</v>
      </c>
      <c r="DH616" s="407">
        <v>0</v>
      </c>
      <c r="DI616" s="407">
        <v>-1356.4067688572795</v>
      </c>
      <c r="DJ616" s="407"/>
      <c r="DK616" s="407">
        <v>0</v>
      </c>
      <c r="DL616" s="407">
        <v>0</v>
      </c>
      <c r="DM616" s="407">
        <v>0</v>
      </c>
      <c r="DN616" s="407">
        <v>0</v>
      </c>
      <c r="DO616" s="407">
        <v>-209.8584919036457</v>
      </c>
      <c r="DP616" s="407">
        <v>-24.574508588800654</v>
      </c>
      <c r="DQ616" s="407">
        <v>0</v>
      </c>
      <c r="DR616" s="407">
        <v>-2393.2050021535956</v>
      </c>
      <c r="DS616" s="407"/>
      <c r="DT616" s="407"/>
      <c r="DU616" s="407">
        <v>14093.756340938808</v>
      </c>
      <c r="DV616" s="407">
        <v>0</v>
      </c>
      <c r="DW616" s="407">
        <v>0</v>
      </c>
      <c r="DX616" s="407">
        <v>0</v>
      </c>
      <c r="DY616" s="407">
        <v>-8925.7604400000055</v>
      </c>
      <c r="DZ616" s="407">
        <v>9867.0591799999966</v>
      </c>
      <c r="EA616" s="407">
        <v>0</v>
      </c>
      <c r="EB616" s="407">
        <v>0</v>
      </c>
      <c r="EC616" s="407">
        <v>-7199.1234734391937</v>
      </c>
      <c r="ED616" s="407">
        <v>0</v>
      </c>
      <c r="EE616" s="407">
        <v>0</v>
      </c>
      <c r="EF616" s="407">
        <v>0</v>
      </c>
      <c r="EG616" s="407">
        <v>0</v>
      </c>
      <c r="EH616" s="407">
        <v>0</v>
      </c>
      <c r="EI616" s="407">
        <v>0</v>
      </c>
      <c r="EJ616" s="407">
        <v>0</v>
      </c>
      <c r="EK616" s="407">
        <v>0</v>
      </c>
      <c r="EL616" s="407">
        <v>0</v>
      </c>
      <c r="EM616" s="407">
        <v>0</v>
      </c>
      <c r="EN616" s="407">
        <v>0</v>
      </c>
      <c r="EO616" s="407">
        <v>0</v>
      </c>
      <c r="EP616" s="407">
        <v>9173.1516005741505</v>
      </c>
      <c r="EQ616" s="407">
        <v>0</v>
      </c>
      <c r="ER616" s="407">
        <v>0</v>
      </c>
      <c r="ES616" s="407">
        <v>0</v>
      </c>
      <c r="ET616" s="407">
        <v>0</v>
      </c>
      <c r="EU616" s="407">
        <v>0</v>
      </c>
      <c r="EV616" s="407">
        <v>246</v>
      </c>
      <c r="EW616" s="407">
        <v>0</v>
      </c>
      <c r="EX616" s="407">
        <v>0</v>
      </c>
      <c r="EY616" s="407">
        <v>0</v>
      </c>
      <c r="EZ616" s="407"/>
      <c r="FA616" s="407">
        <v>0</v>
      </c>
      <c r="FB616" s="407"/>
      <c r="FC616" s="407"/>
      <c r="FD616" s="407"/>
      <c r="FE616" s="407"/>
      <c r="FF616" s="407">
        <v>0</v>
      </c>
      <c r="FG616" s="407">
        <v>0</v>
      </c>
      <c r="FH616" s="407">
        <v>0</v>
      </c>
      <c r="FI616" s="407">
        <v>0</v>
      </c>
    </row>
    <row r="617" spans="1:165">
      <c r="A617" s="407">
        <v>640</v>
      </c>
      <c r="B617" s="407" t="s">
        <v>1090</v>
      </c>
      <c r="C617" s="407" t="s">
        <v>2317</v>
      </c>
      <c r="D617" s="407" t="s">
        <v>650</v>
      </c>
      <c r="E617" s="407" t="s">
        <v>1052</v>
      </c>
      <c r="F617" s="407" t="s">
        <v>2321</v>
      </c>
      <c r="G617" s="407" t="s">
        <v>97</v>
      </c>
      <c r="H617" s="407" t="s">
        <v>97</v>
      </c>
      <c r="I617" s="407" t="s">
        <v>97</v>
      </c>
      <c r="J617" s="407" t="s">
        <v>2307</v>
      </c>
      <c r="K617" s="818">
        <v>44652</v>
      </c>
      <c r="L617" s="407">
        <v>0</v>
      </c>
      <c r="M617" s="407">
        <v>0</v>
      </c>
      <c r="N617" s="407">
        <v>0</v>
      </c>
      <c r="O617" s="407">
        <v>0</v>
      </c>
      <c r="P617" s="407">
        <v>0</v>
      </c>
      <c r="Q617" s="407">
        <v>0</v>
      </c>
      <c r="R617" s="407"/>
      <c r="S617" s="407"/>
      <c r="T617" s="407"/>
      <c r="U617" s="407"/>
      <c r="V617" s="407"/>
      <c r="W617" s="407"/>
      <c r="X617" s="407"/>
      <c r="Y617" s="407"/>
      <c r="Z617" s="407"/>
      <c r="AA617" s="407">
        <v>0</v>
      </c>
      <c r="AB617" s="407"/>
      <c r="AC617" s="407"/>
      <c r="AD617" s="407"/>
      <c r="AE617" s="407"/>
      <c r="AF617" s="407"/>
      <c r="AG617" s="407"/>
      <c r="AH617" s="407"/>
      <c r="AI617" s="407"/>
      <c r="AJ617" s="407"/>
      <c r="AK617" s="407"/>
      <c r="AL617" s="407"/>
      <c r="AM617" s="407"/>
      <c r="AN617" s="407"/>
      <c r="AO617" s="407"/>
      <c r="AP617" s="407"/>
      <c r="AQ617" s="407"/>
      <c r="AR617" s="407"/>
      <c r="AS617" s="407"/>
      <c r="AT617" s="407"/>
      <c r="AU617" s="407"/>
      <c r="AV617" s="407"/>
      <c r="AW617" s="407"/>
      <c r="AX617" s="407"/>
      <c r="AY617" s="407"/>
      <c r="AZ617" s="407">
        <v>0</v>
      </c>
      <c r="BA617" s="407"/>
      <c r="BB617" s="407"/>
      <c r="BC617" s="407"/>
      <c r="BD617" s="407"/>
      <c r="BE617" s="407"/>
      <c r="BF617" s="407"/>
      <c r="BG617" s="407"/>
      <c r="BH617" s="407"/>
      <c r="BI617" s="407">
        <v>399.73</v>
      </c>
      <c r="BJ617" s="407">
        <v>1978.73</v>
      </c>
      <c r="BK617" s="407">
        <v>67887.759999999995</v>
      </c>
      <c r="BL617" s="407">
        <v>3</v>
      </c>
      <c r="BM617" s="407"/>
      <c r="BN617" s="407"/>
      <c r="BO617" s="407"/>
      <c r="BP617" s="407"/>
      <c r="BQ617" s="407"/>
      <c r="BR617" s="407"/>
      <c r="BS617" s="407"/>
      <c r="BT617" s="407"/>
      <c r="BU617" s="407"/>
      <c r="BV617" s="407"/>
      <c r="BW617" s="407"/>
      <c r="BX617" s="407"/>
      <c r="BY617" s="407"/>
      <c r="BZ617" s="407"/>
      <c r="CA617" s="407"/>
      <c r="CB617" s="407"/>
      <c r="CC617" s="407"/>
      <c r="CD617" s="407"/>
      <c r="CE617" s="407"/>
      <c r="CF617" s="407"/>
      <c r="CG617" s="407"/>
      <c r="CH617" s="407"/>
      <c r="CI617" s="407"/>
      <c r="CJ617" s="407">
        <v>-0.03</v>
      </c>
      <c r="CK617" s="407"/>
      <c r="CL617" s="407"/>
      <c r="CM617" s="407"/>
      <c r="CN617" s="407"/>
      <c r="CO617" s="407">
        <v>0</v>
      </c>
      <c r="CP617" s="407">
        <v>0</v>
      </c>
      <c r="CQ617" s="407">
        <v>30</v>
      </c>
      <c r="CR617" s="407"/>
      <c r="CS617" s="407"/>
      <c r="CT617" s="407"/>
      <c r="CU617" s="407"/>
      <c r="CV617" s="407"/>
      <c r="CW617" s="407"/>
      <c r="CX617" s="407"/>
      <c r="CY617" s="407"/>
      <c r="CZ617" s="407"/>
      <c r="DA617" s="407"/>
      <c r="DB617" s="407"/>
      <c r="DC617" s="407"/>
      <c r="DD617" s="407"/>
      <c r="DE617" s="407"/>
      <c r="DF617" s="407"/>
      <c r="DG617" s="407"/>
      <c r="DH617" s="407"/>
      <c r="DI617" s="407"/>
      <c r="DJ617" s="407"/>
      <c r="DK617" s="407">
        <v>0</v>
      </c>
      <c r="DL617" s="407"/>
      <c r="DM617" s="407"/>
      <c r="DN617" s="407"/>
      <c r="DO617" s="407"/>
      <c r="DP617" s="407"/>
      <c r="DQ617" s="407"/>
      <c r="DR617" s="407"/>
      <c r="DS617" s="407"/>
      <c r="DT617" s="407"/>
      <c r="DU617" s="407"/>
      <c r="DV617" s="407"/>
      <c r="DW617" s="407"/>
      <c r="DX617" s="407"/>
      <c r="DY617" s="407"/>
      <c r="DZ617" s="407"/>
      <c r="EA617" s="407"/>
      <c r="EB617" s="407"/>
      <c r="EC617" s="407"/>
      <c r="ED617" s="407"/>
      <c r="EE617" s="407"/>
      <c r="EF617" s="407"/>
      <c r="EG617" s="407"/>
      <c r="EH617" s="407"/>
      <c r="EI617" s="407"/>
      <c r="EJ617" s="407"/>
      <c r="EK617" s="407"/>
      <c r="EL617" s="407"/>
      <c r="EM617" s="407"/>
      <c r="EN617" s="407"/>
      <c r="EO617" s="407"/>
      <c r="EP617" s="407"/>
      <c r="EQ617" s="407"/>
      <c r="ER617" s="407"/>
      <c r="ES617" s="407"/>
      <c r="ET617" s="407"/>
      <c r="EU617" s="407"/>
      <c r="EV617" s="407">
        <v>246</v>
      </c>
      <c r="EW617" s="407"/>
      <c r="EX617" s="407"/>
      <c r="EY617" s="407"/>
      <c r="EZ617" s="407"/>
      <c r="FA617" s="407">
        <v>0</v>
      </c>
      <c r="FB617" s="407"/>
      <c r="FC617" s="407"/>
      <c r="FD617" s="407"/>
      <c r="FE617" s="407"/>
      <c r="FF617" s="407">
        <v>0</v>
      </c>
      <c r="FG617" s="407">
        <v>0</v>
      </c>
      <c r="FH617" s="407">
        <v>0</v>
      </c>
      <c r="FI617" s="407">
        <v>0</v>
      </c>
    </row>
    <row r="618" spans="1:165">
      <c r="A618" s="407">
        <v>641</v>
      </c>
      <c r="B618" s="407" t="s">
        <v>1090</v>
      </c>
      <c r="C618" s="407" t="s">
        <v>2306</v>
      </c>
      <c r="D618" s="407" t="s">
        <v>1219</v>
      </c>
      <c r="E618" s="407" t="s">
        <v>2322</v>
      </c>
      <c r="F618" s="407" t="s">
        <v>97</v>
      </c>
      <c r="G618" s="407" t="s">
        <v>97</v>
      </c>
      <c r="H618" s="407" t="s">
        <v>97</v>
      </c>
      <c r="I618" s="407" t="s">
        <v>97</v>
      </c>
      <c r="J618" s="407" t="s">
        <v>2307</v>
      </c>
      <c r="K618" s="818">
        <v>44652</v>
      </c>
      <c r="L618" s="407">
        <v>0</v>
      </c>
      <c r="M618" s="407">
        <v>0</v>
      </c>
      <c r="N618" s="407">
        <v>4.5650000000000004</v>
      </c>
      <c r="O618" s="407">
        <v>4.5650000000000004</v>
      </c>
      <c r="P618" s="407">
        <v>4.5650000000000004</v>
      </c>
      <c r="Q618" s="407">
        <v>4.5650000000000004</v>
      </c>
      <c r="R618" s="407"/>
      <c r="S618" s="407">
        <v>648.44000000000005</v>
      </c>
      <c r="T618" s="407">
        <v>159.41</v>
      </c>
      <c r="U618" s="407"/>
      <c r="V618" s="407">
        <v>3687.8352500000005</v>
      </c>
      <c r="W618" s="407">
        <v>3687.8352500000005</v>
      </c>
      <c r="X618" s="407">
        <v>2792.9583000000002</v>
      </c>
      <c r="Y618" s="407">
        <v>0</v>
      </c>
      <c r="Z618" s="407">
        <v>282.89419412598062</v>
      </c>
      <c r="AA618" s="407">
        <v>0</v>
      </c>
      <c r="AB618" s="407">
        <v>0</v>
      </c>
      <c r="AC618" s="407">
        <v>0</v>
      </c>
      <c r="AD618" s="407">
        <v>532.48180565739654</v>
      </c>
      <c r="AE618" s="407">
        <v>1906.0974479430067</v>
      </c>
      <c r="AF618" s="407">
        <v>704.06322179534254</v>
      </c>
      <c r="AG618" s="407">
        <v>23.654676141975393</v>
      </c>
      <c r="AH618" s="407">
        <v>0</v>
      </c>
      <c r="AI618" s="407">
        <v>0</v>
      </c>
      <c r="AJ618" s="407">
        <v>0</v>
      </c>
      <c r="AK618" s="407">
        <v>0</v>
      </c>
      <c r="AL618" s="407">
        <v>43.71469267613783</v>
      </c>
      <c r="AM618" s="407"/>
      <c r="AN618" s="407">
        <v>9.4728115987837125</v>
      </c>
      <c r="AO618" s="407">
        <v>0</v>
      </c>
      <c r="AP618" s="407">
        <v>0</v>
      </c>
      <c r="AQ618" s="407">
        <v>0</v>
      </c>
      <c r="AR618" s="407">
        <v>0</v>
      </c>
      <c r="AS618" s="407">
        <v>0</v>
      </c>
      <c r="AT618" s="407">
        <v>0</v>
      </c>
      <c r="AU618" s="407">
        <v>0</v>
      </c>
      <c r="AV618" s="407">
        <v>0</v>
      </c>
      <c r="AW618" s="407">
        <v>0</v>
      </c>
      <c r="AX618" s="407">
        <v>0</v>
      </c>
      <c r="AY618" s="407">
        <v>0</v>
      </c>
      <c r="AZ618" s="407">
        <v>0</v>
      </c>
      <c r="BA618" s="407"/>
      <c r="BB618" s="407">
        <v>0</v>
      </c>
      <c r="BC618" s="407">
        <v>0</v>
      </c>
      <c r="BD618" s="407">
        <v>0</v>
      </c>
      <c r="BE618" s="407">
        <v>0</v>
      </c>
      <c r="BF618" s="407">
        <v>0</v>
      </c>
      <c r="BG618" s="407">
        <v>51.464773272501048</v>
      </c>
      <c r="BH618" s="407">
        <v>0</v>
      </c>
      <c r="BI618" s="407">
        <v>6.95</v>
      </c>
      <c r="BJ618" s="407">
        <v>34.44</v>
      </c>
      <c r="BK618" s="407">
        <v>1159.8</v>
      </c>
      <c r="BL618" s="407">
        <v>5</v>
      </c>
      <c r="BM618" s="407"/>
      <c r="BN618" s="407"/>
      <c r="BO618" s="407"/>
      <c r="BP618" s="407"/>
      <c r="BQ618" s="407"/>
      <c r="BR618" s="407"/>
      <c r="BS618" s="407"/>
      <c r="BT618" s="407"/>
      <c r="BU618" s="407"/>
      <c r="BV618" s="407">
        <v>755.52799506784356</v>
      </c>
      <c r="BW618" s="407"/>
      <c r="BX618" s="407"/>
      <c r="BY618" s="407"/>
      <c r="BZ618" s="407"/>
      <c r="CA618" s="407"/>
      <c r="CB618" s="407"/>
      <c r="CC618" s="407"/>
      <c r="CD618" s="407"/>
      <c r="CE618" s="407"/>
      <c r="CF618" s="407"/>
      <c r="CG618" s="407"/>
      <c r="CH618" s="407"/>
      <c r="CI618" s="407">
        <v>2796.0174000000002</v>
      </c>
      <c r="CJ618" s="407">
        <v>-891.84785000000102</v>
      </c>
      <c r="CK618" s="407"/>
      <c r="CL618" s="407"/>
      <c r="CM618" s="407"/>
      <c r="CN618" s="407"/>
      <c r="CO618" s="407">
        <v>-1020.2775000000004</v>
      </c>
      <c r="CP618" s="407">
        <v>125.40055000000001</v>
      </c>
      <c r="CQ618" s="407">
        <v>30</v>
      </c>
      <c r="CR618" s="407">
        <v>78.764592241480614</v>
      </c>
      <c r="CS618" s="407">
        <v>0</v>
      </c>
      <c r="CT618" s="407">
        <v>0</v>
      </c>
      <c r="CU618" s="407">
        <v>0</v>
      </c>
      <c r="CV618" s="407">
        <v>0</v>
      </c>
      <c r="CW618" s="407">
        <v>0</v>
      </c>
      <c r="CX618" s="407">
        <v>0</v>
      </c>
      <c r="CY618" s="407">
        <v>0</v>
      </c>
      <c r="CZ618" s="407">
        <v>24.053258971812056</v>
      </c>
      <c r="DA618" s="407">
        <v>0</v>
      </c>
      <c r="DB618" s="407">
        <v>0</v>
      </c>
      <c r="DC618" s="407">
        <v>139.5967237644104</v>
      </c>
      <c r="DD618" s="407">
        <v>0</v>
      </c>
      <c r="DE618" s="407">
        <v>0</v>
      </c>
      <c r="DF618" s="407">
        <v>0</v>
      </c>
      <c r="DG618" s="407">
        <v>10.204074741753395</v>
      </c>
      <c r="DH618" s="407">
        <v>0</v>
      </c>
      <c r="DI618" s="407">
        <v>-19.81446743514789</v>
      </c>
      <c r="DJ618" s="407"/>
      <c r="DK618" s="407">
        <v>0</v>
      </c>
      <c r="DL618" s="407">
        <v>0</v>
      </c>
      <c r="DM618" s="407">
        <v>0</v>
      </c>
      <c r="DN618" s="407">
        <v>0</v>
      </c>
      <c r="DO618" s="407">
        <v>-2.667093591597137</v>
      </c>
      <c r="DP618" s="407">
        <v>-0.6035846857846785</v>
      </c>
      <c r="DQ618" s="407">
        <v>0</v>
      </c>
      <c r="DR618" s="407">
        <v>-72.004319523965506</v>
      </c>
      <c r="DS618" s="407"/>
      <c r="DT618" s="407"/>
      <c r="DU618" s="407"/>
      <c r="DV618" s="407">
        <v>1906.0974479430067</v>
      </c>
      <c r="DW618" s="407">
        <v>0</v>
      </c>
      <c r="DX618" s="407">
        <v>0</v>
      </c>
      <c r="DY618" s="407">
        <v>-1020.2775000000004</v>
      </c>
      <c r="DZ618" s="407">
        <v>125.40054999999995</v>
      </c>
      <c r="EA618" s="407">
        <v>0</v>
      </c>
      <c r="EB618" s="407">
        <v>0</v>
      </c>
      <c r="EC618" s="407">
        <v>-973.63900355573765</v>
      </c>
      <c r="ED618" s="407">
        <v>0</v>
      </c>
      <c r="EE618" s="407">
        <v>0</v>
      </c>
      <c r="EF618" s="407">
        <v>0</v>
      </c>
      <c r="EG618" s="407">
        <v>0</v>
      </c>
      <c r="EH618" s="407">
        <v>0</v>
      </c>
      <c r="EI618" s="407">
        <v>0</v>
      </c>
      <c r="EJ618" s="407">
        <v>0</v>
      </c>
      <c r="EK618" s="407">
        <v>0</v>
      </c>
      <c r="EL618" s="407">
        <v>0</v>
      </c>
      <c r="EM618" s="407">
        <v>0</v>
      </c>
      <c r="EN618" s="407">
        <v>0</v>
      </c>
      <c r="EO618" s="407">
        <v>0</v>
      </c>
      <c r="EP618" s="407">
        <v>134.00192172468965</v>
      </c>
      <c r="EQ618" s="407">
        <v>0</v>
      </c>
      <c r="ER618" s="407">
        <v>0</v>
      </c>
      <c r="ES618" s="407">
        <v>0</v>
      </c>
      <c r="ET618" s="407">
        <v>0</v>
      </c>
      <c r="EU618" s="407">
        <v>0</v>
      </c>
      <c r="EV618" s="407">
        <v>246</v>
      </c>
      <c r="EW618" s="407">
        <v>0</v>
      </c>
      <c r="EX618" s="407">
        <v>0</v>
      </c>
      <c r="EY618" s="407">
        <v>0</v>
      </c>
      <c r="EZ618" s="407"/>
      <c r="FA618" s="407">
        <v>0</v>
      </c>
      <c r="FB618" s="407"/>
      <c r="FC618" s="407"/>
      <c r="FD618" s="407"/>
      <c r="FE618" s="407"/>
      <c r="FF618" s="407">
        <v>0</v>
      </c>
      <c r="FG618" s="407">
        <v>0</v>
      </c>
      <c r="FH618" s="407">
        <v>0</v>
      </c>
      <c r="FI618" s="407">
        <v>0</v>
      </c>
    </row>
    <row r="619" spans="1:165">
      <c r="A619" s="407">
        <v>642</v>
      </c>
      <c r="B619" s="407" t="s">
        <v>1090</v>
      </c>
      <c r="C619" s="407" t="s">
        <v>2306</v>
      </c>
      <c r="D619" s="407" t="s">
        <v>2315</v>
      </c>
      <c r="E619" s="407" t="s">
        <v>1026</v>
      </c>
      <c r="F619" s="407" t="s">
        <v>2323</v>
      </c>
      <c r="G619" s="407" t="s">
        <v>2324</v>
      </c>
      <c r="H619" s="407" t="s">
        <v>97</v>
      </c>
      <c r="I619" s="407" t="s">
        <v>97</v>
      </c>
      <c r="J619" s="407" t="s">
        <v>2307</v>
      </c>
      <c r="K619" s="818">
        <v>44652</v>
      </c>
      <c r="L619" s="407">
        <v>0</v>
      </c>
      <c r="M619" s="407">
        <v>0</v>
      </c>
      <c r="N619" s="407">
        <v>0</v>
      </c>
      <c r="O619" s="407">
        <v>0</v>
      </c>
      <c r="P619" s="407">
        <v>0</v>
      </c>
      <c r="Q619" s="407">
        <v>0</v>
      </c>
      <c r="R619" s="407"/>
      <c r="S619" s="407"/>
      <c r="T619" s="407"/>
      <c r="U619" s="407"/>
      <c r="V619" s="407"/>
      <c r="W619" s="407"/>
      <c r="X619" s="407"/>
      <c r="Y619" s="407"/>
      <c r="Z619" s="407"/>
      <c r="AA619" s="407">
        <v>0</v>
      </c>
      <c r="AB619" s="407"/>
      <c r="AC619" s="407"/>
      <c r="AD619" s="407"/>
      <c r="AE619" s="407"/>
      <c r="AF619" s="407"/>
      <c r="AG619" s="407"/>
      <c r="AH619" s="407"/>
      <c r="AI619" s="407"/>
      <c r="AJ619" s="407"/>
      <c r="AK619" s="407"/>
      <c r="AL619" s="407"/>
      <c r="AM619" s="407"/>
      <c r="AN619" s="407"/>
      <c r="AO619" s="407"/>
      <c r="AP619" s="407"/>
      <c r="AQ619" s="407"/>
      <c r="AR619" s="407"/>
      <c r="AS619" s="407"/>
      <c r="AT619" s="407"/>
      <c r="AU619" s="407"/>
      <c r="AV619" s="407"/>
      <c r="AW619" s="407"/>
      <c r="AX619" s="407"/>
      <c r="AY619" s="407"/>
      <c r="AZ619" s="407">
        <v>0</v>
      </c>
      <c r="BA619" s="407"/>
      <c r="BB619" s="407"/>
      <c r="BC619" s="407"/>
      <c r="BD619" s="407"/>
      <c r="BE619" s="407"/>
      <c r="BF619" s="407"/>
      <c r="BG619" s="407"/>
      <c r="BH619" s="407"/>
      <c r="BI619" s="407">
        <v>7.12</v>
      </c>
      <c r="BJ619" s="407">
        <v>36.409999999999997</v>
      </c>
      <c r="BK619" s="407">
        <v>395.84</v>
      </c>
      <c r="BL619" s="407">
        <v>41</v>
      </c>
      <c r="BM619" s="407"/>
      <c r="BN619" s="407"/>
      <c r="BO619" s="407"/>
      <c r="BP619" s="407"/>
      <c r="BQ619" s="407"/>
      <c r="BR619" s="407"/>
      <c r="BS619" s="407"/>
      <c r="BT619" s="407"/>
      <c r="BU619" s="407"/>
      <c r="BV619" s="407"/>
      <c r="BW619" s="407"/>
      <c r="BX619" s="407"/>
      <c r="BY619" s="407"/>
      <c r="BZ619" s="407"/>
      <c r="CA619" s="407"/>
      <c r="CB619" s="407"/>
      <c r="CC619" s="407"/>
      <c r="CD619" s="407"/>
      <c r="CE619" s="407"/>
      <c r="CF619" s="407"/>
      <c r="CG619" s="407"/>
      <c r="CH619" s="407"/>
      <c r="CI619" s="407"/>
      <c r="CJ619" s="407">
        <v>-0.03</v>
      </c>
      <c r="CK619" s="407"/>
      <c r="CL619" s="407"/>
      <c r="CM619" s="407"/>
      <c r="CN619" s="407"/>
      <c r="CO619" s="407">
        <v>0</v>
      </c>
      <c r="CP619" s="407">
        <v>0</v>
      </c>
      <c r="CQ619" s="407">
        <v>30</v>
      </c>
      <c r="CR619" s="407"/>
      <c r="CS619" s="407"/>
      <c r="CT619" s="407"/>
      <c r="CU619" s="407"/>
      <c r="CV619" s="407"/>
      <c r="CW619" s="407"/>
      <c r="CX619" s="407"/>
      <c r="CY619" s="407"/>
      <c r="CZ619" s="407"/>
      <c r="DA619" s="407"/>
      <c r="DB619" s="407"/>
      <c r="DC619" s="407"/>
      <c r="DD619" s="407"/>
      <c r="DE619" s="407"/>
      <c r="DF619" s="407"/>
      <c r="DG619" s="407"/>
      <c r="DH619" s="407"/>
      <c r="DI619" s="407"/>
      <c r="DJ619" s="407"/>
      <c r="DK619" s="407">
        <v>0</v>
      </c>
      <c r="DL619" s="407"/>
      <c r="DM619" s="407"/>
      <c r="DN619" s="407"/>
      <c r="DO619" s="407"/>
      <c r="DP619" s="407"/>
      <c r="DQ619" s="407"/>
      <c r="DR619" s="407"/>
      <c r="DS619" s="407"/>
      <c r="DT619" s="407"/>
      <c r="DU619" s="407"/>
      <c r="DV619" s="407"/>
      <c r="DW619" s="407"/>
      <c r="DX619" s="407"/>
      <c r="DY619" s="407"/>
      <c r="DZ619" s="407"/>
      <c r="EA619" s="407"/>
      <c r="EB619" s="407"/>
      <c r="EC619" s="407"/>
      <c r="ED619" s="407"/>
      <c r="EE619" s="407"/>
      <c r="EF619" s="407"/>
      <c r="EG619" s="407"/>
      <c r="EH619" s="407"/>
      <c r="EI619" s="407"/>
      <c r="EJ619" s="407"/>
      <c r="EK619" s="407"/>
      <c r="EL619" s="407"/>
      <c r="EM619" s="407"/>
      <c r="EN619" s="407"/>
      <c r="EO619" s="407"/>
      <c r="EP619" s="407"/>
      <c r="EQ619" s="407"/>
      <c r="ER619" s="407"/>
      <c r="ES619" s="407"/>
      <c r="ET619" s="407"/>
      <c r="EU619" s="407"/>
      <c r="EV619" s="407">
        <v>246</v>
      </c>
      <c r="EW619" s="407"/>
      <c r="EX619" s="407"/>
      <c r="EY619" s="407"/>
      <c r="EZ619" s="407"/>
      <c r="FA619" s="407">
        <v>0</v>
      </c>
      <c r="FB619" s="407"/>
      <c r="FC619" s="407"/>
      <c r="FD619" s="407"/>
      <c r="FE619" s="407"/>
      <c r="FF619" s="407">
        <v>0</v>
      </c>
      <c r="FG619" s="407">
        <v>0</v>
      </c>
      <c r="FH619" s="407">
        <v>0</v>
      </c>
      <c r="FI619" s="407">
        <v>0</v>
      </c>
    </row>
    <row r="620" spans="1:165">
      <c r="A620" s="407">
        <v>643</v>
      </c>
      <c r="B620" s="407" t="s">
        <v>2308</v>
      </c>
      <c r="C620" s="407" t="s">
        <v>2306</v>
      </c>
      <c r="D620" s="407" t="s">
        <v>2315</v>
      </c>
      <c r="E620" s="407" t="s">
        <v>1026</v>
      </c>
      <c r="F620" s="407" t="s">
        <v>2323</v>
      </c>
      <c r="G620" s="407" t="s">
        <v>2324</v>
      </c>
      <c r="H620" s="407" t="s">
        <v>97</v>
      </c>
      <c r="I620" s="407" t="s">
        <v>97</v>
      </c>
      <c r="J620" s="407" t="s">
        <v>2307</v>
      </c>
      <c r="K620" s="818">
        <v>44652</v>
      </c>
      <c r="L620" s="407">
        <v>0</v>
      </c>
      <c r="M620" s="407">
        <v>0</v>
      </c>
      <c r="N620" s="407">
        <v>0</v>
      </c>
      <c r="O620" s="407">
        <v>0</v>
      </c>
      <c r="P620" s="407">
        <v>0</v>
      </c>
      <c r="Q620" s="407">
        <v>0</v>
      </c>
      <c r="R620" s="407"/>
      <c r="S620" s="407"/>
      <c r="T620" s="407"/>
      <c r="U620" s="407"/>
      <c r="V620" s="407"/>
      <c r="W620" s="407"/>
      <c r="X620" s="407"/>
      <c r="Y620" s="407"/>
      <c r="Z620" s="407"/>
      <c r="AA620" s="407">
        <v>0</v>
      </c>
      <c r="AB620" s="407"/>
      <c r="AC620" s="407"/>
      <c r="AD620" s="407"/>
      <c r="AE620" s="407"/>
      <c r="AF620" s="407"/>
      <c r="AG620" s="407"/>
      <c r="AH620" s="407"/>
      <c r="AI620" s="407"/>
      <c r="AJ620" s="407"/>
      <c r="AK620" s="407"/>
      <c r="AL620" s="407"/>
      <c r="AM620" s="407"/>
      <c r="AN620" s="407"/>
      <c r="AO620" s="407"/>
      <c r="AP620" s="407"/>
      <c r="AQ620" s="407"/>
      <c r="AR620" s="407"/>
      <c r="AS620" s="407"/>
      <c r="AT620" s="407"/>
      <c r="AU620" s="407"/>
      <c r="AV620" s="407"/>
      <c r="AW620" s="407"/>
      <c r="AX620" s="407"/>
      <c r="AY620" s="407"/>
      <c r="AZ620" s="407">
        <v>0</v>
      </c>
      <c r="BA620" s="407"/>
      <c r="BB620" s="407"/>
      <c r="BC620" s="407"/>
      <c r="BD620" s="407"/>
      <c r="BE620" s="407"/>
      <c r="BF620" s="407"/>
      <c r="BG620" s="407"/>
      <c r="BH620" s="407"/>
      <c r="BI620" s="407">
        <v>-10.51</v>
      </c>
      <c r="BJ620" s="407">
        <v>-45.31</v>
      </c>
      <c r="BK620" s="407">
        <v>0</v>
      </c>
      <c r="BL620" s="407">
        <v>0</v>
      </c>
      <c r="BM620" s="407"/>
      <c r="BN620" s="407"/>
      <c r="BO620" s="407"/>
      <c r="BP620" s="407"/>
      <c r="BQ620" s="407"/>
      <c r="BR620" s="407"/>
      <c r="BS620" s="407"/>
      <c r="BT620" s="407"/>
      <c r="BU620" s="407"/>
      <c r="BV620" s="407"/>
      <c r="BW620" s="407"/>
      <c r="BX620" s="407"/>
      <c r="BY620" s="407"/>
      <c r="BZ620" s="407"/>
      <c r="CA620" s="407"/>
      <c r="CB620" s="407"/>
      <c r="CC620" s="407"/>
      <c r="CD620" s="407"/>
      <c r="CE620" s="407"/>
      <c r="CF620" s="407"/>
      <c r="CG620" s="407"/>
      <c r="CH620" s="407"/>
      <c r="CI620" s="407"/>
      <c r="CJ620" s="407">
        <v>-0.03</v>
      </c>
      <c r="CK620" s="407"/>
      <c r="CL620" s="407"/>
      <c r="CM620" s="407"/>
      <c r="CN620" s="407"/>
      <c r="CO620" s="407">
        <v>0</v>
      </c>
      <c r="CP620" s="407">
        <v>0</v>
      </c>
      <c r="CQ620" s="407">
        <v>30</v>
      </c>
      <c r="CR620" s="407"/>
      <c r="CS620" s="407"/>
      <c r="CT620" s="407"/>
      <c r="CU620" s="407"/>
      <c r="CV620" s="407"/>
      <c r="CW620" s="407"/>
      <c r="CX620" s="407"/>
      <c r="CY620" s="407"/>
      <c r="CZ620" s="407"/>
      <c r="DA620" s="407"/>
      <c r="DB620" s="407"/>
      <c r="DC620" s="407"/>
      <c r="DD620" s="407"/>
      <c r="DE620" s="407"/>
      <c r="DF620" s="407"/>
      <c r="DG620" s="407"/>
      <c r="DH620" s="407"/>
      <c r="DI620" s="407"/>
      <c r="DJ620" s="407"/>
      <c r="DK620" s="407">
        <v>0</v>
      </c>
      <c r="DL620" s="407"/>
      <c r="DM620" s="407"/>
      <c r="DN620" s="407"/>
      <c r="DO620" s="407"/>
      <c r="DP620" s="407"/>
      <c r="DQ620" s="407"/>
      <c r="DR620" s="407"/>
      <c r="DS620" s="407"/>
      <c r="DT620" s="407"/>
      <c r="DU620" s="407"/>
      <c r="DV620" s="407"/>
      <c r="DW620" s="407"/>
      <c r="DX620" s="407"/>
      <c r="DY620" s="407"/>
      <c r="DZ620" s="407"/>
      <c r="EA620" s="407"/>
      <c r="EB620" s="407"/>
      <c r="EC620" s="407"/>
      <c r="ED620" s="407"/>
      <c r="EE620" s="407"/>
      <c r="EF620" s="407"/>
      <c r="EG620" s="407"/>
      <c r="EH620" s="407"/>
      <c r="EI620" s="407"/>
      <c r="EJ620" s="407"/>
      <c r="EK620" s="407"/>
      <c r="EL620" s="407"/>
      <c r="EM620" s="407"/>
      <c r="EN620" s="407"/>
      <c r="EO620" s="407"/>
      <c r="EP620" s="407"/>
      <c r="EQ620" s="407"/>
      <c r="ER620" s="407"/>
      <c r="ES620" s="407"/>
      <c r="ET620" s="407"/>
      <c r="EU620" s="407"/>
      <c r="EV620" s="407">
        <v>246</v>
      </c>
      <c r="EW620" s="407"/>
      <c r="EX620" s="407"/>
      <c r="EY620" s="407"/>
      <c r="EZ620" s="407"/>
      <c r="FA620" s="407">
        <v>0</v>
      </c>
      <c r="FB620" s="407"/>
      <c r="FC620" s="407"/>
      <c r="FD620" s="407"/>
      <c r="FE620" s="407"/>
      <c r="FF620" s="407">
        <v>0</v>
      </c>
      <c r="FG620" s="407">
        <v>0</v>
      </c>
      <c r="FH620" s="407">
        <v>0</v>
      </c>
      <c r="FI620" s="407">
        <v>0</v>
      </c>
    </row>
    <row r="621" spans="1:165">
      <c r="A621" s="407">
        <v>644</v>
      </c>
      <c r="B621" s="407" t="s">
        <v>2309</v>
      </c>
      <c r="C621" s="407" t="s">
        <v>2306</v>
      </c>
      <c r="D621" s="407" t="s">
        <v>2315</v>
      </c>
      <c r="E621" s="407" t="s">
        <v>1026</v>
      </c>
      <c r="F621" s="407" t="s">
        <v>2323</v>
      </c>
      <c r="G621" s="407" t="s">
        <v>2324</v>
      </c>
      <c r="H621" s="407" t="s">
        <v>97</v>
      </c>
      <c r="I621" s="407" t="s">
        <v>97</v>
      </c>
      <c r="J621" s="407" t="s">
        <v>2307</v>
      </c>
      <c r="K621" s="818">
        <v>44652</v>
      </c>
      <c r="L621" s="407">
        <v>0</v>
      </c>
      <c r="M621" s="407">
        <v>0</v>
      </c>
      <c r="N621" s="407">
        <v>0</v>
      </c>
      <c r="O621" s="407">
        <v>0</v>
      </c>
      <c r="P621" s="407">
        <v>0</v>
      </c>
      <c r="Q621" s="407">
        <v>0</v>
      </c>
      <c r="R621" s="407"/>
      <c r="S621" s="407"/>
      <c r="T621" s="407"/>
      <c r="U621" s="407"/>
      <c r="V621" s="407"/>
      <c r="W621" s="407"/>
      <c r="X621" s="407"/>
      <c r="Y621" s="407"/>
      <c r="Z621" s="407"/>
      <c r="AA621" s="407">
        <v>0</v>
      </c>
      <c r="AB621" s="407"/>
      <c r="AC621" s="407"/>
      <c r="AD621" s="407"/>
      <c r="AE621" s="407"/>
      <c r="AF621" s="407"/>
      <c r="AG621" s="407"/>
      <c r="AH621" s="407"/>
      <c r="AI621" s="407"/>
      <c r="AJ621" s="407"/>
      <c r="AK621" s="407"/>
      <c r="AL621" s="407"/>
      <c r="AM621" s="407"/>
      <c r="AN621" s="407"/>
      <c r="AO621" s="407"/>
      <c r="AP621" s="407"/>
      <c r="AQ621" s="407"/>
      <c r="AR621" s="407"/>
      <c r="AS621" s="407"/>
      <c r="AT621" s="407"/>
      <c r="AU621" s="407"/>
      <c r="AV621" s="407"/>
      <c r="AW621" s="407"/>
      <c r="AX621" s="407"/>
      <c r="AY621" s="407"/>
      <c r="AZ621" s="407">
        <v>0</v>
      </c>
      <c r="BA621" s="407"/>
      <c r="BB621" s="407"/>
      <c r="BC621" s="407"/>
      <c r="BD621" s="407"/>
      <c r="BE621" s="407"/>
      <c r="BF621" s="407"/>
      <c r="BG621" s="407"/>
      <c r="BH621" s="407"/>
      <c r="BI621" s="407">
        <v>0.48</v>
      </c>
      <c r="BJ621" s="407">
        <v>2.5499999999999998</v>
      </c>
      <c r="BK621" s="407">
        <v>41.89</v>
      </c>
      <c r="BL621" s="407">
        <v>5</v>
      </c>
      <c r="BM621" s="407"/>
      <c r="BN621" s="407"/>
      <c r="BO621" s="407"/>
      <c r="BP621" s="407"/>
      <c r="BQ621" s="407"/>
      <c r="BR621" s="407"/>
      <c r="BS621" s="407"/>
      <c r="BT621" s="407"/>
      <c r="BU621" s="407"/>
      <c r="BV621" s="407"/>
      <c r="BW621" s="407"/>
      <c r="BX621" s="407"/>
      <c r="BY621" s="407"/>
      <c r="BZ621" s="407"/>
      <c r="CA621" s="407"/>
      <c r="CB621" s="407"/>
      <c r="CC621" s="407"/>
      <c r="CD621" s="407"/>
      <c r="CE621" s="407"/>
      <c r="CF621" s="407"/>
      <c r="CG621" s="407"/>
      <c r="CH621" s="407"/>
      <c r="CI621" s="407"/>
      <c r="CJ621" s="407">
        <v>-0.03</v>
      </c>
      <c r="CK621" s="407"/>
      <c r="CL621" s="407"/>
      <c r="CM621" s="407"/>
      <c r="CN621" s="407"/>
      <c r="CO621" s="407">
        <v>0</v>
      </c>
      <c r="CP621" s="407">
        <v>0</v>
      </c>
      <c r="CQ621" s="407">
        <v>30</v>
      </c>
      <c r="CR621" s="407"/>
      <c r="CS621" s="407"/>
      <c r="CT621" s="407"/>
      <c r="CU621" s="407"/>
      <c r="CV621" s="407"/>
      <c r="CW621" s="407"/>
      <c r="CX621" s="407"/>
      <c r="CY621" s="407"/>
      <c r="CZ621" s="407"/>
      <c r="DA621" s="407"/>
      <c r="DB621" s="407"/>
      <c r="DC621" s="407"/>
      <c r="DD621" s="407"/>
      <c r="DE621" s="407"/>
      <c r="DF621" s="407"/>
      <c r="DG621" s="407"/>
      <c r="DH621" s="407"/>
      <c r="DI621" s="407"/>
      <c r="DJ621" s="407"/>
      <c r="DK621" s="407">
        <v>0</v>
      </c>
      <c r="DL621" s="407"/>
      <c r="DM621" s="407"/>
      <c r="DN621" s="407"/>
      <c r="DO621" s="407"/>
      <c r="DP621" s="407"/>
      <c r="DQ621" s="407"/>
      <c r="DR621" s="407"/>
      <c r="DS621" s="407"/>
      <c r="DT621" s="407"/>
      <c r="DU621" s="407"/>
      <c r="DV621" s="407"/>
      <c r="DW621" s="407"/>
      <c r="DX621" s="407"/>
      <c r="DY621" s="407"/>
      <c r="DZ621" s="407"/>
      <c r="EA621" s="407"/>
      <c r="EB621" s="407"/>
      <c r="EC621" s="407"/>
      <c r="ED621" s="407"/>
      <c r="EE621" s="407"/>
      <c r="EF621" s="407"/>
      <c r="EG621" s="407"/>
      <c r="EH621" s="407"/>
      <c r="EI621" s="407"/>
      <c r="EJ621" s="407"/>
      <c r="EK621" s="407"/>
      <c r="EL621" s="407"/>
      <c r="EM621" s="407"/>
      <c r="EN621" s="407"/>
      <c r="EO621" s="407"/>
      <c r="EP621" s="407"/>
      <c r="EQ621" s="407"/>
      <c r="ER621" s="407"/>
      <c r="ES621" s="407"/>
      <c r="ET621" s="407"/>
      <c r="EU621" s="407"/>
      <c r="EV621" s="407">
        <v>246</v>
      </c>
      <c r="EW621" s="407"/>
      <c r="EX621" s="407"/>
      <c r="EY621" s="407"/>
      <c r="EZ621" s="407"/>
      <c r="FA621" s="407">
        <v>0</v>
      </c>
      <c r="FB621" s="407"/>
      <c r="FC621" s="407"/>
      <c r="FD621" s="407"/>
      <c r="FE621" s="407"/>
      <c r="FF621" s="407">
        <v>0</v>
      </c>
      <c r="FG621" s="407">
        <v>0</v>
      </c>
      <c r="FH621" s="407">
        <v>0</v>
      </c>
      <c r="FI621" s="407">
        <v>0</v>
      </c>
    </row>
    <row r="622" spans="1:165">
      <c r="A622" s="407">
        <v>645</v>
      </c>
      <c r="B622" s="407" t="s">
        <v>1090</v>
      </c>
      <c r="C622" s="407" t="s">
        <v>2306</v>
      </c>
      <c r="D622" s="407" t="s">
        <v>2315</v>
      </c>
      <c r="E622" s="407" t="s">
        <v>1026</v>
      </c>
      <c r="F622" s="407" t="s">
        <v>2323</v>
      </c>
      <c r="G622" s="407" t="s">
        <v>2324</v>
      </c>
      <c r="H622" s="407" t="s">
        <v>97</v>
      </c>
      <c r="I622" s="407" t="s">
        <v>97</v>
      </c>
      <c r="J622" s="407" t="s">
        <v>2307</v>
      </c>
      <c r="K622" s="818">
        <v>44652</v>
      </c>
      <c r="L622" s="407">
        <v>0</v>
      </c>
      <c r="M622" s="407">
        <v>0</v>
      </c>
      <c r="N622" s="407">
        <v>4.0780000000000003</v>
      </c>
      <c r="O622" s="407">
        <v>4.0780000000000003</v>
      </c>
      <c r="P622" s="407">
        <v>4.0780000000000003</v>
      </c>
      <c r="Q622" s="407">
        <v>4.0780000000000003</v>
      </c>
      <c r="R622" s="407"/>
      <c r="S622" s="407">
        <v>648.44000000000005</v>
      </c>
      <c r="T622" s="407">
        <v>159.41</v>
      </c>
      <c r="U622" s="407"/>
      <c r="V622" s="407">
        <v>3294.4123000000004</v>
      </c>
      <c r="W622" s="407">
        <v>3294.4123000000004</v>
      </c>
      <c r="X622" s="407">
        <v>2495.0019600000001</v>
      </c>
      <c r="Y622" s="407">
        <v>0</v>
      </c>
      <c r="Z622" s="407">
        <v>252.71468206916734</v>
      </c>
      <c r="AA622" s="407">
        <v>0</v>
      </c>
      <c r="AB622" s="407">
        <v>0</v>
      </c>
      <c r="AC622" s="407">
        <v>0</v>
      </c>
      <c r="AD622" s="407">
        <v>475.6759700921935</v>
      </c>
      <c r="AE622" s="407">
        <v>1702.7525504297002</v>
      </c>
      <c r="AF622" s="407">
        <v>628.95286275605849</v>
      </c>
      <c r="AG622" s="407">
        <v>21.131165237015477</v>
      </c>
      <c r="AH622" s="407">
        <v>0</v>
      </c>
      <c r="AI622" s="407">
        <v>0</v>
      </c>
      <c r="AJ622" s="407">
        <v>0</v>
      </c>
      <c r="AK622" s="407">
        <v>0</v>
      </c>
      <c r="AL622" s="407">
        <v>39.051153720326411</v>
      </c>
      <c r="AM622" s="407"/>
      <c r="AN622" s="407">
        <v>8.4622400218707519</v>
      </c>
      <c r="AO622" s="407">
        <v>0</v>
      </c>
      <c r="AP622" s="407">
        <v>0</v>
      </c>
      <c r="AQ622" s="407">
        <v>0</v>
      </c>
      <c r="AR622" s="407">
        <v>0</v>
      </c>
      <c r="AS622" s="407">
        <v>0</v>
      </c>
      <c r="AT622" s="407">
        <v>0</v>
      </c>
      <c r="AU622" s="407">
        <v>0</v>
      </c>
      <c r="AV622" s="407">
        <v>0</v>
      </c>
      <c r="AW622" s="407">
        <v>0</v>
      </c>
      <c r="AX622" s="407">
        <v>0</v>
      </c>
      <c r="AY622" s="407">
        <v>0</v>
      </c>
      <c r="AZ622" s="407">
        <v>0</v>
      </c>
      <c r="BA622" s="407"/>
      <c r="BB622" s="407">
        <v>0</v>
      </c>
      <c r="BC622" s="407">
        <v>0</v>
      </c>
      <c r="BD622" s="407">
        <v>0</v>
      </c>
      <c r="BE622" s="407">
        <v>0</v>
      </c>
      <c r="BF622" s="407">
        <v>0</v>
      </c>
      <c r="BG622" s="407">
        <v>45.974445871907839</v>
      </c>
      <c r="BH622" s="407">
        <v>0</v>
      </c>
      <c r="BI622" s="407">
        <v>0</v>
      </c>
      <c r="BJ622" s="407">
        <v>0</v>
      </c>
      <c r="BK622" s="407">
        <v>0</v>
      </c>
      <c r="BL622" s="407">
        <v>0</v>
      </c>
      <c r="BM622" s="407"/>
      <c r="BN622" s="407"/>
      <c r="BO622" s="407"/>
      <c r="BP622" s="407"/>
      <c r="BQ622" s="407"/>
      <c r="BR622" s="407">
        <v>299.40676000000008</v>
      </c>
      <c r="BS622" s="407"/>
      <c r="BT622" s="407"/>
      <c r="BU622" s="407"/>
      <c r="BV622" s="407">
        <v>674.92730862796634</v>
      </c>
      <c r="BW622" s="407"/>
      <c r="BX622" s="407"/>
      <c r="BY622" s="407"/>
      <c r="BZ622" s="407"/>
      <c r="CA622" s="407"/>
      <c r="CB622" s="407"/>
      <c r="CC622" s="407"/>
      <c r="CD622" s="407"/>
      <c r="CE622" s="407"/>
      <c r="CF622" s="407"/>
      <c r="CG622" s="407"/>
      <c r="CH622" s="407"/>
      <c r="CI622" s="407">
        <v>2196.672</v>
      </c>
      <c r="CJ622" s="407">
        <v>-702.44898000000057</v>
      </c>
      <c r="CK622" s="407"/>
      <c r="CL622" s="407"/>
      <c r="CM622" s="407"/>
      <c r="CN622" s="407"/>
      <c r="CO622" s="407">
        <v>-911.43300000000033</v>
      </c>
      <c r="CP622" s="407">
        <v>112.02266</v>
      </c>
      <c r="CQ622" s="407">
        <v>30</v>
      </c>
      <c r="CR622" s="407">
        <v>70.36188546785479</v>
      </c>
      <c r="CS622" s="407">
        <v>0</v>
      </c>
      <c r="CT622" s="407">
        <v>0</v>
      </c>
      <c r="CU622" s="407">
        <v>0</v>
      </c>
      <c r="CV622" s="407">
        <v>0</v>
      </c>
      <c r="CW622" s="407">
        <v>0</v>
      </c>
      <c r="CX622" s="407">
        <v>0</v>
      </c>
      <c r="CY622" s="407">
        <v>0</v>
      </c>
      <c r="CZ622" s="407">
        <v>21.487226744150973</v>
      </c>
      <c r="DA622" s="407">
        <v>0</v>
      </c>
      <c r="DB622" s="407">
        <v>0</v>
      </c>
      <c r="DC622" s="407">
        <v>124.70436791046336</v>
      </c>
      <c r="DD622" s="407">
        <v>0</v>
      </c>
      <c r="DE622" s="407">
        <v>0</v>
      </c>
      <c r="DF622" s="407">
        <v>0</v>
      </c>
      <c r="DG622" s="407">
        <v>9.1154910836517686</v>
      </c>
      <c r="DH622" s="407">
        <v>0</v>
      </c>
      <c r="DI622" s="407">
        <v>-17.700634874158368</v>
      </c>
      <c r="DJ622" s="407"/>
      <c r="DK622" s="407">
        <v>0</v>
      </c>
      <c r="DL622" s="407">
        <v>0</v>
      </c>
      <c r="DM622" s="407">
        <v>0</v>
      </c>
      <c r="DN622" s="407">
        <v>0</v>
      </c>
      <c r="DO622" s="407">
        <v>-2.3825646586052827</v>
      </c>
      <c r="DP622" s="407">
        <v>-0.53919350462868021</v>
      </c>
      <c r="DQ622" s="407">
        <v>0</v>
      </c>
      <c r="DR622" s="407">
        <v>-64.322807233018906</v>
      </c>
      <c r="DS622" s="407"/>
      <c r="DT622" s="407"/>
      <c r="DU622" s="407"/>
      <c r="DV622" s="407">
        <v>1702.7525504297002</v>
      </c>
      <c r="DW622" s="407">
        <v>0</v>
      </c>
      <c r="DX622" s="407">
        <v>0</v>
      </c>
      <c r="DY622" s="407">
        <v>-911.43300000000022</v>
      </c>
      <c r="DZ622" s="407">
        <v>112.02265999999997</v>
      </c>
      <c r="EA622" s="407">
        <v>0</v>
      </c>
      <c r="EB622" s="407">
        <v>0</v>
      </c>
      <c r="EC622" s="407">
        <v>-869.76995761233263</v>
      </c>
      <c r="ED622" s="407">
        <v>0</v>
      </c>
      <c r="EE622" s="407">
        <v>0</v>
      </c>
      <c r="EF622" s="407">
        <v>0</v>
      </c>
      <c r="EG622" s="407">
        <v>0</v>
      </c>
      <c r="EH622" s="407">
        <v>0</v>
      </c>
      <c r="EI622" s="407">
        <v>0</v>
      </c>
      <c r="EJ622" s="407">
        <v>0</v>
      </c>
      <c r="EK622" s="407">
        <v>0</v>
      </c>
      <c r="EL622" s="407">
        <v>0</v>
      </c>
      <c r="EM622" s="407">
        <v>0</v>
      </c>
      <c r="EN622" s="407">
        <v>0</v>
      </c>
      <c r="EO622" s="407">
        <v>0</v>
      </c>
      <c r="EP622" s="407">
        <v>119.70642646074138</v>
      </c>
      <c r="EQ622" s="407">
        <v>0</v>
      </c>
      <c r="ER622" s="407">
        <v>0</v>
      </c>
      <c r="ES622" s="407">
        <v>0</v>
      </c>
      <c r="ET622" s="407">
        <v>0</v>
      </c>
      <c r="EU622" s="407">
        <v>0</v>
      </c>
      <c r="EV622" s="407">
        <v>246</v>
      </c>
      <c r="EW622" s="407">
        <v>0</v>
      </c>
      <c r="EX622" s="407">
        <v>0</v>
      </c>
      <c r="EY622" s="407">
        <v>0</v>
      </c>
      <c r="EZ622" s="407"/>
      <c r="FA622" s="407">
        <v>0</v>
      </c>
      <c r="FB622" s="407"/>
      <c r="FC622" s="407"/>
      <c r="FD622" s="407"/>
      <c r="FE622" s="407"/>
      <c r="FF622" s="407">
        <v>0</v>
      </c>
      <c r="FG622" s="407">
        <v>0</v>
      </c>
      <c r="FH622" s="407">
        <v>0</v>
      </c>
      <c r="FI622" s="407">
        <v>0</v>
      </c>
    </row>
    <row r="623" spans="1:165">
      <c r="A623" s="407">
        <v>646</v>
      </c>
      <c r="B623" s="407" t="s">
        <v>2308</v>
      </c>
      <c r="C623" s="407" t="s">
        <v>2306</v>
      </c>
      <c r="D623" s="407" t="s">
        <v>2315</v>
      </c>
      <c r="E623" s="407" t="s">
        <v>1026</v>
      </c>
      <c r="F623" s="407" t="s">
        <v>2323</v>
      </c>
      <c r="G623" s="407" t="s">
        <v>2324</v>
      </c>
      <c r="H623" s="407" t="s">
        <v>97</v>
      </c>
      <c r="I623" s="407" t="s">
        <v>97</v>
      </c>
      <c r="J623" s="407" t="s">
        <v>2307</v>
      </c>
      <c r="K623" s="818">
        <v>44652</v>
      </c>
      <c r="L623" s="407">
        <v>0</v>
      </c>
      <c r="M623" s="407">
        <v>0</v>
      </c>
      <c r="N623" s="407">
        <v>-8.468</v>
      </c>
      <c r="O623" s="407">
        <v>-8.468</v>
      </c>
      <c r="P623" s="407">
        <v>-8.468</v>
      </c>
      <c r="Q623" s="407">
        <v>-8.468</v>
      </c>
      <c r="R623" s="407"/>
      <c r="S623" s="407">
        <v>648.44000000000005</v>
      </c>
      <c r="T623" s="407">
        <v>159.41</v>
      </c>
      <c r="U623" s="407"/>
      <c r="V623" s="407">
        <v>-6840.8738000000012</v>
      </c>
      <c r="W623" s="407">
        <v>-6840.8738000000012</v>
      </c>
      <c r="X623" s="407">
        <v>-5180.8917600000004</v>
      </c>
      <c r="Y623" s="407">
        <v>0</v>
      </c>
      <c r="Z623" s="407">
        <v>-524.76408233489678</v>
      </c>
      <c r="AA623" s="407">
        <v>0</v>
      </c>
      <c r="AB623" s="407">
        <v>0</v>
      </c>
      <c r="AC623" s="407">
        <v>0</v>
      </c>
      <c r="AD623" s="407">
        <v>-987.74500116250465</v>
      </c>
      <c r="AE623" s="407">
        <v>-3535.7794499849683</v>
      </c>
      <c r="AF623" s="407">
        <v>-1306.0257091266069</v>
      </c>
      <c r="AG623" s="407">
        <v>-43.879035612321495</v>
      </c>
      <c r="AH623" s="407">
        <v>0</v>
      </c>
      <c r="AI623" s="407">
        <v>0</v>
      </c>
      <c r="AJ623" s="407">
        <v>0</v>
      </c>
      <c r="AK623" s="407">
        <v>0</v>
      </c>
      <c r="AL623" s="407">
        <v>-81.090036710084362</v>
      </c>
      <c r="AM623" s="407"/>
      <c r="AN623" s="407">
        <v>-17.571909883570751</v>
      </c>
      <c r="AO623" s="407">
        <v>0</v>
      </c>
      <c r="AP623" s="407">
        <v>0</v>
      </c>
      <c r="AQ623" s="407">
        <v>0</v>
      </c>
      <c r="AR623" s="407">
        <v>0</v>
      </c>
      <c r="AS623" s="407">
        <v>0</v>
      </c>
      <c r="AT623" s="407">
        <v>0</v>
      </c>
      <c r="AU623" s="407">
        <v>0</v>
      </c>
      <c r="AV623" s="407">
        <v>0</v>
      </c>
      <c r="AW623" s="407">
        <v>0</v>
      </c>
      <c r="AX623" s="407">
        <v>0</v>
      </c>
      <c r="AY623" s="407">
        <v>0</v>
      </c>
      <c r="AZ623" s="407">
        <v>0</v>
      </c>
      <c r="BA623" s="407"/>
      <c r="BB623" s="407">
        <v>0</v>
      </c>
      <c r="BC623" s="407">
        <v>0</v>
      </c>
      <c r="BD623" s="407">
        <v>0</v>
      </c>
      <c r="BE623" s="407">
        <v>0</v>
      </c>
      <c r="BF623" s="407">
        <v>0</v>
      </c>
      <c r="BG623" s="407">
        <v>-95.466308887522203</v>
      </c>
      <c r="BH623" s="407">
        <v>0</v>
      </c>
      <c r="BI623" s="407">
        <v>0</v>
      </c>
      <c r="BJ623" s="407">
        <v>0</v>
      </c>
      <c r="BK623" s="407">
        <v>0</v>
      </c>
      <c r="BL623" s="407">
        <v>0</v>
      </c>
      <c r="BM623" s="407"/>
      <c r="BN623" s="407"/>
      <c r="BO623" s="407"/>
      <c r="BP623" s="407"/>
      <c r="BQ623" s="407"/>
      <c r="BR623" s="407">
        <v>-621.72056000000009</v>
      </c>
      <c r="BS623" s="407"/>
      <c r="BT623" s="407"/>
      <c r="BU623" s="407"/>
      <c r="BV623" s="407">
        <v>-1401.4920180141291</v>
      </c>
      <c r="BW623" s="407"/>
      <c r="BX623" s="407"/>
      <c r="BY623" s="407"/>
      <c r="BZ623" s="407"/>
      <c r="CA623" s="407"/>
      <c r="CB623" s="407"/>
      <c r="CC623" s="407"/>
      <c r="CD623" s="407"/>
      <c r="CE623" s="407"/>
      <c r="CF623" s="407"/>
      <c r="CG623" s="407"/>
      <c r="CH623" s="407"/>
      <c r="CI623" s="407">
        <v>-4560.2480000000005</v>
      </c>
      <c r="CJ623" s="407">
        <v>1459.707879999999</v>
      </c>
      <c r="CK623" s="407"/>
      <c r="CL623" s="407"/>
      <c r="CM623" s="407"/>
      <c r="CN623" s="407"/>
      <c r="CO623" s="407">
        <v>1892.5980000000004</v>
      </c>
      <c r="CP623" s="407">
        <v>-232.61596</v>
      </c>
      <c r="CQ623" s="407">
        <v>30</v>
      </c>
      <c r="CR623" s="407">
        <v>-146.10702455659521</v>
      </c>
      <c r="CS623" s="407">
        <v>0</v>
      </c>
      <c r="CT623" s="407">
        <v>0</v>
      </c>
      <c r="CU623" s="407">
        <v>0</v>
      </c>
      <c r="CV623" s="407">
        <v>0</v>
      </c>
      <c r="CW623" s="407">
        <v>0</v>
      </c>
      <c r="CX623" s="407">
        <v>0</v>
      </c>
      <c r="CY623" s="407">
        <v>0</v>
      </c>
      <c r="CZ623" s="407">
        <v>-44.61840021321018</v>
      </c>
      <c r="DA623" s="407">
        <v>0</v>
      </c>
      <c r="DB623" s="407">
        <v>0</v>
      </c>
      <c r="DC623" s="407">
        <v>-258.94962909902006</v>
      </c>
      <c r="DD623" s="407">
        <v>0</v>
      </c>
      <c r="DE623" s="407">
        <v>0</v>
      </c>
      <c r="DF623" s="407">
        <v>0</v>
      </c>
      <c r="DG623" s="407">
        <v>-18.928390999598619</v>
      </c>
      <c r="DH623" s="407">
        <v>0</v>
      </c>
      <c r="DI623" s="407">
        <v>36.755511553303904</v>
      </c>
      <c r="DJ623" s="407"/>
      <c r="DK623" s="407">
        <v>0</v>
      </c>
      <c r="DL623" s="407">
        <v>0</v>
      </c>
      <c r="DM623" s="407">
        <v>0</v>
      </c>
      <c r="DN623" s="407">
        <v>0</v>
      </c>
      <c r="DO623" s="407">
        <v>4.9474147937885107</v>
      </c>
      <c r="DP623" s="407">
        <v>1.1196396756242422</v>
      </c>
      <c r="DQ623" s="407">
        <v>0</v>
      </c>
      <c r="DR623" s="407">
        <v>133.56682973251694</v>
      </c>
      <c r="DS623" s="407"/>
      <c r="DT623" s="407"/>
      <c r="DU623" s="407"/>
      <c r="DV623" s="407">
        <v>-3535.7794499849683</v>
      </c>
      <c r="DW623" s="407">
        <v>0</v>
      </c>
      <c r="DX623" s="407">
        <v>0</v>
      </c>
      <c r="DY623" s="407">
        <v>1892.5980000000009</v>
      </c>
      <c r="DZ623" s="407">
        <v>-232.61596000000009</v>
      </c>
      <c r="EA623" s="407">
        <v>0</v>
      </c>
      <c r="EB623" s="407">
        <v>0</v>
      </c>
      <c r="EC623" s="407">
        <v>1806.0843553362513</v>
      </c>
      <c r="ED623" s="407">
        <v>0</v>
      </c>
      <c r="EE623" s="407">
        <v>0</v>
      </c>
      <c r="EF623" s="407">
        <v>0</v>
      </c>
      <c r="EG623" s="407">
        <v>0</v>
      </c>
      <c r="EH623" s="407">
        <v>0</v>
      </c>
      <c r="EI623" s="407">
        <v>0</v>
      </c>
      <c r="EJ623" s="407">
        <v>0</v>
      </c>
      <c r="EK623" s="407">
        <v>0</v>
      </c>
      <c r="EL623" s="407">
        <v>0</v>
      </c>
      <c r="EM623" s="407">
        <v>0</v>
      </c>
      <c r="EN623" s="407">
        <v>0</v>
      </c>
      <c r="EO623" s="407">
        <v>0</v>
      </c>
      <c r="EP623" s="407">
        <v>-248.57136323432024</v>
      </c>
      <c r="EQ623" s="407">
        <v>0</v>
      </c>
      <c r="ER623" s="407">
        <v>0</v>
      </c>
      <c r="ES623" s="407">
        <v>0</v>
      </c>
      <c r="ET623" s="407">
        <v>0</v>
      </c>
      <c r="EU623" s="407">
        <v>0</v>
      </c>
      <c r="EV623" s="407">
        <v>246</v>
      </c>
      <c r="EW623" s="407">
        <v>0</v>
      </c>
      <c r="EX623" s="407">
        <v>0</v>
      </c>
      <c r="EY623" s="407">
        <v>0</v>
      </c>
      <c r="EZ623" s="407"/>
      <c r="FA623" s="407">
        <v>0</v>
      </c>
      <c r="FB623" s="407"/>
      <c r="FC623" s="407"/>
      <c r="FD623" s="407"/>
      <c r="FE623" s="407"/>
      <c r="FF623" s="407">
        <v>0</v>
      </c>
      <c r="FG623" s="407">
        <v>0</v>
      </c>
      <c r="FH623" s="407">
        <v>0</v>
      </c>
      <c r="FI623" s="407">
        <v>0</v>
      </c>
    </row>
    <row r="624" spans="1:165">
      <c r="A624" s="407">
        <v>647</v>
      </c>
      <c r="B624" s="407" t="s">
        <v>2309</v>
      </c>
      <c r="C624" s="407" t="s">
        <v>2306</v>
      </c>
      <c r="D624" s="407" t="s">
        <v>2315</v>
      </c>
      <c r="E624" s="407" t="s">
        <v>1026</v>
      </c>
      <c r="F624" s="407" t="s">
        <v>2323</v>
      </c>
      <c r="G624" s="407" t="s">
        <v>2324</v>
      </c>
      <c r="H624" s="407" t="s">
        <v>97</v>
      </c>
      <c r="I624" s="407" t="s">
        <v>97</v>
      </c>
      <c r="J624" s="407" t="s">
        <v>2307</v>
      </c>
      <c r="K624" s="818">
        <v>44652</v>
      </c>
      <c r="L624" s="407">
        <v>0</v>
      </c>
      <c r="M624" s="407">
        <v>0</v>
      </c>
      <c r="N624" s="407">
        <v>0.3</v>
      </c>
      <c r="O624" s="407">
        <v>0.3</v>
      </c>
      <c r="P624" s="407">
        <v>0.3</v>
      </c>
      <c r="Q624" s="407">
        <v>0.3</v>
      </c>
      <c r="R624" s="407"/>
      <c r="S624" s="407">
        <v>648.44000000000005</v>
      </c>
      <c r="T624" s="407">
        <v>159.41</v>
      </c>
      <c r="U624" s="407"/>
      <c r="V624" s="407">
        <v>242.35500000000002</v>
      </c>
      <c r="W624" s="407">
        <v>242.35500000000002</v>
      </c>
      <c r="X624" s="407">
        <v>183.54599999999999</v>
      </c>
      <c r="Y624" s="407">
        <v>0</v>
      </c>
      <c r="Z624" s="407">
        <v>18.591075189002009</v>
      </c>
      <c r="AA624" s="407">
        <v>0</v>
      </c>
      <c r="AB624" s="407">
        <v>0</v>
      </c>
      <c r="AC624" s="407">
        <v>0</v>
      </c>
      <c r="AD624" s="407">
        <v>34.993327863574798</v>
      </c>
      <c r="AE624" s="407">
        <v>125.2637972361231</v>
      </c>
      <c r="AF624" s="407">
        <v>46.269215013932694</v>
      </c>
      <c r="AG624" s="407">
        <v>1.554524171433213</v>
      </c>
      <c r="AH624" s="407">
        <v>0</v>
      </c>
      <c r="AI624" s="407">
        <v>0</v>
      </c>
      <c r="AJ624" s="407">
        <v>0</v>
      </c>
      <c r="AK624" s="407">
        <v>0</v>
      </c>
      <c r="AL624" s="407">
        <v>2.8728166052226389</v>
      </c>
      <c r="AM624" s="407"/>
      <c r="AN624" s="407">
        <v>0.62252869214350792</v>
      </c>
      <c r="AO624" s="407">
        <v>0</v>
      </c>
      <c r="AP624" s="407">
        <v>0</v>
      </c>
      <c r="AQ624" s="407">
        <v>0</v>
      </c>
      <c r="AR624" s="407">
        <v>0</v>
      </c>
      <c r="AS624" s="407">
        <v>0</v>
      </c>
      <c r="AT624" s="407">
        <v>0</v>
      </c>
      <c r="AU624" s="407">
        <v>0</v>
      </c>
      <c r="AV624" s="407">
        <v>0</v>
      </c>
      <c r="AW624" s="407">
        <v>0</v>
      </c>
      <c r="AX624" s="407">
        <v>0</v>
      </c>
      <c r="AY624" s="407">
        <v>0</v>
      </c>
      <c r="AZ624" s="407">
        <v>0</v>
      </c>
      <c r="BA624" s="407"/>
      <c r="BB624" s="407">
        <v>0</v>
      </c>
      <c r="BC624" s="407">
        <v>0</v>
      </c>
      <c r="BD624" s="407">
        <v>0</v>
      </c>
      <c r="BE624" s="407">
        <v>0</v>
      </c>
      <c r="BF624" s="407">
        <v>0</v>
      </c>
      <c r="BG624" s="407">
        <v>3.3821318689485902</v>
      </c>
      <c r="BH624" s="407">
        <v>0</v>
      </c>
      <c r="BI624" s="407">
        <v>0</v>
      </c>
      <c r="BJ624" s="407">
        <v>0</v>
      </c>
      <c r="BK624" s="407">
        <v>0</v>
      </c>
      <c r="BL624" s="407">
        <v>0</v>
      </c>
      <c r="BM624" s="407"/>
      <c r="BN624" s="407"/>
      <c r="BO624" s="407"/>
      <c r="BP624" s="407"/>
      <c r="BQ624" s="407"/>
      <c r="BR624" s="407">
        <v>22.026000000000003</v>
      </c>
      <c r="BS624" s="407"/>
      <c r="BT624" s="407"/>
      <c r="BU624" s="407"/>
      <c r="BV624" s="407">
        <v>49.651346882881285</v>
      </c>
      <c r="BW624" s="407"/>
      <c r="BX624" s="407"/>
      <c r="BY624" s="407"/>
      <c r="BZ624" s="407"/>
      <c r="CA624" s="407"/>
      <c r="CB624" s="407"/>
      <c r="CC624" s="407"/>
      <c r="CD624" s="407"/>
      <c r="CE624" s="407"/>
      <c r="CF624" s="407"/>
      <c r="CG624" s="407"/>
      <c r="CH624" s="407"/>
      <c r="CI624" s="407">
        <v>161.51999999999998</v>
      </c>
      <c r="CJ624" s="407">
        <v>-51.782999999999987</v>
      </c>
      <c r="CK624" s="407"/>
      <c r="CL624" s="407"/>
      <c r="CM624" s="407"/>
      <c r="CN624" s="407"/>
      <c r="CO624" s="407">
        <v>-67.050000000000011</v>
      </c>
      <c r="CP624" s="407">
        <v>8.2409999999999997</v>
      </c>
      <c r="CQ624" s="407">
        <v>30</v>
      </c>
      <c r="CR624" s="407">
        <v>5.1762054046974981</v>
      </c>
      <c r="CS624" s="407">
        <v>0</v>
      </c>
      <c r="CT624" s="407">
        <v>0</v>
      </c>
      <c r="CU624" s="407">
        <v>0</v>
      </c>
      <c r="CV624" s="407">
        <v>0</v>
      </c>
      <c r="CW624" s="407">
        <v>0</v>
      </c>
      <c r="CX624" s="407">
        <v>0</v>
      </c>
      <c r="CY624" s="407">
        <v>0</v>
      </c>
      <c r="CZ624" s="407">
        <v>1.5807180047193015</v>
      </c>
      <c r="DA624" s="407">
        <v>0</v>
      </c>
      <c r="DB624" s="407">
        <v>0</v>
      </c>
      <c r="DC624" s="407">
        <v>9.1739358443205035</v>
      </c>
      <c r="DD624" s="407">
        <v>0</v>
      </c>
      <c r="DE624" s="407">
        <v>0</v>
      </c>
      <c r="DF624" s="407">
        <v>0</v>
      </c>
      <c r="DG624" s="407">
        <v>0.67058541566834995</v>
      </c>
      <c r="DH624" s="407">
        <v>0</v>
      </c>
      <c r="DI624" s="407">
        <v>-1.3021555817183703</v>
      </c>
      <c r="DJ624" s="407"/>
      <c r="DK624" s="407">
        <v>0</v>
      </c>
      <c r="DL624" s="407">
        <v>0</v>
      </c>
      <c r="DM624" s="407">
        <v>0</v>
      </c>
      <c r="DN624" s="407">
        <v>0</v>
      </c>
      <c r="DO624" s="407">
        <v>-0.17527449670955964</v>
      </c>
      <c r="DP624" s="407">
        <v>-3.9666025352771972E-2</v>
      </c>
      <c r="DQ624" s="407">
        <v>0</v>
      </c>
      <c r="DR624" s="407">
        <v>-4.7319377562299341</v>
      </c>
      <c r="DS624" s="407"/>
      <c r="DT624" s="407"/>
      <c r="DU624" s="407"/>
      <c r="DV624" s="407">
        <v>125.2637972361231</v>
      </c>
      <c r="DW624" s="407">
        <v>0</v>
      </c>
      <c r="DX624" s="407">
        <v>0</v>
      </c>
      <c r="DY624" s="407">
        <v>-67.050000000000011</v>
      </c>
      <c r="DZ624" s="407">
        <v>8.2409999999999997</v>
      </c>
      <c r="EA624" s="407">
        <v>0</v>
      </c>
      <c r="EB624" s="407">
        <v>0</v>
      </c>
      <c r="EC624" s="407">
        <v>-63.985038568832692</v>
      </c>
      <c r="ED624" s="407">
        <v>0</v>
      </c>
      <c r="EE624" s="407">
        <v>0</v>
      </c>
      <c r="EF624" s="407">
        <v>0</v>
      </c>
      <c r="EG624" s="407">
        <v>0</v>
      </c>
      <c r="EH624" s="407">
        <v>0</v>
      </c>
      <c r="EI624" s="407">
        <v>0</v>
      </c>
      <c r="EJ624" s="407">
        <v>0</v>
      </c>
      <c r="EK624" s="407">
        <v>0</v>
      </c>
      <c r="EL624" s="407">
        <v>0</v>
      </c>
      <c r="EM624" s="407">
        <v>0</v>
      </c>
      <c r="EN624" s="407">
        <v>0</v>
      </c>
      <c r="EO624" s="407">
        <v>0</v>
      </c>
      <c r="EP624" s="407">
        <v>8.8062599161898998</v>
      </c>
      <c r="EQ624" s="407">
        <v>0</v>
      </c>
      <c r="ER624" s="407">
        <v>0</v>
      </c>
      <c r="ES624" s="407">
        <v>0</v>
      </c>
      <c r="ET624" s="407">
        <v>0</v>
      </c>
      <c r="EU624" s="407">
        <v>0</v>
      </c>
      <c r="EV624" s="407">
        <v>246</v>
      </c>
      <c r="EW624" s="407">
        <v>0</v>
      </c>
      <c r="EX624" s="407">
        <v>0</v>
      </c>
      <c r="EY624" s="407">
        <v>0</v>
      </c>
      <c r="EZ624" s="407"/>
      <c r="FA624" s="407">
        <v>0</v>
      </c>
      <c r="FB624" s="407"/>
      <c r="FC624" s="407"/>
      <c r="FD624" s="407"/>
      <c r="FE624" s="407"/>
      <c r="FF624" s="407">
        <v>0</v>
      </c>
      <c r="FG624" s="407">
        <v>0</v>
      </c>
      <c r="FH624" s="407">
        <v>0</v>
      </c>
      <c r="FI624" s="407">
        <v>0</v>
      </c>
    </row>
    <row r="625" spans="1:165">
      <c r="A625" s="407">
        <v>648</v>
      </c>
      <c r="B625" s="407" t="s">
        <v>1090</v>
      </c>
      <c r="C625" s="407" t="s">
        <v>2306</v>
      </c>
      <c r="D625" s="407" t="s">
        <v>2315</v>
      </c>
      <c r="E625" s="407" t="s">
        <v>1026</v>
      </c>
      <c r="F625" s="407" t="s">
        <v>2323</v>
      </c>
      <c r="G625" s="407" t="s">
        <v>2325</v>
      </c>
      <c r="H625" s="407" t="s">
        <v>97</v>
      </c>
      <c r="I625" s="407" t="s">
        <v>97</v>
      </c>
      <c r="J625" s="407" t="s">
        <v>2307</v>
      </c>
      <c r="K625" s="818">
        <v>44652</v>
      </c>
      <c r="L625" s="407">
        <v>0</v>
      </c>
      <c r="M625" s="407">
        <v>0</v>
      </c>
      <c r="N625" s="407">
        <v>3.3490000000000002</v>
      </c>
      <c r="O625" s="407">
        <v>1.3395999999999999</v>
      </c>
      <c r="P625" s="407">
        <v>3.3490000000000002</v>
      </c>
      <c r="Q625" s="407">
        <v>1.3395999999999999</v>
      </c>
      <c r="R625" s="407"/>
      <c r="S625" s="407">
        <v>648.44000000000005</v>
      </c>
      <c r="T625" s="407">
        <v>159.41</v>
      </c>
      <c r="U625" s="407"/>
      <c r="V625" s="407">
        <v>2705.4896500000004</v>
      </c>
      <c r="W625" s="407">
        <v>2705.4896500000004</v>
      </c>
      <c r="X625" s="407">
        <v>2048.9851800000001</v>
      </c>
      <c r="Y625" s="407">
        <v>0</v>
      </c>
      <c r="Z625" s="407">
        <v>207.53836935989247</v>
      </c>
      <c r="AA625" s="407">
        <v>0</v>
      </c>
      <c r="AB625" s="407">
        <v>0</v>
      </c>
      <c r="AC625" s="407">
        <v>0</v>
      </c>
      <c r="AD625" s="407">
        <v>390.64218338370671</v>
      </c>
      <c r="AE625" s="407">
        <v>1398.361523145921</v>
      </c>
      <c r="AF625" s="407">
        <v>516.51867027220203</v>
      </c>
      <c r="AG625" s="407">
        <v>17.353671500432771</v>
      </c>
      <c r="AH625" s="407">
        <v>0</v>
      </c>
      <c r="AI625" s="407">
        <v>0</v>
      </c>
      <c r="AJ625" s="407">
        <v>0</v>
      </c>
      <c r="AK625" s="407">
        <v>0</v>
      </c>
      <c r="AL625" s="407">
        <v>32.0702093696354</v>
      </c>
      <c r="AM625" s="407"/>
      <c r="AN625" s="407">
        <v>6.9494952999620274</v>
      </c>
      <c r="AO625" s="407">
        <v>0</v>
      </c>
      <c r="AP625" s="407">
        <v>0</v>
      </c>
      <c r="AQ625" s="407">
        <v>0</v>
      </c>
      <c r="AR625" s="407">
        <v>0</v>
      </c>
      <c r="AS625" s="407">
        <v>0</v>
      </c>
      <c r="AT625" s="407">
        <v>0</v>
      </c>
      <c r="AU625" s="407">
        <v>0</v>
      </c>
      <c r="AV625" s="407">
        <v>0</v>
      </c>
      <c r="AW625" s="407">
        <v>0</v>
      </c>
      <c r="AX625" s="407">
        <v>0</v>
      </c>
      <c r="AY625" s="407">
        <v>0</v>
      </c>
      <c r="AZ625" s="407">
        <v>0</v>
      </c>
      <c r="BA625" s="407"/>
      <c r="BB625" s="407">
        <v>0</v>
      </c>
      <c r="BC625" s="407">
        <v>0</v>
      </c>
      <c r="BD625" s="407">
        <v>0</v>
      </c>
      <c r="BE625" s="407">
        <v>0</v>
      </c>
      <c r="BF625" s="407">
        <v>0</v>
      </c>
      <c r="BG625" s="407">
        <v>37.755865430362761</v>
      </c>
      <c r="BH625" s="407">
        <v>0</v>
      </c>
      <c r="BI625" s="407">
        <v>0</v>
      </c>
      <c r="BJ625" s="407">
        <v>0</v>
      </c>
      <c r="BK625" s="407">
        <v>0</v>
      </c>
      <c r="BL625" s="407">
        <v>0</v>
      </c>
      <c r="BM625" s="407"/>
      <c r="BN625" s="407"/>
      <c r="BO625" s="407"/>
      <c r="BP625" s="407"/>
      <c r="BQ625" s="407"/>
      <c r="BR625" s="407"/>
      <c r="BS625" s="407">
        <v>1327.7445399999999</v>
      </c>
      <c r="BT625" s="407"/>
      <c r="BU625" s="407"/>
      <c r="BV625" s="407">
        <v>554.27453570256478</v>
      </c>
      <c r="BW625" s="407"/>
      <c r="BX625" s="407"/>
      <c r="BY625" s="407"/>
      <c r="BZ625" s="407"/>
      <c r="CA625" s="407"/>
      <c r="CB625" s="407"/>
      <c r="CC625" s="407"/>
      <c r="CD625" s="407"/>
      <c r="CE625" s="407"/>
      <c r="CF625" s="407"/>
      <c r="CG625" s="407"/>
      <c r="CH625" s="407"/>
      <c r="CI625" s="407">
        <v>721.45600000000002</v>
      </c>
      <c r="CJ625" s="407">
        <v>-230.9090359999999</v>
      </c>
      <c r="CK625" s="407"/>
      <c r="CL625" s="407"/>
      <c r="CM625" s="407"/>
      <c r="CN625" s="407"/>
      <c r="CO625" s="407">
        <v>-748.50150000000019</v>
      </c>
      <c r="CP625" s="407">
        <v>91.997029999999995</v>
      </c>
      <c r="CQ625" s="407">
        <v>30</v>
      </c>
      <c r="CR625" s="407">
        <v>57.783706334439785</v>
      </c>
      <c r="CS625" s="407">
        <v>0</v>
      </c>
      <c r="CT625" s="407">
        <v>0</v>
      </c>
      <c r="CU625" s="407">
        <v>0</v>
      </c>
      <c r="CV625" s="407">
        <v>0</v>
      </c>
      <c r="CW625" s="407">
        <v>0</v>
      </c>
      <c r="CX625" s="407">
        <v>0</v>
      </c>
      <c r="CY625" s="407">
        <v>0</v>
      </c>
      <c r="CZ625" s="407">
        <v>17.646081992683094</v>
      </c>
      <c r="DA625" s="407">
        <v>0</v>
      </c>
      <c r="DB625" s="407">
        <v>0</v>
      </c>
      <c r="DC625" s="407">
        <v>102.41170380876451</v>
      </c>
      <c r="DD625" s="407">
        <v>0</v>
      </c>
      <c r="DE625" s="407">
        <v>0</v>
      </c>
      <c r="DF625" s="407">
        <v>0</v>
      </c>
      <c r="DG625" s="407">
        <v>7.4859685235776823</v>
      </c>
      <c r="DH625" s="407">
        <v>0</v>
      </c>
      <c r="DI625" s="407">
        <v>-14.536396810582744</v>
      </c>
      <c r="DJ625" s="407"/>
      <c r="DK625" s="407">
        <v>0</v>
      </c>
      <c r="DL625" s="407">
        <v>0</v>
      </c>
      <c r="DM625" s="407">
        <v>0</v>
      </c>
      <c r="DN625" s="407">
        <v>0</v>
      </c>
      <c r="DO625" s="407">
        <v>-1.9566476316010579</v>
      </c>
      <c r="DP625" s="407">
        <v>-0.44280506302144396</v>
      </c>
      <c r="DQ625" s="407">
        <v>0</v>
      </c>
      <c r="DR625" s="407">
        <v>-52.824198485380165</v>
      </c>
      <c r="DS625" s="407"/>
      <c r="DT625" s="407"/>
      <c r="DU625" s="407"/>
      <c r="DV625" s="407">
        <v>1398.361523145921</v>
      </c>
      <c r="DW625" s="407">
        <v>0</v>
      </c>
      <c r="DX625" s="407">
        <v>0</v>
      </c>
      <c r="DY625" s="407">
        <v>-748.50150000000031</v>
      </c>
      <c r="DZ625" s="407">
        <v>91.997029999999995</v>
      </c>
      <c r="EA625" s="407">
        <v>0</v>
      </c>
      <c r="EB625" s="407">
        <v>0</v>
      </c>
      <c r="EC625" s="407">
        <v>-714.28631389006898</v>
      </c>
      <c r="ED625" s="407">
        <v>0</v>
      </c>
      <c r="EE625" s="407">
        <v>0</v>
      </c>
      <c r="EF625" s="407">
        <v>0</v>
      </c>
      <c r="EG625" s="407">
        <v>0</v>
      </c>
      <c r="EH625" s="407">
        <v>0</v>
      </c>
      <c r="EI625" s="407">
        <v>0</v>
      </c>
      <c r="EJ625" s="407">
        <v>0</v>
      </c>
      <c r="EK625" s="407">
        <v>0</v>
      </c>
      <c r="EL625" s="407">
        <v>0</v>
      </c>
      <c r="EM625" s="407">
        <v>0</v>
      </c>
      <c r="EN625" s="407">
        <v>0</v>
      </c>
      <c r="EO625" s="407">
        <v>0</v>
      </c>
      <c r="EP625" s="407">
        <v>98.307214864399924</v>
      </c>
      <c r="EQ625" s="407">
        <v>0</v>
      </c>
      <c r="ER625" s="407">
        <v>0</v>
      </c>
      <c r="ES625" s="407">
        <v>0</v>
      </c>
      <c r="ET625" s="407">
        <v>0</v>
      </c>
      <c r="EU625" s="407">
        <v>0</v>
      </c>
      <c r="EV625" s="407">
        <v>246</v>
      </c>
      <c r="EW625" s="407">
        <v>0</v>
      </c>
      <c r="EX625" s="407">
        <v>0</v>
      </c>
      <c r="EY625" s="407">
        <v>0</v>
      </c>
      <c r="EZ625" s="407"/>
      <c r="FA625" s="407">
        <v>0</v>
      </c>
      <c r="FB625" s="407"/>
      <c r="FC625" s="407"/>
      <c r="FD625" s="407"/>
      <c r="FE625" s="407"/>
      <c r="FF625" s="407">
        <v>0</v>
      </c>
      <c r="FG625" s="407">
        <v>0</v>
      </c>
      <c r="FH625" s="407">
        <v>0</v>
      </c>
      <c r="FI625" s="407">
        <v>0</v>
      </c>
    </row>
    <row r="626" spans="1:165">
      <c r="A626" s="407">
        <v>649</v>
      </c>
      <c r="B626" s="407" t="s">
        <v>2308</v>
      </c>
      <c r="C626" s="407" t="s">
        <v>2306</v>
      </c>
      <c r="D626" s="407" t="s">
        <v>2315</v>
      </c>
      <c r="E626" s="407" t="s">
        <v>1026</v>
      </c>
      <c r="F626" s="407" t="s">
        <v>2323</v>
      </c>
      <c r="G626" s="407" t="s">
        <v>2325</v>
      </c>
      <c r="H626" s="407" t="s">
        <v>97</v>
      </c>
      <c r="I626" s="407" t="s">
        <v>97</v>
      </c>
      <c r="J626" s="407" t="s">
        <v>2307</v>
      </c>
      <c r="K626" s="818">
        <v>44652</v>
      </c>
      <c r="L626" s="407">
        <v>0</v>
      </c>
      <c r="M626" s="407">
        <v>0</v>
      </c>
      <c r="N626" s="407">
        <v>-2.7519999999999998</v>
      </c>
      <c r="O626" s="407">
        <v>-1.1008</v>
      </c>
      <c r="P626" s="407">
        <v>-2.7519999999999998</v>
      </c>
      <c r="Q626" s="407">
        <v>-1.1008</v>
      </c>
      <c r="R626" s="407"/>
      <c r="S626" s="407">
        <v>648.44000000000005</v>
      </c>
      <c r="T626" s="407">
        <v>159.41</v>
      </c>
      <c r="U626" s="407"/>
      <c r="V626" s="407">
        <v>-2223.2031999999999</v>
      </c>
      <c r="W626" s="407">
        <v>-2223.2031999999999</v>
      </c>
      <c r="X626" s="407">
        <v>-1683.7286399999998</v>
      </c>
      <c r="Y626" s="407">
        <v>0</v>
      </c>
      <c r="Z626" s="407">
        <v>-170.54212973377844</v>
      </c>
      <c r="AA626" s="407">
        <v>0</v>
      </c>
      <c r="AB626" s="407">
        <v>0</v>
      </c>
      <c r="AC626" s="407">
        <v>0</v>
      </c>
      <c r="AD626" s="407">
        <v>-321.00546093519279</v>
      </c>
      <c r="AE626" s="407">
        <v>-1149.0865666460359</v>
      </c>
      <c r="AF626" s="407">
        <v>-424.44293239447592</v>
      </c>
      <c r="AG626" s="407">
        <v>-14.260168399280674</v>
      </c>
      <c r="AH626" s="407">
        <v>0</v>
      </c>
      <c r="AI626" s="407">
        <v>0</v>
      </c>
      <c r="AJ626" s="407">
        <v>0</v>
      </c>
      <c r="AK626" s="407">
        <v>0</v>
      </c>
      <c r="AL626" s="407">
        <v>-26.353304325242341</v>
      </c>
      <c r="AM626" s="407"/>
      <c r="AN626" s="407">
        <v>-5.7106632025964457</v>
      </c>
      <c r="AO626" s="407">
        <v>0</v>
      </c>
      <c r="AP626" s="407">
        <v>0</v>
      </c>
      <c r="AQ626" s="407">
        <v>0</v>
      </c>
      <c r="AR626" s="407">
        <v>0</v>
      </c>
      <c r="AS626" s="407">
        <v>0</v>
      </c>
      <c r="AT626" s="407">
        <v>0</v>
      </c>
      <c r="AU626" s="407">
        <v>0</v>
      </c>
      <c r="AV626" s="407">
        <v>0</v>
      </c>
      <c r="AW626" s="407">
        <v>0</v>
      </c>
      <c r="AX626" s="407">
        <v>0</v>
      </c>
      <c r="AY626" s="407">
        <v>0</v>
      </c>
      <c r="AZ626" s="407">
        <v>0</v>
      </c>
      <c r="BA626" s="407"/>
      <c r="BB626" s="407">
        <v>0</v>
      </c>
      <c r="BC626" s="407">
        <v>0</v>
      </c>
      <c r="BD626" s="407">
        <v>0</v>
      </c>
      <c r="BE626" s="407">
        <v>0</v>
      </c>
      <c r="BF626" s="407">
        <v>0</v>
      </c>
      <c r="BG626" s="407">
        <v>-31.025423011155063</v>
      </c>
      <c r="BH626" s="407">
        <v>0</v>
      </c>
      <c r="BI626" s="407">
        <v>0</v>
      </c>
      <c r="BJ626" s="407">
        <v>0</v>
      </c>
      <c r="BK626" s="407">
        <v>0</v>
      </c>
      <c r="BL626" s="407">
        <v>0</v>
      </c>
      <c r="BM626" s="407"/>
      <c r="BN626" s="407"/>
      <c r="BO626" s="407"/>
      <c r="BP626" s="407"/>
      <c r="BQ626" s="407"/>
      <c r="BR626" s="407"/>
      <c r="BS626" s="407">
        <v>-1091.05792</v>
      </c>
      <c r="BT626" s="407"/>
      <c r="BU626" s="407"/>
      <c r="BV626" s="407">
        <v>-455.46835540563097</v>
      </c>
      <c r="BW626" s="407"/>
      <c r="BX626" s="407"/>
      <c r="BY626" s="407"/>
      <c r="BZ626" s="407"/>
      <c r="CA626" s="407"/>
      <c r="CB626" s="407"/>
      <c r="CC626" s="407"/>
      <c r="CD626" s="407"/>
      <c r="CE626" s="407"/>
      <c r="CF626" s="407"/>
      <c r="CG626" s="407"/>
      <c r="CH626" s="407"/>
      <c r="CI626" s="407">
        <v>-592.24</v>
      </c>
      <c r="CJ626" s="407">
        <v>190.29972799999996</v>
      </c>
      <c r="CK626" s="407"/>
      <c r="CL626" s="407"/>
      <c r="CM626" s="407"/>
      <c r="CN626" s="407"/>
      <c r="CO626" s="407">
        <v>615.07200000000012</v>
      </c>
      <c r="CP626" s="407">
        <v>-75.597439999999992</v>
      </c>
      <c r="CQ626" s="407">
        <v>30</v>
      </c>
      <c r="CR626" s="407">
        <v>-47.483057579092019</v>
      </c>
      <c r="CS626" s="407">
        <v>0</v>
      </c>
      <c r="CT626" s="407">
        <v>0</v>
      </c>
      <c r="CU626" s="407">
        <v>0</v>
      </c>
      <c r="CV626" s="407">
        <v>0</v>
      </c>
      <c r="CW626" s="407">
        <v>0</v>
      </c>
      <c r="CX626" s="407">
        <v>0</v>
      </c>
      <c r="CY626" s="407">
        <v>0</v>
      </c>
      <c r="CZ626" s="407">
        <v>-14.500453163291752</v>
      </c>
      <c r="DA626" s="407">
        <v>0</v>
      </c>
      <c r="DB626" s="407">
        <v>0</v>
      </c>
      <c r="DC626" s="407">
        <v>-84.155571478566742</v>
      </c>
      <c r="DD626" s="407">
        <v>0</v>
      </c>
      <c r="DE626" s="407">
        <v>0</v>
      </c>
      <c r="DF626" s="407">
        <v>0</v>
      </c>
      <c r="DG626" s="407">
        <v>-6.1515035463976631</v>
      </c>
      <c r="DH626" s="407">
        <v>0</v>
      </c>
      <c r="DI626" s="407">
        <v>11.945107202963186</v>
      </c>
      <c r="DJ626" s="407"/>
      <c r="DK626" s="407">
        <v>0</v>
      </c>
      <c r="DL626" s="407">
        <v>0</v>
      </c>
      <c r="DM626" s="407">
        <v>0</v>
      </c>
      <c r="DN626" s="407">
        <v>0</v>
      </c>
      <c r="DO626" s="407">
        <v>1.6078513831490291</v>
      </c>
      <c r="DP626" s="407">
        <v>0.36386967256942793</v>
      </c>
      <c r="DQ626" s="407">
        <v>0</v>
      </c>
      <c r="DR626" s="407">
        <v>43.40764235048259</v>
      </c>
      <c r="DS626" s="407"/>
      <c r="DT626" s="407"/>
      <c r="DU626" s="407"/>
      <c r="DV626" s="407">
        <v>-1149.0865666460359</v>
      </c>
      <c r="DW626" s="407">
        <v>0</v>
      </c>
      <c r="DX626" s="407">
        <v>0</v>
      </c>
      <c r="DY626" s="407">
        <v>615.07200000000012</v>
      </c>
      <c r="DZ626" s="407">
        <v>-75.597439999999949</v>
      </c>
      <c r="EA626" s="407">
        <v>0</v>
      </c>
      <c r="EB626" s="407">
        <v>0</v>
      </c>
      <c r="EC626" s="407">
        <v>586.9560871380919</v>
      </c>
      <c r="ED626" s="407">
        <v>0</v>
      </c>
      <c r="EE626" s="407">
        <v>0</v>
      </c>
      <c r="EF626" s="407">
        <v>0</v>
      </c>
      <c r="EG626" s="407">
        <v>0</v>
      </c>
      <c r="EH626" s="407">
        <v>0</v>
      </c>
      <c r="EI626" s="407">
        <v>0</v>
      </c>
      <c r="EJ626" s="407">
        <v>0</v>
      </c>
      <c r="EK626" s="407">
        <v>0</v>
      </c>
      <c r="EL626" s="407">
        <v>0</v>
      </c>
      <c r="EM626" s="407">
        <v>0</v>
      </c>
      <c r="EN626" s="407">
        <v>0</v>
      </c>
      <c r="EO626" s="407">
        <v>0</v>
      </c>
      <c r="EP626" s="407">
        <v>-80.782757631182008</v>
      </c>
      <c r="EQ626" s="407">
        <v>0</v>
      </c>
      <c r="ER626" s="407">
        <v>0</v>
      </c>
      <c r="ES626" s="407">
        <v>0</v>
      </c>
      <c r="ET626" s="407">
        <v>0</v>
      </c>
      <c r="EU626" s="407">
        <v>0</v>
      </c>
      <c r="EV626" s="407">
        <v>246</v>
      </c>
      <c r="EW626" s="407">
        <v>0</v>
      </c>
      <c r="EX626" s="407">
        <v>0</v>
      </c>
      <c r="EY626" s="407">
        <v>0</v>
      </c>
      <c r="EZ626" s="407"/>
      <c r="FA626" s="407">
        <v>0</v>
      </c>
      <c r="FB626" s="407"/>
      <c r="FC626" s="407"/>
      <c r="FD626" s="407"/>
      <c r="FE626" s="407"/>
      <c r="FF626" s="407">
        <v>0</v>
      </c>
      <c r="FG626" s="407">
        <v>0</v>
      </c>
      <c r="FH626" s="407">
        <v>0</v>
      </c>
      <c r="FI626" s="407">
        <v>0</v>
      </c>
    </row>
    <row r="627" spans="1:165">
      <c r="A627" s="407">
        <v>650</v>
      </c>
      <c r="B627" s="407" t="s">
        <v>2309</v>
      </c>
      <c r="C627" s="407" t="s">
        <v>2306</v>
      </c>
      <c r="D627" s="407" t="s">
        <v>2315</v>
      </c>
      <c r="E627" s="407" t="s">
        <v>1026</v>
      </c>
      <c r="F627" s="407" t="s">
        <v>2323</v>
      </c>
      <c r="G627" s="407" t="s">
        <v>2325</v>
      </c>
      <c r="H627" s="407" t="s">
        <v>97</v>
      </c>
      <c r="I627" s="407" t="s">
        <v>97</v>
      </c>
      <c r="J627" s="407" t="s">
        <v>2307</v>
      </c>
      <c r="K627" s="818">
        <v>44652</v>
      </c>
      <c r="L627" s="407">
        <v>0</v>
      </c>
      <c r="M627" s="407">
        <v>0</v>
      </c>
      <c r="N627" s="407">
        <v>0.1</v>
      </c>
      <c r="O627" s="407">
        <v>0.04</v>
      </c>
      <c r="P627" s="407">
        <v>0.1</v>
      </c>
      <c r="Q627" s="407">
        <v>0.04</v>
      </c>
      <c r="R627" s="407"/>
      <c r="S627" s="407">
        <v>648.44000000000005</v>
      </c>
      <c r="T627" s="407">
        <v>159.41</v>
      </c>
      <c r="U627" s="407"/>
      <c r="V627" s="407">
        <v>80.785000000000011</v>
      </c>
      <c r="W627" s="407">
        <v>80.785000000000011</v>
      </c>
      <c r="X627" s="407">
        <v>61.182000000000002</v>
      </c>
      <c r="Y627" s="407">
        <v>0</v>
      </c>
      <c r="Z627" s="407">
        <v>6.1970250630006705</v>
      </c>
      <c r="AA627" s="407">
        <v>0</v>
      </c>
      <c r="AB627" s="407">
        <v>0</v>
      </c>
      <c r="AC627" s="407">
        <v>0</v>
      </c>
      <c r="AD627" s="407">
        <v>11.664442621191601</v>
      </c>
      <c r="AE627" s="407">
        <v>41.754599078707706</v>
      </c>
      <c r="AF627" s="407">
        <v>15.4230716713109</v>
      </c>
      <c r="AG627" s="407">
        <v>0.5181747238110711</v>
      </c>
      <c r="AH627" s="407">
        <v>0</v>
      </c>
      <c r="AI627" s="407">
        <v>0</v>
      </c>
      <c r="AJ627" s="407">
        <v>0</v>
      </c>
      <c r="AK627" s="407">
        <v>0</v>
      </c>
      <c r="AL627" s="407">
        <v>0.95760553507421309</v>
      </c>
      <c r="AM627" s="407"/>
      <c r="AN627" s="407">
        <v>0.20750956404783599</v>
      </c>
      <c r="AO627" s="407">
        <v>0</v>
      </c>
      <c r="AP627" s="407">
        <v>0</v>
      </c>
      <c r="AQ627" s="407">
        <v>0</v>
      </c>
      <c r="AR627" s="407">
        <v>0</v>
      </c>
      <c r="AS627" s="407">
        <v>0</v>
      </c>
      <c r="AT627" s="407">
        <v>0</v>
      </c>
      <c r="AU627" s="407">
        <v>0</v>
      </c>
      <c r="AV627" s="407">
        <v>0</v>
      </c>
      <c r="AW627" s="407">
        <v>0</v>
      </c>
      <c r="AX627" s="407">
        <v>0</v>
      </c>
      <c r="AY627" s="407">
        <v>0</v>
      </c>
      <c r="AZ627" s="407">
        <v>0</v>
      </c>
      <c r="BA627" s="407"/>
      <c r="BB627" s="407">
        <v>0</v>
      </c>
      <c r="BC627" s="407">
        <v>0</v>
      </c>
      <c r="BD627" s="407">
        <v>0</v>
      </c>
      <c r="BE627" s="407">
        <v>0</v>
      </c>
      <c r="BF627" s="407">
        <v>0</v>
      </c>
      <c r="BG627" s="407">
        <v>1.12737728964953</v>
      </c>
      <c r="BH627" s="407">
        <v>0</v>
      </c>
      <c r="BI627" s="407">
        <v>0</v>
      </c>
      <c r="BJ627" s="407">
        <v>0</v>
      </c>
      <c r="BK627" s="407">
        <v>0</v>
      </c>
      <c r="BL627" s="407">
        <v>0</v>
      </c>
      <c r="BM627" s="407"/>
      <c r="BN627" s="407"/>
      <c r="BO627" s="407"/>
      <c r="BP627" s="407"/>
      <c r="BQ627" s="407"/>
      <c r="BR627" s="407"/>
      <c r="BS627" s="407">
        <v>39.646000000000008</v>
      </c>
      <c r="BT627" s="407"/>
      <c r="BU627" s="407"/>
      <c r="BV627" s="407">
        <v>16.550448960960431</v>
      </c>
      <c r="BW627" s="407"/>
      <c r="BX627" s="407"/>
      <c r="BY627" s="407"/>
      <c r="BZ627" s="407"/>
      <c r="CA627" s="407"/>
      <c r="CB627" s="407"/>
      <c r="CC627" s="407"/>
      <c r="CD627" s="407"/>
      <c r="CE627" s="407"/>
      <c r="CF627" s="407"/>
      <c r="CG627" s="407"/>
      <c r="CH627" s="407"/>
      <c r="CI627" s="407">
        <v>21.536000000000001</v>
      </c>
      <c r="CJ627" s="407">
        <v>-6.9304000000000023</v>
      </c>
      <c r="CK627" s="407"/>
      <c r="CL627" s="407"/>
      <c r="CM627" s="407"/>
      <c r="CN627" s="407"/>
      <c r="CO627" s="407">
        <v>-22.350000000000009</v>
      </c>
      <c r="CP627" s="407">
        <v>2.7469999999999999</v>
      </c>
      <c r="CQ627" s="407">
        <v>30</v>
      </c>
      <c r="CR627" s="407">
        <v>1.7254018015658303</v>
      </c>
      <c r="CS627" s="407">
        <v>0</v>
      </c>
      <c r="CT627" s="407">
        <v>0</v>
      </c>
      <c r="CU627" s="407">
        <v>0</v>
      </c>
      <c r="CV627" s="407">
        <v>0</v>
      </c>
      <c r="CW627" s="407">
        <v>0</v>
      </c>
      <c r="CX627" s="407">
        <v>0</v>
      </c>
      <c r="CY627" s="407">
        <v>0</v>
      </c>
      <c r="CZ627" s="407">
        <v>0.5269060015730993</v>
      </c>
      <c r="DA627" s="407">
        <v>0</v>
      </c>
      <c r="DB627" s="407">
        <v>0</v>
      </c>
      <c r="DC627" s="407">
        <v>3.0579786147735</v>
      </c>
      <c r="DD627" s="407">
        <v>0</v>
      </c>
      <c r="DE627" s="407">
        <v>0</v>
      </c>
      <c r="DF627" s="407">
        <v>0</v>
      </c>
      <c r="DG627" s="407">
        <v>0.22352847188945013</v>
      </c>
      <c r="DH627" s="407">
        <v>0</v>
      </c>
      <c r="DI627" s="407">
        <v>-0.4340518605727901</v>
      </c>
      <c r="DJ627" s="407"/>
      <c r="DK627" s="407">
        <v>0</v>
      </c>
      <c r="DL627" s="407">
        <v>0</v>
      </c>
      <c r="DM627" s="407">
        <v>0</v>
      </c>
      <c r="DN627" s="407">
        <v>0</v>
      </c>
      <c r="DO627" s="407">
        <v>-5.8424832236519952E-2</v>
      </c>
      <c r="DP627" s="407">
        <v>-1.3222008450923972E-2</v>
      </c>
      <c r="DQ627" s="407">
        <v>0</v>
      </c>
      <c r="DR627" s="407">
        <v>-1.5773125854099781</v>
      </c>
      <c r="DS627" s="407"/>
      <c r="DT627" s="407"/>
      <c r="DU627" s="407"/>
      <c r="DV627" s="407">
        <v>41.754599078707706</v>
      </c>
      <c r="DW627" s="407">
        <v>0</v>
      </c>
      <c r="DX627" s="407">
        <v>0</v>
      </c>
      <c r="DY627" s="407">
        <v>-22.350000000000009</v>
      </c>
      <c r="DZ627" s="407">
        <v>2.7469999999999981</v>
      </c>
      <c r="EA627" s="407">
        <v>0</v>
      </c>
      <c r="EB627" s="407">
        <v>0</v>
      </c>
      <c r="EC627" s="407">
        <v>-21.328346189610905</v>
      </c>
      <c r="ED627" s="407">
        <v>0</v>
      </c>
      <c r="EE627" s="407">
        <v>0</v>
      </c>
      <c r="EF627" s="407">
        <v>0</v>
      </c>
      <c r="EG627" s="407">
        <v>0</v>
      </c>
      <c r="EH627" s="407">
        <v>0</v>
      </c>
      <c r="EI627" s="407">
        <v>0</v>
      </c>
      <c r="EJ627" s="407">
        <v>0</v>
      </c>
      <c r="EK627" s="407">
        <v>0</v>
      </c>
      <c r="EL627" s="407">
        <v>0</v>
      </c>
      <c r="EM627" s="407">
        <v>0</v>
      </c>
      <c r="EN627" s="407">
        <v>0</v>
      </c>
      <c r="EO627" s="407">
        <v>0</v>
      </c>
      <c r="EP627" s="407">
        <v>2.9354199720633005</v>
      </c>
      <c r="EQ627" s="407">
        <v>0</v>
      </c>
      <c r="ER627" s="407">
        <v>0</v>
      </c>
      <c r="ES627" s="407">
        <v>0</v>
      </c>
      <c r="ET627" s="407">
        <v>0</v>
      </c>
      <c r="EU627" s="407">
        <v>0</v>
      </c>
      <c r="EV627" s="407">
        <v>246</v>
      </c>
      <c r="EW627" s="407">
        <v>0</v>
      </c>
      <c r="EX627" s="407">
        <v>0</v>
      </c>
      <c r="EY627" s="407">
        <v>0</v>
      </c>
      <c r="EZ627" s="407"/>
      <c r="FA627" s="407">
        <v>0</v>
      </c>
      <c r="FB627" s="407"/>
      <c r="FC627" s="407"/>
      <c r="FD627" s="407"/>
      <c r="FE627" s="407"/>
      <c r="FF627" s="407">
        <v>0</v>
      </c>
      <c r="FG627" s="407">
        <v>0</v>
      </c>
      <c r="FH627" s="407">
        <v>0</v>
      </c>
      <c r="FI627" s="407">
        <v>0</v>
      </c>
    </row>
    <row r="628" spans="1:165">
      <c r="A628" s="407">
        <v>651</v>
      </c>
      <c r="B628" s="407" t="s">
        <v>1090</v>
      </c>
      <c r="C628" s="407" t="s">
        <v>2314</v>
      </c>
      <c r="D628" s="407" t="s">
        <v>650</v>
      </c>
      <c r="E628" s="407" t="s">
        <v>1026</v>
      </c>
      <c r="F628" s="407" t="s">
        <v>2323</v>
      </c>
      <c r="G628" s="407" t="s">
        <v>97</v>
      </c>
      <c r="H628" s="407" t="s">
        <v>97</v>
      </c>
      <c r="I628" s="407" t="s">
        <v>1025</v>
      </c>
      <c r="J628" s="407" t="s">
        <v>2307</v>
      </c>
      <c r="K628" s="818">
        <v>44652</v>
      </c>
      <c r="L628" s="407">
        <v>0</v>
      </c>
      <c r="M628" s="407">
        <v>0</v>
      </c>
      <c r="N628" s="407">
        <v>1.3160000000000001</v>
      </c>
      <c r="O628" s="407">
        <v>1.26336</v>
      </c>
      <c r="P628" s="407">
        <v>1.3160000000000001</v>
      </c>
      <c r="Q628" s="407">
        <v>1.26336</v>
      </c>
      <c r="R628" s="407"/>
      <c r="S628" s="407">
        <v>2810.7</v>
      </c>
      <c r="T628" s="407">
        <v>159.41</v>
      </c>
      <c r="U628" s="407"/>
      <c r="V628" s="407">
        <v>3908.6647599999997</v>
      </c>
      <c r="W628" s="407">
        <v>3908.6647599999997</v>
      </c>
      <c r="X628" s="407">
        <v>2489.4640399999998</v>
      </c>
      <c r="Y628" s="407">
        <v>0</v>
      </c>
      <c r="Z628" s="407">
        <v>70.95097935130724</v>
      </c>
      <c r="AA628" s="407">
        <v>0</v>
      </c>
      <c r="AB628" s="407">
        <v>0</v>
      </c>
      <c r="AC628" s="407">
        <v>0</v>
      </c>
      <c r="AD628" s="407">
        <v>803.43852089687482</v>
      </c>
      <c r="AE628" s="407">
        <v>2770.0337977836639</v>
      </c>
      <c r="AF628" s="407">
        <v>202.96762319445145</v>
      </c>
      <c r="AG628" s="407">
        <v>6.819179365353695</v>
      </c>
      <c r="AH628" s="407">
        <v>0</v>
      </c>
      <c r="AI628" s="407">
        <v>0</v>
      </c>
      <c r="AJ628" s="407">
        <v>0</v>
      </c>
      <c r="AK628" s="407">
        <v>0</v>
      </c>
      <c r="AL628" s="407">
        <v>12.602088841576645</v>
      </c>
      <c r="AM628" s="407"/>
      <c r="AN628" s="407">
        <v>1.4130331330951313</v>
      </c>
      <c r="AO628" s="407">
        <v>0</v>
      </c>
      <c r="AP628" s="407">
        <v>0</v>
      </c>
      <c r="AQ628" s="407">
        <v>0</v>
      </c>
      <c r="AR628" s="407">
        <v>0</v>
      </c>
      <c r="AS628" s="407">
        <v>0</v>
      </c>
      <c r="AT628" s="407">
        <v>0</v>
      </c>
      <c r="AU628" s="407">
        <v>0</v>
      </c>
      <c r="AV628" s="407">
        <v>0</v>
      </c>
      <c r="AW628" s="407">
        <v>0</v>
      </c>
      <c r="AX628" s="407">
        <v>0</v>
      </c>
      <c r="AY628" s="407">
        <v>0</v>
      </c>
      <c r="AZ628" s="407">
        <v>0</v>
      </c>
      <c r="BA628" s="407"/>
      <c r="BB628" s="407">
        <v>0</v>
      </c>
      <c r="BC628" s="407">
        <v>0</v>
      </c>
      <c r="BD628" s="407">
        <v>0</v>
      </c>
      <c r="BE628" s="407">
        <v>0</v>
      </c>
      <c r="BF628" s="407">
        <v>0</v>
      </c>
      <c r="BG628" s="407">
        <v>6.8298746563648169</v>
      </c>
      <c r="BH628" s="407">
        <v>0</v>
      </c>
      <c r="BI628" s="407">
        <v>0</v>
      </c>
      <c r="BJ628" s="407">
        <v>0</v>
      </c>
      <c r="BK628" s="407">
        <v>0</v>
      </c>
      <c r="BL628" s="407">
        <v>0</v>
      </c>
      <c r="BM628" s="407"/>
      <c r="BN628" s="407"/>
      <c r="BO628" s="407"/>
      <c r="BP628" s="407"/>
      <c r="BQ628" s="407"/>
      <c r="BR628" s="407">
        <v>99.578561600000029</v>
      </c>
      <c r="BS628" s="407"/>
      <c r="BT628" s="407"/>
      <c r="BU628" s="407"/>
      <c r="BV628" s="407">
        <v>209.79749785081626</v>
      </c>
      <c r="BW628" s="407"/>
      <c r="BX628" s="407"/>
      <c r="BY628" s="407"/>
      <c r="BZ628" s="407"/>
      <c r="CA628" s="407"/>
      <c r="CB628" s="407"/>
      <c r="CC628" s="407"/>
      <c r="CD628" s="407"/>
      <c r="CE628" s="407"/>
      <c r="CF628" s="407"/>
      <c r="CG628" s="407"/>
      <c r="CH628" s="407"/>
      <c r="CI628" s="407">
        <v>2383.5293999999999</v>
      </c>
      <c r="CJ628" s="407">
        <v>-1368.8187696000009</v>
      </c>
      <c r="CK628" s="407"/>
      <c r="CL628" s="407"/>
      <c r="CM628" s="407"/>
      <c r="CN628" s="407"/>
      <c r="CO628" s="407">
        <v>-1455.35124</v>
      </c>
      <c r="CP628" s="407">
        <v>36.15052</v>
      </c>
      <c r="CQ628" s="407">
        <v>30</v>
      </c>
      <c r="CR628" s="407">
        <v>-4.2540976453426538</v>
      </c>
      <c r="CS628" s="407">
        <v>0</v>
      </c>
      <c r="CT628" s="407">
        <v>0</v>
      </c>
      <c r="CU628" s="407">
        <v>0</v>
      </c>
      <c r="CV628" s="407">
        <v>0</v>
      </c>
      <c r="CW628" s="407">
        <v>0</v>
      </c>
      <c r="CX628" s="407">
        <v>0</v>
      </c>
      <c r="CY628" s="407">
        <v>0</v>
      </c>
      <c r="CZ628" s="407">
        <v>36.292911054872889</v>
      </c>
      <c r="DA628" s="407">
        <v>0</v>
      </c>
      <c r="DB628" s="407">
        <v>0</v>
      </c>
      <c r="DC628" s="407">
        <v>40.242998570419275</v>
      </c>
      <c r="DD628" s="407">
        <v>0</v>
      </c>
      <c r="DE628" s="407">
        <v>0</v>
      </c>
      <c r="DF628" s="407">
        <v>0</v>
      </c>
      <c r="DG628" s="407">
        <v>1.3541797046561985</v>
      </c>
      <c r="DH628" s="407">
        <v>0</v>
      </c>
      <c r="DI628" s="407">
        <v>-4.9695465620700361</v>
      </c>
      <c r="DJ628" s="407"/>
      <c r="DK628" s="407">
        <v>0</v>
      </c>
      <c r="DL628" s="407">
        <v>0</v>
      </c>
      <c r="DM628" s="407">
        <v>0</v>
      </c>
      <c r="DN628" s="407">
        <v>0</v>
      </c>
      <c r="DO628" s="407">
        <v>-0.7688707922326028</v>
      </c>
      <c r="DP628" s="407">
        <v>-9.0035059892040747E-2</v>
      </c>
      <c r="DQ628" s="407">
        <v>0</v>
      </c>
      <c r="DR628" s="407">
        <v>-76.315734561096065</v>
      </c>
      <c r="DS628" s="407"/>
      <c r="DT628" s="407"/>
      <c r="DU628" s="407"/>
      <c r="DV628" s="407">
        <v>2770.0337977836639</v>
      </c>
      <c r="DW628" s="407">
        <v>0</v>
      </c>
      <c r="DX628" s="407">
        <v>0</v>
      </c>
      <c r="DY628" s="407">
        <v>-1455.35124</v>
      </c>
      <c r="DZ628" s="407">
        <v>36.15052</v>
      </c>
      <c r="EA628" s="407">
        <v>0</v>
      </c>
      <c r="EB628" s="407">
        <v>0</v>
      </c>
      <c r="EC628" s="407">
        <v>-1414.9396976530813</v>
      </c>
      <c r="ED628" s="407">
        <v>0</v>
      </c>
      <c r="EE628" s="407">
        <v>0</v>
      </c>
      <c r="EF628" s="407">
        <v>0</v>
      </c>
      <c r="EG628" s="407">
        <v>0</v>
      </c>
      <c r="EH628" s="407">
        <v>0</v>
      </c>
      <c r="EI628" s="407">
        <v>0</v>
      </c>
      <c r="EJ628" s="407">
        <v>0</v>
      </c>
      <c r="EK628" s="407">
        <v>0</v>
      </c>
      <c r="EL628" s="407">
        <v>0</v>
      </c>
      <c r="EM628" s="407">
        <v>0</v>
      </c>
      <c r="EN628" s="407">
        <v>0</v>
      </c>
      <c r="EO628" s="407">
        <v>0</v>
      </c>
      <c r="EP628" s="407">
        <v>33.608210344147125</v>
      </c>
      <c r="EQ628" s="407">
        <v>0</v>
      </c>
      <c r="ER628" s="407">
        <v>0</v>
      </c>
      <c r="ES628" s="407">
        <v>0</v>
      </c>
      <c r="ET628" s="407">
        <v>0</v>
      </c>
      <c r="EU628" s="407">
        <v>0</v>
      </c>
      <c r="EV628" s="407">
        <v>246</v>
      </c>
      <c r="EW628" s="407">
        <v>0</v>
      </c>
      <c r="EX628" s="407">
        <v>0</v>
      </c>
      <c r="EY628" s="407">
        <v>0</v>
      </c>
      <c r="EZ628" s="407"/>
      <c r="FA628" s="407">
        <v>0</v>
      </c>
      <c r="FB628" s="407"/>
      <c r="FC628" s="407"/>
      <c r="FD628" s="407"/>
      <c r="FE628" s="407"/>
      <c r="FF628" s="407">
        <v>0</v>
      </c>
      <c r="FG628" s="407">
        <v>0</v>
      </c>
      <c r="FH628" s="407">
        <v>0</v>
      </c>
      <c r="FI628" s="407">
        <v>0</v>
      </c>
    </row>
    <row r="629" spans="1:165">
      <c r="A629" s="407">
        <v>652</v>
      </c>
      <c r="B629" s="407" t="s">
        <v>2309</v>
      </c>
      <c r="C629" s="407" t="s">
        <v>2314</v>
      </c>
      <c r="D629" s="407" t="s">
        <v>650</v>
      </c>
      <c r="E629" s="407" t="s">
        <v>1026</v>
      </c>
      <c r="F629" s="407" t="s">
        <v>2323</v>
      </c>
      <c r="G629" s="407" t="s">
        <v>97</v>
      </c>
      <c r="H629" s="407" t="s">
        <v>97</v>
      </c>
      <c r="I629" s="407" t="s">
        <v>1025</v>
      </c>
      <c r="J629" s="407" t="s">
        <v>2307</v>
      </c>
      <c r="K629" s="818">
        <v>44652</v>
      </c>
      <c r="L629" s="407">
        <v>0</v>
      </c>
      <c r="M629" s="407">
        <v>0</v>
      </c>
      <c r="N629" s="407">
        <v>0.21</v>
      </c>
      <c r="O629" s="407">
        <v>0.2016</v>
      </c>
      <c r="P629" s="407">
        <v>0.21</v>
      </c>
      <c r="Q629" s="407">
        <v>0.2016</v>
      </c>
      <c r="R629" s="407"/>
      <c r="S629" s="407">
        <v>2810.7</v>
      </c>
      <c r="T629" s="407">
        <v>159.41</v>
      </c>
      <c r="U629" s="407"/>
      <c r="V629" s="407">
        <v>623.72309999999993</v>
      </c>
      <c r="W629" s="407">
        <v>623.72309999999993</v>
      </c>
      <c r="X629" s="407">
        <v>397.25489999999996</v>
      </c>
      <c r="Y629" s="407">
        <v>0</v>
      </c>
      <c r="Z629" s="407">
        <v>11.321964790102218</v>
      </c>
      <c r="AA629" s="407">
        <v>0</v>
      </c>
      <c r="AB629" s="407">
        <v>0</v>
      </c>
      <c r="AC629" s="407">
        <v>0</v>
      </c>
      <c r="AD629" s="407">
        <v>128.20827461120342</v>
      </c>
      <c r="AE629" s="407">
        <v>442.02666985909525</v>
      </c>
      <c r="AF629" s="407">
        <v>32.388450509752886</v>
      </c>
      <c r="AG629" s="407">
        <v>1.0881669200032491</v>
      </c>
      <c r="AH629" s="407">
        <v>0</v>
      </c>
      <c r="AI629" s="407">
        <v>0</v>
      </c>
      <c r="AJ629" s="407">
        <v>0</v>
      </c>
      <c r="AK629" s="407">
        <v>0</v>
      </c>
      <c r="AL629" s="407">
        <v>2.0109716236558475</v>
      </c>
      <c r="AM629" s="407"/>
      <c r="AN629" s="407">
        <v>0.22548401060028689</v>
      </c>
      <c r="AO629" s="407">
        <v>0</v>
      </c>
      <c r="AP629" s="407">
        <v>0</v>
      </c>
      <c r="AQ629" s="407">
        <v>0</v>
      </c>
      <c r="AR629" s="407">
        <v>0</v>
      </c>
      <c r="AS629" s="407">
        <v>0</v>
      </c>
      <c r="AT629" s="407">
        <v>0</v>
      </c>
      <c r="AU629" s="407">
        <v>0</v>
      </c>
      <c r="AV629" s="407">
        <v>0</v>
      </c>
      <c r="AW629" s="407">
        <v>0</v>
      </c>
      <c r="AX629" s="407">
        <v>0</v>
      </c>
      <c r="AY629" s="407">
        <v>0</v>
      </c>
      <c r="AZ629" s="407">
        <v>0</v>
      </c>
      <c r="BA629" s="407"/>
      <c r="BB629" s="407">
        <v>0</v>
      </c>
      <c r="BC629" s="407">
        <v>0</v>
      </c>
      <c r="BD629" s="407">
        <v>0</v>
      </c>
      <c r="BE629" s="407">
        <v>0</v>
      </c>
      <c r="BF629" s="407">
        <v>0</v>
      </c>
      <c r="BG629" s="407">
        <v>1.0898736153773643</v>
      </c>
      <c r="BH629" s="407">
        <v>0</v>
      </c>
      <c r="BI629" s="407">
        <v>0</v>
      </c>
      <c r="BJ629" s="407">
        <v>0</v>
      </c>
      <c r="BK629" s="407">
        <v>0</v>
      </c>
      <c r="BL629" s="407">
        <v>0</v>
      </c>
      <c r="BM629" s="407"/>
      <c r="BN629" s="407"/>
      <c r="BO629" s="407"/>
      <c r="BP629" s="407"/>
      <c r="BQ629" s="407"/>
      <c r="BR629" s="407">
        <v>15.890195999999982</v>
      </c>
      <c r="BS629" s="407"/>
      <c r="BT629" s="407"/>
      <c r="BU629" s="407"/>
      <c r="BV629" s="407">
        <v>33.47832412513025</v>
      </c>
      <c r="BW629" s="407"/>
      <c r="BX629" s="407"/>
      <c r="BY629" s="407"/>
      <c r="BZ629" s="407"/>
      <c r="CA629" s="407"/>
      <c r="CB629" s="407"/>
      <c r="CC629" s="407"/>
      <c r="CD629" s="407"/>
      <c r="CE629" s="407"/>
      <c r="CF629" s="407"/>
      <c r="CG629" s="407"/>
      <c r="CH629" s="407"/>
      <c r="CI629" s="407">
        <v>378.33799999999997</v>
      </c>
      <c r="CJ629" s="407">
        <v>-220.46617600000002</v>
      </c>
      <c r="CK629" s="407"/>
      <c r="CL629" s="407"/>
      <c r="CM629" s="407"/>
      <c r="CN629" s="407"/>
      <c r="CO629" s="407">
        <v>-232.23689999999996</v>
      </c>
      <c r="CP629" s="407">
        <v>5.7686999999999999</v>
      </c>
      <c r="CQ629" s="407">
        <v>30</v>
      </c>
      <c r="CR629" s="407">
        <v>-0.67884536893765812</v>
      </c>
      <c r="CS629" s="407">
        <v>0</v>
      </c>
      <c r="CT629" s="407">
        <v>0</v>
      </c>
      <c r="CU629" s="407">
        <v>0</v>
      </c>
      <c r="CV629" s="407">
        <v>0</v>
      </c>
      <c r="CW629" s="407">
        <v>0</v>
      </c>
      <c r="CX629" s="407">
        <v>0</v>
      </c>
      <c r="CY629" s="407">
        <v>0</v>
      </c>
      <c r="CZ629" s="407">
        <v>5.7914219768414057</v>
      </c>
      <c r="DA629" s="407">
        <v>0</v>
      </c>
      <c r="DB629" s="407">
        <v>0</v>
      </c>
      <c r="DC629" s="407">
        <v>6.4217550910243517</v>
      </c>
      <c r="DD629" s="407">
        <v>0</v>
      </c>
      <c r="DE629" s="407">
        <v>0</v>
      </c>
      <c r="DF629" s="407">
        <v>0</v>
      </c>
      <c r="DG629" s="407">
        <v>0.21609250606215946</v>
      </c>
      <c r="DH629" s="407">
        <v>0</v>
      </c>
      <c r="DI629" s="407">
        <v>-0.79301274926649334</v>
      </c>
      <c r="DJ629" s="407"/>
      <c r="DK629" s="407">
        <v>0</v>
      </c>
      <c r="DL629" s="407">
        <v>0</v>
      </c>
      <c r="DM629" s="407">
        <v>0</v>
      </c>
      <c r="DN629" s="407">
        <v>0</v>
      </c>
      <c r="DO629" s="407">
        <v>-0.12269214769669201</v>
      </c>
      <c r="DP629" s="407">
        <v>-1.4367296791283096E-2</v>
      </c>
      <c r="DQ629" s="407">
        <v>0</v>
      </c>
      <c r="DR629" s="407">
        <v>-12.178042749111073</v>
      </c>
      <c r="DS629" s="407"/>
      <c r="DT629" s="407"/>
      <c r="DU629" s="407"/>
      <c r="DV629" s="407">
        <v>442.02666985909525</v>
      </c>
      <c r="DW629" s="407">
        <v>0</v>
      </c>
      <c r="DX629" s="407">
        <v>0</v>
      </c>
      <c r="DY629" s="407">
        <v>-232.23689999999999</v>
      </c>
      <c r="DZ629" s="407">
        <v>5.7687000000000026</v>
      </c>
      <c r="EA629" s="407">
        <v>0</v>
      </c>
      <c r="EB629" s="407">
        <v>0</v>
      </c>
      <c r="EC629" s="407">
        <v>-225.78824962549166</v>
      </c>
      <c r="ED629" s="407">
        <v>0</v>
      </c>
      <c r="EE629" s="407">
        <v>0</v>
      </c>
      <c r="EF629" s="407">
        <v>0</v>
      </c>
      <c r="EG629" s="407">
        <v>0</v>
      </c>
      <c r="EH629" s="407">
        <v>0</v>
      </c>
      <c r="EI629" s="407">
        <v>0</v>
      </c>
      <c r="EJ629" s="407">
        <v>0</v>
      </c>
      <c r="EK629" s="407">
        <v>0</v>
      </c>
      <c r="EL629" s="407">
        <v>0</v>
      </c>
      <c r="EM629" s="407">
        <v>0</v>
      </c>
      <c r="EN629" s="407">
        <v>0</v>
      </c>
      <c r="EO629" s="407">
        <v>0</v>
      </c>
      <c r="EP629" s="407">
        <v>5.3630122889596468</v>
      </c>
      <c r="EQ629" s="407">
        <v>0</v>
      </c>
      <c r="ER629" s="407">
        <v>0</v>
      </c>
      <c r="ES629" s="407">
        <v>0</v>
      </c>
      <c r="ET629" s="407">
        <v>0</v>
      </c>
      <c r="EU629" s="407">
        <v>0</v>
      </c>
      <c r="EV629" s="407">
        <v>246</v>
      </c>
      <c r="EW629" s="407">
        <v>0</v>
      </c>
      <c r="EX629" s="407">
        <v>0</v>
      </c>
      <c r="EY629" s="407">
        <v>0</v>
      </c>
      <c r="EZ629" s="407"/>
      <c r="FA629" s="407">
        <v>0</v>
      </c>
      <c r="FB629" s="407"/>
      <c r="FC629" s="407"/>
      <c r="FD629" s="407"/>
      <c r="FE629" s="407"/>
      <c r="FF629" s="407">
        <v>0</v>
      </c>
      <c r="FG629" s="407">
        <v>0</v>
      </c>
      <c r="FH629" s="407">
        <v>0</v>
      </c>
      <c r="FI629" s="407">
        <v>0</v>
      </c>
    </row>
    <row r="630" spans="1:165">
      <c r="A630" s="407">
        <v>653</v>
      </c>
      <c r="B630" s="407" t="s">
        <v>1090</v>
      </c>
      <c r="C630" s="407" t="s">
        <v>2314</v>
      </c>
      <c r="D630" s="407" t="s">
        <v>650</v>
      </c>
      <c r="E630" s="407" t="s">
        <v>1026</v>
      </c>
      <c r="F630" s="407" t="s">
        <v>2323</v>
      </c>
      <c r="G630" s="407" t="s">
        <v>97</v>
      </c>
      <c r="H630" s="407" t="s">
        <v>97</v>
      </c>
      <c r="I630" s="407" t="s">
        <v>2290</v>
      </c>
      <c r="J630" s="407" t="s">
        <v>2307</v>
      </c>
      <c r="K630" s="818">
        <v>44652</v>
      </c>
      <c r="L630" s="407">
        <v>0</v>
      </c>
      <c r="M630" s="407">
        <v>0</v>
      </c>
      <c r="N630" s="407">
        <v>12.372</v>
      </c>
      <c r="O630" s="407">
        <v>11.87712</v>
      </c>
      <c r="P630" s="407">
        <v>12.372</v>
      </c>
      <c r="Q630" s="407">
        <v>11.87712</v>
      </c>
      <c r="R630" s="407"/>
      <c r="S630" s="407">
        <v>95.29</v>
      </c>
      <c r="T630" s="407">
        <v>159.41</v>
      </c>
      <c r="U630" s="407"/>
      <c r="V630" s="407">
        <v>3151.1484</v>
      </c>
      <c r="W630" s="407">
        <v>3151.1484</v>
      </c>
      <c r="X630" s="407">
        <v>3425.9305199999999</v>
      </c>
      <c r="Y630" s="407">
        <v>0</v>
      </c>
      <c r="Z630" s="407">
        <v>667.02546849116493</v>
      </c>
      <c r="AA630" s="407">
        <v>0</v>
      </c>
      <c r="AB630" s="407">
        <v>0</v>
      </c>
      <c r="AC630" s="407">
        <v>0</v>
      </c>
      <c r="AD630" s="407">
        <v>0</v>
      </c>
      <c r="AE630" s="407">
        <v>0</v>
      </c>
      <c r="AF630" s="407">
        <v>1908.1424271745843</v>
      </c>
      <c r="AG630" s="407">
        <v>64.108576829905715</v>
      </c>
      <c r="AH630" s="407">
        <v>0</v>
      </c>
      <c r="AI630" s="407">
        <v>0</v>
      </c>
      <c r="AJ630" s="407">
        <v>0</v>
      </c>
      <c r="AK630" s="407">
        <v>0</v>
      </c>
      <c r="AL630" s="407">
        <v>118.47495679938164</v>
      </c>
      <c r="AM630" s="407"/>
      <c r="AN630" s="407">
        <v>13.284229424508331</v>
      </c>
      <c r="AO630" s="407">
        <v>0</v>
      </c>
      <c r="AP630" s="407">
        <v>0</v>
      </c>
      <c r="AQ630" s="407">
        <v>0</v>
      </c>
      <c r="AR630" s="407">
        <v>0</v>
      </c>
      <c r="AS630" s="407">
        <v>0</v>
      </c>
      <c r="AT630" s="407">
        <v>0</v>
      </c>
      <c r="AU630" s="407">
        <v>0</v>
      </c>
      <c r="AV630" s="407">
        <v>0</v>
      </c>
      <c r="AW630" s="407">
        <v>0</v>
      </c>
      <c r="AX630" s="407">
        <v>0</v>
      </c>
      <c r="AY630" s="407">
        <v>0</v>
      </c>
      <c r="AZ630" s="407">
        <v>0</v>
      </c>
      <c r="BA630" s="407"/>
      <c r="BB630" s="407">
        <v>0</v>
      </c>
      <c r="BC630" s="407">
        <v>0</v>
      </c>
      <c r="BD630" s="407">
        <v>0</v>
      </c>
      <c r="BE630" s="407">
        <v>0</v>
      </c>
      <c r="BF630" s="407">
        <v>0</v>
      </c>
      <c r="BG630" s="407">
        <v>64.209125568803586</v>
      </c>
      <c r="BH630" s="407">
        <v>0</v>
      </c>
      <c r="BI630" s="407">
        <v>0</v>
      </c>
      <c r="BJ630" s="407">
        <v>0</v>
      </c>
      <c r="BK630" s="407">
        <v>0</v>
      </c>
      <c r="BL630" s="407">
        <v>0</v>
      </c>
      <c r="BM630" s="407"/>
      <c r="BN630" s="407"/>
      <c r="BO630" s="407"/>
      <c r="BP630" s="407"/>
      <c r="BQ630" s="407"/>
      <c r="BR630" s="407">
        <v>137.03722080000006</v>
      </c>
      <c r="BS630" s="407"/>
      <c r="BT630" s="407"/>
      <c r="BU630" s="407"/>
      <c r="BV630" s="407">
        <v>1972.3515527433879</v>
      </c>
      <c r="BW630" s="407"/>
      <c r="BX630" s="407"/>
      <c r="BY630" s="407"/>
      <c r="BZ630" s="407"/>
      <c r="CA630" s="407"/>
      <c r="CB630" s="407"/>
      <c r="CC630" s="407"/>
      <c r="CD630" s="407"/>
      <c r="CE630" s="407"/>
      <c r="CF630" s="407"/>
      <c r="CG630" s="407"/>
      <c r="CH630" s="407"/>
      <c r="CI630" s="407">
        <v>3289.6908000000003</v>
      </c>
      <c r="CJ630" s="407">
        <v>264.55833600000005</v>
      </c>
      <c r="CK630" s="407"/>
      <c r="CL630" s="407"/>
      <c r="CM630" s="407"/>
      <c r="CN630" s="407"/>
      <c r="CO630" s="407">
        <v>-65.076720000000066</v>
      </c>
      <c r="CP630" s="407">
        <v>339.85883999999999</v>
      </c>
      <c r="CQ630" s="407">
        <v>30</v>
      </c>
      <c r="CR630" s="407">
        <v>274.74301470096452</v>
      </c>
      <c r="CS630" s="407">
        <v>0</v>
      </c>
      <c r="CT630" s="407">
        <v>0</v>
      </c>
      <c r="CU630" s="407">
        <v>0</v>
      </c>
      <c r="CV630" s="407">
        <v>0</v>
      </c>
      <c r="CW630" s="407">
        <v>0</v>
      </c>
      <c r="CX630" s="407">
        <v>0</v>
      </c>
      <c r="CY630" s="407">
        <v>0</v>
      </c>
      <c r="CZ630" s="407">
        <v>0</v>
      </c>
      <c r="DA630" s="407">
        <v>0</v>
      </c>
      <c r="DB630" s="407">
        <v>0</v>
      </c>
      <c r="DC630" s="407">
        <v>378.33311421977737</v>
      </c>
      <c r="DD630" s="407">
        <v>0</v>
      </c>
      <c r="DE630" s="407">
        <v>0</v>
      </c>
      <c r="DF630" s="407">
        <v>0</v>
      </c>
      <c r="DG630" s="407">
        <v>12.730935642862065</v>
      </c>
      <c r="DH630" s="407">
        <v>0</v>
      </c>
      <c r="DI630" s="407">
        <v>-46.719779685357366</v>
      </c>
      <c r="DJ630" s="407"/>
      <c r="DK630" s="407">
        <v>0</v>
      </c>
      <c r="DL630" s="407">
        <v>0</v>
      </c>
      <c r="DM630" s="407">
        <v>0</v>
      </c>
      <c r="DN630" s="407">
        <v>0</v>
      </c>
      <c r="DO630" s="407">
        <v>-7.2283202443022532</v>
      </c>
      <c r="DP630" s="407">
        <v>-0.84643902810359251</v>
      </c>
      <c r="DQ630" s="407">
        <v>0</v>
      </c>
      <c r="DR630" s="407">
        <v>-61.526496203911421</v>
      </c>
      <c r="DS630" s="407"/>
      <c r="DT630" s="407"/>
      <c r="DU630" s="407"/>
      <c r="DV630" s="407">
        <v>0</v>
      </c>
      <c r="DW630" s="407">
        <v>0</v>
      </c>
      <c r="DX630" s="407">
        <v>0</v>
      </c>
      <c r="DY630" s="407">
        <v>-65.076720000000023</v>
      </c>
      <c r="DZ630" s="407">
        <v>339.85883999999987</v>
      </c>
      <c r="EA630" s="407">
        <v>0</v>
      </c>
      <c r="EB630" s="407">
        <v>0</v>
      </c>
      <c r="EC630" s="407">
        <v>0</v>
      </c>
      <c r="ED630" s="407">
        <v>0</v>
      </c>
      <c r="EE630" s="407">
        <v>0</v>
      </c>
      <c r="EF630" s="407">
        <v>0</v>
      </c>
      <c r="EG630" s="407">
        <v>0</v>
      </c>
      <c r="EH630" s="407">
        <v>0</v>
      </c>
      <c r="EI630" s="407">
        <v>0</v>
      </c>
      <c r="EJ630" s="407">
        <v>0</v>
      </c>
      <c r="EK630" s="407">
        <v>0</v>
      </c>
      <c r="EL630" s="407">
        <v>0</v>
      </c>
      <c r="EM630" s="407">
        <v>0</v>
      </c>
      <c r="EN630" s="407">
        <v>0</v>
      </c>
      <c r="EO630" s="407">
        <v>0</v>
      </c>
      <c r="EP630" s="407">
        <v>315.95803828099406</v>
      </c>
      <c r="EQ630" s="407">
        <v>0</v>
      </c>
      <c r="ER630" s="407">
        <v>0</v>
      </c>
      <c r="ES630" s="407">
        <v>0</v>
      </c>
      <c r="ET630" s="407">
        <v>0</v>
      </c>
      <c r="EU630" s="407">
        <v>0</v>
      </c>
      <c r="EV630" s="407">
        <v>246</v>
      </c>
      <c r="EW630" s="407">
        <v>0</v>
      </c>
      <c r="EX630" s="407">
        <v>0</v>
      </c>
      <c r="EY630" s="407">
        <v>0</v>
      </c>
      <c r="EZ630" s="407"/>
      <c r="FA630" s="407">
        <v>0</v>
      </c>
      <c r="FB630" s="407"/>
      <c r="FC630" s="407"/>
      <c r="FD630" s="407"/>
      <c r="FE630" s="407"/>
      <c r="FF630" s="407">
        <v>0</v>
      </c>
      <c r="FG630" s="407">
        <v>0</v>
      </c>
      <c r="FH630" s="407">
        <v>0</v>
      </c>
      <c r="FI630" s="407">
        <v>0</v>
      </c>
    </row>
    <row r="631" spans="1:165">
      <c r="A631" s="407">
        <v>654</v>
      </c>
      <c r="B631" s="407" t="s">
        <v>2309</v>
      </c>
      <c r="C631" s="407" t="s">
        <v>2314</v>
      </c>
      <c r="D631" s="407" t="s">
        <v>650</v>
      </c>
      <c r="E631" s="407" t="s">
        <v>1026</v>
      </c>
      <c r="F631" s="407" t="s">
        <v>2323</v>
      </c>
      <c r="G631" s="407" t="s">
        <v>97</v>
      </c>
      <c r="H631" s="407" t="s">
        <v>97</v>
      </c>
      <c r="I631" s="407" t="s">
        <v>2290</v>
      </c>
      <c r="J631" s="407" t="s">
        <v>2307</v>
      </c>
      <c r="K631" s="818">
        <v>44652</v>
      </c>
      <c r="L631" s="407">
        <v>0</v>
      </c>
      <c r="M631" s="407">
        <v>0</v>
      </c>
      <c r="N631" s="407">
        <v>1.9550000000000001</v>
      </c>
      <c r="O631" s="407">
        <v>1.8768</v>
      </c>
      <c r="P631" s="407">
        <v>1.9550000000000001</v>
      </c>
      <c r="Q631" s="407">
        <v>1.8768</v>
      </c>
      <c r="R631" s="407"/>
      <c r="S631" s="407">
        <v>95.29</v>
      </c>
      <c r="T631" s="407">
        <v>159.41</v>
      </c>
      <c r="U631" s="407"/>
      <c r="V631" s="407">
        <v>497.93849999999998</v>
      </c>
      <c r="W631" s="407">
        <v>497.93849999999998</v>
      </c>
      <c r="X631" s="407">
        <v>541.35905000000002</v>
      </c>
      <c r="Y631" s="407">
        <v>0</v>
      </c>
      <c r="Z631" s="407">
        <v>105.40210078404684</v>
      </c>
      <c r="AA631" s="407">
        <v>0</v>
      </c>
      <c r="AB631" s="407">
        <v>0</v>
      </c>
      <c r="AC631" s="407">
        <v>0</v>
      </c>
      <c r="AD631" s="407">
        <v>0</v>
      </c>
      <c r="AE631" s="407">
        <v>0</v>
      </c>
      <c r="AF631" s="407">
        <v>301.5210511741281</v>
      </c>
      <c r="AG631" s="407">
        <v>10.13031585050644</v>
      </c>
      <c r="AH631" s="407">
        <v>0</v>
      </c>
      <c r="AI631" s="407">
        <v>0</v>
      </c>
      <c r="AJ631" s="407">
        <v>0</v>
      </c>
      <c r="AK631" s="407">
        <v>0</v>
      </c>
      <c r="AL631" s="407">
        <v>18.721188210700866</v>
      </c>
      <c r="AM631" s="407"/>
      <c r="AN631" s="407">
        <v>2.0991487653502898</v>
      </c>
      <c r="AO631" s="407">
        <v>0</v>
      </c>
      <c r="AP631" s="407">
        <v>0</v>
      </c>
      <c r="AQ631" s="407">
        <v>0</v>
      </c>
      <c r="AR631" s="407">
        <v>0</v>
      </c>
      <c r="AS631" s="407">
        <v>0</v>
      </c>
      <c r="AT631" s="407">
        <v>0</v>
      </c>
      <c r="AU631" s="407">
        <v>0</v>
      </c>
      <c r="AV631" s="407">
        <v>0</v>
      </c>
      <c r="AW631" s="407">
        <v>0</v>
      </c>
      <c r="AX631" s="407">
        <v>0</v>
      </c>
      <c r="AY631" s="407">
        <v>0</v>
      </c>
      <c r="AZ631" s="407">
        <v>0</v>
      </c>
      <c r="BA631" s="407"/>
      <c r="BB631" s="407">
        <v>0</v>
      </c>
      <c r="BC631" s="407">
        <v>0</v>
      </c>
      <c r="BD631" s="407">
        <v>0</v>
      </c>
      <c r="BE631" s="407">
        <v>0</v>
      </c>
      <c r="BF631" s="407">
        <v>0</v>
      </c>
      <c r="BG631" s="407">
        <v>10.146204371727368</v>
      </c>
      <c r="BH631" s="407">
        <v>0</v>
      </c>
      <c r="BI631" s="407">
        <v>0</v>
      </c>
      <c r="BJ631" s="407">
        <v>0</v>
      </c>
      <c r="BK631" s="407">
        <v>0</v>
      </c>
      <c r="BL631" s="407">
        <v>0</v>
      </c>
      <c r="BM631" s="407"/>
      <c r="BN631" s="407"/>
      <c r="BO631" s="407"/>
      <c r="BP631" s="407"/>
      <c r="BQ631" s="407"/>
      <c r="BR631" s="407">
        <v>21.654362000000013</v>
      </c>
      <c r="BS631" s="407"/>
      <c r="BT631" s="407"/>
      <c r="BU631" s="407"/>
      <c r="BV631" s="407">
        <v>311.66725554585548</v>
      </c>
      <c r="BW631" s="407"/>
      <c r="BX631" s="407"/>
      <c r="BY631" s="407"/>
      <c r="BZ631" s="407"/>
      <c r="CA631" s="407"/>
      <c r="CB631" s="407"/>
      <c r="CC631" s="407"/>
      <c r="CD631" s="407"/>
      <c r="CE631" s="407"/>
      <c r="CF631" s="407"/>
      <c r="CG631" s="407"/>
      <c r="CH631" s="407"/>
      <c r="CI631" s="407">
        <v>520.59079999999994</v>
      </c>
      <c r="CJ631" s="407">
        <v>42.53983999999997</v>
      </c>
      <c r="CK631" s="407"/>
      <c r="CL631" s="407"/>
      <c r="CM631" s="407"/>
      <c r="CN631" s="407"/>
      <c r="CO631" s="407">
        <v>-10.283300000000011</v>
      </c>
      <c r="CP631" s="407">
        <v>53.703850000000003</v>
      </c>
      <c r="CQ631" s="407">
        <v>30</v>
      </c>
      <c r="CR631" s="407">
        <v>43.414370654735478</v>
      </c>
      <c r="CS631" s="407">
        <v>0</v>
      </c>
      <c r="CT631" s="407">
        <v>0</v>
      </c>
      <c r="CU631" s="407">
        <v>0</v>
      </c>
      <c r="CV631" s="407">
        <v>0</v>
      </c>
      <c r="CW631" s="407">
        <v>0</v>
      </c>
      <c r="CX631" s="407">
        <v>0</v>
      </c>
      <c r="CY631" s="407">
        <v>0</v>
      </c>
      <c r="CZ631" s="407">
        <v>0</v>
      </c>
      <c r="DA631" s="407">
        <v>0</v>
      </c>
      <c r="DB631" s="407">
        <v>0</v>
      </c>
      <c r="DC631" s="407">
        <v>59.783481918821906</v>
      </c>
      <c r="DD631" s="407">
        <v>0</v>
      </c>
      <c r="DE631" s="407">
        <v>0</v>
      </c>
      <c r="DF631" s="407">
        <v>0</v>
      </c>
      <c r="DG631" s="407">
        <v>2.0117183302453405</v>
      </c>
      <c r="DH631" s="407">
        <v>0</v>
      </c>
      <c r="DI631" s="407">
        <v>-7.3825710705523591</v>
      </c>
      <c r="DJ631" s="407"/>
      <c r="DK631" s="407">
        <v>0</v>
      </c>
      <c r="DL631" s="407">
        <v>0</v>
      </c>
      <c r="DM631" s="407">
        <v>0</v>
      </c>
      <c r="DN631" s="407">
        <v>0</v>
      </c>
      <c r="DO631" s="407">
        <v>-1.142205470223967</v>
      </c>
      <c r="DP631" s="407">
        <v>-0.13375269155694491</v>
      </c>
      <c r="DQ631" s="407">
        <v>0</v>
      </c>
      <c r="DR631" s="407">
        <v>-9.722300361998613</v>
      </c>
      <c r="DS631" s="407"/>
      <c r="DT631" s="407"/>
      <c r="DU631" s="407"/>
      <c r="DV631" s="407">
        <v>0</v>
      </c>
      <c r="DW631" s="407">
        <v>0</v>
      </c>
      <c r="DX631" s="407">
        <v>0</v>
      </c>
      <c r="DY631" s="407">
        <v>-10.283299999999997</v>
      </c>
      <c r="DZ631" s="407">
        <v>53.703849999999989</v>
      </c>
      <c r="EA631" s="407">
        <v>0</v>
      </c>
      <c r="EB631" s="407">
        <v>0</v>
      </c>
      <c r="EC631" s="407">
        <v>0</v>
      </c>
      <c r="ED631" s="407">
        <v>0</v>
      </c>
      <c r="EE631" s="407">
        <v>0</v>
      </c>
      <c r="EF631" s="407">
        <v>0</v>
      </c>
      <c r="EG631" s="407">
        <v>0</v>
      </c>
      <c r="EH631" s="407">
        <v>0</v>
      </c>
      <c r="EI631" s="407">
        <v>0</v>
      </c>
      <c r="EJ631" s="407">
        <v>0</v>
      </c>
      <c r="EK631" s="407">
        <v>0</v>
      </c>
      <c r="EL631" s="407">
        <v>0</v>
      </c>
      <c r="EM631" s="407">
        <v>0</v>
      </c>
      <c r="EN631" s="407">
        <v>0</v>
      </c>
      <c r="EO631" s="407">
        <v>0</v>
      </c>
      <c r="EP631" s="407">
        <v>49.927090594838617</v>
      </c>
      <c r="EQ631" s="407">
        <v>0</v>
      </c>
      <c r="ER631" s="407">
        <v>0</v>
      </c>
      <c r="ES631" s="407">
        <v>0</v>
      </c>
      <c r="ET631" s="407">
        <v>0</v>
      </c>
      <c r="EU631" s="407">
        <v>0</v>
      </c>
      <c r="EV631" s="407">
        <v>246</v>
      </c>
      <c r="EW631" s="407">
        <v>0</v>
      </c>
      <c r="EX631" s="407">
        <v>0</v>
      </c>
      <c r="EY631" s="407">
        <v>0</v>
      </c>
      <c r="EZ631" s="407"/>
      <c r="FA631" s="407">
        <v>0</v>
      </c>
      <c r="FB631" s="407"/>
      <c r="FC631" s="407"/>
      <c r="FD631" s="407"/>
      <c r="FE631" s="407"/>
      <c r="FF631" s="407">
        <v>0</v>
      </c>
      <c r="FG631" s="407">
        <v>0</v>
      </c>
      <c r="FH631" s="407">
        <v>0</v>
      </c>
      <c r="FI631" s="407">
        <v>0</v>
      </c>
    </row>
    <row r="632" spans="1:165">
      <c r="A632" s="407">
        <v>655</v>
      </c>
      <c r="B632" s="407" t="s">
        <v>1090</v>
      </c>
      <c r="C632" s="407" t="s">
        <v>2314</v>
      </c>
      <c r="D632" s="407" t="s">
        <v>650</v>
      </c>
      <c r="E632" s="407" t="s">
        <v>1026</v>
      </c>
      <c r="F632" s="407" t="s">
        <v>2323</v>
      </c>
      <c r="G632" s="407" t="s">
        <v>97</v>
      </c>
      <c r="H632" s="407" t="s">
        <v>97</v>
      </c>
      <c r="I632" s="407" t="s">
        <v>97</v>
      </c>
      <c r="J632" s="407" t="s">
        <v>2307</v>
      </c>
      <c r="K632" s="818">
        <v>44652</v>
      </c>
      <c r="L632" s="407">
        <v>1141</v>
      </c>
      <c r="M632" s="407">
        <v>1095.3599999999999</v>
      </c>
      <c r="N632" s="407">
        <v>0</v>
      </c>
      <c r="O632" s="407">
        <v>0</v>
      </c>
      <c r="P632" s="407">
        <v>0</v>
      </c>
      <c r="Q632" s="407">
        <v>0</v>
      </c>
      <c r="R632" s="407">
        <v>43.29</v>
      </c>
      <c r="S632" s="407"/>
      <c r="T632" s="407"/>
      <c r="U632" s="407">
        <v>49393.89</v>
      </c>
      <c r="V632" s="407"/>
      <c r="W632" s="407">
        <v>49393.89</v>
      </c>
      <c r="X632" s="407">
        <v>38212.090000000004</v>
      </c>
      <c r="Y632" s="407">
        <v>0</v>
      </c>
      <c r="Z632" s="407">
        <v>0</v>
      </c>
      <c r="AA632" s="407">
        <v>0</v>
      </c>
      <c r="AB632" s="407">
        <v>0</v>
      </c>
      <c r="AC632" s="407">
        <v>0</v>
      </c>
      <c r="AD632" s="407">
        <v>27000.609347777758</v>
      </c>
      <c r="AE632" s="407">
        <v>22396.902486087994</v>
      </c>
      <c r="AF632" s="407"/>
      <c r="AG632" s="407"/>
      <c r="AH632" s="407"/>
      <c r="AI632" s="407">
        <v>0</v>
      </c>
      <c r="AJ632" s="407">
        <v>0</v>
      </c>
      <c r="AK632" s="407">
        <v>0</v>
      </c>
      <c r="AL632" s="407">
        <v>0</v>
      </c>
      <c r="AM632" s="407"/>
      <c r="AN632" s="407">
        <v>0</v>
      </c>
      <c r="AO632" s="407">
        <v>0</v>
      </c>
      <c r="AP632" s="407">
        <v>0</v>
      </c>
      <c r="AQ632" s="407">
        <v>0</v>
      </c>
      <c r="AR632" s="407">
        <v>0</v>
      </c>
      <c r="AS632" s="407"/>
      <c r="AT632" s="407"/>
      <c r="AU632" s="407">
        <v>0</v>
      </c>
      <c r="AV632" s="407">
        <v>0</v>
      </c>
      <c r="AW632" s="407">
        <v>0</v>
      </c>
      <c r="AX632" s="407"/>
      <c r="AY632" s="407"/>
      <c r="AZ632" s="407">
        <v>0</v>
      </c>
      <c r="BA632" s="407"/>
      <c r="BB632" s="407">
        <v>0</v>
      </c>
      <c r="BC632" s="407">
        <v>0</v>
      </c>
      <c r="BD632" s="407">
        <v>0</v>
      </c>
      <c r="BE632" s="407">
        <v>0</v>
      </c>
      <c r="BF632" s="407"/>
      <c r="BG632" s="407">
        <v>0</v>
      </c>
      <c r="BH632" s="407">
        <v>0</v>
      </c>
      <c r="BI632" s="407">
        <v>88.75</v>
      </c>
      <c r="BJ632" s="407">
        <v>440.56</v>
      </c>
      <c r="BK632" s="407">
        <v>261.48</v>
      </c>
      <c r="BL632" s="407">
        <v>42</v>
      </c>
      <c r="BM632" s="407"/>
      <c r="BN632" s="407"/>
      <c r="BO632" s="407"/>
      <c r="BP632" s="407"/>
      <c r="BQ632" s="407"/>
      <c r="BR632" s="407">
        <v>1528.4836000000034</v>
      </c>
      <c r="BS632" s="407"/>
      <c r="BT632" s="407"/>
      <c r="BU632" s="407"/>
      <c r="BV632" s="407">
        <v>0</v>
      </c>
      <c r="BW632" s="407"/>
      <c r="BX632" s="407"/>
      <c r="BY632" s="407"/>
      <c r="BZ632" s="407"/>
      <c r="CA632" s="407"/>
      <c r="CB632" s="407"/>
      <c r="CC632" s="407"/>
      <c r="CD632" s="407"/>
      <c r="CE632" s="407"/>
      <c r="CF632" s="407"/>
      <c r="CG632" s="407"/>
      <c r="CH632" s="407"/>
      <c r="CI632" s="407">
        <v>36683.606399999997</v>
      </c>
      <c r="CJ632" s="407">
        <v>-10734.558000000005</v>
      </c>
      <c r="CK632" s="407"/>
      <c r="CL632" s="407"/>
      <c r="CM632" s="407"/>
      <c r="CN632" s="407"/>
      <c r="CO632" s="407">
        <v>-11181.799999999997</v>
      </c>
      <c r="CP632" s="407">
        <v>0</v>
      </c>
      <c r="CQ632" s="407">
        <v>30</v>
      </c>
      <c r="CR632" s="407">
        <v>255.19622568992781</v>
      </c>
      <c r="CS632" s="407">
        <v>0</v>
      </c>
      <c r="CT632" s="407">
        <v>0</v>
      </c>
      <c r="CU632" s="407">
        <v>0</v>
      </c>
      <c r="CV632" s="407">
        <v>0</v>
      </c>
      <c r="CW632" s="407"/>
      <c r="CX632" s="407"/>
      <c r="CY632" s="407"/>
      <c r="CZ632" s="407">
        <v>1219.6710613182295</v>
      </c>
      <c r="DA632" s="407">
        <v>0</v>
      </c>
      <c r="DB632" s="407">
        <v>0</v>
      </c>
      <c r="DC632" s="407"/>
      <c r="DD632" s="407"/>
      <c r="DE632" s="407">
        <v>0</v>
      </c>
      <c r="DF632" s="407">
        <v>0</v>
      </c>
      <c r="DG632" s="407">
        <v>0</v>
      </c>
      <c r="DH632" s="407">
        <v>0</v>
      </c>
      <c r="DI632" s="407">
        <v>0</v>
      </c>
      <c r="DJ632" s="407"/>
      <c r="DK632" s="407">
        <v>0</v>
      </c>
      <c r="DL632" s="407">
        <v>0</v>
      </c>
      <c r="DM632" s="407"/>
      <c r="DN632" s="407">
        <v>0</v>
      </c>
      <c r="DO632" s="407">
        <v>0</v>
      </c>
      <c r="DP632" s="407">
        <v>0</v>
      </c>
      <c r="DQ632" s="407">
        <v>0</v>
      </c>
      <c r="DR632" s="407">
        <v>-964.47483562830041</v>
      </c>
      <c r="DS632" s="407"/>
      <c r="DT632" s="407"/>
      <c r="DU632" s="407">
        <v>22396.902486087994</v>
      </c>
      <c r="DV632" s="407"/>
      <c r="DW632" s="407">
        <v>0</v>
      </c>
      <c r="DX632" s="407">
        <v>0</v>
      </c>
      <c r="DY632" s="407">
        <v>-11181.799999999996</v>
      </c>
      <c r="DZ632" s="407"/>
      <c r="EA632" s="407">
        <v>0</v>
      </c>
      <c r="EB632" s="407"/>
      <c r="EC632" s="407">
        <v>-11440.389809462564</v>
      </c>
      <c r="ED632" s="407"/>
      <c r="EE632" s="407">
        <v>0</v>
      </c>
      <c r="EF632" s="407">
        <v>0</v>
      </c>
      <c r="EG632" s="407"/>
      <c r="EH632" s="407">
        <v>0</v>
      </c>
      <c r="EI632" s="407">
        <v>0</v>
      </c>
      <c r="EJ632" s="407">
        <v>0</v>
      </c>
      <c r="EK632" s="407">
        <v>0</v>
      </c>
      <c r="EL632" s="407">
        <v>0</v>
      </c>
      <c r="EM632" s="407"/>
      <c r="EN632" s="407"/>
      <c r="EO632" s="407">
        <v>0</v>
      </c>
      <c r="EP632" s="407">
        <v>0</v>
      </c>
      <c r="EQ632" s="407"/>
      <c r="ER632" s="407">
        <v>0</v>
      </c>
      <c r="ES632" s="407"/>
      <c r="ET632" s="407">
        <v>0</v>
      </c>
      <c r="EU632" s="407"/>
      <c r="EV632" s="407">
        <v>246</v>
      </c>
      <c r="EW632" s="407"/>
      <c r="EX632" s="407"/>
      <c r="EY632" s="407"/>
      <c r="EZ632" s="407"/>
      <c r="FA632" s="407">
        <v>0</v>
      </c>
      <c r="FB632" s="407"/>
      <c r="FC632" s="407"/>
      <c r="FD632" s="407"/>
      <c r="FE632" s="407"/>
      <c r="FF632" s="407">
        <v>0</v>
      </c>
      <c r="FG632" s="407">
        <v>0</v>
      </c>
      <c r="FH632" s="407">
        <v>0</v>
      </c>
      <c r="FI632" s="407">
        <v>0</v>
      </c>
    </row>
    <row r="633" spans="1:165">
      <c r="A633" s="407">
        <v>656</v>
      </c>
      <c r="B633" s="407" t="s">
        <v>2309</v>
      </c>
      <c r="C633" s="407" t="s">
        <v>2314</v>
      </c>
      <c r="D633" s="407" t="s">
        <v>650</v>
      </c>
      <c r="E633" s="407" t="s">
        <v>1026</v>
      </c>
      <c r="F633" s="407" t="s">
        <v>2323</v>
      </c>
      <c r="G633" s="407" t="s">
        <v>97</v>
      </c>
      <c r="H633" s="407" t="s">
        <v>97</v>
      </c>
      <c r="I633" s="407" t="s">
        <v>97</v>
      </c>
      <c r="J633" s="407" t="s">
        <v>2307</v>
      </c>
      <c r="K633" s="818">
        <v>44652</v>
      </c>
      <c r="L633" s="407">
        <v>77</v>
      </c>
      <c r="M633" s="407">
        <v>73.92</v>
      </c>
      <c r="N633" s="407">
        <v>0</v>
      </c>
      <c r="O633" s="407">
        <v>0</v>
      </c>
      <c r="P633" s="407">
        <v>0</v>
      </c>
      <c r="Q633" s="407">
        <v>0</v>
      </c>
      <c r="R633" s="407">
        <v>43.29</v>
      </c>
      <c r="S633" s="407"/>
      <c r="T633" s="407"/>
      <c r="U633" s="407">
        <v>3333.33</v>
      </c>
      <c r="V633" s="407"/>
      <c r="W633" s="407">
        <v>3333.33</v>
      </c>
      <c r="X633" s="407">
        <v>2578.73</v>
      </c>
      <c r="Y633" s="407">
        <v>0</v>
      </c>
      <c r="Z633" s="407">
        <v>0</v>
      </c>
      <c r="AA633" s="407">
        <v>0</v>
      </c>
      <c r="AB633" s="407">
        <v>0</v>
      </c>
      <c r="AC633" s="407">
        <v>0</v>
      </c>
      <c r="AD633" s="407">
        <v>1822.127011199726</v>
      </c>
      <c r="AE633" s="407">
        <v>1511.4474070366132</v>
      </c>
      <c r="AF633" s="407"/>
      <c r="AG633" s="407"/>
      <c r="AH633" s="407"/>
      <c r="AI633" s="407">
        <v>0</v>
      </c>
      <c r="AJ633" s="407">
        <v>0</v>
      </c>
      <c r="AK633" s="407">
        <v>0</v>
      </c>
      <c r="AL633" s="407">
        <v>0</v>
      </c>
      <c r="AM633" s="407"/>
      <c r="AN633" s="407">
        <v>0</v>
      </c>
      <c r="AO633" s="407">
        <v>0</v>
      </c>
      <c r="AP633" s="407">
        <v>0</v>
      </c>
      <c r="AQ633" s="407">
        <v>0</v>
      </c>
      <c r="AR633" s="407">
        <v>0</v>
      </c>
      <c r="AS633" s="407"/>
      <c r="AT633" s="407"/>
      <c r="AU633" s="407">
        <v>0</v>
      </c>
      <c r="AV633" s="407">
        <v>0</v>
      </c>
      <c r="AW633" s="407">
        <v>0</v>
      </c>
      <c r="AX633" s="407"/>
      <c r="AY633" s="407"/>
      <c r="AZ633" s="407">
        <v>0</v>
      </c>
      <c r="BA633" s="407"/>
      <c r="BB633" s="407">
        <v>0</v>
      </c>
      <c r="BC633" s="407">
        <v>0</v>
      </c>
      <c r="BD633" s="407">
        <v>0</v>
      </c>
      <c r="BE633" s="407">
        <v>0</v>
      </c>
      <c r="BF633" s="407"/>
      <c r="BG633" s="407">
        <v>0</v>
      </c>
      <c r="BH633" s="407">
        <v>0</v>
      </c>
      <c r="BI633" s="407">
        <v>25.54</v>
      </c>
      <c r="BJ633" s="407">
        <v>126.54</v>
      </c>
      <c r="BK633" s="407">
        <v>24.56</v>
      </c>
      <c r="BL633" s="407">
        <v>4</v>
      </c>
      <c r="BM633" s="407"/>
      <c r="BN633" s="407"/>
      <c r="BO633" s="407"/>
      <c r="BP633" s="407"/>
      <c r="BQ633" s="407"/>
      <c r="BR633" s="407">
        <v>103.14919999999995</v>
      </c>
      <c r="BS633" s="407"/>
      <c r="BT633" s="407"/>
      <c r="BU633" s="407"/>
      <c r="BV633" s="407">
        <v>0</v>
      </c>
      <c r="BW633" s="407"/>
      <c r="BX633" s="407"/>
      <c r="BY633" s="407"/>
      <c r="BZ633" s="407"/>
      <c r="CA633" s="407"/>
      <c r="CB633" s="407"/>
      <c r="CC633" s="407"/>
      <c r="CD633" s="407"/>
      <c r="CE633" s="407"/>
      <c r="CF633" s="407"/>
      <c r="CG633" s="407"/>
      <c r="CH633" s="407"/>
      <c r="CI633" s="407">
        <v>2475.5808000000002</v>
      </c>
      <c r="CJ633" s="407">
        <v>-724.44600000000037</v>
      </c>
      <c r="CK633" s="407"/>
      <c r="CL633" s="407"/>
      <c r="CM633" s="407"/>
      <c r="CN633" s="407"/>
      <c r="CO633" s="407">
        <v>-754.5999999999998</v>
      </c>
      <c r="CP633" s="407">
        <v>0</v>
      </c>
      <c r="CQ633" s="407">
        <v>30</v>
      </c>
      <c r="CR633" s="407">
        <v>17.221831181529069</v>
      </c>
      <c r="CS633" s="407">
        <v>0</v>
      </c>
      <c r="CT633" s="407">
        <v>0</v>
      </c>
      <c r="CU633" s="407">
        <v>0</v>
      </c>
      <c r="CV633" s="407">
        <v>0</v>
      </c>
      <c r="CW633" s="407"/>
      <c r="CX633" s="407"/>
      <c r="CY633" s="407"/>
      <c r="CZ633" s="407">
        <v>82.309090027610637</v>
      </c>
      <c r="DA633" s="407">
        <v>0</v>
      </c>
      <c r="DB633" s="407">
        <v>0</v>
      </c>
      <c r="DC633" s="407"/>
      <c r="DD633" s="407"/>
      <c r="DE633" s="407">
        <v>0</v>
      </c>
      <c r="DF633" s="407">
        <v>0</v>
      </c>
      <c r="DG633" s="407">
        <v>0</v>
      </c>
      <c r="DH633" s="407">
        <v>0</v>
      </c>
      <c r="DI633" s="407">
        <v>0</v>
      </c>
      <c r="DJ633" s="407"/>
      <c r="DK633" s="407">
        <v>0</v>
      </c>
      <c r="DL633" s="407">
        <v>0</v>
      </c>
      <c r="DM633" s="407"/>
      <c r="DN633" s="407">
        <v>0</v>
      </c>
      <c r="DO633" s="407">
        <v>0</v>
      </c>
      <c r="DP633" s="407">
        <v>0</v>
      </c>
      <c r="DQ633" s="407">
        <v>0</v>
      </c>
      <c r="DR633" s="407">
        <v>-65.087258846081625</v>
      </c>
      <c r="DS633" s="407"/>
      <c r="DT633" s="407"/>
      <c r="DU633" s="407">
        <v>1511.4474070366132</v>
      </c>
      <c r="DV633" s="407"/>
      <c r="DW633" s="407">
        <v>0</v>
      </c>
      <c r="DX633" s="407">
        <v>0</v>
      </c>
      <c r="DY633" s="407">
        <v>-754.59999999999991</v>
      </c>
      <c r="DZ633" s="407"/>
      <c r="EA633" s="407">
        <v>0</v>
      </c>
      <c r="EB633" s="407"/>
      <c r="EC633" s="407">
        <v>-772.05084603735088</v>
      </c>
      <c r="ED633" s="407"/>
      <c r="EE633" s="407">
        <v>0</v>
      </c>
      <c r="EF633" s="407">
        <v>0</v>
      </c>
      <c r="EG633" s="407"/>
      <c r="EH633" s="407">
        <v>0</v>
      </c>
      <c r="EI633" s="407">
        <v>0</v>
      </c>
      <c r="EJ633" s="407">
        <v>0</v>
      </c>
      <c r="EK633" s="407">
        <v>0</v>
      </c>
      <c r="EL633" s="407">
        <v>0</v>
      </c>
      <c r="EM633" s="407"/>
      <c r="EN633" s="407"/>
      <c r="EO633" s="407">
        <v>0</v>
      </c>
      <c r="EP633" s="407">
        <v>0</v>
      </c>
      <c r="EQ633" s="407"/>
      <c r="ER633" s="407">
        <v>0</v>
      </c>
      <c r="ES633" s="407"/>
      <c r="ET633" s="407">
        <v>0</v>
      </c>
      <c r="EU633" s="407"/>
      <c r="EV633" s="407">
        <v>246</v>
      </c>
      <c r="EW633" s="407"/>
      <c r="EX633" s="407"/>
      <c r="EY633" s="407"/>
      <c r="EZ633" s="407"/>
      <c r="FA633" s="407">
        <v>0</v>
      </c>
      <c r="FB633" s="407"/>
      <c r="FC633" s="407"/>
      <c r="FD633" s="407"/>
      <c r="FE633" s="407"/>
      <c r="FF633" s="407">
        <v>0</v>
      </c>
      <c r="FG633" s="407">
        <v>0</v>
      </c>
      <c r="FH633" s="407">
        <v>0</v>
      </c>
      <c r="FI633" s="407">
        <v>0</v>
      </c>
    </row>
    <row r="634" spans="1:165">
      <c r="A634" s="407">
        <v>657</v>
      </c>
      <c r="B634" s="407" t="s">
        <v>1090</v>
      </c>
      <c r="C634" s="407" t="s">
        <v>2314</v>
      </c>
      <c r="D634" s="407" t="s">
        <v>650</v>
      </c>
      <c r="E634" s="407" t="s">
        <v>1026</v>
      </c>
      <c r="F634" s="407" t="s">
        <v>2323</v>
      </c>
      <c r="G634" s="407" t="s">
        <v>2325</v>
      </c>
      <c r="H634" s="407" t="s">
        <v>97</v>
      </c>
      <c r="I634" s="407" t="s">
        <v>2290</v>
      </c>
      <c r="J634" s="407" t="s">
        <v>2307</v>
      </c>
      <c r="K634" s="818">
        <v>44652</v>
      </c>
      <c r="L634" s="407">
        <v>0</v>
      </c>
      <c r="M634" s="407">
        <v>0</v>
      </c>
      <c r="N634" s="407">
        <v>6.133</v>
      </c>
      <c r="O634" s="407">
        <v>1.8399000000000001</v>
      </c>
      <c r="P634" s="407">
        <v>6.133</v>
      </c>
      <c r="Q634" s="407">
        <v>1.8399000000000001</v>
      </c>
      <c r="R634" s="407"/>
      <c r="S634" s="407">
        <v>95.29</v>
      </c>
      <c r="T634" s="407">
        <v>159.41</v>
      </c>
      <c r="U634" s="407"/>
      <c r="V634" s="407">
        <v>1562.0751</v>
      </c>
      <c r="W634" s="407">
        <v>1562.0751</v>
      </c>
      <c r="X634" s="407">
        <v>1698.2890299999999</v>
      </c>
      <c r="Y634" s="407">
        <v>0</v>
      </c>
      <c r="Z634" s="407">
        <v>330.65528598903285</v>
      </c>
      <c r="AA634" s="407">
        <v>0</v>
      </c>
      <c r="AB634" s="407">
        <v>0</v>
      </c>
      <c r="AC634" s="407">
        <v>0</v>
      </c>
      <c r="AD634" s="407">
        <v>0</v>
      </c>
      <c r="AE634" s="407">
        <v>0</v>
      </c>
      <c r="AF634" s="407">
        <v>945.89698560149748</v>
      </c>
      <c r="AG634" s="407">
        <v>31.779655811332987</v>
      </c>
      <c r="AH634" s="407">
        <v>0</v>
      </c>
      <c r="AI634" s="407">
        <v>0</v>
      </c>
      <c r="AJ634" s="407">
        <v>0</v>
      </c>
      <c r="AK634" s="407">
        <v>0</v>
      </c>
      <c r="AL634" s="407">
        <v>58.729947466101486</v>
      </c>
      <c r="AM634" s="407"/>
      <c r="AN634" s="407">
        <v>6.5852068429121884</v>
      </c>
      <c r="AO634" s="407">
        <v>0</v>
      </c>
      <c r="AP634" s="407">
        <v>0</v>
      </c>
      <c r="AQ634" s="407">
        <v>0</v>
      </c>
      <c r="AR634" s="407">
        <v>0</v>
      </c>
      <c r="AS634" s="407">
        <v>0</v>
      </c>
      <c r="AT634" s="407">
        <v>0</v>
      </c>
      <c r="AU634" s="407">
        <v>0</v>
      </c>
      <c r="AV634" s="407">
        <v>0</v>
      </c>
      <c r="AW634" s="407">
        <v>0</v>
      </c>
      <c r="AX634" s="407">
        <v>0</v>
      </c>
      <c r="AY634" s="407">
        <v>0</v>
      </c>
      <c r="AZ634" s="407">
        <v>0</v>
      </c>
      <c r="BA634" s="407"/>
      <c r="BB634" s="407">
        <v>0</v>
      </c>
      <c r="BC634" s="407">
        <v>0</v>
      </c>
      <c r="BD634" s="407">
        <v>0</v>
      </c>
      <c r="BE634" s="407">
        <v>0</v>
      </c>
      <c r="BF634" s="407">
        <v>0</v>
      </c>
      <c r="BG634" s="407">
        <v>31.82949944337798</v>
      </c>
      <c r="BH634" s="407">
        <v>0</v>
      </c>
      <c r="BI634" s="407">
        <v>0</v>
      </c>
      <c r="BJ634" s="407">
        <v>0</v>
      </c>
      <c r="BK634" s="407">
        <v>0</v>
      </c>
      <c r="BL634" s="407">
        <v>0</v>
      </c>
      <c r="BM634" s="407"/>
      <c r="BN634" s="407"/>
      <c r="BO634" s="407"/>
      <c r="BP634" s="407"/>
      <c r="BQ634" s="407"/>
      <c r="BR634" s="407"/>
      <c r="BS634" s="407">
        <v>1188.8023210000001</v>
      </c>
      <c r="BT634" s="407"/>
      <c r="BU634" s="407"/>
      <c r="BV634" s="407">
        <v>977.7264850448754</v>
      </c>
      <c r="BW634" s="407"/>
      <c r="BX634" s="407"/>
      <c r="BY634" s="407"/>
      <c r="BZ634" s="407"/>
      <c r="CA634" s="407"/>
      <c r="CB634" s="407"/>
      <c r="CC634" s="407"/>
      <c r="CD634" s="407"/>
      <c r="CE634" s="407"/>
      <c r="CF634" s="407"/>
      <c r="CG634" s="407"/>
      <c r="CH634" s="407"/>
      <c r="CI634" s="407">
        <v>509.51440000000002</v>
      </c>
      <c r="CJ634" s="407">
        <v>40.861870000000067</v>
      </c>
      <c r="CK634" s="407"/>
      <c r="CL634" s="407"/>
      <c r="CM634" s="407"/>
      <c r="CN634" s="407"/>
      <c r="CO634" s="407">
        <v>-32.259580000000028</v>
      </c>
      <c r="CP634" s="407">
        <v>168.47351</v>
      </c>
      <c r="CQ634" s="407">
        <v>30</v>
      </c>
      <c r="CR634" s="407">
        <v>136.19454487237408</v>
      </c>
      <c r="CS634" s="407">
        <v>0</v>
      </c>
      <c r="CT634" s="407">
        <v>0</v>
      </c>
      <c r="CU634" s="407">
        <v>0</v>
      </c>
      <c r="CV634" s="407">
        <v>0</v>
      </c>
      <c r="CW634" s="407">
        <v>0</v>
      </c>
      <c r="CX634" s="407">
        <v>0</v>
      </c>
      <c r="CY634" s="407">
        <v>0</v>
      </c>
      <c r="CZ634" s="407">
        <v>0</v>
      </c>
      <c r="DA634" s="407">
        <v>0</v>
      </c>
      <c r="DB634" s="407">
        <v>0</v>
      </c>
      <c r="DC634" s="407">
        <v>187.54582844405866</v>
      </c>
      <c r="DD634" s="407">
        <v>0</v>
      </c>
      <c r="DE634" s="407">
        <v>0</v>
      </c>
      <c r="DF634" s="407">
        <v>0</v>
      </c>
      <c r="DG634" s="407">
        <v>6.310930188948678</v>
      </c>
      <c r="DH634" s="407">
        <v>0</v>
      </c>
      <c r="DI634" s="407">
        <v>-23.159748529768592</v>
      </c>
      <c r="DJ634" s="407"/>
      <c r="DK634" s="407">
        <v>0</v>
      </c>
      <c r="DL634" s="407">
        <v>0</v>
      </c>
      <c r="DM634" s="407">
        <v>0</v>
      </c>
      <c r="DN634" s="407">
        <v>0</v>
      </c>
      <c r="DO634" s="407">
        <v>-3.5831949610657716</v>
      </c>
      <c r="DP634" s="407">
        <v>-0.41959348200447266</v>
      </c>
      <c r="DQ634" s="407">
        <v>0</v>
      </c>
      <c r="DR634" s="407">
        <v>-30.499676787794112</v>
      </c>
      <c r="DS634" s="407"/>
      <c r="DT634" s="407"/>
      <c r="DU634" s="407"/>
      <c r="DV634" s="407">
        <v>0</v>
      </c>
      <c r="DW634" s="407">
        <v>0</v>
      </c>
      <c r="DX634" s="407">
        <v>0</v>
      </c>
      <c r="DY634" s="407">
        <v>-32.259580000000028</v>
      </c>
      <c r="DZ634" s="407">
        <v>168.47350999999992</v>
      </c>
      <c r="EA634" s="407">
        <v>0</v>
      </c>
      <c r="EB634" s="407">
        <v>0</v>
      </c>
      <c r="EC634" s="407">
        <v>0</v>
      </c>
      <c r="ED634" s="407">
        <v>0</v>
      </c>
      <c r="EE634" s="407">
        <v>0</v>
      </c>
      <c r="EF634" s="407">
        <v>0</v>
      </c>
      <c r="EG634" s="407">
        <v>0</v>
      </c>
      <c r="EH634" s="407">
        <v>0</v>
      </c>
      <c r="EI634" s="407">
        <v>0</v>
      </c>
      <c r="EJ634" s="407">
        <v>0</v>
      </c>
      <c r="EK634" s="407">
        <v>0</v>
      </c>
      <c r="EL634" s="407">
        <v>0</v>
      </c>
      <c r="EM634" s="407">
        <v>0</v>
      </c>
      <c r="EN634" s="407">
        <v>0</v>
      </c>
      <c r="EO634" s="407">
        <v>0</v>
      </c>
      <c r="EP634" s="407">
        <v>156.62549699137864</v>
      </c>
      <c r="EQ634" s="407">
        <v>0</v>
      </c>
      <c r="ER634" s="407">
        <v>0</v>
      </c>
      <c r="ES634" s="407">
        <v>0</v>
      </c>
      <c r="ET634" s="407">
        <v>0</v>
      </c>
      <c r="EU634" s="407">
        <v>0</v>
      </c>
      <c r="EV634" s="407">
        <v>246</v>
      </c>
      <c r="EW634" s="407">
        <v>0</v>
      </c>
      <c r="EX634" s="407">
        <v>0</v>
      </c>
      <c r="EY634" s="407">
        <v>0</v>
      </c>
      <c r="EZ634" s="407"/>
      <c r="FA634" s="407">
        <v>0</v>
      </c>
      <c r="FB634" s="407"/>
      <c r="FC634" s="407"/>
      <c r="FD634" s="407"/>
      <c r="FE634" s="407"/>
      <c r="FF634" s="407">
        <v>0</v>
      </c>
      <c r="FG634" s="407">
        <v>0</v>
      </c>
      <c r="FH634" s="407">
        <v>0</v>
      </c>
      <c r="FI634" s="407">
        <v>0</v>
      </c>
    </row>
    <row r="635" spans="1:165">
      <c r="A635" s="407">
        <v>659</v>
      </c>
      <c r="B635" s="407" t="s">
        <v>1090</v>
      </c>
      <c r="C635" s="407" t="s">
        <v>2306</v>
      </c>
      <c r="D635" s="407" t="s">
        <v>2315</v>
      </c>
      <c r="E635" s="407" t="s">
        <v>1026</v>
      </c>
      <c r="F635" s="407" t="s">
        <v>2326</v>
      </c>
      <c r="G635" s="407" t="s">
        <v>2324</v>
      </c>
      <c r="H635" s="407" t="s">
        <v>97</v>
      </c>
      <c r="I635" s="407" t="s">
        <v>97</v>
      </c>
      <c r="J635" s="407" t="s">
        <v>2307</v>
      </c>
      <c r="K635" s="818">
        <v>44652</v>
      </c>
      <c r="L635" s="407">
        <v>0</v>
      </c>
      <c r="M635" s="407">
        <v>0</v>
      </c>
      <c r="N635" s="407">
        <v>0</v>
      </c>
      <c r="O635" s="407">
        <v>0</v>
      </c>
      <c r="P635" s="407">
        <v>0</v>
      </c>
      <c r="Q635" s="407">
        <v>0</v>
      </c>
      <c r="R635" s="407"/>
      <c r="S635" s="407"/>
      <c r="T635" s="407"/>
      <c r="U635" s="407"/>
      <c r="V635" s="407"/>
      <c r="W635" s="407"/>
      <c r="X635" s="407"/>
      <c r="Y635" s="407"/>
      <c r="Z635" s="407"/>
      <c r="AA635" s="407">
        <v>0</v>
      </c>
      <c r="AB635" s="407"/>
      <c r="AC635" s="407"/>
      <c r="AD635" s="407"/>
      <c r="AE635" s="407"/>
      <c r="AF635" s="407"/>
      <c r="AG635" s="407"/>
      <c r="AH635" s="407"/>
      <c r="AI635" s="407"/>
      <c r="AJ635" s="407"/>
      <c r="AK635" s="407"/>
      <c r="AL635" s="407"/>
      <c r="AM635" s="407"/>
      <c r="AN635" s="407"/>
      <c r="AO635" s="407"/>
      <c r="AP635" s="407"/>
      <c r="AQ635" s="407"/>
      <c r="AR635" s="407"/>
      <c r="AS635" s="407"/>
      <c r="AT635" s="407"/>
      <c r="AU635" s="407"/>
      <c r="AV635" s="407"/>
      <c r="AW635" s="407"/>
      <c r="AX635" s="407"/>
      <c r="AY635" s="407"/>
      <c r="AZ635" s="407">
        <v>0</v>
      </c>
      <c r="BA635" s="407"/>
      <c r="BB635" s="407"/>
      <c r="BC635" s="407"/>
      <c r="BD635" s="407"/>
      <c r="BE635" s="407"/>
      <c r="BF635" s="407"/>
      <c r="BG635" s="407"/>
      <c r="BH635" s="407"/>
      <c r="BI635" s="407">
        <v>15.26</v>
      </c>
      <c r="BJ635" s="407">
        <v>75.63</v>
      </c>
      <c r="BK635" s="407">
        <v>46.72</v>
      </c>
      <c r="BL635" s="407">
        <v>5</v>
      </c>
      <c r="BM635" s="407"/>
      <c r="BN635" s="407"/>
      <c r="BO635" s="407"/>
      <c r="BP635" s="407"/>
      <c r="BQ635" s="407"/>
      <c r="BR635" s="407"/>
      <c r="BS635" s="407"/>
      <c r="BT635" s="407"/>
      <c r="BU635" s="407"/>
      <c r="BV635" s="407"/>
      <c r="BW635" s="407"/>
      <c r="BX635" s="407"/>
      <c r="BY635" s="407"/>
      <c r="BZ635" s="407"/>
      <c r="CA635" s="407"/>
      <c r="CB635" s="407"/>
      <c r="CC635" s="407"/>
      <c r="CD635" s="407"/>
      <c r="CE635" s="407"/>
      <c r="CF635" s="407"/>
      <c r="CG635" s="407"/>
      <c r="CH635" s="407"/>
      <c r="CI635" s="407"/>
      <c r="CJ635" s="407">
        <v>-0.03</v>
      </c>
      <c r="CK635" s="407"/>
      <c r="CL635" s="407"/>
      <c r="CM635" s="407"/>
      <c r="CN635" s="407"/>
      <c r="CO635" s="407">
        <v>0</v>
      </c>
      <c r="CP635" s="407">
        <v>0</v>
      </c>
      <c r="CQ635" s="407">
        <v>30</v>
      </c>
      <c r="CR635" s="407"/>
      <c r="CS635" s="407"/>
      <c r="CT635" s="407"/>
      <c r="CU635" s="407"/>
      <c r="CV635" s="407"/>
      <c r="CW635" s="407"/>
      <c r="CX635" s="407"/>
      <c r="CY635" s="407"/>
      <c r="CZ635" s="407"/>
      <c r="DA635" s="407"/>
      <c r="DB635" s="407"/>
      <c r="DC635" s="407"/>
      <c r="DD635" s="407"/>
      <c r="DE635" s="407"/>
      <c r="DF635" s="407"/>
      <c r="DG635" s="407"/>
      <c r="DH635" s="407"/>
      <c r="DI635" s="407"/>
      <c r="DJ635" s="407"/>
      <c r="DK635" s="407">
        <v>0</v>
      </c>
      <c r="DL635" s="407"/>
      <c r="DM635" s="407"/>
      <c r="DN635" s="407"/>
      <c r="DO635" s="407"/>
      <c r="DP635" s="407"/>
      <c r="DQ635" s="407"/>
      <c r="DR635" s="407"/>
      <c r="DS635" s="407"/>
      <c r="DT635" s="407"/>
      <c r="DU635" s="407"/>
      <c r="DV635" s="407"/>
      <c r="DW635" s="407"/>
      <c r="DX635" s="407"/>
      <c r="DY635" s="407"/>
      <c r="DZ635" s="407"/>
      <c r="EA635" s="407"/>
      <c r="EB635" s="407"/>
      <c r="EC635" s="407"/>
      <c r="ED635" s="407"/>
      <c r="EE635" s="407"/>
      <c r="EF635" s="407"/>
      <c r="EG635" s="407"/>
      <c r="EH635" s="407"/>
      <c r="EI635" s="407"/>
      <c r="EJ635" s="407"/>
      <c r="EK635" s="407"/>
      <c r="EL635" s="407"/>
      <c r="EM635" s="407"/>
      <c r="EN635" s="407"/>
      <c r="EO635" s="407"/>
      <c r="EP635" s="407"/>
      <c r="EQ635" s="407"/>
      <c r="ER635" s="407"/>
      <c r="ES635" s="407"/>
      <c r="ET635" s="407"/>
      <c r="EU635" s="407"/>
      <c r="EV635" s="407">
        <v>246</v>
      </c>
      <c r="EW635" s="407"/>
      <c r="EX635" s="407"/>
      <c r="EY635" s="407"/>
      <c r="EZ635" s="407"/>
      <c r="FA635" s="407">
        <v>0</v>
      </c>
      <c r="FB635" s="407"/>
      <c r="FC635" s="407"/>
      <c r="FD635" s="407"/>
      <c r="FE635" s="407"/>
      <c r="FF635" s="407">
        <v>0</v>
      </c>
      <c r="FG635" s="407">
        <v>0</v>
      </c>
      <c r="FH635" s="407">
        <v>0</v>
      </c>
      <c r="FI635" s="407">
        <v>0</v>
      </c>
    </row>
    <row r="636" spans="1:165">
      <c r="A636" s="407">
        <v>660</v>
      </c>
      <c r="B636" s="407" t="s">
        <v>1090</v>
      </c>
      <c r="C636" s="407" t="s">
        <v>2306</v>
      </c>
      <c r="D636" s="407" t="s">
        <v>2315</v>
      </c>
      <c r="E636" s="407" t="s">
        <v>1026</v>
      </c>
      <c r="F636" s="407" t="s">
        <v>2326</v>
      </c>
      <c r="G636" s="407" t="s">
        <v>2324</v>
      </c>
      <c r="H636" s="407" t="s">
        <v>97</v>
      </c>
      <c r="I636" s="407" t="s">
        <v>97</v>
      </c>
      <c r="J636" s="407" t="s">
        <v>2307</v>
      </c>
      <c r="K636" s="818">
        <v>44652</v>
      </c>
      <c r="L636" s="407">
        <v>0</v>
      </c>
      <c r="M636" s="407">
        <v>0</v>
      </c>
      <c r="N636" s="407">
        <v>7.9829999999999997</v>
      </c>
      <c r="O636" s="407">
        <v>7.9829999999999997</v>
      </c>
      <c r="P636" s="407">
        <v>7.9829999999999997</v>
      </c>
      <c r="Q636" s="407">
        <v>7.9829999999999997</v>
      </c>
      <c r="R636" s="407"/>
      <c r="S636" s="407">
        <v>648.44000000000005</v>
      </c>
      <c r="T636" s="407">
        <v>159.41</v>
      </c>
      <c r="U636" s="407"/>
      <c r="V636" s="407">
        <v>6449.0665500000005</v>
      </c>
      <c r="W636" s="407">
        <v>6449.0665500000005</v>
      </c>
      <c r="X636" s="407">
        <v>4884.15906</v>
      </c>
      <c r="Y636" s="407">
        <v>0</v>
      </c>
      <c r="Z636" s="407">
        <v>494.7085107793435</v>
      </c>
      <c r="AA636" s="407">
        <v>0</v>
      </c>
      <c r="AB636" s="407">
        <v>0</v>
      </c>
      <c r="AC636" s="407">
        <v>0</v>
      </c>
      <c r="AD636" s="407">
        <v>931.17245444972536</v>
      </c>
      <c r="AE636" s="407">
        <v>3333.2696444532357</v>
      </c>
      <c r="AF636" s="407">
        <v>1231.223811520749</v>
      </c>
      <c r="AG636" s="407">
        <v>41.365888201837798</v>
      </c>
      <c r="AH636" s="407">
        <v>0</v>
      </c>
      <c r="AI636" s="407">
        <v>0</v>
      </c>
      <c r="AJ636" s="407">
        <v>0</v>
      </c>
      <c r="AK636" s="407">
        <v>0</v>
      </c>
      <c r="AL636" s="407">
        <v>76.445649864974428</v>
      </c>
      <c r="AM636" s="407"/>
      <c r="AN636" s="407">
        <v>16.565488497938745</v>
      </c>
      <c r="AO636" s="407">
        <v>0</v>
      </c>
      <c r="AP636" s="407">
        <v>0</v>
      </c>
      <c r="AQ636" s="407">
        <v>0</v>
      </c>
      <c r="AR636" s="407">
        <v>0</v>
      </c>
      <c r="AS636" s="407">
        <v>0</v>
      </c>
      <c r="AT636" s="407">
        <v>0</v>
      </c>
      <c r="AU636" s="407">
        <v>0</v>
      </c>
      <c r="AV636" s="407">
        <v>0</v>
      </c>
      <c r="AW636" s="407">
        <v>0</v>
      </c>
      <c r="AX636" s="407">
        <v>0</v>
      </c>
      <c r="AY636" s="407">
        <v>0</v>
      </c>
      <c r="AZ636" s="407">
        <v>0</v>
      </c>
      <c r="BA636" s="407"/>
      <c r="BB636" s="407">
        <v>0</v>
      </c>
      <c r="BC636" s="407">
        <v>0</v>
      </c>
      <c r="BD636" s="407">
        <v>0</v>
      </c>
      <c r="BE636" s="407">
        <v>0</v>
      </c>
      <c r="BF636" s="407">
        <v>0</v>
      </c>
      <c r="BG636" s="407">
        <v>89.998529032721976</v>
      </c>
      <c r="BH636" s="407">
        <v>0</v>
      </c>
      <c r="BI636" s="407">
        <v>0</v>
      </c>
      <c r="BJ636" s="407">
        <v>0</v>
      </c>
      <c r="BK636" s="407">
        <v>0</v>
      </c>
      <c r="BL636" s="407">
        <v>0</v>
      </c>
      <c r="BM636" s="407"/>
      <c r="BN636" s="407"/>
      <c r="BO636" s="407"/>
      <c r="BP636" s="407"/>
      <c r="BQ636" s="407"/>
      <c r="BR636" s="407">
        <v>586.11186000000009</v>
      </c>
      <c r="BS636" s="407"/>
      <c r="BT636" s="407"/>
      <c r="BU636" s="407"/>
      <c r="BV636" s="407">
        <v>1321.222340553471</v>
      </c>
      <c r="BW636" s="407"/>
      <c r="BX636" s="407"/>
      <c r="BY636" s="407"/>
      <c r="BZ636" s="407"/>
      <c r="CA636" s="407"/>
      <c r="CB636" s="407"/>
      <c r="CC636" s="407"/>
      <c r="CD636" s="407"/>
      <c r="CE636" s="407"/>
      <c r="CF636" s="407"/>
      <c r="CG636" s="407"/>
      <c r="CH636" s="407"/>
      <c r="CI636" s="407">
        <v>4296.4319999999998</v>
      </c>
      <c r="CJ636" s="407">
        <v>-1378.7925300000006</v>
      </c>
      <c r="CK636" s="407"/>
      <c r="CL636" s="407"/>
      <c r="CM636" s="407"/>
      <c r="CN636" s="407"/>
      <c r="CO636" s="407">
        <v>-1784.2005000000004</v>
      </c>
      <c r="CP636" s="407">
        <v>219.29300999999998</v>
      </c>
      <c r="CQ636" s="407">
        <v>30</v>
      </c>
      <c r="CR636" s="407">
        <v>137.7388258190017</v>
      </c>
      <c r="CS636" s="407">
        <v>0</v>
      </c>
      <c r="CT636" s="407">
        <v>0</v>
      </c>
      <c r="CU636" s="407">
        <v>0</v>
      </c>
      <c r="CV636" s="407">
        <v>0</v>
      </c>
      <c r="CW636" s="407">
        <v>0</v>
      </c>
      <c r="CX636" s="407">
        <v>0</v>
      </c>
      <c r="CY636" s="407">
        <v>0</v>
      </c>
      <c r="CZ636" s="407">
        <v>42.062906105580623</v>
      </c>
      <c r="DA636" s="407">
        <v>0</v>
      </c>
      <c r="DB636" s="407">
        <v>0</v>
      </c>
      <c r="DC636" s="407">
        <v>244.11843281736856</v>
      </c>
      <c r="DD636" s="407">
        <v>0</v>
      </c>
      <c r="DE636" s="407">
        <v>0</v>
      </c>
      <c r="DF636" s="407">
        <v>0</v>
      </c>
      <c r="DG636" s="407">
        <v>17.844277910934792</v>
      </c>
      <c r="DH636" s="407">
        <v>0</v>
      </c>
      <c r="DI636" s="407">
        <v>-34.650360029525871</v>
      </c>
      <c r="DJ636" s="407"/>
      <c r="DK636" s="407">
        <v>0</v>
      </c>
      <c r="DL636" s="407">
        <v>0</v>
      </c>
      <c r="DM636" s="407">
        <v>0</v>
      </c>
      <c r="DN636" s="407">
        <v>0</v>
      </c>
      <c r="DO636" s="407">
        <v>-4.6640543574413869</v>
      </c>
      <c r="DP636" s="407">
        <v>-1.0555129346372603</v>
      </c>
      <c r="DQ636" s="407">
        <v>0</v>
      </c>
      <c r="DR636" s="407">
        <v>-125.91686369327853</v>
      </c>
      <c r="DS636" s="407"/>
      <c r="DT636" s="407"/>
      <c r="DU636" s="407"/>
      <c r="DV636" s="407">
        <v>3333.2696444532357</v>
      </c>
      <c r="DW636" s="407">
        <v>0</v>
      </c>
      <c r="DX636" s="407">
        <v>0</v>
      </c>
      <c r="DY636" s="407">
        <v>-1784.2005000000008</v>
      </c>
      <c r="DZ636" s="407">
        <v>219.29301000000009</v>
      </c>
      <c r="EA636" s="407">
        <v>0</v>
      </c>
      <c r="EB636" s="407">
        <v>0</v>
      </c>
      <c r="EC636" s="407">
        <v>-1702.6418763166382</v>
      </c>
      <c r="ED636" s="407">
        <v>0</v>
      </c>
      <c r="EE636" s="407">
        <v>0</v>
      </c>
      <c r="EF636" s="407">
        <v>0</v>
      </c>
      <c r="EG636" s="407">
        <v>0</v>
      </c>
      <c r="EH636" s="407">
        <v>0</v>
      </c>
      <c r="EI636" s="407">
        <v>0</v>
      </c>
      <c r="EJ636" s="407">
        <v>0</v>
      </c>
      <c r="EK636" s="407">
        <v>0</v>
      </c>
      <c r="EL636" s="407">
        <v>0</v>
      </c>
      <c r="EM636" s="407">
        <v>0</v>
      </c>
      <c r="EN636" s="407">
        <v>0</v>
      </c>
      <c r="EO636" s="407">
        <v>0</v>
      </c>
      <c r="EP636" s="407">
        <v>234.33457636981325</v>
      </c>
      <c r="EQ636" s="407">
        <v>0</v>
      </c>
      <c r="ER636" s="407">
        <v>0</v>
      </c>
      <c r="ES636" s="407">
        <v>0</v>
      </c>
      <c r="ET636" s="407">
        <v>0</v>
      </c>
      <c r="EU636" s="407">
        <v>0</v>
      </c>
      <c r="EV636" s="407">
        <v>246</v>
      </c>
      <c r="EW636" s="407">
        <v>0</v>
      </c>
      <c r="EX636" s="407">
        <v>0</v>
      </c>
      <c r="EY636" s="407">
        <v>0</v>
      </c>
      <c r="EZ636" s="407"/>
      <c r="FA636" s="407">
        <v>0</v>
      </c>
      <c r="FB636" s="407"/>
      <c r="FC636" s="407"/>
      <c r="FD636" s="407"/>
      <c r="FE636" s="407"/>
      <c r="FF636" s="407">
        <v>0</v>
      </c>
      <c r="FG636" s="407">
        <v>0</v>
      </c>
      <c r="FH636" s="407">
        <v>0</v>
      </c>
      <c r="FI636" s="407">
        <v>0</v>
      </c>
    </row>
    <row r="637" spans="1:165">
      <c r="A637" s="407">
        <v>661</v>
      </c>
      <c r="B637" s="407" t="s">
        <v>1090</v>
      </c>
      <c r="C637" s="407" t="s">
        <v>2306</v>
      </c>
      <c r="D637" s="407" t="s">
        <v>2315</v>
      </c>
      <c r="E637" s="407" t="s">
        <v>1026</v>
      </c>
      <c r="F637" s="407" t="s">
        <v>2326</v>
      </c>
      <c r="G637" s="407" t="s">
        <v>2325</v>
      </c>
      <c r="H637" s="407" t="s">
        <v>97</v>
      </c>
      <c r="I637" s="407" t="s">
        <v>97</v>
      </c>
      <c r="J637" s="407" t="s">
        <v>2307</v>
      </c>
      <c r="K637" s="818">
        <v>44652</v>
      </c>
      <c r="L637" s="407">
        <v>0</v>
      </c>
      <c r="M637" s="407">
        <v>0</v>
      </c>
      <c r="N637" s="407">
        <v>7.8140000000000001</v>
      </c>
      <c r="O637" s="407">
        <v>3.1255999999999999</v>
      </c>
      <c r="P637" s="407">
        <v>7.8140000000000001</v>
      </c>
      <c r="Q637" s="407">
        <v>3.1255999999999999</v>
      </c>
      <c r="R637" s="407"/>
      <c r="S637" s="407">
        <v>648.44000000000005</v>
      </c>
      <c r="T637" s="407">
        <v>159.41</v>
      </c>
      <c r="U637" s="407"/>
      <c r="V637" s="407">
        <v>6312.5399000000007</v>
      </c>
      <c r="W637" s="407">
        <v>6312.5399000000007</v>
      </c>
      <c r="X637" s="407">
        <v>4780.7614800000001</v>
      </c>
      <c r="Y637" s="407">
        <v>0</v>
      </c>
      <c r="Z637" s="407">
        <v>484.23553842287237</v>
      </c>
      <c r="AA637" s="407">
        <v>0</v>
      </c>
      <c r="AB637" s="407">
        <v>0</v>
      </c>
      <c r="AC637" s="407">
        <v>0</v>
      </c>
      <c r="AD637" s="407">
        <v>911.45954641991159</v>
      </c>
      <c r="AE637" s="407">
        <v>3262.7043720102197</v>
      </c>
      <c r="AF637" s="407">
        <v>1205.1588203962338</v>
      </c>
      <c r="AG637" s="407">
        <v>40.490172918597089</v>
      </c>
      <c r="AH637" s="407">
        <v>0</v>
      </c>
      <c r="AI637" s="407">
        <v>0</v>
      </c>
      <c r="AJ637" s="407">
        <v>0</v>
      </c>
      <c r="AK637" s="407">
        <v>0</v>
      </c>
      <c r="AL637" s="407">
        <v>74.827296510699014</v>
      </c>
      <c r="AM637" s="407"/>
      <c r="AN637" s="407">
        <v>16.214797334697902</v>
      </c>
      <c r="AO637" s="407">
        <v>0</v>
      </c>
      <c r="AP637" s="407">
        <v>0</v>
      </c>
      <c r="AQ637" s="407">
        <v>0</v>
      </c>
      <c r="AR637" s="407">
        <v>0</v>
      </c>
      <c r="AS637" s="407">
        <v>0</v>
      </c>
      <c r="AT637" s="407">
        <v>0</v>
      </c>
      <c r="AU637" s="407">
        <v>0</v>
      </c>
      <c r="AV637" s="407">
        <v>0</v>
      </c>
      <c r="AW637" s="407">
        <v>0</v>
      </c>
      <c r="AX637" s="407">
        <v>0</v>
      </c>
      <c r="AY637" s="407">
        <v>0</v>
      </c>
      <c r="AZ637" s="407">
        <v>0</v>
      </c>
      <c r="BA637" s="407"/>
      <c r="BB637" s="407">
        <v>0</v>
      </c>
      <c r="BC637" s="407">
        <v>0</v>
      </c>
      <c r="BD637" s="407">
        <v>0</v>
      </c>
      <c r="BE637" s="407">
        <v>0</v>
      </c>
      <c r="BF637" s="407">
        <v>0</v>
      </c>
      <c r="BG637" s="407">
        <v>88.093261413214279</v>
      </c>
      <c r="BH637" s="407">
        <v>0</v>
      </c>
      <c r="BI637" s="407">
        <v>0</v>
      </c>
      <c r="BJ637" s="407">
        <v>0</v>
      </c>
      <c r="BK637" s="407">
        <v>0</v>
      </c>
      <c r="BL637" s="407">
        <v>0</v>
      </c>
      <c r="BM637" s="407"/>
      <c r="BN637" s="407"/>
      <c r="BO637" s="407"/>
      <c r="BP637" s="407"/>
      <c r="BQ637" s="407"/>
      <c r="BR637" s="407"/>
      <c r="BS637" s="407">
        <v>3097.9384399999999</v>
      </c>
      <c r="BT637" s="407"/>
      <c r="BU637" s="407"/>
      <c r="BV637" s="407">
        <v>1293.2520818094481</v>
      </c>
      <c r="BW637" s="407"/>
      <c r="BX637" s="407"/>
      <c r="BY637" s="407"/>
      <c r="BZ637" s="407"/>
      <c r="CA637" s="407"/>
      <c r="CB637" s="407"/>
      <c r="CC637" s="407"/>
      <c r="CD637" s="407"/>
      <c r="CE637" s="407"/>
      <c r="CF637" s="407"/>
      <c r="CG637" s="407"/>
      <c r="CH637" s="407"/>
      <c r="CI637" s="407">
        <v>1685.1919999999998</v>
      </c>
      <c r="CJ637" s="407">
        <v>-536.85829600000056</v>
      </c>
      <c r="CK637" s="407"/>
      <c r="CL637" s="407"/>
      <c r="CM637" s="407"/>
      <c r="CN637" s="407"/>
      <c r="CO637" s="407">
        <v>-1746.4290000000005</v>
      </c>
      <c r="CP637" s="407">
        <v>214.65057999999999</v>
      </c>
      <c r="CQ637" s="407">
        <v>30</v>
      </c>
      <c r="CR637" s="407">
        <v>134.82289677435483</v>
      </c>
      <c r="CS637" s="407">
        <v>0</v>
      </c>
      <c r="CT637" s="407">
        <v>0</v>
      </c>
      <c r="CU637" s="407">
        <v>0</v>
      </c>
      <c r="CV637" s="407">
        <v>0</v>
      </c>
      <c r="CW637" s="407">
        <v>0</v>
      </c>
      <c r="CX637" s="407">
        <v>0</v>
      </c>
      <c r="CY637" s="407">
        <v>0</v>
      </c>
      <c r="CZ637" s="407">
        <v>41.172434962922011</v>
      </c>
      <c r="DA637" s="407">
        <v>0</v>
      </c>
      <c r="DB637" s="407">
        <v>0</v>
      </c>
      <c r="DC637" s="407">
        <v>238.95044895840124</v>
      </c>
      <c r="DD637" s="407">
        <v>0</v>
      </c>
      <c r="DE637" s="407">
        <v>0</v>
      </c>
      <c r="DF637" s="407">
        <v>0</v>
      </c>
      <c r="DG637" s="407">
        <v>17.466514793441618</v>
      </c>
      <c r="DH637" s="407">
        <v>0</v>
      </c>
      <c r="DI637" s="407">
        <v>-33.916812385157812</v>
      </c>
      <c r="DJ637" s="407"/>
      <c r="DK637" s="407">
        <v>0</v>
      </c>
      <c r="DL637" s="407">
        <v>0</v>
      </c>
      <c r="DM637" s="407">
        <v>0</v>
      </c>
      <c r="DN637" s="407">
        <v>0</v>
      </c>
      <c r="DO637" s="407">
        <v>-4.5653163909616836</v>
      </c>
      <c r="DP637" s="407">
        <v>-1.0331677403551982</v>
      </c>
      <c r="DQ637" s="407">
        <v>0</v>
      </c>
      <c r="DR637" s="407">
        <v>-123.25120542393569</v>
      </c>
      <c r="DS637" s="407"/>
      <c r="DT637" s="407"/>
      <c r="DU637" s="407"/>
      <c r="DV637" s="407">
        <v>3262.7043720102197</v>
      </c>
      <c r="DW637" s="407">
        <v>0</v>
      </c>
      <c r="DX637" s="407">
        <v>0</v>
      </c>
      <c r="DY637" s="407">
        <v>-1746.4290000000005</v>
      </c>
      <c r="DZ637" s="407">
        <v>214.65057999999999</v>
      </c>
      <c r="EA637" s="407">
        <v>0</v>
      </c>
      <c r="EB637" s="407">
        <v>0</v>
      </c>
      <c r="EC637" s="407">
        <v>-1666.5969712561955</v>
      </c>
      <c r="ED637" s="407">
        <v>0</v>
      </c>
      <c r="EE637" s="407">
        <v>0</v>
      </c>
      <c r="EF637" s="407">
        <v>0</v>
      </c>
      <c r="EG637" s="407">
        <v>0</v>
      </c>
      <c r="EH637" s="407">
        <v>0</v>
      </c>
      <c r="EI637" s="407">
        <v>0</v>
      </c>
      <c r="EJ637" s="407">
        <v>0</v>
      </c>
      <c r="EK637" s="407">
        <v>0</v>
      </c>
      <c r="EL637" s="407">
        <v>0</v>
      </c>
      <c r="EM637" s="407">
        <v>0</v>
      </c>
      <c r="EN637" s="407">
        <v>0</v>
      </c>
      <c r="EO637" s="407">
        <v>0</v>
      </c>
      <c r="EP637" s="407">
        <v>229.37371661702628</v>
      </c>
      <c r="EQ637" s="407">
        <v>0</v>
      </c>
      <c r="ER637" s="407">
        <v>0</v>
      </c>
      <c r="ES637" s="407">
        <v>0</v>
      </c>
      <c r="ET637" s="407">
        <v>0</v>
      </c>
      <c r="EU637" s="407">
        <v>0</v>
      </c>
      <c r="EV637" s="407">
        <v>246</v>
      </c>
      <c r="EW637" s="407">
        <v>0</v>
      </c>
      <c r="EX637" s="407">
        <v>0</v>
      </c>
      <c r="EY637" s="407">
        <v>0</v>
      </c>
      <c r="EZ637" s="407"/>
      <c r="FA637" s="407">
        <v>0</v>
      </c>
      <c r="FB637" s="407"/>
      <c r="FC637" s="407"/>
      <c r="FD637" s="407"/>
      <c r="FE637" s="407"/>
      <c r="FF637" s="407">
        <v>0</v>
      </c>
      <c r="FG637" s="407">
        <v>0</v>
      </c>
      <c r="FH637" s="407">
        <v>0</v>
      </c>
      <c r="FI637" s="407">
        <v>0</v>
      </c>
    </row>
    <row r="638" spans="1:165">
      <c r="A638" s="407">
        <v>662</v>
      </c>
      <c r="B638" s="407" t="s">
        <v>1090</v>
      </c>
      <c r="C638" s="407" t="s">
        <v>2306</v>
      </c>
      <c r="D638" s="407" t="s">
        <v>1218</v>
      </c>
      <c r="E638" s="407" t="s">
        <v>1021</v>
      </c>
      <c r="F638" s="407" t="s">
        <v>1021</v>
      </c>
      <c r="G638" s="407" t="s">
        <v>97</v>
      </c>
      <c r="H638" s="407" t="s">
        <v>97</v>
      </c>
      <c r="I638" s="407" t="s">
        <v>97</v>
      </c>
      <c r="J638" s="407" t="s">
        <v>2307</v>
      </c>
      <c r="K638" s="818">
        <v>44682</v>
      </c>
      <c r="L638" s="407">
        <v>0</v>
      </c>
      <c r="M638" s="407">
        <v>0</v>
      </c>
      <c r="N638" s="407">
        <v>1028.6020000000001</v>
      </c>
      <c r="O638" s="407">
        <v>1028.6020000000001</v>
      </c>
      <c r="P638" s="407">
        <v>1028.6020000000001</v>
      </c>
      <c r="Q638" s="407">
        <v>1028.6020000000001</v>
      </c>
      <c r="R638" s="407"/>
      <c r="S638" s="407">
        <v>648.44000000000005</v>
      </c>
      <c r="T638" s="407">
        <v>159.41</v>
      </c>
      <c r="U638" s="407"/>
      <c r="V638" s="407">
        <v>830956.12570000009</v>
      </c>
      <c r="W638" s="407">
        <v>830956.12570000009</v>
      </c>
      <c r="X638" s="407">
        <v>629319.27564000001</v>
      </c>
      <c r="Y638" s="407">
        <v>0</v>
      </c>
      <c r="Z638" s="407">
        <v>63742.723738526161</v>
      </c>
      <c r="AA638" s="407">
        <v>0</v>
      </c>
      <c r="AB638" s="407">
        <v>0</v>
      </c>
      <c r="AC638" s="407">
        <v>0</v>
      </c>
      <c r="AD638" s="407">
        <v>119980.69009042923</v>
      </c>
      <c r="AE638" s="407">
        <v>429488.64121556905</v>
      </c>
      <c r="AF638" s="407">
        <v>158642.02367253735</v>
      </c>
      <c r="AG638" s="407">
        <v>5329.955572615153</v>
      </c>
      <c r="AH638" s="407">
        <v>0</v>
      </c>
      <c r="AI638" s="407">
        <v>0</v>
      </c>
      <c r="AJ638" s="407">
        <v>0</v>
      </c>
      <c r="AK638" s="407">
        <v>0</v>
      </c>
      <c r="AL638" s="407">
        <v>9849.9496858840575</v>
      </c>
      <c r="AM638" s="407"/>
      <c r="AN638" s="407">
        <v>2134.447525987322</v>
      </c>
      <c r="AO638" s="407">
        <v>0</v>
      </c>
      <c r="AP638" s="407">
        <v>0</v>
      </c>
      <c r="AQ638" s="407">
        <v>0</v>
      </c>
      <c r="AR638" s="407">
        <v>0</v>
      </c>
      <c r="AS638" s="407">
        <v>0</v>
      </c>
      <c r="AT638" s="407">
        <v>0</v>
      </c>
      <c r="AU638" s="407">
        <v>0</v>
      </c>
      <c r="AV638" s="407">
        <v>0</v>
      </c>
      <c r="AW638" s="407">
        <v>0</v>
      </c>
      <c r="AX638" s="407">
        <v>0</v>
      </c>
      <c r="AY638" s="407">
        <v>0</v>
      </c>
      <c r="AZ638" s="407">
        <v>0</v>
      </c>
      <c r="BA638" s="407"/>
      <c r="BB638" s="407">
        <v>0</v>
      </c>
      <c r="BC638" s="407">
        <v>0</v>
      </c>
      <c r="BD638" s="407">
        <v>0</v>
      </c>
      <c r="BE638" s="407">
        <v>0</v>
      </c>
      <c r="BF638" s="407">
        <v>0</v>
      </c>
      <c r="BG638" s="407">
        <v>11596.22534888086</v>
      </c>
      <c r="BH638" s="407">
        <v>0</v>
      </c>
      <c r="BI638" s="407">
        <v>222.44</v>
      </c>
      <c r="BJ638" s="407">
        <v>1100.1600000000001</v>
      </c>
      <c r="BK638" s="407">
        <v>211368.03</v>
      </c>
      <c r="BL638" s="407">
        <v>6954</v>
      </c>
      <c r="BM638" s="407"/>
      <c r="BN638" s="407"/>
      <c r="BO638" s="407"/>
      <c r="BP638" s="407"/>
      <c r="BQ638" s="407"/>
      <c r="BR638" s="407"/>
      <c r="BS638" s="407"/>
      <c r="BT638" s="407"/>
      <c r="BU638" s="407"/>
      <c r="BV638" s="407">
        <v>170238.24902141822</v>
      </c>
      <c r="BW638" s="407"/>
      <c r="BX638" s="407"/>
      <c r="BY638" s="407"/>
      <c r="BZ638" s="407"/>
      <c r="CA638" s="407"/>
      <c r="CB638" s="407"/>
      <c r="CC638" s="407"/>
      <c r="CD638" s="407"/>
      <c r="CE638" s="407"/>
      <c r="CF638" s="407"/>
      <c r="CG638" s="407"/>
      <c r="CH638" s="407"/>
      <c r="CI638" s="407">
        <v>629318.05199999991</v>
      </c>
      <c r="CJ638" s="407">
        <v>-201638.10370000021</v>
      </c>
      <c r="CK638" s="407"/>
      <c r="CL638" s="407"/>
      <c r="CM638" s="407"/>
      <c r="CN638" s="407"/>
      <c r="CO638" s="407">
        <v>-229892.54700000008</v>
      </c>
      <c r="CP638" s="407">
        <v>28255.696940000002</v>
      </c>
      <c r="CQ638" s="407">
        <v>31</v>
      </c>
      <c r="CR638" s="407">
        <v>17747.517438942159</v>
      </c>
      <c r="CS638" s="407">
        <v>0</v>
      </c>
      <c r="CT638" s="407">
        <v>0</v>
      </c>
      <c r="CU638" s="407">
        <v>0</v>
      </c>
      <c r="CV638" s="407">
        <v>0</v>
      </c>
      <c r="CW638" s="407">
        <v>0</v>
      </c>
      <c r="CX638" s="407">
        <v>0</v>
      </c>
      <c r="CY638" s="407">
        <v>0</v>
      </c>
      <c r="CZ638" s="407">
        <v>5419.7656703009416</v>
      </c>
      <c r="DA638" s="407">
        <v>0</v>
      </c>
      <c r="DB638" s="407">
        <v>0</v>
      </c>
      <c r="DC638" s="407">
        <v>31454.429191132513</v>
      </c>
      <c r="DD638" s="407">
        <v>0</v>
      </c>
      <c r="DE638" s="407">
        <v>0</v>
      </c>
      <c r="DF638" s="407">
        <v>0</v>
      </c>
      <c r="DG638" s="407">
        <v>2299.2183324243197</v>
      </c>
      <c r="DH638" s="407">
        <v>0</v>
      </c>
      <c r="DI638" s="407">
        <v>-4464.6661188889339</v>
      </c>
      <c r="DJ638" s="407"/>
      <c r="DK638" s="407">
        <v>0</v>
      </c>
      <c r="DL638" s="407">
        <v>0</v>
      </c>
      <c r="DM638" s="407">
        <v>0</v>
      </c>
      <c r="DN638" s="407">
        <v>0</v>
      </c>
      <c r="DO638" s="407">
        <v>-600.95899288148939</v>
      </c>
      <c r="DP638" s="407">
        <v>-136.00184336637312</v>
      </c>
      <c r="DQ638" s="407">
        <v>0</v>
      </c>
      <c r="DR638" s="407">
        <v>-16224.268799778743</v>
      </c>
      <c r="DS638" s="407"/>
      <c r="DT638" s="407"/>
      <c r="DU638" s="407"/>
      <c r="DV638" s="407">
        <v>429488.64121556905</v>
      </c>
      <c r="DW638" s="407">
        <v>0</v>
      </c>
      <c r="DX638" s="407">
        <v>0</v>
      </c>
      <c r="DY638" s="407">
        <v>-229892.54700000008</v>
      </c>
      <c r="DZ638" s="407">
        <v>28255.696939999994</v>
      </c>
      <c r="EA638" s="407">
        <v>0</v>
      </c>
      <c r="EB638" s="407">
        <v>0</v>
      </c>
      <c r="EC638" s="407">
        <v>-219383.79547326156</v>
      </c>
      <c r="ED638" s="407">
        <v>0</v>
      </c>
      <c r="EE638" s="407">
        <v>0</v>
      </c>
      <c r="EF638" s="407">
        <v>0</v>
      </c>
      <c r="EG638" s="407">
        <v>0</v>
      </c>
      <c r="EH638" s="407">
        <v>0</v>
      </c>
      <c r="EI638" s="407">
        <v>0</v>
      </c>
      <c r="EJ638" s="407">
        <v>0</v>
      </c>
      <c r="EK638" s="407">
        <v>0</v>
      </c>
      <c r="EL638" s="407">
        <v>0</v>
      </c>
      <c r="EM638" s="407">
        <v>0</v>
      </c>
      <c r="EN638" s="407">
        <v>0</v>
      </c>
      <c r="EO638" s="407">
        <v>0</v>
      </c>
      <c r="EP638" s="407">
        <v>30193.788541042548</v>
      </c>
      <c r="EQ638" s="407">
        <v>0</v>
      </c>
      <c r="ER638" s="407">
        <v>0</v>
      </c>
      <c r="ES638" s="407">
        <v>0</v>
      </c>
      <c r="ET638" s="407">
        <v>0</v>
      </c>
      <c r="EU638" s="407">
        <v>0</v>
      </c>
      <c r="EV638" s="407">
        <v>246</v>
      </c>
      <c r="EW638" s="407">
        <v>0</v>
      </c>
      <c r="EX638" s="407">
        <v>0</v>
      </c>
      <c r="EY638" s="407">
        <v>0</v>
      </c>
      <c r="EZ638" s="407"/>
      <c r="FA638" s="407">
        <v>0</v>
      </c>
      <c r="FB638" s="407"/>
      <c r="FC638" s="407"/>
      <c r="FD638" s="407"/>
      <c r="FE638" s="407"/>
      <c r="FF638" s="407">
        <v>0</v>
      </c>
      <c r="FG638" s="407">
        <v>0</v>
      </c>
      <c r="FH638" s="407">
        <v>0</v>
      </c>
      <c r="FI638" s="407">
        <v>0</v>
      </c>
    </row>
    <row r="639" spans="1:165">
      <c r="A639" s="407">
        <v>663</v>
      </c>
      <c r="B639" s="407" t="s">
        <v>2308</v>
      </c>
      <c r="C639" s="407" t="s">
        <v>2306</v>
      </c>
      <c r="D639" s="407" t="s">
        <v>1218</v>
      </c>
      <c r="E639" s="407" t="s">
        <v>1021</v>
      </c>
      <c r="F639" s="407" t="s">
        <v>1021</v>
      </c>
      <c r="G639" s="407" t="s">
        <v>97</v>
      </c>
      <c r="H639" s="407" t="s">
        <v>97</v>
      </c>
      <c r="I639" s="407" t="s">
        <v>97</v>
      </c>
      <c r="J639" s="407" t="s">
        <v>2307</v>
      </c>
      <c r="K639" s="818">
        <v>44682</v>
      </c>
      <c r="L639" s="407">
        <v>0</v>
      </c>
      <c r="M639" s="407">
        <v>0</v>
      </c>
      <c r="N639" s="407">
        <v>-5.8999999999999997E-2</v>
      </c>
      <c r="O639" s="407">
        <v>-5.8999999999999997E-2</v>
      </c>
      <c r="P639" s="407">
        <v>-5.8999999999999997E-2</v>
      </c>
      <c r="Q639" s="407">
        <v>-5.8999999999999997E-2</v>
      </c>
      <c r="R639" s="407"/>
      <c r="S639" s="407">
        <v>648.44000000000005</v>
      </c>
      <c r="T639" s="407">
        <v>159.41</v>
      </c>
      <c r="U639" s="407"/>
      <c r="V639" s="407">
        <v>-47.663150000000002</v>
      </c>
      <c r="W639" s="407">
        <v>-47.663150000000002</v>
      </c>
      <c r="X639" s="407">
        <v>-36.097380000000001</v>
      </c>
      <c r="Y639" s="407">
        <v>0</v>
      </c>
      <c r="Z639" s="407">
        <v>-3.6562447871703951</v>
      </c>
      <c r="AA639" s="407">
        <v>0</v>
      </c>
      <c r="AB639" s="407">
        <v>0</v>
      </c>
      <c r="AC639" s="407">
        <v>0</v>
      </c>
      <c r="AD639" s="407">
        <v>-6.8820211465030434</v>
      </c>
      <c r="AE639" s="407">
        <v>-24.635213456437544</v>
      </c>
      <c r="AF639" s="407">
        <v>-9.0996122860734303</v>
      </c>
      <c r="AG639" s="407">
        <v>-0.30572308704853191</v>
      </c>
      <c r="AH639" s="407">
        <v>0</v>
      </c>
      <c r="AI639" s="407">
        <v>0</v>
      </c>
      <c r="AJ639" s="407">
        <v>0</v>
      </c>
      <c r="AK639" s="407">
        <v>0</v>
      </c>
      <c r="AL639" s="407">
        <v>-0.56498726569378566</v>
      </c>
      <c r="AM639" s="407"/>
      <c r="AN639" s="407">
        <v>-0.12243064278822323</v>
      </c>
      <c r="AO639" s="407">
        <v>0</v>
      </c>
      <c r="AP639" s="407">
        <v>0</v>
      </c>
      <c r="AQ639" s="407">
        <v>0</v>
      </c>
      <c r="AR639" s="407">
        <v>0</v>
      </c>
      <c r="AS639" s="407">
        <v>0</v>
      </c>
      <c r="AT639" s="407">
        <v>0</v>
      </c>
      <c r="AU639" s="407">
        <v>0</v>
      </c>
      <c r="AV639" s="407">
        <v>0</v>
      </c>
      <c r="AW639" s="407">
        <v>0</v>
      </c>
      <c r="AX639" s="407">
        <v>0</v>
      </c>
      <c r="AY639" s="407">
        <v>0</v>
      </c>
      <c r="AZ639" s="407">
        <v>0</v>
      </c>
      <c r="BA639" s="407"/>
      <c r="BB639" s="407">
        <v>0</v>
      </c>
      <c r="BC639" s="407">
        <v>0</v>
      </c>
      <c r="BD639" s="407">
        <v>0</v>
      </c>
      <c r="BE639" s="407">
        <v>0</v>
      </c>
      <c r="BF639" s="407">
        <v>0</v>
      </c>
      <c r="BG639" s="407">
        <v>-0.6651526008932227</v>
      </c>
      <c r="BH639" s="407">
        <v>0</v>
      </c>
      <c r="BI639" s="407">
        <v>-0.08</v>
      </c>
      <c r="BJ639" s="407">
        <v>-0.37</v>
      </c>
      <c r="BK639" s="407">
        <v>-23.97</v>
      </c>
      <c r="BL639" s="407">
        <v>0</v>
      </c>
      <c r="BM639" s="407"/>
      <c r="BN639" s="407"/>
      <c r="BO639" s="407"/>
      <c r="BP639" s="407"/>
      <c r="BQ639" s="407"/>
      <c r="BR639" s="407"/>
      <c r="BS639" s="407"/>
      <c r="BT639" s="407"/>
      <c r="BU639" s="407"/>
      <c r="BV639" s="407">
        <v>-9.7647648869666526</v>
      </c>
      <c r="BW639" s="407"/>
      <c r="BX639" s="407"/>
      <c r="BY639" s="407"/>
      <c r="BZ639" s="407"/>
      <c r="CA639" s="407"/>
      <c r="CB639" s="407"/>
      <c r="CC639" s="407"/>
      <c r="CD639" s="407"/>
      <c r="CE639" s="407"/>
      <c r="CF639" s="407"/>
      <c r="CG639" s="407"/>
      <c r="CH639" s="407"/>
      <c r="CI639" s="407">
        <v>-36.709199999999996</v>
      </c>
      <c r="CJ639" s="407">
        <v>10.923950000000012</v>
      </c>
      <c r="CK639" s="407"/>
      <c r="CL639" s="407"/>
      <c r="CM639" s="407"/>
      <c r="CN639" s="407"/>
      <c r="CO639" s="407">
        <v>13.186500000000002</v>
      </c>
      <c r="CP639" s="407">
        <v>-1.6207299999999998</v>
      </c>
      <c r="CQ639" s="407">
        <v>31</v>
      </c>
      <c r="CR639" s="407">
        <v>-1.0179870629238401</v>
      </c>
      <c r="CS639" s="407">
        <v>0</v>
      </c>
      <c r="CT639" s="407">
        <v>0</v>
      </c>
      <c r="CU639" s="407">
        <v>0</v>
      </c>
      <c r="CV639" s="407">
        <v>0</v>
      </c>
      <c r="CW639" s="407">
        <v>0</v>
      </c>
      <c r="CX639" s="407">
        <v>0</v>
      </c>
      <c r="CY639" s="407">
        <v>0</v>
      </c>
      <c r="CZ639" s="407">
        <v>-0.31087454092812905</v>
      </c>
      <c r="DA639" s="407">
        <v>0</v>
      </c>
      <c r="DB639" s="407">
        <v>0</v>
      </c>
      <c r="DC639" s="407">
        <v>-1.8042073827163652</v>
      </c>
      <c r="DD639" s="407">
        <v>0</v>
      </c>
      <c r="DE639" s="407">
        <v>0</v>
      </c>
      <c r="DF639" s="407">
        <v>0</v>
      </c>
      <c r="DG639" s="407">
        <v>-0.13188179841477543</v>
      </c>
      <c r="DH639" s="407">
        <v>0</v>
      </c>
      <c r="DI639" s="407">
        <v>0.25609059773794618</v>
      </c>
      <c r="DJ639" s="407"/>
      <c r="DK639" s="407">
        <v>0</v>
      </c>
      <c r="DL639" s="407">
        <v>0</v>
      </c>
      <c r="DM639" s="407">
        <v>0</v>
      </c>
      <c r="DN639" s="407">
        <v>0</v>
      </c>
      <c r="DO639" s="407">
        <v>3.4470651019546827E-2</v>
      </c>
      <c r="DP639" s="407">
        <v>7.8009849860451591E-3</v>
      </c>
      <c r="DQ639" s="407">
        <v>0</v>
      </c>
      <c r="DR639" s="407">
        <v>0.93061442539188699</v>
      </c>
      <c r="DS639" s="407"/>
      <c r="DT639" s="407"/>
      <c r="DU639" s="407"/>
      <c r="DV639" s="407">
        <v>-24.635213456437544</v>
      </c>
      <c r="DW639" s="407">
        <v>0</v>
      </c>
      <c r="DX639" s="407">
        <v>0</v>
      </c>
      <c r="DY639" s="407">
        <v>13.186500000000006</v>
      </c>
      <c r="DZ639" s="407">
        <v>-1.62073</v>
      </c>
      <c r="EA639" s="407">
        <v>0</v>
      </c>
      <c r="EB639" s="407">
        <v>0</v>
      </c>
      <c r="EC639" s="407">
        <v>12.583724251870432</v>
      </c>
      <c r="ED639" s="407">
        <v>0</v>
      </c>
      <c r="EE639" s="407">
        <v>0</v>
      </c>
      <c r="EF639" s="407">
        <v>0</v>
      </c>
      <c r="EG639" s="407">
        <v>0</v>
      </c>
      <c r="EH639" s="407">
        <v>0</v>
      </c>
      <c r="EI639" s="407">
        <v>0</v>
      </c>
      <c r="EJ639" s="407">
        <v>0</v>
      </c>
      <c r="EK639" s="407">
        <v>0</v>
      </c>
      <c r="EL639" s="407">
        <v>0</v>
      </c>
      <c r="EM639" s="407">
        <v>0</v>
      </c>
      <c r="EN639" s="407">
        <v>0</v>
      </c>
      <c r="EO639" s="407">
        <v>0</v>
      </c>
      <c r="EP639" s="407">
        <v>-1.731897783517347</v>
      </c>
      <c r="EQ639" s="407">
        <v>0</v>
      </c>
      <c r="ER639" s="407">
        <v>0</v>
      </c>
      <c r="ES639" s="407">
        <v>0</v>
      </c>
      <c r="ET639" s="407">
        <v>0</v>
      </c>
      <c r="EU639" s="407">
        <v>0</v>
      </c>
      <c r="EV639" s="407">
        <v>246</v>
      </c>
      <c r="EW639" s="407">
        <v>0</v>
      </c>
      <c r="EX639" s="407">
        <v>0</v>
      </c>
      <c r="EY639" s="407">
        <v>0</v>
      </c>
      <c r="EZ639" s="407"/>
      <c r="FA639" s="407">
        <v>0</v>
      </c>
      <c r="FB639" s="407"/>
      <c r="FC639" s="407"/>
      <c r="FD639" s="407"/>
      <c r="FE639" s="407"/>
      <c r="FF639" s="407">
        <v>0</v>
      </c>
      <c r="FG639" s="407">
        <v>0</v>
      </c>
      <c r="FH639" s="407">
        <v>0</v>
      </c>
      <c r="FI639" s="407">
        <v>0</v>
      </c>
    </row>
    <row r="640" spans="1:165">
      <c r="A640" s="407">
        <v>664</v>
      </c>
      <c r="B640" s="407" t="s">
        <v>2309</v>
      </c>
      <c r="C640" s="407" t="s">
        <v>2306</v>
      </c>
      <c r="D640" s="407" t="s">
        <v>1218</v>
      </c>
      <c r="E640" s="407" t="s">
        <v>1021</v>
      </c>
      <c r="F640" s="407" t="s">
        <v>1021</v>
      </c>
      <c r="G640" s="407" t="s">
        <v>97</v>
      </c>
      <c r="H640" s="407" t="s">
        <v>97</v>
      </c>
      <c r="I640" s="407" t="s">
        <v>97</v>
      </c>
      <c r="J640" s="407" t="s">
        <v>2307</v>
      </c>
      <c r="K640" s="818">
        <v>44682</v>
      </c>
      <c r="L640" s="407">
        <v>0</v>
      </c>
      <c r="M640" s="407">
        <v>0</v>
      </c>
      <c r="N640" s="407">
        <v>33.11</v>
      </c>
      <c r="O640" s="407">
        <v>33.11</v>
      </c>
      <c r="P640" s="407">
        <v>33.11</v>
      </c>
      <c r="Q640" s="407">
        <v>33.11</v>
      </c>
      <c r="R640" s="407"/>
      <c r="S640" s="407">
        <v>648.44000000000005</v>
      </c>
      <c r="T640" s="407">
        <v>159.41</v>
      </c>
      <c r="U640" s="407"/>
      <c r="V640" s="407">
        <v>26747.913500000002</v>
      </c>
      <c r="W640" s="407">
        <v>26747.913500000002</v>
      </c>
      <c r="X640" s="407">
        <v>20257.360199999999</v>
      </c>
      <c r="Y640" s="407">
        <v>0</v>
      </c>
      <c r="Z640" s="407">
        <v>2051.8349983595217</v>
      </c>
      <c r="AA640" s="407">
        <v>0</v>
      </c>
      <c r="AB640" s="407">
        <v>0</v>
      </c>
      <c r="AC640" s="407">
        <v>0</v>
      </c>
      <c r="AD640" s="407">
        <v>3862.0969518765387</v>
      </c>
      <c r="AE640" s="407">
        <v>13824.94775496012</v>
      </c>
      <c r="AF640" s="407">
        <v>5106.5790303710382</v>
      </c>
      <c r="AG640" s="407">
        <v>171.56765105384562</v>
      </c>
      <c r="AH640" s="407">
        <v>0</v>
      </c>
      <c r="AI640" s="407">
        <v>0</v>
      </c>
      <c r="AJ640" s="407">
        <v>0</v>
      </c>
      <c r="AK640" s="407">
        <v>0</v>
      </c>
      <c r="AL640" s="407">
        <v>317.06319266307196</v>
      </c>
      <c r="AM640" s="407"/>
      <c r="AN640" s="407">
        <v>68.706416656238488</v>
      </c>
      <c r="AO640" s="407">
        <v>0</v>
      </c>
      <c r="AP640" s="407">
        <v>0</v>
      </c>
      <c r="AQ640" s="407">
        <v>0</v>
      </c>
      <c r="AR640" s="407">
        <v>0</v>
      </c>
      <c r="AS640" s="407">
        <v>0</v>
      </c>
      <c r="AT640" s="407">
        <v>0</v>
      </c>
      <c r="AU640" s="407">
        <v>0</v>
      </c>
      <c r="AV640" s="407">
        <v>0</v>
      </c>
      <c r="AW640" s="407">
        <v>0</v>
      </c>
      <c r="AX640" s="407">
        <v>0</v>
      </c>
      <c r="AY640" s="407">
        <v>0</v>
      </c>
      <c r="AZ640" s="407">
        <v>0</v>
      </c>
      <c r="BA640" s="407"/>
      <c r="BB640" s="407">
        <v>0</v>
      </c>
      <c r="BC640" s="407">
        <v>0</v>
      </c>
      <c r="BD640" s="407">
        <v>0</v>
      </c>
      <c r="BE640" s="407">
        <v>0</v>
      </c>
      <c r="BF640" s="407">
        <v>0</v>
      </c>
      <c r="BG640" s="407">
        <v>373.27462060295937</v>
      </c>
      <c r="BH640" s="407">
        <v>0</v>
      </c>
      <c r="BI640" s="407">
        <v>6.47</v>
      </c>
      <c r="BJ640" s="407">
        <v>34.799999999999997</v>
      </c>
      <c r="BK640" s="407">
        <v>17400.21</v>
      </c>
      <c r="BL640" s="407">
        <v>322</v>
      </c>
      <c r="BM640" s="407"/>
      <c r="BN640" s="407"/>
      <c r="BO640" s="407"/>
      <c r="BP640" s="407"/>
      <c r="BQ640" s="407"/>
      <c r="BR640" s="407"/>
      <c r="BS640" s="407"/>
      <c r="BT640" s="407"/>
      <c r="BU640" s="407"/>
      <c r="BV640" s="407">
        <v>5479.8536509739979</v>
      </c>
      <c r="BW640" s="407"/>
      <c r="BX640" s="407"/>
      <c r="BY640" s="407"/>
      <c r="BZ640" s="407"/>
      <c r="CA640" s="407"/>
      <c r="CB640" s="407"/>
      <c r="CC640" s="407"/>
      <c r="CD640" s="407"/>
      <c r="CE640" s="407"/>
      <c r="CF640" s="407"/>
      <c r="CG640" s="407"/>
      <c r="CH640" s="407"/>
      <c r="CI640" s="407">
        <v>20257.360199999999</v>
      </c>
      <c r="CJ640" s="407">
        <v>-6490.5832999999984</v>
      </c>
      <c r="CK640" s="407"/>
      <c r="CL640" s="407"/>
      <c r="CM640" s="407"/>
      <c r="CN640" s="407"/>
      <c r="CO640" s="407">
        <v>-7400.0850000000019</v>
      </c>
      <c r="CP640" s="407">
        <v>909.5317</v>
      </c>
      <c r="CQ640" s="407">
        <v>31</v>
      </c>
      <c r="CR640" s="407">
        <v>571.28053649845242</v>
      </c>
      <c r="CS640" s="407">
        <v>0</v>
      </c>
      <c r="CT640" s="407">
        <v>0</v>
      </c>
      <c r="CU640" s="407">
        <v>0</v>
      </c>
      <c r="CV640" s="407">
        <v>0</v>
      </c>
      <c r="CW640" s="407">
        <v>0</v>
      </c>
      <c r="CX640" s="407">
        <v>0</v>
      </c>
      <c r="CY640" s="407">
        <v>0</v>
      </c>
      <c r="CZ640" s="407">
        <v>174.45857712085353</v>
      </c>
      <c r="DA640" s="407">
        <v>0</v>
      </c>
      <c r="DB640" s="407">
        <v>0</v>
      </c>
      <c r="DC640" s="407">
        <v>1012.4967193515067</v>
      </c>
      <c r="DD640" s="407">
        <v>0</v>
      </c>
      <c r="DE640" s="407">
        <v>0</v>
      </c>
      <c r="DF640" s="407">
        <v>0</v>
      </c>
      <c r="DG640" s="407">
        <v>74.010277042596897</v>
      </c>
      <c r="DH640" s="407">
        <v>0</v>
      </c>
      <c r="DI640" s="407">
        <v>-143.71457103565058</v>
      </c>
      <c r="DJ640" s="407"/>
      <c r="DK640" s="407">
        <v>0</v>
      </c>
      <c r="DL640" s="407">
        <v>0</v>
      </c>
      <c r="DM640" s="407">
        <v>0</v>
      </c>
      <c r="DN640" s="407">
        <v>0</v>
      </c>
      <c r="DO640" s="407">
        <v>-19.344461953511768</v>
      </c>
      <c r="DP640" s="407">
        <v>-4.3778069981009224</v>
      </c>
      <c r="DQ640" s="407">
        <v>0</v>
      </c>
      <c r="DR640" s="407">
        <v>-522.24819702924367</v>
      </c>
      <c r="DS640" s="407"/>
      <c r="DT640" s="407"/>
      <c r="DU640" s="407"/>
      <c r="DV640" s="407">
        <v>13824.94775496012</v>
      </c>
      <c r="DW640" s="407">
        <v>0</v>
      </c>
      <c r="DX640" s="407">
        <v>0</v>
      </c>
      <c r="DY640" s="407">
        <v>-7400.0850000000028</v>
      </c>
      <c r="DZ640" s="407">
        <v>909.53169999999955</v>
      </c>
      <c r="EA640" s="407">
        <v>0</v>
      </c>
      <c r="EB640" s="407">
        <v>0</v>
      </c>
      <c r="EC640" s="407">
        <v>-7061.8154233801688</v>
      </c>
      <c r="ED640" s="407">
        <v>0</v>
      </c>
      <c r="EE640" s="407">
        <v>0</v>
      </c>
      <c r="EF640" s="407">
        <v>0</v>
      </c>
      <c r="EG640" s="407">
        <v>0</v>
      </c>
      <c r="EH640" s="407">
        <v>0</v>
      </c>
      <c r="EI640" s="407">
        <v>0</v>
      </c>
      <c r="EJ640" s="407">
        <v>0</v>
      </c>
      <c r="EK640" s="407">
        <v>0</v>
      </c>
      <c r="EL640" s="407">
        <v>0</v>
      </c>
      <c r="EM640" s="407">
        <v>0</v>
      </c>
      <c r="EN640" s="407">
        <v>0</v>
      </c>
      <c r="EO640" s="407">
        <v>0</v>
      </c>
      <c r="EP640" s="407">
        <v>971.91755275015862</v>
      </c>
      <c r="EQ640" s="407">
        <v>0</v>
      </c>
      <c r="ER640" s="407">
        <v>0</v>
      </c>
      <c r="ES640" s="407">
        <v>0</v>
      </c>
      <c r="ET640" s="407">
        <v>0</v>
      </c>
      <c r="EU640" s="407">
        <v>0</v>
      </c>
      <c r="EV640" s="407">
        <v>246</v>
      </c>
      <c r="EW640" s="407">
        <v>0</v>
      </c>
      <c r="EX640" s="407">
        <v>0</v>
      </c>
      <c r="EY640" s="407">
        <v>0</v>
      </c>
      <c r="EZ640" s="407"/>
      <c r="FA640" s="407">
        <v>0</v>
      </c>
      <c r="FB640" s="407"/>
      <c r="FC640" s="407"/>
      <c r="FD640" s="407"/>
      <c r="FE640" s="407"/>
      <c r="FF640" s="407">
        <v>0</v>
      </c>
      <c r="FG640" s="407">
        <v>0</v>
      </c>
      <c r="FH640" s="407">
        <v>0</v>
      </c>
      <c r="FI640" s="407">
        <v>0</v>
      </c>
    </row>
    <row r="641" spans="1:165">
      <c r="A641" s="407">
        <v>665</v>
      </c>
      <c r="B641" s="407" t="s">
        <v>1090</v>
      </c>
      <c r="C641" s="407" t="s">
        <v>2306</v>
      </c>
      <c r="D641" s="407" t="s">
        <v>1218</v>
      </c>
      <c r="E641" s="407" t="s">
        <v>1021</v>
      </c>
      <c r="F641" s="407" t="s">
        <v>2310</v>
      </c>
      <c r="G641" s="407" t="s">
        <v>97</v>
      </c>
      <c r="H641" s="407" t="s">
        <v>97</v>
      </c>
      <c r="I641" s="407" t="s">
        <v>97</v>
      </c>
      <c r="J641" s="407" t="s">
        <v>2307</v>
      </c>
      <c r="K641" s="818">
        <v>44682</v>
      </c>
      <c r="L641" s="407">
        <v>0</v>
      </c>
      <c r="M641" s="407">
        <v>0</v>
      </c>
      <c r="N641" s="407">
        <v>47.07</v>
      </c>
      <c r="O641" s="407">
        <v>47.07</v>
      </c>
      <c r="P641" s="407">
        <v>47.07</v>
      </c>
      <c r="Q641" s="407">
        <v>47.07</v>
      </c>
      <c r="R641" s="407"/>
      <c r="S641" s="407">
        <v>547.54</v>
      </c>
      <c r="T641" s="407">
        <v>159.41</v>
      </c>
      <c r="U641" s="407"/>
      <c r="V641" s="407">
        <v>33276.136500000001</v>
      </c>
      <c r="W641" s="407">
        <v>33276.136500000001</v>
      </c>
      <c r="X641" s="407">
        <v>24373.787400000001</v>
      </c>
      <c r="Y641" s="407">
        <v>0</v>
      </c>
      <c r="Z641" s="407">
        <v>0</v>
      </c>
      <c r="AA641" s="407">
        <v>0</v>
      </c>
      <c r="AB641" s="407">
        <v>0</v>
      </c>
      <c r="AC641" s="407">
        <v>0</v>
      </c>
      <c r="AD641" s="407">
        <v>5490.4531417948865</v>
      </c>
      <c r="AE641" s="407">
        <v>19653.889786347714</v>
      </c>
      <c r="AF641" s="407">
        <v>7259.63983568604</v>
      </c>
      <c r="AG641" s="407">
        <v>243.90484249787113</v>
      </c>
      <c r="AH641" s="407">
        <v>0</v>
      </c>
      <c r="AI641" s="407">
        <v>0</v>
      </c>
      <c r="AJ641" s="407">
        <v>0</v>
      </c>
      <c r="AK641" s="407">
        <v>0</v>
      </c>
      <c r="AL641" s="407">
        <v>0</v>
      </c>
      <c r="AM641" s="407"/>
      <c r="AN641" s="407">
        <v>97.674751797316404</v>
      </c>
      <c r="AO641" s="407">
        <v>0</v>
      </c>
      <c r="AP641" s="407">
        <v>0</v>
      </c>
      <c r="AQ641" s="407">
        <v>0</v>
      </c>
      <c r="AR641" s="407">
        <v>0</v>
      </c>
      <c r="AS641" s="407">
        <v>0</v>
      </c>
      <c r="AT641" s="407">
        <v>0</v>
      </c>
      <c r="AU641" s="407">
        <v>0</v>
      </c>
      <c r="AV641" s="407">
        <v>0</v>
      </c>
      <c r="AW641" s="407">
        <v>0</v>
      </c>
      <c r="AX641" s="407">
        <v>0</v>
      </c>
      <c r="AY641" s="407">
        <v>0</v>
      </c>
      <c r="AZ641" s="407">
        <v>0</v>
      </c>
      <c r="BA641" s="407"/>
      <c r="BB641" s="407">
        <v>0</v>
      </c>
      <c r="BC641" s="407">
        <v>0</v>
      </c>
      <c r="BD641" s="407">
        <v>0</v>
      </c>
      <c r="BE641" s="407">
        <v>0</v>
      </c>
      <c r="BF641" s="407">
        <v>0</v>
      </c>
      <c r="BG641" s="407">
        <v>530.65649023803383</v>
      </c>
      <c r="BH641" s="407">
        <v>0</v>
      </c>
      <c r="BI641" s="407">
        <v>0</v>
      </c>
      <c r="BJ641" s="407">
        <v>15.24</v>
      </c>
      <c r="BK641" s="407">
        <v>2540.16</v>
      </c>
      <c r="BL641" s="407">
        <v>119</v>
      </c>
      <c r="BM641" s="407"/>
      <c r="BN641" s="407"/>
      <c r="BO641" s="407"/>
      <c r="BP641" s="407"/>
      <c r="BQ641" s="407"/>
      <c r="BR641" s="407"/>
      <c r="BS641" s="407"/>
      <c r="BT641" s="407">
        <v>15842.820600000001</v>
      </c>
      <c r="BU641" s="407"/>
      <c r="BV641" s="407">
        <v>7790.2963259240742</v>
      </c>
      <c r="BW641" s="407"/>
      <c r="BX641" s="407"/>
      <c r="BY641" s="407"/>
      <c r="BZ641" s="407"/>
      <c r="CA641" s="407"/>
      <c r="CB641" s="407"/>
      <c r="CC641" s="407"/>
      <c r="CD641" s="407"/>
      <c r="CE641" s="407"/>
      <c r="CF641" s="407"/>
      <c r="CG641" s="407"/>
      <c r="CH641" s="407"/>
      <c r="CI641" s="407">
        <v>8530.9668000000001</v>
      </c>
      <c r="CJ641" s="407">
        <v>-3115.5932999999986</v>
      </c>
      <c r="CK641" s="407"/>
      <c r="CL641" s="407"/>
      <c r="CM641" s="407"/>
      <c r="CN641" s="407"/>
      <c r="CO641" s="407">
        <v>-10195.361999999999</v>
      </c>
      <c r="CP641" s="407">
        <v>1293.0128999999999</v>
      </c>
      <c r="CQ641" s="407">
        <v>31</v>
      </c>
      <c r="CR641" s="407">
        <v>1136.6860709826797</v>
      </c>
      <c r="CS641" s="407">
        <v>0</v>
      </c>
      <c r="CT641" s="407">
        <v>0</v>
      </c>
      <c r="CU641" s="407">
        <v>0</v>
      </c>
      <c r="CV641" s="407">
        <v>0</v>
      </c>
      <c r="CW641" s="407">
        <v>0</v>
      </c>
      <c r="CX641" s="407">
        <v>0</v>
      </c>
      <c r="CY641" s="407">
        <v>0</v>
      </c>
      <c r="CZ641" s="407">
        <v>248.01465494045806</v>
      </c>
      <c r="DA641" s="407">
        <v>0</v>
      </c>
      <c r="DB641" s="407">
        <v>0</v>
      </c>
      <c r="DC641" s="407">
        <v>1439.3905339738876</v>
      </c>
      <c r="DD641" s="407">
        <v>0</v>
      </c>
      <c r="DE641" s="407">
        <v>0</v>
      </c>
      <c r="DF641" s="407">
        <v>0</v>
      </c>
      <c r="DG641" s="407">
        <v>105.214851718364</v>
      </c>
      <c r="DH641" s="407">
        <v>0</v>
      </c>
      <c r="DI641" s="407">
        <v>0</v>
      </c>
      <c r="DJ641" s="407"/>
      <c r="DK641" s="407">
        <v>0</v>
      </c>
      <c r="DL641" s="407">
        <v>0</v>
      </c>
      <c r="DM641" s="407">
        <v>0</v>
      </c>
      <c r="DN641" s="407">
        <v>0</v>
      </c>
      <c r="DO641" s="407">
        <v>0</v>
      </c>
      <c r="DP641" s="407">
        <v>-6.2235993778499221</v>
      </c>
      <c r="DQ641" s="407">
        <v>0</v>
      </c>
      <c r="DR641" s="407">
        <v>-649.71037027217835</v>
      </c>
      <c r="DS641" s="407"/>
      <c r="DT641" s="407"/>
      <c r="DU641" s="407"/>
      <c r="DV641" s="407">
        <v>19653.889786347714</v>
      </c>
      <c r="DW641" s="407">
        <v>0</v>
      </c>
      <c r="DX641" s="407">
        <v>0</v>
      </c>
      <c r="DY641" s="407">
        <v>-10195.362000000001</v>
      </c>
      <c r="DZ641" s="407">
        <v>1293.0129000000006</v>
      </c>
      <c r="EA641" s="407">
        <v>0</v>
      </c>
      <c r="EB641" s="407">
        <v>0</v>
      </c>
      <c r="EC641" s="407">
        <v>-10039.25255144985</v>
      </c>
      <c r="ED641" s="407">
        <v>0</v>
      </c>
      <c r="EE641" s="407">
        <v>0</v>
      </c>
      <c r="EF641" s="407">
        <v>0</v>
      </c>
      <c r="EG641" s="407">
        <v>0</v>
      </c>
      <c r="EH641" s="407">
        <v>0</v>
      </c>
      <c r="EI641" s="407">
        <v>0</v>
      </c>
      <c r="EJ641" s="407">
        <v>0</v>
      </c>
      <c r="EK641" s="407">
        <v>0</v>
      </c>
      <c r="EL641" s="407">
        <v>0</v>
      </c>
      <c r="EM641" s="407">
        <v>0</v>
      </c>
      <c r="EN641" s="407">
        <v>0</v>
      </c>
      <c r="EO641" s="407">
        <v>0</v>
      </c>
      <c r="EP641" s="407">
        <v>0</v>
      </c>
      <c r="EQ641" s="407">
        <v>0</v>
      </c>
      <c r="ER641" s="407">
        <v>0</v>
      </c>
      <c r="ES641" s="407">
        <v>0</v>
      </c>
      <c r="ET641" s="407">
        <v>0</v>
      </c>
      <c r="EU641" s="407">
        <v>0</v>
      </c>
      <c r="EV641" s="407">
        <v>246</v>
      </c>
      <c r="EW641" s="407">
        <v>0</v>
      </c>
      <c r="EX641" s="407">
        <v>0</v>
      </c>
      <c r="EY641" s="407">
        <v>0</v>
      </c>
      <c r="EZ641" s="407"/>
      <c r="FA641" s="407">
        <v>0</v>
      </c>
      <c r="FB641" s="407"/>
      <c r="FC641" s="407"/>
      <c r="FD641" s="407"/>
      <c r="FE641" s="407"/>
      <c r="FF641" s="407">
        <v>0</v>
      </c>
      <c r="FG641" s="407">
        <v>0</v>
      </c>
      <c r="FH641" s="407">
        <v>0</v>
      </c>
      <c r="FI641" s="407">
        <v>0</v>
      </c>
    </row>
    <row r="642" spans="1:165">
      <c r="A642" s="407">
        <v>666</v>
      </c>
      <c r="B642" s="407" t="s">
        <v>2309</v>
      </c>
      <c r="C642" s="407" t="s">
        <v>2306</v>
      </c>
      <c r="D642" s="407" t="s">
        <v>1218</v>
      </c>
      <c r="E642" s="407" t="s">
        <v>1021</v>
      </c>
      <c r="F642" s="407" t="s">
        <v>2310</v>
      </c>
      <c r="G642" s="407" t="s">
        <v>97</v>
      </c>
      <c r="H642" s="407" t="s">
        <v>97</v>
      </c>
      <c r="I642" s="407" t="s">
        <v>97</v>
      </c>
      <c r="J642" s="407" t="s">
        <v>2307</v>
      </c>
      <c r="K642" s="818">
        <v>44682</v>
      </c>
      <c r="L642" s="407">
        <v>0</v>
      </c>
      <c r="M642" s="407">
        <v>0</v>
      </c>
      <c r="N642" s="407">
        <v>0.11799999999999999</v>
      </c>
      <c r="O642" s="407">
        <v>0.11799999999999999</v>
      </c>
      <c r="P642" s="407">
        <v>0.11799999999999999</v>
      </c>
      <c r="Q642" s="407">
        <v>0.11799999999999999</v>
      </c>
      <c r="R642" s="407"/>
      <c r="S642" s="407">
        <v>547.54</v>
      </c>
      <c r="T642" s="407">
        <v>159.41</v>
      </c>
      <c r="U642" s="407"/>
      <c r="V642" s="407">
        <v>83.420099999999991</v>
      </c>
      <c r="W642" s="407">
        <v>83.420099999999991</v>
      </c>
      <c r="X642" s="407">
        <v>61.102759999999996</v>
      </c>
      <c r="Y642" s="407">
        <v>0</v>
      </c>
      <c r="Z642" s="407">
        <v>0</v>
      </c>
      <c r="AA642" s="407">
        <v>0</v>
      </c>
      <c r="AB642" s="407">
        <v>0</v>
      </c>
      <c r="AC642" s="407">
        <v>0</v>
      </c>
      <c r="AD642" s="407">
        <v>13.764042293006087</v>
      </c>
      <c r="AE642" s="407">
        <v>49.270426912875088</v>
      </c>
      <c r="AF642" s="407">
        <v>18.199224572146861</v>
      </c>
      <c r="AG642" s="407">
        <v>0.61144617409706381</v>
      </c>
      <c r="AH642" s="407">
        <v>0</v>
      </c>
      <c r="AI642" s="407">
        <v>0</v>
      </c>
      <c r="AJ642" s="407">
        <v>0</v>
      </c>
      <c r="AK642" s="407">
        <v>0</v>
      </c>
      <c r="AL642" s="407">
        <v>0</v>
      </c>
      <c r="AM642" s="407"/>
      <c r="AN642" s="407">
        <v>0.24486128557644646</v>
      </c>
      <c r="AO642" s="407">
        <v>0</v>
      </c>
      <c r="AP642" s="407">
        <v>0</v>
      </c>
      <c r="AQ642" s="407">
        <v>0</v>
      </c>
      <c r="AR642" s="407">
        <v>0</v>
      </c>
      <c r="AS642" s="407">
        <v>0</v>
      </c>
      <c r="AT642" s="407">
        <v>0</v>
      </c>
      <c r="AU642" s="407">
        <v>0</v>
      </c>
      <c r="AV642" s="407">
        <v>0</v>
      </c>
      <c r="AW642" s="407">
        <v>0</v>
      </c>
      <c r="AX642" s="407">
        <v>0</v>
      </c>
      <c r="AY642" s="407">
        <v>0</v>
      </c>
      <c r="AZ642" s="407">
        <v>0</v>
      </c>
      <c r="BA642" s="407"/>
      <c r="BB642" s="407">
        <v>0</v>
      </c>
      <c r="BC642" s="407">
        <v>0</v>
      </c>
      <c r="BD642" s="407">
        <v>0</v>
      </c>
      <c r="BE642" s="407">
        <v>0</v>
      </c>
      <c r="BF642" s="407">
        <v>0</v>
      </c>
      <c r="BG642" s="407">
        <v>1.3303052017864454</v>
      </c>
      <c r="BH642" s="407">
        <v>0</v>
      </c>
      <c r="BI642" s="407">
        <v>0</v>
      </c>
      <c r="BJ642" s="407">
        <v>0.04</v>
      </c>
      <c r="BK642" s="407">
        <v>8.34</v>
      </c>
      <c r="BL642" s="407">
        <v>0</v>
      </c>
      <c r="BM642" s="407"/>
      <c r="BN642" s="407"/>
      <c r="BO642" s="407"/>
      <c r="BP642" s="407"/>
      <c r="BQ642" s="407"/>
      <c r="BR642" s="407"/>
      <c r="BS642" s="407"/>
      <c r="BT642" s="407">
        <v>39.716439999999999</v>
      </c>
      <c r="BU642" s="407"/>
      <c r="BV642" s="407">
        <v>19.529529773933305</v>
      </c>
      <c r="BW642" s="407"/>
      <c r="BX642" s="407"/>
      <c r="BY642" s="407"/>
      <c r="BZ642" s="407"/>
      <c r="CA642" s="407"/>
      <c r="CB642" s="407"/>
      <c r="CC642" s="407"/>
      <c r="CD642" s="407"/>
      <c r="CE642" s="407"/>
      <c r="CF642" s="407"/>
      <c r="CG642" s="407"/>
      <c r="CH642" s="407"/>
      <c r="CI642" s="407">
        <v>21.748799999999999</v>
      </c>
      <c r="CJ642" s="407">
        <v>-7.4779400000000038</v>
      </c>
      <c r="CK642" s="407"/>
      <c r="CL642" s="407"/>
      <c r="CM642" s="407"/>
      <c r="CN642" s="407"/>
      <c r="CO642" s="407">
        <v>-25.558799999999994</v>
      </c>
      <c r="CP642" s="407">
        <v>3.2414599999999996</v>
      </c>
      <c r="CQ642" s="407">
        <v>31</v>
      </c>
      <c r="CR642" s="407">
        <v>2.8495635516455593</v>
      </c>
      <c r="CS642" s="407">
        <v>0</v>
      </c>
      <c r="CT642" s="407">
        <v>0</v>
      </c>
      <c r="CU642" s="407">
        <v>0</v>
      </c>
      <c r="CV642" s="407">
        <v>0</v>
      </c>
      <c r="CW642" s="407">
        <v>0</v>
      </c>
      <c r="CX642" s="407">
        <v>0</v>
      </c>
      <c r="CY642" s="407">
        <v>0</v>
      </c>
      <c r="CZ642" s="407">
        <v>0.6217490818562581</v>
      </c>
      <c r="DA642" s="407">
        <v>0</v>
      </c>
      <c r="DB642" s="407">
        <v>0</v>
      </c>
      <c r="DC642" s="407">
        <v>3.6084147654327303</v>
      </c>
      <c r="DD642" s="407">
        <v>0</v>
      </c>
      <c r="DE642" s="407">
        <v>0</v>
      </c>
      <c r="DF642" s="407">
        <v>0</v>
      </c>
      <c r="DG642" s="407">
        <v>0.26376359682955086</v>
      </c>
      <c r="DH642" s="407">
        <v>0</v>
      </c>
      <c r="DI642" s="407">
        <v>0</v>
      </c>
      <c r="DJ642" s="407"/>
      <c r="DK642" s="407">
        <v>0</v>
      </c>
      <c r="DL642" s="407">
        <v>0</v>
      </c>
      <c r="DM642" s="407">
        <v>0</v>
      </c>
      <c r="DN642" s="407">
        <v>0</v>
      </c>
      <c r="DO642" s="407">
        <v>0</v>
      </c>
      <c r="DP642" s="407">
        <v>-1.5601969972090318E-2</v>
      </c>
      <c r="DQ642" s="407">
        <v>0</v>
      </c>
      <c r="DR642" s="407">
        <v>-1.6287619225008934</v>
      </c>
      <c r="DS642" s="407"/>
      <c r="DT642" s="407"/>
      <c r="DU642" s="407"/>
      <c r="DV642" s="407">
        <v>49.270426912875088</v>
      </c>
      <c r="DW642" s="407">
        <v>0</v>
      </c>
      <c r="DX642" s="407">
        <v>0</v>
      </c>
      <c r="DY642" s="407">
        <v>-25.558799999999998</v>
      </c>
      <c r="DZ642" s="407">
        <v>3.24146</v>
      </c>
      <c r="EA642" s="407">
        <v>0</v>
      </c>
      <c r="EB642" s="407">
        <v>0</v>
      </c>
      <c r="EC642" s="407">
        <v>-25.167448503740864</v>
      </c>
      <c r="ED642" s="407">
        <v>0</v>
      </c>
      <c r="EE642" s="407">
        <v>0</v>
      </c>
      <c r="EF642" s="407">
        <v>0</v>
      </c>
      <c r="EG642" s="407">
        <v>0</v>
      </c>
      <c r="EH642" s="407">
        <v>0</v>
      </c>
      <c r="EI642" s="407">
        <v>0</v>
      </c>
      <c r="EJ642" s="407">
        <v>0</v>
      </c>
      <c r="EK642" s="407">
        <v>0</v>
      </c>
      <c r="EL642" s="407">
        <v>0</v>
      </c>
      <c r="EM642" s="407">
        <v>0</v>
      </c>
      <c r="EN642" s="407">
        <v>0</v>
      </c>
      <c r="EO642" s="407">
        <v>0</v>
      </c>
      <c r="EP642" s="407">
        <v>0</v>
      </c>
      <c r="EQ642" s="407">
        <v>0</v>
      </c>
      <c r="ER642" s="407">
        <v>0</v>
      </c>
      <c r="ES642" s="407">
        <v>0</v>
      </c>
      <c r="ET642" s="407">
        <v>0</v>
      </c>
      <c r="EU642" s="407">
        <v>0</v>
      </c>
      <c r="EV642" s="407">
        <v>246</v>
      </c>
      <c r="EW642" s="407">
        <v>0</v>
      </c>
      <c r="EX642" s="407">
        <v>0</v>
      </c>
      <c r="EY642" s="407">
        <v>0</v>
      </c>
      <c r="EZ642" s="407"/>
      <c r="FA642" s="407">
        <v>0</v>
      </c>
      <c r="FB642" s="407"/>
      <c r="FC642" s="407"/>
      <c r="FD642" s="407"/>
      <c r="FE642" s="407"/>
      <c r="FF642" s="407">
        <v>0</v>
      </c>
      <c r="FG642" s="407">
        <v>0</v>
      </c>
      <c r="FH642" s="407">
        <v>0</v>
      </c>
      <c r="FI642" s="407">
        <v>0</v>
      </c>
    </row>
    <row r="643" spans="1:165">
      <c r="A643" s="407">
        <v>667</v>
      </c>
      <c r="B643" s="407" t="s">
        <v>1090</v>
      </c>
      <c r="C643" s="407" t="s">
        <v>2306</v>
      </c>
      <c r="D643" s="407" t="s">
        <v>1218</v>
      </c>
      <c r="E643" s="407" t="s">
        <v>1021</v>
      </c>
      <c r="F643" s="407" t="s">
        <v>2311</v>
      </c>
      <c r="G643" s="407" t="s">
        <v>97</v>
      </c>
      <c r="H643" s="407" t="s">
        <v>97</v>
      </c>
      <c r="I643" s="407" t="s">
        <v>97</v>
      </c>
      <c r="J643" s="407" t="s">
        <v>2307</v>
      </c>
      <c r="K643" s="818">
        <v>44682</v>
      </c>
      <c r="L643" s="407">
        <v>0</v>
      </c>
      <c r="M643" s="407">
        <v>0</v>
      </c>
      <c r="N643" s="407">
        <v>86.97</v>
      </c>
      <c r="O643" s="407">
        <v>86.97</v>
      </c>
      <c r="P643" s="407">
        <v>86.97</v>
      </c>
      <c r="Q643" s="407">
        <v>86.97</v>
      </c>
      <c r="R643" s="407"/>
      <c r="S643" s="407">
        <v>547.54</v>
      </c>
      <c r="T643" s="407">
        <v>159.41</v>
      </c>
      <c r="U643" s="407"/>
      <c r="V643" s="407">
        <v>61483.441499999994</v>
      </c>
      <c r="W643" s="407">
        <v>61483.441499999994</v>
      </c>
      <c r="X643" s="407">
        <v>45034.805399999997</v>
      </c>
      <c r="Y643" s="407">
        <v>0</v>
      </c>
      <c r="Z643" s="407">
        <v>0</v>
      </c>
      <c r="AA643" s="407">
        <v>0</v>
      </c>
      <c r="AB643" s="407">
        <v>0</v>
      </c>
      <c r="AC643" s="407">
        <v>0</v>
      </c>
      <c r="AD643" s="407">
        <v>10144.565747650335</v>
      </c>
      <c r="AE643" s="407">
        <v>36313.974818752089</v>
      </c>
      <c r="AF643" s="407">
        <v>13413.445432539089</v>
      </c>
      <c r="AG643" s="407">
        <v>450.65655729848845</v>
      </c>
      <c r="AH643" s="407">
        <v>0</v>
      </c>
      <c r="AI643" s="407">
        <v>0</v>
      </c>
      <c r="AJ643" s="407">
        <v>0</v>
      </c>
      <c r="AK643" s="407">
        <v>0</v>
      </c>
      <c r="AL643" s="407">
        <v>0</v>
      </c>
      <c r="AM643" s="407"/>
      <c r="AN643" s="407">
        <v>180.47106785240294</v>
      </c>
      <c r="AO643" s="407">
        <v>0</v>
      </c>
      <c r="AP643" s="407">
        <v>0</v>
      </c>
      <c r="AQ643" s="407">
        <v>0</v>
      </c>
      <c r="AR643" s="407">
        <v>0</v>
      </c>
      <c r="AS643" s="407">
        <v>0</v>
      </c>
      <c r="AT643" s="407">
        <v>0</v>
      </c>
      <c r="AU643" s="407">
        <v>0</v>
      </c>
      <c r="AV643" s="407">
        <v>0</v>
      </c>
      <c r="AW643" s="407">
        <v>0</v>
      </c>
      <c r="AX643" s="407">
        <v>0</v>
      </c>
      <c r="AY643" s="407">
        <v>0</v>
      </c>
      <c r="AZ643" s="407">
        <v>0</v>
      </c>
      <c r="BA643" s="407"/>
      <c r="BB643" s="407">
        <v>0</v>
      </c>
      <c r="BC643" s="407">
        <v>0</v>
      </c>
      <c r="BD643" s="407">
        <v>0</v>
      </c>
      <c r="BE643" s="407">
        <v>0</v>
      </c>
      <c r="BF643" s="407">
        <v>0</v>
      </c>
      <c r="BG643" s="407">
        <v>980.48002880819627</v>
      </c>
      <c r="BH643" s="407">
        <v>0</v>
      </c>
      <c r="BI643" s="407">
        <v>9.0299999999999994</v>
      </c>
      <c r="BJ643" s="407">
        <v>39.97</v>
      </c>
      <c r="BK643" s="407">
        <v>8869.09</v>
      </c>
      <c r="BL643" s="407">
        <v>499</v>
      </c>
      <c r="BM643" s="407"/>
      <c r="BN643" s="407"/>
      <c r="BO643" s="407"/>
      <c r="BP643" s="407"/>
      <c r="BQ643" s="407"/>
      <c r="BR643" s="407"/>
      <c r="BS643" s="407"/>
      <c r="BT643" s="407">
        <v>18014.096099999999</v>
      </c>
      <c r="BU643" s="407"/>
      <c r="BV643" s="407">
        <v>14393.925461347286</v>
      </c>
      <c r="BW643" s="407"/>
      <c r="BX643" s="407"/>
      <c r="BY643" s="407"/>
      <c r="BZ643" s="407"/>
      <c r="CA643" s="407"/>
      <c r="CB643" s="407"/>
      <c r="CC643" s="407"/>
      <c r="CD643" s="407"/>
      <c r="CE643" s="407"/>
      <c r="CF643" s="407"/>
      <c r="CG643" s="407"/>
      <c r="CH643" s="407"/>
      <c r="CI643" s="407">
        <v>27020.709300000002</v>
      </c>
      <c r="CJ643" s="407">
        <v>-9869.3855999999942</v>
      </c>
      <c r="CK643" s="407"/>
      <c r="CL643" s="407"/>
      <c r="CM643" s="407"/>
      <c r="CN643" s="407"/>
      <c r="CO643" s="407">
        <v>-18837.701999999997</v>
      </c>
      <c r="CP643" s="407">
        <v>2389.0659000000001</v>
      </c>
      <c r="CQ643" s="407">
        <v>31</v>
      </c>
      <c r="CR643" s="407">
        <v>2100.2249329374026</v>
      </c>
      <c r="CS643" s="407">
        <v>0</v>
      </c>
      <c r="CT643" s="407">
        <v>0</v>
      </c>
      <c r="CU643" s="407">
        <v>0</v>
      </c>
      <c r="CV643" s="407">
        <v>0</v>
      </c>
      <c r="CW643" s="407">
        <v>0</v>
      </c>
      <c r="CX643" s="407">
        <v>0</v>
      </c>
      <c r="CY643" s="407">
        <v>0</v>
      </c>
      <c r="CZ643" s="407">
        <v>458.25014956812447</v>
      </c>
      <c r="DA643" s="407">
        <v>0</v>
      </c>
      <c r="DB643" s="407">
        <v>0</v>
      </c>
      <c r="DC643" s="407">
        <v>2659.5240012685135</v>
      </c>
      <c r="DD643" s="407">
        <v>0</v>
      </c>
      <c r="DE643" s="407">
        <v>0</v>
      </c>
      <c r="DF643" s="407">
        <v>0</v>
      </c>
      <c r="DG643" s="407">
        <v>194.4027120022547</v>
      </c>
      <c r="DH643" s="407">
        <v>0</v>
      </c>
      <c r="DI643" s="407">
        <v>0</v>
      </c>
      <c r="DJ643" s="407"/>
      <c r="DK643" s="407">
        <v>0</v>
      </c>
      <c r="DL643" s="407">
        <v>0</v>
      </c>
      <c r="DM643" s="407">
        <v>0</v>
      </c>
      <c r="DN643" s="407">
        <v>0</v>
      </c>
      <c r="DO643" s="407">
        <v>0</v>
      </c>
      <c r="DP643" s="407">
        <v>-11.499180749768584</v>
      </c>
      <c r="DQ643" s="407">
        <v>0</v>
      </c>
      <c r="DR643" s="407">
        <v>-1200.4527491517179</v>
      </c>
      <c r="DS643" s="407"/>
      <c r="DT643" s="407"/>
      <c r="DU643" s="407"/>
      <c r="DV643" s="407">
        <v>36313.974818752089</v>
      </c>
      <c r="DW643" s="407">
        <v>0</v>
      </c>
      <c r="DX643" s="407">
        <v>0</v>
      </c>
      <c r="DY643" s="407">
        <v>-18837.701999999994</v>
      </c>
      <c r="DZ643" s="407">
        <v>2389.0658999999996</v>
      </c>
      <c r="EA643" s="407">
        <v>0</v>
      </c>
      <c r="EB643" s="407">
        <v>0</v>
      </c>
      <c r="EC643" s="407">
        <v>-18549.262681104599</v>
      </c>
      <c r="ED643" s="407">
        <v>0</v>
      </c>
      <c r="EE643" s="407">
        <v>0</v>
      </c>
      <c r="EF643" s="407">
        <v>0</v>
      </c>
      <c r="EG643" s="407">
        <v>0</v>
      </c>
      <c r="EH643" s="407">
        <v>0</v>
      </c>
      <c r="EI643" s="407">
        <v>0</v>
      </c>
      <c r="EJ643" s="407">
        <v>0</v>
      </c>
      <c r="EK643" s="407">
        <v>0</v>
      </c>
      <c r="EL643" s="407">
        <v>0</v>
      </c>
      <c r="EM643" s="407">
        <v>0</v>
      </c>
      <c r="EN643" s="407">
        <v>0</v>
      </c>
      <c r="EO643" s="407">
        <v>0</v>
      </c>
      <c r="EP643" s="407">
        <v>0</v>
      </c>
      <c r="EQ643" s="407">
        <v>0</v>
      </c>
      <c r="ER643" s="407">
        <v>0</v>
      </c>
      <c r="ES643" s="407">
        <v>0</v>
      </c>
      <c r="ET643" s="407">
        <v>0</v>
      </c>
      <c r="EU643" s="407">
        <v>0</v>
      </c>
      <c r="EV643" s="407">
        <v>246</v>
      </c>
      <c r="EW643" s="407">
        <v>0</v>
      </c>
      <c r="EX643" s="407">
        <v>0</v>
      </c>
      <c r="EY643" s="407">
        <v>0</v>
      </c>
      <c r="EZ643" s="407"/>
      <c r="FA643" s="407">
        <v>0</v>
      </c>
      <c r="FB643" s="407"/>
      <c r="FC643" s="407"/>
      <c r="FD643" s="407"/>
      <c r="FE643" s="407"/>
      <c r="FF643" s="407">
        <v>0</v>
      </c>
      <c r="FG643" s="407">
        <v>0</v>
      </c>
      <c r="FH643" s="407">
        <v>0</v>
      </c>
      <c r="FI643" s="407">
        <v>0</v>
      </c>
    </row>
    <row r="644" spans="1:165">
      <c r="A644" s="407">
        <v>668</v>
      </c>
      <c r="B644" s="407" t="s">
        <v>2309</v>
      </c>
      <c r="C644" s="407" t="s">
        <v>2306</v>
      </c>
      <c r="D644" s="407" t="s">
        <v>1218</v>
      </c>
      <c r="E644" s="407" t="s">
        <v>1021</v>
      </c>
      <c r="F644" s="407" t="s">
        <v>2311</v>
      </c>
      <c r="G644" s="407" t="s">
        <v>97</v>
      </c>
      <c r="H644" s="407" t="s">
        <v>97</v>
      </c>
      <c r="I644" s="407" t="s">
        <v>97</v>
      </c>
      <c r="J644" s="407" t="s">
        <v>2307</v>
      </c>
      <c r="K644" s="818">
        <v>44682</v>
      </c>
      <c r="L644" s="407">
        <v>0</v>
      </c>
      <c r="M644" s="407">
        <v>0</v>
      </c>
      <c r="N644" s="407">
        <v>1.9E-2</v>
      </c>
      <c r="O644" s="407">
        <v>1.9E-2</v>
      </c>
      <c r="P644" s="407">
        <v>1.9E-2</v>
      </c>
      <c r="Q644" s="407">
        <v>1.9E-2</v>
      </c>
      <c r="R644" s="407"/>
      <c r="S644" s="407">
        <v>547.54</v>
      </c>
      <c r="T644" s="407">
        <v>159.41</v>
      </c>
      <c r="U644" s="407"/>
      <c r="V644" s="407">
        <v>13.43205</v>
      </c>
      <c r="W644" s="407">
        <v>13.43205</v>
      </c>
      <c r="X644" s="407">
        <v>9.8385800000000003</v>
      </c>
      <c r="Y644" s="407">
        <v>0</v>
      </c>
      <c r="Z644" s="407">
        <v>0</v>
      </c>
      <c r="AA644" s="407">
        <v>0</v>
      </c>
      <c r="AB644" s="407">
        <v>0</v>
      </c>
      <c r="AC644" s="407">
        <v>0</v>
      </c>
      <c r="AD644" s="407">
        <v>2.216244098026404</v>
      </c>
      <c r="AE644" s="407">
        <v>7.9333738249544634</v>
      </c>
      <c r="AF644" s="407">
        <v>2.930383617549071</v>
      </c>
      <c r="AG644" s="407">
        <v>9.8453197524103489E-2</v>
      </c>
      <c r="AH644" s="407">
        <v>0</v>
      </c>
      <c r="AI644" s="407">
        <v>0</v>
      </c>
      <c r="AJ644" s="407">
        <v>0</v>
      </c>
      <c r="AK644" s="407">
        <v>0</v>
      </c>
      <c r="AL644" s="407">
        <v>0</v>
      </c>
      <c r="AM644" s="407"/>
      <c r="AN644" s="407">
        <v>3.9426817169088836E-2</v>
      </c>
      <c r="AO644" s="407">
        <v>0</v>
      </c>
      <c r="AP644" s="407">
        <v>0</v>
      </c>
      <c r="AQ644" s="407">
        <v>0</v>
      </c>
      <c r="AR644" s="407">
        <v>0</v>
      </c>
      <c r="AS644" s="407">
        <v>0</v>
      </c>
      <c r="AT644" s="407">
        <v>0</v>
      </c>
      <c r="AU644" s="407">
        <v>0</v>
      </c>
      <c r="AV644" s="407">
        <v>0</v>
      </c>
      <c r="AW644" s="407">
        <v>0</v>
      </c>
      <c r="AX644" s="407">
        <v>0</v>
      </c>
      <c r="AY644" s="407">
        <v>0</v>
      </c>
      <c r="AZ644" s="407">
        <v>0</v>
      </c>
      <c r="BA644" s="407"/>
      <c r="BB644" s="407">
        <v>0</v>
      </c>
      <c r="BC644" s="407">
        <v>0</v>
      </c>
      <c r="BD644" s="407">
        <v>0</v>
      </c>
      <c r="BE644" s="407">
        <v>0</v>
      </c>
      <c r="BF644" s="407">
        <v>0</v>
      </c>
      <c r="BG644" s="407">
        <v>0.21420168503341069</v>
      </c>
      <c r="BH644" s="407">
        <v>0</v>
      </c>
      <c r="BI644" s="407">
        <v>0</v>
      </c>
      <c r="BJ644" s="407">
        <v>0.01</v>
      </c>
      <c r="BK644" s="407">
        <v>22.2</v>
      </c>
      <c r="BL644" s="407">
        <v>0</v>
      </c>
      <c r="BM644" s="407"/>
      <c r="BN644" s="407"/>
      <c r="BO644" s="407"/>
      <c r="BP644" s="407"/>
      <c r="BQ644" s="407"/>
      <c r="BR644" s="407"/>
      <c r="BS644" s="407"/>
      <c r="BT644" s="407">
        <v>3.9354699999999996</v>
      </c>
      <c r="BU644" s="407"/>
      <c r="BV644" s="407">
        <v>3.1445853025824815</v>
      </c>
      <c r="BW644" s="407"/>
      <c r="BX644" s="407"/>
      <c r="BY644" s="407"/>
      <c r="BZ644" s="407"/>
      <c r="CA644" s="407"/>
      <c r="CB644" s="407"/>
      <c r="CC644" s="407"/>
      <c r="CD644" s="407"/>
      <c r="CE644" s="407"/>
      <c r="CF644" s="407"/>
      <c r="CG644" s="407"/>
      <c r="CH644" s="407"/>
      <c r="CI644" s="407">
        <v>6.2138</v>
      </c>
      <c r="CJ644" s="407">
        <v>-1.8754299999999988</v>
      </c>
      <c r="CK644" s="407"/>
      <c r="CL644" s="407"/>
      <c r="CM644" s="407"/>
      <c r="CN644" s="407"/>
      <c r="CO644" s="407">
        <v>-4.1153999999999993</v>
      </c>
      <c r="CP644" s="407">
        <v>0.52193000000000001</v>
      </c>
      <c r="CQ644" s="407">
        <v>31</v>
      </c>
      <c r="CR644" s="407">
        <v>0.45882802950225088</v>
      </c>
      <c r="CS644" s="407">
        <v>0</v>
      </c>
      <c r="CT644" s="407">
        <v>0</v>
      </c>
      <c r="CU644" s="407">
        <v>0</v>
      </c>
      <c r="CV644" s="407">
        <v>0</v>
      </c>
      <c r="CW644" s="407">
        <v>0</v>
      </c>
      <c r="CX644" s="407">
        <v>0</v>
      </c>
      <c r="CY644" s="407">
        <v>0</v>
      </c>
      <c r="CZ644" s="407">
        <v>0.10011214029888915</v>
      </c>
      <c r="DA644" s="407">
        <v>0</v>
      </c>
      <c r="DB644" s="407">
        <v>0</v>
      </c>
      <c r="DC644" s="407">
        <v>0.58101593680696473</v>
      </c>
      <c r="DD644" s="407">
        <v>0</v>
      </c>
      <c r="DE644" s="407">
        <v>0</v>
      </c>
      <c r="DF644" s="407">
        <v>0</v>
      </c>
      <c r="DG644" s="407">
        <v>4.2470409658995512E-2</v>
      </c>
      <c r="DH644" s="407">
        <v>0</v>
      </c>
      <c r="DI644" s="407">
        <v>0</v>
      </c>
      <c r="DJ644" s="407"/>
      <c r="DK644" s="407">
        <v>0</v>
      </c>
      <c r="DL644" s="407">
        <v>0</v>
      </c>
      <c r="DM644" s="407">
        <v>0</v>
      </c>
      <c r="DN644" s="407">
        <v>0</v>
      </c>
      <c r="DO644" s="407">
        <v>0</v>
      </c>
      <c r="DP644" s="407">
        <v>-2.5121816056755605E-3</v>
      </c>
      <c r="DQ644" s="407">
        <v>0</v>
      </c>
      <c r="DR644" s="407">
        <v>-0.2622582756569235</v>
      </c>
      <c r="DS644" s="407"/>
      <c r="DT644" s="407"/>
      <c r="DU644" s="407"/>
      <c r="DV644" s="407">
        <v>7.9333738249544634</v>
      </c>
      <c r="DW644" s="407">
        <v>0</v>
      </c>
      <c r="DX644" s="407">
        <v>0</v>
      </c>
      <c r="DY644" s="407">
        <v>-4.1153999999999993</v>
      </c>
      <c r="DZ644" s="407">
        <v>0.52192999999999978</v>
      </c>
      <c r="EA644" s="407">
        <v>0</v>
      </c>
      <c r="EB644" s="407">
        <v>0</v>
      </c>
      <c r="EC644" s="407">
        <v>-4.0523857760260711</v>
      </c>
      <c r="ED644" s="407">
        <v>0</v>
      </c>
      <c r="EE644" s="407">
        <v>0</v>
      </c>
      <c r="EF644" s="407">
        <v>0</v>
      </c>
      <c r="EG644" s="407">
        <v>0</v>
      </c>
      <c r="EH644" s="407">
        <v>0</v>
      </c>
      <c r="EI644" s="407">
        <v>0</v>
      </c>
      <c r="EJ644" s="407">
        <v>0</v>
      </c>
      <c r="EK644" s="407">
        <v>0</v>
      </c>
      <c r="EL644" s="407">
        <v>0</v>
      </c>
      <c r="EM644" s="407">
        <v>0</v>
      </c>
      <c r="EN644" s="407">
        <v>0</v>
      </c>
      <c r="EO644" s="407">
        <v>0</v>
      </c>
      <c r="EP644" s="407">
        <v>0</v>
      </c>
      <c r="EQ644" s="407">
        <v>0</v>
      </c>
      <c r="ER644" s="407">
        <v>0</v>
      </c>
      <c r="ES644" s="407">
        <v>0</v>
      </c>
      <c r="ET644" s="407">
        <v>0</v>
      </c>
      <c r="EU644" s="407">
        <v>0</v>
      </c>
      <c r="EV644" s="407">
        <v>246</v>
      </c>
      <c r="EW644" s="407">
        <v>0</v>
      </c>
      <c r="EX644" s="407">
        <v>0</v>
      </c>
      <c r="EY644" s="407">
        <v>0</v>
      </c>
      <c r="EZ644" s="407"/>
      <c r="FA644" s="407">
        <v>0</v>
      </c>
      <c r="FB644" s="407"/>
      <c r="FC644" s="407"/>
      <c r="FD644" s="407"/>
      <c r="FE644" s="407"/>
      <c r="FF644" s="407">
        <v>0</v>
      </c>
      <c r="FG644" s="407">
        <v>0</v>
      </c>
      <c r="FH644" s="407">
        <v>0</v>
      </c>
      <c r="FI644" s="407">
        <v>0</v>
      </c>
    </row>
    <row r="645" spans="1:165">
      <c r="A645" s="407">
        <v>669</v>
      </c>
      <c r="B645" s="407" t="s">
        <v>1090</v>
      </c>
      <c r="C645" s="407" t="s">
        <v>2306</v>
      </c>
      <c r="D645" s="407" t="s">
        <v>1218</v>
      </c>
      <c r="E645" s="407" t="s">
        <v>1021</v>
      </c>
      <c r="F645" s="407" t="s">
        <v>2312</v>
      </c>
      <c r="G645" s="407" t="s">
        <v>97</v>
      </c>
      <c r="H645" s="407" t="s">
        <v>97</v>
      </c>
      <c r="I645" s="407" t="s">
        <v>97</v>
      </c>
      <c r="J645" s="407" t="s">
        <v>2307</v>
      </c>
      <c r="K645" s="818">
        <v>44682</v>
      </c>
      <c r="L645" s="407">
        <v>0</v>
      </c>
      <c r="M645" s="407">
        <v>0</v>
      </c>
      <c r="N645" s="407">
        <v>56.470999999999997</v>
      </c>
      <c r="O645" s="407">
        <v>56.470999999999997</v>
      </c>
      <c r="P645" s="407">
        <v>56.470999999999997</v>
      </c>
      <c r="Q645" s="407">
        <v>56.470999999999997</v>
      </c>
      <c r="R645" s="407"/>
      <c r="S645" s="407">
        <v>547.54</v>
      </c>
      <c r="T645" s="407">
        <v>159.41</v>
      </c>
      <c r="U645" s="407"/>
      <c r="V645" s="407">
        <v>39922.173449999995</v>
      </c>
      <c r="W645" s="407">
        <v>39922.173449999995</v>
      </c>
      <c r="X645" s="407">
        <v>29241.813219999996</v>
      </c>
      <c r="Y645" s="407">
        <v>0</v>
      </c>
      <c r="Z645" s="407">
        <v>0</v>
      </c>
      <c r="AA645" s="407">
        <v>0</v>
      </c>
      <c r="AB645" s="407">
        <v>0</v>
      </c>
      <c r="AC645" s="407">
        <v>0</v>
      </c>
      <c r="AD645" s="407">
        <v>6587.0273926131076</v>
      </c>
      <c r="AE645" s="407">
        <v>23579.239645737023</v>
      </c>
      <c r="AF645" s="407">
        <v>8709.5628035059781</v>
      </c>
      <c r="AG645" s="407">
        <v>292.61844828334989</v>
      </c>
      <c r="AH645" s="407">
        <v>0</v>
      </c>
      <c r="AI645" s="407">
        <v>0</v>
      </c>
      <c r="AJ645" s="407">
        <v>0</v>
      </c>
      <c r="AK645" s="407">
        <v>0</v>
      </c>
      <c r="AL645" s="407">
        <v>0</v>
      </c>
      <c r="AM645" s="407"/>
      <c r="AN645" s="407">
        <v>117.18272591345345</v>
      </c>
      <c r="AO645" s="407">
        <v>0</v>
      </c>
      <c r="AP645" s="407">
        <v>0</v>
      </c>
      <c r="AQ645" s="407">
        <v>0</v>
      </c>
      <c r="AR645" s="407">
        <v>0</v>
      </c>
      <c r="AS645" s="407">
        <v>0</v>
      </c>
      <c r="AT645" s="407">
        <v>0</v>
      </c>
      <c r="AU645" s="407">
        <v>0</v>
      </c>
      <c r="AV645" s="407">
        <v>0</v>
      </c>
      <c r="AW645" s="407">
        <v>0</v>
      </c>
      <c r="AX645" s="407">
        <v>0</v>
      </c>
      <c r="AY645" s="407">
        <v>0</v>
      </c>
      <c r="AZ645" s="407">
        <v>0</v>
      </c>
      <c r="BA645" s="407"/>
      <c r="BB645" s="407">
        <v>0</v>
      </c>
      <c r="BC645" s="407">
        <v>0</v>
      </c>
      <c r="BD645" s="407">
        <v>0</v>
      </c>
      <c r="BE645" s="407">
        <v>0</v>
      </c>
      <c r="BF645" s="407">
        <v>0</v>
      </c>
      <c r="BG645" s="407">
        <v>636.64122923798607</v>
      </c>
      <c r="BH645" s="407">
        <v>0</v>
      </c>
      <c r="BI645" s="407">
        <v>8.36</v>
      </c>
      <c r="BJ645" s="407">
        <v>48.96</v>
      </c>
      <c r="BK645" s="407">
        <v>8787.65</v>
      </c>
      <c r="BL645" s="407">
        <v>812</v>
      </c>
      <c r="BM645" s="407"/>
      <c r="BN645" s="407"/>
      <c r="BO645" s="407"/>
      <c r="BP645" s="407"/>
      <c r="BQ645" s="407"/>
      <c r="BR645" s="407"/>
      <c r="BS645" s="407"/>
      <c r="BT645" s="407">
        <v>2924.6330900000012</v>
      </c>
      <c r="BU645" s="407"/>
      <c r="BV645" s="407">
        <v>9346.2040327439645</v>
      </c>
      <c r="BW645" s="407"/>
      <c r="BX645" s="407"/>
      <c r="BY645" s="407"/>
      <c r="BZ645" s="407"/>
      <c r="CA645" s="407"/>
      <c r="CB645" s="407"/>
      <c r="CC645" s="407"/>
      <c r="CD645" s="407"/>
      <c r="CE645" s="407"/>
      <c r="CF645" s="407"/>
      <c r="CG645" s="407"/>
      <c r="CH645" s="407"/>
      <c r="CI645" s="407">
        <v>26316.714099999997</v>
      </c>
      <c r="CJ645" s="407">
        <v>-9613.5543600000019</v>
      </c>
      <c r="CK645" s="407"/>
      <c r="CL645" s="407"/>
      <c r="CM645" s="407"/>
      <c r="CN645" s="407"/>
      <c r="CO645" s="407">
        <v>-12231.618599999998</v>
      </c>
      <c r="CP645" s="407">
        <v>1551.2583699999998</v>
      </c>
      <c r="CQ645" s="407">
        <v>31</v>
      </c>
      <c r="CR645" s="407">
        <v>1363.7093502116586</v>
      </c>
      <c r="CS645" s="407">
        <v>0</v>
      </c>
      <c r="CT645" s="407">
        <v>0</v>
      </c>
      <c r="CU645" s="407">
        <v>0</v>
      </c>
      <c r="CV645" s="407">
        <v>0</v>
      </c>
      <c r="CW645" s="407">
        <v>0</v>
      </c>
      <c r="CX645" s="407">
        <v>0</v>
      </c>
      <c r="CY645" s="407">
        <v>0</v>
      </c>
      <c r="CZ645" s="407">
        <v>297.54908814834562</v>
      </c>
      <c r="DA645" s="407">
        <v>0</v>
      </c>
      <c r="DB645" s="407">
        <v>0</v>
      </c>
      <c r="DC645" s="407">
        <v>1726.8711035487431</v>
      </c>
      <c r="DD645" s="407">
        <v>0</v>
      </c>
      <c r="DE645" s="407">
        <v>0</v>
      </c>
      <c r="DF645" s="407">
        <v>0</v>
      </c>
      <c r="DG645" s="407">
        <v>126.22876336069123</v>
      </c>
      <c r="DH645" s="407">
        <v>0</v>
      </c>
      <c r="DI645" s="407">
        <v>0</v>
      </c>
      <c r="DJ645" s="407"/>
      <c r="DK645" s="407">
        <v>0</v>
      </c>
      <c r="DL645" s="407">
        <v>0</v>
      </c>
      <c r="DM645" s="407">
        <v>0</v>
      </c>
      <c r="DN645" s="407">
        <v>0</v>
      </c>
      <c r="DO645" s="407">
        <v>0</v>
      </c>
      <c r="DP645" s="407">
        <v>-7.4666003923212827</v>
      </c>
      <c r="DQ645" s="407">
        <v>0</v>
      </c>
      <c r="DR645" s="407">
        <v>-779.47300445379619</v>
      </c>
      <c r="DS645" s="407"/>
      <c r="DT645" s="407"/>
      <c r="DU645" s="407"/>
      <c r="DV645" s="407">
        <v>23579.239645737023</v>
      </c>
      <c r="DW645" s="407">
        <v>0</v>
      </c>
      <c r="DX645" s="407">
        <v>0</v>
      </c>
      <c r="DY645" s="407">
        <v>-12231.618599999998</v>
      </c>
      <c r="DZ645" s="407">
        <v>1551.2583700000014</v>
      </c>
      <c r="EA645" s="407">
        <v>0</v>
      </c>
      <c r="EB645" s="407">
        <v>0</v>
      </c>
      <c r="EC645" s="407">
        <v>-12044.33037673517</v>
      </c>
      <c r="ED645" s="407">
        <v>0</v>
      </c>
      <c r="EE645" s="407">
        <v>0</v>
      </c>
      <c r="EF645" s="407">
        <v>0</v>
      </c>
      <c r="EG645" s="407">
        <v>0</v>
      </c>
      <c r="EH645" s="407">
        <v>0</v>
      </c>
      <c r="EI645" s="407">
        <v>0</v>
      </c>
      <c r="EJ645" s="407">
        <v>0</v>
      </c>
      <c r="EK645" s="407">
        <v>0</v>
      </c>
      <c r="EL645" s="407">
        <v>0</v>
      </c>
      <c r="EM645" s="407">
        <v>0</v>
      </c>
      <c r="EN645" s="407">
        <v>0</v>
      </c>
      <c r="EO645" s="407">
        <v>0</v>
      </c>
      <c r="EP645" s="407">
        <v>0</v>
      </c>
      <c r="EQ645" s="407">
        <v>0</v>
      </c>
      <c r="ER645" s="407">
        <v>0</v>
      </c>
      <c r="ES645" s="407">
        <v>0</v>
      </c>
      <c r="ET645" s="407">
        <v>0</v>
      </c>
      <c r="EU645" s="407">
        <v>0</v>
      </c>
      <c r="EV645" s="407">
        <v>246</v>
      </c>
      <c r="EW645" s="407">
        <v>0</v>
      </c>
      <c r="EX645" s="407">
        <v>0</v>
      </c>
      <c r="EY645" s="407">
        <v>0</v>
      </c>
      <c r="EZ645" s="407"/>
      <c r="FA645" s="407">
        <v>0</v>
      </c>
      <c r="FB645" s="407"/>
      <c r="FC645" s="407"/>
      <c r="FD645" s="407"/>
      <c r="FE645" s="407"/>
      <c r="FF645" s="407">
        <v>0</v>
      </c>
      <c r="FG645" s="407">
        <v>0</v>
      </c>
      <c r="FH645" s="407">
        <v>0</v>
      </c>
      <c r="FI645" s="407">
        <v>0</v>
      </c>
    </row>
    <row r="646" spans="1:165">
      <c r="A646" s="407">
        <v>670</v>
      </c>
      <c r="B646" s="407" t="s">
        <v>2309</v>
      </c>
      <c r="C646" s="407" t="s">
        <v>2306</v>
      </c>
      <c r="D646" s="407" t="s">
        <v>1218</v>
      </c>
      <c r="E646" s="407" t="s">
        <v>1021</v>
      </c>
      <c r="F646" s="407" t="s">
        <v>2312</v>
      </c>
      <c r="G646" s="407" t="s">
        <v>97</v>
      </c>
      <c r="H646" s="407" t="s">
        <v>97</v>
      </c>
      <c r="I646" s="407" t="s">
        <v>97</v>
      </c>
      <c r="J646" s="407" t="s">
        <v>2307</v>
      </c>
      <c r="K646" s="818">
        <v>44682</v>
      </c>
      <c r="L646" s="407">
        <v>0</v>
      </c>
      <c r="M646" s="407">
        <v>0</v>
      </c>
      <c r="N646" s="407">
        <v>0</v>
      </c>
      <c r="O646" s="407">
        <v>0</v>
      </c>
      <c r="P646" s="407">
        <v>0</v>
      </c>
      <c r="Q646" s="407">
        <v>0</v>
      </c>
      <c r="R646" s="407"/>
      <c r="S646" s="407"/>
      <c r="T646" s="407"/>
      <c r="U646" s="407"/>
      <c r="V646" s="407"/>
      <c r="W646" s="407"/>
      <c r="X646" s="407"/>
      <c r="Y646" s="407"/>
      <c r="Z646" s="407"/>
      <c r="AA646" s="407">
        <v>0</v>
      </c>
      <c r="AB646" s="407"/>
      <c r="AC646" s="407"/>
      <c r="AD646" s="407"/>
      <c r="AE646" s="407"/>
      <c r="AF646" s="407"/>
      <c r="AG646" s="407"/>
      <c r="AH646" s="407"/>
      <c r="AI646" s="407"/>
      <c r="AJ646" s="407"/>
      <c r="AK646" s="407"/>
      <c r="AL646" s="407"/>
      <c r="AM646" s="407"/>
      <c r="AN646" s="407"/>
      <c r="AO646" s="407"/>
      <c r="AP646" s="407"/>
      <c r="AQ646" s="407"/>
      <c r="AR646" s="407"/>
      <c r="AS646" s="407"/>
      <c r="AT646" s="407"/>
      <c r="AU646" s="407"/>
      <c r="AV646" s="407"/>
      <c r="AW646" s="407"/>
      <c r="AX646" s="407"/>
      <c r="AY646" s="407"/>
      <c r="AZ646" s="407">
        <v>0</v>
      </c>
      <c r="BA646" s="407"/>
      <c r="BB646" s="407"/>
      <c r="BC646" s="407"/>
      <c r="BD646" s="407"/>
      <c r="BE646" s="407"/>
      <c r="BF646" s="407"/>
      <c r="BG646" s="407"/>
      <c r="BH646" s="407"/>
      <c r="BI646" s="407">
        <v>0</v>
      </c>
      <c r="BJ646" s="407">
        <v>0</v>
      </c>
      <c r="BK646" s="407">
        <v>46.96</v>
      </c>
      <c r="BL646" s="407">
        <v>2</v>
      </c>
      <c r="BM646" s="407"/>
      <c r="BN646" s="407"/>
      <c r="BO646" s="407"/>
      <c r="BP646" s="407"/>
      <c r="BQ646" s="407"/>
      <c r="BR646" s="407"/>
      <c r="BS646" s="407"/>
      <c r="BT646" s="407"/>
      <c r="BU646" s="407"/>
      <c r="BV646" s="407"/>
      <c r="BW646" s="407"/>
      <c r="BX646" s="407"/>
      <c r="BY646" s="407"/>
      <c r="BZ646" s="407"/>
      <c r="CA646" s="407"/>
      <c r="CB646" s="407"/>
      <c r="CC646" s="407"/>
      <c r="CD646" s="407"/>
      <c r="CE646" s="407"/>
      <c r="CF646" s="407"/>
      <c r="CG646" s="407"/>
      <c r="CH646" s="407"/>
      <c r="CI646" s="407"/>
      <c r="CJ646" s="407">
        <v>-0.03</v>
      </c>
      <c r="CK646" s="407"/>
      <c r="CL646" s="407"/>
      <c r="CM646" s="407"/>
      <c r="CN646" s="407"/>
      <c r="CO646" s="407">
        <v>0</v>
      </c>
      <c r="CP646" s="407">
        <v>0</v>
      </c>
      <c r="CQ646" s="407">
        <v>31</v>
      </c>
      <c r="CR646" s="407"/>
      <c r="CS646" s="407"/>
      <c r="CT646" s="407"/>
      <c r="CU646" s="407"/>
      <c r="CV646" s="407"/>
      <c r="CW646" s="407"/>
      <c r="CX646" s="407"/>
      <c r="CY646" s="407"/>
      <c r="CZ646" s="407"/>
      <c r="DA646" s="407"/>
      <c r="DB646" s="407"/>
      <c r="DC646" s="407"/>
      <c r="DD646" s="407"/>
      <c r="DE646" s="407"/>
      <c r="DF646" s="407"/>
      <c r="DG646" s="407"/>
      <c r="DH646" s="407"/>
      <c r="DI646" s="407"/>
      <c r="DJ646" s="407"/>
      <c r="DK646" s="407">
        <v>0</v>
      </c>
      <c r="DL646" s="407"/>
      <c r="DM646" s="407"/>
      <c r="DN646" s="407"/>
      <c r="DO646" s="407"/>
      <c r="DP646" s="407"/>
      <c r="DQ646" s="407"/>
      <c r="DR646" s="407"/>
      <c r="DS646" s="407"/>
      <c r="DT646" s="407"/>
      <c r="DU646" s="407"/>
      <c r="DV646" s="407"/>
      <c r="DW646" s="407"/>
      <c r="DX646" s="407"/>
      <c r="DY646" s="407"/>
      <c r="DZ646" s="407"/>
      <c r="EA646" s="407"/>
      <c r="EB646" s="407"/>
      <c r="EC646" s="407"/>
      <c r="ED646" s="407"/>
      <c r="EE646" s="407"/>
      <c r="EF646" s="407"/>
      <c r="EG646" s="407"/>
      <c r="EH646" s="407"/>
      <c r="EI646" s="407"/>
      <c r="EJ646" s="407"/>
      <c r="EK646" s="407"/>
      <c r="EL646" s="407"/>
      <c r="EM646" s="407"/>
      <c r="EN646" s="407"/>
      <c r="EO646" s="407"/>
      <c r="EP646" s="407"/>
      <c r="EQ646" s="407"/>
      <c r="ER646" s="407"/>
      <c r="ES646" s="407"/>
      <c r="ET646" s="407"/>
      <c r="EU646" s="407"/>
      <c r="EV646" s="407">
        <v>246</v>
      </c>
      <c r="EW646" s="407"/>
      <c r="EX646" s="407"/>
      <c r="EY646" s="407"/>
      <c r="EZ646" s="407"/>
      <c r="FA646" s="407">
        <v>0</v>
      </c>
      <c r="FB646" s="407"/>
      <c r="FC646" s="407"/>
      <c r="FD646" s="407"/>
      <c r="FE646" s="407"/>
      <c r="FF646" s="407">
        <v>0</v>
      </c>
      <c r="FG646" s="407">
        <v>0</v>
      </c>
      <c r="FH646" s="407">
        <v>0</v>
      </c>
      <c r="FI646" s="407">
        <v>0</v>
      </c>
    </row>
    <row r="647" spans="1:165">
      <c r="A647" s="407">
        <v>671</v>
      </c>
      <c r="B647" s="407" t="s">
        <v>1090</v>
      </c>
      <c r="C647" s="407" t="s">
        <v>2306</v>
      </c>
      <c r="D647" s="407" t="s">
        <v>1218</v>
      </c>
      <c r="E647" s="407" t="s">
        <v>1021</v>
      </c>
      <c r="F647" s="407" t="s">
        <v>2313</v>
      </c>
      <c r="G647" s="407" t="s">
        <v>97</v>
      </c>
      <c r="H647" s="407" t="s">
        <v>97</v>
      </c>
      <c r="I647" s="407" t="s">
        <v>97</v>
      </c>
      <c r="J647" s="407" t="s">
        <v>2307</v>
      </c>
      <c r="K647" s="818">
        <v>44682</v>
      </c>
      <c r="L647" s="407">
        <v>0</v>
      </c>
      <c r="M647" s="407">
        <v>0</v>
      </c>
      <c r="N647" s="407">
        <v>10.244999999999999</v>
      </c>
      <c r="O647" s="407">
        <v>10.244999999999999</v>
      </c>
      <c r="P647" s="407">
        <v>10.244999999999999</v>
      </c>
      <c r="Q647" s="407">
        <v>10.244999999999999</v>
      </c>
      <c r="R647" s="407"/>
      <c r="S647" s="407">
        <v>547.54</v>
      </c>
      <c r="T647" s="407">
        <v>159.41</v>
      </c>
      <c r="U647" s="407"/>
      <c r="V647" s="407">
        <v>7242.7027499999986</v>
      </c>
      <c r="W647" s="407">
        <v>7242.7027499999986</v>
      </c>
      <c r="X647" s="407">
        <v>5305.0658999999996</v>
      </c>
      <c r="Y647" s="407">
        <v>0</v>
      </c>
      <c r="Z647" s="407">
        <v>0</v>
      </c>
      <c r="AA647" s="407">
        <v>0</v>
      </c>
      <c r="AB647" s="407">
        <v>0</v>
      </c>
      <c r="AC647" s="407">
        <v>0</v>
      </c>
      <c r="AD647" s="407">
        <v>1195.0221465410793</v>
      </c>
      <c r="AE647" s="407">
        <v>4277.7586756136034</v>
      </c>
      <c r="AF647" s="407">
        <v>1580.0936927258015</v>
      </c>
      <c r="AG647" s="407">
        <v>53.087000454444222</v>
      </c>
      <c r="AH647" s="407">
        <v>0</v>
      </c>
      <c r="AI647" s="407">
        <v>0</v>
      </c>
      <c r="AJ647" s="407">
        <v>0</v>
      </c>
      <c r="AK647" s="407">
        <v>0</v>
      </c>
      <c r="AL647" s="407">
        <v>0</v>
      </c>
      <c r="AM647" s="407"/>
      <c r="AN647" s="407">
        <v>21.259354836700794</v>
      </c>
      <c r="AO647" s="407">
        <v>0</v>
      </c>
      <c r="AP647" s="407">
        <v>0</v>
      </c>
      <c r="AQ647" s="407">
        <v>0</v>
      </c>
      <c r="AR647" s="407">
        <v>0</v>
      </c>
      <c r="AS647" s="407">
        <v>0</v>
      </c>
      <c r="AT647" s="407">
        <v>0</v>
      </c>
      <c r="AU647" s="407">
        <v>0</v>
      </c>
      <c r="AV647" s="407">
        <v>0</v>
      </c>
      <c r="AW647" s="407">
        <v>0</v>
      </c>
      <c r="AX647" s="407">
        <v>0</v>
      </c>
      <c r="AY647" s="407">
        <v>0</v>
      </c>
      <c r="AZ647" s="407">
        <v>0</v>
      </c>
      <c r="BA647" s="407"/>
      <c r="BB647" s="407">
        <v>0</v>
      </c>
      <c r="BC647" s="407">
        <v>0</v>
      </c>
      <c r="BD647" s="407">
        <v>0</v>
      </c>
      <c r="BE647" s="407">
        <v>0</v>
      </c>
      <c r="BF647" s="407">
        <v>0</v>
      </c>
      <c r="BG647" s="407">
        <v>115.49980332459434</v>
      </c>
      <c r="BH647" s="407">
        <v>0</v>
      </c>
      <c r="BI647" s="407">
        <v>1.83</v>
      </c>
      <c r="BJ647" s="407">
        <v>9.27</v>
      </c>
      <c r="BK647" s="407">
        <v>1771.36</v>
      </c>
      <c r="BL647" s="407">
        <v>139</v>
      </c>
      <c r="BM647" s="407"/>
      <c r="BN647" s="407"/>
      <c r="BO647" s="407"/>
      <c r="BP647" s="407"/>
      <c r="BQ647" s="407"/>
      <c r="BR647" s="407"/>
      <c r="BS647" s="407"/>
      <c r="BT647" s="407"/>
      <c r="BU647" s="407"/>
      <c r="BV647" s="407">
        <v>1695.5934960503957</v>
      </c>
      <c r="BW647" s="407"/>
      <c r="BX647" s="407"/>
      <c r="BY647" s="407"/>
      <c r="BZ647" s="407"/>
      <c r="CA647" s="407"/>
      <c r="CB647" s="407"/>
      <c r="CC647" s="407"/>
      <c r="CD647" s="407"/>
      <c r="CE647" s="407"/>
      <c r="CF647" s="407"/>
      <c r="CG647" s="407"/>
      <c r="CH647" s="407"/>
      <c r="CI647" s="407">
        <v>5307.6549999999997</v>
      </c>
      <c r="CJ647" s="407">
        <v>-1935.0777499999995</v>
      </c>
      <c r="CK647" s="407"/>
      <c r="CL647" s="407"/>
      <c r="CM647" s="407"/>
      <c r="CN647" s="407"/>
      <c r="CO647" s="407">
        <v>-2219.0669999999996</v>
      </c>
      <c r="CP647" s="407">
        <v>281.43014999999997</v>
      </c>
      <c r="CQ647" s="407">
        <v>31</v>
      </c>
      <c r="CR647" s="407">
        <v>247.40490327634507</v>
      </c>
      <c r="CS647" s="407">
        <v>0</v>
      </c>
      <c r="CT647" s="407">
        <v>0</v>
      </c>
      <c r="CU647" s="407">
        <v>0</v>
      </c>
      <c r="CV647" s="407">
        <v>0</v>
      </c>
      <c r="CW647" s="407">
        <v>0</v>
      </c>
      <c r="CX647" s="407">
        <v>0</v>
      </c>
      <c r="CY647" s="407">
        <v>0</v>
      </c>
      <c r="CZ647" s="407">
        <v>53.981519861164088</v>
      </c>
      <c r="DA647" s="407">
        <v>0</v>
      </c>
      <c r="DB647" s="407">
        <v>0</v>
      </c>
      <c r="DC647" s="407">
        <v>313.28990908354513</v>
      </c>
      <c r="DD647" s="407">
        <v>0</v>
      </c>
      <c r="DE647" s="407">
        <v>0</v>
      </c>
      <c r="DF647" s="407">
        <v>0</v>
      </c>
      <c r="DG647" s="407">
        <v>22.900491945074137</v>
      </c>
      <c r="DH647" s="407">
        <v>0</v>
      </c>
      <c r="DI647" s="407">
        <v>0</v>
      </c>
      <c r="DJ647" s="407"/>
      <c r="DK647" s="407">
        <v>0</v>
      </c>
      <c r="DL647" s="407">
        <v>0</v>
      </c>
      <c r="DM647" s="407">
        <v>0</v>
      </c>
      <c r="DN647" s="407">
        <v>0</v>
      </c>
      <c r="DO647" s="407">
        <v>0</v>
      </c>
      <c r="DP647" s="407">
        <v>-1.3545947657971631</v>
      </c>
      <c r="DQ647" s="407">
        <v>0</v>
      </c>
      <c r="DR647" s="407">
        <v>-141.4124228476411</v>
      </c>
      <c r="DS647" s="407"/>
      <c r="DT647" s="407"/>
      <c r="DU647" s="407"/>
      <c r="DV647" s="407">
        <v>4277.7586756136034</v>
      </c>
      <c r="DW647" s="407">
        <v>0</v>
      </c>
      <c r="DX647" s="407">
        <v>0</v>
      </c>
      <c r="DY647" s="407">
        <v>-2219.0669999999996</v>
      </c>
      <c r="DZ647" s="407">
        <v>281.43015000000014</v>
      </c>
      <c r="EA647" s="407">
        <v>0</v>
      </c>
      <c r="EB647" s="407">
        <v>0</v>
      </c>
      <c r="EC647" s="407">
        <v>-2185.0890671256361</v>
      </c>
      <c r="ED647" s="407">
        <v>0</v>
      </c>
      <c r="EE647" s="407">
        <v>0</v>
      </c>
      <c r="EF647" s="407">
        <v>0</v>
      </c>
      <c r="EG647" s="407">
        <v>0</v>
      </c>
      <c r="EH647" s="407">
        <v>0</v>
      </c>
      <c r="EI647" s="407">
        <v>0</v>
      </c>
      <c r="EJ647" s="407">
        <v>0</v>
      </c>
      <c r="EK647" s="407">
        <v>0</v>
      </c>
      <c r="EL647" s="407">
        <v>0</v>
      </c>
      <c r="EM647" s="407">
        <v>0</v>
      </c>
      <c r="EN647" s="407">
        <v>0</v>
      </c>
      <c r="EO647" s="407">
        <v>0</v>
      </c>
      <c r="EP647" s="407">
        <v>0</v>
      </c>
      <c r="EQ647" s="407">
        <v>0</v>
      </c>
      <c r="ER647" s="407">
        <v>0</v>
      </c>
      <c r="ES647" s="407">
        <v>0</v>
      </c>
      <c r="ET647" s="407">
        <v>0</v>
      </c>
      <c r="EU647" s="407">
        <v>0</v>
      </c>
      <c r="EV647" s="407">
        <v>246</v>
      </c>
      <c r="EW647" s="407">
        <v>0</v>
      </c>
      <c r="EX647" s="407">
        <v>0</v>
      </c>
      <c r="EY647" s="407">
        <v>0</v>
      </c>
      <c r="EZ647" s="407"/>
      <c r="FA647" s="407">
        <v>0</v>
      </c>
      <c r="FB647" s="407"/>
      <c r="FC647" s="407"/>
      <c r="FD647" s="407"/>
      <c r="FE647" s="407"/>
      <c r="FF647" s="407">
        <v>0</v>
      </c>
      <c r="FG647" s="407">
        <v>0</v>
      </c>
      <c r="FH647" s="407">
        <v>0</v>
      </c>
      <c r="FI647" s="407">
        <v>0</v>
      </c>
    </row>
    <row r="648" spans="1:165">
      <c r="A648" s="407">
        <v>672</v>
      </c>
      <c r="B648" s="407" t="s">
        <v>2309</v>
      </c>
      <c r="C648" s="407" t="s">
        <v>2306</v>
      </c>
      <c r="D648" s="407" t="s">
        <v>1218</v>
      </c>
      <c r="E648" s="407" t="s">
        <v>1021</v>
      </c>
      <c r="F648" s="407" t="s">
        <v>2313</v>
      </c>
      <c r="G648" s="407" t="s">
        <v>97</v>
      </c>
      <c r="H648" s="407" t="s">
        <v>97</v>
      </c>
      <c r="I648" s="407" t="s">
        <v>97</v>
      </c>
      <c r="J648" s="407" t="s">
        <v>2307</v>
      </c>
      <c r="K648" s="818">
        <v>44682</v>
      </c>
      <c r="L648" s="407">
        <v>0</v>
      </c>
      <c r="M648" s="407">
        <v>0</v>
      </c>
      <c r="N648" s="407">
        <v>0</v>
      </c>
      <c r="O648" s="407">
        <v>0</v>
      </c>
      <c r="P648" s="407">
        <v>0</v>
      </c>
      <c r="Q648" s="407">
        <v>0</v>
      </c>
      <c r="R648" s="407"/>
      <c r="S648" s="407"/>
      <c r="T648" s="407"/>
      <c r="U648" s="407"/>
      <c r="V648" s="407"/>
      <c r="W648" s="407"/>
      <c r="X648" s="407"/>
      <c r="Y648" s="407"/>
      <c r="Z648" s="407"/>
      <c r="AA648" s="407">
        <v>0</v>
      </c>
      <c r="AB648" s="407"/>
      <c r="AC648" s="407"/>
      <c r="AD648" s="407"/>
      <c r="AE648" s="407"/>
      <c r="AF648" s="407"/>
      <c r="AG648" s="407"/>
      <c r="AH648" s="407"/>
      <c r="AI648" s="407"/>
      <c r="AJ648" s="407"/>
      <c r="AK648" s="407"/>
      <c r="AL648" s="407"/>
      <c r="AM648" s="407"/>
      <c r="AN648" s="407"/>
      <c r="AO648" s="407"/>
      <c r="AP648" s="407"/>
      <c r="AQ648" s="407"/>
      <c r="AR648" s="407"/>
      <c r="AS648" s="407"/>
      <c r="AT648" s="407"/>
      <c r="AU648" s="407"/>
      <c r="AV648" s="407"/>
      <c r="AW648" s="407"/>
      <c r="AX648" s="407"/>
      <c r="AY648" s="407"/>
      <c r="AZ648" s="407">
        <v>0</v>
      </c>
      <c r="BA648" s="407"/>
      <c r="BB648" s="407"/>
      <c r="BC648" s="407"/>
      <c r="BD648" s="407"/>
      <c r="BE648" s="407"/>
      <c r="BF648" s="407"/>
      <c r="BG648" s="407"/>
      <c r="BH648" s="407"/>
      <c r="BI648" s="407">
        <v>0</v>
      </c>
      <c r="BJ648" s="407">
        <v>0</v>
      </c>
      <c r="BK648" s="407">
        <v>28.46</v>
      </c>
      <c r="BL648" s="407">
        <v>3</v>
      </c>
      <c r="BM648" s="407"/>
      <c r="BN648" s="407"/>
      <c r="BO648" s="407"/>
      <c r="BP648" s="407"/>
      <c r="BQ648" s="407"/>
      <c r="BR648" s="407"/>
      <c r="BS648" s="407"/>
      <c r="BT648" s="407"/>
      <c r="BU648" s="407"/>
      <c r="BV648" s="407"/>
      <c r="BW648" s="407"/>
      <c r="BX648" s="407"/>
      <c r="BY648" s="407"/>
      <c r="BZ648" s="407"/>
      <c r="CA648" s="407"/>
      <c r="CB648" s="407"/>
      <c r="CC648" s="407"/>
      <c r="CD648" s="407"/>
      <c r="CE648" s="407"/>
      <c r="CF648" s="407"/>
      <c r="CG648" s="407"/>
      <c r="CH648" s="407"/>
      <c r="CI648" s="407"/>
      <c r="CJ648" s="407">
        <v>-0.03</v>
      </c>
      <c r="CK648" s="407"/>
      <c r="CL648" s="407"/>
      <c r="CM648" s="407"/>
      <c r="CN648" s="407"/>
      <c r="CO648" s="407">
        <v>0</v>
      </c>
      <c r="CP648" s="407">
        <v>0</v>
      </c>
      <c r="CQ648" s="407">
        <v>31</v>
      </c>
      <c r="CR648" s="407"/>
      <c r="CS648" s="407"/>
      <c r="CT648" s="407"/>
      <c r="CU648" s="407"/>
      <c r="CV648" s="407"/>
      <c r="CW648" s="407"/>
      <c r="CX648" s="407"/>
      <c r="CY648" s="407"/>
      <c r="CZ648" s="407"/>
      <c r="DA648" s="407"/>
      <c r="DB648" s="407"/>
      <c r="DC648" s="407"/>
      <c r="DD648" s="407"/>
      <c r="DE648" s="407"/>
      <c r="DF648" s="407"/>
      <c r="DG648" s="407"/>
      <c r="DH648" s="407"/>
      <c r="DI648" s="407"/>
      <c r="DJ648" s="407"/>
      <c r="DK648" s="407">
        <v>0</v>
      </c>
      <c r="DL648" s="407"/>
      <c r="DM648" s="407"/>
      <c r="DN648" s="407"/>
      <c r="DO648" s="407"/>
      <c r="DP648" s="407"/>
      <c r="DQ648" s="407"/>
      <c r="DR648" s="407"/>
      <c r="DS648" s="407"/>
      <c r="DT648" s="407"/>
      <c r="DU648" s="407"/>
      <c r="DV648" s="407"/>
      <c r="DW648" s="407"/>
      <c r="DX648" s="407"/>
      <c r="DY648" s="407"/>
      <c r="DZ648" s="407"/>
      <c r="EA648" s="407"/>
      <c r="EB648" s="407"/>
      <c r="EC648" s="407"/>
      <c r="ED648" s="407"/>
      <c r="EE648" s="407"/>
      <c r="EF648" s="407"/>
      <c r="EG648" s="407"/>
      <c r="EH648" s="407"/>
      <c r="EI648" s="407"/>
      <c r="EJ648" s="407"/>
      <c r="EK648" s="407"/>
      <c r="EL648" s="407"/>
      <c r="EM648" s="407"/>
      <c r="EN648" s="407"/>
      <c r="EO648" s="407"/>
      <c r="EP648" s="407"/>
      <c r="EQ648" s="407"/>
      <c r="ER648" s="407"/>
      <c r="ES648" s="407"/>
      <c r="ET648" s="407"/>
      <c r="EU648" s="407"/>
      <c r="EV648" s="407">
        <v>246</v>
      </c>
      <c r="EW648" s="407"/>
      <c r="EX648" s="407"/>
      <c r="EY648" s="407"/>
      <c r="EZ648" s="407"/>
      <c r="FA648" s="407">
        <v>0</v>
      </c>
      <c r="FB648" s="407"/>
      <c r="FC648" s="407"/>
      <c r="FD648" s="407"/>
      <c r="FE648" s="407"/>
      <c r="FF648" s="407">
        <v>0</v>
      </c>
      <c r="FG648" s="407">
        <v>0</v>
      </c>
      <c r="FH648" s="407">
        <v>0</v>
      </c>
      <c r="FI648" s="407">
        <v>0</v>
      </c>
    </row>
    <row r="649" spans="1:165">
      <c r="A649" s="407">
        <v>673</v>
      </c>
      <c r="B649" s="407" t="s">
        <v>1090</v>
      </c>
      <c r="C649" s="407" t="s">
        <v>2306</v>
      </c>
      <c r="D649" s="407" t="s">
        <v>1219</v>
      </c>
      <c r="E649" s="407" t="s">
        <v>1022</v>
      </c>
      <c r="F649" s="407" t="s">
        <v>97</v>
      </c>
      <c r="G649" s="407" t="s">
        <v>97</v>
      </c>
      <c r="H649" s="407" t="s">
        <v>97</v>
      </c>
      <c r="I649" s="407" t="s">
        <v>97</v>
      </c>
      <c r="J649" s="407" t="s">
        <v>2307</v>
      </c>
      <c r="K649" s="818">
        <v>44682</v>
      </c>
      <c r="L649" s="407">
        <v>0</v>
      </c>
      <c r="M649" s="407">
        <v>0</v>
      </c>
      <c r="N649" s="407">
        <v>83.715000000000003</v>
      </c>
      <c r="O649" s="407">
        <v>83.715000000000003</v>
      </c>
      <c r="P649" s="407">
        <v>83.715000000000003</v>
      </c>
      <c r="Q649" s="407">
        <v>83.715000000000003</v>
      </c>
      <c r="R649" s="407"/>
      <c r="S649" s="407">
        <v>648.44000000000005</v>
      </c>
      <c r="T649" s="407">
        <v>159.41</v>
      </c>
      <c r="U649" s="407"/>
      <c r="V649" s="407">
        <v>67629.162750000003</v>
      </c>
      <c r="W649" s="407">
        <v>67629.162750000003</v>
      </c>
      <c r="X649" s="407">
        <v>51218.511300000006</v>
      </c>
      <c r="Y649" s="407">
        <v>0</v>
      </c>
      <c r="Z649" s="407">
        <v>5187.8395314910113</v>
      </c>
      <c r="AA649" s="407">
        <v>0</v>
      </c>
      <c r="AB649" s="407">
        <v>0</v>
      </c>
      <c r="AC649" s="407">
        <v>0</v>
      </c>
      <c r="AD649" s="407">
        <v>9764.8881403305477</v>
      </c>
      <c r="AE649" s="407">
        <v>34954.862618740153</v>
      </c>
      <c r="AF649" s="407">
        <v>12911.42444963792</v>
      </c>
      <c r="AG649" s="407">
        <v>433.78997003843813</v>
      </c>
      <c r="AH649" s="407">
        <v>0</v>
      </c>
      <c r="AI649" s="407">
        <v>0</v>
      </c>
      <c r="AJ649" s="407">
        <v>0</v>
      </c>
      <c r="AK649" s="407">
        <v>0</v>
      </c>
      <c r="AL649" s="407">
        <v>801.6594736873775</v>
      </c>
      <c r="AM649" s="407"/>
      <c r="AN649" s="407">
        <v>173.7166315426459</v>
      </c>
      <c r="AO649" s="407">
        <v>0</v>
      </c>
      <c r="AP649" s="407">
        <v>0</v>
      </c>
      <c r="AQ649" s="407">
        <v>0</v>
      </c>
      <c r="AR649" s="407">
        <v>0</v>
      </c>
      <c r="AS649" s="407">
        <v>0</v>
      </c>
      <c r="AT649" s="407">
        <v>0</v>
      </c>
      <c r="AU649" s="407">
        <v>0</v>
      </c>
      <c r="AV649" s="407">
        <v>0</v>
      </c>
      <c r="AW649" s="407">
        <v>0</v>
      </c>
      <c r="AX649" s="407">
        <v>0</v>
      </c>
      <c r="AY649" s="407">
        <v>0</v>
      </c>
      <c r="AZ649" s="407">
        <v>0</v>
      </c>
      <c r="BA649" s="407"/>
      <c r="BB649" s="407">
        <v>0</v>
      </c>
      <c r="BC649" s="407">
        <v>0</v>
      </c>
      <c r="BD649" s="407">
        <v>0</v>
      </c>
      <c r="BE649" s="407">
        <v>0</v>
      </c>
      <c r="BF649" s="407">
        <v>0</v>
      </c>
      <c r="BG649" s="407">
        <v>943.78389803010407</v>
      </c>
      <c r="BH649" s="407">
        <v>0</v>
      </c>
      <c r="BI649" s="407">
        <v>20.32</v>
      </c>
      <c r="BJ649" s="407">
        <v>88.22</v>
      </c>
      <c r="BK649" s="407">
        <v>10630.99</v>
      </c>
      <c r="BL649" s="407">
        <v>85</v>
      </c>
      <c r="BM649" s="407"/>
      <c r="BN649" s="407"/>
      <c r="BO649" s="407"/>
      <c r="BP649" s="407"/>
      <c r="BQ649" s="407"/>
      <c r="BR649" s="407"/>
      <c r="BS649" s="407"/>
      <c r="BT649" s="407"/>
      <c r="BU649" s="407"/>
      <c r="BV649" s="407">
        <v>13855.208347668024</v>
      </c>
      <c r="BW649" s="407"/>
      <c r="BX649" s="407"/>
      <c r="BY649" s="407"/>
      <c r="BZ649" s="407"/>
      <c r="CA649" s="407"/>
      <c r="CB649" s="407"/>
      <c r="CC649" s="407"/>
      <c r="CD649" s="407"/>
      <c r="CE649" s="407"/>
      <c r="CF649" s="407"/>
      <c r="CG649" s="407"/>
      <c r="CH649" s="407"/>
      <c r="CI649" s="407">
        <v>51221.570399999997</v>
      </c>
      <c r="CJ649" s="407">
        <v>-16407.622350000005</v>
      </c>
      <c r="CK649" s="407"/>
      <c r="CL649" s="407"/>
      <c r="CM649" s="407"/>
      <c r="CN649" s="407"/>
      <c r="CO649" s="407">
        <v>-18710.302500000005</v>
      </c>
      <c r="CP649" s="407">
        <v>2299.6510499999999</v>
      </c>
      <c r="CQ649" s="407">
        <v>31</v>
      </c>
      <c r="CR649" s="407">
        <v>1444.4201181808385</v>
      </c>
      <c r="CS649" s="407">
        <v>0</v>
      </c>
      <c r="CT649" s="407">
        <v>0</v>
      </c>
      <c r="CU649" s="407">
        <v>0</v>
      </c>
      <c r="CV649" s="407">
        <v>0</v>
      </c>
      <c r="CW649" s="407">
        <v>0</v>
      </c>
      <c r="CX649" s="407">
        <v>0</v>
      </c>
      <c r="CY649" s="407">
        <v>0</v>
      </c>
      <c r="CZ649" s="407">
        <v>441.09935921692158</v>
      </c>
      <c r="DA649" s="407">
        <v>0</v>
      </c>
      <c r="DB649" s="407">
        <v>0</v>
      </c>
      <c r="DC649" s="407">
        <v>2559.9867973576365</v>
      </c>
      <c r="DD649" s="407">
        <v>0</v>
      </c>
      <c r="DE649" s="407">
        <v>0</v>
      </c>
      <c r="DF649" s="407">
        <v>0</v>
      </c>
      <c r="DG649" s="407">
        <v>187.12686024225297</v>
      </c>
      <c r="DH649" s="407">
        <v>0</v>
      </c>
      <c r="DI649" s="407">
        <v>-363.36651507851093</v>
      </c>
      <c r="DJ649" s="407"/>
      <c r="DK649" s="407">
        <v>0</v>
      </c>
      <c r="DL649" s="407">
        <v>0</v>
      </c>
      <c r="DM649" s="407">
        <v>0</v>
      </c>
      <c r="DN649" s="407">
        <v>0</v>
      </c>
      <c r="DO649" s="407">
        <v>-48.910348306802689</v>
      </c>
      <c r="DP649" s="407">
        <v>-11.068804374691013</v>
      </c>
      <c r="DQ649" s="407">
        <v>0</v>
      </c>
      <c r="DR649" s="407">
        <v>-1320.4472308759632</v>
      </c>
      <c r="DS649" s="407"/>
      <c r="DT649" s="407"/>
      <c r="DU649" s="407"/>
      <c r="DV649" s="407">
        <v>34954.862618740153</v>
      </c>
      <c r="DW649" s="407">
        <v>0</v>
      </c>
      <c r="DX649" s="407">
        <v>0</v>
      </c>
      <c r="DY649" s="407">
        <v>-18710.302500000005</v>
      </c>
      <c r="DZ649" s="407">
        <v>2299.6510500000004</v>
      </c>
      <c r="EA649" s="407">
        <v>0</v>
      </c>
      <c r="EB649" s="407">
        <v>0</v>
      </c>
      <c r="EC649" s="407">
        <v>-17855.025012632766</v>
      </c>
      <c r="ED649" s="407">
        <v>0</v>
      </c>
      <c r="EE649" s="407">
        <v>0</v>
      </c>
      <c r="EF649" s="407">
        <v>0</v>
      </c>
      <c r="EG649" s="407">
        <v>0</v>
      </c>
      <c r="EH649" s="407">
        <v>0</v>
      </c>
      <c r="EI649" s="407">
        <v>0</v>
      </c>
      <c r="EJ649" s="407">
        <v>0</v>
      </c>
      <c r="EK649" s="407">
        <v>0</v>
      </c>
      <c r="EL649" s="407">
        <v>0</v>
      </c>
      <c r="EM649" s="407">
        <v>0</v>
      </c>
      <c r="EN649" s="407">
        <v>0</v>
      </c>
      <c r="EO649" s="407">
        <v>0</v>
      </c>
      <c r="EP649" s="407">
        <v>2457.3868296127916</v>
      </c>
      <c r="EQ649" s="407">
        <v>0</v>
      </c>
      <c r="ER649" s="407">
        <v>0</v>
      </c>
      <c r="ES649" s="407">
        <v>0</v>
      </c>
      <c r="ET649" s="407">
        <v>0</v>
      </c>
      <c r="EU649" s="407">
        <v>0</v>
      </c>
      <c r="EV649" s="407">
        <v>246</v>
      </c>
      <c r="EW649" s="407">
        <v>0</v>
      </c>
      <c r="EX649" s="407">
        <v>0</v>
      </c>
      <c r="EY649" s="407">
        <v>0</v>
      </c>
      <c r="EZ649" s="407"/>
      <c r="FA649" s="407">
        <v>0</v>
      </c>
      <c r="FB649" s="407"/>
      <c r="FC649" s="407"/>
      <c r="FD649" s="407"/>
      <c r="FE649" s="407"/>
      <c r="FF649" s="407">
        <v>0</v>
      </c>
      <c r="FG649" s="407">
        <v>0</v>
      </c>
      <c r="FH649" s="407">
        <v>0</v>
      </c>
      <c r="FI649" s="407">
        <v>0</v>
      </c>
    </row>
    <row r="650" spans="1:165">
      <c r="A650" s="407">
        <v>674</v>
      </c>
      <c r="B650" s="407" t="s">
        <v>2309</v>
      </c>
      <c r="C650" s="407" t="s">
        <v>2306</v>
      </c>
      <c r="D650" s="407" t="s">
        <v>1219</v>
      </c>
      <c r="E650" s="407" t="s">
        <v>1022</v>
      </c>
      <c r="F650" s="407" t="s">
        <v>97</v>
      </c>
      <c r="G650" s="407" t="s">
        <v>97</v>
      </c>
      <c r="H650" s="407" t="s">
        <v>97</v>
      </c>
      <c r="I650" s="407" t="s">
        <v>97</v>
      </c>
      <c r="J650" s="407" t="s">
        <v>2307</v>
      </c>
      <c r="K650" s="818">
        <v>44682</v>
      </c>
      <c r="L650" s="407">
        <v>0</v>
      </c>
      <c r="M650" s="407">
        <v>0</v>
      </c>
      <c r="N650" s="407">
        <v>18.504999999999999</v>
      </c>
      <c r="O650" s="407">
        <v>18.504999999999999</v>
      </c>
      <c r="P650" s="407">
        <v>18.504999999999999</v>
      </c>
      <c r="Q650" s="407">
        <v>18.504999999999999</v>
      </c>
      <c r="R650" s="407"/>
      <c r="S650" s="407">
        <v>648.44000000000005</v>
      </c>
      <c r="T650" s="407">
        <v>159.41</v>
      </c>
      <c r="U650" s="407"/>
      <c r="V650" s="407">
        <v>14949.26425</v>
      </c>
      <c r="W650" s="407">
        <v>14949.26425</v>
      </c>
      <c r="X650" s="407">
        <v>11321.7291</v>
      </c>
      <c r="Y650" s="407">
        <v>0</v>
      </c>
      <c r="Z650" s="407">
        <v>1146.759487908274</v>
      </c>
      <c r="AA650" s="407">
        <v>0</v>
      </c>
      <c r="AB650" s="407">
        <v>0</v>
      </c>
      <c r="AC650" s="407">
        <v>0</v>
      </c>
      <c r="AD650" s="407">
        <v>2158.5051070515055</v>
      </c>
      <c r="AE650" s="407">
        <v>7726.6885595148597</v>
      </c>
      <c r="AF650" s="407">
        <v>2854.0394127760819</v>
      </c>
      <c r="AG650" s="407">
        <v>95.888232641238687</v>
      </c>
      <c r="AH650" s="407">
        <v>0</v>
      </c>
      <c r="AI650" s="407">
        <v>0</v>
      </c>
      <c r="AJ650" s="407">
        <v>0</v>
      </c>
      <c r="AK650" s="407">
        <v>0</v>
      </c>
      <c r="AL650" s="407">
        <v>177.20490426548312</v>
      </c>
      <c r="AM650" s="407"/>
      <c r="AN650" s="407">
        <v>38.399644827052043</v>
      </c>
      <c r="AO650" s="407">
        <v>0</v>
      </c>
      <c r="AP650" s="407">
        <v>0</v>
      </c>
      <c r="AQ650" s="407">
        <v>0</v>
      </c>
      <c r="AR650" s="407">
        <v>0</v>
      </c>
      <c r="AS650" s="407">
        <v>0</v>
      </c>
      <c r="AT650" s="407">
        <v>0</v>
      </c>
      <c r="AU650" s="407">
        <v>0</v>
      </c>
      <c r="AV650" s="407">
        <v>0</v>
      </c>
      <c r="AW650" s="407">
        <v>0</v>
      </c>
      <c r="AX650" s="407">
        <v>0</v>
      </c>
      <c r="AY650" s="407">
        <v>0</v>
      </c>
      <c r="AZ650" s="407">
        <v>0</v>
      </c>
      <c r="BA650" s="407"/>
      <c r="BB650" s="407">
        <v>0</v>
      </c>
      <c r="BC650" s="407">
        <v>0</v>
      </c>
      <c r="BD650" s="407">
        <v>0</v>
      </c>
      <c r="BE650" s="407">
        <v>0</v>
      </c>
      <c r="BF650" s="407">
        <v>0</v>
      </c>
      <c r="BG650" s="407">
        <v>208.62116744964553</v>
      </c>
      <c r="BH650" s="407">
        <v>0</v>
      </c>
      <c r="BI650" s="407">
        <v>4.51</v>
      </c>
      <c r="BJ650" s="407">
        <v>19.489999999999998</v>
      </c>
      <c r="BK650" s="407">
        <v>4901.37</v>
      </c>
      <c r="BL650" s="407">
        <v>21</v>
      </c>
      <c r="BM650" s="407"/>
      <c r="BN650" s="407"/>
      <c r="BO650" s="407"/>
      <c r="BP650" s="407"/>
      <c r="BQ650" s="407"/>
      <c r="BR650" s="407"/>
      <c r="BS650" s="407"/>
      <c r="BT650" s="407"/>
      <c r="BU650" s="407"/>
      <c r="BV650" s="407">
        <v>3062.6605802257272</v>
      </c>
      <c r="BW650" s="407"/>
      <c r="BX650" s="407"/>
      <c r="BY650" s="407"/>
      <c r="BZ650" s="407"/>
      <c r="CA650" s="407"/>
      <c r="CB650" s="407"/>
      <c r="CC650" s="407"/>
      <c r="CD650" s="407"/>
      <c r="CE650" s="407"/>
      <c r="CF650" s="407"/>
      <c r="CG650" s="407"/>
      <c r="CH650" s="407"/>
      <c r="CI650" s="407">
        <v>11324.788200000001</v>
      </c>
      <c r="CJ650" s="407">
        <v>-3624.50605</v>
      </c>
      <c r="CK650" s="407"/>
      <c r="CL650" s="407"/>
      <c r="CM650" s="407"/>
      <c r="CN650" s="407"/>
      <c r="CO650" s="407">
        <v>-4135.8675000000012</v>
      </c>
      <c r="CP650" s="407">
        <v>508.33234999999996</v>
      </c>
      <c r="CQ650" s="407">
        <v>31</v>
      </c>
      <c r="CR650" s="407">
        <v>319.28560337975705</v>
      </c>
      <c r="CS650" s="407">
        <v>0</v>
      </c>
      <c r="CT650" s="407">
        <v>0</v>
      </c>
      <c r="CU650" s="407">
        <v>0</v>
      </c>
      <c r="CV650" s="407">
        <v>0</v>
      </c>
      <c r="CW650" s="407">
        <v>0</v>
      </c>
      <c r="CX650" s="407">
        <v>0</v>
      </c>
      <c r="CY650" s="407">
        <v>0</v>
      </c>
      <c r="CZ650" s="407">
        <v>97.503955591102113</v>
      </c>
      <c r="DA650" s="407">
        <v>0</v>
      </c>
      <c r="DB650" s="407">
        <v>0</v>
      </c>
      <c r="DC650" s="407">
        <v>565.87894266383591</v>
      </c>
      <c r="DD650" s="407">
        <v>0</v>
      </c>
      <c r="DE650" s="407">
        <v>0</v>
      </c>
      <c r="DF650" s="407">
        <v>0</v>
      </c>
      <c r="DG650" s="407">
        <v>41.363943723142711</v>
      </c>
      <c r="DH650" s="407">
        <v>0</v>
      </c>
      <c r="DI650" s="407">
        <v>-80.321296798994808</v>
      </c>
      <c r="DJ650" s="407"/>
      <c r="DK650" s="407">
        <v>0</v>
      </c>
      <c r="DL650" s="407">
        <v>0</v>
      </c>
      <c r="DM650" s="407">
        <v>0</v>
      </c>
      <c r="DN650" s="407">
        <v>0</v>
      </c>
      <c r="DO650" s="407">
        <v>-10.811515205368039</v>
      </c>
      <c r="DP650" s="407">
        <v>-2.446732663843477</v>
      </c>
      <c r="DQ650" s="407">
        <v>0</v>
      </c>
      <c r="DR650" s="407">
        <v>-291.8816939301164</v>
      </c>
      <c r="DS650" s="407"/>
      <c r="DT650" s="407"/>
      <c r="DU650" s="407"/>
      <c r="DV650" s="407">
        <v>7726.6885595148597</v>
      </c>
      <c r="DW650" s="407">
        <v>0</v>
      </c>
      <c r="DX650" s="407">
        <v>0</v>
      </c>
      <c r="DY650" s="407">
        <v>-4135.8675000000003</v>
      </c>
      <c r="DZ650" s="407">
        <v>508.33235000000013</v>
      </c>
      <c r="EA650" s="407">
        <v>0</v>
      </c>
      <c r="EB650" s="407">
        <v>0</v>
      </c>
      <c r="EC650" s="407">
        <v>-3946.810462387497</v>
      </c>
      <c r="ED650" s="407">
        <v>0</v>
      </c>
      <c r="EE650" s="407">
        <v>0</v>
      </c>
      <c r="EF650" s="407">
        <v>0</v>
      </c>
      <c r="EG650" s="407">
        <v>0</v>
      </c>
      <c r="EH650" s="407">
        <v>0</v>
      </c>
      <c r="EI650" s="407">
        <v>0</v>
      </c>
      <c r="EJ650" s="407">
        <v>0</v>
      </c>
      <c r="EK650" s="407">
        <v>0</v>
      </c>
      <c r="EL650" s="407">
        <v>0</v>
      </c>
      <c r="EM650" s="407">
        <v>0</v>
      </c>
      <c r="EN650" s="407">
        <v>0</v>
      </c>
      <c r="EO650" s="407">
        <v>0</v>
      </c>
      <c r="EP650" s="407">
        <v>543.19946583031367</v>
      </c>
      <c r="EQ650" s="407">
        <v>0</v>
      </c>
      <c r="ER650" s="407">
        <v>0</v>
      </c>
      <c r="ES650" s="407">
        <v>0</v>
      </c>
      <c r="ET650" s="407">
        <v>0</v>
      </c>
      <c r="EU650" s="407">
        <v>0</v>
      </c>
      <c r="EV650" s="407">
        <v>246</v>
      </c>
      <c r="EW650" s="407">
        <v>0</v>
      </c>
      <c r="EX650" s="407">
        <v>0</v>
      </c>
      <c r="EY650" s="407">
        <v>0</v>
      </c>
      <c r="EZ650" s="407"/>
      <c r="FA650" s="407">
        <v>0</v>
      </c>
      <c r="FB650" s="407"/>
      <c r="FC650" s="407"/>
      <c r="FD650" s="407"/>
      <c r="FE650" s="407"/>
      <c r="FF650" s="407">
        <v>0</v>
      </c>
      <c r="FG650" s="407">
        <v>0</v>
      </c>
      <c r="FH650" s="407">
        <v>0</v>
      </c>
      <c r="FI650" s="407">
        <v>0</v>
      </c>
    </row>
    <row r="651" spans="1:165">
      <c r="A651" s="407">
        <v>675</v>
      </c>
      <c r="B651" s="407" t="s">
        <v>1090</v>
      </c>
      <c r="C651" s="407" t="s">
        <v>2314</v>
      </c>
      <c r="D651" s="407" t="s">
        <v>650</v>
      </c>
      <c r="E651" s="407" t="s">
        <v>1022</v>
      </c>
      <c r="F651" s="407" t="s">
        <v>97</v>
      </c>
      <c r="G651" s="407" t="s">
        <v>97</v>
      </c>
      <c r="H651" s="407" t="s">
        <v>97</v>
      </c>
      <c r="I651" s="407" t="s">
        <v>1025</v>
      </c>
      <c r="J651" s="407" t="s">
        <v>2307</v>
      </c>
      <c r="K651" s="818">
        <v>44682</v>
      </c>
      <c r="L651" s="407">
        <v>0</v>
      </c>
      <c r="M651" s="407">
        <v>0</v>
      </c>
      <c r="N651" s="407">
        <v>12.613</v>
      </c>
      <c r="O651" s="407">
        <v>12.613</v>
      </c>
      <c r="P651" s="407">
        <v>12.613</v>
      </c>
      <c r="Q651" s="407">
        <v>12.613</v>
      </c>
      <c r="R651" s="407"/>
      <c r="S651" s="407">
        <v>2810.7</v>
      </c>
      <c r="T651" s="407">
        <v>159.41</v>
      </c>
      <c r="U651" s="407"/>
      <c r="V651" s="407">
        <v>37461.997429999996</v>
      </c>
      <c r="W651" s="407">
        <v>37461.997429999996</v>
      </c>
      <c r="X651" s="407">
        <v>23859.885969999996</v>
      </c>
      <c r="Y651" s="407">
        <v>0</v>
      </c>
      <c r="Z651" s="407">
        <v>680.01877094075837</v>
      </c>
      <c r="AA651" s="407">
        <v>0</v>
      </c>
      <c r="AB651" s="407">
        <v>0</v>
      </c>
      <c r="AC651" s="407">
        <v>0</v>
      </c>
      <c r="AD651" s="407">
        <v>7700.433179386233</v>
      </c>
      <c r="AE651" s="407">
        <v>26548.963747298898</v>
      </c>
      <c r="AF651" s="407">
        <v>1945.3120299024436</v>
      </c>
      <c r="AG651" s="407">
        <v>65.357377914290382</v>
      </c>
      <c r="AH651" s="407">
        <v>0</v>
      </c>
      <c r="AI651" s="407">
        <v>0</v>
      </c>
      <c r="AJ651" s="407">
        <v>0</v>
      </c>
      <c r="AK651" s="407">
        <v>0</v>
      </c>
      <c r="AL651" s="407">
        <v>120.7827861389105</v>
      </c>
      <c r="AM651" s="407"/>
      <c r="AN651" s="407">
        <v>13.542999170006755</v>
      </c>
      <c r="AO651" s="407">
        <v>0</v>
      </c>
      <c r="AP651" s="407">
        <v>0</v>
      </c>
      <c r="AQ651" s="407">
        <v>0</v>
      </c>
      <c r="AR651" s="407">
        <v>0</v>
      </c>
      <c r="AS651" s="407">
        <v>0</v>
      </c>
      <c r="AT651" s="407">
        <v>0</v>
      </c>
      <c r="AU651" s="407">
        <v>0</v>
      </c>
      <c r="AV651" s="407">
        <v>0</v>
      </c>
      <c r="AW651" s="407">
        <v>0</v>
      </c>
      <c r="AX651" s="407">
        <v>0</v>
      </c>
      <c r="AY651" s="407">
        <v>0</v>
      </c>
      <c r="AZ651" s="407">
        <v>0</v>
      </c>
      <c r="BA651" s="407"/>
      <c r="BB651" s="407">
        <v>0</v>
      </c>
      <c r="BC651" s="407">
        <v>0</v>
      </c>
      <c r="BD651" s="407">
        <v>0</v>
      </c>
      <c r="BE651" s="407">
        <v>0</v>
      </c>
      <c r="BF651" s="407">
        <v>0</v>
      </c>
      <c r="BG651" s="407">
        <v>65.459885289308076</v>
      </c>
      <c r="BH651" s="407">
        <v>0</v>
      </c>
      <c r="BI651" s="407">
        <v>0</v>
      </c>
      <c r="BJ651" s="407">
        <v>0</v>
      </c>
      <c r="BK651" s="407">
        <v>0</v>
      </c>
      <c r="BL651" s="407">
        <v>0</v>
      </c>
      <c r="BM651" s="407"/>
      <c r="BN651" s="407"/>
      <c r="BO651" s="407"/>
      <c r="BP651" s="407"/>
      <c r="BQ651" s="407"/>
      <c r="BR651" s="407"/>
      <c r="BS651" s="407"/>
      <c r="BT651" s="407"/>
      <c r="BU651" s="407"/>
      <c r="BV651" s="407">
        <v>2010.7719151917515</v>
      </c>
      <c r="BW651" s="407"/>
      <c r="BX651" s="407"/>
      <c r="BY651" s="407"/>
      <c r="BZ651" s="407"/>
      <c r="CA651" s="407"/>
      <c r="CB651" s="407"/>
      <c r="CC651" s="407"/>
      <c r="CD651" s="407"/>
      <c r="CE651" s="407"/>
      <c r="CF651" s="407"/>
      <c r="CG651" s="407"/>
      <c r="CH651" s="407"/>
      <c r="CI651" s="407">
        <v>23854.210899999998</v>
      </c>
      <c r="CJ651" s="407">
        <v>-13607.816530000004</v>
      </c>
      <c r="CK651" s="407"/>
      <c r="CL651" s="407"/>
      <c r="CM651" s="407"/>
      <c r="CN651" s="407"/>
      <c r="CO651" s="407">
        <v>-13948.590569999998</v>
      </c>
      <c r="CP651" s="407">
        <v>346.47910999999999</v>
      </c>
      <c r="CQ651" s="407">
        <v>31</v>
      </c>
      <c r="CR651" s="407">
        <v>-40.772745897191271</v>
      </c>
      <c r="CS651" s="407">
        <v>0</v>
      </c>
      <c r="CT651" s="407">
        <v>0</v>
      </c>
      <c r="CU651" s="407">
        <v>0</v>
      </c>
      <c r="CV651" s="407">
        <v>0</v>
      </c>
      <c r="CW651" s="407">
        <v>0</v>
      </c>
      <c r="CX651" s="407">
        <v>0</v>
      </c>
      <c r="CY651" s="407">
        <v>0</v>
      </c>
      <c r="CZ651" s="407">
        <v>347.84383520904976</v>
      </c>
      <c r="DA651" s="407">
        <v>0</v>
      </c>
      <c r="DB651" s="407">
        <v>0</v>
      </c>
      <c r="DC651" s="407">
        <v>385.70284268138175</v>
      </c>
      <c r="DD651" s="407">
        <v>0</v>
      </c>
      <c r="DE651" s="407">
        <v>0</v>
      </c>
      <c r="DF651" s="407">
        <v>0</v>
      </c>
      <c r="DG651" s="407">
        <v>12.97892751886674</v>
      </c>
      <c r="DH651" s="407">
        <v>0</v>
      </c>
      <c r="DI651" s="407">
        <v>-47.629856221420368</v>
      </c>
      <c r="DJ651" s="407"/>
      <c r="DK651" s="407">
        <v>0</v>
      </c>
      <c r="DL651" s="407">
        <v>0</v>
      </c>
      <c r="DM651" s="407">
        <v>0</v>
      </c>
      <c r="DN651" s="407">
        <v>0</v>
      </c>
      <c r="DO651" s="407">
        <v>-7.369124089992269</v>
      </c>
      <c r="DP651" s="407">
        <v>-0.86292721156406493</v>
      </c>
      <c r="DQ651" s="407">
        <v>0</v>
      </c>
      <c r="DR651" s="407">
        <v>-731.43644378351416</v>
      </c>
      <c r="DS651" s="407"/>
      <c r="DT651" s="407"/>
      <c r="DU651" s="407"/>
      <c r="DV651" s="407">
        <v>26548.963747298898</v>
      </c>
      <c r="DW651" s="407">
        <v>0</v>
      </c>
      <c r="DX651" s="407">
        <v>0</v>
      </c>
      <c r="DY651" s="407">
        <v>-13948.590569999997</v>
      </c>
      <c r="DZ651" s="407">
        <v>346.47910999999999</v>
      </c>
      <c r="EA651" s="407">
        <v>0</v>
      </c>
      <c r="EB651" s="407">
        <v>0</v>
      </c>
      <c r="EC651" s="407">
        <v>-13561.272345363459</v>
      </c>
      <c r="ED651" s="407">
        <v>0</v>
      </c>
      <c r="EE651" s="407">
        <v>0</v>
      </c>
      <c r="EF651" s="407">
        <v>0</v>
      </c>
      <c r="EG651" s="407">
        <v>0</v>
      </c>
      <c r="EH651" s="407">
        <v>0</v>
      </c>
      <c r="EI651" s="407">
        <v>0</v>
      </c>
      <c r="EJ651" s="407">
        <v>0</v>
      </c>
      <c r="EK651" s="407">
        <v>0</v>
      </c>
      <c r="EL651" s="407">
        <v>0</v>
      </c>
      <c r="EM651" s="407">
        <v>0</v>
      </c>
      <c r="EN651" s="407">
        <v>0</v>
      </c>
      <c r="EO651" s="407">
        <v>0</v>
      </c>
      <c r="EP651" s="407">
        <v>322.11273333641913</v>
      </c>
      <c r="EQ651" s="407">
        <v>0</v>
      </c>
      <c r="ER651" s="407">
        <v>0</v>
      </c>
      <c r="ES651" s="407">
        <v>0</v>
      </c>
      <c r="ET651" s="407">
        <v>0</v>
      </c>
      <c r="EU651" s="407">
        <v>0</v>
      </c>
      <c r="EV651" s="407">
        <v>246</v>
      </c>
      <c r="EW651" s="407">
        <v>0</v>
      </c>
      <c r="EX651" s="407">
        <v>0</v>
      </c>
      <c r="EY651" s="407">
        <v>0</v>
      </c>
      <c r="EZ651" s="407"/>
      <c r="FA651" s="407">
        <v>0</v>
      </c>
      <c r="FB651" s="407"/>
      <c r="FC651" s="407"/>
      <c r="FD651" s="407"/>
      <c r="FE651" s="407"/>
      <c r="FF651" s="407">
        <v>0</v>
      </c>
      <c r="FG651" s="407">
        <v>0</v>
      </c>
      <c r="FH651" s="407">
        <v>0</v>
      </c>
      <c r="FI651" s="407">
        <v>0</v>
      </c>
    </row>
    <row r="652" spans="1:165">
      <c r="A652" s="407">
        <v>676</v>
      </c>
      <c r="B652" s="407" t="s">
        <v>1090</v>
      </c>
      <c r="C652" s="407" t="s">
        <v>2314</v>
      </c>
      <c r="D652" s="407" t="s">
        <v>650</v>
      </c>
      <c r="E652" s="407" t="s">
        <v>1022</v>
      </c>
      <c r="F652" s="407" t="s">
        <v>97</v>
      </c>
      <c r="G652" s="407" t="s">
        <v>97</v>
      </c>
      <c r="H652" s="407" t="s">
        <v>97</v>
      </c>
      <c r="I652" s="407" t="s">
        <v>2290</v>
      </c>
      <c r="J652" s="407" t="s">
        <v>2307</v>
      </c>
      <c r="K652" s="818">
        <v>44682</v>
      </c>
      <c r="L652" s="407">
        <v>0</v>
      </c>
      <c r="M652" s="407">
        <v>0</v>
      </c>
      <c r="N652" s="407">
        <v>489.50599999999997</v>
      </c>
      <c r="O652" s="407">
        <v>489.50599999999997</v>
      </c>
      <c r="P652" s="407">
        <v>489.50599999999997</v>
      </c>
      <c r="Q652" s="407">
        <v>489.50599999999997</v>
      </c>
      <c r="R652" s="407"/>
      <c r="S652" s="407">
        <v>95.29</v>
      </c>
      <c r="T652" s="407">
        <v>159.41</v>
      </c>
      <c r="U652" s="407"/>
      <c r="V652" s="407">
        <v>124677.17819999999</v>
      </c>
      <c r="W652" s="407">
        <v>124677.17819999999</v>
      </c>
      <c r="X652" s="407">
        <v>135549.10645999998</v>
      </c>
      <c r="Y652" s="407">
        <v>0</v>
      </c>
      <c r="Z652" s="407">
        <v>26391.284269256077</v>
      </c>
      <c r="AA652" s="407">
        <v>0</v>
      </c>
      <c r="AB652" s="407">
        <v>0</v>
      </c>
      <c r="AC652" s="407">
        <v>0</v>
      </c>
      <c r="AD652" s="407">
        <v>0</v>
      </c>
      <c r="AE652" s="407">
        <v>0</v>
      </c>
      <c r="AF652" s="407">
        <v>75496.861215367127</v>
      </c>
      <c r="AG652" s="407">
        <v>2536.4963635386212</v>
      </c>
      <c r="AH652" s="407">
        <v>0</v>
      </c>
      <c r="AI652" s="407">
        <v>0</v>
      </c>
      <c r="AJ652" s="407">
        <v>0</v>
      </c>
      <c r="AK652" s="407">
        <v>0</v>
      </c>
      <c r="AL652" s="407">
        <v>4687.5365505203772</v>
      </c>
      <c r="AM652" s="407"/>
      <c r="AN652" s="407">
        <v>525.59893377573349</v>
      </c>
      <c r="AO652" s="407">
        <v>0</v>
      </c>
      <c r="AP652" s="407">
        <v>0</v>
      </c>
      <c r="AQ652" s="407">
        <v>0</v>
      </c>
      <c r="AR652" s="407">
        <v>0</v>
      </c>
      <c r="AS652" s="407">
        <v>0</v>
      </c>
      <c r="AT652" s="407">
        <v>0</v>
      </c>
      <c r="AU652" s="407">
        <v>0</v>
      </c>
      <c r="AV652" s="407">
        <v>0</v>
      </c>
      <c r="AW652" s="407">
        <v>0</v>
      </c>
      <c r="AX652" s="407">
        <v>0</v>
      </c>
      <c r="AY652" s="407">
        <v>0</v>
      </c>
      <c r="AZ652" s="407">
        <v>0</v>
      </c>
      <c r="BA652" s="407"/>
      <c r="BB652" s="407">
        <v>0</v>
      </c>
      <c r="BC652" s="407">
        <v>0</v>
      </c>
      <c r="BD652" s="407">
        <v>0</v>
      </c>
      <c r="BE652" s="407">
        <v>0</v>
      </c>
      <c r="BF652" s="407">
        <v>0</v>
      </c>
      <c r="BG652" s="407">
        <v>2540.4746379472003</v>
      </c>
      <c r="BH652" s="407">
        <v>0</v>
      </c>
      <c r="BI652" s="407">
        <v>0</v>
      </c>
      <c r="BJ652" s="407">
        <v>0</v>
      </c>
      <c r="BK652" s="407">
        <v>0</v>
      </c>
      <c r="BL652" s="407">
        <v>0</v>
      </c>
      <c r="BM652" s="407"/>
      <c r="BN652" s="407"/>
      <c r="BO652" s="407"/>
      <c r="BP652" s="407"/>
      <c r="BQ652" s="407"/>
      <c r="BR652" s="407"/>
      <c r="BS652" s="407"/>
      <c r="BT652" s="407"/>
      <c r="BU652" s="407"/>
      <c r="BV652" s="407">
        <v>78037.335853314333</v>
      </c>
      <c r="BW652" s="407"/>
      <c r="BX652" s="407"/>
      <c r="BY652" s="407"/>
      <c r="BZ652" s="407"/>
      <c r="CA652" s="407"/>
      <c r="CB652" s="407"/>
      <c r="CC652" s="407"/>
      <c r="CD652" s="407"/>
      <c r="CE652" s="407"/>
      <c r="CF652" s="407"/>
      <c r="CG652" s="407"/>
      <c r="CH652" s="407"/>
      <c r="CI652" s="407">
        <v>135550.21409999998</v>
      </c>
      <c r="CJ652" s="407">
        <v>10873.005899999989</v>
      </c>
      <c r="CK652" s="407"/>
      <c r="CL652" s="407"/>
      <c r="CM652" s="407"/>
      <c r="CN652" s="407"/>
      <c r="CO652" s="407">
        <v>-2574.8015600000022</v>
      </c>
      <c r="CP652" s="407">
        <v>13446.729819999999</v>
      </c>
      <c r="CQ652" s="407">
        <v>31</v>
      </c>
      <c r="CR652" s="407">
        <v>10870.381034126258</v>
      </c>
      <c r="CS652" s="407">
        <v>0</v>
      </c>
      <c r="CT652" s="407">
        <v>0</v>
      </c>
      <c r="CU652" s="407">
        <v>0</v>
      </c>
      <c r="CV652" s="407">
        <v>0</v>
      </c>
      <c r="CW652" s="407">
        <v>0</v>
      </c>
      <c r="CX652" s="407">
        <v>0</v>
      </c>
      <c r="CY652" s="407">
        <v>0</v>
      </c>
      <c r="CZ652" s="407">
        <v>0</v>
      </c>
      <c r="DA652" s="407">
        <v>0</v>
      </c>
      <c r="DB652" s="407">
        <v>0</v>
      </c>
      <c r="DC652" s="407">
        <v>14968.98879803317</v>
      </c>
      <c r="DD652" s="407">
        <v>0</v>
      </c>
      <c r="DE652" s="407">
        <v>0</v>
      </c>
      <c r="DF652" s="407">
        <v>0</v>
      </c>
      <c r="DG652" s="407">
        <v>503.70751558315897</v>
      </c>
      <c r="DH652" s="407">
        <v>0</v>
      </c>
      <c r="DI652" s="407">
        <v>-1848.4976135354482</v>
      </c>
      <c r="DJ652" s="407"/>
      <c r="DK652" s="407">
        <v>0</v>
      </c>
      <c r="DL652" s="407">
        <v>0</v>
      </c>
      <c r="DM652" s="407">
        <v>0</v>
      </c>
      <c r="DN652" s="407">
        <v>0</v>
      </c>
      <c r="DO652" s="407">
        <v>-285.99305928769991</v>
      </c>
      <c r="DP652" s="407">
        <v>-33.489895157684884</v>
      </c>
      <c r="DQ652" s="407">
        <v>0</v>
      </c>
      <c r="DR652" s="407">
        <v>-2434.3347115092033</v>
      </c>
      <c r="DS652" s="407"/>
      <c r="DT652" s="407"/>
      <c r="DU652" s="407"/>
      <c r="DV652" s="407">
        <v>0</v>
      </c>
      <c r="DW652" s="407">
        <v>0</v>
      </c>
      <c r="DX652" s="407">
        <v>0</v>
      </c>
      <c r="DY652" s="407">
        <v>-2574.8015599999999</v>
      </c>
      <c r="DZ652" s="407">
        <v>13446.729819999993</v>
      </c>
      <c r="EA652" s="407">
        <v>0</v>
      </c>
      <c r="EB652" s="407">
        <v>0</v>
      </c>
      <c r="EC652" s="407">
        <v>0</v>
      </c>
      <c r="ED652" s="407">
        <v>0</v>
      </c>
      <c r="EE652" s="407">
        <v>0</v>
      </c>
      <c r="EF652" s="407">
        <v>0</v>
      </c>
      <c r="EG652" s="407">
        <v>0</v>
      </c>
      <c r="EH652" s="407">
        <v>0</v>
      </c>
      <c r="EI652" s="407">
        <v>0</v>
      </c>
      <c r="EJ652" s="407">
        <v>0</v>
      </c>
      <c r="EK652" s="407">
        <v>0</v>
      </c>
      <c r="EL652" s="407">
        <v>0</v>
      </c>
      <c r="EM652" s="407">
        <v>0</v>
      </c>
      <c r="EN652" s="407">
        <v>0</v>
      </c>
      <c r="EO652" s="407">
        <v>0</v>
      </c>
      <c r="EP652" s="407">
        <v>12501.079492949908</v>
      </c>
      <c r="EQ652" s="407">
        <v>0</v>
      </c>
      <c r="ER652" s="407">
        <v>0</v>
      </c>
      <c r="ES652" s="407">
        <v>0</v>
      </c>
      <c r="ET652" s="407">
        <v>0</v>
      </c>
      <c r="EU652" s="407">
        <v>0</v>
      </c>
      <c r="EV652" s="407">
        <v>246</v>
      </c>
      <c r="EW652" s="407">
        <v>0</v>
      </c>
      <c r="EX652" s="407">
        <v>0</v>
      </c>
      <c r="EY652" s="407">
        <v>0</v>
      </c>
      <c r="EZ652" s="407"/>
      <c r="FA652" s="407">
        <v>0</v>
      </c>
      <c r="FB652" s="407"/>
      <c r="FC652" s="407"/>
      <c r="FD652" s="407"/>
      <c r="FE652" s="407"/>
      <c r="FF652" s="407">
        <v>0</v>
      </c>
      <c r="FG652" s="407">
        <v>0</v>
      </c>
      <c r="FH652" s="407">
        <v>0</v>
      </c>
      <c r="FI652" s="407">
        <v>0</v>
      </c>
    </row>
    <row r="653" spans="1:165">
      <c r="A653" s="407">
        <v>677</v>
      </c>
      <c r="B653" s="407" t="s">
        <v>1090</v>
      </c>
      <c r="C653" s="407" t="s">
        <v>2314</v>
      </c>
      <c r="D653" s="407" t="s">
        <v>650</v>
      </c>
      <c r="E653" s="407" t="s">
        <v>1022</v>
      </c>
      <c r="F653" s="407" t="s">
        <v>97</v>
      </c>
      <c r="G653" s="407" t="s">
        <v>97</v>
      </c>
      <c r="H653" s="407" t="s">
        <v>97</v>
      </c>
      <c r="I653" s="407" t="s">
        <v>97</v>
      </c>
      <c r="J653" s="407" t="s">
        <v>2307</v>
      </c>
      <c r="K653" s="818">
        <v>44682</v>
      </c>
      <c r="L653" s="407">
        <v>2130</v>
      </c>
      <c r="M653" s="407">
        <v>2130</v>
      </c>
      <c r="N653" s="407">
        <v>0</v>
      </c>
      <c r="O653" s="407">
        <v>0</v>
      </c>
      <c r="P653" s="407">
        <v>0</v>
      </c>
      <c r="Q653" s="407">
        <v>0</v>
      </c>
      <c r="R653" s="407">
        <v>43.29</v>
      </c>
      <c r="S653" s="407"/>
      <c r="T653" s="407"/>
      <c r="U653" s="407">
        <v>92207.7</v>
      </c>
      <c r="V653" s="407"/>
      <c r="W653" s="407">
        <v>92207.7</v>
      </c>
      <c r="X653" s="407">
        <v>71333.7</v>
      </c>
      <c r="Y653" s="407">
        <v>0</v>
      </c>
      <c r="Z653" s="407">
        <v>0</v>
      </c>
      <c r="AA653" s="407">
        <v>0</v>
      </c>
      <c r="AB653" s="407">
        <v>0</v>
      </c>
      <c r="AC653" s="407">
        <v>0</v>
      </c>
      <c r="AD653" s="407">
        <v>50404.292647472939</v>
      </c>
      <c r="AE653" s="407">
        <v>41810.168532311509</v>
      </c>
      <c r="AF653" s="407"/>
      <c r="AG653" s="407"/>
      <c r="AH653" s="407"/>
      <c r="AI653" s="407">
        <v>0</v>
      </c>
      <c r="AJ653" s="407">
        <v>0</v>
      </c>
      <c r="AK653" s="407">
        <v>0</v>
      </c>
      <c r="AL653" s="407">
        <v>0</v>
      </c>
      <c r="AM653" s="407"/>
      <c r="AN653" s="407">
        <v>0</v>
      </c>
      <c r="AO653" s="407">
        <v>0</v>
      </c>
      <c r="AP653" s="407">
        <v>0</v>
      </c>
      <c r="AQ653" s="407">
        <v>0</v>
      </c>
      <c r="AR653" s="407">
        <v>0</v>
      </c>
      <c r="AS653" s="407"/>
      <c r="AT653" s="407"/>
      <c r="AU653" s="407">
        <v>0</v>
      </c>
      <c r="AV653" s="407">
        <v>0</v>
      </c>
      <c r="AW653" s="407">
        <v>0</v>
      </c>
      <c r="AX653" s="407"/>
      <c r="AY653" s="407"/>
      <c r="AZ653" s="407">
        <v>0</v>
      </c>
      <c r="BA653" s="407"/>
      <c r="BB653" s="407">
        <v>0</v>
      </c>
      <c r="BC653" s="407">
        <v>0</v>
      </c>
      <c r="BD653" s="407">
        <v>0</v>
      </c>
      <c r="BE653" s="407">
        <v>0</v>
      </c>
      <c r="BF653" s="407"/>
      <c r="BG653" s="407">
        <v>0</v>
      </c>
      <c r="BH653" s="407">
        <v>0</v>
      </c>
      <c r="BI653" s="407">
        <v>93.09</v>
      </c>
      <c r="BJ653" s="407">
        <v>395.83</v>
      </c>
      <c r="BK653" s="407">
        <v>46672.52</v>
      </c>
      <c r="BL653" s="407">
        <v>13</v>
      </c>
      <c r="BM653" s="407"/>
      <c r="BN653" s="407"/>
      <c r="BO653" s="407"/>
      <c r="BP653" s="407"/>
      <c r="BQ653" s="407"/>
      <c r="BR653" s="407"/>
      <c r="BS653" s="407"/>
      <c r="BT653" s="407"/>
      <c r="BU653" s="407"/>
      <c r="BV653" s="407">
        <v>0</v>
      </c>
      <c r="BW653" s="407"/>
      <c r="BX653" s="407"/>
      <c r="BY653" s="407"/>
      <c r="BZ653" s="407"/>
      <c r="CA653" s="407"/>
      <c r="CB653" s="407"/>
      <c r="CC653" s="407"/>
      <c r="CD653" s="407"/>
      <c r="CE653" s="407"/>
      <c r="CF653" s="407"/>
      <c r="CG653" s="407"/>
      <c r="CH653" s="407"/>
      <c r="CI653" s="407">
        <v>71333.7</v>
      </c>
      <c r="CJ653" s="407">
        <v>-20874.029999999984</v>
      </c>
      <c r="CK653" s="407"/>
      <c r="CL653" s="407"/>
      <c r="CM653" s="407"/>
      <c r="CN653" s="407"/>
      <c r="CO653" s="407">
        <v>-20873.999999999993</v>
      </c>
      <c r="CP653" s="407">
        <v>0</v>
      </c>
      <c r="CQ653" s="407">
        <v>31</v>
      </c>
      <c r="CR653" s="407">
        <v>476.39610930722847</v>
      </c>
      <c r="CS653" s="407">
        <v>0</v>
      </c>
      <c r="CT653" s="407">
        <v>0</v>
      </c>
      <c r="CU653" s="407">
        <v>0</v>
      </c>
      <c r="CV653" s="407">
        <v>0</v>
      </c>
      <c r="CW653" s="407"/>
      <c r="CX653" s="407"/>
      <c r="CY653" s="407"/>
      <c r="CZ653" s="407">
        <v>2276.861841023514</v>
      </c>
      <c r="DA653" s="407">
        <v>0</v>
      </c>
      <c r="DB653" s="407">
        <v>0</v>
      </c>
      <c r="DC653" s="407"/>
      <c r="DD653" s="407"/>
      <c r="DE653" s="407">
        <v>0</v>
      </c>
      <c r="DF653" s="407">
        <v>0</v>
      </c>
      <c r="DG653" s="407">
        <v>0</v>
      </c>
      <c r="DH653" s="407">
        <v>0</v>
      </c>
      <c r="DI653" s="407">
        <v>0</v>
      </c>
      <c r="DJ653" s="407"/>
      <c r="DK653" s="407">
        <v>0</v>
      </c>
      <c r="DL653" s="407">
        <v>0</v>
      </c>
      <c r="DM653" s="407"/>
      <c r="DN653" s="407">
        <v>0</v>
      </c>
      <c r="DO653" s="407">
        <v>0</v>
      </c>
      <c r="DP653" s="407">
        <v>0</v>
      </c>
      <c r="DQ653" s="407">
        <v>0</v>
      </c>
      <c r="DR653" s="407">
        <v>-1800.4657317162839</v>
      </c>
      <c r="DS653" s="407"/>
      <c r="DT653" s="407"/>
      <c r="DU653" s="407">
        <v>41810.168532311509</v>
      </c>
      <c r="DV653" s="407"/>
      <c r="DW653" s="407">
        <v>0</v>
      </c>
      <c r="DX653" s="407">
        <v>0</v>
      </c>
      <c r="DY653" s="407">
        <v>-20874</v>
      </c>
      <c r="DZ653" s="407"/>
      <c r="EA653" s="407">
        <v>0</v>
      </c>
      <c r="EB653" s="407"/>
      <c r="EC653" s="407">
        <v>-21356.731195578668</v>
      </c>
      <c r="ED653" s="407"/>
      <c r="EE653" s="407">
        <v>0</v>
      </c>
      <c r="EF653" s="407">
        <v>0</v>
      </c>
      <c r="EG653" s="407"/>
      <c r="EH653" s="407">
        <v>0</v>
      </c>
      <c r="EI653" s="407">
        <v>0</v>
      </c>
      <c r="EJ653" s="407">
        <v>0</v>
      </c>
      <c r="EK653" s="407">
        <v>0</v>
      </c>
      <c r="EL653" s="407">
        <v>0</v>
      </c>
      <c r="EM653" s="407"/>
      <c r="EN653" s="407"/>
      <c r="EO653" s="407">
        <v>0</v>
      </c>
      <c r="EP653" s="407">
        <v>0</v>
      </c>
      <c r="EQ653" s="407"/>
      <c r="ER653" s="407">
        <v>0</v>
      </c>
      <c r="ES653" s="407"/>
      <c r="ET653" s="407">
        <v>0</v>
      </c>
      <c r="EU653" s="407"/>
      <c r="EV653" s="407">
        <v>246</v>
      </c>
      <c r="EW653" s="407"/>
      <c r="EX653" s="407"/>
      <c r="EY653" s="407"/>
      <c r="EZ653" s="407"/>
      <c r="FA653" s="407">
        <v>0</v>
      </c>
      <c r="FB653" s="407"/>
      <c r="FC653" s="407"/>
      <c r="FD653" s="407"/>
      <c r="FE653" s="407"/>
      <c r="FF653" s="407">
        <v>0</v>
      </c>
      <c r="FG653" s="407">
        <v>0</v>
      </c>
      <c r="FH653" s="407">
        <v>0</v>
      </c>
      <c r="FI653" s="407">
        <v>0</v>
      </c>
    </row>
    <row r="654" spans="1:165">
      <c r="A654" s="407">
        <v>678</v>
      </c>
      <c r="B654" s="407" t="s">
        <v>1090</v>
      </c>
      <c r="C654" s="407" t="s">
        <v>2306</v>
      </c>
      <c r="D654" s="407" t="s">
        <v>1219</v>
      </c>
      <c r="E654" s="407" t="s">
        <v>1049</v>
      </c>
      <c r="F654" s="407" t="s">
        <v>97</v>
      </c>
      <c r="G654" s="407" t="s">
        <v>97</v>
      </c>
      <c r="H654" s="407" t="s">
        <v>97</v>
      </c>
      <c r="I654" s="407" t="s">
        <v>97</v>
      </c>
      <c r="J654" s="407" t="s">
        <v>2307</v>
      </c>
      <c r="K654" s="818">
        <v>44682</v>
      </c>
      <c r="L654" s="407">
        <v>0</v>
      </c>
      <c r="M654" s="407">
        <v>0</v>
      </c>
      <c r="N654" s="407">
        <v>594.18799999999999</v>
      </c>
      <c r="O654" s="407">
        <v>594.18799999999999</v>
      </c>
      <c r="P654" s="407">
        <v>594.18799999999999</v>
      </c>
      <c r="Q654" s="407">
        <v>594.18799999999999</v>
      </c>
      <c r="R654" s="407"/>
      <c r="S654" s="407">
        <v>648.44000000000005</v>
      </c>
      <c r="T654" s="407">
        <v>159.41</v>
      </c>
      <c r="U654" s="407"/>
      <c r="V654" s="407">
        <v>480014.7758</v>
      </c>
      <c r="W654" s="407">
        <v>480014.7758</v>
      </c>
      <c r="X654" s="407">
        <v>363536.10216000001</v>
      </c>
      <c r="Y654" s="407">
        <v>0</v>
      </c>
      <c r="Z654" s="407">
        <v>36821.979281342421</v>
      </c>
      <c r="AA654" s="407">
        <v>0</v>
      </c>
      <c r="AB654" s="407">
        <v>0</v>
      </c>
      <c r="AC654" s="407">
        <v>0</v>
      </c>
      <c r="AD654" s="407">
        <v>69308.718322005938</v>
      </c>
      <c r="AE654" s="407">
        <v>248100.8171737917</v>
      </c>
      <c r="AF654" s="407">
        <v>91642.041102328803</v>
      </c>
      <c r="AG654" s="407">
        <v>3078.9320279185267</v>
      </c>
      <c r="AH654" s="407">
        <v>0</v>
      </c>
      <c r="AI654" s="407">
        <v>0</v>
      </c>
      <c r="AJ654" s="407">
        <v>0</v>
      </c>
      <c r="AK654" s="407">
        <v>0</v>
      </c>
      <c r="AL654" s="407">
        <v>5689.9771767467646</v>
      </c>
      <c r="AM654" s="407"/>
      <c r="AN654" s="407">
        <v>1232.9969284245556</v>
      </c>
      <c r="AO654" s="407">
        <v>0</v>
      </c>
      <c r="AP654" s="407">
        <v>0</v>
      </c>
      <c r="AQ654" s="407">
        <v>0</v>
      </c>
      <c r="AR654" s="407">
        <v>0</v>
      </c>
      <c r="AS654" s="407">
        <v>0</v>
      </c>
      <c r="AT654" s="407">
        <v>0</v>
      </c>
      <c r="AU654" s="407">
        <v>0</v>
      </c>
      <c r="AV654" s="407">
        <v>0</v>
      </c>
      <c r="AW654" s="407">
        <v>0</v>
      </c>
      <c r="AX654" s="407">
        <v>0</v>
      </c>
      <c r="AY654" s="407">
        <v>0</v>
      </c>
      <c r="AZ654" s="407">
        <v>0</v>
      </c>
      <c r="BA654" s="407"/>
      <c r="BB654" s="407">
        <v>0</v>
      </c>
      <c r="BC654" s="407">
        <v>0</v>
      </c>
      <c r="BD654" s="407">
        <v>0</v>
      </c>
      <c r="BE654" s="407">
        <v>0</v>
      </c>
      <c r="BF654" s="407">
        <v>0</v>
      </c>
      <c r="BG654" s="407">
        <v>6698.7405698227494</v>
      </c>
      <c r="BH654" s="407">
        <v>0</v>
      </c>
      <c r="BI654" s="407">
        <v>140.43</v>
      </c>
      <c r="BJ654" s="407">
        <v>634.14</v>
      </c>
      <c r="BK654" s="407">
        <v>124232.58</v>
      </c>
      <c r="BL654" s="407">
        <v>1511</v>
      </c>
      <c r="BM654" s="407"/>
      <c r="BN654" s="407"/>
      <c r="BO654" s="407"/>
      <c r="BP654" s="407"/>
      <c r="BQ654" s="407"/>
      <c r="BR654" s="407"/>
      <c r="BS654" s="407"/>
      <c r="BT654" s="407"/>
      <c r="BU654" s="407"/>
      <c r="BV654" s="407">
        <v>98340.781672151556</v>
      </c>
      <c r="BW654" s="407"/>
      <c r="BX654" s="407"/>
      <c r="BY654" s="407"/>
      <c r="BZ654" s="407"/>
      <c r="CA654" s="407"/>
      <c r="CB654" s="407"/>
      <c r="CC654" s="407"/>
      <c r="CD654" s="407"/>
      <c r="CE654" s="407"/>
      <c r="CF654" s="407"/>
      <c r="CG654" s="407"/>
      <c r="CH654" s="407"/>
      <c r="CI654" s="407">
        <v>363537.32580000005</v>
      </c>
      <c r="CJ654" s="407">
        <v>-116477.47999999998</v>
      </c>
      <c r="CK654" s="407"/>
      <c r="CL654" s="407"/>
      <c r="CM654" s="407"/>
      <c r="CN654" s="407"/>
      <c r="CO654" s="407">
        <v>-132801.01800000004</v>
      </c>
      <c r="CP654" s="407">
        <v>16322.344359999999</v>
      </c>
      <c r="CQ654" s="407">
        <v>31</v>
      </c>
      <c r="CR654" s="407">
        <v>10252.130456688057</v>
      </c>
      <c r="CS654" s="407">
        <v>0</v>
      </c>
      <c r="CT654" s="407">
        <v>0</v>
      </c>
      <c r="CU654" s="407">
        <v>0</v>
      </c>
      <c r="CV654" s="407">
        <v>0</v>
      </c>
      <c r="CW654" s="407">
        <v>0</v>
      </c>
      <c r="CX654" s="407">
        <v>0</v>
      </c>
      <c r="CY654" s="407">
        <v>0</v>
      </c>
      <c r="CZ654" s="407">
        <v>3130.8122326271696</v>
      </c>
      <c r="DA654" s="407">
        <v>0</v>
      </c>
      <c r="DB654" s="407">
        <v>0</v>
      </c>
      <c r="DC654" s="407">
        <v>18170.141971550373</v>
      </c>
      <c r="DD654" s="407">
        <v>0</v>
      </c>
      <c r="DE654" s="407">
        <v>0</v>
      </c>
      <c r="DF654" s="407">
        <v>0</v>
      </c>
      <c r="DG654" s="407">
        <v>1328.179356550485</v>
      </c>
      <c r="DH654" s="407">
        <v>0</v>
      </c>
      <c r="DI654" s="407">
        <v>-2579.0840693002465</v>
      </c>
      <c r="DJ654" s="407"/>
      <c r="DK654" s="407">
        <v>0</v>
      </c>
      <c r="DL654" s="407">
        <v>0</v>
      </c>
      <c r="DM654" s="407">
        <v>0</v>
      </c>
      <c r="DN654" s="407">
        <v>0</v>
      </c>
      <c r="DO654" s="407">
        <v>-347.15334216953306</v>
      </c>
      <c r="DP654" s="407">
        <v>-78.563587574376015</v>
      </c>
      <c r="DQ654" s="407">
        <v>0</v>
      </c>
      <c r="DR654" s="407">
        <v>-9372.2021049958403</v>
      </c>
      <c r="DS654" s="407"/>
      <c r="DT654" s="407"/>
      <c r="DU654" s="407"/>
      <c r="DV654" s="407">
        <v>248100.8171737917</v>
      </c>
      <c r="DW654" s="407">
        <v>0</v>
      </c>
      <c r="DX654" s="407">
        <v>0</v>
      </c>
      <c r="DY654" s="407">
        <v>-132801.01800000001</v>
      </c>
      <c r="DZ654" s="407">
        <v>16322.344360000003</v>
      </c>
      <c r="EA654" s="407">
        <v>0</v>
      </c>
      <c r="EB654" s="407">
        <v>0</v>
      </c>
      <c r="EC654" s="407">
        <v>-126730.4736571252</v>
      </c>
      <c r="ED654" s="407">
        <v>0</v>
      </c>
      <c r="EE654" s="407">
        <v>0</v>
      </c>
      <c r="EF654" s="407">
        <v>0</v>
      </c>
      <c r="EG654" s="407">
        <v>0</v>
      </c>
      <c r="EH654" s="407">
        <v>0</v>
      </c>
      <c r="EI654" s="407">
        <v>0</v>
      </c>
      <c r="EJ654" s="407">
        <v>0</v>
      </c>
      <c r="EK654" s="407">
        <v>0</v>
      </c>
      <c r="EL654" s="407">
        <v>0</v>
      </c>
      <c r="EM654" s="407">
        <v>0</v>
      </c>
      <c r="EN654" s="407">
        <v>0</v>
      </c>
      <c r="EO654" s="407">
        <v>0</v>
      </c>
      <c r="EP654" s="407">
        <v>17441.913223603482</v>
      </c>
      <c r="EQ654" s="407">
        <v>0</v>
      </c>
      <c r="ER654" s="407">
        <v>0</v>
      </c>
      <c r="ES654" s="407">
        <v>0</v>
      </c>
      <c r="ET654" s="407">
        <v>0</v>
      </c>
      <c r="EU654" s="407">
        <v>0</v>
      </c>
      <c r="EV654" s="407">
        <v>246</v>
      </c>
      <c r="EW654" s="407">
        <v>0</v>
      </c>
      <c r="EX654" s="407">
        <v>0</v>
      </c>
      <c r="EY654" s="407">
        <v>0</v>
      </c>
      <c r="EZ654" s="407"/>
      <c r="FA654" s="407">
        <v>0</v>
      </c>
      <c r="FB654" s="407"/>
      <c r="FC654" s="407"/>
      <c r="FD654" s="407"/>
      <c r="FE654" s="407"/>
      <c r="FF654" s="407">
        <v>0</v>
      </c>
      <c r="FG654" s="407">
        <v>0</v>
      </c>
      <c r="FH654" s="407">
        <v>0</v>
      </c>
      <c r="FI654" s="407">
        <v>0</v>
      </c>
    </row>
    <row r="655" spans="1:165">
      <c r="A655" s="407">
        <v>679</v>
      </c>
      <c r="B655" s="407" t="s">
        <v>2308</v>
      </c>
      <c r="C655" s="407" t="s">
        <v>2306</v>
      </c>
      <c r="D655" s="407" t="s">
        <v>1219</v>
      </c>
      <c r="E655" s="407" t="s">
        <v>1049</v>
      </c>
      <c r="F655" s="407" t="s">
        <v>97</v>
      </c>
      <c r="G655" s="407" t="s">
        <v>97</v>
      </c>
      <c r="H655" s="407" t="s">
        <v>97</v>
      </c>
      <c r="I655" s="407" t="s">
        <v>97</v>
      </c>
      <c r="J655" s="407" t="s">
        <v>2307</v>
      </c>
      <c r="K655" s="818">
        <v>44682</v>
      </c>
      <c r="L655" s="407">
        <v>0</v>
      </c>
      <c r="M655" s="407">
        <v>0</v>
      </c>
      <c r="N655" s="407">
        <v>-0.70599999999999996</v>
      </c>
      <c r="O655" s="407">
        <v>-0.70599999999999996</v>
      </c>
      <c r="P655" s="407">
        <v>-0.70599999999999996</v>
      </c>
      <c r="Q655" s="407">
        <v>-0.70599999999999996</v>
      </c>
      <c r="R655" s="407"/>
      <c r="S655" s="407">
        <v>648.44000000000005</v>
      </c>
      <c r="T655" s="407">
        <v>159.41</v>
      </c>
      <c r="U655" s="407"/>
      <c r="V655" s="407">
        <v>-570.34210000000007</v>
      </c>
      <c r="W655" s="407">
        <v>-570.34210000000007</v>
      </c>
      <c r="X655" s="407">
        <v>-431.94491999999997</v>
      </c>
      <c r="Y655" s="407">
        <v>0</v>
      </c>
      <c r="Z655" s="407">
        <v>-43.750996944784731</v>
      </c>
      <c r="AA655" s="407">
        <v>0</v>
      </c>
      <c r="AB655" s="407">
        <v>0</v>
      </c>
      <c r="AC655" s="407">
        <v>0</v>
      </c>
      <c r="AD655" s="407">
        <v>-82.350964905612685</v>
      </c>
      <c r="AE655" s="407">
        <v>-294.78746949567636</v>
      </c>
      <c r="AF655" s="407">
        <v>-108.88688599945495</v>
      </c>
      <c r="AG655" s="407">
        <v>-3.6583135501061612</v>
      </c>
      <c r="AH655" s="407">
        <v>0</v>
      </c>
      <c r="AI655" s="407">
        <v>0</v>
      </c>
      <c r="AJ655" s="407">
        <v>0</v>
      </c>
      <c r="AK655" s="407">
        <v>0</v>
      </c>
      <c r="AL655" s="407">
        <v>-6.7606950776239438</v>
      </c>
      <c r="AM655" s="407"/>
      <c r="AN655" s="407">
        <v>-1.465017522177722</v>
      </c>
      <c r="AO655" s="407">
        <v>0</v>
      </c>
      <c r="AP655" s="407">
        <v>0</v>
      </c>
      <c r="AQ655" s="407">
        <v>0</v>
      </c>
      <c r="AR655" s="407">
        <v>0</v>
      </c>
      <c r="AS655" s="407">
        <v>0</v>
      </c>
      <c r="AT655" s="407">
        <v>0</v>
      </c>
      <c r="AU655" s="407">
        <v>0</v>
      </c>
      <c r="AV655" s="407">
        <v>0</v>
      </c>
      <c r="AW655" s="407">
        <v>0</v>
      </c>
      <c r="AX655" s="407">
        <v>0</v>
      </c>
      <c r="AY655" s="407">
        <v>0</v>
      </c>
      <c r="AZ655" s="407">
        <v>0</v>
      </c>
      <c r="BA655" s="407"/>
      <c r="BB655" s="407">
        <v>0</v>
      </c>
      <c r="BC655" s="407">
        <v>0</v>
      </c>
      <c r="BD655" s="407">
        <v>0</v>
      </c>
      <c r="BE655" s="407">
        <v>0</v>
      </c>
      <c r="BF655" s="407">
        <v>0</v>
      </c>
      <c r="BG655" s="407">
        <v>-7.9592836649256817</v>
      </c>
      <c r="BH655" s="407">
        <v>0</v>
      </c>
      <c r="BI655" s="407">
        <v>-1.08</v>
      </c>
      <c r="BJ655" s="407">
        <v>-5.33</v>
      </c>
      <c r="BK655" s="407">
        <v>-179.35</v>
      </c>
      <c r="BL655" s="407">
        <v>0</v>
      </c>
      <c r="BM655" s="407"/>
      <c r="BN655" s="407"/>
      <c r="BO655" s="407"/>
      <c r="BP655" s="407"/>
      <c r="BQ655" s="407"/>
      <c r="BR655" s="407"/>
      <c r="BS655" s="407"/>
      <c r="BT655" s="407"/>
      <c r="BU655" s="407"/>
      <c r="BV655" s="407">
        <v>-116.84616966438062</v>
      </c>
      <c r="BW655" s="407"/>
      <c r="BX655" s="407"/>
      <c r="BY655" s="407"/>
      <c r="BZ655" s="407"/>
      <c r="CA655" s="407"/>
      <c r="CB655" s="407"/>
      <c r="CC655" s="407"/>
      <c r="CD655" s="407"/>
      <c r="CE655" s="407"/>
      <c r="CF655" s="407"/>
      <c r="CG655" s="407"/>
      <c r="CH655" s="407"/>
      <c r="CI655" s="407">
        <v>-434.3922</v>
      </c>
      <c r="CJ655" s="407">
        <v>135.9199000000001</v>
      </c>
      <c r="CK655" s="407"/>
      <c r="CL655" s="407"/>
      <c r="CM655" s="407"/>
      <c r="CN655" s="407"/>
      <c r="CO655" s="407">
        <v>157.79100000000003</v>
      </c>
      <c r="CP655" s="407">
        <v>-19.393819999999998</v>
      </c>
      <c r="CQ655" s="407">
        <v>31</v>
      </c>
      <c r="CR655" s="407">
        <v>-12.181336719054798</v>
      </c>
      <c r="CS655" s="407">
        <v>0</v>
      </c>
      <c r="CT655" s="407">
        <v>0</v>
      </c>
      <c r="CU655" s="407">
        <v>0</v>
      </c>
      <c r="CV655" s="407">
        <v>0</v>
      </c>
      <c r="CW655" s="407">
        <v>0</v>
      </c>
      <c r="CX655" s="407">
        <v>0</v>
      </c>
      <c r="CY655" s="407">
        <v>0</v>
      </c>
      <c r="CZ655" s="407">
        <v>-3.7199563711060932</v>
      </c>
      <c r="DA655" s="407">
        <v>0</v>
      </c>
      <c r="DB655" s="407">
        <v>0</v>
      </c>
      <c r="DC655" s="407">
        <v>-21.589329020300895</v>
      </c>
      <c r="DD655" s="407">
        <v>0</v>
      </c>
      <c r="DE655" s="407">
        <v>0</v>
      </c>
      <c r="DF655" s="407">
        <v>0</v>
      </c>
      <c r="DG655" s="407">
        <v>-1.5781110115395158</v>
      </c>
      <c r="DH655" s="407">
        <v>0</v>
      </c>
      <c r="DI655" s="407">
        <v>3.0644061356438996</v>
      </c>
      <c r="DJ655" s="407"/>
      <c r="DK655" s="407">
        <v>0</v>
      </c>
      <c r="DL655" s="407">
        <v>0</v>
      </c>
      <c r="DM655" s="407">
        <v>0</v>
      </c>
      <c r="DN655" s="407">
        <v>0</v>
      </c>
      <c r="DO655" s="407">
        <v>0.41247931558983097</v>
      </c>
      <c r="DP655" s="407">
        <v>9.3347379663523355E-2</v>
      </c>
      <c r="DQ655" s="407">
        <v>0</v>
      </c>
      <c r="DR655" s="407">
        <v>11.135826852994445</v>
      </c>
      <c r="DS655" s="407"/>
      <c r="DT655" s="407"/>
      <c r="DU655" s="407"/>
      <c r="DV655" s="407">
        <v>-294.78746949567636</v>
      </c>
      <c r="DW655" s="407">
        <v>0</v>
      </c>
      <c r="DX655" s="407">
        <v>0</v>
      </c>
      <c r="DY655" s="407">
        <v>157.79100000000005</v>
      </c>
      <c r="DZ655" s="407">
        <v>-19.393819999999991</v>
      </c>
      <c r="EA655" s="407">
        <v>0</v>
      </c>
      <c r="EB655" s="407">
        <v>0</v>
      </c>
      <c r="EC655" s="407">
        <v>150.57812409865295</v>
      </c>
      <c r="ED655" s="407">
        <v>0</v>
      </c>
      <c r="EE655" s="407">
        <v>0</v>
      </c>
      <c r="EF655" s="407">
        <v>0</v>
      </c>
      <c r="EG655" s="407">
        <v>0</v>
      </c>
      <c r="EH655" s="407">
        <v>0</v>
      </c>
      <c r="EI655" s="407">
        <v>0</v>
      </c>
      <c r="EJ655" s="407">
        <v>0</v>
      </c>
      <c r="EK655" s="407">
        <v>0</v>
      </c>
      <c r="EL655" s="407">
        <v>0</v>
      </c>
      <c r="EM655" s="407">
        <v>0</v>
      </c>
      <c r="EN655" s="407">
        <v>0</v>
      </c>
      <c r="EO655" s="407">
        <v>0</v>
      </c>
      <c r="EP655" s="407">
        <v>-20.724065002766899</v>
      </c>
      <c r="EQ655" s="407">
        <v>0</v>
      </c>
      <c r="ER655" s="407">
        <v>0</v>
      </c>
      <c r="ES655" s="407">
        <v>0</v>
      </c>
      <c r="ET655" s="407">
        <v>0</v>
      </c>
      <c r="EU655" s="407">
        <v>0</v>
      </c>
      <c r="EV655" s="407">
        <v>246</v>
      </c>
      <c r="EW655" s="407">
        <v>0</v>
      </c>
      <c r="EX655" s="407">
        <v>0</v>
      </c>
      <c r="EY655" s="407">
        <v>0</v>
      </c>
      <c r="EZ655" s="407"/>
      <c r="FA655" s="407">
        <v>0</v>
      </c>
      <c r="FB655" s="407"/>
      <c r="FC655" s="407"/>
      <c r="FD655" s="407"/>
      <c r="FE655" s="407"/>
      <c r="FF655" s="407">
        <v>0</v>
      </c>
      <c r="FG655" s="407">
        <v>0</v>
      </c>
      <c r="FH655" s="407">
        <v>0</v>
      </c>
      <c r="FI655" s="407">
        <v>0</v>
      </c>
    </row>
    <row r="656" spans="1:165">
      <c r="A656" s="407">
        <v>680</v>
      </c>
      <c r="B656" s="407" t="s">
        <v>2309</v>
      </c>
      <c r="C656" s="407" t="s">
        <v>2306</v>
      </c>
      <c r="D656" s="407" t="s">
        <v>1219</v>
      </c>
      <c r="E656" s="407" t="s">
        <v>1049</v>
      </c>
      <c r="F656" s="407" t="s">
        <v>97</v>
      </c>
      <c r="G656" s="407" t="s">
        <v>97</v>
      </c>
      <c r="H656" s="407" t="s">
        <v>97</v>
      </c>
      <c r="I656" s="407" t="s">
        <v>97</v>
      </c>
      <c r="J656" s="407" t="s">
        <v>2307</v>
      </c>
      <c r="K656" s="818">
        <v>44682</v>
      </c>
      <c r="L656" s="407">
        <v>0</v>
      </c>
      <c r="M656" s="407">
        <v>0</v>
      </c>
      <c r="N656" s="407">
        <v>102.41800000000001</v>
      </c>
      <c r="O656" s="407">
        <v>102.41800000000001</v>
      </c>
      <c r="P656" s="407">
        <v>102.41800000000001</v>
      </c>
      <c r="Q656" s="407">
        <v>102.41800000000001</v>
      </c>
      <c r="R656" s="407"/>
      <c r="S656" s="407">
        <v>648.44000000000005</v>
      </c>
      <c r="T656" s="407">
        <v>159.41</v>
      </c>
      <c r="U656" s="407"/>
      <c r="V656" s="407">
        <v>82738.381300000023</v>
      </c>
      <c r="W656" s="407">
        <v>82738.381300000023</v>
      </c>
      <c r="X656" s="407">
        <v>62661.38076</v>
      </c>
      <c r="Y656" s="407">
        <v>0</v>
      </c>
      <c r="Z656" s="407">
        <v>6346.8691290240267</v>
      </c>
      <c r="AA656" s="407">
        <v>0</v>
      </c>
      <c r="AB656" s="407">
        <v>0</v>
      </c>
      <c r="AC656" s="407">
        <v>0</v>
      </c>
      <c r="AD656" s="407">
        <v>11946.488843772013</v>
      </c>
      <c r="AE656" s="407">
        <v>42764.225284430853</v>
      </c>
      <c r="AF656" s="407">
        <v>15796.001544323197</v>
      </c>
      <c r="AG656" s="407">
        <v>530.70418863282282</v>
      </c>
      <c r="AH656" s="407">
        <v>0</v>
      </c>
      <c r="AI656" s="407">
        <v>0</v>
      </c>
      <c r="AJ656" s="407">
        <v>0</v>
      </c>
      <c r="AK656" s="407">
        <v>0</v>
      </c>
      <c r="AL656" s="407">
        <v>980.76043691230757</v>
      </c>
      <c r="AM656" s="407"/>
      <c r="AN656" s="407">
        <v>212.52714530651267</v>
      </c>
      <c r="AO656" s="407">
        <v>0</v>
      </c>
      <c r="AP656" s="407">
        <v>0</v>
      </c>
      <c r="AQ656" s="407">
        <v>0</v>
      </c>
      <c r="AR656" s="407">
        <v>0</v>
      </c>
      <c r="AS656" s="407">
        <v>0</v>
      </c>
      <c r="AT656" s="407">
        <v>0</v>
      </c>
      <c r="AU656" s="407">
        <v>0</v>
      </c>
      <c r="AV656" s="407">
        <v>0</v>
      </c>
      <c r="AW656" s="407">
        <v>0</v>
      </c>
      <c r="AX656" s="407">
        <v>0</v>
      </c>
      <c r="AY656" s="407">
        <v>0</v>
      </c>
      <c r="AZ656" s="407">
        <v>0</v>
      </c>
      <c r="BA656" s="407"/>
      <c r="BB656" s="407">
        <v>0</v>
      </c>
      <c r="BC656" s="407">
        <v>0</v>
      </c>
      <c r="BD656" s="407">
        <v>0</v>
      </c>
      <c r="BE656" s="407">
        <v>0</v>
      </c>
      <c r="BF656" s="407">
        <v>0</v>
      </c>
      <c r="BG656" s="407">
        <v>1154.6372725132558</v>
      </c>
      <c r="BH656" s="407">
        <v>0</v>
      </c>
      <c r="BI656" s="407">
        <v>24.65</v>
      </c>
      <c r="BJ656" s="407">
        <v>107.93</v>
      </c>
      <c r="BK656" s="407">
        <v>37271.11</v>
      </c>
      <c r="BL656" s="407">
        <v>155</v>
      </c>
      <c r="BM656" s="407"/>
      <c r="BN656" s="407"/>
      <c r="BO656" s="407"/>
      <c r="BP656" s="407"/>
      <c r="BQ656" s="407"/>
      <c r="BR656" s="407"/>
      <c r="BS656" s="407"/>
      <c r="BT656" s="407"/>
      <c r="BU656" s="407"/>
      <c r="BV656" s="407">
        <v>16950.638816836454</v>
      </c>
      <c r="BW656" s="407"/>
      <c r="BX656" s="407"/>
      <c r="BY656" s="407"/>
      <c r="BZ656" s="407"/>
      <c r="CA656" s="407"/>
      <c r="CB656" s="407"/>
      <c r="CC656" s="407"/>
      <c r="CD656" s="407"/>
      <c r="CE656" s="407"/>
      <c r="CF656" s="407"/>
      <c r="CG656" s="407"/>
      <c r="CH656" s="407"/>
      <c r="CI656" s="407">
        <v>62662.604399999997</v>
      </c>
      <c r="CJ656" s="407">
        <v>-20075.806900000011</v>
      </c>
      <c r="CK656" s="407"/>
      <c r="CL656" s="407"/>
      <c r="CM656" s="407"/>
      <c r="CN656" s="407"/>
      <c r="CO656" s="407">
        <v>-22890.423000000006</v>
      </c>
      <c r="CP656" s="407">
        <v>2813.4224600000002</v>
      </c>
      <c r="CQ656" s="407">
        <v>31</v>
      </c>
      <c r="CR656" s="407">
        <v>1767.1220171276946</v>
      </c>
      <c r="CS656" s="407">
        <v>0</v>
      </c>
      <c r="CT656" s="407">
        <v>0</v>
      </c>
      <c r="CU656" s="407">
        <v>0</v>
      </c>
      <c r="CV656" s="407">
        <v>0</v>
      </c>
      <c r="CW656" s="407">
        <v>0</v>
      </c>
      <c r="CX656" s="407">
        <v>0</v>
      </c>
      <c r="CY656" s="407">
        <v>0</v>
      </c>
      <c r="CZ656" s="407">
        <v>539.64658869113737</v>
      </c>
      <c r="DA656" s="407">
        <v>0</v>
      </c>
      <c r="DB656" s="407">
        <v>0</v>
      </c>
      <c r="DC656" s="407">
        <v>3131.9205376787249</v>
      </c>
      <c r="DD656" s="407">
        <v>0</v>
      </c>
      <c r="DE656" s="407">
        <v>0</v>
      </c>
      <c r="DF656" s="407">
        <v>0</v>
      </c>
      <c r="DG656" s="407">
        <v>228.93339033973689</v>
      </c>
      <c r="DH656" s="407">
        <v>0</v>
      </c>
      <c r="DI656" s="407">
        <v>-444.54723456143984</v>
      </c>
      <c r="DJ656" s="407"/>
      <c r="DK656" s="407">
        <v>0</v>
      </c>
      <c r="DL656" s="407">
        <v>0</v>
      </c>
      <c r="DM656" s="407">
        <v>0</v>
      </c>
      <c r="DN656" s="407">
        <v>0</v>
      </c>
      <c r="DO656" s="407">
        <v>-59.837544679999041</v>
      </c>
      <c r="DP656" s="407">
        <v>-13.541716615267319</v>
      </c>
      <c r="DQ656" s="407">
        <v>0</v>
      </c>
      <c r="DR656" s="407">
        <v>-1615.4520037251914</v>
      </c>
      <c r="DS656" s="407"/>
      <c r="DT656" s="407"/>
      <c r="DU656" s="407"/>
      <c r="DV656" s="407">
        <v>42764.225284430853</v>
      </c>
      <c r="DW656" s="407">
        <v>0</v>
      </c>
      <c r="DX656" s="407">
        <v>0</v>
      </c>
      <c r="DY656" s="407">
        <v>-22890.423000000017</v>
      </c>
      <c r="DZ656" s="407">
        <v>2813.4224599999998</v>
      </c>
      <c r="EA656" s="407">
        <v>0</v>
      </c>
      <c r="EB656" s="407">
        <v>0</v>
      </c>
      <c r="EC656" s="407">
        <v>-21844.065600475689</v>
      </c>
      <c r="ED656" s="407">
        <v>0</v>
      </c>
      <c r="EE656" s="407">
        <v>0</v>
      </c>
      <c r="EF656" s="407">
        <v>0</v>
      </c>
      <c r="EG656" s="407">
        <v>0</v>
      </c>
      <c r="EH656" s="407">
        <v>0</v>
      </c>
      <c r="EI656" s="407">
        <v>0</v>
      </c>
      <c r="EJ656" s="407">
        <v>0</v>
      </c>
      <c r="EK656" s="407">
        <v>0</v>
      </c>
      <c r="EL656" s="407">
        <v>0</v>
      </c>
      <c r="EM656" s="407">
        <v>0</v>
      </c>
      <c r="EN656" s="407">
        <v>0</v>
      </c>
      <c r="EO656" s="407">
        <v>0</v>
      </c>
      <c r="EP656" s="407">
        <v>3006.398426987791</v>
      </c>
      <c r="EQ656" s="407">
        <v>0</v>
      </c>
      <c r="ER656" s="407">
        <v>0</v>
      </c>
      <c r="ES656" s="407">
        <v>0</v>
      </c>
      <c r="ET656" s="407">
        <v>0</v>
      </c>
      <c r="EU656" s="407">
        <v>0</v>
      </c>
      <c r="EV656" s="407">
        <v>246</v>
      </c>
      <c r="EW656" s="407">
        <v>0</v>
      </c>
      <c r="EX656" s="407">
        <v>0</v>
      </c>
      <c r="EY656" s="407">
        <v>0</v>
      </c>
      <c r="EZ656" s="407"/>
      <c r="FA656" s="407">
        <v>0</v>
      </c>
      <c r="FB656" s="407"/>
      <c r="FC656" s="407"/>
      <c r="FD656" s="407"/>
      <c r="FE656" s="407"/>
      <c r="FF656" s="407">
        <v>0</v>
      </c>
      <c r="FG656" s="407">
        <v>0</v>
      </c>
      <c r="FH656" s="407">
        <v>0</v>
      </c>
      <c r="FI656" s="407">
        <v>0</v>
      </c>
    </row>
    <row r="657" spans="1:165">
      <c r="A657" s="407">
        <v>681</v>
      </c>
      <c r="B657" s="407" t="s">
        <v>1090</v>
      </c>
      <c r="C657" s="407" t="s">
        <v>2314</v>
      </c>
      <c r="D657" s="407" t="s">
        <v>650</v>
      </c>
      <c r="E657" s="407" t="s">
        <v>1049</v>
      </c>
      <c r="F657" s="407" t="s">
        <v>97</v>
      </c>
      <c r="G657" s="407" t="s">
        <v>97</v>
      </c>
      <c r="H657" s="407" t="s">
        <v>97</v>
      </c>
      <c r="I657" s="407" t="s">
        <v>1025</v>
      </c>
      <c r="J657" s="407" t="s">
        <v>2307</v>
      </c>
      <c r="K657" s="818">
        <v>44682</v>
      </c>
      <c r="L657" s="407">
        <v>0</v>
      </c>
      <c r="M657" s="407">
        <v>0</v>
      </c>
      <c r="N657" s="407">
        <v>9.1229999999999993</v>
      </c>
      <c r="O657" s="407">
        <v>9.1229999999999993</v>
      </c>
      <c r="P657" s="407">
        <v>9.1229999999999993</v>
      </c>
      <c r="Q657" s="407">
        <v>9.1229999999999993</v>
      </c>
      <c r="R657" s="407"/>
      <c r="S657" s="407">
        <v>2810.7</v>
      </c>
      <c r="T657" s="407">
        <v>159.41</v>
      </c>
      <c r="U657" s="407"/>
      <c r="V657" s="407">
        <v>27096.313529999996</v>
      </c>
      <c r="W657" s="407">
        <v>27096.313529999996</v>
      </c>
      <c r="X657" s="407">
        <v>17257.887869999999</v>
      </c>
      <c r="Y657" s="407">
        <v>0</v>
      </c>
      <c r="Z657" s="407">
        <v>491.85849895286918</v>
      </c>
      <c r="AA657" s="407">
        <v>0</v>
      </c>
      <c r="AB657" s="407">
        <v>0</v>
      </c>
      <c r="AC657" s="407">
        <v>0</v>
      </c>
      <c r="AD657" s="407">
        <v>5569.7337584667084</v>
      </c>
      <c r="AE657" s="407">
        <v>19202.901472021553</v>
      </c>
      <c r="AF657" s="407">
        <v>1407.0468285736931</v>
      </c>
      <c r="AG657" s="407">
        <v>47.273080053284005</v>
      </c>
      <c r="AH657" s="407">
        <v>0</v>
      </c>
      <c r="AI657" s="407">
        <v>0</v>
      </c>
      <c r="AJ657" s="407">
        <v>0</v>
      </c>
      <c r="AK657" s="407">
        <v>0</v>
      </c>
      <c r="AL657" s="407">
        <v>87.362352964820445</v>
      </c>
      <c r="AM657" s="407"/>
      <c r="AN657" s="407">
        <v>9.7956696605067481</v>
      </c>
      <c r="AO657" s="407">
        <v>0</v>
      </c>
      <c r="AP657" s="407">
        <v>0</v>
      </c>
      <c r="AQ657" s="407">
        <v>0</v>
      </c>
      <c r="AR657" s="407">
        <v>0</v>
      </c>
      <c r="AS657" s="407">
        <v>0</v>
      </c>
      <c r="AT657" s="407">
        <v>0</v>
      </c>
      <c r="AU657" s="407">
        <v>0</v>
      </c>
      <c r="AV657" s="407">
        <v>0</v>
      </c>
      <c r="AW657" s="407">
        <v>0</v>
      </c>
      <c r="AX657" s="407">
        <v>0</v>
      </c>
      <c r="AY657" s="407">
        <v>0</v>
      </c>
      <c r="AZ657" s="407">
        <v>0</v>
      </c>
      <c r="BA657" s="407"/>
      <c r="BB657" s="407">
        <v>0</v>
      </c>
      <c r="BC657" s="407">
        <v>0</v>
      </c>
      <c r="BD657" s="407">
        <v>0</v>
      </c>
      <c r="BE657" s="407">
        <v>0</v>
      </c>
      <c r="BF657" s="407">
        <v>0</v>
      </c>
      <c r="BG657" s="407">
        <v>47.347223776608068</v>
      </c>
      <c r="BH657" s="407">
        <v>0</v>
      </c>
      <c r="BI657" s="407">
        <v>0</v>
      </c>
      <c r="BJ657" s="407">
        <v>0</v>
      </c>
      <c r="BK657" s="407">
        <v>0</v>
      </c>
      <c r="BL657" s="407">
        <v>0</v>
      </c>
      <c r="BM657" s="407"/>
      <c r="BN657" s="407"/>
      <c r="BO657" s="407"/>
      <c r="BP657" s="407"/>
      <c r="BQ657" s="407"/>
      <c r="BR657" s="407"/>
      <c r="BS657" s="407"/>
      <c r="BT657" s="407"/>
      <c r="BU657" s="407"/>
      <c r="BV657" s="407">
        <v>1454.3940523503011</v>
      </c>
      <c r="BW657" s="407"/>
      <c r="BX657" s="407"/>
      <c r="BY657" s="407"/>
      <c r="BZ657" s="407"/>
      <c r="CA657" s="407"/>
      <c r="CB657" s="407"/>
      <c r="CC657" s="407"/>
      <c r="CD657" s="407"/>
      <c r="CE657" s="407"/>
      <c r="CF657" s="407"/>
      <c r="CG657" s="407"/>
      <c r="CH657" s="407"/>
      <c r="CI657" s="407">
        <v>17252.212799999998</v>
      </c>
      <c r="CJ657" s="407">
        <v>-9844.1307299999935</v>
      </c>
      <c r="CK657" s="407"/>
      <c r="CL657" s="407"/>
      <c r="CM657" s="407"/>
      <c r="CN657" s="407"/>
      <c r="CO657" s="407">
        <v>-10089.034469999999</v>
      </c>
      <c r="CP657" s="407">
        <v>250.60880999999998</v>
      </c>
      <c r="CQ657" s="407">
        <v>31</v>
      </c>
      <c r="CR657" s="407">
        <v>-29.490982384848394</v>
      </c>
      <c r="CS657" s="407">
        <v>0</v>
      </c>
      <c r="CT657" s="407">
        <v>0</v>
      </c>
      <c r="CU657" s="407">
        <v>0</v>
      </c>
      <c r="CV657" s="407">
        <v>0</v>
      </c>
      <c r="CW657" s="407">
        <v>0</v>
      </c>
      <c r="CX657" s="407">
        <v>0</v>
      </c>
      <c r="CY657" s="407">
        <v>0</v>
      </c>
      <c r="CZ657" s="407">
        <v>251.59591759392424</v>
      </c>
      <c r="DA657" s="407">
        <v>0</v>
      </c>
      <c r="DB657" s="407">
        <v>0</v>
      </c>
      <c r="DC657" s="407">
        <v>278.97938902578653</v>
      </c>
      <c r="DD657" s="407">
        <v>0</v>
      </c>
      <c r="DE657" s="407">
        <v>0</v>
      </c>
      <c r="DF657" s="407">
        <v>0</v>
      </c>
      <c r="DG657" s="407">
        <v>9.3876758705003809</v>
      </c>
      <c r="DH657" s="407">
        <v>0</v>
      </c>
      <c r="DI657" s="407">
        <v>-34.450739578848697</v>
      </c>
      <c r="DJ657" s="407"/>
      <c r="DK657" s="407">
        <v>0</v>
      </c>
      <c r="DL657" s="407">
        <v>0</v>
      </c>
      <c r="DM657" s="407">
        <v>0</v>
      </c>
      <c r="DN657" s="407">
        <v>0</v>
      </c>
      <c r="DO657" s="407">
        <v>-5.3300974449377065</v>
      </c>
      <c r="DP657" s="407">
        <v>-0.62415642203274047</v>
      </c>
      <c r="DQ657" s="407">
        <v>0</v>
      </c>
      <c r="DR657" s="407">
        <v>-529.0489714292396</v>
      </c>
      <c r="DS657" s="407"/>
      <c r="DT657" s="407"/>
      <c r="DU657" s="407"/>
      <c r="DV657" s="407">
        <v>19202.901472021553</v>
      </c>
      <c r="DW657" s="407">
        <v>0</v>
      </c>
      <c r="DX657" s="407">
        <v>0</v>
      </c>
      <c r="DY657" s="407">
        <v>-10089.034469999999</v>
      </c>
      <c r="DZ657" s="407">
        <v>250.60880999999995</v>
      </c>
      <c r="EA657" s="407">
        <v>0</v>
      </c>
      <c r="EB657" s="407">
        <v>0</v>
      </c>
      <c r="EC657" s="407">
        <v>-9808.8866730160025</v>
      </c>
      <c r="ED657" s="407">
        <v>0</v>
      </c>
      <c r="EE657" s="407">
        <v>0</v>
      </c>
      <c r="EF657" s="407">
        <v>0</v>
      </c>
      <c r="EG657" s="407">
        <v>0</v>
      </c>
      <c r="EH657" s="407">
        <v>0</v>
      </c>
      <c r="EI657" s="407">
        <v>0</v>
      </c>
      <c r="EJ657" s="407">
        <v>0</v>
      </c>
      <c r="EK657" s="407">
        <v>0</v>
      </c>
      <c r="EL657" s="407">
        <v>0</v>
      </c>
      <c r="EM657" s="407">
        <v>0</v>
      </c>
      <c r="EN657" s="407">
        <v>0</v>
      </c>
      <c r="EO657" s="407">
        <v>0</v>
      </c>
      <c r="EP657" s="407">
        <v>232.9845767246612</v>
      </c>
      <c r="EQ657" s="407">
        <v>0</v>
      </c>
      <c r="ER657" s="407">
        <v>0</v>
      </c>
      <c r="ES657" s="407">
        <v>0</v>
      </c>
      <c r="ET657" s="407">
        <v>0</v>
      </c>
      <c r="EU657" s="407">
        <v>0</v>
      </c>
      <c r="EV657" s="407">
        <v>246</v>
      </c>
      <c r="EW657" s="407">
        <v>0</v>
      </c>
      <c r="EX657" s="407">
        <v>0</v>
      </c>
      <c r="EY657" s="407">
        <v>0</v>
      </c>
      <c r="EZ657" s="407"/>
      <c r="FA657" s="407">
        <v>0</v>
      </c>
      <c r="FB657" s="407"/>
      <c r="FC657" s="407"/>
      <c r="FD657" s="407"/>
      <c r="FE657" s="407"/>
      <c r="FF657" s="407">
        <v>0</v>
      </c>
      <c r="FG657" s="407">
        <v>0</v>
      </c>
      <c r="FH657" s="407">
        <v>0</v>
      </c>
      <c r="FI657" s="407">
        <v>0</v>
      </c>
    </row>
    <row r="658" spans="1:165">
      <c r="A658" s="407">
        <v>682</v>
      </c>
      <c r="B658" s="407" t="s">
        <v>2309</v>
      </c>
      <c r="C658" s="407" t="s">
        <v>2314</v>
      </c>
      <c r="D658" s="407" t="s">
        <v>650</v>
      </c>
      <c r="E658" s="407" t="s">
        <v>1049</v>
      </c>
      <c r="F658" s="407" t="s">
        <v>97</v>
      </c>
      <c r="G658" s="407" t="s">
        <v>97</v>
      </c>
      <c r="H658" s="407" t="s">
        <v>97</v>
      </c>
      <c r="I658" s="407" t="s">
        <v>1025</v>
      </c>
      <c r="J658" s="407" t="s">
        <v>2307</v>
      </c>
      <c r="K658" s="818">
        <v>44682</v>
      </c>
      <c r="L658" s="407">
        <v>0</v>
      </c>
      <c r="M658" s="407">
        <v>0</v>
      </c>
      <c r="N658" s="407">
        <v>6.0629999999999997</v>
      </c>
      <c r="O658" s="407">
        <v>6.0629999999999997</v>
      </c>
      <c r="P658" s="407">
        <v>6.0629999999999997</v>
      </c>
      <c r="Q658" s="407">
        <v>6.0629999999999997</v>
      </c>
      <c r="R658" s="407"/>
      <c r="S658" s="407">
        <v>2810.7</v>
      </c>
      <c r="T658" s="407">
        <v>159.41</v>
      </c>
      <c r="U658" s="407"/>
      <c r="V658" s="407">
        <v>18007.77693</v>
      </c>
      <c r="W658" s="407">
        <v>18007.77693</v>
      </c>
      <c r="X658" s="407">
        <v>11469.31647</v>
      </c>
      <c r="Y658" s="407">
        <v>0</v>
      </c>
      <c r="Z658" s="407">
        <v>326.88129772566543</v>
      </c>
      <c r="AA658" s="407">
        <v>0</v>
      </c>
      <c r="AB658" s="407">
        <v>0</v>
      </c>
      <c r="AC658" s="407">
        <v>0</v>
      </c>
      <c r="AD658" s="407">
        <v>3701.5560427034588</v>
      </c>
      <c r="AE658" s="407">
        <v>12761.941425503306</v>
      </c>
      <c r="AF658" s="407">
        <v>935.10083543157975</v>
      </c>
      <c r="AG658" s="407">
        <v>31.416933504665234</v>
      </c>
      <c r="AH658" s="407">
        <v>0</v>
      </c>
      <c r="AI658" s="407">
        <v>0</v>
      </c>
      <c r="AJ658" s="407">
        <v>0</v>
      </c>
      <c r="AK658" s="407">
        <v>0</v>
      </c>
      <c r="AL658" s="407">
        <v>58.059623591549538</v>
      </c>
      <c r="AM658" s="407"/>
      <c r="AN658" s="407">
        <v>6.5100455060454259</v>
      </c>
      <c r="AO658" s="407">
        <v>0</v>
      </c>
      <c r="AP658" s="407">
        <v>0</v>
      </c>
      <c r="AQ658" s="407">
        <v>0</v>
      </c>
      <c r="AR658" s="407">
        <v>0</v>
      </c>
      <c r="AS658" s="407">
        <v>0</v>
      </c>
      <c r="AT658" s="407">
        <v>0</v>
      </c>
      <c r="AU658" s="407">
        <v>0</v>
      </c>
      <c r="AV658" s="407">
        <v>0</v>
      </c>
      <c r="AW658" s="407">
        <v>0</v>
      </c>
      <c r="AX658" s="407">
        <v>0</v>
      </c>
      <c r="AY658" s="407">
        <v>0</v>
      </c>
      <c r="AZ658" s="407">
        <v>0</v>
      </c>
      <c r="BA658" s="407"/>
      <c r="BB658" s="407">
        <v>0</v>
      </c>
      <c r="BC658" s="407">
        <v>0</v>
      </c>
      <c r="BD658" s="407">
        <v>0</v>
      </c>
      <c r="BE658" s="407">
        <v>0</v>
      </c>
      <c r="BF658" s="407">
        <v>0</v>
      </c>
      <c r="BG658" s="407">
        <v>31.466208238252189</v>
      </c>
      <c r="BH658" s="407">
        <v>0</v>
      </c>
      <c r="BI658" s="407">
        <v>0</v>
      </c>
      <c r="BJ658" s="407">
        <v>0</v>
      </c>
      <c r="BK658" s="407">
        <v>0</v>
      </c>
      <c r="BL658" s="407">
        <v>0</v>
      </c>
      <c r="BM658" s="407"/>
      <c r="BN658" s="407"/>
      <c r="BO658" s="407"/>
      <c r="BP658" s="407"/>
      <c r="BQ658" s="407"/>
      <c r="BR658" s="407"/>
      <c r="BS658" s="407"/>
      <c r="BT658" s="407"/>
      <c r="BU658" s="407"/>
      <c r="BV658" s="407">
        <v>966.56704366983195</v>
      </c>
      <c r="BW658" s="407"/>
      <c r="BX658" s="407"/>
      <c r="BY658" s="407"/>
      <c r="BZ658" s="407"/>
      <c r="CA658" s="407"/>
      <c r="CB658" s="407"/>
      <c r="CC658" s="407"/>
      <c r="CD658" s="407"/>
      <c r="CE658" s="407"/>
      <c r="CF658" s="407"/>
      <c r="CG658" s="407"/>
      <c r="CH658" s="407"/>
      <c r="CI658" s="407">
        <v>11463.641399999999</v>
      </c>
      <c r="CJ658" s="407">
        <v>-6544.1655299999966</v>
      </c>
      <c r="CK658" s="407"/>
      <c r="CL658" s="407"/>
      <c r="CM658" s="407"/>
      <c r="CN658" s="407"/>
      <c r="CO658" s="407">
        <v>-6705.0110699999987</v>
      </c>
      <c r="CP658" s="407">
        <v>166.55060999999998</v>
      </c>
      <c r="CQ658" s="407">
        <v>31</v>
      </c>
      <c r="CR658" s="407">
        <v>-19.599235580328241</v>
      </c>
      <c r="CS658" s="407">
        <v>0</v>
      </c>
      <c r="CT658" s="407">
        <v>0</v>
      </c>
      <c r="CU658" s="407">
        <v>0</v>
      </c>
      <c r="CV658" s="407">
        <v>0</v>
      </c>
      <c r="CW658" s="407">
        <v>0</v>
      </c>
      <c r="CX658" s="407">
        <v>0</v>
      </c>
      <c r="CY658" s="407">
        <v>0</v>
      </c>
      <c r="CZ658" s="407">
        <v>167.20662593137831</v>
      </c>
      <c r="DA658" s="407">
        <v>0</v>
      </c>
      <c r="DB658" s="407">
        <v>0</v>
      </c>
      <c r="DC658" s="407">
        <v>185.40524341371724</v>
      </c>
      <c r="DD658" s="407">
        <v>0</v>
      </c>
      <c r="DE658" s="407">
        <v>0</v>
      </c>
      <c r="DF658" s="407">
        <v>0</v>
      </c>
      <c r="DG658" s="407">
        <v>6.2388993535946291</v>
      </c>
      <c r="DH658" s="407">
        <v>0</v>
      </c>
      <c r="DI658" s="407">
        <v>-22.89541094667976</v>
      </c>
      <c r="DJ658" s="407"/>
      <c r="DK658" s="407">
        <v>0</v>
      </c>
      <c r="DL658" s="407">
        <v>0</v>
      </c>
      <c r="DM658" s="407">
        <v>0</v>
      </c>
      <c r="DN658" s="407">
        <v>0</v>
      </c>
      <c r="DO658" s="407">
        <v>-3.5422975785002109</v>
      </c>
      <c r="DP658" s="407">
        <v>-0.41480438307404466</v>
      </c>
      <c r="DQ658" s="407">
        <v>0</v>
      </c>
      <c r="DR658" s="407">
        <v>-351.59749137076398</v>
      </c>
      <c r="DS658" s="407"/>
      <c r="DT658" s="407"/>
      <c r="DU658" s="407"/>
      <c r="DV658" s="407">
        <v>12761.941425503306</v>
      </c>
      <c r="DW658" s="407">
        <v>0</v>
      </c>
      <c r="DX658" s="407">
        <v>0</v>
      </c>
      <c r="DY658" s="407">
        <v>-6705.0110699999987</v>
      </c>
      <c r="DZ658" s="407">
        <v>166.55061000000001</v>
      </c>
      <c r="EA658" s="407">
        <v>0</v>
      </c>
      <c r="EB658" s="407">
        <v>0</v>
      </c>
      <c r="EC658" s="407">
        <v>-6518.829321330265</v>
      </c>
      <c r="ED658" s="407">
        <v>0</v>
      </c>
      <c r="EE658" s="407">
        <v>0</v>
      </c>
      <c r="EF658" s="407">
        <v>0</v>
      </c>
      <c r="EG658" s="407">
        <v>0</v>
      </c>
      <c r="EH658" s="407">
        <v>0</v>
      </c>
      <c r="EI658" s="407">
        <v>0</v>
      </c>
      <c r="EJ658" s="407">
        <v>0</v>
      </c>
      <c r="EK658" s="407">
        <v>0</v>
      </c>
      <c r="EL658" s="407">
        <v>0</v>
      </c>
      <c r="EM658" s="407">
        <v>0</v>
      </c>
      <c r="EN658" s="407">
        <v>0</v>
      </c>
      <c r="EO658" s="407">
        <v>0</v>
      </c>
      <c r="EP658" s="407">
        <v>154.83782622839209</v>
      </c>
      <c r="EQ658" s="407">
        <v>0</v>
      </c>
      <c r="ER658" s="407">
        <v>0</v>
      </c>
      <c r="ES658" s="407">
        <v>0</v>
      </c>
      <c r="ET658" s="407">
        <v>0</v>
      </c>
      <c r="EU658" s="407">
        <v>0</v>
      </c>
      <c r="EV658" s="407">
        <v>246</v>
      </c>
      <c r="EW658" s="407">
        <v>0</v>
      </c>
      <c r="EX658" s="407">
        <v>0</v>
      </c>
      <c r="EY658" s="407">
        <v>0</v>
      </c>
      <c r="EZ658" s="407"/>
      <c r="FA658" s="407">
        <v>0</v>
      </c>
      <c r="FB658" s="407"/>
      <c r="FC658" s="407"/>
      <c r="FD658" s="407"/>
      <c r="FE658" s="407"/>
      <c r="FF658" s="407">
        <v>0</v>
      </c>
      <c r="FG658" s="407">
        <v>0</v>
      </c>
      <c r="FH658" s="407">
        <v>0</v>
      </c>
      <c r="FI658" s="407">
        <v>0</v>
      </c>
    </row>
    <row r="659" spans="1:165">
      <c r="A659" s="407">
        <v>683</v>
      </c>
      <c r="B659" s="407" t="s">
        <v>1090</v>
      </c>
      <c r="C659" s="407" t="s">
        <v>2314</v>
      </c>
      <c r="D659" s="407" t="s">
        <v>650</v>
      </c>
      <c r="E659" s="407" t="s">
        <v>1049</v>
      </c>
      <c r="F659" s="407" t="s">
        <v>97</v>
      </c>
      <c r="G659" s="407" t="s">
        <v>97</v>
      </c>
      <c r="H659" s="407" t="s">
        <v>97</v>
      </c>
      <c r="I659" s="407" t="s">
        <v>2290</v>
      </c>
      <c r="J659" s="407" t="s">
        <v>2307</v>
      </c>
      <c r="K659" s="818">
        <v>44682</v>
      </c>
      <c r="L659" s="407">
        <v>0</v>
      </c>
      <c r="M659" s="407">
        <v>0</v>
      </c>
      <c r="N659" s="407">
        <v>149.12100000000001</v>
      </c>
      <c r="O659" s="407">
        <v>149.12100000000001</v>
      </c>
      <c r="P659" s="407">
        <v>149.12100000000001</v>
      </c>
      <c r="Q659" s="407">
        <v>149.12100000000001</v>
      </c>
      <c r="R659" s="407"/>
      <c r="S659" s="407">
        <v>95.29</v>
      </c>
      <c r="T659" s="407">
        <v>159.41</v>
      </c>
      <c r="U659" s="407"/>
      <c r="V659" s="407">
        <v>37981.118699999999</v>
      </c>
      <c r="W659" s="407">
        <v>37981.118699999999</v>
      </c>
      <c r="X659" s="407">
        <v>41293.096110000006</v>
      </c>
      <c r="Y659" s="407">
        <v>0</v>
      </c>
      <c r="Z659" s="407">
        <v>8039.7271974515852</v>
      </c>
      <c r="AA659" s="407">
        <v>0</v>
      </c>
      <c r="AB659" s="407">
        <v>0</v>
      </c>
      <c r="AC659" s="407">
        <v>0</v>
      </c>
      <c r="AD659" s="407">
        <v>0</v>
      </c>
      <c r="AE659" s="407">
        <v>0</v>
      </c>
      <c r="AF659" s="407">
        <v>22999.038706975527</v>
      </c>
      <c r="AG659" s="407">
        <v>772.70732989430724</v>
      </c>
      <c r="AH659" s="407">
        <v>0</v>
      </c>
      <c r="AI659" s="407">
        <v>0</v>
      </c>
      <c r="AJ659" s="407">
        <v>0</v>
      </c>
      <c r="AK659" s="407">
        <v>0</v>
      </c>
      <c r="AL659" s="407">
        <v>1427.9909499580174</v>
      </c>
      <c r="AM659" s="407"/>
      <c r="AN659" s="407">
        <v>160.11619592726373</v>
      </c>
      <c r="AO659" s="407">
        <v>0</v>
      </c>
      <c r="AP659" s="407">
        <v>0</v>
      </c>
      <c r="AQ659" s="407">
        <v>0</v>
      </c>
      <c r="AR659" s="407">
        <v>0</v>
      </c>
      <c r="AS659" s="407">
        <v>0</v>
      </c>
      <c r="AT659" s="407">
        <v>0</v>
      </c>
      <c r="AU659" s="407">
        <v>0</v>
      </c>
      <c r="AV659" s="407">
        <v>0</v>
      </c>
      <c r="AW659" s="407">
        <v>0</v>
      </c>
      <c r="AX659" s="407">
        <v>0</v>
      </c>
      <c r="AY659" s="407">
        <v>0</v>
      </c>
      <c r="AZ659" s="407">
        <v>0</v>
      </c>
      <c r="BA659" s="407"/>
      <c r="BB659" s="407">
        <v>0</v>
      </c>
      <c r="BC659" s="407">
        <v>0</v>
      </c>
      <c r="BD659" s="407">
        <v>0</v>
      </c>
      <c r="BE659" s="407">
        <v>0</v>
      </c>
      <c r="BF659" s="407">
        <v>0</v>
      </c>
      <c r="BG659" s="407">
        <v>773.91925427946649</v>
      </c>
      <c r="BH659" s="407">
        <v>0</v>
      </c>
      <c r="BI659" s="407">
        <v>0</v>
      </c>
      <c r="BJ659" s="407">
        <v>0</v>
      </c>
      <c r="BK659" s="407">
        <v>0</v>
      </c>
      <c r="BL659" s="407">
        <v>0</v>
      </c>
      <c r="BM659" s="407"/>
      <c r="BN659" s="407"/>
      <c r="BO659" s="407"/>
      <c r="BP659" s="407"/>
      <c r="BQ659" s="407"/>
      <c r="BR659" s="407"/>
      <c r="BS659" s="407"/>
      <c r="BT659" s="407"/>
      <c r="BU659" s="407"/>
      <c r="BV659" s="407">
        <v>23772.957961254993</v>
      </c>
      <c r="BW659" s="407"/>
      <c r="BX659" s="407"/>
      <c r="BY659" s="407"/>
      <c r="BZ659" s="407"/>
      <c r="CA659" s="407"/>
      <c r="CB659" s="407"/>
      <c r="CC659" s="407"/>
      <c r="CD659" s="407"/>
      <c r="CE659" s="407"/>
      <c r="CF659" s="407"/>
      <c r="CG659" s="407"/>
      <c r="CH659" s="407"/>
      <c r="CI659" s="407">
        <v>41292.819199999998</v>
      </c>
      <c r="CJ659" s="407">
        <v>3311.6704999999929</v>
      </c>
      <c r="CK659" s="407"/>
      <c r="CL659" s="407"/>
      <c r="CM659" s="407"/>
      <c r="CN659" s="407"/>
      <c r="CO659" s="407">
        <v>-784.37646000000086</v>
      </c>
      <c r="CP659" s="407">
        <v>4096.3538699999999</v>
      </c>
      <c r="CQ659" s="407">
        <v>31</v>
      </c>
      <c r="CR659" s="407">
        <v>3311.5060697722802</v>
      </c>
      <c r="CS659" s="407">
        <v>0</v>
      </c>
      <c r="CT659" s="407">
        <v>0</v>
      </c>
      <c r="CU659" s="407">
        <v>0</v>
      </c>
      <c r="CV659" s="407">
        <v>0</v>
      </c>
      <c r="CW659" s="407">
        <v>0</v>
      </c>
      <c r="CX659" s="407">
        <v>0</v>
      </c>
      <c r="CY659" s="407">
        <v>0</v>
      </c>
      <c r="CZ659" s="407">
        <v>0</v>
      </c>
      <c r="DA659" s="407">
        <v>0</v>
      </c>
      <c r="DB659" s="407">
        <v>0</v>
      </c>
      <c r="DC659" s="407">
        <v>4560.0882901363912</v>
      </c>
      <c r="DD659" s="407">
        <v>0</v>
      </c>
      <c r="DE659" s="407">
        <v>0</v>
      </c>
      <c r="DF659" s="407">
        <v>0</v>
      </c>
      <c r="DG659" s="407">
        <v>153.44728855473932</v>
      </c>
      <c r="DH659" s="407">
        <v>0</v>
      </c>
      <c r="DI659" s="407">
        <v>-563.11835325413722</v>
      </c>
      <c r="DJ659" s="407"/>
      <c r="DK659" s="407">
        <v>0</v>
      </c>
      <c r="DL659" s="407">
        <v>0</v>
      </c>
      <c r="DM659" s="407">
        <v>0</v>
      </c>
      <c r="DN659" s="407">
        <v>0</v>
      </c>
      <c r="DO659" s="407">
        <v>-87.123694079421057</v>
      </c>
      <c r="DP659" s="407">
        <v>-10.202217451490128</v>
      </c>
      <c r="DQ659" s="407">
        <v>0</v>
      </c>
      <c r="DR659" s="407">
        <v>-741.58524413380826</v>
      </c>
      <c r="DS659" s="407"/>
      <c r="DT659" s="407"/>
      <c r="DU659" s="407"/>
      <c r="DV659" s="407">
        <v>0</v>
      </c>
      <c r="DW659" s="407">
        <v>0</v>
      </c>
      <c r="DX659" s="407">
        <v>0</v>
      </c>
      <c r="DY659" s="407">
        <v>-784.3764599999995</v>
      </c>
      <c r="DZ659" s="407">
        <v>4096.3538700000026</v>
      </c>
      <c r="EA659" s="407">
        <v>0</v>
      </c>
      <c r="EB659" s="407">
        <v>0</v>
      </c>
      <c r="EC659" s="407">
        <v>0</v>
      </c>
      <c r="ED659" s="407">
        <v>0</v>
      </c>
      <c r="EE659" s="407">
        <v>0</v>
      </c>
      <c r="EF659" s="407">
        <v>0</v>
      </c>
      <c r="EG659" s="407">
        <v>0</v>
      </c>
      <c r="EH659" s="407">
        <v>0</v>
      </c>
      <c r="EI659" s="407">
        <v>0</v>
      </c>
      <c r="EJ659" s="407">
        <v>0</v>
      </c>
      <c r="EK659" s="407">
        <v>0</v>
      </c>
      <c r="EL659" s="407">
        <v>0</v>
      </c>
      <c r="EM659" s="407">
        <v>0</v>
      </c>
      <c r="EN659" s="407">
        <v>0</v>
      </c>
      <c r="EO659" s="407">
        <v>0</v>
      </c>
      <c r="EP659" s="407">
        <v>3808.2750263902453</v>
      </c>
      <c r="EQ659" s="407">
        <v>0</v>
      </c>
      <c r="ER659" s="407">
        <v>0</v>
      </c>
      <c r="ES659" s="407">
        <v>0</v>
      </c>
      <c r="ET659" s="407">
        <v>0</v>
      </c>
      <c r="EU659" s="407">
        <v>0</v>
      </c>
      <c r="EV659" s="407">
        <v>246</v>
      </c>
      <c r="EW659" s="407">
        <v>0</v>
      </c>
      <c r="EX659" s="407">
        <v>0</v>
      </c>
      <c r="EY659" s="407">
        <v>0</v>
      </c>
      <c r="EZ659" s="407"/>
      <c r="FA659" s="407">
        <v>0</v>
      </c>
      <c r="FB659" s="407"/>
      <c r="FC659" s="407"/>
      <c r="FD659" s="407"/>
      <c r="FE659" s="407"/>
      <c r="FF659" s="407">
        <v>0</v>
      </c>
      <c r="FG659" s="407">
        <v>0</v>
      </c>
      <c r="FH659" s="407">
        <v>0</v>
      </c>
      <c r="FI659" s="407">
        <v>0</v>
      </c>
    </row>
    <row r="660" spans="1:165">
      <c r="A660" s="407">
        <v>684</v>
      </c>
      <c r="B660" s="407" t="s">
        <v>2309</v>
      </c>
      <c r="C660" s="407" t="s">
        <v>2314</v>
      </c>
      <c r="D660" s="407" t="s">
        <v>650</v>
      </c>
      <c r="E660" s="407" t="s">
        <v>1049</v>
      </c>
      <c r="F660" s="407" t="s">
        <v>97</v>
      </c>
      <c r="G660" s="407" t="s">
        <v>97</v>
      </c>
      <c r="H660" s="407" t="s">
        <v>97</v>
      </c>
      <c r="I660" s="407" t="s">
        <v>2290</v>
      </c>
      <c r="J660" s="407" t="s">
        <v>2307</v>
      </c>
      <c r="K660" s="818">
        <v>44682</v>
      </c>
      <c r="L660" s="407">
        <v>0</v>
      </c>
      <c r="M660" s="407">
        <v>0</v>
      </c>
      <c r="N660" s="407">
        <v>57.128</v>
      </c>
      <c r="O660" s="407">
        <v>57.128</v>
      </c>
      <c r="P660" s="407">
        <v>57.128</v>
      </c>
      <c r="Q660" s="407">
        <v>57.128</v>
      </c>
      <c r="R660" s="407"/>
      <c r="S660" s="407">
        <v>95.29</v>
      </c>
      <c r="T660" s="407">
        <v>159.41</v>
      </c>
      <c r="U660" s="407"/>
      <c r="V660" s="407">
        <v>14550.5016</v>
      </c>
      <c r="W660" s="407">
        <v>14550.5016</v>
      </c>
      <c r="X660" s="407">
        <v>15819.314480000001</v>
      </c>
      <c r="Y660" s="407">
        <v>0</v>
      </c>
      <c r="Z660" s="407">
        <v>3080.0057358521881</v>
      </c>
      <c r="AA660" s="407">
        <v>0</v>
      </c>
      <c r="AB660" s="407">
        <v>0</v>
      </c>
      <c r="AC660" s="407">
        <v>0</v>
      </c>
      <c r="AD660" s="407">
        <v>0</v>
      </c>
      <c r="AE660" s="407">
        <v>0</v>
      </c>
      <c r="AF660" s="407">
        <v>8810.8923843864904</v>
      </c>
      <c r="AG660" s="407">
        <v>296.02285621878866</v>
      </c>
      <c r="AH660" s="407">
        <v>0</v>
      </c>
      <c r="AI660" s="407">
        <v>0</v>
      </c>
      <c r="AJ660" s="407">
        <v>0</v>
      </c>
      <c r="AK660" s="407">
        <v>0</v>
      </c>
      <c r="AL660" s="407">
        <v>547.0608900771964</v>
      </c>
      <c r="AM660" s="407"/>
      <c r="AN660" s="407">
        <v>61.340240750348528</v>
      </c>
      <c r="AO660" s="407">
        <v>0</v>
      </c>
      <c r="AP660" s="407">
        <v>0</v>
      </c>
      <c r="AQ660" s="407">
        <v>0</v>
      </c>
      <c r="AR660" s="407">
        <v>0</v>
      </c>
      <c r="AS660" s="407">
        <v>0</v>
      </c>
      <c r="AT660" s="407">
        <v>0</v>
      </c>
      <c r="AU660" s="407">
        <v>0</v>
      </c>
      <c r="AV660" s="407">
        <v>0</v>
      </c>
      <c r="AW660" s="407">
        <v>0</v>
      </c>
      <c r="AX660" s="407">
        <v>0</v>
      </c>
      <c r="AY660" s="407">
        <v>0</v>
      </c>
      <c r="AZ660" s="407">
        <v>0</v>
      </c>
      <c r="BA660" s="407"/>
      <c r="BB660" s="407">
        <v>0</v>
      </c>
      <c r="BC660" s="407">
        <v>0</v>
      </c>
      <c r="BD660" s="407">
        <v>0</v>
      </c>
      <c r="BE660" s="407">
        <v>0</v>
      </c>
      <c r="BF660" s="407">
        <v>0</v>
      </c>
      <c r="BG660" s="407">
        <v>296.48714237751466</v>
      </c>
      <c r="BH660" s="407">
        <v>0</v>
      </c>
      <c r="BI660" s="407">
        <v>0</v>
      </c>
      <c r="BJ660" s="407">
        <v>0</v>
      </c>
      <c r="BK660" s="407">
        <v>0</v>
      </c>
      <c r="BL660" s="407">
        <v>0</v>
      </c>
      <c r="BM660" s="407"/>
      <c r="BN660" s="407"/>
      <c r="BO660" s="407"/>
      <c r="BP660" s="407"/>
      <c r="BQ660" s="407"/>
      <c r="BR660" s="407"/>
      <c r="BS660" s="407"/>
      <c r="BT660" s="407"/>
      <c r="BU660" s="407"/>
      <c r="BV660" s="407">
        <v>9107.3795267640053</v>
      </c>
      <c r="BW660" s="407"/>
      <c r="BX660" s="407"/>
      <c r="BY660" s="407"/>
      <c r="BZ660" s="407"/>
      <c r="CA660" s="407"/>
      <c r="CB660" s="407"/>
      <c r="CC660" s="407"/>
      <c r="CD660" s="407"/>
      <c r="CE660" s="407"/>
      <c r="CF660" s="407"/>
      <c r="CG660" s="407"/>
      <c r="CH660" s="407"/>
      <c r="CI660" s="407">
        <v>15819.868300000002</v>
      </c>
      <c r="CJ660" s="407">
        <v>1269.3367000000017</v>
      </c>
      <c r="CK660" s="407"/>
      <c r="CL660" s="407"/>
      <c r="CM660" s="407"/>
      <c r="CN660" s="407"/>
      <c r="CO660" s="407">
        <v>-300.49328000000031</v>
      </c>
      <c r="CP660" s="407">
        <v>1569.3061599999999</v>
      </c>
      <c r="CQ660" s="407">
        <v>31</v>
      </c>
      <c r="CR660" s="407">
        <v>1268.6323103650739</v>
      </c>
      <c r="CS660" s="407">
        <v>0</v>
      </c>
      <c r="CT660" s="407">
        <v>0</v>
      </c>
      <c r="CU660" s="407">
        <v>0</v>
      </c>
      <c r="CV660" s="407">
        <v>0</v>
      </c>
      <c r="CW660" s="407">
        <v>0</v>
      </c>
      <c r="CX660" s="407">
        <v>0</v>
      </c>
      <c r="CY660" s="407">
        <v>0</v>
      </c>
      <c r="CZ660" s="407">
        <v>0</v>
      </c>
      <c r="DA660" s="407">
        <v>0</v>
      </c>
      <c r="DB660" s="407">
        <v>0</v>
      </c>
      <c r="DC660" s="407">
        <v>1746.9620230478049</v>
      </c>
      <c r="DD660" s="407">
        <v>0</v>
      </c>
      <c r="DE660" s="407">
        <v>0</v>
      </c>
      <c r="DF660" s="407">
        <v>0</v>
      </c>
      <c r="DG660" s="407">
        <v>58.785393744376336</v>
      </c>
      <c r="DH660" s="407">
        <v>0</v>
      </c>
      <c r="DI660" s="407">
        <v>-215.72967780998215</v>
      </c>
      <c r="DJ660" s="407"/>
      <c r="DK660" s="407">
        <v>0</v>
      </c>
      <c r="DL660" s="407">
        <v>0</v>
      </c>
      <c r="DM660" s="407">
        <v>0</v>
      </c>
      <c r="DN660" s="407">
        <v>0</v>
      </c>
      <c r="DO660" s="407">
        <v>-33.376938160079135</v>
      </c>
      <c r="DP660" s="407">
        <v>-3.9084520528210547</v>
      </c>
      <c r="DQ660" s="407">
        <v>0</v>
      </c>
      <c r="DR660" s="407">
        <v>-284.10003840422337</v>
      </c>
      <c r="DS660" s="407"/>
      <c r="DT660" s="407"/>
      <c r="DU660" s="407"/>
      <c r="DV660" s="407">
        <v>0</v>
      </c>
      <c r="DW660" s="407">
        <v>0</v>
      </c>
      <c r="DX660" s="407">
        <v>0</v>
      </c>
      <c r="DY660" s="407">
        <v>-300.4932800000006</v>
      </c>
      <c r="DZ660" s="407">
        <v>1569.3061600000001</v>
      </c>
      <c r="EA660" s="407">
        <v>0</v>
      </c>
      <c r="EB660" s="407">
        <v>0</v>
      </c>
      <c r="EC660" s="407">
        <v>0</v>
      </c>
      <c r="ED660" s="407">
        <v>0</v>
      </c>
      <c r="EE660" s="407">
        <v>0</v>
      </c>
      <c r="EF660" s="407">
        <v>0</v>
      </c>
      <c r="EG660" s="407">
        <v>0</v>
      </c>
      <c r="EH660" s="407">
        <v>0</v>
      </c>
      <c r="EI660" s="407">
        <v>0</v>
      </c>
      <c r="EJ660" s="407">
        <v>0</v>
      </c>
      <c r="EK660" s="407">
        <v>0</v>
      </c>
      <c r="EL660" s="407">
        <v>0</v>
      </c>
      <c r="EM660" s="407">
        <v>0</v>
      </c>
      <c r="EN660" s="407">
        <v>0</v>
      </c>
      <c r="EO660" s="407">
        <v>0</v>
      </c>
      <c r="EP660" s="407">
        <v>1458.9436478270795</v>
      </c>
      <c r="EQ660" s="407">
        <v>0</v>
      </c>
      <c r="ER660" s="407">
        <v>0</v>
      </c>
      <c r="ES660" s="407">
        <v>0</v>
      </c>
      <c r="ET660" s="407">
        <v>0</v>
      </c>
      <c r="EU660" s="407">
        <v>0</v>
      </c>
      <c r="EV660" s="407">
        <v>246</v>
      </c>
      <c r="EW660" s="407">
        <v>0</v>
      </c>
      <c r="EX660" s="407">
        <v>0</v>
      </c>
      <c r="EY660" s="407">
        <v>0</v>
      </c>
      <c r="EZ660" s="407"/>
      <c r="FA660" s="407">
        <v>0</v>
      </c>
      <c r="FB660" s="407"/>
      <c r="FC660" s="407"/>
      <c r="FD660" s="407"/>
      <c r="FE660" s="407"/>
      <c r="FF660" s="407">
        <v>0</v>
      </c>
      <c r="FG660" s="407">
        <v>0</v>
      </c>
      <c r="FH660" s="407">
        <v>0</v>
      </c>
      <c r="FI660" s="407">
        <v>0</v>
      </c>
    </row>
    <row r="661" spans="1:165">
      <c r="A661" s="407">
        <v>685</v>
      </c>
      <c r="B661" s="407" t="s">
        <v>1090</v>
      </c>
      <c r="C661" s="407" t="s">
        <v>2314</v>
      </c>
      <c r="D661" s="407" t="s">
        <v>650</v>
      </c>
      <c r="E661" s="407" t="s">
        <v>1049</v>
      </c>
      <c r="F661" s="407" t="s">
        <v>97</v>
      </c>
      <c r="G661" s="407" t="s">
        <v>97</v>
      </c>
      <c r="H661" s="407" t="s">
        <v>97</v>
      </c>
      <c r="I661" s="407" t="s">
        <v>97</v>
      </c>
      <c r="J661" s="407" t="s">
        <v>2307</v>
      </c>
      <c r="K661" s="818">
        <v>44682</v>
      </c>
      <c r="L661" s="407">
        <v>1490</v>
      </c>
      <c r="M661" s="407">
        <v>1490</v>
      </c>
      <c r="N661" s="407">
        <v>0</v>
      </c>
      <c r="O661" s="407">
        <v>0</v>
      </c>
      <c r="P661" s="407">
        <v>0</v>
      </c>
      <c r="Q661" s="407">
        <v>0</v>
      </c>
      <c r="R661" s="407">
        <v>43.29</v>
      </c>
      <c r="S661" s="407"/>
      <c r="T661" s="407"/>
      <c r="U661" s="407">
        <v>64502.1</v>
      </c>
      <c r="V661" s="407"/>
      <c r="W661" s="407">
        <v>64502.1</v>
      </c>
      <c r="X661" s="407">
        <v>49900.100000000006</v>
      </c>
      <c r="Y661" s="407">
        <v>0</v>
      </c>
      <c r="Z661" s="407">
        <v>0</v>
      </c>
      <c r="AA661" s="407">
        <v>0</v>
      </c>
      <c r="AB661" s="407">
        <v>0</v>
      </c>
      <c r="AC661" s="407">
        <v>0</v>
      </c>
      <c r="AD661" s="407">
        <v>35259.34086607262</v>
      </c>
      <c r="AE661" s="407">
        <v>29247.488785513684</v>
      </c>
      <c r="AF661" s="407"/>
      <c r="AG661" s="407"/>
      <c r="AH661" s="407"/>
      <c r="AI661" s="407">
        <v>0</v>
      </c>
      <c r="AJ661" s="407">
        <v>0</v>
      </c>
      <c r="AK661" s="407">
        <v>0</v>
      </c>
      <c r="AL661" s="407">
        <v>0</v>
      </c>
      <c r="AM661" s="407"/>
      <c r="AN661" s="407">
        <v>0</v>
      </c>
      <c r="AO661" s="407">
        <v>0</v>
      </c>
      <c r="AP661" s="407">
        <v>0</v>
      </c>
      <c r="AQ661" s="407">
        <v>0</v>
      </c>
      <c r="AR661" s="407">
        <v>0</v>
      </c>
      <c r="AS661" s="407"/>
      <c r="AT661" s="407"/>
      <c r="AU661" s="407">
        <v>0</v>
      </c>
      <c r="AV661" s="407">
        <v>0</v>
      </c>
      <c r="AW661" s="407">
        <v>0</v>
      </c>
      <c r="AX661" s="407"/>
      <c r="AY661" s="407"/>
      <c r="AZ661" s="407">
        <v>0</v>
      </c>
      <c r="BA661" s="407"/>
      <c r="BB661" s="407">
        <v>0</v>
      </c>
      <c r="BC661" s="407">
        <v>0</v>
      </c>
      <c r="BD661" s="407">
        <v>0</v>
      </c>
      <c r="BE661" s="407">
        <v>0</v>
      </c>
      <c r="BF661" s="407"/>
      <c r="BG661" s="407">
        <v>0</v>
      </c>
      <c r="BH661" s="407">
        <v>0</v>
      </c>
      <c r="BI661" s="407">
        <v>43.41</v>
      </c>
      <c r="BJ661" s="407">
        <v>184.75</v>
      </c>
      <c r="BK661" s="407">
        <v>35029.32</v>
      </c>
      <c r="BL661" s="407">
        <v>12</v>
      </c>
      <c r="BM661" s="407"/>
      <c r="BN661" s="407"/>
      <c r="BO661" s="407"/>
      <c r="BP661" s="407"/>
      <c r="BQ661" s="407"/>
      <c r="BR661" s="407"/>
      <c r="BS661" s="407"/>
      <c r="BT661" s="407"/>
      <c r="BU661" s="407"/>
      <c r="BV661" s="407">
        <v>0</v>
      </c>
      <c r="BW661" s="407"/>
      <c r="BX661" s="407"/>
      <c r="BY661" s="407"/>
      <c r="BZ661" s="407"/>
      <c r="CA661" s="407"/>
      <c r="CB661" s="407"/>
      <c r="CC661" s="407"/>
      <c r="CD661" s="407"/>
      <c r="CE661" s="407"/>
      <c r="CF661" s="407"/>
      <c r="CG661" s="407"/>
      <c r="CH661" s="407"/>
      <c r="CI661" s="407">
        <v>49900.100000000006</v>
      </c>
      <c r="CJ661" s="407">
        <v>-14602.029999999999</v>
      </c>
      <c r="CK661" s="407"/>
      <c r="CL661" s="407"/>
      <c r="CM661" s="407"/>
      <c r="CN661" s="407"/>
      <c r="CO661" s="407">
        <v>-14601.999999999996</v>
      </c>
      <c r="CP661" s="407">
        <v>0</v>
      </c>
      <c r="CQ661" s="407">
        <v>31</v>
      </c>
      <c r="CR661" s="407">
        <v>333.25361636984599</v>
      </c>
      <c r="CS661" s="407">
        <v>0</v>
      </c>
      <c r="CT661" s="407">
        <v>0</v>
      </c>
      <c r="CU661" s="407">
        <v>0</v>
      </c>
      <c r="CV661" s="407">
        <v>0</v>
      </c>
      <c r="CW661" s="407"/>
      <c r="CX661" s="407"/>
      <c r="CY661" s="407"/>
      <c r="CZ661" s="407">
        <v>1592.7343394953205</v>
      </c>
      <c r="DA661" s="407">
        <v>0</v>
      </c>
      <c r="DB661" s="407">
        <v>0</v>
      </c>
      <c r="DC661" s="407"/>
      <c r="DD661" s="407"/>
      <c r="DE661" s="407">
        <v>0</v>
      </c>
      <c r="DF661" s="407">
        <v>0</v>
      </c>
      <c r="DG661" s="407">
        <v>0</v>
      </c>
      <c r="DH661" s="407">
        <v>0</v>
      </c>
      <c r="DI661" s="407">
        <v>0</v>
      </c>
      <c r="DJ661" s="407"/>
      <c r="DK661" s="407">
        <v>0</v>
      </c>
      <c r="DL661" s="407">
        <v>0</v>
      </c>
      <c r="DM661" s="407"/>
      <c r="DN661" s="407">
        <v>0</v>
      </c>
      <c r="DO661" s="407">
        <v>0</v>
      </c>
      <c r="DP661" s="407">
        <v>0</v>
      </c>
      <c r="DQ661" s="407">
        <v>0</v>
      </c>
      <c r="DR661" s="407">
        <v>-1259.4807231254756</v>
      </c>
      <c r="DS661" s="407"/>
      <c r="DT661" s="407"/>
      <c r="DU661" s="407">
        <v>29247.488785513684</v>
      </c>
      <c r="DV661" s="407"/>
      <c r="DW661" s="407">
        <v>0</v>
      </c>
      <c r="DX661" s="407">
        <v>0</v>
      </c>
      <c r="DY661" s="407">
        <v>-14601.999999999993</v>
      </c>
      <c r="DZ661" s="407"/>
      <c r="EA661" s="407">
        <v>0</v>
      </c>
      <c r="EB661" s="407"/>
      <c r="EC661" s="407">
        <v>-14939.685202540946</v>
      </c>
      <c r="ED661" s="407"/>
      <c r="EE661" s="407">
        <v>0</v>
      </c>
      <c r="EF661" s="407">
        <v>0</v>
      </c>
      <c r="EG661" s="407"/>
      <c r="EH661" s="407">
        <v>0</v>
      </c>
      <c r="EI661" s="407">
        <v>0</v>
      </c>
      <c r="EJ661" s="407">
        <v>0</v>
      </c>
      <c r="EK661" s="407">
        <v>0</v>
      </c>
      <c r="EL661" s="407">
        <v>0</v>
      </c>
      <c r="EM661" s="407"/>
      <c r="EN661" s="407"/>
      <c r="EO661" s="407">
        <v>0</v>
      </c>
      <c r="EP661" s="407">
        <v>0</v>
      </c>
      <c r="EQ661" s="407"/>
      <c r="ER661" s="407">
        <v>0</v>
      </c>
      <c r="ES661" s="407"/>
      <c r="ET661" s="407">
        <v>0</v>
      </c>
      <c r="EU661" s="407"/>
      <c r="EV661" s="407">
        <v>246</v>
      </c>
      <c r="EW661" s="407"/>
      <c r="EX661" s="407"/>
      <c r="EY661" s="407"/>
      <c r="EZ661" s="407"/>
      <c r="FA661" s="407">
        <v>0</v>
      </c>
      <c r="FB661" s="407"/>
      <c r="FC661" s="407"/>
      <c r="FD661" s="407"/>
      <c r="FE661" s="407"/>
      <c r="FF661" s="407">
        <v>0</v>
      </c>
      <c r="FG661" s="407">
        <v>0</v>
      </c>
      <c r="FH661" s="407">
        <v>0</v>
      </c>
      <c r="FI661" s="407">
        <v>0</v>
      </c>
    </row>
    <row r="662" spans="1:165">
      <c r="A662" s="407">
        <v>686</v>
      </c>
      <c r="B662" s="407" t="s">
        <v>2309</v>
      </c>
      <c r="C662" s="407" t="s">
        <v>2314</v>
      </c>
      <c r="D662" s="407" t="s">
        <v>650</v>
      </c>
      <c r="E662" s="407" t="s">
        <v>1049</v>
      </c>
      <c r="F662" s="407" t="s">
        <v>97</v>
      </c>
      <c r="G662" s="407" t="s">
        <v>97</v>
      </c>
      <c r="H662" s="407" t="s">
        <v>97</v>
      </c>
      <c r="I662" s="407" t="s">
        <v>97</v>
      </c>
      <c r="J662" s="407" t="s">
        <v>2307</v>
      </c>
      <c r="K662" s="818">
        <v>44682</v>
      </c>
      <c r="L662" s="407">
        <v>1044</v>
      </c>
      <c r="M662" s="407">
        <v>1044</v>
      </c>
      <c r="N662" s="407">
        <v>0</v>
      </c>
      <c r="O662" s="407">
        <v>0</v>
      </c>
      <c r="P662" s="407">
        <v>0</v>
      </c>
      <c r="Q662" s="407">
        <v>0</v>
      </c>
      <c r="R662" s="407">
        <v>43.29</v>
      </c>
      <c r="S662" s="407"/>
      <c r="T662" s="407"/>
      <c r="U662" s="407">
        <v>45194.76</v>
      </c>
      <c r="V662" s="407"/>
      <c r="W662" s="407">
        <v>45194.76</v>
      </c>
      <c r="X662" s="407">
        <v>34963.560000000005</v>
      </c>
      <c r="Y662" s="407">
        <v>0</v>
      </c>
      <c r="Z662" s="407">
        <v>0</v>
      </c>
      <c r="AA662" s="407">
        <v>0</v>
      </c>
      <c r="AB662" s="407">
        <v>0</v>
      </c>
      <c r="AC662" s="407">
        <v>0</v>
      </c>
      <c r="AD662" s="407">
        <v>24705.202593409274</v>
      </c>
      <c r="AE662" s="407">
        <v>20492.871336963948</v>
      </c>
      <c r="AF662" s="407"/>
      <c r="AG662" s="407"/>
      <c r="AH662" s="407"/>
      <c r="AI662" s="407">
        <v>0</v>
      </c>
      <c r="AJ662" s="407">
        <v>0</v>
      </c>
      <c r="AK662" s="407">
        <v>0</v>
      </c>
      <c r="AL662" s="407">
        <v>0</v>
      </c>
      <c r="AM662" s="407"/>
      <c r="AN662" s="407">
        <v>0</v>
      </c>
      <c r="AO662" s="407">
        <v>0</v>
      </c>
      <c r="AP662" s="407">
        <v>0</v>
      </c>
      <c r="AQ662" s="407">
        <v>0</v>
      </c>
      <c r="AR662" s="407">
        <v>0</v>
      </c>
      <c r="AS662" s="407"/>
      <c r="AT662" s="407"/>
      <c r="AU662" s="407">
        <v>0</v>
      </c>
      <c r="AV662" s="407">
        <v>0</v>
      </c>
      <c r="AW662" s="407">
        <v>0</v>
      </c>
      <c r="AX662" s="407"/>
      <c r="AY662" s="407"/>
      <c r="AZ662" s="407">
        <v>0</v>
      </c>
      <c r="BA662" s="407"/>
      <c r="BB662" s="407">
        <v>0</v>
      </c>
      <c r="BC662" s="407">
        <v>0</v>
      </c>
      <c r="BD662" s="407">
        <v>0</v>
      </c>
      <c r="BE662" s="407">
        <v>0</v>
      </c>
      <c r="BF662" s="407"/>
      <c r="BG662" s="407">
        <v>0</v>
      </c>
      <c r="BH662" s="407">
        <v>0</v>
      </c>
      <c r="BI662" s="407">
        <v>29.86</v>
      </c>
      <c r="BJ662" s="407">
        <v>127.08</v>
      </c>
      <c r="BK662" s="407">
        <v>25310.55</v>
      </c>
      <c r="BL662" s="407">
        <v>6</v>
      </c>
      <c r="BM662" s="407"/>
      <c r="BN662" s="407"/>
      <c r="BO662" s="407"/>
      <c r="BP662" s="407"/>
      <c r="BQ662" s="407"/>
      <c r="BR662" s="407"/>
      <c r="BS662" s="407"/>
      <c r="BT662" s="407"/>
      <c r="BU662" s="407"/>
      <c r="BV662" s="407">
        <v>0</v>
      </c>
      <c r="BW662" s="407"/>
      <c r="BX662" s="407"/>
      <c r="BY662" s="407"/>
      <c r="BZ662" s="407"/>
      <c r="CA662" s="407"/>
      <c r="CB662" s="407"/>
      <c r="CC662" s="407"/>
      <c r="CD662" s="407"/>
      <c r="CE662" s="407"/>
      <c r="CF662" s="407"/>
      <c r="CG662" s="407"/>
      <c r="CH662" s="407"/>
      <c r="CI662" s="407">
        <v>34963.560000000005</v>
      </c>
      <c r="CJ662" s="407">
        <v>-10231.230000000003</v>
      </c>
      <c r="CK662" s="407"/>
      <c r="CL662" s="407"/>
      <c r="CM662" s="407"/>
      <c r="CN662" s="407"/>
      <c r="CO662" s="407">
        <v>-10231.199999999997</v>
      </c>
      <c r="CP662" s="407">
        <v>0</v>
      </c>
      <c r="CQ662" s="407">
        <v>31</v>
      </c>
      <c r="CR662" s="407">
        <v>233.50119160410395</v>
      </c>
      <c r="CS662" s="407">
        <v>0</v>
      </c>
      <c r="CT662" s="407">
        <v>0</v>
      </c>
      <c r="CU662" s="407">
        <v>0</v>
      </c>
      <c r="CV662" s="407">
        <v>0</v>
      </c>
      <c r="CW662" s="407"/>
      <c r="CX662" s="407"/>
      <c r="CY662" s="407"/>
      <c r="CZ662" s="407">
        <v>1115.9829868678607</v>
      </c>
      <c r="DA662" s="407">
        <v>0</v>
      </c>
      <c r="DB662" s="407">
        <v>0</v>
      </c>
      <c r="DC662" s="407"/>
      <c r="DD662" s="407"/>
      <c r="DE662" s="407">
        <v>0</v>
      </c>
      <c r="DF662" s="407">
        <v>0</v>
      </c>
      <c r="DG662" s="407">
        <v>0</v>
      </c>
      <c r="DH662" s="407">
        <v>0</v>
      </c>
      <c r="DI662" s="407">
        <v>0</v>
      </c>
      <c r="DJ662" s="407"/>
      <c r="DK662" s="407">
        <v>0</v>
      </c>
      <c r="DL662" s="407">
        <v>0</v>
      </c>
      <c r="DM662" s="407"/>
      <c r="DN662" s="407">
        <v>0</v>
      </c>
      <c r="DO662" s="407">
        <v>0</v>
      </c>
      <c r="DP662" s="407">
        <v>0</v>
      </c>
      <c r="DQ662" s="407">
        <v>0</v>
      </c>
      <c r="DR662" s="407">
        <v>-882.481795263756</v>
      </c>
      <c r="DS662" s="407"/>
      <c r="DT662" s="407"/>
      <c r="DU662" s="407">
        <v>20492.871336963948</v>
      </c>
      <c r="DV662" s="407"/>
      <c r="DW662" s="407">
        <v>0</v>
      </c>
      <c r="DX662" s="407">
        <v>0</v>
      </c>
      <c r="DY662" s="407">
        <v>-10231.199999999997</v>
      </c>
      <c r="DZ662" s="407"/>
      <c r="EA662" s="407">
        <v>0</v>
      </c>
      <c r="EB662" s="407"/>
      <c r="EC662" s="407">
        <v>-10467.806276142783</v>
      </c>
      <c r="ED662" s="407"/>
      <c r="EE662" s="407">
        <v>0</v>
      </c>
      <c r="EF662" s="407">
        <v>0</v>
      </c>
      <c r="EG662" s="407"/>
      <c r="EH662" s="407">
        <v>0</v>
      </c>
      <c r="EI662" s="407">
        <v>0</v>
      </c>
      <c r="EJ662" s="407">
        <v>0</v>
      </c>
      <c r="EK662" s="407">
        <v>0</v>
      </c>
      <c r="EL662" s="407">
        <v>0</v>
      </c>
      <c r="EM662" s="407"/>
      <c r="EN662" s="407"/>
      <c r="EO662" s="407">
        <v>0</v>
      </c>
      <c r="EP662" s="407">
        <v>0</v>
      </c>
      <c r="EQ662" s="407"/>
      <c r="ER662" s="407">
        <v>0</v>
      </c>
      <c r="ES662" s="407"/>
      <c r="ET662" s="407">
        <v>0</v>
      </c>
      <c r="EU662" s="407"/>
      <c r="EV662" s="407">
        <v>246</v>
      </c>
      <c r="EW662" s="407"/>
      <c r="EX662" s="407"/>
      <c r="EY662" s="407"/>
      <c r="EZ662" s="407"/>
      <c r="FA662" s="407">
        <v>0</v>
      </c>
      <c r="FB662" s="407"/>
      <c r="FC662" s="407"/>
      <c r="FD662" s="407"/>
      <c r="FE662" s="407"/>
      <c r="FF662" s="407">
        <v>0</v>
      </c>
      <c r="FG662" s="407">
        <v>0</v>
      </c>
      <c r="FH662" s="407">
        <v>0</v>
      </c>
      <c r="FI662" s="407">
        <v>0</v>
      </c>
    </row>
    <row r="663" spans="1:165">
      <c r="A663" s="407">
        <v>687</v>
      </c>
      <c r="B663" s="407" t="s">
        <v>1090</v>
      </c>
      <c r="C663" s="407" t="s">
        <v>2306</v>
      </c>
      <c r="D663" s="407" t="s">
        <v>2315</v>
      </c>
      <c r="E663" s="407" t="s">
        <v>1026</v>
      </c>
      <c r="F663" s="407" t="s">
        <v>97</v>
      </c>
      <c r="G663" s="407" t="s">
        <v>97</v>
      </c>
      <c r="H663" s="407" t="s">
        <v>97</v>
      </c>
      <c r="I663" s="407" t="s">
        <v>97</v>
      </c>
      <c r="J663" s="407" t="s">
        <v>2307</v>
      </c>
      <c r="K663" s="818">
        <v>44682</v>
      </c>
      <c r="L663" s="407">
        <v>0</v>
      </c>
      <c r="M663" s="407">
        <v>0</v>
      </c>
      <c r="N663" s="407">
        <v>3471.0740000000001</v>
      </c>
      <c r="O663" s="407">
        <v>3471.0740000000001</v>
      </c>
      <c r="P663" s="407">
        <v>3471.0740000000001</v>
      </c>
      <c r="Q663" s="407">
        <v>3471.0740000000001</v>
      </c>
      <c r="R663" s="407"/>
      <c r="S663" s="407">
        <v>648.44000000000005</v>
      </c>
      <c r="T663" s="407">
        <v>159.41</v>
      </c>
      <c r="U663" s="407"/>
      <c r="V663" s="407">
        <v>2804107.1309000002</v>
      </c>
      <c r="W663" s="407">
        <v>2804107.1309000002</v>
      </c>
      <c r="X663" s="407">
        <v>2123672.49468</v>
      </c>
      <c r="Y663" s="407">
        <v>0</v>
      </c>
      <c r="Z663" s="407">
        <v>215103.32573529988</v>
      </c>
      <c r="AA663" s="407">
        <v>0</v>
      </c>
      <c r="AB663" s="407">
        <v>0</v>
      </c>
      <c r="AC663" s="407">
        <v>0</v>
      </c>
      <c r="AD663" s="407">
        <v>404881.43506910012</v>
      </c>
      <c r="AE663" s="407">
        <v>1449333.0324252625</v>
      </c>
      <c r="AF663" s="407">
        <v>535346.23078423808</v>
      </c>
      <c r="AG663" s="407">
        <v>17986.228112777895</v>
      </c>
      <c r="AH663" s="407">
        <v>0</v>
      </c>
      <c r="AI663" s="407">
        <v>0</v>
      </c>
      <c r="AJ663" s="407">
        <v>0</v>
      </c>
      <c r="AK663" s="407">
        <v>0</v>
      </c>
      <c r="AL663" s="407">
        <v>33239.196750521893</v>
      </c>
      <c r="AM663" s="407"/>
      <c r="AN663" s="407">
        <v>7202.8105251777824</v>
      </c>
      <c r="AO663" s="407">
        <v>0</v>
      </c>
      <c r="AP663" s="407">
        <v>0</v>
      </c>
      <c r="AQ663" s="407">
        <v>0</v>
      </c>
      <c r="AR663" s="407">
        <v>0</v>
      </c>
      <c r="AS663" s="407">
        <v>0</v>
      </c>
      <c r="AT663" s="407">
        <v>0</v>
      </c>
      <c r="AU663" s="407">
        <v>0</v>
      </c>
      <c r="AV663" s="407">
        <v>0</v>
      </c>
      <c r="AW663" s="407">
        <v>0</v>
      </c>
      <c r="AX663" s="407">
        <v>0</v>
      </c>
      <c r="AY663" s="407">
        <v>0</v>
      </c>
      <c r="AZ663" s="407">
        <v>0</v>
      </c>
      <c r="BA663" s="407"/>
      <c r="BB663" s="407">
        <v>0</v>
      </c>
      <c r="BC663" s="407">
        <v>0</v>
      </c>
      <c r="BD663" s="407">
        <v>0</v>
      </c>
      <c r="BE663" s="407">
        <v>0</v>
      </c>
      <c r="BF663" s="407">
        <v>0</v>
      </c>
      <c r="BG663" s="407">
        <v>39132.099982929532</v>
      </c>
      <c r="BH663" s="407">
        <v>0</v>
      </c>
      <c r="BI663" s="407">
        <v>697.93</v>
      </c>
      <c r="BJ663" s="407">
        <v>3252.87</v>
      </c>
      <c r="BK663" s="407">
        <v>147937.18</v>
      </c>
      <c r="BL663" s="407">
        <v>13099</v>
      </c>
      <c r="BM663" s="407"/>
      <c r="BN663" s="407"/>
      <c r="BO663" s="407"/>
      <c r="BP663" s="407"/>
      <c r="BQ663" s="407"/>
      <c r="BR663" s="407">
        <v>254846.25308000005</v>
      </c>
      <c r="BS663" s="407"/>
      <c r="BT663" s="407"/>
      <c r="BU663" s="407"/>
      <c r="BV663" s="407">
        <v>574478.33076716762</v>
      </c>
      <c r="BW663" s="407"/>
      <c r="BX663" s="407"/>
      <c r="BY663" s="407"/>
      <c r="BZ663" s="407"/>
      <c r="CA663" s="407"/>
      <c r="CB663" s="407"/>
      <c r="CC663" s="407"/>
      <c r="CD663" s="407"/>
      <c r="CE663" s="407"/>
      <c r="CF663" s="407"/>
      <c r="CG663" s="407"/>
      <c r="CH663" s="407"/>
      <c r="CI663" s="407">
        <v>1868824.088</v>
      </c>
      <c r="CJ663" s="407">
        <v>-598797.15933999978</v>
      </c>
      <c r="CK663" s="407"/>
      <c r="CL663" s="407"/>
      <c r="CM663" s="407"/>
      <c r="CN663" s="407"/>
      <c r="CO663" s="407">
        <v>-775785.03900000022</v>
      </c>
      <c r="CP663" s="407">
        <v>95350.402780000004</v>
      </c>
      <c r="CQ663" s="407">
        <v>31</v>
      </c>
      <c r="CR663" s="407">
        <v>59889.973329683533</v>
      </c>
      <c r="CS663" s="407">
        <v>0</v>
      </c>
      <c r="CT663" s="407">
        <v>0</v>
      </c>
      <c r="CU663" s="407">
        <v>0</v>
      </c>
      <c r="CV663" s="407">
        <v>0</v>
      </c>
      <c r="CW663" s="407">
        <v>0</v>
      </c>
      <c r="CX663" s="407">
        <v>0</v>
      </c>
      <c r="CY663" s="407">
        <v>0</v>
      </c>
      <c r="CZ663" s="407">
        <v>18289.297225043469</v>
      </c>
      <c r="DA663" s="407">
        <v>0</v>
      </c>
      <c r="DB663" s="407">
        <v>0</v>
      </c>
      <c r="DC663" s="407">
        <v>106144.70062296314</v>
      </c>
      <c r="DD663" s="407">
        <v>0</v>
      </c>
      <c r="DE663" s="407">
        <v>0</v>
      </c>
      <c r="DF663" s="407">
        <v>0</v>
      </c>
      <c r="DG663" s="407">
        <v>7758.8386703520009</v>
      </c>
      <c r="DH663" s="407">
        <v>0</v>
      </c>
      <c r="DI663" s="407">
        <v>-15066.26127885835</v>
      </c>
      <c r="DJ663" s="407"/>
      <c r="DK663" s="407">
        <v>0</v>
      </c>
      <c r="DL663" s="407">
        <v>0</v>
      </c>
      <c r="DM663" s="407">
        <v>0</v>
      </c>
      <c r="DN663" s="407">
        <v>0</v>
      </c>
      <c r="DO663" s="407">
        <v>-2027.9691613054674</v>
      </c>
      <c r="DP663" s="407">
        <v>-458.94569761782532</v>
      </c>
      <c r="DQ663" s="407">
        <v>0</v>
      </c>
      <c r="DR663" s="407">
        <v>-54749.687050893539</v>
      </c>
      <c r="DS663" s="407"/>
      <c r="DT663" s="407"/>
      <c r="DU663" s="407"/>
      <c r="DV663" s="407">
        <v>1449333.0324252625</v>
      </c>
      <c r="DW663" s="407">
        <v>0</v>
      </c>
      <c r="DX663" s="407">
        <v>0</v>
      </c>
      <c r="DY663" s="407">
        <v>-775785.03899999987</v>
      </c>
      <c r="DZ663" s="407">
        <v>95350.402780000004</v>
      </c>
      <c r="EA663" s="407">
        <v>0</v>
      </c>
      <c r="EB663" s="407">
        <v>0</v>
      </c>
      <c r="EC663" s="407">
        <v>-740322.67921757454</v>
      </c>
      <c r="ED663" s="407">
        <v>0</v>
      </c>
      <c r="EE663" s="407">
        <v>0</v>
      </c>
      <c r="EF663" s="407">
        <v>0</v>
      </c>
      <c r="EG663" s="407">
        <v>0</v>
      </c>
      <c r="EH663" s="407">
        <v>0</v>
      </c>
      <c r="EI663" s="407">
        <v>0</v>
      </c>
      <c r="EJ663" s="407">
        <v>0</v>
      </c>
      <c r="EK663" s="407">
        <v>0</v>
      </c>
      <c r="EL663" s="407">
        <v>0</v>
      </c>
      <c r="EM663" s="407">
        <v>0</v>
      </c>
      <c r="EN663" s="407">
        <v>0</v>
      </c>
      <c r="EO663" s="407">
        <v>0</v>
      </c>
      <c r="EP663" s="407">
        <v>101890.59944109648</v>
      </c>
      <c r="EQ663" s="407">
        <v>0</v>
      </c>
      <c r="ER663" s="407">
        <v>0</v>
      </c>
      <c r="ES663" s="407">
        <v>0</v>
      </c>
      <c r="ET663" s="407">
        <v>0</v>
      </c>
      <c r="EU663" s="407">
        <v>0</v>
      </c>
      <c r="EV663" s="407">
        <v>246</v>
      </c>
      <c r="EW663" s="407">
        <v>0</v>
      </c>
      <c r="EX663" s="407">
        <v>0</v>
      </c>
      <c r="EY663" s="407">
        <v>0</v>
      </c>
      <c r="EZ663" s="407"/>
      <c r="FA663" s="407">
        <v>0</v>
      </c>
      <c r="FB663" s="407"/>
      <c r="FC663" s="407"/>
      <c r="FD663" s="407"/>
      <c r="FE663" s="407"/>
      <c r="FF663" s="407">
        <v>0</v>
      </c>
      <c r="FG663" s="407">
        <v>0</v>
      </c>
      <c r="FH663" s="407">
        <v>0</v>
      </c>
      <c r="FI663" s="407">
        <v>0</v>
      </c>
    </row>
    <row r="664" spans="1:165">
      <c r="A664" s="407">
        <v>688</v>
      </c>
      <c r="B664" s="407" t="s">
        <v>2308</v>
      </c>
      <c r="C664" s="407" t="s">
        <v>2306</v>
      </c>
      <c r="D664" s="407" t="s">
        <v>2315</v>
      </c>
      <c r="E664" s="407" t="s">
        <v>1026</v>
      </c>
      <c r="F664" s="407" t="s">
        <v>97</v>
      </c>
      <c r="G664" s="407" t="s">
        <v>97</v>
      </c>
      <c r="H664" s="407" t="s">
        <v>97</v>
      </c>
      <c r="I664" s="407" t="s">
        <v>97</v>
      </c>
      <c r="J664" s="407" t="s">
        <v>2307</v>
      </c>
      <c r="K664" s="818">
        <v>44682</v>
      </c>
      <c r="L664" s="407">
        <v>0</v>
      </c>
      <c r="M664" s="407">
        <v>0</v>
      </c>
      <c r="N664" s="407">
        <v>-6.0419999999999998</v>
      </c>
      <c r="O664" s="407">
        <v>-6.0419999999999998</v>
      </c>
      <c r="P664" s="407">
        <v>-6.0419999999999998</v>
      </c>
      <c r="Q664" s="407">
        <v>-6.0419999999999998</v>
      </c>
      <c r="R664" s="407"/>
      <c r="S664" s="407">
        <v>648.44000000000005</v>
      </c>
      <c r="T664" s="407">
        <v>159.41</v>
      </c>
      <c r="U664" s="407"/>
      <c r="V664" s="407">
        <v>-4881.0297</v>
      </c>
      <c r="W664" s="407">
        <v>-4881.0297</v>
      </c>
      <c r="X664" s="407">
        <v>-3696.6164399999998</v>
      </c>
      <c r="Y664" s="407">
        <v>0</v>
      </c>
      <c r="Z664" s="407">
        <v>-374.42425430650047</v>
      </c>
      <c r="AA664" s="407">
        <v>0</v>
      </c>
      <c r="AB664" s="407">
        <v>0</v>
      </c>
      <c r="AC664" s="407">
        <v>0</v>
      </c>
      <c r="AD664" s="407">
        <v>-704.76562317239643</v>
      </c>
      <c r="AE664" s="407">
        <v>-2522.8128763355194</v>
      </c>
      <c r="AF664" s="407">
        <v>-931.86199038060454</v>
      </c>
      <c r="AG664" s="407">
        <v>-31.30811681266491</v>
      </c>
      <c r="AH664" s="407">
        <v>0</v>
      </c>
      <c r="AI664" s="407">
        <v>0</v>
      </c>
      <c r="AJ664" s="407">
        <v>0</v>
      </c>
      <c r="AK664" s="407">
        <v>0</v>
      </c>
      <c r="AL664" s="407">
        <v>-57.858526429183954</v>
      </c>
      <c r="AM664" s="407"/>
      <c r="AN664" s="407">
        <v>-12.53772785977025</v>
      </c>
      <c r="AO664" s="407">
        <v>0</v>
      </c>
      <c r="AP664" s="407">
        <v>0</v>
      </c>
      <c r="AQ664" s="407">
        <v>0</v>
      </c>
      <c r="AR664" s="407">
        <v>0</v>
      </c>
      <c r="AS664" s="407">
        <v>0</v>
      </c>
      <c r="AT664" s="407">
        <v>0</v>
      </c>
      <c r="AU664" s="407">
        <v>0</v>
      </c>
      <c r="AV664" s="407">
        <v>0</v>
      </c>
      <c r="AW664" s="407">
        <v>0</v>
      </c>
      <c r="AX664" s="407">
        <v>0</v>
      </c>
      <c r="AY664" s="407">
        <v>0</v>
      </c>
      <c r="AZ664" s="407">
        <v>0</v>
      </c>
      <c r="BA664" s="407"/>
      <c r="BB664" s="407">
        <v>0</v>
      </c>
      <c r="BC664" s="407">
        <v>0</v>
      </c>
      <c r="BD664" s="407">
        <v>0</v>
      </c>
      <c r="BE664" s="407">
        <v>0</v>
      </c>
      <c r="BF664" s="407">
        <v>0</v>
      </c>
      <c r="BG664" s="407">
        <v>-68.116135840624608</v>
      </c>
      <c r="BH664" s="407">
        <v>0</v>
      </c>
      <c r="BI664" s="407">
        <v>-7.76</v>
      </c>
      <c r="BJ664" s="407">
        <v>-37.24</v>
      </c>
      <c r="BK664" s="407">
        <v>-46.43</v>
      </c>
      <c r="BL664" s="407">
        <v>0</v>
      </c>
      <c r="BM664" s="407"/>
      <c r="BN664" s="407"/>
      <c r="BO664" s="407"/>
      <c r="BP664" s="407"/>
      <c r="BQ664" s="407"/>
      <c r="BR664" s="407">
        <v>-443.60364000000004</v>
      </c>
      <c r="BS664" s="407"/>
      <c r="BT664" s="407"/>
      <c r="BU664" s="407"/>
      <c r="BV664" s="407">
        <v>-999.9781262212291</v>
      </c>
      <c r="BW664" s="407"/>
      <c r="BX664" s="407"/>
      <c r="BY664" s="407"/>
      <c r="BZ664" s="407"/>
      <c r="CA664" s="407"/>
      <c r="CB664" s="407"/>
      <c r="CC664" s="407"/>
      <c r="CD664" s="407"/>
      <c r="CE664" s="407"/>
      <c r="CF664" s="407"/>
      <c r="CG664" s="407"/>
      <c r="CH664" s="407"/>
      <c r="CI664" s="407">
        <v>-3251.9359999999997</v>
      </c>
      <c r="CJ664" s="407">
        <v>1043.3522199999998</v>
      </c>
      <c r="CK664" s="407"/>
      <c r="CL664" s="407"/>
      <c r="CM664" s="407"/>
      <c r="CN664" s="407"/>
      <c r="CO664" s="407">
        <v>1350.3870000000004</v>
      </c>
      <c r="CP664" s="407">
        <v>-165.97373999999999</v>
      </c>
      <c r="CQ664" s="407">
        <v>31</v>
      </c>
      <c r="CR664" s="407">
        <v>-104.24877685060756</v>
      </c>
      <c r="CS664" s="407">
        <v>0</v>
      </c>
      <c r="CT664" s="407">
        <v>0</v>
      </c>
      <c r="CU664" s="407">
        <v>0</v>
      </c>
      <c r="CV664" s="407">
        <v>0</v>
      </c>
      <c r="CW664" s="407">
        <v>0</v>
      </c>
      <c r="CX664" s="407">
        <v>0</v>
      </c>
      <c r="CY664" s="407">
        <v>0</v>
      </c>
      <c r="CZ664" s="407">
        <v>-31.835660615046663</v>
      </c>
      <c r="DA664" s="407">
        <v>0</v>
      </c>
      <c r="DB664" s="407">
        <v>0</v>
      </c>
      <c r="DC664" s="407">
        <v>-184.7630679046149</v>
      </c>
      <c r="DD664" s="407">
        <v>0</v>
      </c>
      <c r="DE664" s="407">
        <v>0</v>
      </c>
      <c r="DF664" s="407">
        <v>0</v>
      </c>
      <c r="DG664" s="407">
        <v>-13.505590271560564</v>
      </c>
      <c r="DH664" s="407">
        <v>0</v>
      </c>
      <c r="DI664" s="407">
        <v>26.225413415807964</v>
      </c>
      <c r="DJ664" s="407"/>
      <c r="DK664" s="407">
        <v>0</v>
      </c>
      <c r="DL664" s="407">
        <v>0</v>
      </c>
      <c r="DM664" s="407">
        <v>0</v>
      </c>
      <c r="DN664" s="407">
        <v>0</v>
      </c>
      <c r="DO664" s="407">
        <v>3.530028363730537</v>
      </c>
      <c r="DP664" s="407">
        <v>0.79887375060482668</v>
      </c>
      <c r="DQ664" s="407">
        <v>0</v>
      </c>
      <c r="DR664" s="407">
        <v>95.301226410470861</v>
      </c>
      <c r="DS664" s="407"/>
      <c r="DT664" s="407"/>
      <c r="DU664" s="407"/>
      <c r="DV664" s="407">
        <v>-2522.8128763355194</v>
      </c>
      <c r="DW664" s="407">
        <v>0</v>
      </c>
      <c r="DX664" s="407">
        <v>0</v>
      </c>
      <c r="DY664" s="407">
        <v>1350.3870000000006</v>
      </c>
      <c r="DZ664" s="407">
        <v>-165.97374000000002</v>
      </c>
      <c r="EA664" s="407">
        <v>0</v>
      </c>
      <c r="EB664" s="407">
        <v>0</v>
      </c>
      <c r="EC664" s="407">
        <v>1288.6586767762906</v>
      </c>
      <c r="ED664" s="407">
        <v>0</v>
      </c>
      <c r="EE664" s="407">
        <v>0</v>
      </c>
      <c r="EF664" s="407">
        <v>0</v>
      </c>
      <c r="EG664" s="407">
        <v>0</v>
      </c>
      <c r="EH664" s="407">
        <v>0</v>
      </c>
      <c r="EI664" s="407">
        <v>0</v>
      </c>
      <c r="EJ664" s="407">
        <v>0</v>
      </c>
      <c r="EK664" s="407">
        <v>0</v>
      </c>
      <c r="EL664" s="407">
        <v>0</v>
      </c>
      <c r="EM664" s="407">
        <v>0</v>
      </c>
      <c r="EN664" s="407">
        <v>0</v>
      </c>
      <c r="EO664" s="407">
        <v>0</v>
      </c>
      <c r="EP664" s="407">
        <v>-177.35807471206459</v>
      </c>
      <c r="EQ664" s="407">
        <v>0</v>
      </c>
      <c r="ER664" s="407">
        <v>0</v>
      </c>
      <c r="ES664" s="407">
        <v>0</v>
      </c>
      <c r="ET664" s="407">
        <v>0</v>
      </c>
      <c r="EU664" s="407">
        <v>0</v>
      </c>
      <c r="EV664" s="407">
        <v>246</v>
      </c>
      <c r="EW664" s="407">
        <v>0</v>
      </c>
      <c r="EX664" s="407">
        <v>0</v>
      </c>
      <c r="EY664" s="407">
        <v>0</v>
      </c>
      <c r="EZ664" s="407"/>
      <c r="FA664" s="407">
        <v>0</v>
      </c>
      <c r="FB664" s="407"/>
      <c r="FC664" s="407"/>
      <c r="FD664" s="407"/>
      <c r="FE664" s="407"/>
      <c r="FF664" s="407">
        <v>0</v>
      </c>
      <c r="FG664" s="407">
        <v>0</v>
      </c>
      <c r="FH664" s="407">
        <v>0</v>
      </c>
      <c r="FI664" s="407">
        <v>0</v>
      </c>
    </row>
    <row r="665" spans="1:165">
      <c r="A665" s="407">
        <v>689</v>
      </c>
      <c r="B665" s="407" t="s">
        <v>2309</v>
      </c>
      <c r="C665" s="407" t="s">
        <v>2306</v>
      </c>
      <c r="D665" s="407" t="s">
        <v>2315</v>
      </c>
      <c r="E665" s="407" t="s">
        <v>1026</v>
      </c>
      <c r="F665" s="407" t="s">
        <v>97</v>
      </c>
      <c r="G665" s="407" t="s">
        <v>97</v>
      </c>
      <c r="H665" s="407" t="s">
        <v>97</v>
      </c>
      <c r="I665" s="407" t="s">
        <v>97</v>
      </c>
      <c r="J665" s="407" t="s">
        <v>2307</v>
      </c>
      <c r="K665" s="818">
        <v>44682</v>
      </c>
      <c r="L665" s="407">
        <v>0</v>
      </c>
      <c r="M665" s="407">
        <v>0</v>
      </c>
      <c r="N665" s="407">
        <v>134.74799999999999</v>
      </c>
      <c r="O665" s="407">
        <v>134.74799999999999</v>
      </c>
      <c r="P665" s="407">
        <v>134.74799999999999</v>
      </c>
      <c r="Q665" s="407">
        <v>134.74799999999999</v>
      </c>
      <c r="R665" s="407"/>
      <c r="S665" s="407">
        <v>648.44000000000005</v>
      </c>
      <c r="T665" s="407">
        <v>159.41</v>
      </c>
      <c r="U665" s="407"/>
      <c r="V665" s="407">
        <v>108856.1718</v>
      </c>
      <c r="W665" s="407">
        <v>108856.1718</v>
      </c>
      <c r="X665" s="407">
        <v>82441.521359999984</v>
      </c>
      <c r="Y665" s="407">
        <v>0</v>
      </c>
      <c r="Z665" s="407">
        <v>8350.3673318921428</v>
      </c>
      <c r="AA665" s="407">
        <v>0</v>
      </c>
      <c r="AB665" s="407">
        <v>0</v>
      </c>
      <c r="AC665" s="407">
        <v>0</v>
      </c>
      <c r="AD665" s="407">
        <v>15717.603143203256</v>
      </c>
      <c r="AE665" s="407">
        <v>56263.487166577048</v>
      </c>
      <c r="AF665" s="407">
        <v>20782.280615658008</v>
      </c>
      <c r="AG665" s="407">
        <v>698.23007684094193</v>
      </c>
      <c r="AH665" s="407">
        <v>0</v>
      </c>
      <c r="AI665" s="407">
        <v>0</v>
      </c>
      <c r="AJ665" s="407">
        <v>0</v>
      </c>
      <c r="AK665" s="407">
        <v>0</v>
      </c>
      <c r="AL665" s="407">
        <v>1290.3543064018006</v>
      </c>
      <c r="AM665" s="407"/>
      <c r="AN665" s="407">
        <v>279.61498736317799</v>
      </c>
      <c r="AO665" s="407">
        <v>0</v>
      </c>
      <c r="AP665" s="407">
        <v>0</v>
      </c>
      <c r="AQ665" s="407">
        <v>0</v>
      </c>
      <c r="AR665" s="407">
        <v>0</v>
      </c>
      <c r="AS665" s="407">
        <v>0</v>
      </c>
      <c r="AT665" s="407">
        <v>0</v>
      </c>
      <c r="AU665" s="407">
        <v>0</v>
      </c>
      <c r="AV665" s="407">
        <v>0</v>
      </c>
      <c r="AW665" s="407">
        <v>0</v>
      </c>
      <c r="AX665" s="407">
        <v>0</v>
      </c>
      <c r="AY665" s="407">
        <v>0</v>
      </c>
      <c r="AZ665" s="407">
        <v>0</v>
      </c>
      <c r="BA665" s="407"/>
      <c r="BB665" s="407">
        <v>0</v>
      </c>
      <c r="BC665" s="407">
        <v>0</v>
      </c>
      <c r="BD665" s="407">
        <v>0</v>
      </c>
      <c r="BE665" s="407">
        <v>0</v>
      </c>
      <c r="BF665" s="407">
        <v>0</v>
      </c>
      <c r="BG665" s="407">
        <v>1519.1183502569486</v>
      </c>
      <c r="BH665" s="407">
        <v>0</v>
      </c>
      <c r="BI665" s="407">
        <v>28.37</v>
      </c>
      <c r="BJ665" s="407">
        <v>127.84</v>
      </c>
      <c r="BK665" s="407">
        <v>5634.22</v>
      </c>
      <c r="BL665" s="407">
        <v>522</v>
      </c>
      <c r="BM665" s="407"/>
      <c r="BN665" s="407"/>
      <c r="BO665" s="407"/>
      <c r="BP665" s="407"/>
      <c r="BQ665" s="407"/>
      <c r="BR665" s="407">
        <v>9893.1981600000017</v>
      </c>
      <c r="BS665" s="407"/>
      <c r="BT665" s="407"/>
      <c r="BU665" s="407"/>
      <c r="BV665" s="407">
        <v>22301.398965914956</v>
      </c>
      <c r="BW665" s="407"/>
      <c r="BX665" s="407"/>
      <c r="BY665" s="407"/>
      <c r="BZ665" s="407"/>
      <c r="CA665" s="407"/>
      <c r="CB665" s="407"/>
      <c r="CC665" s="407"/>
      <c r="CD665" s="407"/>
      <c r="CE665" s="407"/>
      <c r="CF665" s="407"/>
      <c r="CG665" s="407"/>
      <c r="CH665" s="407"/>
      <c r="CI665" s="407">
        <v>72549.399999999994</v>
      </c>
      <c r="CJ665" s="407">
        <v>-23244.330679999985</v>
      </c>
      <c r="CK665" s="407"/>
      <c r="CL665" s="407"/>
      <c r="CM665" s="407"/>
      <c r="CN665" s="407"/>
      <c r="CO665" s="407">
        <v>-30116.178000000007</v>
      </c>
      <c r="CP665" s="407">
        <v>3701.5275599999995</v>
      </c>
      <c r="CQ665" s="407">
        <v>31</v>
      </c>
      <c r="CR665" s="407">
        <v>2324.9444195739197</v>
      </c>
      <c r="CS665" s="407">
        <v>0</v>
      </c>
      <c r="CT665" s="407">
        <v>0</v>
      </c>
      <c r="CU665" s="407">
        <v>0</v>
      </c>
      <c r="CV665" s="407">
        <v>0</v>
      </c>
      <c r="CW665" s="407">
        <v>0</v>
      </c>
      <c r="CX665" s="407">
        <v>0</v>
      </c>
      <c r="CY665" s="407">
        <v>0</v>
      </c>
      <c r="CZ665" s="407">
        <v>709.99529899972003</v>
      </c>
      <c r="DA665" s="407">
        <v>0</v>
      </c>
      <c r="DB665" s="407">
        <v>0</v>
      </c>
      <c r="DC665" s="407">
        <v>4120.5650238349954</v>
      </c>
      <c r="DD665" s="407">
        <v>0</v>
      </c>
      <c r="DE665" s="407">
        <v>0</v>
      </c>
      <c r="DF665" s="407">
        <v>0</v>
      </c>
      <c r="DG665" s="407">
        <v>301.20014530159597</v>
      </c>
      <c r="DH665" s="407">
        <v>0</v>
      </c>
      <c r="DI665" s="407">
        <v>-584.87620108462306</v>
      </c>
      <c r="DJ665" s="407"/>
      <c r="DK665" s="407">
        <v>0</v>
      </c>
      <c r="DL665" s="407">
        <v>0</v>
      </c>
      <c r="DM665" s="407">
        <v>0</v>
      </c>
      <c r="DN665" s="407">
        <v>0</v>
      </c>
      <c r="DO665" s="407">
        <v>-78.726292942066038</v>
      </c>
      <c r="DP665" s="407">
        <v>-17.816391947451052</v>
      </c>
      <c r="DQ665" s="407">
        <v>0</v>
      </c>
      <c r="DR665" s="407">
        <v>-2125.3971625882373</v>
      </c>
      <c r="DS665" s="407"/>
      <c r="DT665" s="407"/>
      <c r="DU665" s="407"/>
      <c r="DV665" s="407">
        <v>56263.487166577048</v>
      </c>
      <c r="DW665" s="407">
        <v>0</v>
      </c>
      <c r="DX665" s="407">
        <v>0</v>
      </c>
      <c r="DY665" s="407">
        <v>-30116.178000000007</v>
      </c>
      <c r="DZ665" s="407">
        <v>3701.5275599999986</v>
      </c>
      <c r="EA665" s="407">
        <v>0</v>
      </c>
      <c r="EB665" s="407">
        <v>0</v>
      </c>
      <c r="EC665" s="407">
        <v>-28739.519923576892</v>
      </c>
      <c r="ED665" s="407">
        <v>0</v>
      </c>
      <c r="EE665" s="407">
        <v>0</v>
      </c>
      <c r="EF665" s="407">
        <v>0</v>
      </c>
      <c r="EG665" s="407">
        <v>0</v>
      </c>
      <c r="EH665" s="407">
        <v>0</v>
      </c>
      <c r="EI665" s="407">
        <v>0</v>
      </c>
      <c r="EJ665" s="407">
        <v>0</v>
      </c>
      <c r="EK665" s="407">
        <v>0</v>
      </c>
      <c r="EL665" s="407">
        <v>0</v>
      </c>
      <c r="EM665" s="407">
        <v>0</v>
      </c>
      <c r="EN665" s="407">
        <v>0</v>
      </c>
      <c r="EO665" s="407">
        <v>0</v>
      </c>
      <c r="EP665" s="407">
        <v>3955.4197039558553</v>
      </c>
      <c r="EQ665" s="407">
        <v>0</v>
      </c>
      <c r="ER665" s="407">
        <v>0</v>
      </c>
      <c r="ES665" s="407">
        <v>0</v>
      </c>
      <c r="ET665" s="407">
        <v>0</v>
      </c>
      <c r="EU665" s="407">
        <v>0</v>
      </c>
      <c r="EV665" s="407">
        <v>246</v>
      </c>
      <c r="EW665" s="407">
        <v>0</v>
      </c>
      <c r="EX665" s="407">
        <v>0</v>
      </c>
      <c r="EY665" s="407">
        <v>0</v>
      </c>
      <c r="EZ665" s="407"/>
      <c r="FA665" s="407">
        <v>0</v>
      </c>
      <c r="FB665" s="407"/>
      <c r="FC665" s="407"/>
      <c r="FD665" s="407"/>
      <c r="FE665" s="407"/>
      <c r="FF665" s="407">
        <v>0</v>
      </c>
      <c r="FG665" s="407">
        <v>0</v>
      </c>
      <c r="FH665" s="407">
        <v>0</v>
      </c>
      <c r="FI665" s="407">
        <v>0</v>
      </c>
    </row>
    <row r="666" spans="1:165">
      <c r="A666" s="407">
        <v>690</v>
      </c>
      <c r="B666" s="407" t="s">
        <v>1090</v>
      </c>
      <c r="C666" s="407" t="s">
        <v>2314</v>
      </c>
      <c r="D666" s="407" t="s">
        <v>650</v>
      </c>
      <c r="E666" s="407" t="s">
        <v>1026</v>
      </c>
      <c r="F666" s="407" t="s">
        <v>97</v>
      </c>
      <c r="G666" s="407" t="s">
        <v>97</v>
      </c>
      <c r="H666" s="407" t="s">
        <v>97</v>
      </c>
      <c r="I666" s="407" t="s">
        <v>1025</v>
      </c>
      <c r="J666" s="407" t="s">
        <v>2307</v>
      </c>
      <c r="K666" s="818">
        <v>44682</v>
      </c>
      <c r="L666" s="407">
        <v>0</v>
      </c>
      <c r="M666" s="407">
        <v>0</v>
      </c>
      <c r="N666" s="407">
        <v>38.723999999999997</v>
      </c>
      <c r="O666" s="407">
        <v>37.175040000000003</v>
      </c>
      <c r="P666" s="407">
        <v>38.723999999999997</v>
      </c>
      <c r="Q666" s="407">
        <v>37.175040000000003</v>
      </c>
      <c r="R666" s="407"/>
      <c r="S666" s="407">
        <v>2810.7</v>
      </c>
      <c r="T666" s="407">
        <v>159.41</v>
      </c>
      <c r="U666" s="407"/>
      <c r="V666" s="407">
        <v>115014.53963999997</v>
      </c>
      <c r="W666" s="407">
        <v>115014.53963999997</v>
      </c>
      <c r="X666" s="407">
        <v>73253.80356</v>
      </c>
      <c r="Y666" s="407">
        <v>0</v>
      </c>
      <c r="Z666" s="407">
        <v>2087.7703072948489</v>
      </c>
      <c r="AA666" s="407">
        <v>0</v>
      </c>
      <c r="AB666" s="407">
        <v>0</v>
      </c>
      <c r="AC666" s="407">
        <v>0</v>
      </c>
      <c r="AD666" s="407">
        <v>23641.60583830591</v>
      </c>
      <c r="AE666" s="407">
        <v>81509.717922017153</v>
      </c>
      <c r="AF666" s="407">
        <v>5972.4302739984323</v>
      </c>
      <c r="AG666" s="407">
        <v>200.65798004859914</v>
      </c>
      <c r="AH666" s="407">
        <v>0</v>
      </c>
      <c r="AI666" s="407">
        <v>0</v>
      </c>
      <c r="AJ666" s="407">
        <v>0</v>
      </c>
      <c r="AK666" s="407">
        <v>0</v>
      </c>
      <c r="AL666" s="407">
        <v>370.82316740213821</v>
      </c>
      <c r="AM666" s="407"/>
      <c r="AN666" s="407">
        <v>41.579251554692902</v>
      </c>
      <c r="AO666" s="407">
        <v>0</v>
      </c>
      <c r="AP666" s="407">
        <v>0</v>
      </c>
      <c r="AQ666" s="407">
        <v>0</v>
      </c>
      <c r="AR666" s="407">
        <v>0</v>
      </c>
      <c r="AS666" s="407">
        <v>0</v>
      </c>
      <c r="AT666" s="407">
        <v>0</v>
      </c>
      <c r="AU666" s="407">
        <v>0</v>
      </c>
      <c r="AV666" s="407">
        <v>0</v>
      </c>
      <c r="AW666" s="407">
        <v>0</v>
      </c>
      <c r="AX666" s="407">
        <v>0</v>
      </c>
      <c r="AY666" s="407">
        <v>0</v>
      </c>
      <c r="AZ666" s="407">
        <v>0</v>
      </c>
      <c r="BA666" s="407"/>
      <c r="BB666" s="407">
        <v>0</v>
      </c>
      <c r="BC666" s="407">
        <v>0</v>
      </c>
      <c r="BD666" s="407">
        <v>0</v>
      </c>
      <c r="BE666" s="407">
        <v>0</v>
      </c>
      <c r="BF666" s="407">
        <v>0</v>
      </c>
      <c r="BG666" s="407">
        <v>200.97269467558598</v>
      </c>
      <c r="BH666" s="407">
        <v>0</v>
      </c>
      <c r="BI666" s="407">
        <v>0</v>
      </c>
      <c r="BJ666" s="407">
        <v>0</v>
      </c>
      <c r="BK666" s="407">
        <v>0</v>
      </c>
      <c r="BL666" s="407">
        <v>0</v>
      </c>
      <c r="BM666" s="407"/>
      <c r="BN666" s="407"/>
      <c r="BO666" s="407"/>
      <c r="BP666" s="407"/>
      <c r="BQ666" s="407"/>
      <c r="BR666" s="407">
        <v>2930.1521423999884</v>
      </c>
      <c r="BS666" s="407"/>
      <c r="BT666" s="407"/>
      <c r="BU666" s="407"/>
      <c r="BV666" s="407">
        <v>6173.4029686740187</v>
      </c>
      <c r="BW666" s="407"/>
      <c r="BX666" s="407"/>
      <c r="BY666" s="407"/>
      <c r="BZ666" s="407"/>
      <c r="CA666" s="407"/>
      <c r="CB666" s="407"/>
      <c r="CC666" s="407"/>
      <c r="CD666" s="407"/>
      <c r="CE666" s="407"/>
      <c r="CF666" s="407"/>
      <c r="CG666" s="407"/>
      <c r="CH666" s="407"/>
      <c r="CI666" s="407">
        <v>70333.034199999995</v>
      </c>
      <c r="CJ666" s="407">
        <v>-40080.953854399995</v>
      </c>
      <c r="CK666" s="407"/>
      <c r="CL666" s="407"/>
      <c r="CM666" s="407"/>
      <c r="CN666" s="407"/>
      <c r="CO666" s="407">
        <v>-42824.484359999995</v>
      </c>
      <c r="CP666" s="407">
        <v>1063.7482799999998</v>
      </c>
      <c r="CQ666" s="407">
        <v>31</v>
      </c>
      <c r="CR666" s="407">
        <v>-125.17908603210526</v>
      </c>
      <c r="CS666" s="407">
        <v>0</v>
      </c>
      <c r="CT666" s="407">
        <v>0</v>
      </c>
      <c r="CU666" s="407">
        <v>0</v>
      </c>
      <c r="CV666" s="407">
        <v>0</v>
      </c>
      <c r="CW666" s="407">
        <v>0</v>
      </c>
      <c r="CX666" s="407">
        <v>0</v>
      </c>
      <c r="CY666" s="407">
        <v>0</v>
      </c>
      <c r="CZ666" s="407">
        <v>1067.938212529556</v>
      </c>
      <c r="DA666" s="407">
        <v>0</v>
      </c>
      <c r="DB666" s="407">
        <v>0</v>
      </c>
      <c r="DC666" s="407">
        <v>1184.1716387848901</v>
      </c>
      <c r="DD666" s="407">
        <v>0</v>
      </c>
      <c r="DE666" s="407">
        <v>0</v>
      </c>
      <c r="DF666" s="407">
        <v>0</v>
      </c>
      <c r="DG666" s="407">
        <v>39.847458117862175</v>
      </c>
      <c r="DH666" s="407">
        <v>0</v>
      </c>
      <c r="DI666" s="407">
        <v>-146.23155096474147</v>
      </c>
      <c r="DJ666" s="407"/>
      <c r="DK666" s="407">
        <v>0</v>
      </c>
      <c r="DL666" s="407">
        <v>0</v>
      </c>
      <c r="DM666" s="407">
        <v>0</v>
      </c>
      <c r="DN666" s="407">
        <v>0</v>
      </c>
      <c r="DO666" s="407">
        <v>-22.62443203526999</v>
      </c>
      <c r="DP666" s="407">
        <v>-2.6493295283126059</v>
      </c>
      <c r="DQ666" s="407">
        <v>0</v>
      </c>
      <c r="DR666" s="407">
        <v>-2245.6310829360818</v>
      </c>
      <c r="DS666" s="407"/>
      <c r="DT666" s="407"/>
      <c r="DU666" s="407"/>
      <c r="DV666" s="407">
        <v>81509.717922017153</v>
      </c>
      <c r="DW666" s="407">
        <v>0</v>
      </c>
      <c r="DX666" s="407">
        <v>0</v>
      </c>
      <c r="DY666" s="407">
        <v>-42824.484359999988</v>
      </c>
      <c r="DZ666" s="407">
        <v>1063.7482799999998</v>
      </c>
      <c r="EA666" s="407">
        <v>0</v>
      </c>
      <c r="EB666" s="407">
        <v>0</v>
      </c>
      <c r="EC666" s="407">
        <v>-41635.353230940651</v>
      </c>
      <c r="ED666" s="407">
        <v>0</v>
      </c>
      <c r="EE666" s="407">
        <v>0</v>
      </c>
      <c r="EF666" s="407">
        <v>0</v>
      </c>
      <c r="EG666" s="407">
        <v>0</v>
      </c>
      <c r="EH666" s="407">
        <v>0</v>
      </c>
      <c r="EI666" s="407">
        <v>0</v>
      </c>
      <c r="EJ666" s="407">
        <v>0</v>
      </c>
      <c r="EK666" s="407">
        <v>0</v>
      </c>
      <c r="EL666" s="407">
        <v>0</v>
      </c>
      <c r="EM666" s="407">
        <v>0</v>
      </c>
      <c r="EN666" s="407">
        <v>0</v>
      </c>
      <c r="EO666" s="407">
        <v>0</v>
      </c>
      <c r="EP666" s="407">
        <v>988.93946608415877</v>
      </c>
      <c r="EQ666" s="407">
        <v>0</v>
      </c>
      <c r="ER666" s="407">
        <v>0</v>
      </c>
      <c r="ES666" s="407">
        <v>0</v>
      </c>
      <c r="ET666" s="407">
        <v>0</v>
      </c>
      <c r="EU666" s="407">
        <v>0</v>
      </c>
      <c r="EV666" s="407">
        <v>246</v>
      </c>
      <c r="EW666" s="407">
        <v>0</v>
      </c>
      <c r="EX666" s="407">
        <v>0</v>
      </c>
      <c r="EY666" s="407">
        <v>0</v>
      </c>
      <c r="EZ666" s="407"/>
      <c r="FA666" s="407">
        <v>0</v>
      </c>
      <c r="FB666" s="407"/>
      <c r="FC666" s="407"/>
      <c r="FD666" s="407"/>
      <c r="FE666" s="407"/>
      <c r="FF666" s="407">
        <v>0</v>
      </c>
      <c r="FG666" s="407">
        <v>0</v>
      </c>
      <c r="FH666" s="407">
        <v>0</v>
      </c>
      <c r="FI666" s="407">
        <v>0</v>
      </c>
    </row>
    <row r="667" spans="1:165">
      <c r="A667" s="407">
        <v>691</v>
      </c>
      <c r="B667" s="407" t="s">
        <v>2309</v>
      </c>
      <c r="C667" s="407" t="s">
        <v>2314</v>
      </c>
      <c r="D667" s="407" t="s">
        <v>650</v>
      </c>
      <c r="E667" s="407" t="s">
        <v>1026</v>
      </c>
      <c r="F667" s="407" t="s">
        <v>97</v>
      </c>
      <c r="G667" s="407" t="s">
        <v>97</v>
      </c>
      <c r="H667" s="407" t="s">
        <v>97</v>
      </c>
      <c r="I667" s="407" t="s">
        <v>1025</v>
      </c>
      <c r="J667" s="407" t="s">
        <v>2307</v>
      </c>
      <c r="K667" s="818">
        <v>44682</v>
      </c>
      <c r="L667" s="407">
        <v>0</v>
      </c>
      <c r="M667" s="407">
        <v>0</v>
      </c>
      <c r="N667" s="407">
        <v>1.2609999999999999</v>
      </c>
      <c r="O667" s="407">
        <v>1.2105600000000001</v>
      </c>
      <c r="P667" s="407">
        <v>1.2609999999999999</v>
      </c>
      <c r="Q667" s="407">
        <v>1.2105600000000001</v>
      </c>
      <c r="R667" s="407"/>
      <c r="S667" s="407">
        <v>2810.7</v>
      </c>
      <c r="T667" s="407">
        <v>159.41</v>
      </c>
      <c r="U667" s="407"/>
      <c r="V667" s="407">
        <v>3745.3087099999993</v>
      </c>
      <c r="W667" s="407">
        <v>3745.3087099999993</v>
      </c>
      <c r="X667" s="407">
        <v>2385.4210899999998</v>
      </c>
      <c r="Y667" s="407">
        <v>0</v>
      </c>
      <c r="Z667" s="407">
        <v>67.985702858661412</v>
      </c>
      <c r="AA667" s="407">
        <v>0</v>
      </c>
      <c r="AB667" s="407">
        <v>0</v>
      </c>
      <c r="AC667" s="407">
        <v>0</v>
      </c>
      <c r="AD667" s="407">
        <v>769.86016326060724</v>
      </c>
      <c r="AE667" s="407">
        <v>2654.2649080586625</v>
      </c>
      <c r="AF667" s="407">
        <v>194.48493377523042</v>
      </c>
      <c r="AG667" s="407">
        <v>6.534183267257605</v>
      </c>
      <c r="AH667" s="407">
        <v>0</v>
      </c>
      <c r="AI667" s="407">
        <v>0</v>
      </c>
      <c r="AJ667" s="407">
        <v>0</v>
      </c>
      <c r="AK667" s="407">
        <v>0</v>
      </c>
      <c r="AL667" s="407">
        <v>12.075405797285827</v>
      </c>
      <c r="AM667" s="407"/>
      <c r="AN667" s="407">
        <v>1.3539777969855322</v>
      </c>
      <c r="AO667" s="407">
        <v>0</v>
      </c>
      <c r="AP667" s="407">
        <v>0</v>
      </c>
      <c r="AQ667" s="407">
        <v>0</v>
      </c>
      <c r="AR667" s="407">
        <v>0</v>
      </c>
      <c r="AS667" s="407">
        <v>0</v>
      </c>
      <c r="AT667" s="407">
        <v>0</v>
      </c>
      <c r="AU667" s="407">
        <v>0</v>
      </c>
      <c r="AV667" s="407">
        <v>0</v>
      </c>
      <c r="AW667" s="407">
        <v>0</v>
      </c>
      <c r="AX667" s="407">
        <v>0</v>
      </c>
      <c r="AY667" s="407">
        <v>0</v>
      </c>
      <c r="AZ667" s="407">
        <v>0</v>
      </c>
      <c r="BA667" s="407"/>
      <c r="BB667" s="407">
        <v>0</v>
      </c>
      <c r="BC667" s="407">
        <v>0</v>
      </c>
      <c r="BD667" s="407">
        <v>0</v>
      </c>
      <c r="BE667" s="407">
        <v>0</v>
      </c>
      <c r="BF667" s="407">
        <v>0</v>
      </c>
      <c r="BG667" s="407">
        <v>6.5444315666231256</v>
      </c>
      <c r="BH667" s="407">
        <v>0</v>
      </c>
      <c r="BI667" s="407">
        <v>0</v>
      </c>
      <c r="BJ667" s="407">
        <v>0</v>
      </c>
      <c r="BK667" s="407">
        <v>0</v>
      </c>
      <c r="BL667" s="407">
        <v>0</v>
      </c>
      <c r="BM667" s="407"/>
      <c r="BN667" s="407"/>
      <c r="BO667" s="407"/>
      <c r="BP667" s="407"/>
      <c r="BQ667" s="407"/>
      <c r="BR667" s="407">
        <v>95.416843599999652</v>
      </c>
      <c r="BS667" s="407"/>
      <c r="BT667" s="407"/>
      <c r="BU667" s="407"/>
      <c r="BV667" s="407">
        <v>201.02936534185355</v>
      </c>
      <c r="BW667" s="407"/>
      <c r="BX667" s="407"/>
      <c r="BY667" s="407"/>
      <c r="BZ667" s="407"/>
      <c r="CA667" s="407"/>
      <c r="CB667" s="407"/>
      <c r="CC667" s="407"/>
      <c r="CD667" s="407"/>
      <c r="CE667" s="407"/>
      <c r="CF667" s="407"/>
      <c r="CG667" s="407"/>
      <c r="CH667" s="407"/>
      <c r="CI667" s="407">
        <v>2288.9449</v>
      </c>
      <c r="CJ667" s="407">
        <v>-1306.5814616000011</v>
      </c>
      <c r="CK667" s="407"/>
      <c r="CL667" s="407"/>
      <c r="CM667" s="407"/>
      <c r="CN667" s="407"/>
      <c r="CO667" s="407">
        <v>-1394.5272899999998</v>
      </c>
      <c r="CP667" s="407">
        <v>34.639669999999995</v>
      </c>
      <c r="CQ667" s="407">
        <v>31</v>
      </c>
      <c r="CR667" s="407">
        <v>-4.0763048106209681</v>
      </c>
      <c r="CS667" s="407">
        <v>0</v>
      </c>
      <c r="CT667" s="407">
        <v>0</v>
      </c>
      <c r="CU667" s="407">
        <v>0</v>
      </c>
      <c r="CV667" s="407">
        <v>0</v>
      </c>
      <c r="CW667" s="407">
        <v>0</v>
      </c>
      <c r="CX667" s="407">
        <v>0</v>
      </c>
      <c r="CY667" s="407">
        <v>0</v>
      </c>
      <c r="CZ667" s="407">
        <v>34.776110060938095</v>
      </c>
      <c r="DA667" s="407">
        <v>0</v>
      </c>
      <c r="DB667" s="407">
        <v>0</v>
      </c>
      <c r="DC667" s="407">
        <v>38.56111033229385</v>
      </c>
      <c r="DD667" s="407">
        <v>0</v>
      </c>
      <c r="DE667" s="407">
        <v>0</v>
      </c>
      <c r="DF667" s="407">
        <v>0</v>
      </c>
      <c r="DG667" s="407">
        <v>1.297584048306585</v>
      </c>
      <c r="DH667" s="407">
        <v>0</v>
      </c>
      <c r="DI667" s="407">
        <v>-4.7618527467859479</v>
      </c>
      <c r="DJ667" s="407"/>
      <c r="DK667" s="407">
        <v>0</v>
      </c>
      <c r="DL667" s="407">
        <v>0</v>
      </c>
      <c r="DM667" s="407">
        <v>0</v>
      </c>
      <c r="DN667" s="407">
        <v>0</v>
      </c>
      <c r="DO667" s="407">
        <v>-0.73673713450251732</v>
      </c>
      <c r="DP667" s="407">
        <v>-8.6272196446704807E-2</v>
      </c>
      <c r="DQ667" s="407">
        <v>0</v>
      </c>
      <c r="DR667" s="407">
        <v>-73.126247174424108</v>
      </c>
      <c r="DS667" s="407"/>
      <c r="DT667" s="407"/>
      <c r="DU667" s="407"/>
      <c r="DV667" s="407">
        <v>2654.2649080586625</v>
      </c>
      <c r="DW667" s="407">
        <v>0</v>
      </c>
      <c r="DX667" s="407">
        <v>0</v>
      </c>
      <c r="DY667" s="407">
        <v>-1394.5272899999995</v>
      </c>
      <c r="DZ667" s="407">
        <v>34.639669999999995</v>
      </c>
      <c r="EA667" s="407">
        <v>0</v>
      </c>
      <c r="EB667" s="407">
        <v>0</v>
      </c>
      <c r="EC667" s="407">
        <v>-1355.8046798940238</v>
      </c>
      <c r="ED667" s="407">
        <v>0</v>
      </c>
      <c r="EE667" s="407">
        <v>0</v>
      </c>
      <c r="EF667" s="407">
        <v>0</v>
      </c>
      <c r="EG667" s="407">
        <v>0</v>
      </c>
      <c r="EH667" s="407">
        <v>0</v>
      </c>
      <c r="EI667" s="407">
        <v>0</v>
      </c>
      <c r="EJ667" s="407">
        <v>0</v>
      </c>
      <c r="EK667" s="407">
        <v>0</v>
      </c>
      <c r="EL667" s="407">
        <v>0</v>
      </c>
      <c r="EM667" s="407">
        <v>0</v>
      </c>
      <c r="EN667" s="407">
        <v>0</v>
      </c>
      <c r="EO667" s="407">
        <v>0</v>
      </c>
      <c r="EP667" s="407">
        <v>32.203611887514832</v>
      </c>
      <c r="EQ667" s="407">
        <v>0</v>
      </c>
      <c r="ER667" s="407">
        <v>0</v>
      </c>
      <c r="ES667" s="407">
        <v>0</v>
      </c>
      <c r="ET667" s="407">
        <v>0</v>
      </c>
      <c r="EU667" s="407">
        <v>0</v>
      </c>
      <c r="EV667" s="407">
        <v>246</v>
      </c>
      <c r="EW667" s="407">
        <v>0</v>
      </c>
      <c r="EX667" s="407">
        <v>0</v>
      </c>
      <c r="EY667" s="407">
        <v>0</v>
      </c>
      <c r="EZ667" s="407"/>
      <c r="FA667" s="407">
        <v>0</v>
      </c>
      <c r="FB667" s="407"/>
      <c r="FC667" s="407"/>
      <c r="FD667" s="407"/>
      <c r="FE667" s="407"/>
      <c r="FF667" s="407">
        <v>0</v>
      </c>
      <c r="FG667" s="407">
        <v>0</v>
      </c>
      <c r="FH667" s="407">
        <v>0</v>
      </c>
      <c r="FI667" s="407">
        <v>0</v>
      </c>
    </row>
    <row r="668" spans="1:165">
      <c r="A668" s="407">
        <v>692</v>
      </c>
      <c r="B668" s="407" t="s">
        <v>1090</v>
      </c>
      <c r="C668" s="407" t="s">
        <v>2314</v>
      </c>
      <c r="D668" s="407" t="s">
        <v>650</v>
      </c>
      <c r="E668" s="407" t="s">
        <v>1026</v>
      </c>
      <c r="F668" s="407" t="s">
        <v>97</v>
      </c>
      <c r="G668" s="407" t="s">
        <v>97</v>
      </c>
      <c r="H668" s="407" t="s">
        <v>97</v>
      </c>
      <c r="I668" s="407" t="s">
        <v>2290</v>
      </c>
      <c r="J668" s="407" t="s">
        <v>2307</v>
      </c>
      <c r="K668" s="818">
        <v>44682</v>
      </c>
      <c r="L668" s="407">
        <v>0</v>
      </c>
      <c r="M668" s="407">
        <v>0</v>
      </c>
      <c r="N668" s="407">
        <v>800.053</v>
      </c>
      <c r="O668" s="407">
        <v>768.05088000000001</v>
      </c>
      <c r="P668" s="407">
        <v>800.053</v>
      </c>
      <c r="Q668" s="407">
        <v>768.05088000000001</v>
      </c>
      <c r="R668" s="407"/>
      <c r="S668" s="407">
        <v>95.29</v>
      </c>
      <c r="T668" s="407">
        <v>159.41</v>
      </c>
      <c r="U668" s="407"/>
      <c r="V668" s="407">
        <v>203773.49910000002</v>
      </c>
      <c r="W668" s="407">
        <v>203773.49910000002</v>
      </c>
      <c r="X668" s="407">
        <v>221542.67622999998</v>
      </c>
      <c r="Y668" s="407">
        <v>0</v>
      </c>
      <c r="Z668" s="407">
        <v>43134.151886741187</v>
      </c>
      <c r="AA668" s="407">
        <v>0</v>
      </c>
      <c r="AB668" s="407">
        <v>0</v>
      </c>
      <c r="AC668" s="407">
        <v>0</v>
      </c>
      <c r="AD668" s="407">
        <v>0</v>
      </c>
      <c r="AE668" s="407">
        <v>0</v>
      </c>
      <c r="AF668" s="407">
        <v>123392.74759847298</v>
      </c>
      <c r="AG668" s="407">
        <v>4145.6724230921882</v>
      </c>
      <c r="AH668" s="407">
        <v>0</v>
      </c>
      <c r="AI668" s="407">
        <v>0</v>
      </c>
      <c r="AJ668" s="407">
        <v>0</v>
      </c>
      <c r="AK668" s="407">
        <v>0</v>
      </c>
      <c r="AL668" s="407">
        <v>7661.3518115272936</v>
      </c>
      <c r="AM668" s="407"/>
      <c r="AN668" s="407">
        <v>859.043614918054</v>
      </c>
      <c r="AO668" s="407">
        <v>0</v>
      </c>
      <c r="AP668" s="407">
        <v>0</v>
      </c>
      <c r="AQ668" s="407">
        <v>0</v>
      </c>
      <c r="AR668" s="407">
        <v>0</v>
      </c>
      <c r="AS668" s="407">
        <v>0</v>
      </c>
      <c r="AT668" s="407">
        <v>0</v>
      </c>
      <c r="AU668" s="407">
        <v>0</v>
      </c>
      <c r="AV668" s="407">
        <v>0</v>
      </c>
      <c r="AW668" s="407">
        <v>0</v>
      </c>
      <c r="AX668" s="407">
        <v>0</v>
      </c>
      <c r="AY668" s="407">
        <v>0</v>
      </c>
      <c r="AZ668" s="407">
        <v>0</v>
      </c>
      <c r="BA668" s="407"/>
      <c r="BB668" s="407">
        <v>0</v>
      </c>
      <c r="BC668" s="407">
        <v>0</v>
      </c>
      <c r="BD668" s="407">
        <v>0</v>
      </c>
      <c r="BE668" s="407">
        <v>0</v>
      </c>
      <c r="BF668" s="407">
        <v>0</v>
      </c>
      <c r="BG668" s="407">
        <v>4152.1745504928886</v>
      </c>
      <c r="BH668" s="407">
        <v>0</v>
      </c>
      <c r="BI668" s="407">
        <v>0</v>
      </c>
      <c r="BJ668" s="407">
        <v>0</v>
      </c>
      <c r="BK668" s="407">
        <v>0</v>
      </c>
      <c r="BL668" s="407">
        <v>0</v>
      </c>
      <c r="BM668" s="407"/>
      <c r="BN668" s="407"/>
      <c r="BO668" s="407"/>
      <c r="BP668" s="407"/>
      <c r="BQ668" s="407"/>
      <c r="BR668" s="407">
        <v>8861.7070491999984</v>
      </c>
      <c r="BS668" s="407"/>
      <c r="BT668" s="407"/>
      <c r="BU668" s="407"/>
      <c r="BV668" s="407">
        <v>127544.92214896587</v>
      </c>
      <c r="BW668" s="407"/>
      <c r="BX668" s="407"/>
      <c r="BY668" s="407"/>
      <c r="BZ668" s="407"/>
      <c r="CA668" s="407"/>
      <c r="CB668" s="407"/>
      <c r="CC668" s="407"/>
      <c r="CD668" s="407"/>
      <c r="CE668" s="407"/>
      <c r="CF668" s="407"/>
      <c r="CG668" s="407"/>
      <c r="CH668" s="407"/>
      <c r="CI668" s="407">
        <v>212680.72549999997</v>
      </c>
      <c r="CJ668" s="407">
        <v>17058.136363999947</v>
      </c>
      <c r="CK668" s="407"/>
      <c r="CL668" s="407"/>
      <c r="CM668" s="407"/>
      <c r="CN668" s="407"/>
      <c r="CO668" s="407">
        <v>-4208.2787800000042</v>
      </c>
      <c r="CP668" s="407">
        <v>21977.455910000001</v>
      </c>
      <c r="CQ668" s="407">
        <v>31</v>
      </c>
      <c r="CR668" s="407">
        <v>17766.648330144759</v>
      </c>
      <c r="CS668" s="407">
        <v>0</v>
      </c>
      <c r="CT668" s="407">
        <v>0</v>
      </c>
      <c r="CU668" s="407">
        <v>0</v>
      </c>
      <c r="CV668" s="407">
        <v>0</v>
      </c>
      <c r="CW668" s="407">
        <v>0</v>
      </c>
      <c r="CX668" s="407">
        <v>0</v>
      </c>
      <c r="CY668" s="407">
        <v>0</v>
      </c>
      <c r="CZ668" s="407">
        <v>0</v>
      </c>
      <c r="DA668" s="407">
        <v>0</v>
      </c>
      <c r="DB668" s="407">
        <v>0</v>
      </c>
      <c r="DC668" s="407">
        <v>24465.449646853842</v>
      </c>
      <c r="DD668" s="407">
        <v>0</v>
      </c>
      <c r="DE668" s="407">
        <v>0</v>
      </c>
      <c r="DF668" s="407">
        <v>0</v>
      </c>
      <c r="DG668" s="407">
        <v>823.26408453594559</v>
      </c>
      <c r="DH668" s="407">
        <v>0</v>
      </c>
      <c r="DI668" s="407">
        <v>-3021.2010908995508</v>
      </c>
      <c r="DJ668" s="407"/>
      <c r="DK668" s="407">
        <v>0</v>
      </c>
      <c r="DL668" s="407">
        <v>0</v>
      </c>
      <c r="DM668" s="407">
        <v>0</v>
      </c>
      <c r="DN668" s="407">
        <v>0</v>
      </c>
      <c r="DO668" s="407">
        <v>-467.42962305324545</v>
      </c>
      <c r="DP668" s="407">
        <v>-54.736185236935398</v>
      </c>
      <c r="DQ668" s="407">
        <v>0</v>
      </c>
      <c r="DR668" s="407">
        <v>-3978.698502055282</v>
      </c>
      <c r="DS668" s="407"/>
      <c r="DT668" s="407"/>
      <c r="DU668" s="407"/>
      <c r="DV668" s="407">
        <v>0</v>
      </c>
      <c r="DW668" s="407">
        <v>0</v>
      </c>
      <c r="DX668" s="407">
        <v>0</v>
      </c>
      <c r="DY668" s="407">
        <v>-4208.2787800000078</v>
      </c>
      <c r="DZ668" s="407">
        <v>21977.45590999999</v>
      </c>
      <c r="EA668" s="407">
        <v>0</v>
      </c>
      <c r="EB668" s="407">
        <v>0</v>
      </c>
      <c r="EC668" s="407">
        <v>0</v>
      </c>
      <c r="ED668" s="407">
        <v>0</v>
      </c>
      <c r="EE668" s="407">
        <v>0</v>
      </c>
      <c r="EF668" s="407">
        <v>0</v>
      </c>
      <c r="EG668" s="407">
        <v>0</v>
      </c>
      <c r="EH668" s="407">
        <v>0</v>
      </c>
      <c r="EI668" s="407">
        <v>0</v>
      </c>
      <c r="EJ668" s="407">
        <v>0</v>
      </c>
      <c r="EK668" s="407">
        <v>0</v>
      </c>
      <c r="EL668" s="407">
        <v>0</v>
      </c>
      <c r="EM668" s="407">
        <v>0</v>
      </c>
      <c r="EN668" s="407">
        <v>0</v>
      </c>
      <c r="EO668" s="407">
        <v>0</v>
      </c>
      <c r="EP668" s="407">
        <v>20431.876527709679</v>
      </c>
      <c r="EQ668" s="407">
        <v>0</v>
      </c>
      <c r="ER668" s="407">
        <v>0</v>
      </c>
      <c r="ES668" s="407">
        <v>0</v>
      </c>
      <c r="ET668" s="407">
        <v>0</v>
      </c>
      <c r="EU668" s="407">
        <v>0</v>
      </c>
      <c r="EV668" s="407">
        <v>246</v>
      </c>
      <c r="EW668" s="407">
        <v>0</v>
      </c>
      <c r="EX668" s="407">
        <v>0</v>
      </c>
      <c r="EY668" s="407">
        <v>0</v>
      </c>
      <c r="EZ668" s="407"/>
      <c r="FA668" s="407">
        <v>0</v>
      </c>
      <c r="FB668" s="407"/>
      <c r="FC668" s="407"/>
      <c r="FD668" s="407"/>
      <c r="FE668" s="407"/>
      <c r="FF668" s="407">
        <v>0</v>
      </c>
      <c r="FG668" s="407">
        <v>0</v>
      </c>
      <c r="FH668" s="407">
        <v>0</v>
      </c>
      <c r="FI668" s="407">
        <v>0</v>
      </c>
    </row>
    <row r="669" spans="1:165">
      <c r="A669" s="407">
        <v>693</v>
      </c>
      <c r="B669" s="407" t="s">
        <v>2309</v>
      </c>
      <c r="C669" s="407" t="s">
        <v>2314</v>
      </c>
      <c r="D669" s="407" t="s">
        <v>650</v>
      </c>
      <c r="E669" s="407" t="s">
        <v>1026</v>
      </c>
      <c r="F669" s="407" t="s">
        <v>97</v>
      </c>
      <c r="G669" s="407" t="s">
        <v>97</v>
      </c>
      <c r="H669" s="407" t="s">
        <v>97</v>
      </c>
      <c r="I669" s="407" t="s">
        <v>2290</v>
      </c>
      <c r="J669" s="407" t="s">
        <v>2307</v>
      </c>
      <c r="K669" s="818">
        <v>44682</v>
      </c>
      <c r="L669" s="407">
        <v>0</v>
      </c>
      <c r="M669" s="407">
        <v>0</v>
      </c>
      <c r="N669" s="407">
        <v>35.676000000000002</v>
      </c>
      <c r="O669" s="407">
        <v>34.248959999999997</v>
      </c>
      <c r="P669" s="407">
        <v>35.676000000000002</v>
      </c>
      <c r="Q669" s="407">
        <v>34.248959999999997</v>
      </c>
      <c r="R669" s="407"/>
      <c r="S669" s="407">
        <v>95.29</v>
      </c>
      <c r="T669" s="407">
        <v>159.41</v>
      </c>
      <c r="U669" s="407"/>
      <c r="V669" s="407">
        <v>9086.6772000000019</v>
      </c>
      <c r="W669" s="407">
        <v>9086.6772000000019</v>
      </c>
      <c r="X669" s="407">
        <v>9879.0411600000007</v>
      </c>
      <c r="Y669" s="407">
        <v>0</v>
      </c>
      <c r="Z669" s="407">
        <v>1923.4400754842227</v>
      </c>
      <c r="AA669" s="407">
        <v>0</v>
      </c>
      <c r="AB669" s="407">
        <v>0</v>
      </c>
      <c r="AC669" s="407">
        <v>0</v>
      </c>
      <c r="AD669" s="407">
        <v>0</v>
      </c>
      <c r="AE669" s="407">
        <v>0</v>
      </c>
      <c r="AF669" s="407">
        <v>5502.3350494568767</v>
      </c>
      <c r="AG669" s="407">
        <v>184.86401446683772</v>
      </c>
      <c r="AH669" s="407">
        <v>0</v>
      </c>
      <c r="AI669" s="407">
        <v>0</v>
      </c>
      <c r="AJ669" s="407">
        <v>0</v>
      </c>
      <c r="AK669" s="407">
        <v>0</v>
      </c>
      <c r="AL669" s="407">
        <v>341.63535069307625</v>
      </c>
      <c r="AM669" s="407"/>
      <c r="AN669" s="407">
        <v>38.306512200837311</v>
      </c>
      <c r="AO669" s="407">
        <v>0</v>
      </c>
      <c r="AP669" s="407">
        <v>0</v>
      </c>
      <c r="AQ669" s="407">
        <v>0</v>
      </c>
      <c r="AR669" s="407">
        <v>0</v>
      </c>
      <c r="AS669" s="407">
        <v>0</v>
      </c>
      <c r="AT669" s="407">
        <v>0</v>
      </c>
      <c r="AU669" s="407">
        <v>0</v>
      </c>
      <c r="AV669" s="407">
        <v>0</v>
      </c>
      <c r="AW669" s="407">
        <v>0</v>
      </c>
      <c r="AX669" s="407">
        <v>0</v>
      </c>
      <c r="AY669" s="407">
        <v>0</v>
      </c>
      <c r="AZ669" s="407">
        <v>0</v>
      </c>
      <c r="BA669" s="407"/>
      <c r="BB669" s="407">
        <v>0</v>
      </c>
      <c r="BC669" s="407">
        <v>0</v>
      </c>
      <c r="BD669" s="407">
        <v>0</v>
      </c>
      <c r="BE669" s="407">
        <v>0</v>
      </c>
      <c r="BF669" s="407">
        <v>0</v>
      </c>
      <c r="BG669" s="407">
        <v>185.15395762953739</v>
      </c>
      <c r="BH669" s="407">
        <v>0</v>
      </c>
      <c r="BI669" s="407">
        <v>0</v>
      </c>
      <c r="BJ669" s="407">
        <v>0</v>
      </c>
      <c r="BK669" s="407">
        <v>0</v>
      </c>
      <c r="BL669" s="407">
        <v>0</v>
      </c>
      <c r="BM669" s="407"/>
      <c r="BN669" s="407"/>
      <c r="BO669" s="407"/>
      <c r="BP669" s="407"/>
      <c r="BQ669" s="407"/>
      <c r="BR669" s="407">
        <v>395.16164640000147</v>
      </c>
      <c r="BS669" s="407"/>
      <c r="BT669" s="407"/>
      <c r="BU669" s="407"/>
      <c r="BV669" s="407">
        <v>5687.4890070864139</v>
      </c>
      <c r="BW669" s="407"/>
      <c r="BX669" s="407"/>
      <c r="BY669" s="407"/>
      <c r="BZ669" s="407"/>
      <c r="CA669" s="407"/>
      <c r="CB669" s="407"/>
      <c r="CC669" s="407"/>
      <c r="CD669" s="407"/>
      <c r="CE669" s="407"/>
      <c r="CF669" s="407"/>
      <c r="CG669" s="407"/>
      <c r="CH669" s="407"/>
      <c r="CI669" s="407">
        <v>9484.1674999999996</v>
      </c>
      <c r="CJ669" s="407">
        <v>760.92738799999825</v>
      </c>
      <c r="CK669" s="407"/>
      <c r="CL669" s="407"/>
      <c r="CM669" s="407"/>
      <c r="CN669" s="407"/>
      <c r="CO669" s="407">
        <v>-187.65576000000019</v>
      </c>
      <c r="CP669" s="407">
        <v>980.01972000000001</v>
      </c>
      <c r="CQ669" s="407">
        <v>31</v>
      </c>
      <c r="CR669" s="407">
        <v>792.25119564109082</v>
      </c>
      <c r="CS669" s="407">
        <v>0</v>
      </c>
      <c r="CT669" s="407">
        <v>0</v>
      </c>
      <c r="CU669" s="407">
        <v>0</v>
      </c>
      <c r="CV669" s="407">
        <v>0</v>
      </c>
      <c r="CW669" s="407">
        <v>0</v>
      </c>
      <c r="CX669" s="407">
        <v>0</v>
      </c>
      <c r="CY669" s="407">
        <v>0</v>
      </c>
      <c r="CZ669" s="407">
        <v>0</v>
      </c>
      <c r="DA669" s="407">
        <v>0</v>
      </c>
      <c r="DB669" s="407">
        <v>0</v>
      </c>
      <c r="DC669" s="407">
        <v>1090.9644506065943</v>
      </c>
      <c r="DD669" s="407">
        <v>0</v>
      </c>
      <c r="DE669" s="407">
        <v>0</v>
      </c>
      <c r="DF669" s="407">
        <v>0</v>
      </c>
      <c r="DG669" s="407">
        <v>36.711029744159987</v>
      </c>
      <c r="DH669" s="407">
        <v>0</v>
      </c>
      <c r="DI669" s="407">
        <v>-134.72153734681638</v>
      </c>
      <c r="DJ669" s="407"/>
      <c r="DK669" s="407">
        <v>0</v>
      </c>
      <c r="DL669" s="407">
        <v>0</v>
      </c>
      <c r="DM669" s="407">
        <v>0</v>
      </c>
      <c r="DN669" s="407">
        <v>0</v>
      </c>
      <c r="DO669" s="407">
        <v>-20.843643148700835</v>
      </c>
      <c r="DP669" s="407">
        <v>-2.4407984777419784</v>
      </c>
      <c r="DQ669" s="407">
        <v>0</v>
      </c>
      <c r="DR669" s="407">
        <v>-177.41830573640027</v>
      </c>
      <c r="DS669" s="407"/>
      <c r="DT669" s="407"/>
      <c r="DU669" s="407"/>
      <c r="DV669" s="407">
        <v>0</v>
      </c>
      <c r="DW669" s="407">
        <v>0</v>
      </c>
      <c r="DX669" s="407">
        <v>0</v>
      </c>
      <c r="DY669" s="407">
        <v>-187.65576000000056</v>
      </c>
      <c r="DZ669" s="407">
        <v>980.01972000000023</v>
      </c>
      <c r="EA669" s="407">
        <v>0</v>
      </c>
      <c r="EB669" s="407">
        <v>0</v>
      </c>
      <c r="EC669" s="407">
        <v>0</v>
      </c>
      <c r="ED669" s="407">
        <v>0</v>
      </c>
      <c r="EE669" s="407">
        <v>0</v>
      </c>
      <c r="EF669" s="407">
        <v>0</v>
      </c>
      <c r="EG669" s="407">
        <v>0</v>
      </c>
      <c r="EH669" s="407">
        <v>0</v>
      </c>
      <c r="EI669" s="407">
        <v>0</v>
      </c>
      <c r="EJ669" s="407">
        <v>0</v>
      </c>
      <c r="EK669" s="407">
        <v>0</v>
      </c>
      <c r="EL669" s="407">
        <v>0</v>
      </c>
      <c r="EM669" s="407">
        <v>0</v>
      </c>
      <c r="EN669" s="407">
        <v>0</v>
      </c>
      <c r="EO669" s="407">
        <v>0</v>
      </c>
      <c r="EP669" s="407">
        <v>911.0991734329732</v>
      </c>
      <c r="EQ669" s="407">
        <v>0</v>
      </c>
      <c r="ER669" s="407">
        <v>0</v>
      </c>
      <c r="ES669" s="407">
        <v>0</v>
      </c>
      <c r="ET669" s="407">
        <v>0</v>
      </c>
      <c r="EU669" s="407">
        <v>0</v>
      </c>
      <c r="EV669" s="407">
        <v>246</v>
      </c>
      <c r="EW669" s="407">
        <v>0</v>
      </c>
      <c r="EX669" s="407">
        <v>0</v>
      </c>
      <c r="EY669" s="407">
        <v>0</v>
      </c>
      <c r="EZ669" s="407"/>
      <c r="FA669" s="407">
        <v>0</v>
      </c>
      <c r="FB669" s="407"/>
      <c r="FC669" s="407"/>
      <c r="FD669" s="407"/>
      <c r="FE669" s="407"/>
      <c r="FF669" s="407">
        <v>0</v>
      </c>
      <c r="FG669" s="407">
        <v>0</v>
      </c>
      <c r="FH669" s="407">
        <v>0</v>
      </c>
      <c r="FI669" s="407">
        <v>0</v>
      </c>
    </row>
    <row r="670" spans="1:165">
      <c r="A670" s="407">
        <v>694</v>
      </c>
      <c r="B670" s="407" t="s">
        <v>1090</v>
      </c>
      <c r="C670" s="407" t="s">
        <v>2314</v>
      </c>
      <c r="D670" s="407" t="s">
        <v>650</v>
      </c>
      <c r="E670" s="407" t="s">
        <v>1026</v>
      </c>
      <c r="F670" s="407" t="s">
        <v>97</v>
      </c>
      <c r="G670" s="407" t="s">
        <v>97</v>
      </c>
      <c r="H670" s="407" t="s">
        <v>97</v>
      </c>
      <c r="I670" s="407" t="s">
        <v>97</v>
      </c>
      <c r="J670" s="407" t="s">
        <v>2307</v>
      </c>
      <c r="K670" s="818">
        <v>44682</v>
      </c>
      <c r="L670" s="407">
        <v>3500</v>
      </c>
      <c r="M670" s="407">
        <v>3360</v>
      </c>
      <c r="N670" s="407">
        <v>0</v>
      </c>
      <c r="O670" s="407">
        <v>0</v>
      </c>
      <c r="P670" s="407">
        <v>0</v>
      </c>
      <c r="Q670" s="407">
        <v>0</v>
      </c>
      <c r="R670" s="407">
        <v>43.29</v>
      </c>
      <c r="S670" s="407"/>
      <c r="T670" s="407"/>
      <c r="U670" s="407">
        <v>151515</v>
      </c>
      <c r="V670" s="407"/>
      <c r="W670" s="407">
        <v>151515</v>
      </c>
      <c r="X670" s="407">
        <v>117215</v>
      </c>
      <c r="Y670" s="407">
        <v>0</v>
      </c>
      <c r="Z670" s="407">
        <v>0</v>
      </c>
      <c r="AA670" s="407">
        <v>0</v>
      </c>
      <c r="AB670" s="407">
        <v>0</v>
      </c>
      <c r="AC670" s="407">
        <v>0</v>
      </c>
      <c r="AD670" s="407">
        <v>82823.955054532998</v>
      </c>
      <c r="AE670" s="407">
        <v>68702.154865300603</v>
      </c>
      <c r="AF670" s="407"/>
      <c r="AG670" s="407"/>
      <c r="AH670" s="407"/>
      <c r="AI670" s="407">
        <v>0</v>
      </c>
      <c r="AJ670" s="407">
        <v>0</v>
      </c>
      <c r="AK670" s="407">
        <v>0</v>
      </c>
      <c r="AL670" s="407">
        <v>0</v>
      </c>
      <c r="AM670" s="407"/>
      <c r="AN670" s="407">
        <v>0</v>
      </c>
      <c r="AO670" s="407">
        <v>0</v>
      </c>
      <c r="AP670" s="407">
        <v>0</v>
      </c>
      <c r="AQ670" s="407">
        <v>0</v>
      </c>
      <c r="AR670" s="407">
        <v>0</v>
      </c>
      <c r="AS670" s="407"/>
      <c r="AT670" s="407"/>
      <c r="AU670" s="407">
        <v>0</v>
      </c>
      <c r="AV670" s="407">
        <v>0</v>
      </c>
      <c r="AW670" s="407">
        <v>0</v>
      </c>
      <c r="AX670" s="407"/>
      <c r="AY670" s="407"/>
      <c r="AZ670" s="407">
        <v>0</v>
      </c>
      <c r="BA670" s="407"/>
      <c r="BB670" s="407">
        <v>0</v>
      </c>
      <c r="BC670" s="407">
        <v>0</v>
      </c>
      <c r="BD670" s="407">
        <v>0</v>
      </c>
      <c r="BE670" s="407">
        <v>0</v>
      </c>
      <c r="BF670" s="407"/>
      <c r="BG670" s="407">
        <v>0</v>
      </c>
      <c r="BH670" s="407">
        <v>0</v>
      </c>
      <c r="BI670" s="407">
        <v>158.44</v>
      </c>
      <c r="BJ670" s="407">
        <v>673.83</v>
      </c>
      <c r="BK670" s="407">
        <v>114.66</v>
      </c>
      <c r="BL670" s="407">
        <v>22</v>
      </c>
      <c r="BM670" s="407"/>
      <c r="BN670" s="407"/>
      <c r="BO670" s="407"/>
      <c r="BP670" s="407"/>
      <c r="BQ670" s="407"/>
      <c r="BR670" s="407">
        <v>4688.6000000000004</v>
      </c>
      <c r="BS670" s="407"/>
      <c r="BT670" s="407"/>
      <c r="BU670" s="407"/>
      <c r="BV670" s="407">
        <v>0</v>
      </c>
      <c r="BW670" s="407"/>
      <c r="BX670" s="407"/>
      <c r="BY670" s="407"/>
      <c r="BZ670" s="407"/>
      <c r="CA670" s="407"/>
      <c r="CB670" s="407"/>
      <c r="CC670" s="407"/>
      <c r="CD670" s="407"/>
      <c r="CE670" s="407"/>
      <c r="CF670" s="407"/>
      <c r="CG670" s="407"/>
      <c r="CH670" s="407"/>
      <c r="CI670" s="407">
        <v>112526.40000000001</v>
      </c>
      <c r="CJ670" s="407">
        <v>-32928.030000000013</v>
      </c>
      <c r="CK670" s="407"/>
      <c r="CL670" s="407"/>
      <c r="CM670" s="407"/>
      <c r="CN670" s="407"/>
      <c r="CO670" s="407">
        <v>-34299.999999999993</v>
      </c>
      <c r="CP670" s="407">
        <v>0</v>
      </c>
      <c r="CQ670" s="407">
        <v>31</v>
      </c>
      <c r="CR670" s="407">
        <v>782.81050825132115</v>
      </c>
      <c r="CS670" s="407">
        <v>0</v>
      </c>
      <c r="CT670" s="407">
        <v>0</v>
      </c>
      <c r="CU670" s="407">
        <v>0</v>
      </c>
      <c r="CV670" s="407">
        <v>0</v>
      </c>
      <c r="CW670" s="407"/>
      <c r="CX670" s="407"/>
      <c r="CY670" s="407"/>
      <c r="CZ670" s="407">
        <v>3741.3222739823104</v>
      </c>
      <c r="DA670" s="407">
        <v>0</v>
      </c>
      <c r="DB670" s="407">
        <v>0</v>
      </c>
      <c r="DC670" s="407"/>
      <c r="DD670" s="407"/>
      <c r="DE670" s="407">
        <v>0</v>
      </c>
      <c r="DF670" s="407">
        <v>0</v>
      </c>
      <c r="DG670" s="407">
        <v>0</v>
      </c>
      <c r="DH670" s="407">
        <v>0</v>
      </c>
      <c r="DI670" s="407">
        <v>0</v>
      </c>
      <c r="DJ670" s="407"/>
      <c r="DK670" s="407">
        <v>0</v>
      </c>
      <c r="DL670" s="407">
        <v>0</v>
      </c>
      <c r="DM670" s="407"/>
      <c r="DN670" s="407">
        <v>0</v>
      </c>
      <c r="DO670" s="407">
        <v>0</v>
      </c>
      <c r="DP670" s="407">
        <v>0</v>
      </c>
      <c r="DQ670" s="407">
        <v>0</v>
      </c>
      <c r="DR670" s="407">
        <v>-2958.5117657309829</v>
      </c>
      <c r="DS670" s="407"/>
      <c r="DT670" s="407"/>
      <c r="DU670" s="407">
        <v>68702.154865300603</v>
      </c>
      <c r="DV670" s="407"/>
      <c r="DW670" s="407">
        <v>0</v>
      </c>
      <c r="DX670" s="407">
        <v>0</v>
      </c>
      <c r="DY670" s="407">
        <v>-34300</v>
      </c>
      <c r="DZ670" s="407"/>
      <c r="EA670" s="407">
        <v>0</v>
      </c>
      <c r="EB670" s="407"/>
      <c r="EC670" s="407">
        <v>-35093.220274425046</v>
      </c>
      <c r="ED670" s="407"/>
      <c r="EE670" s="407">
        <v>0</v>
      </c>
      <c r="EF670" s="407">
        <v>0</v>
      </c>
      <c r="EG670" s="407"/>
      <c r="EH670" s="407">
        <v>0</v>
      </c>
      <c r="EI670" s="407">
        <v>0</v>
      </c>
      <c r="EJ670" s="407">
        <v>0</v>
      </c>
      <c r="EK670" s="407">
        <v>0</v>
      </c>
      <c r="EL670" s="407">
        <v>0</v>
      </c>
      <c r="EM670" s="407"/>
      <c r="EN670" s="407"/>
      <c r="EO670" s="407">
        <v>0</v>
      </c>
      <c r="EP670" s="407">
        <v>0</v>
      </c>
      <c r="EQ670" s="407"/>
      <c r="ER670" s="407">
        <v>0</v>
      </c>
      <c r="ES670" s="407"/>
      <c r="ET670" s="407">
        <v>0</v>
      </c>
      <c r="EU670" s="407"/>
      <c r="EV670" s="407">
        <v>246</v>
      </c>
      <c r="EW670" s="407"/>
      <c r="EX670" s="407"/>
      <c r="EY670" s="407"/>
      <c r="EZ670" s="407"/>
      <c r="FA670" s="407">
        <v>0</v>
      </c>
      <c r="FB670" s="407"/>
      <c r="FC670" s="407"/>
      <c r="FD670" s="407"/>
      <c r="FE670" s="407"/>
      <c r="FF670" s="407">
        <v>0</v>
      </c>
      <c r="FG670" s="407">
        <v>0</v>
      </c>
      <c r="FH670" s="407">
        <v>0</v>
      </c>
      <c r="FI670" s="407">
        <v>0</v>
      </c>
    </row>
    <row r="671" spans="1:165">
      <c r="A671" s="407">
        <v>695</v>
      </c>
      <c r="B671" s="407" t="s">
        <v>2309</v>
      </c>
      <c r="C671" s="407" t="s">
        <v>2314</v>
      </c>
      <c r="D671" s="407" t="s">
        <v>650</v>
      </c>
      <c r="E671" s="407" t="s">
        <v>1026</v>
      </c>
      <c r="F671" s="407" t="s">
        <v>97</v>
      </c>
      <c r="G671" s="407" t="s">
        <v>97</v>
      </c>
      <c r="H671" s="407" t="s">
        <v>97</v>
      </c>
      <c r="I671" s="407" t="s">
        <v>97</v>
      </c>
      <c r="J671" s="407" t="s">
        <v>2307</v>
      </c>
      <c r="K671" s="818">
        <v>44682</v>
      </c>
      <c r="L671" s="407">
        <v>419</v>
      </c>
      <c r="M671" s="407">
        <v>402.24</v>
      </c>
      <c r="N671" s="407">
        <v>0</v>
      </c>
      <c r="O671" s="407">
        <v>0</v>
      </c>
      <c r="P671" s="407">
        <v>0</v>
      </c>
      <c r="Q671" s="407">
        <v>0</v>
      </c>
      <c r="R671" s="407">
        <v>43.29</v>
      </c>
      <c r="S671" s="407"/>
      <c r="T671" s="407"/>
      <c r="U671" s="407">
        <v>18138.509999999998</v>
      </c>
      <c r="V671" s="407"/>
      <c r="W671" s="407">
        <v>18138.509999999998</v>
      </c>
      <c r="X671" s="407">
        <v>14032.310000000001</v>
      </c>
      <c r="Y671" s="407">
        <v>0</v>
      </c>
      <c r="Z671" s="407">
        <v>0</v>
      </c>
      <c r="AA671" s="407">
        <v>0</v>
      </c>
      <c r="AB671" s="407">
        <v>0</v>
      </c>
      <c r="AC671" s="407">
        <v>0</v>
      </c>
      <c r="AD671" s="407">
        <v>9915.2106193855216</v>
      </c>
      <c r="AE671" s="407">
        <v>8224.6293967316997</v>
      </c>
      <c r="AF671" s="407"/>
      <c r="AG671" s="407"/>
      <c r="AH671" s="407"/>
      <c r="AI671" s="407">
        <v>0</v>
      </c>
      <c r="AJ671" s="407">
        <v>0</v>
      </c>
      <c r="AK671" s="407">
        <v>0</v>
      </c>
      <c r="AL671" s="407">
        <v>0</v>
      </c>
      <c r="AM671" s="407"/>
      <c r="AN671" s="407">
        <v>0</v>
      </c>
      <c r="AO671" s="407">
        <v>0</v>
      </c>
      <c r="AP671" s="407">
        <v>0</v>
      </c>
      <c r="AQ671" s="407">
        <v>0</v>
      </c>
      <c r="AR671" s="407">
        <v>0</v>
      </c>
      <c r="AS671" s="407"/>
      <c r="AT671" s="407"/>
      <c r="AU671" s="407">
        <v>0</v>
      </c>
      <c r="AV671" s="407">
        <v>0</v>
      </c>
      <c r="AW671" s="407">
        <v>0</v>
      </c>
      <c r="AX671" s="407"/>
      <c r="AY671" s="407"/>
      <c r="AZ671" s="407">
        <v>0</v>
      </c>
      <c r="BA671" s="407"/>
      <c r="BB671" s="407">
        <v>0</v>
      </c>
      <c r="BC671" s="407">
        <v>0</v>
      </c>
      <c r="BD671" s="407">
        <v>0</v>
      </c>
      <c r="BE671" s="407">
        <v>0</v>
      </c>
      <c r="BF671" s="407"/>
      <c r="BG671" s="407">
        <v>0</v>
      </c>
      <c r="BH671" s="407">
        <v>0</v>
      </c>
      <c r="BI671" s="407">
        <v>10.25</v>
      </c>
      <c r="BJ671" s="407">
        <v>43.63</v>
      </c>
      <c r="BK671" s="407">
        <v>14.35</v>
      </c>
      <c r="BL671" s="407">
        <v>3</v>
      </c>
      <c r="BM671" s="407"/>
      <c r="BN671" s="407"/>
      <c r="BO671" s="407"/>
      <c r="BP671" s="407"/>
      <c r="BQ671" s="407"/>
      <c r="BR671" s="407">
        <v>561.2923999999997</v>
      </c>
      <c r="BS671" s="407"/>
      <c r="BT671" s="407"/>
      <c r="BU671" s="407"/>
      <c r="BV671" s="407">
        <v>0</v>
      </c>
      <c r="BW671" s="407"/>
      <c r="BX671" s="407"/>
      <c r="BY671" s="407"/>
      <c r="BZ671" s="407"/>
      <c r="CA671" s="407"/>
      <c r="CB671" s="407"/>
      <c r="CC671" s="407"/>
      <c r="CD671" s="407"/>
      <c r="CE671" s="407"/>
      <c r="CF671" s="407"/>
      <c r="CG671" s="407"/>
      <c r="CH671" s="407"/>
      <c r="CI671" s="407">
        <v>13471.017600000001</v>
      </c>
      <c r="CJ671" s="407">
        <v>-3941.9819999999945</v>
      </c>
      <c r="CK671" s="407"/>
      <c r="CL671" s="407"/>
      <c r="CM671" s="407"/>
      <c r="CN671" s="407"/>
      <c r="CO671" s="407">
        <v>-4106.1999999999989</v>
      </c>
      <c r="CP671" s="407">
        <v>0</v>
      </c>
      <c r="CQ671" s="407">
        <v>31</v>
      </c>
      <c r="CR671" s="407">
        <v>93.713600844945177</v>
      </c>
      <c r="CS671" s="407">
        <v>0</v>
      </c>
      <c r="CT671" s="407">
        <v>0</v>
      </c>
      <c r="CU671" s="407">
        <v>0</v>
      </c>
      <c r="CV671" s="407">
        <v>0</v>
      </c>
      <c r="CW671" s="407"/>
      <c r="CX671" s="407"/>
      <c r="CY671" s="407"/>
      <c r="CZ671" s="407">
        <v>447.88972365673908</v>
      </c>
      <c r="DA671" s="407">
        <v>0</v>
      </c>
      <c r="DB671" s="407">
        <v>0</v>
      </c>
      <c r="DC671" s="407"/>
      <c r="DD671" s="407"/>
      <c r="DE671" s="407">
        <v>0</v>
      </c>
      <c r="DF671" s="407">
        <v>0</v>
      </c>
      <c r="DG671" s="407">
        <v>0</v>
      </c>
      <c r="DH671" s="407">
        <v>0</v>
      </c>
      <c r="DI671" s="407">
        <v>0</v>
      </c>
      <c r="DJ671" s="407"/>
      <c r="DK671" s="407">
        <v>0</v>
      </c>
      <c r="DL671" s="407">
        <v>0</v>
      </c>
      <c r="DM671" s="407"/>
      <c r="DN671" s="407">
        <v>0</v>
      </c>
      <c r="DO671" s="407">
        <v>0</v>
      </c>
      <c r="DP671" s="407">
        <v>0</v>
      </c>
      <c r="DQ671" s="407">
        <v>0</v>
      </c>
      <c r="DR671" s="407">
        <v>-354.17612281179481</v>
      </c>
      <c r="DS671" s="407"/>
      <c r="DT671" s="407"/>
      <c r="DU671" s="407">
        <v>8224.6293967316997</v>
      </c>
      <c r="DV671" s="407"/>
      <c r="DW671" s="407">
        <v>0</v>
      </c>
      <c r="DX671" s="407">
        <v>0</v>
      </c>
      <c r="DY671" s="407">
        <v>-4106.1999999999971</v>
      </c>
      <c r="DZ671" s="407"/>
      <c r="EA671" s="407">
        <v>0</v>
      </c>
      <c r="EB671" s="407"/>
      <c r="EC671" s="407">
        <v>-4201.1597985668832</v>
      </c>
      <c r="ED671" s="407"/>
      <c r="EE671" s="407">
        <v>0</v>
      </c>
      <c r="EF671" s="407">
        <v>0</v>
      </c>
      <c r="EG671" s="407"/>
      <c r="EH671" s="407">
        <v>0</v>
      </c>
      <c r="EI671" s="407">
        <v>0</v>
      </c>
      <c r="EJ671" s="407">
        <v>0</v>
      </c>
      <c r="EK671" s="407">
        <v>0</v>
      </c>
      <c r="EL671" s="407">
        <v>0</v>
      </c>
      <c r="EM671" s="407"/>
      <c r="EN671" s="407"/>
      <c r="EO671" s="407">
        <v>0</v>
      </c>
      <c r="EP671" s="407">
        <v>0</v>
      </c>
      <c r="EQ671" s="407"/>
      <c r="ER671" s="407">
        <v>0</v>
      </c>
      <c r="ES671" s="407"/>
      <c r="ET671" s="407">
        <v>0</v>
      </c>
      <c r="EU671" s="407"/>
      <c r="EV671" s="407">
        <v>246</v>
      </c>
      <c r="EW671" s="407"/>
      <c r="EX671" s="407"/>
      <c r="EY671" s="407"/>
      <c r="EZ671" s="407"/>
      <c r="FA671" s="407">
        <v>0</v>
      </c>
      <c r="FB671" s="407"/>
      <c r="FC671" s="407"/>
      <c r="FD671" s="407"/>
      <c r="FE671" s="407"/>
      <c r="FF671" s="407">
        <v>0</v>
      </c>
      <c r="FG671" s="407">
        <v>0</v>
      </c>
      <c r="FH671" s="407">
        <v>0</v>
      </c>
      <c r="FI671" s="407">
        <v>0</v>
      </c>
    </row>
    <row r="672" spans="1:165">
      <c r="A672" s="407">
        <v>696</v>
      </c>
      <c r="B672" s="407" t="s">
        <v>1090</v>
      </c>
      <c r="C672" s="407" t="s">
        <v>2306</v>
      </c>
      <c r="D672" s="407" t="s">
        <v>1219</v>
      </c>
      <c r="E672" s="407" t="s">
        <v>2316</v>
      </c>
      <c r="F672" s="407" t="s">
        <v>97</v>
      </c>
      <c r="G672" s="407" t="s">
        <v>97</v>
      </c>
      <c r="H672" s="407" t="s">
        <v>97</v>
      </c>
      <c r="I672" s="407" t="s">
        <v>97</v>
      </c>
      <c r="J672" s="407" t="s">
        <v>2307</v>
      </c>
      <c r="K672" s="818">
        <v>44682</v>
      </c>
      <c r="L672" s="407">
        <v>0</v>
      </c>
      <c r="M672" s="407">
        <v>0</v>
      </c>
      <c r="N672" s="407">
        <v>260.54000000000002</v>
      </c>
      <c r="O672" s="407">
        <v>260.54000000000002</v>
      </c>
      <c r="P672" s="407">
        <v>260.54000000000002</v>
      </c>
      <c r="Q672" s="407">
        <v>260.54000000000002</v>
      </c>
      <c r="R672" s="407"/>
      <c r="S672" s="407">
        <v>648.44000000000005</v>
      </c>
      <c r="T672" s="407">
        <v>159.41</v>
      </c>
      <c r="U672" s="407"/>
      <c r="V672" s="407">
        <v>210477.23900000003</v>
      </c>
      <c r="W672" s="407">
        <v>210477.23900000003</v>
      </c>
      <c r="X672" s="407">
        <v>159403.58280000003</v>
      </c>
      <c r="Y672" s="407">
        <v>0</v>
      </c>
      <c r="Z672" s="407">
        <v>16145.729099141947</v>
      </c>
      <c r="AA672" s="407">
        <v>0</v>
      </c>
      <c r="AB672" s="407">
        <v>0</v>
      </c>
      <c r="AC672" s="407">
        <v>0</v>
      </c>
      <c r="AD672" s="407">
        <v>30390.538805252596</v>
      </c>
      <c r="AE672" s="407">
        <v>108787.43243966505</v>
      </c>
      <c r="AF672" s="407">
        <v>40183.270932433421</v>
      </c>
      <c r="AG672" s="407">
        <v>1350.0524254173645</v>
      </c>
      <c r="AH672" s="407">
        <v>0</v>
      </c>
      <c r="AI672" s="407">
        <v>0</v>
      </c>
      <c r="AJ672" s="407">
        <v>0</v>
      </c>
      <c r="AK672" s="407">
        <v>0</v>
      </c>
      <c r="AL672" s="407">
        <v>2494.945461082355</v>
      </c>
      <c r="AM672" s="407"/>
      <c r="AN672" s="407">
        <v>540.64541817023189</v>
      </c>
      <c r="AO672" s="407">
        <v>0</v>
      </c>
      <c r="AP672" s="407">
        <v>0</v>
      </c>
      <c r="AQ672" s="407">
        <v>0</v>
      </c>
      <c r="AR672" s="407">
        <v>0</v>
      </c>
      <c r="AS672" s="407">
        <v>0</v>
      </c>
      <c r="AT672" s="407">
        <v>0</v>
      </c>
      <c r="AU672" s="407">
        <v>0</v>
      </c>
      <c r="AV672" s="407">
        <v>0</v>
      </c>
      <c r="AW672" s="407">
        <v>0</v>
      </c>
      <c r="AX672" s="407">
        <v>0</v>
      </c>
      <c r="AY672" s="407">
        <v>0</v>
      </c>
      <c r="AZ672" s="407">
        <v>0</v>
      </c>
      <c r="BA672" s="407"/>
      <c r="BB672" s="407">
        <v>0</v>
      </c>
      <c r="BC672" s="407">
        <v>0</v>
      </c>
      <c r="BD672" s="407">
        <v>0</v>
      </c>
      <c r="BE672" s="407">
        <v>0</v>
      </c>
      <c r="BF672" s="407">
        <v>0</v>
      </c>
      <c r="BG672" s="407">
        <v>2937.2687904528857</v>
      </c>
      <c r="BH672" s="407">
        <v>0</v>
      </c>
      <c r="BI672" s="407">
        <v>64.349999999999994</v>
      </c>
      <c r="BJ672" s="407">
        <v>281.07</v>
      </c>
      <c r="BK672" s="407">
        <v>51383.7</v>
      </c>
      <c r="BL672" s="407">
        <v>361</v>
      </c>
      <c r="BM672" s="407"/>
      <c r="BN672" s="407"/>
      <c r="BO672" s="407"/>
      <c r="BP672" s="407"/>
      <c r="BQ672" s="407"/>
      <c r="BR672" s="407"/>
      <c r="BS672" s="407"/>
      <c r="BT672" s="407"/>
      <c r="BU672" s="407"/>
      <c r="BV672" s="407">
        <v>43120.539722886308</v>
      </c>
      <c r="BW672" s="407"/>
      <c r="BX672" s="407"/>
      <c r="BY672" s="407"/>
      <c r="BZ672" s="407"/>
      <c r="CA672" s="407"/>
      <c r="CB672" s="407"/>
      <c r="CC672" s="407"/>
      <c r="CD672" s="407"/>
      <c r="CE672" s="407"/>
      <c r="CF672" s="407"/>
      <c r="CG672" s="407"/>
      <c r="CH672" s="407"/>
      <c r="CI672" s="407">
        <v>159403.58280000003</v>
      </c>
      <c r="CJ672" s="407">
        <v>-51073.686200000026</v>
      </c>
      <c r="CK672" s="407"/>
      <c r="CL672" s="407"/>
      <c r="CM672" s="407"/>
      <c r="CN672" s="407"/>
      <c r="CO672" s="407">
        <v>-58230.690000000017</v>
      </c>
      <c r="CP672" s="407">
        <v>7157.0338000000002</v>
      </c>
      <c r="CQ672" s="407">
        <v>31</v>
      </c>
      <c r="CR672" s="407">
        <v>4495.3618537996372</v>
      </c>
      <c r="CS672" s="407">
        <v>0</v>
      </c>
      <c r="CT672" s="407">
        <v>0</v>
      </c>
      <c r="CU672" s="407">
        <v>0</v>
      </c>
      <c r="CV672" s="407">
        <v>0</v>
      </c>
      <c r="CW672" s="407">
        <v>0</v>
      </c>
      <c r="CX672" s="407">
        <v>0</v>
      </c>
      <c r="CY672" s="407">
        <v>0</v>
      </c>
      <c r="CZ672" s="407">
        <v>1372.8008964985565</v>
      </c>
      <c r="DA672" s="407">
        <v>0</v>
      </c>
      <c r="DB672" s="407">
        <v>0</v>
      </c>
      <c r="DC672" s="407">
        <v>7967.2574829308796</v>
      </c>
      <c r="DD672" s="407">
        <v>0</v>
      </c>
      <c r="DE672" s="407">
        <v>0</v>
      </c>
      <c r="DF672" s="407">
        <v>0</v>
      </c>
      <c r="DG672" s="407">
        <v>582.38108066077302</v>
      </c>
      <c r="DH672" s="407">
        <v>0</v>
      </c>
      <c r="DI672" s="407">
        <v>-1130.8787175363468</v>
      </c>
      <c r="DJ672" s="407"/>
      <c r="DK672" s="407">
        <v>0</v>
      </c>
      <c r="DL672" s="407">
        <v>0</v>
      </c>
      <c r="DM672" s="407">
        <v>0</v>
      </c>
      <c r="DN672" s="407">
        <v>0</v>
      </c>
      <c r="DO672" s="407">
        <v>-152.22005790902949</v>
      </c>
      <c r="DP672" s="407">
        <v>-34.448620818037341</v>
      </c>
      <c r="DQ672" s="407">
        <v>0</v>
      </c>
      <c r="DR672" s="407">
        <v>-4109.5302100271565</v>
      </c>
      <c r="DS672" s="407"/>
      <c r="DT672" s="407"/>
      <c r="DU672" s="407"/>
      <c r="DV672" s="407">
        <v>108787.43243966505</v>
      </c>
      <c r="DW672" s="407">
        <v>0</v>
      </c>
      <c r="DX672" s="407">
        <v>0</v>
      </c>
      <c r="DY672" s="407">
        <v>-58230.690000000017</v>
      </c>
      <c r="DZ672" s="407">
        <v>7157.0338000000047</v>
      </c>
      <c r="EA672" s="407">
        <v>0</v>
      </c>
      <c r="EB672" s="407">
        <v>0</v>
      </c>
      <c r="EC672" s="407">
        <v>-55568.873162412237</v>
      </c>
      <c r="ED672" s="407">
        <v>0</v>
      </c>
      <c r="EE672" s="407">
        <v>0</v>
      </c>
      <c r="EF672" s="407">
        <v>0</v>
      </c>
      <c r="EG672" s="407">
        <v>0</v>
      </c>
      <c r="EH672" s="407">
        <v>0</v>
      </c>
      <c r="EI672" s="407">
        <v>0</v>
      </c>
      <c r="EJ672" s="407">
        <v>0</v>
      </c>
      <c r="EK672" s="407">
        <v>0</v>
      </c>
      <c r="EL672" s="407">
        <v>0</v>
      </c>
      <c r="EM672" s="407">
        <v>0</v>
      </c>
      <c r="EN672" s="407">
        <v>0</v>
      </c>
      <c r="EO672" s="407">
        <v>0</v>
      </c>
      <c r="EP672" s="407">
        <v>7647.9431952137229</v>
      </c>
      <c r="EQ672" s="407">
        <v>0</v>
      </c>
      <c r="ER672" s="407">
        <v>0</v>
      </c>
      <c r="ES672" s="407">
        <v>0</v>
      </c>
      <c r="ET672" s="407">
        <v>0</v>
      </c>
      <c r="EU672" s="407">
        <v>0</v>
      </c>
      <c r="EV672" s="407">
        <v>246</v>
      </c>
      <c r="EW672" s="407">
        <v>0</v>
      </c>
      <c r="EX672" s="407">
        <v>0</v>
      </c>
      <c r="EY672" s="407">
        <v>0</v>
      </c>
      <c r="EZ672" s="407"/>
      <c r="FA672" s="407">
        <v>0</v>
      </c>
      <c r="FB672" s="407"/>
      <c r="FC672" s="407"/>
      <c r="FD672" s="407"/>
      <c r="FE672" s="407"/>
      <c r="FF672" s="407">
        <v>0</v>
      </c>
      <c r="FG672" s="407">
        <v>0</v>
      </c>
      <c r="FH672" s="407">
        <v>0</v>
      </c>
      <c r="FI672" s="407">
        <v>0</v>
      </c>
    </row>
    <row r="673" spans="1:165">
      <c r="A673" s="407">
        <v>697</v>
      </c>
      <c r="B673" s="407" t="s">
        <v>1090</v>
      </c>
      <c r="C673" s="407" t="s">
        <v>2317</v>
      </c>
      <c r="D673" s="407" t="s">
        <v>650</v>
      </c>
      <c r="E673" s="407" t="s">
        <v>2316</v>
      </c>
      <c r="F673" s="407" t="s">
        <v>97</v>
      </c>
      <c r="G673" s="407" t="s">
        <v>97</v>
      </c>
      <c r="H673" s="407" t="s">
        <v>97</v>
      </c>
      <c r="I673" s="407" t="s">
        <v>1025</v>
      </c>
      <c r="J673" s="407" t="s">
        <v>2307</v>
      </c>
      <c r="K673" s="818">
        <v>44682</v>
      </c>
      <c r="L673" s="407">
        <v>200</v>
      </c>
      <c r="M673" s="407">
        <v>200</v>
      </c>
      <c r="N673" s="407">
        <v>7.2880000000000003</v>
      </c>
      <c r="O673" s="407">
        <v>7.2880000000000003</v>
      </c>
      <c r="P673" s="407">
        <v>7.2880000000000003</v>
      </c>
      <c r="Q673" s="407">
        <v>7.2880000000000003</v>
      </c>
      <c r="R673" s="407">
        <v>112.91</v>
      </c>
      <c r="S673" s="407">
        <v>95.29</v>
      </c>
      <c r="T673" s="407">
        <v>159.41</v>
      </c>
      <c r="U673" s="407">
        <v>22582</v>
      </c>
      <c r="V673" s="407">
        <v>1856.2536</v>
      </c>
      <c r="W673" s="407">
        <v>24438.2536</v>
      </c>
      <c r="X673" s="407">
        <v>15446.120079999999</v>
      </c>
      <c r="Y673" s="407">
        <v>0</v>
      </c>
      <c r="Z673" s="407">
        <v>392.92609233459507</v>
      </c>
      <c r="AA673" s="407">
        <v>0</v>
      </c>
      <c r="AB673" s="407">
        <v>0</v>
      </c>
      <c r="AC673" s="407">
        <v>0</v>
      </c>
      <c r="AD673" s="407">
        <v>5077.0827132346003</v>
      </c>
      <c r="AE673" s="407">
        <v>17504.269107723037</v>
      </c>
      <c r="AF673" s="407">
        <v>1124.0334634051383</v>
      </c>
      <c r="AG673" s="407">
        <v>37.764573871350855</v>
      </c>
      <c r="AH673" s="407">
        <v>0</v>
      </c>
      <c r="AI673" s="407">
        <v>0</v>
      </c>
      <c r="AJ673" s="407">
        <v>0</v>
      </c>
      <c r="AK673" s="407">
        <v>0</v>
      </c>
      <c r="AL673" s="407">
        <v>69.790291396208644</v>
      </c>
      <c r="AM673" s="407"/>
      <c r="AN673" s="407">
        <v>7.8253689012137668</v>
      </c>
      <c r="AO673" s="407">
        <v>0</v>
      </c>
      <c r="AP673" s="407">
        <v>0</v>
      </c>
      <c r="AQ673" s="407">
        <v>0</v>
      </c>
      <c r="AR673" s="407">
        <v>0</v>
      </c>
      <c r="AS673" s="407">
        <v>0</v>
      </c>
      <c r="AT673" s="407">
        <v>0</v>
      </c>
      <c r="AU673" s="407">
        <v>0</v>
      </c>
      <c r="AV673" s="407">
        <v>0</v>
      </c>
      <c r="AW673" s="407">
        <v>0</v>
      </c>
      <c r="AX673" s="407">
        <v>0</v>
      </c>
      <c r="AY673" s="407">
        <v>0</v>
      </c>
      <c r="AZ673" s="407">
        <v>0</v>
      </c>
      <c r="BA673" s="407"/>
      <c r="BB673" s="407">
        <v>0</v>
      </c>
      <c r="BC673" s="407">
        <v>0</v>
      </c>
      <c r="BD673" s="407">
        <v>0</v>
      </c>
      <c r="BE673" s="407">
        <v>0</v>
      </c>
      <c r="BF673" s="407">
        <v>0</v>
      </c>
      <c r="BG673" s="407">
        <v>37.823804327953482</v>
      </c>
      <c r="BH673" s="407">
        <v>0</v>
      </c>
      <c r="BI673" s="407">
        <v>0</v>
      </c>
      <c r="BJ673" s="407">
        <v>0</v>
      </c>
      <c r="BK673" s="407">
        <v>0</v>
      </c>
      <c r="BL673" s="407">
        <v>0</v>
      </c>
      <c r="BM673" s="407"/>
      <c r="BN673" s="407"/>
      <c r="BO673" s="407"/>
      <c r="BP673" s="407"/>
      <c r="BQ673" s="407"/>
      <c r="BR673" s="407"/>
      <c r="BS673" s="407"/>
      <c r="BT673" s="407"/>
      <c r="BU673" s="407"/>
      <c r="BV673" s="407">
        <v>1161.8572677330917</v>
      </c>
      <c r="BW673" s="407"/>
      <c r="BX673" s="407"/>
      <c r="BY673" s="407"/>
      <c r="BZ673" s="407"/>
      <c r="CA673" s="407"/>
      <c r="CB673" s="407"/>
      <c r="CC673" s="407"/>
      <c r="CD673" s="407"/>
      <c r="CE673" s="407"/>
      <c r="CF673" s="407"/>
      <c r="CG673" s="407"/>
      <c r="CH673" s="407"/>
      <c r="CI673" s="407">
        <v>15446.6739</v>
      </c>
      <c r="CJ673" s="407">
        <v>-8991.6096999999954</v>
      </c>
      <c r="CK673" s="407"/>
      <c r="CL673" s="407"/>
      <c r="CM673" s="407"/>
      <c r="CN673" s="407"/>
      <c r="CO673" s="407">
        <v>-9192.3348800000003</v>
      </c>
      <c r="CP673" s="407">
        <v>200.20135999999999</v>
      </c>
      <c r="CQ673" s="407">
        <v>31</v>
      </c>
      <c r="CR673" s="407">
        <v>-49.710262130888623</v>
      </c>
      <c r="CS673" s="407">
        <v>0</v>
      </c>
      <c r="CT673" s="407">
        <v>0</v>
      </c>
      <c r="CU673" s="407">
        <v>0</v>
      </c>
      <c r="CV673" s="407">
        <v>0</v>
      </c>
      <c r="CW673" s="407">
        <v>0</v>
      </c>
      <c r="CX673" s="407">
        <v>0</v>
      </c>
      <c r="CY673" s="407">
        <v>0</v>
      </c>
      <c r="CZ673" s="407">
        <v>229.34189304735992</v>
      </c>
      <c r="DA673" s="407">
        <v>0</v>
      </c>
      <c r="DB673" s="407">
        <v>0</v>
      </c>
      <c r="DC673" s="407">
        <v>222.86548144469293</v>
      </c>
      <c r="DD673" s="407">
        <v>0</v>
      </c>
      <c r="DE673" s="407">
        <v>0</v>
      </c>
      <c r="DF673" s="407">
        <v>0</v>
      </c>
      <c r="DG673" s="407">
        <v>7.4994389722905623</v>
      </c>
      <c r="DH673" s="407">
        <v>0</v>
      </c>
      <c r="DI673" s="407">
        <v>-27.521318650734315</v>
      </c>
      <c r="DJ673" s="407"/>
      <c r="DK673" s="407">
        <v>0</v>
      </c>
      <c r="DL673" s="407">
        <v>0</v>
      </c>
      <c r="DM673" s="407">
        <v>0</v>
      </c>
      <c r="DN673" s="407">
        <v>0</v>
      </c>
      <c r="DO673" s="407">
        <v>-4.2580017733975666</v>
      </c>
      <c r="DP673" s="407">
        <v>-0.49861361435652984</v>
      </c>
      <c r="DQ673" s="407">
        <v>0</v>
      </c>
      <c r="DR673" s="407">
        <v>-477.1391415567436</v>
      </c>
      <c r="DS673" s="407"/>
      <c r="DT673" s="407"/>
      <c r="DU673" s="407">
        <v>17504.269107723037</v>
      </c>
      <c r="DV673" s="407">
        <v>0</v>
      </c>
      <c r="DW673" s="407">
        <v>0</v>
      </c>
      <c r="DX673" s="407">
        <v>0</v>
      </c>
      <c r="DY673" s="407">
        <v>-9192.3348800000003</v>
      </c>
      <c r="DZ673" s="407">
        <v>200.20136000000002</v>
      </c>
      <c r="EA673" s="407">
        <v>0</v>
      </c>
      <c r="EB673" s="407">
        <v>0</v>
      </c>
      <c r="EC673" s="407">
        <v>-8941.2213160491574</v>
      </c>
      <c r="ED673" s="407">
        <v>0</v>
      </c>
      <c r="EE673" s="407">
        <v>0</v>
      </c>
      <c r="EF673" s="407">
        <v>0</v>
      </c>
      <c r="EG673" s="407">
        <v>0</v>
      </c>
      <c r="EH673" s="407">
        <v>0</v>
      </c>
      <c r="EI673" s="407">
        <v>0</v>
      </c>
      <c r="EJ673" s="407">
        <v>0</v>
      </c>
      <c r="EK673" s="407">
        <v>0</v>
      </c>
      <c r="EL673" s="407">
        <v>0</v>
      </c>
      <c r="EM673" s="407">
        <v>0</v>
      </c>
      <c r="EN673" s="407">
        <v>0</v>
      </c>
      <c r="EO673" s="407">
        <v>0</v>
      </c>
      <c r="EP673" s="407">
        <v>186.12206458065671</v>
      </c>
      <c r="EQ673" s="407">
        <v>0</v>
      </c>
      <c r="ER673" s="407">
        <v>0</v>
      </c>
      <c r="ES673" s="407">
        <v>0</v>
      </c>
      <c r="ET673" s="407">
        <v>0</v>
      </c>
      <c r="EU673" s="407">
        <v>0</v>
      </c>
      <c r="EV673" s="407">
        <v>246</v>
      </c>
      <c r="EW673" s="407">
        <v>0</v>
      </c>
      <c r="EX673" s="407">
        <v>0</v>
      </c>
      <c r="EY673" s="407">
        <v>0</v>
      </c>
      <c r="EZ673" s="407"/>
      <c r="FA673" s="407">
        <v>0</v>
      </c>
      <c r="FB673" s="407"/>
      <c r="FC673" s="407"/>
      <c r="FD673" s="407"/>
      <c r="FE673" s="407"/>
      <c r="FF673" s="407">
        <v>0</v>
      </c>
      <c r="FG673" s="407">
        <v>0</v>
      </c>
      <c r="FH673" s="407">
        <v>0</v>
      </c>
      <c r="FI673" s="407">
        <v>0</v>
      </c>
    </row>
    <row r="674" spans="1:165">
      <c r="A674" s="407">
        <v>698</v>
      </c>
      <c r="B674" s="407" t="s">
        <v>1090</v>
      </c>
      <c r="C674" s="407" t="s">
        <v>2317</v>
      </c>
      <c r="D674" s="407" t="s">
        <v>650</v>
      </c>
      <c r="E674" s="407" t="s">
        <v>2316</v>
      </c>
      <c r="F674" s="407" t="s">
        <v>97</v>
      </c>
      <c r="G674" s="407" t="s">
        <v>97</v>
      </c>
      <c r="H674" s="407" t="s">
        <v>97</v>
      </c>
      <c r="I674" s="407" t="s">
        <v>2290</v>
      </c>
      <c r="J674" s="407" t="s">
        <v>2307</v>
      </c>
      <c r="K674" s="818">
        <v>44682</v>
      </c>
      <c r="L674" s="407">
        <v>230</v>
      </c>
      <c r="M674" s="407">
        <v>230</v>
      </c>
      <c r="N674" s="407">
        <v>43.581000000000003</v>
      </c>
      <c r="O674" s="407">
        <v>43.581000000000003</v>
      </c>
      <c r="P674" s="407">
        <v>43.581000000000003</v>
      </c>
      <c r="Q674" s="407">
        <v>43.581000000000003</v>
      </c>
      <c r="R674" s="407">
        <v>43.29</v>
      </c>
      <c r="S674" s="407">
        <v>95.29</v>
      </c>
      <c r="T674" s="407">
        <v>159.41</v>
      </c>
      <c r="U674" s="407">
        <v>9956.6999999999989</v>
      </c>
      <c r="V674" s="407">
        <v>11100.080700000002</v>
      </c>
      <c r="W674" s="407">
        <v>21056.780699999999</v>
      </c>
      <c r="X674" s="407">
        <v>19770.71471</v>
      </c>
      <c r="Y674" s="407">
        <v>0</v>
      </c>
      <c r="Z674" s="407">
        <v>2349.6311786544989</v>
      </c>
      <c r="AA674" s="407">
        <v>0</v>
      </c>
      <c r="AB674" s="407">
        <v>0</v>
      </c>
      <c r="AC674" s="407">
        <v>0</v>
      </c>
      <c r="AD674" s="407">
        <v>5442.71704644074</v>
      </c>
      <c r="AE674" s="407">
        <v>4514.7130340054682</v>
      </c>
      <c r="AF674" s="407">
        <v>6721.5288650740031</v>
      </c>
      <c r="AG674" s="407">
        <v>225.82572638410289</v>
      </c>
      <c r="AH674" s="407">
        <v>0</v>
      </c>
      <c r="AI674" s="407">
        <v>0</v>
      </c>
      <c r="AJ674" s="407">
        <v>0</v>
      </c>
      <c r="AK674" s="407">
        <v>0</v>
      </c>
      <c r="AL674" s="407">
        <v>417.33406824069283</v>
      </c>
      <c r="AM674" s="407"/>
      <c r="AN674" s="407">
        <v>46.794374599862401</v>
      </c>
      <c r="AO674" s="407">
        <v>0</v>
      </c>
      <c r="AP674" s="407">
        <v>0</v>
      </c>
      <c r="AQ674" s="407">
        <v>0</v>
      </c>
      <c r="AR674" s="407">
        <v>0</v>
      </c>
      <c r="AS674" s="407">
        <v>0</v>
      </c>
      <c r="AT674" s="407">
        <v>0</v>
      </c>
      <c r="AU674" s="407">
        <v>0</v>
      </c>
      <c r="AV674" s="407">
        <v>0</v>
      </c>
      <c r="AW674" s="407">
        <v>0</v>
      </c>
      <c r="AX674" s="407">
        <v>0</v>
      </c>
      <c r="AY674" s="407">
        <v>0</v>
      </c>
      <c r="AZ674" s="407">
        <v>0</v>
      </c>
      <c r="BA674" s="407"/>
      <c r="BB674" s="407">
        <v>0</v>
      </c>
      <c r="BC674" s="407">
        <v>0</v>
      </c>
      <c r="BD674" s="407">
        <v>0</v>
      </c>
      <c r="BE674" s="407">
        <v>0</v>
      </c>
      <c r="BF674" s="407">
        <v>0</v>
      </c>
      <c r="BG674" s="407">
        <v>226.17991443695678</v>
      </c>
      <c r="BH674" s="407">
        <v>0</v>
      </c>
      <c r="BI674" s="407">
        <v>0</v>
      </c>
      <c r="BJ674" s="407">
        <v>0</v>
      </c>
      <c r="BK674" s="407">
        <v>0</v>
      </c>
      <c r="BL674" s="407">
        <v>0</v>
      </c>
      <c r="BM674" s="407"/>
      <c r="BN674" s="407"/>
      <c r="BO674" s="407"/>
      <c r="BP674" s="407"/>
      <c r="BQ674" s="407"/>
      <c r="BR674" s="407"/>
      <c r="BS674" s="407"/>
      <c r="BT674" s="407"/>
      <c r="BU674" s="407"/>
      <c r="BV674" s="407">
        <v>6947.7087795109601</v>
      </c>
      <c r="BW674" s="407"/>
      <c r="BX674" s="407"/>
      <c r="BY674" s="407"/>
      <c r="BZ674" s="407"/>
      <c r="CA674" s="407"/>
      <c r="CB674" s="407"/>
      <c r="CC674" s="407"/>
      <c r="CD674" s="407"/>
      <c r="CE674" s="407"/>
      <c r="CF674" s="407"/>
      <c r="CG674" s="407"/>
      <c r="CH674" s="407"/>
      <c r="CI674" s="407">
        <v>19770.4378</v>
      </c>
      <c r="CJ674" s="407">
        <v>-1286.3728999999985</v>
      </c>
      <c r="CK674" s="407"/>
      <c r="CL674" s="407"/>
      <c r="CM674" s="407"/>
      <c r="CN674" s="407"/>
      <c r="CO674" s="407">
        <v>-2483.2360599999997</v>
      </c>
      <c r="CP674" s="407">
        <v>1197.1700700000001</v>
      </c>
      <c r="CQ674" s="407">
        <v>31</v>
      </c>
      <c r="CR674" s="407">
        <v>1019.2380929922256</v>
      </c>
      <c r="CS674" s="407">
        <v>0</v>
      </c>
      <c r="CT674" s="407">
        <v>0</v>
      </c>
      <c r="CU674" s="407">
        <v>0</v>
      </c>
      <c r="CV674" s="407">
        <v>0</v>
      </c>
      <c r="CW674" s="407">
        <v>0</v>
      </c>
      <c r="CX674" s="407">
        <v>0</v>
      </c>
      <c r="CY674" s="407">
        <v>0</v>
      </c>
      <c r="CZ674" s="407">
        <v>245.85832086169376</v>
      </c>
      <c r="DA674" s="407">
        <v>0</v>
      </c>
      <c r="DB674" s="407">
        <v>0</v>
      </c>
      <c r="DC674" s="407">
        <v>1332.6976601044398</v>
      </c>
      <c r="DD674" s="407">
        <v>0</v>
      </c>
      <c r="DE674" s="407">
        <v>0</v>
      </c>
      <c r="DF674" s="407">
        <v>0</v>
      </c>
      <c r="DG674" s="407">
        <v>44.845369079499847</v>
      </c>
      <c r="DH674" s="407">
        <v>0</v>
      </c>
      <c r="DI674" s="407">
        <v>-164.57280297991929</v>
      </c>
      <c r="DJ674" s="407"/>
      <c r="DK674" s="407">
        <v>0</v>
      </c>
      <c r="DL674" s="407">
        <v>0</v>
      </c>
      <c r="DM674" s="407">
        <v>0</v>
      </c>
      <c r="DN674" s="407">
        <v>0</v>
      </c>
      <c r="DO674" s="407">
        <v>-25.462126136997767</v>
      </c>
      <c r="DP674" s="407">
        <v>-2.9816245783852793</v>
      </c>
      <c r="DQ674" s="407">
        <v>0</v>
      </c>
      <c r="DR674" s="407">
        <v>-411.14670335810774</v>
      </c>
      <c r="DS674" s="407"/>
      <c r="DT674" s="407"/>
      <c r="DU674" s="407">
        <v>4514.7130340054682</v>
      </c>
      <c r="DV674" s="407">
        <v>0</v>
      </c>
      <c r="DW674" s="407">
        <v>0</v>
      </c>
      <c r="DX674" s="407">
        <v>0</v>
      </c>
      <c r="DY674" s="407">
        <v>-2483.2360599999993</v>
      </c>
      <c r="DZ674" s="407">
        <v>1197.1700700000001</v>
      </c>
      <c r="EA674" s="407">
        <v>0</v>
      </c>
      <c r="EB674" s="407">
        <v>0</v>
      </c>
      <c r="EC674" s="407">
        <v>-2306.1259037479317</v>
      </c>
      <c r="ED674" s="407">
        <v>0</v>
      </c>
      <c r="EE674" s="407">
        <v>0</v>
      </c>
      <c r="EF674" s="407">
        <v>0</v>
      </c>
      <c r="EG674" s="407">
        <v>0</v>
      </c>
      <c r="EH674" s="407">
        <v>0</v>
      </c>
      <c r="EI674" s="407">
        <v>0</v>
      </c>
      <c r="EJ674" s="407">
        <v>0</v>
      </c>
      <c r="EK674" s="407">
        <v>0</v>
      </c>
      <c r="EL674" s="407">
        <v>0</v>
      </c>
      <c r="EM674" s="407">
        <v>0</v>
      </c>
      <c r="EN674" s="407">
        <v>0</v>
      </c>
      <c r="EO674" s="407">
        <v>0</v>
      </c>
      <c r="EP674" s="407">
        <v>1112.9782788816685</v>
      </c>
      <c r="EQ674" s="407">
        <v>0</v>
      </c>
      <c r="ER674" s="407">
        <v>0</v>
      </c>
      <c r="ES674" s="407">
        <v>0</v>
      </c>
      <c r="ET674" s="407">
        <v>0</v>
      </c>
      <c r="EU674" s="407">
        <v>0</v>
      </c>
      <c r="EV674" s="407">
        <v>246</v>
      </c>
      <c r="EW674" s="407">
        <v>0</v>
      </c>
      <c r="EX674" s="407">
        <v>0</v>
      </c>
      <c r="EY674" s="407">
        <v>0</v>
      </c>
      <c r="EZ674" s="407"/>
      <c r="FA674" s="407">
        <v>0</v>
      </c>
      <c r="FB674" s="407"/>
      <c r="FC674" s="407"/>
      <c r="FD674" s="407"/>
      <c r="FE674" s="407"/>
      <c r="FF674" s="407">
        <v>0</v>
      </c>
      <c r="FG674" s="407">
        <v>0</v>
      </c>
      <c r="FH674" s="407">
        <v>0</v>
      </c>
      <c r="FI674" s="407">
        <v>0</v>
      </c>
    </row>
    <row r="675" spans="1:165">
      <c r="A675" s="407">
        <v>699</v>
      </c>
      <c r="B675" s="407" t="s">
        <v>1090</v>
      </c>
      <c r="C675" s="407" t="s">
        <v>2317</v>
      </c>
      <c r="D675" s="407" t="s">
        <v>650</v>
      </c>
      <c r="E675" s="407" t="s">
        <v>2316</v>
      </c>
      <c r="F675" s="407" t="s">
        <v>97</v>
      </c>
      <c r="G675" s="407" t="s">
        <v>97</v>
      </c>
      <c r="H675" s="407" t="s">
        <v>97</v>
      </c>
      <c r="I675" s="407" t="s">
        <v>97</v>
      </c>
      <c r="J675" s="407" t="s">
        <v>2307</v>
      </c>
      <c r="K675" s="818">
        <v>44682</v>
      </c>
      <c r="L675" s="407">
        <v>0</v>
      </c>
      <c r="M675" s="407">
        <v>0</v>
      </c>
      <c r="N675" s="407">
        <v>0</v>
      </c>
      <c r="O675" s="407">
        <v>0</v>
      </c>
      <c r="P675" s="407">
        <v>0</v>
      </c>
      <c r="Q675" s="407">
        <v>0</v>
      </c>
      <c r="R675" s="407"/>
      <c r="S675" s="407"/>
      <c r="T675" s="407"/>
      <c r="U675" s="407"/>
      <c r="V675" s="407"/>
      <c r="W675" s="407"/>
      <c r="X675" s="407"/>
      <c r="Y675" s="407"/>
      <c r="Z675" s="407"/>
      <c r="AA675" s="407">
        <v>0</v>
      </c>
      <c r="AB675" s="407"/>
      <c r="AC675" s="407"/>
      <c r="AD675" s="407"/>
      <c r="AE675" s="407"/>
      <c r="AF675" s="407"/>
      <c r="AG675" s="407"/>
      <c r="AH675" s="407"/>
      <c r="AI675" s="407"/>
      <c r="AJ675" s="407"/>
      <c r="AK675" s="407"/>
      <c r="AL675" s="407"/>
      <c r="AM675" s="407"/>
      <c r="AN675" s="407"/>
      <c r="AO675" s="407"/>
      <c r="AP675" s="407"/>
      <c r="AQ675" s="407"/>
      <c r="AR675" s="407"/>
      <c r="AS675" s="407"/>
      <c r="AT675" s="407"/>
      <c r="AU675" s="407"/>
      <c r="AV675" s="407"/>
      <c r="AW675" s="407"/>
      <c r="AX675" s="407"/>
      <c r="AY675" s="407"/>
      <c r="AZ675" s="407">
        <v>0</v>
      </c>
      <c r="BA675" s="407"/>
      <c r="BB675" s="407"/>
      <c r="BC675" s="407"/>
      <c r="BD675" s="407"/>
      <c r="BE675" s="407"/>
      <c r="BF675" s="407"/>
      <c r="BG675" s="407"/>
      <c r="BH675" s="407"/>
      <c r="BI675" s="407">
        <v>14.11</v>
      </c>
      <c r="BJ675" s="407">
        <v>60</v>
      </c>
      <c r="BK675" s="407">
        <v>9634.51</v>
      </c>
      <c r="BL675" s="407">
        <v>1</v>
      </c>
      <c r="BM675" s="407"/>
      <c r="BN675" s="407"/>
      <c r="BO675" s="407"/>
      <c r="BP675" s="407"/>
      <c r="BQ675" s="407"/>
      <c r="BR675" s="407"/>
      <c r="BS675" s="407"/>
      <c r="BT675" s="407"/>
      <c r="BU675" s="407"/>
      <c r="BV675" s="407"/>
      <c r="BW675" s="407"/>
      <c r="BX675" s="407"/>
      <c r="BY675" s="407"/>
      <c r="BZ675" s="407"/>
      <c r="CA675" s="407"/>
      <c r="CB675" s="407"/>
      <c r="CC675" s="407"/>
      <c r="CD675" s="407"/>
      <c r="CE675" s="407"/>
      <c r="CF675" s="407"/>
      <c r="CG675" s="407"/>
      <c r="CH675" s="407"/>
      <c r="CI675" s="407"/>
      <c r="CJ675" s="407">
        <v>-0.03</v>
      </c>
      <c r="CK675" s="407"/>
      <c r="CL675" s="407"/>
      <c r="CM675" s="407"/>
      <c r="CN675" s="407"/>
      <c r="CO675" s="407">
        <v>0</v>
      </c>
      <c r="CP675" s="407">
        <v>0</v>
      </c>
      <c r="CQ675" s="407">
        <v>31</v>
      </c>
      <c r="CR675" s="407"/>
      <c r="CS675" s="407"/>
      <c r="CT675" s="407"/>
      <c r="CU675" s="407"/>
      <c r="CV675" s="407"/>
      <c r="CW675" s="407"/>
      <c r="CX675" s="407"/>
      <c r="CY675" s="407"/>
      <c r="CZ675" s="407"/>
      <c r="DA675" s="407"/>
      <c r="DB675" s="407"/>
      <c r="DC675" s="407"/>
      <c r="DD675" s="407"/>
      <c r="DE675" s="407"/>
      <c r="DF675" s="407"/>
      <c r="DG675" s="407"/>
      <c r="DH675" s="407"/>
      <c r="DI675" s="407"/>
      <c r="DJ675" s="407"/>
      <c r="DK675" s="407">
        <v>0</v>
      </c>
      <c r="DL675" s="407"/>
      <c r="DM675" s="407"/>
      <c r="DN675" s="407"/>
      <c r="DO675" s="407"/>
      <c r="DP675" s="407"/>
      <c r="DQ675" s="407"/>
      <c r="DR675" s="407"/>
      <c r="DS675" s="407"/>
      <c r="DT675" s="407"/>
      <c r="DU675" s="407"/>
      <c r="DV675" s="407"/>
      <c r="DW675" s="407"/>
      <c r="DX675" s="407"/>
      <c r="DY675" s="407"/>
      <c r="DZ675" s="407"/>
      <c r="EA675" s="407"/>
      <c r="EB675" s="407"/>
      <c r="EC675" s="407"/>
      <c r="ED675" s="407"/>
      <c r="EE675" s="407"/>
      <c r="EF675" s="407"/>
      <c r="EG675" s="407"/>
      <c r="EH675" s="407"/>
      <c r="EI675" s="407"/>
      <c r="EJ675" s="407"/>
      <c r="EK675" s="407"/>
      <c r="EL675" s="407"/>
      <c r="EM675" s="407"/>
      <c r="EN675" s="407"/>
      <c r="EO675" s="407"/>
      <c r="EP675" s="407"/>
      <c r="EQ675" s="407"/>
      <c r="ER675" s="407"/>
      <c r="ES675" s="407"/>
      <c r="ET675" s="407"/>
      <c r="EU675" s="407"/>
      <c r="EV675" s="407">
        <v>246</v>
      </c>
      <c r="EW675" s="407"/>
      <c r="EX675" s="407"/>
      <c r="EY675" s="407"/>
      <c r="EZ675" s="407"/>
      <c r="FA675" s="407">
        <v>0</v>
      </c>
      <c r="FB675" s="407"/>
      <c r="FC675" s="407"/>
      <c r="FD675" s="407"/>
      <c r="FE675" s="407"/>
      <c r="FF675" s="407">
        <v>0</v>
      </c>
      <c r="FG675" s="407">
        <v>0</v>
      </c>
      <c r="FH675" s="407">
        <v>0</v>
      </c>
      <c r="FI675" s="407">
        <v>0</v>
      </c>
    </row>
    <row r="676" spans="1:165">
      <c r="A676" s="407">
        <v>700</v>
      </c>
      <c r="B676" s="407" t="s">
        <v>1090</v>
      </c>
      <c r="C676" s="407" t="s">
        <v>2314</v>
      </c>
      <c r="D676" s="407" t="s">
        <v>650</v>
      </c>
      <c r="E676" s="407" t="s">
        <v>2316</v>
      </c>
      <c r="F676" s="407" t="s">
        <v>97</v>
      </c>
      <c r="G676" s="407" t="s">
        <v>97</v>
      </c>
      <c r="H676" s="407" t="s">
        <v>97</v>
      </c>
      <c r="I676" s="407" t="s">
        <v>1025</v>
      </c>
      <c r="J676" s="407" t="s">
        <v>2307</v>
      </c>
      <c r="K676" s="818">
        <v>44682</v>
      </c>
      <c r="L676" s="407">
        <v>0</v>
      </c>
      <c r="M676" s="407">
        <v>0</v>
      </c>
      <c r="N676" s="407">
        <v>0.41799999999999998</v>
      </c>
      <c r="O676" s="407">
        <v>0.41799999999999998</v>
      </c>
      <c r="P676" s="407">
        <v>0.41799999999999998</v>
      </c>
      <c r="Q676" s="407">
        <v>0.41799999999999998</v>
      </c>
      <c r="R676" s="407"/>
      <c r="S676" s="407">
        <v>2810.7</v>
      </c>
      <c r="T676" s="407">
        <v>159.41</v>
      </c>
      <c r="U676" s="407"/>
      <c r="V676" s="407">
        <v>1241.5059799999999</v>
      </c>
      <c r="W676" s="407">
        <v>1241.5059799999999</v>
      </c>
      <c r="X676" s="407">
        <v>790.72641999999996</v>
      </c>
      <c r="Y676" s="407">
        <v>0</v>
      </c>
      <c r="Z676" s="407">
        <v>22.536101344108221</v>
      </c>
      <c r="AA676" s="407">
        <v>0</v>
      </c>
      <c r="AB676" s="407">
        <v>0</v>
      </c>
      <c r="AC676" s="407">
        <v>0</v>
      </c>
      <c r="AD676" s="407">
        <v>255.19551803563348</v>
      </c>
      <c r="AE676" s="407">
        <v>879.84356191000859</v>
      </c>
      <c r="AF676" s="407">
        <v>64.468439586079555</v>
      </c>
      <c r="AG676" s="407">
        <v>2.165970345530277</v>
      </c>
      <c r="AH676" s="407">
        <v>0</v>
      </c>
      <c r="AI676" s="407">
        <v>0</v>
      </c>
      <c r="AJ676" s="407">
        <v>0</v>
      </c>
      <c r="AK676" s="407">
        <v>0</v>
      </c>
      <c r="AL676" s="407">
        <v>4.0027911366102105</v>
      </c>
      <c r="AM676" s="407"/>
      <c r="AN676" s="407">
        <v>0.44882055443295199</v>
      </c>
      <c r="AO676" s="407">
        <v>0</v>
      </c>
      <c r="AP676" s="407">
        <v>0</v>
      </c>
      <c r="AQ676" s="407">
        <v>0</v>
      </c>
      <c r="AR676" s="407">
        <v>0</v>
      </c>
      <c r="AS676" s="407">
        <v>0</v>
      </c>
      <c r="AT676" s="407">
        <v>0</v>
      </c>
      <c r="AU676" s="407">
        <v>0</v>
      </c>
      <c r="AV676" s="407">
        <v>0</v>
      </c>
      <c r="AW676" s="407">
        <v>0</v>
      </c>
      <c r="AX676" s="407">
        <v>0</v>
      </c>
      <c r="AY676" s="407">
        <v>0</v>
      </c>
      <c r="AZ676" s="407">
        <v>0</v>
      </c>
      <c r="BA676" s="407"/>
      <c r="BB676" s="407">
        <v>0</v>
      </c>
      <c r="BC676" s="407">
        <v>0</v>
      </c>
      <c r="BD676" s="407">
        <v>0</v>
      </c>
      <c r="BE676" s="407">
        <v>0</v>
      </c>
      <c r="BF676" s="407">
        <v>0</v>
      </c>
      <c r="BG676" s="407">
        <v>2.1693674820368489</v>
      </c>
      <c r="BH676" s="407">
        <v>0</v>
      </c>
      <c r="BI676" s="407">
        <v>0</v>
      </c>
      <c r="BJ676" s="407">
        <v>0</v>
      </c>
      <c r="BK676" s="407">
        <v>0</v>
      </c>
      <c r="BL676" s="407">
        <v>0</v>
      </c>
      <c r="BM676" s="407"/>
      <c r="BN676" s="407"/>
      <c r="BO676" s="407"/>
      <c r="BP676" s="407"/>
      <c r="BQ676" s="407"/>
      <c r="BR676" s="407"/>
      <c r="BS676" s="407"/>
      <c r="BT676" s="407"/>
      <c r="BU676" s="407"/>
      <c r="BV676" s="407">
        <v>66.637807068116402</v>
      </c>
      <c r="BW676" s="407"/>
      <c r="BX676" s="407"/>
      <c r="BY676" s="407"/>
      <c r="BZ676" s="407"/>
      <c r="CA676" s="407"/>
      <c r="CB676" s="407"/>
      <c r="CC676" s="407"/>
      <c r="CD676" s="407"/>
      <c r="CE676" s="407"/>
      <c r="CF676" s="407"/>
      <c r="CG676" s="407"/>
      <c r="CH676" s="407"/>
      <c r="CI676" s="407">
        <v>794.50979999999993</v>
      </c>
      <c r="CJ676" s="407">
        <v>-447.02617999999995</v>
      </c>
      <c r="CK676" s="407"/>
      <c r="CL676" s="407"/>
      <c r="CM676" s="407"/>
      <c r="CN676" s="407"/>
      <c r="CO676" s="407">
        <v>-462.26201999999995</v>
      </c>
      <c r="CP676" s="407">
        <v>11.48246</v>
      </c>
      <c r="CQ676" s="407">
        <v>31</v>
      </c>
      <c r="CR676" s="407">
        <v>-1.3512255438853344</v>
      </c>
      <c r="CS676" s="407">
        <v>0</v>
      </c>
      <c r="CT676" s="407">
        <v>0</v>
      </c>
      <c r="CU676" s="407">
        <v>0</v>
      </c>
      <c r="CV676" s="407">
        <v>0</v>
      </c>
      <c r="CW676" s="407">
        <v>0</v>
      </c>
      <c r="CX676" s="407">
        <v>0</v>
      </c>
      <c r="CY676" s="407">
        <v>0</v>
      </c>
      <c r="CZ676" s="407">
        <v>11.527687553903377</v>
      </c>
      <c r="DA676" s="407">
        <v>0</v>
      </c>
      <c r="DB676" s="407">
        <v>0</v>
      </c>
      <c r="DC676" s="407">
        <v>12.782350609753237</v>
      </c>
      <c r="DD676" s="407">
        <v>0</v>
      </c>
      <c r="DE676" s="407">
        <v>0</v>
      </c>
      <c r="DF676" s="407">
        <v>0</v>
      </c>
      <c r="DG676" s="407">
        <v>0.43012698825706019</v>
      </c>
      <c r="DH676" s="407">
        <v>0</v>
      </c>
      <c r="DI676" s="407">
        <v>-1.578472996159018</v>
      </c>
      <c r="DJ676" s="407"/>
      <c r="DK676" s="407">
        <v>0</v>
      </c>
      <c r="DL676" s="407">
        <v>0</v>
      </c>
      <c r="DM676" s="407">
        <v>0</v>
      </c>
      <c r="DN676" s="407">
        <v>0</v>
      </c>
      <c r="DO676" s="407">
        <v>-0.24421579874865351</v>
      </c>
      <c r="DP676" s="407">
        <v>-2.8597762184553954E-2</v>
      </c>
      <c r="DQ676" s="407">
        <v>0</v>
      </c>
      <c r="DR676" s="407">
        <v>-24.240104138706805</v>
      </c>
      <c r="DS676" s="407"/>
      <c r="DT676" s="407"/>
      <c r="DU676" s="407"/>
      <c r="DV676" s="407">
        <v>879.84356191000859</v>
      </c>
      <c r="DW676" s="407">
        <v>0</v>
      </c>
      <c r="DX676" s="407">
        <v>0</v>
      </c>
      <c r="DY676" s="407">
        <v>-462.26202000000001</v>
      </c>
      <c r="DZ676" s="407">
        <v>11.482459999999989</v>
      </c>
      <c r="EA676" s="407">
        <v>0</v>
      </c>
      <c r="EB676" s="407">
        <v>0</v>
      </c>
      <c r="EC676" s="407">
        <v>-449.4261349688357</v>
      </c>
      <c r="ED676" s="407">
        <v>0</v>
      </c>
      <c r="EE676" s="407">
        <v>0</v>
      </c>
      <c r="EF676" s="407">
        <v>0</v>
      </c>
      <c r="EG676" s="407">
        <v>0</v>
      </c>
      <c r="EH676" s="407">
        <v>0</v>
      </c>
      <c r="EI676" s="407">
        <v>0</v>
      </c>
      <c r="EJ676" s="407">
        <v>0</v>
      </c>
      <c r="EK676" s="407">
        <v>0</v>
      </c>
      <c r="EL676" s="407">
        <v>0</v>
      </c>
      <c r="EM676" s="407">
        <v>0</v>
      </c>
      <c r="EN676" s="407">
        <v>0</v>
      </c>
      <c r="EO676" s="407">
        <v>0</v>
      </c>
      <c r="EP676" s="407">
        <v>10.674948270405391</v>
      </c>
      <c r="EQ676" s="407">
        <v>0</v>
      </c>
      <c r="ER676" s="407">
        <v>0</v>
      </c>
      <c r="ES676" s="407">
        <v>0</v>
      </c>
      <c r="ET676" s="407">
        <v>0</v>
      </c>
      <c r="EU676" s="407">
        <v>0</v>
      </c>
      <c r="EV676" s="407">
        <v>246</v>
      </c>
      <c r="EW676" s="407">
        <v>0</v>
      </c>
      <c r="EX676" s="407">
        <v>0</v>
      </c>
      <c r="EY676" s="407">
        <v>0</v>
      </c>
      <c r="EZ676" s="407"/>
      <c r="FA676" s="407">
        <v>0</v>
      </c>
      <c r="FB676" s="407"/>
      <c r="FC676" s="407"/>
      <c r="FD676" s="407"/>
      <c r="FE676" s="407"/>
      <c r="FF676" s="407">
        <v>0</v>
      </c>
      <c r="FG676" s="407">
        <v>0</v>
      </c>
      <c r="FH676" s="407">
        <v>0</v>
      </c>
      <c r="FI676" s="407">
        <v>0</v>
      </c>
    </row>
    <row r="677" spans="1:165">
      <c r="A677" s="407">
        <v>701</v>
      </c>
      <c r="B677" s="407" t="s">
        <v>1090</v>
      </c>
      <c r="C677" s="407" t="s">
        <v>2314</v>
      </c>
      <c r="D677" s="407" t="s">
        <v>650</v>
      </c>
      <c r="E677" s="407" t="s">
        <v>2316</v>
      </c>
      <c r="F677" s="407" t="s">
        <v>97</v>
      </c>
      <c r="G677" s="407" t="s">
        <v>97</v>
      </c>
      <c r="H677" s="407" t="s">
        <v>97</v>
      </c>
      <c r="I677" s="407" t="s">
        <v>2290</v>
      </c>
      <c r="J677" s="407" t="s">
        <v>2307</v>
      </c>
      <c r="K677" s="818">
        <v>44682</v>
      </c>
      <c r="L677" s="407">
        <v>0</v>
      </c>
      <c r="M677" s="407">
        <v>0</v>
      </c>
      <c r="N677" s="407">
        <v>4.0430000000000001</v>
      </c>
      <c r="O677" s="407">
        <v>4.0430000000000001</v>
      </c>
      <c r="P677" s="407">
        <v>4.0430000000000001</v>
      </c>
      <c r="Q677" s="407">
        <v>4.0430000000000001</v>
      </c>
      <c r="R677" s="407"/>
      <c r="S677" s="407">
        <v>95.29</v>
      </c>
      <c r="T677" s="407">
        <v>159.41</v>
      </c>
      <c r="U677" s="407"/>
      <c r="V677" s="407">
        <v>1029.7521000000002</v>
      </c>
      <c r="W677" s="407">
        <v>1029.7521000000002</v>
      </c>
      <c r="X677" s="407">
        <v>1119.5471299999999</v>
      </c>
      <c r="Y677" s="407">
        <v>0</v>
      </c>
      <c r="Z677" s="407">
        <v>217.97477926849174</v>
      </c>
      <c r="AA677" s="407">
        <v>0</v>
      </c>
      <c r="AB677" s="407">
        <v>0</v>
      </c>
      <c r="AC677" s="407">
        <v>0</v>
      </c>
      <c r="AD677" s="407">
        <v>0</v>
      </c>
      <c r="AE677" s="407">
        <v>0</v>
      </c>
      <c r="AF677" s="407">
        <v>623.55478767109969</v>
      </c>
      <c r="AG677" s="407">
        <v>20.949804083681602</v>
      </c>
      <c r="AH677" s="407">
        <v>0</v>
      </c>
      <c r="AI677" s="407">
        <v>0</v>
      </c>
      <c r="AJ677" s="407">
        <v>0</v>
      </c>
      <c r="AK677" s="407">
        <v>0</v>
      </c>
      <c r="AL677" s="407">
        <v>38.715991783050434</v>
      </c>
      <c r="AM677" s="407"/>
      <c r="AN677" s="407">
        <v>4.3411040707474289</v>
      </c>
      <c r="AO677" s="407">
        <v>0</v>
      </c>
      <c r="AP677" s="407">
        <v>0</v>
      </c>
      <c r="AQ677" s="407">
        <v>0</v>
      </c>
      <c r="AR677" s="407">
        <v>0</v>
      </c>
      <c r="AS677" s="407">
        <v>0</v>
      </c>
      <c r="AT677" s="407">
        <v>0</v>
      </c>
      <c r="AU677" s="407">
        <v>0</v>
      </c>
      <c r="AV677" s="407">
        <v>0</v>
      </c>
      <c r="AW677" s="407">
        <v>0</v>
      </c>
      <c r="AX677" s="407">
        <v>0</v>
      </c>
      <c r="AY677" s="407">
        <v>0</v>
      </c>
      <c r="AZ677" s="407">
        <v>0</v>
      </c>
      <c r="BA677" s="407"/>
      <c r="BB677" s="407">
        <v>0</v>
      </c>
      <c r="BC677" s="407">
        <v>0</v>
      </c>
      <c r="BD677" s="407">
        <v>0</v>
      </c>
      <c r="BE677" s="407">
        <v>0</v>
      </c>
      <c r="BF677" s="407">
        <v>0</v>
      </c>
      <c r="BG677" s="407">
        <v>20.982662033193733</v>
      </c>
      <c r="BH677" s="407">
        <v>0</v>
      </c>
      <c r="BI677" s="407">
        <v>0</v>
      </c>
      <c r="BJ677" s="407">
        <v>0</v>
      </c>
      <c r="BK677" s="407">
        <v>0</v>
      </c>
      <c r="BL677" s="407">
        <v>0</v>
      </c>
      <c r="BM677" s="407"/>
      <c r="BN677" s="407"/>
      <c r="BO677" s="407"/>
      <c r="BP677" s="407"/>
      <c r="BQ677" s="407"/>
      <c r="BR677" s="407"/>
      <c r="BS677" s="407"/>
      <c r="BT677" s="407"/>
      <c r="BU677" s="407"/>
      <c r="BV677" s="407">
        <v>644.53744970429341</v>
      </c>
      <c r="BW677" s="407"/>
      <c r="BX677" s="407"/>
      <c r="BY677" s="407"/>
      <c r="BZ677" s="407"/>
      <c r="CA677" s="407"/>
      <c r="CB677" s="407"/>
      <c r="CC677" s="407"/>
      <c r="CD677" s="407"/>
      <c r="CE677" s="407"/>
      <c r="CF677" s="407"/>
      <c r="CG677" s="407"/>
      <c r="CH677" s="407"/>
      <c r="CI677" s="407">
        <v>1118.7164</v>
      </c>
      <c r="CJ677" s="407">
        <v>88.934299999999894</v>
      </c>
      <c r="CK677" s="407"/>
      <c r="CL677" s="407"/>
      <c r="CM677" s="407"/>
      <c r="CN677" s="407"/>
      <c r="CO677" s="407">
        <v>-21.26618000000002</v>
      </c>
      <c r="CP677" s="407">
        <v>111.06121</v>
      </c>
      <c r="CQ677" s="407">
        <v>31</v>
      </c>
      <c r="CR677" s="407">
        <v>89.782250924345362</v>
      </c>
      <c r="CS677" s="407">
        <v>0</v>
      </c>
      <c r="CT677" s="407">
        <v>0</v>
      </c>
      <c r="CU677" s="407">
        <v>0</v>
      </c>
      <c r="CV677" s="407">
        <v>0</v>
      </c>
      <c r="CW677" s="407">
        <v>0</v>
      </c>
      <c r="CX677" s="407">
        <v>0</v>
      </c>
      <c r="CY677" s="407">
        <v>0</v>
      </c>
      <c r="CZ677" s="407">
        <v>0</v>
      </c>
      <c r="DA677" s="407">
        <v>0</v>
      </c>
      <c r="DB677" s="407">
        <v>0</v>
      </c>
      <c r="DC677" s="407">
        <v>123.6340753952926</v>
      </c>
      <c r="DD677" s="407">
        <v>0</v>
      </c>
      <c r="DE677" s="407">
        <v>0</v>
      </c>
      <c r="DF677" s="407">
        <v>0</v>
      </c>
      <c r="DG677" s="407">
        <v>4.1602952476633845</v>
      </c>
      <c r="DH677" s="407">
        <v>0</v>
      </c>
      <c r="DI677" s="407">
        <v>-15.26738354897347</v>
      </c>
      <c r="DJ677" s="407"/>
      <c r="DK677" s="407">
        <v>0</v>
      </c>
      <c r="DL677" s="407">
        <v>0</v>
      </c>
      <c r="DM677" s="407">
        <v>0</v>
      </c>
      <c r="DN677" s="407">
        <v>0</v>
      </c>
      <c r="DO677" s="407">
        <v>-2.3621159673225023</v>
      </c>
      <c r="DP677" s="407">
        <v>-0.27660467108170295</v>
      </c>
      <c r="DQ677" s="407">
        <v>0</v>
      </c>
      <c r="DR677" s="407">
        <v>-20.106015531232934</v>
      </c>
      <c r="DS677" s="407"/>
      <c r="DT677" s="407"/>
      <c r="DU677" s="407"/>
      <c r="DV677" s="407">
        <v>0</v>
      </c>
      <c r="DW677" s="407">
        <v>0</v>
      </c>
      <c r="DX677" s="407">
        <v>0</v>
      </c>
      <c r="DY677" s="407">
        <v>-21.26618000000002</v>
      </c>
      <c r="DZ677" s="407">
        <v>111.06120999999996</v>
      </c>
      <c r="EA677" s="407">
        <v>0</v>
      </c>
      <c r="EB677" s="407">
        <v>0</v>
      </c>
      <c r="EC677" s="407">
        <v>0</v>
      </c>
      <c r="ED677" s="407">
        <v>0</v>
      </c>
      <c r="EE677" s="407">
        <v>0</v>
      </c>
      <c r="EF677" s="407">
        <v>0</v>
      </c>
      <c r="EG677" s="407">
        <v>0</v>
      </c>
      <c r="EH677" s="407">
        <v>0</v>
      </c>
      <c r="EI677" s="407">
        <v>0</v>
      </c>
      <c r="EJ677" s="407">
        <v>0</v>
      </c>
      <c r="EK677" s="407">
        <v>0</v>
      </c>
      <c r="EL677" s="407">
        <v>0</v>
      </c>
      <c r="EM677" s="407">
        <v>0</v>
      </c>
      <c r="EN677" s="407">
        <v>0</v>
      </c>
      <c r="EO677" s="407">
        <v>0</v>
      </c>
      <c r="EP677" s="407">
        <v>103.25075563935168</v>
      </c>
      <c r="EQ677" s="407">
        <v>0</v>
      </c>
      <c r="ER677" s="407">
        <v>0</v>
      </c>
      <c r="ES677" s="407">
        <v>0</v>
      </c>
      <c r="ET677" s="407">
        <v>0</v>
      </c>
      <c r="EU677" s="407">
        <v>0</v>
      </c>
      <c r="EV677" s="407">
        <v>246</v>
      </c>
      <c r="EW677" s="407">
        <v>0</v>
      </c>
      <c r="EX677" s="407">
        <v>0</v>
      </c>
      <c r="EY677" s="407">
        <v>0</v>
      </c>
      <c r="EZ677" s="407"/>
      <c r="FA677" s="407">
        <v>0</v>
      </c>
      <c r="FB677" s="407"/>
      <c r="FC677" s="407"/>
      <c r="FD677" s="407"/>
      <c r="FE677" s="407"/>
      <c r="FF677" s="407">
        <v>0</v>
      </c>
      <c r="FG677" s="407">
        <v>0</v>
      </c>
      <c r="FH677" s="407">
        <v>0</v>
      </c>
      <c r="FI677" s="407">
        <v>0</v>
      </c>
    </row>
    <row r="678" spans="1:165">
      <c r="A678" s="407">
        <v>702</v>
      </c>
      <c r="B678" s="407" t="s">
        <v>1090</v>
      </c>
      <c r="C678" s="407" t="s">
        <v>2314</v>
      </c>
      <c r="D678" s="407" t="s">
        <v>650</v>
      </c>
      <c r="E678" s="407" t="s">
        <v>2316</v>
      </c>
      <c r="F678" s="407" t="s">
        <v>97</v>
      </c>
      <c r="G678" s="407" t="s">
        <v>97</v>
      </c>
      <c r="H678" s="407" t="s">
        <v>97</v>
      </c>
      <c r="I678" s="407" t="s">
        <v>97</v>
      </c>
      <c r="J678" s="407" t="s">
        <v>2307</v>
      </c>
      <c r="K678" s="818">
        <v>44682</v>
      </c>
      <c r="L678" s="407">
        <v>45</v>
      </c>
      <c r="M678" s="407">
        <v>45</v>
      </c>
      <c r="N678" s="407">
        <v>0</v>
      </c>
      <c r="O678" s="407">
        <v>0</v>
      </c>
      <c r="P678" s="407">
        <v>0</v>
      </c>
      <c r="Q678" s="407">
        <v>0</v>
      </c>
      <c r="R678" s="407">
        <v>43.29</v>
      </c>
      <c r="S678" s="407"/>
      <c r="T678" s="407"/>
      <c r="U678" s="407">
        <v>1948.05</v>
      </c>
      <c r="V678" s="407"/>
      <c r="W678" s="407">
        <v>1948.05</v>
      </c>
      <c r="X678" s="407">
        <v>1507.0500000000002</v>
      </c>
      <c r="Y678" s="407">
        <v>0</v>
      </c>
      <c r="Z678" s="407">
        <v>0</v>
      </c>
      <c r="AA678" s="407">
        <v>0</v>
      </c>
      <c r="AB678" s="407">
        <v>0</v>
      </c>
      <c r="AC678" s="407">
        <v>0</v>
      </c>
      <c r="AD678" s="407">
        <v>1064.8794221297101</v>
      </c>
      <c r="AE678" s="407">
        <v>883.31341969672201</v>
      </c>
      <c r="AF678" s="407"/>
      <c r="AG678" s="407"/>
      <c r="AH678" s="407"/>
      <c r="AI678" s="407">
        <v>0</v>
      </c>
      <c r="AJ678" s="407">
        <v>0</v>
      </c>
      <c r="AK678" s="407">
        <v>0</v>
      </c>
      <c r="AL678" s="407">
        <v>0</v>
      </c>
      <c r="AM678" s="407"/>
      <c r="AN678" s="407">
        <v>0</v>
      </c>
      <c r="AO678" s="407">
        <v>0</v>
      </c>
      <c r="AP678" s="407">
        <v>0</v>
      </c>
      <c r="AQ678" s="407">
        <v>0</v>
      </c>
      <c r="AR678" s="407">
        <v>0</v>
      </c>
      <c r="AS678" s="407"/>
      <c r="AT678" s="407"/>
      <c r="AU678" s="407">
        <v>0</v>
      </c>
      <c r="AV678" s="407">
        <v>0</v>
      </c>
      <c r="AW678" s="407">
        <v>0</v>
      </c>
      <c r="AX678" s="407"/>
      <c r="AY678" s="407"/>
      <c r="AZ678" s="407">
        <v>0</v>
      </c>
      <c r="BA678" s="407"/>
      <c r="BB678" s="407">
        <v>0</v>
      </c>
      <c r="BC678" s="407">
        <v>0</v>
      </c>
      <c r="BD678" s="407">
        <v>0</v>
      </c>
      <c r="BE678" s="407">
        <v>0</v>
      </c>
      <c r="BF678" s="407"/>
      <c r="BG678" s="407">
        <v>0</v>
      </c>
      <c r="BH678" s="407">
        <v>0</v>
      </c>
      <c r="BI678" s="407">
        <v>1.37</v>
      </c>
      <c r="BJ678" s="407">
        <v>5.82</v>
      </c>
      <c r="BK678" s="407">
        <v>0</v>
      </c>
      <c r="BL678" s="407">
        <v>1</v>
      </c>
      <c r="BM678" s="407"/>
      <c r="BN678" s="407"/>
      <c r="BO678" s="407"/>
      <c r="BP678" s="407"/>
      <c r="BQ678" s="407"/>
      <c r="BR678" s="407"/>
      <c r="BS678" s="407"/>
      <c r="BT678" s="407"/>
      <c r="BU678" s="407"/>
      <c r="BV678" s="407">
        <v>0</v>
      </c>
      <c r="BW678" s="407"/>
      <c r="BX678" s="407"/>
      <c r="BY678" s="407"/>
      <c r="BZ678" s="407"/>
      <c r="CA678" s="407"/>
      <c r="CB678" s="407"/>
      <c r="CC678" s="407"/>
      <c r="CD678" s="407"/>
      <c r="CE678" s="407"/>
      <c r="CF678" s="407"/>
      <c r="CG678" s="407"/>
      <c r="CH678" s="407"/>
      <c r="CI678" s="407">
        <v>1507.0500000000002</v>
      </c>
      <c r="CJ678" s="407">
        <v>-441.02999999999975</v>
      </c>
      <c r="CK678" s="407"/>
      <c r="CL678" s="407"/>
      <c r="CM678" s="407"/>
      <c r="CN678" s="407"/>
      <c r="CO678" s="407">
        <v>-440.99999999999989</v>
      </c>
      <c r="CP678" s="407">
        <v>0</v>
      </c>
      <c r="CQ678" s="407">
        <v>31</v>
      </c>
      <c r="CR678" s="407">
        <v>10.064706534659763</v>
      </c>
      <c r="CS678" s="407">
        <v>0</v>
      </c>
      <c r="CT678" s="407">
        <v>0</v>
      </c>
      <c r="CU678" s="407">
        <v>0</v>
      </c>
      <c r="CV678" s="407">
        <v>0</v>
      </c>
      <c r="CW678" s="407"/>
      <c r="CX678" s="407"/>
      <c r="CY678" s="407"/>
      <c r="CZ678" s="407">
        <v>48.102714951201051</v>
      </c>
      <c r="DA678" s="407">
        <v>0</v>
      </c>
      <c r="DB678" s="407">
        <v>0</v>
      </c>
      <c r="DC678" s="407"/>
      <c r="DD678" s="407"/>
      <c r="DE678" s="407">
        <v>0</v>
      </c>
      <c r="DF678" s="407">
        <v>0</v>
      </c>
      <c r="DG678" s="407">
        <v>0</v>
      </c>
      <c r="DH678" s="407">
        <v>0</v>
      </c>
      <c r="DI678" s="407">
        <v>0</v>
      </c>
      <c r="DJ678" s="407"/>
      <c r="DK678" s="407">
        <v>0</v>
      </c>
      <c r="DL678" s="407">
        <v>0</v>
      </c>
      <c r="DM678" s="407"/>
      <c r="DN678" s="407">
        <v>0</v>
      </c>
      <c r="DO678" s="407">
        <v>0</v>
      </c>
      <c r="DP678" s="407">
        <v>0</v>
      </c>
      <c r="DQ678" s="407">
        <v>0</v>
      </c>
      <c r="DR678" s="407">
        <v>-38.03800841654121</v>
      </c>
      <c r="DS678" s="407"/>
      <c r="DT678" s="407"/>
      <c r="DU678" s="407">
        <v>883.31341969672201</v>
      </c>
      <c r="DV678" s="407"/>
      <c r="DW678" s="407">
        <v>0</v>
      </c>
      <c r="DX678" s="407">
        <v>0</v>
      </c>
      <c r="DY678" s="407">
        <v>-440.99999999999977</v>
      </c>
      <c r="DZ678" s="407"/>
      <c r="EA678" s="407">
        <v>0</v>
      </c>
      <c r="EB678" s="407"/>
      <c r="EC678" s="407">
        <v>-451.19854638546485</v>
      </c>
      <c r="ED678" s="407"/>
      <c r="EE678" s="407">
        <v>0</v>
      </c>
      <c r="EF678" s="407">
        <v>0</v>
      </c>
      <c r="EG678" s="407"/>
      <c r="EH678" s="407">
        <v>0</v>
      </c>
      <c r="EI678" s="407">
        <v>0</v>
      </c>
      <c r="EJ678" s="407">
        <v>0</v>
      </c>
      <c r="EK678" s="407">
        <v>0</v>
      </c>
      <c r="EL678" s="407">
        <v>0</v>
      </c>
      <c r="EM678" s="407"/>
      <c r="EN678" s="407"/>
      <c r="EO678" s="407">
        <v>0</v>
      </c>
      <c r="EP678" s="407">
        <v>0</v>
      </c>
      <c r="EQ678" s="407"/>
      <c r="ER678" s="407">
        <v>0</v>
      </c>
      <c r="ES678" s="407"/>
      <c r="ET678" s="407">
        <v>0</v>
      </c>
      <c r="EU678" s="407"/>
      <c r="EV678" s="407">
        <v>246</v>
      </c>
      <c r="EW678" s="407"/>
      <c r="EX678" s="407"/>
      <c r="EY678" s="407"/>
      <c r="EZ678" s="407"/>
      <c r="FA678" s="407">
        <v>0</v>
      </c>
      <c r="FB678" s="407"/>
      <c r="FC678" s="407"/>
      <c r="FD678" s="407"/>
      <c r="FE678" s="407"/>
      <c r="FF678" s="407">
        <v>0</v>
      </c>
      <c r="FG678" s="407">
        <v>0</v>
      </c>
      <c r="FH678" s="407">
        <v>0</v>
      </c>
      <c r="FI678" s="407">
        <v>0</v>
      </c>
    </row>
    <row r="679" spans="1:165">
      <c r="A679" s="407">
        <v>703</v>
      </c>
      <c r="B679" s="407" t="s">
        <v>1090</v>
      </c>
      <c r="C679" s="407" t="s">
        <v>2306</v>
      </c>
      <c r="D679" s="407" t="s">
        <v>2318</v>
      </c>
      <c r="E679" s="407" t="s">
        <v>2319</v>
      </c>
      <c r="F679" s="407" t="s">
        <v>2320</v>
      </c>
      <c r="G679" s="407" t="s">
        <v>97</v>
      </c>
      <c r="H679" s="407" t="s">
        <v>97</v>
      </c>
      <c r="I679" s="407" t="s">
        <v>97</v>
      </c>
      <c r="J679" s="407" t="s">
        <v>2307</v>
      </c>
      <c r="K679" s="818">
        <v>44682</v>
      </c>
      <c r="L679" s="407">
        <v>0</v>
      </c>
      <c r="M679" s="407">
        <v>0</v>
      </c>
      <c r="N679" s="407">
        <v>526.69899999999996</v>
      </c>
      <c r="O679" s="407">
        <v>526.69899999999996</v>
      </c>
      <c r="P679" s="407">
        <v>526.69899999999996</v>
      </c>
      <c r="Q679" s="407">
        <v>526.69899999999996</v>
      </c>
      <c r="R679" s="407"/>
      <c r="S679" s="407">
        <v>356.64</v>
      </c>
      <c r="T679" s="407">
        <v>87.68</v>
      </c>
      <c r="U679" s="407"/>
      <c r="V679" s="407">
        <v>234022.89967999997</v>
      </c>
      <c r="W679" s="407">
        <v>234022.89967999997</v>
      </c>
      <c r="X679" s="407">
        <v>177234.21349999998</v>
      </c>
      <c r="Y679" s="407">
        <v>0</v>
      </c>
      <c r="Z679" s="407">
        <v>17951.817970115651</v>
      </c>
      <c r="AA679" s="407">
        <v>0</v>
      </c>
      <c r="AB679" s="407">
        <v>0</v>
      </c>
      <c r="AC679" s="407">
        <v>0</v>
      </c>
      <c r="AD679" s="407">
        <v>33790.076452764413</v>
      </c>
      <c r="AE679" s="407">
        <v>120956.58069085926</v>
      </c>
      <c r="AF679" s="407">
        <v>44678.240344142709</v>
      </c>
      <c r="AG679" s="407">
        <v>1501.0715987111198</v>
      </c>
      <c r="AH679" s="407">
        <v>0</v>
      </c>
      <c r="AI679" s="407">
        <v>0</v>
      </c>
      <c r="AJ679" s="407">
        <v>0</v>
      </c>
      <c r="AK679" s="407">
        <v>0</v>
      </c>
      <c r="AL679" s="407">
        <v>2774.0343274492902</v>
      </c>
      <c r="AM679" s="407"/>
      <c r="AN679" s="407">
        <v>601.12293930937255</v>
      </c>
      <c r="AO679" s="407">
        <v>0</v>
      </c>
      <c r="AP679" s="407">
        <v>0</v>
      </c>
      <c r="AQ679" s="407">
        <v>0</v>
      </c>
      <c r="AR679" s="407">
        <v>0</v>
      </c>
      <c r="AS679" s="407">
        <v>0</v>
      </c>
      <c r="AT679" s="407">
        <v>0</v>
      </c>
      <c r="AU679" s="407">
        <v>0</v>
      </c>
      <c r="AV679" s="407">
        <v>0</v>
      </c>
      <c r="AW679" s="407">
        <v>0</v>
      </c>
      <c r="AX679" s="407">
        <v>0</v>
      </c>
      <c r="AY679" s="407">
        <v>0</v>
      </c>
      <c r="AZ679" s="407">
        <v>0</v>
      </c>
      <c r="BA679" s="407"/>
      <c r="BB679" s="407">
        <v>0</v>
      </c>
      <c r="BC679" s="407">
        <v>0</v>
      </c>
      <c r="BD679" s="407">
        <v>0</v>
      </c>
      <c r="BE679" s="407">
        <v>0</v>
      </c>
      <c r="BF679" s="407">
        <v>0</v>
      </c>
      <c r="BG679" s="407">
        <v>3265.8367009461558</v>
      </c>
      <c r="BH679" s="407">
        <v>0</v>
      </c>
      <c r="BI679" s="407">
        <v>70.930000000000007</v>
      </c>
      <c r="BJ679" s="407">
        <v>302.76</v>
      </c>
      <c r="BK679" s="407">
        <v>44521.15</v>
      </c>
      <c r="BL679" s="407">
        <v>62</v>
      </c>
      <c r="BM679" s="407"/>
      <c r="BN679" s="407"/>
      <c r="BO679" s="407"/>
      <c r="BP679" s="407"/>
      <c r="BQ679" s="407"/>
      <c r="BR679" s="407"/>
      <c r="BS679" s="407"/>
      <c r="BT679" s="407"/>
      <c r="BU679" s="407"/>
      <c r="BV679" s="407">
        <v>47944.077045088867</v>
      </c>
      <c r="BW679" s="407"/>
      <c r="BX679" s="407"/>
      <c r="BY679" s="407"/>
      <c r="BZ679" s="407"/>
      <c r="CA679" s="407"/>
      <c r="CB679" s="407"/>
      <c r="CC679" s="407"/>
      <c r="CD679" s="407"/>
      <c r="CE679" s="407"/>
      <c r="CF679" s="407"/>
      <c r="CG679" s="407"/>
      <c r="CH679" s="407"/>
      <c r="CI679" s="407">
        <v>177234.55000000002</v>
      </c>
      <c r="CJ679" s="407">
        <v>-56788.379679999984</v>
      </c>
      <c r="CK679" s="407"/>
      <c r="CL679" s="407"/>
      <c r="CM679" s="407"/>
      <c r="CN679" s="407"/>
      <c r="CO679" s="407">
        <v>-64741.841079999991</v>
      </c>
      <c r="CP679" s="407">
        <v>7953.1548999999959</v>
      </c>
      <c r="CQ679" s="407">
        <v>31</v>
      </c>
      <c r="CR679" s="407">
        <v>4998.2207191560592</v>
      </c>
      <c r="CS679" s="407">
        <v>0</v>
      </c>
      <c r="CT679" s="407">
        <v>0</v>
      </c>
      <c r="CU679" s="407">
        <v>0</v>
      </c>
      <c r="CV679" s="407">
        <v>0</v>
      </c>
      <c r="CW679" s="407">
        <v>0</v>
      </c>
      <c r="CX679" s="407">
        <v>0</v>
      </c>
      <c r="CY679" s="407">
        <v>0</v>
      </c>
      <c r="CZ679" s="407">
        <v>1526.3647526740533</v>
      </c>
      <c r="DA679" s="407">
        <v>0</v>
      </c>
      <c r="DB679" s="407">
        <v>0</v>
      </c>
      <c r="DC679" s="407">
        <v>8858.4885313242048</v>
      </c>
      <c r="DD679" s="407">
        <v>0</v>
      </c>
      <c r="DE679" s="407">
        <v>0</v>
      </c>
      <c r="DF679" s="407">
        <v>0</v>
      </c>
      <c r="DG679" s="407">
        <v>647.52722438635465</v>
      </c>
      <c r="DH679" s="407">
        <v>0</v>
      </c>
      <c r="DI679" s="407">
        <v>-1257.3807450150816</v>
      </c>
      <c r="DJ679" s="407"/>
      <c r="DK679" s="407">
        <v>0</v>
      </c>
      <c r="DL679" s="407">
        <v>0</v>
      </c>
      <c r="DM679" s="407">
        <v>0</v>
      </c>
      <c r="DN679" s="407">
        <v>0</v>
      </c>
      <c r="DO679" s="407">
        <v>-169.2476539277859</v>
      </c>
      <c r="DP679" s="407">
        <v>-38.302102460016954</v>
      </c>
      <c r="DQ679" s="407">
        <v>0</v>
      </c>
      <c r="DR679" s="407">
        <v>-4569.2292878256703</v>
      </c>
      <c r="DS679" s="407"/>
      <c r="DT679" s="407"/>
      <c r="DU679" s="407"/>
      <c r="DV679" s="407">
        <v>120956.58069085926</v>
      </c>
      <c r="DW679" s="407">
        <v>0</v>
      </c>
      <c r="DX679" s="407">
        <v>0</v>
      </c>
      <c r="DY679" s="407">
        <v>-64741.841079999998</v>
      </c>
      <c r="DZ679" s="407">
        <v>7953.1548999999941</v>
      </c>
      <c r="EA679" s="407">
        <v>0</v>
      </c>
      <c r="EB679" s="407">
        <v>0</v>
      </c>
      <c r="EC679" s="407">
        <v>-61784.902353469777</v>
      </c>
      <c r="ED679" s="407">
        <v>0</v>
      </c>
      <c r="EE679" s="407">
        <v>0</v>
      </c>
      <c r="EF679" s="407">
        <v>0</v>
      </c>
      <c r="EG679" s="407">
        <v>0</v>
      </c>
      <c r="EH679" s="407">
        <v>0</v>
      </c>
      <c r="EI679" s="407">
        <v>0</v>
      </c>
      <c r="EJ679" s="407">
        <v>0</v>
      </c>
      <c r="EK679" s="407">
        <v>0</v>
      </c>
      <c r="EL679" s="407">
        <v>0</v>
      </c>
      <c r="EM679" s="407">
        <v>0</v>
      </c>
      <c r="EN679" s="407">
        <v>0</v>
      </c>
      <c r="EO679" s="407">
        <v>0</v>
      </c>
      <c r="EP679" s="407">
        <v>8503.4552012616969</v>
      </c>
      <c r="EQ679" s="407">
        <v>0</v>
      </c>
      <c r="ER679" s="407">
        <v>0</v>
      </c>
      <c r="ES679" s="407">
        <v>0</v>
      </c>
      <c r="ET679" s="407">
        <v>0</v>
      </c>
      <c r="EU679" s="407">
        <v>0</v>
      </c>
      <c r="EV679" s="407">
        <v>246</v>
      </c>
      <c r="EW679" s="407">
        <v>0</v>
      </c>
      <c r="EX679" s="407">
        <v>0</v>
      </c>
      <c r="EY679" s="407">
        <v>0</v>
      </c>
      <c r="EZ679" s="407"/>
      <c r="FA679" s="407">
        <v>0</v>
      </c>
      <c r="FB679" s="407"/>
      <c r="FC679" s="407"/>
      <c r="FD679" s="407"/>
      <c r="FE679" s="407"/>
      <c r="FF679" s="407">
        <v>0</v>
      </c>
      <c r="FG679" s="407">
        <v>0</v>
      </c>
      <c r="FH679" s="407">
        <v>0</v>
      </c>
      <c r="FI679" s="407">
        <v>0</v>
      </c>
    </row>
    <row r="680" spans="1:165">
      <c r="A680" s="407">
        <v>704</v>
      </c>
      <c r="B680" s="407" t="s">
        <v>1090</v>
      </c>
      <c r="C680" s="407" t="s">
        <v>2306</v>
      </c>
      <c r="D680" s="407" t="s">
        <v>1219</v>
      </c>
      <c r="E680" s="407" t="s">
        <v>1052</v>
      </c>
      <c r="F680" s="407" t="s">
        <v>2321</v>
      </c>
      <c r="G680" s="407" t="s">
        <v>97</v>
      </c>
      <c r="H680" s="407" t="s">
        <v>97</v>
      </c>
      <c r="I680" s="407" t="s">
        <v>97</v>
      </c>
      <c r="J680" s="407" t="s">
        <v>2307</v>
      </c>
      <c r="K680" s="818">
        <v>44682</v>
      </c>
      <c r="L680" s="407">
        <v>0</v>
      </c>
      <c r="M680" s="407">
        <v>0</v>
      </c>
      <c r="N680" s="407">
        <v>39.252000000000002</v>
      </c>
      <c r="O680" s="407">
        <v>36.896880000000003</v>
      </c>
      <c r="P680" s="407">
        <v>39.252000000000002</v>
      </c>
      <c r="Q680" s="407">
        <v>36.896880000000003</v>
      </c>
      <c r="R680" s="407"/>
      <c r="S680" s="407">
        <v>648.44000000000005</v>
      </c>
      <c r="T680" s="407">
        <v>159.41</v>
      </c>
      <c r="U680" s="407"/>
      <c r="V680" s="407">
        <v>31709.728200000001</v>
      </c>
      <c r="W680" s="407">
        <v>31709.728200000001</v>
      </c>
      <c r="X680" s="407">
        <v>24015.158640000001</v>
      </c>
      <c r="Y680" s="407">
        <v>0</v>
      </c>
      <c r="Z680" s="407">
        <v>2432.4562777290234</v>
      </c>
      <c r="AA680" s="407">
        <v>0</v>
      </c>
      <c r="AB680" s="407">
        <v>0</v>
      </c>
      <c r="AC680" s="407">
        <v>0</v>
      </c>
      <c r="AD680" s="407">
        <v>4578.527017670127</v>
      </c>
      <c r="AE680" s="407">
        <v>16389.515230374349</v>
      </c>
      <c r="AF680" s="407">
        <v>6053.8640924229549</v>
      </c>
      <c r="AG680" s="407">
        <v>203.39394259032161</v>
      </c>
      <c r="AH680" s="407">
        <v>0</v>
      </c>
      <c r="AI680" s="407">
        <v>0</v>
      </c>
      <c r="AJ680" s="407">
        <v>0</v>
      </c>
      <c r="AK680" s="407">
        <v>0</v>
      </c>
      <c r="AL680" s="407">
        <v>375.87932462733016</v>
      </c>
      <c r="AM680" s="407"/>
      <c r="AN680" s="407">
        <v>81.451654080056585</v>
      </c>
      <c r="AO680" s="407">
        <v>0</v>
      </c>
      <c r="AP680" s="407">
        <v>0</v>
      </c>
      <c r="AQ680" s="407">
        <v>0</v>
      </c>
      <c r="AR680" s="407">
        <v>0</v>
      </c>
      <c r="AS680" s="407">
        <v>0</v>
      </c>
      <c r="AT680" s="407">
        <v>0</v>
      </c>
      <c r="AU680" s="407">
        <v>0</v>
      </c>
      <c r="AV680" s="407">
        <v>0</v>
      </c>
      <c r="AW680" s="407">
        <v>0</v>
      </c>
      <c r="AX680" s="407">
        <v>0</v>
      </c>
      <c r="AY680" s="407">
        <v>0</v>
      </c>
      <c r="AZ680" s="407">
        <v>0</v>
      </c>
      <c r="BA680" s="407"/>
      <c r="BB680" s="407">
        <v>0</v>
      </c>
      <c r="BC680" s="407">
        <v>0</v>
      </c>
      <c r="BD680" s="407">
        <v>0</v>
      </c>
      <c r="BE680" s="407">
        <v>0</v>
      </c>
      <c r="BF680" s="407">
        <v>0</v>
      </c>
      <c r="BG680" s="407">
        <v>442.51813373323358</v>
      </c>
      <c r="BH680" s="407">
        <v>0</v>
      </c>
      <c r="BI680" s="407">
        <v>9.24</v>
      </c>
      <c r="BJ680" s="407">
        <v>39.54</v>
      </c>
      <c r="BK680" s="407">
        <v>8232.11</v>
      </c>
      <c r="BL680" s="407">
        <v>13</v>
      </c>
      <c r="BM680" s="407"/>
      <c r="BN680" s="407"/>
      <c r="BO680" s="407"/>
      <c r="BP680" s="407"/>
      <c r="BQ680" s="407">
        <v>1440.9095183999998</v>
      </c>
      <c r="BR680" s="407"/>
      <c r="BS680" s="407"/>
      <c r="BT680" s="407"/>
      <c r="BU680" s="407"/>
      <c r="BV680" s="407">
        <v>6496.3822261561882</v>
      </c>
      <c r="BW680" s="407"/>
      <c r="BX680" s="407"/>
      <c r="BY680" s="407"/>
      <c r="BZ680" s="407"/>
      <c r="CA680" s="407"/>
      <c r="CB680" s="407"/>
      <c r="CC680" s="407"/>
      <c r="CD680" s="407"/>
      <c r="CE680" s="407"/>
      <c r="CF680" s="407"/>
      <c r="CG680" s="407"/>
      <c r="CH680" s="407"/>
      <c r="CI680" s="407">
        <v>22576.157999999999</v>
      </c>
      <c r="CJ680" s="407">
        <v>-7231.0165080000006</v>
      </c>
      <c r="CK680" s="407"/>
      <c r="CL680" s="407"/>
      <c r="CM680" s="407"/>
      <c r="CN680" s="407"/>
      <c r="CO680" s="407">
        <v>-8772.8220000000019</v>
      </c>
      <c r="CP680" s="407">
        <v>1078.25244</v>
      </c>
      <c r="CQ680" s="407">
        <v>31</v>
      </c>
      <c r="CR680" s="407">
        <v>677.25471515062054</v>
      </c>
      <c r="CS680" s="407">
        <v>0</v>
      </c>
      <c r="CT680" s="407">
        <v>0</v>
      </c>
      <c r="CU680" s="407">
        <v>0</v>
      </c>
      <c r="CV680" s="407">
        <v>0</v>
      </c>
      <c r="CW680" s="407">
        <v>0</v>
      </c>
      <c r="CX680" s="407">
        <v>0</v>
      </c>
      <c r="CY680" s="407">
        <v>0</v>
      </c>
      <c r="CZ680" s="407">
        <v>206.82114373747299</v>
      </c>
      <c r="DA680" s="407">
        <v>0</v>
      </c>
      <c r="DB680" s="407">
        <v>0</v>
      </c>
      <c r="DC680" s="407">
        <v>1200.3177658708937</v>
      </c>
      <c r="DD680" s="407">
        <v>0</v>
      </c>
      <c r="DE680" s="407">
        <v>0</v>
      </c>
      <c r="DF680" s="407">
        <v>0</v>
      </c>
      <c r="DG680" s="407">
        <v>87.739395786046828</v>
      </c>
      <c r="DH680" s="407">
        <v>0</v>
      </c>
      <c r="DI680" s="407">
        <v>-170.37403631203188</v>
      </c>
      <c r="DJ680" s="407"/>
      <c r="DK680" s="407">
        <v>0</v>
      </c>
      <c r="DL680" s="407">
        <v>0</v>
      </c>
      <c r="DM680" s="407">
        <v>0</v>
      </c>
      <c r="DN680" s="407">
        <v>0</v>
      </c>
      <c r="DO680" s="407">
        <v>-22.932915149478845</v>
      </c>
      <c r="DP680" s="407">
        <v>-5.1899027571566876</v>
      </c>
      <c r="DQ680" s="407">
        <v>0</v>
      </c>
      <c r="DR680" s="407">
        <v>-619.12673602512461</v>
      </c>
      <c r="DS680" s="407"/>
      <c r="DT680" s="407"/>
      <c r="DU680" s="407"/>
      <c r="DV680" s="407">
        <v>16389.515230374349</v>
      </c>
      <c r="DW680" s="407">
        <v>0</v>
      </c>
      <c r="DX680" s="407">
        <v>0</v>
      </c>
      <c r="DY680" s="407">
        <v>-8772.8220000000001</v>
      </c>
      <c r="DZ680" s="407">
        <v>1078.2524400000002</v>
      </c>
      <c r="EA680" s="407">
        <v>0</v>
      </c>
      <c r="EB680" s="407">
        <v>0</v>
      </c>
      <c r="EC680" s="407">
        <v>-8371.8024463460715</v>
      </c>
      <c r="ED680" s="407">
        <v>0</v>
      </c>
      <c r="EE680" s="407">
        <v>0</v>
      </c>
      <c r="EF680" s="407">
        <v>0</v>
      </c>
      <c r="EG680" s="407">
        <v>0</v>
      </c>
      <c r="EH680" s="407">
        <v>0</v>
      </c>
      <c r="EI680" s="407">
        <v>0</v>
      </c>
      <c r="EJ680" s="407">
        <v>0</v>
      </c>
      <c r="EK680" s="407">
        <v>0</v>
      </c>
      <c r="EL680" s="407">
        <v>0</v>
      </c>
      <c r="EM680" s="407">
        <v>0</v>
      </c>
      <c r="EN680" s="407">
        <v>0</v>
      </c>
      <c r="EO680" s="407">
        <v>0</v>
      </c>
      <c r="EP680" s="407">
        <v>1152.2110474342867</v>
      </c>
      <c r="EQ680" s="407">
        <v>0</v>
      </c>
      <c r="ER680" s="407">
        <v>0</v>
      </c>
      <c r="ES680" s="407">
        <v>0</v>
      </c>
      <c r="ET680" s="407">
        <v>0</v>
      </c>
      <c r="EU680" s="407">
        <v>0</v>
      </c>
      <c r="EV680" s="407">
        <v>246</v>
      </c>
      <c r="EW680" s="407">
        <v>0</v>
      </c>
      <c r="EX680" s="407">
        <v>0</v>
      </c>
      <c r="EY680" s="407">
        <v>0</v>
      </c>
      <c r="EZ680" s="407"/>
      <c r="FA680" s="407">
        <v>0</v>
      </c>
      <c r="FB680" s="407"/>
      <c r="FC680" s="407"/>
      <c r="FD680" s="407"/>
      <c r="FE680" s="407"/>
      <c r="FF680" s="407">
        <v>0</v>
      </c>
      <c r="FG680" s="407">
        <v>0</v>
      </c>
      <c r="FH680" s="407">
        <v>0</v>
      </c>
      <c r="FI680" s="407">
        <v>0</v>
      </c>
    </row>
    <row r="681" spans="1:165">
      <c r="A681" s="407">
        <v>705</v>
      </c>
      <c r="B681" s="407" t="s">
        <v>1090</v>
      </c>
      <c r="C681" s="407" t="s">
        <v>2317</v>
      </c>
      <c r="D681" s="407" t="s">
        <v>650</v>
      </c>
      <c r="E681" s="407" t="s">
        <v>1052</v>
      </c>
      <c r="F681" s="407" t="s">
        <v>2321</v>
      </c>
      <c r="G681" s="407" t="s">
        <v>97</v>
      </c>
      <c r="H681" s="407" t="s">
        <v>97</v>
      </c>
      <c r="I681" s="407" t="s">
        <v>1025</v>
      </c>
      <c r="J681" s="407" t="s">
        <v>2307</v>
      </c>
      <c r="K681" s="818">
        <v>44682</v>
      </c>
      <c r="L681" s="407">
        <v>708</v>
      </c>
      <c r="M681" s="407">
        <v>665.52</v>
      </c>
      <c r="N681" s="407">
        <v>36.517000000000003</v>
      </c>
      <c r="O681" s="407">
        <v>34.325980000000001</v>
      </c>
      <c r="P681" s="407">
        <v>36.517000000000003</v>
      </c>
      <c r="Q681" s="407">
        <v>34.325980000000001</v>
      </c>
      <c r="R681" s="407">
        <v>112.91</v>
      </c>
      <c r="S681" s="407">
        <v>95.29</v>
      </c>
      <c r="T681" s="407">
        <v>159.41</v>
      </c>
      <c r="U681" s="407">
        <v>79940.28</v>
      </c>
      <c r="V681" s="407">
        <v>9300.8798999999999</v>
      </c>
      <c r="W681" s="407">
        <v>89241.159899999999</v>
      </c>
      <c r="X681" s="407">
        <v>57647.04247</v>
      </c>
      <c r="Y681" s="407">
        <v>0</v>
      </c>
      <c r="Z681" s="407">
        <v>1968.7818487626796</v>
      </c>
      <c r="AA681" s="407">
        <v>0</v>
      </c>
      <c r="AB681" s="407">
        <v>0</v>
      </c>
      <c r="AC681" s="407">
        <v>0</v>
      </c>
      <c r="AD681" s="407">
        <v>17972.872804850485</v>
      </c>
      <c r="AE681" s="407">
        <v>61965.112641339554</v>
      </c>
      <c r="AF681" s="407">
        <v>5632.0430822126018</v>
      </c>
      <c r="AG681" s="407">
        <v>189.22186389408881</v>
      </c>
      <c r="AH681" s="407">
        <v>0</v>
      </c>
      <c r="AI681" s="407">
        <v>0</v>
      </c>
      <c r="AJ681" s="407">
        <v>0</v>
      </c>
      <c r="AK681" s="407">
        <v>0</v>
      </c>
      <c r="AL681" s="407">
        <v>349.68881324305039</v>
      </c>
      <c r="AM681" s="407"/>
      <c r="AN681" s="407">
        <v>39.209521976622277</v>
      </c>
      <c r="AO681" s="407">
        <v>0</v>
      </c>
      <c r="AP681" s="407">
        <v>0</v>
      </c>
      <c r="AQ681" s="407">
        <v>0</v>
      </c>
      <c r="AR681" s="407">
        <v>0</v>
      </c>
      <c r="AS681" s="407">
        <v>0</v>
      </c>
      <c r="AT681" s="407">
        <v>0</v>
      </c>
      <c r="AU681" s="407">
        <v>0</v>
      </c>
      <c r="AV681" s="407">
        <v>0</v>
      </c>
      <c r="AW681" s="407">
        <v>0</v>
      </c>
      <c r="AX681" s="407">
        <v>0</v>
      </c>
      <c r="AY681" s="407">
        <v>0</v>
      </c>
      <c r="AZ681" s="407">
        <v>0</v>
      </c>
      <c r="BA681" s="407"/>
      <c r="BB681" s="407">
        <v>0</v>
      </c>
      <c r="BC681" s="407">
        <v>0</v>
      </c>
      <c r="BD681" s="407">
        <v>0</v>
      </c>
      <c r="BE681" s="407">
        <v>0</v>
      </c>
      <c r="BF681" s="407">
        <v>0</v>
      </c>
      <c r="BG681" s="407">
        <v>189.51864196540581</v>
      </c>
      <c r="BH681" s="407">
        <v>0</v>
      </c>
      <c r="BI681" s="407">
        <v>0</v>
      </c>
      <c r="BJ681" s="407">
        <v>0</v>
      </c>
      <c r="BK681" s="407">
        <v>0</v>
      </c>
      <c r="BL681" s="407">
        <v>0</v>
      </c>
      <c r="BM681" s="407"/>
      <c r="BN681" s="407"/>
      <c r="BO681" s="407"/>
      <c r="BP681" s="407"/>
      <c r="BQ681" s="407">
        <v>3458.8225482000021</v>
      </c>
      <c r="BR681" s="407"/>
      <c r="BS681" s="407"/>
      <c r="BT681" s="407"/>
      <c r="BU681" s="407"/>
      <c r="BV681" s="407">
        <v>5821.5617241780074</v>
      </c>
      <c r="BW681" s="407"/>
      <c r="BX681" s="407"/>
      <c r="BY681" s="407"/>
      <c r="BZ681" s="407"/>
      <c r="CA681" s="407"/>
      <c r="CB681" s="407"/>
      <c r="CC681" s="407"/>
      <c r="CD681" s="407"/>
      <c r="CE681" s="407"/>
      <c r="CF681" s="407"/>
      <c r="CG681" s="407"/>
      <c r="CH681" s="407"/>
      <c r="CI681" s="407">
        <v>54189.333099999996</v>
      </c>
      <c r="CJ681" s="407">
        <v>-29697.387205999992</v>
      </c>
      <c r="CK681" s="407"/>
      <c r="CL681" s="407"/>
      <c r="CM681" s="407"/>
      <c r="CN681" s="407"/>
      <c r="CO681" s="407">
        <v>-32597.239419999998</v>
      </c>
      <c r="CP681" s="407">
        <v>1003.1219900000001</v>
      </c>
      <c r="CQ681" s="407">
        <v>31</v>
      </c>
      <c r="CR681" s="407">
        <v>62.027027148578782</v>
      </c>
      <c r="CS681" s="407">
        <v>0</v>
      </c>
      <c r="CT681" s="407">
        <v>0</v>
      </c>
      <c r="CU681" s="407">
        <v>0</v>
      </c>
      <c r="CV681" s="407">
        <v>0</v>
      </c>
      <c r="CW681" s="407">
        <v>0</v>
      </c>
      <c r="CX681" s="407">
        <v>0</v>
      </c>
      <c r="CY681" s="407">
        <v>0</v>
      </c>
      <c r="CZ681" s="407">
        <v>811.87030138765112</v>
      </c>
      <c r="DA681" s="407">
        <v>0</v>
      </c>
      <c r="DB681" s="407">
        <v>0</v>
      </c>
      <c r="DC681" s="407">
        <v>1116.6820507568391</v>
      </c>
      <c r="DD681" s="407">
        <v>0</v>
      </c>
      <c r="DE681" s="407">
        <v>0</v>
      </c>
      <c r="DF681" s="407">
        <v>0</v>
      </c>
      <c r="DG681" s="407">
        <v>37.576428780342241</v>
      </c>
      <c r="DH681" s="407">
        <v>0</v>
      </c>
      <c r="DI681" s="407">
        <v>-137.89736459506935</v>
      </c>
      <c r="DJ681" s="407"/>
      <c r="DK681" s="407">
        <v>0</v>
      </c>
      <c r="DL681" s="407">
        <v>0</v>
      </c>
      <c r="DM681" s="407">
        <v>0</v>
      </c>
      <c r="DN681" s="407">
        <v>0</v>
      </c>
      <c r="DO681" s="407">
        <v>-21.334995987809975</v>
      </c>
      <c r="DP681" s="407">
        <v>-2.4983360806061228</v>
      </c>
      <c r="DQ681" s="407">
        <v>0</v>
      </c>
      <c r="DR681" s="407">
        <v>-1742.3710571127715</v>
      </c>
      <c r="DS681" s="407"/>
      <c r="DT681" s="407"/>
      <c r="DU681" s="407">
        <v>61965.112641339554</v>
      </c>
      <c r="DV681" s="407">
        <v>0</v>
      </c>
      <c r="DW681" s="407">
        <v>0</v>
      </c>
      <c r="DX681" s="407">
        <v>0</v>
      </c>
      <c r="DY681" s="407">
        <v>-32597.239420000005</v>
      </c>
      <c r="DZ681" s="407">
        <v>1003.1219900000006</v>
      </c>
      <c r="EA681" s="407">
        <v>0</v>
      </c>
      <c r="EB681" s="407">
        <v>0</v>
      </c>
      <c r="EC681" s="407">
        <v>-31651.923458814021</v>
      </c>
      <c r="ED681" s="407">
        <v>0</v>
      </c>
      <c r="EE681" s="407">
        <v>0</v>
      </c>
      <c r="EF681" s="407">
        <v>0</v>
      </c>
      <c r="EG681" s="407">
        <v>0</v>
      </c>
      <c r="EH681" s="407">
        <v>0</v>
      </c>
      <c r="EI681" s="407">
        <v>0</v>
      </c>
      <c r="EJ681" s="407">
        <v>0</v>
      </c>
      <c r="EK681" s="407">
        <v>0</v>
      </c>
      <c r="EL681" s="407">
        <v>0</v>
      </c>
      <c r="EM681" s="407">
        <v>0</v>
      </c>
      <c r="EN681" s="407">
        <v>0</v>
      </c>
      <c r="EO681" s="407">
        <v>0</v>
      </c>
      <c r="EP681" s="407">
        <v>932.57676074256869</v>
      </c>
      <c r="EQ681" s="407">
        <v>0</v>
      </c>
      <c r="ER681" s="407">
        <v>0</v>
      </c>
      <c r="ES681" s="407">
        <v>0</v>
      </c>
      <c r="ET681" s="407">
        <v>0</v>
      </c>
      <c r="EU681" s="407">
        <v>0</v>
      </c>
      <c r="EV681" s="407">
        <v>246</v>
      </c>
      <c r="EW681" s="407">
        <v>0</v>
      </c>
      <c r="EX681" s="407">
        <v>0</v>
      </c>
      <c r="EY681" s="407">
        <v>0</v>
      </c>
      <c r="EZ681" s="407"/>
      <c r="FA681" s="407">
        <v>0</v>
      </c>
      <c r="FB681" s="407"/>
      <c r="FC681" s="407"/>
      <c r="FD681" s="407"/>
      <c r="FE681" s="407"/>
      <c r="FF681" s="407">
        <v>0</v>
      </c>
      <c r="FG681" s="407">
        <v>0</v>
      </c>
      <c r="FH681" s="407">
        <v>0</v>
      </c>
      <c r="FI681" s="407">
        <v>0</v>
      </c>
    </row>
    <row r="682" spans="1:165">
      <c r="A682" s="407">
        <v>706</v>
      </c>
      <c r="B682" s="407" t="s">
        <v>1090</v>
      </c>
      <c r="C682" s="407" t="s">
        <v>2317</v>
      </c>
      <c r="D682" s="407" t="s">
        <v>650</v>
      </c>
      <c r="E682" s="407" t="s">
        <v>1052</v>
      </c>
      <c r="F682" s="407" t="s">
        <v>2321</v>
      </c>
      <c r="G682" s="407" t="s">
        <v>97</v>
      </c>
      <c r="H682" s="407" t="s">
        <v>97</v>
      </c>
      <c r="I682" s="407" t="s">
        <v>2290</v>
      </c>
      <c r="J682" s="407" t="s">
        <v>2307</v>
      </c>
      <c r="K682" s="818">
        <v>44682</v>
      </c>
      <c r="L682" s="407">
        <v>718</v>
      </c>
      <c r="M682" s="407">
        <v>674.92</v>
      </c>
      <c r="N682" s="407">
        <v>365.57799999999997</v>
      </c>
      <c r="O682" s="407">
        <v>343.64332000000002</v>
      </c>
      <c r="P682" s="407">
        <v>365.57799999999997</v>
      </c>
      <c r="Q682" s="407">
        <v>343.64332000000002</v>
      </c>
      <c r="R682" s="407">
        <v>43.29</v>
      </c>
      <c r="S682" s="407">
        <v>95.29</v>
      </c>
      <c r="T682" s="407">
        <v>159.41</v>
      </c>
      <c r="U682" s="407">
        <v>31082.22</v>
      </c>
      <c r="V682" s="407">
        <v>93112.7166</v>
      </c>
      <c r="W682" s="407">
        <v>124194.9366</v>
      </c>
      <c r="X682" s="407">
        <v>125278.02398</v>
      </c>
      <c r="Y682" s="407">
        <v>0</v>
      </c>
      <c r="Z682" s="407">
        <v>19709.815447790421</v>
      </c>
      <c r="AA682" s="407">
        <v>0</v>
      </c>
      <c r="AB682" s="407">
        <v>0</v>
      </c>
      <c r="AC682" s="407">
        <v>0</v>
      </c>
      <c r="AD682" s="407">
        <v>16990.742779758486</v>
      </c>
      <c r="AE682" s="407">
        <v>14093.756340938808</v>
      </c>
      <c r="AF682" s="407">
        <v>56383.356954544957</v>
      </c>
      <c r="AG682" s="407">
        <v>1894.3327918140371</v>
      </c>
      <c r="AH682" s="407">
        <v>0</v>
      </c>
      <c r="AI682" s="407">
        <v>0</v>
      </c>
      <c r="AJ682" s="407">
        <v>0</v>
      </c>
      <c r="AK682" s="407">
        <v>0</v>
      </c>
      <c r="AL682" s="407">
        <v>3500.7951630136063</v>
      </c>
      <c r="AM682" s="407"/>
      <c r="AN682" s="407">
        <v>392.53330298681755</v>
      </c>
      <c r="AO682" s="407">
        <v>0</v>
      </c>
      <c r="AP682" s="407">
        <v>0</v>
      </c>
      <c r="AQ682" s="407">
        <v>0</v>
      </c>
      <c r="AR682" s="407">
        <v>0</v>
      </c>
      <c r="AS682" s="407">
        <v>0</v>
      </c>
      <c r="AT682" s="407">
        <v>0</v>
      </c>
      <c r="AU682" s="407">
        <v>0</v>
      </c>
      <c r="AV682" s="407">
        <v>0</v>
      </c>
      <c r="AW682" s="407">
        <v>0</v>
      </c>
      <c r="AX682" s="407">
        <v>0</v>
      </c>
      <c r="AY682" s="407">
        <v>0</v>
      </c>
      <c r="AZ682" s="407">
        <v>0</v>
      </c>
      <c r="BA682" s="407"/>
      <c r="BB682" s="407">
        <v>0</v>
      </c>
      <c r="BC682" s="407">
        <v>0</v>
      </c>
      <c r="BD682" s="407">
        <v>0</v>
      </c>
      <c r="BE682" s="407">
        <v>0</v>
      </c>
      <c r="BF682" s="407">
        <v>0</v>
      </c>
      <c r="BG682" s="407">
        <v>1897.3038883925051</v>
      </c>
      <c r="BH682" s="407">
        <v>0</v>
      </c>
      <c r="BI682" s="407">
        <v>0</v>
      </c>
      <c r="BJ682" s="407">
        <v>0</v>
      </c>
      <c r="BK682" s="407">
        <v>0</v>
      </c>
      <c r="BL682" s="407">
        <v>0</v>
      </c>
      <c r="BM682" s="407"/>
      <c r="BN682" s="407"/>
      <c r="BO682" s="407"/>
      <c r="BP682" s="407"/>
      <c r="BQ682" s="407">
        <v>7516.6814387999902</v>
      </c>
      <c r="BR682" s="407"/>
      <c r="BS682" s="407"/>
      <c r="BT682" s="407"/>
      <c r="BU682" s="407"/>
      <c r="BV682" s="407">
        <v>58280.660842937461</v>
      </c>
      <c r="BW682" s="407"/>
      <c r="BX682" s="407"/>
      <c r="BY682" s="407"/>
      <c r="BZ682" s="407"/>
      <c r="CA682" s="407"/>
      <c r="CB682" s="407"/>
      <c r="CC682" s="407"/>
      <c r="CD682" s="407"/>
      <c r="CE682" s="407"/>
      <c r="CF682" s="407"/>
      <c r="CG682" s="407"/>
      <c r="CH682" s="407"/>
      <c r="CI682" s="407">
        <v>117760.42319999999</v>
      </c>
      <c r="CJ682" s="407">
        <v>1017.1527959999949</v>
      </c>
      <c r="CK682" s="407"/>
      <c r="CL682" s="407"/>
      <c r="CM682" s="407"/>
      <c r="CN682" s="407"/>
      <c r="CO682" s="407">
        <v>-8959.3402800000003</v>
      </c>
      <c r="CP682" s="407">
        <v>10042.427659999999</v>
      </c>
      <c r="CQ682" s="407">
        <v>31</v>
      </c>
      <c r="CR682" s="407">
        <v>8278.9198488251859</v>
      </c>
      <c r="CS682" s="407">
        <v>0</v>
      </c>
      <c r="CT682" s="407">
        <v>0</v>
      </c>
      <c r="CU682" s="407">
        <v>0</v>
      </c>
      <c r="CV682" s="407">
        <v>0</v>
      </c>
      <c r="CW682" s="407">
        <v>0</v>
      </c>
      <c r="CX682" s="407">
        <v>0</v>
      </c>
      <c r="CY682" s="407">
        <v>0</v>
      </c>
      <c r="CZ682" s="407">
        <v>767.5055407769396</v>
      </c>
      <c r="DA682" s="407">
        <v>0</v>
      </c>
      <c r="DB682" s="407">
        <v>0</v>
      </c>
      <c r="DC682" s="407">
        <v>11179.297060316661</v>
      </c>
      <c r="DD682" s="407">
        <v>0</v>
      </c>
      <c r="DE682" s="407">
        <v>0</v>
      </c>
      <c r="DF682" s="407">
        <v>0</v>
      </c>
      <c r="DG682" s="407">
        <v>376.18412467234339</v>
      </c>
      <c r="DH682" s="407">
        <v>0</v>
      </c>
      <c r="DI682" s="407">
        <v>-1380.5143564349819</v>
      </c>
      <c r="DJ682" s="407"/>
      <c r="DK682" s="407">
        <v>0</v>
      </c>
      <c r="DL682" s="407">
        <v>0</v>
      </c>
      <c r="DM682" s="407">
        <v>0</v>
      </c>
      <c r="DN682" s="407">
        <v>0</v>
      </c>
      <c r="DO682" s="407">
        <v>-213.58833319362475</v>
      </c>
      <c r="DP682" s="407">
        <v>-25.011274411255727</v>
      </c>
      <c r="DQ682" s="407">
        <v>0</v>
      </c>
      <c r="DR682" s="407">
        <v>-2424.9529129009097</v>
      </c>
      <c r="DS682" s="407"/>
      <c r="DT682" s="407"/>
      <c r="DU682" s="407">
        <v>14093.756340938808</v>
      </c>
      <c r="DV682" s="407">
        <v>0</v>
      </c>
      <c r="DW682" s="407">
        <v>0</v>
      </c>
      <c r="DX682" s="407">
        <v>0</v>
      </c>
      <c r="DY682" s="407">
        <v>-8959.340280000004</v>
      </c>
      <c r="DZ682" s="407">
        <v>10042.427660000001</v>
      </c>
      <c r="EA682" s="407">
        <v>0</v>
      </c>
      <c r="EB682" s="407">
        <v>0</v>
      </c>
      <c r="EC682" s="407">
        <v>-7199.1234734391937</v>
      </c>
      <c r="ED682" s="407">
        <v>0</v>
      </c>
      <c r="EE682" s="407">
        <v>0</v>
      </c>
      <c r="EF682" s="407">
        <v>0</v>
      </c>
      <c r="EG682" s="407">
        <v>0</v>
      </c>
      <c r="EH682" s="407">
        <v>0</v>
      </c>
      <c r="EI682" s="407">
        <v>0</v>
      </c>
      <c r="EJ682" s="407">
        <v>0</v>
      </c>
      <c r="EK682" s="407">
        <v>0</v>
      </c>
      <c r="EL682" s="407">
        <v>0</v>
      </c>
      <c r="EM682" s="407">
        <v>0</v>
      </c>
      <c r="EN682" s="407">
        <v>0</v>
      </c>
      <c r="EO682" s="407">
        <v>0</v>
      </c>
      <c r="EP682" s="407">
        <v>9336.1871741585219</v>
      </c>
      <c r="EQ682" s="407">
        <v>0</v>
      </c>
      <c r="ER682" s="407">
        <v>0</v>
      </c>
      <c r="ES682" s="407">
        <v>0</v>
      </c>
      <c r="ET682" s="407">
        <v>0</v>
      </c>
      <c r="EU682" s="407">
        <v>0</v>
      </c>
      <c r="EV682" s="407">
        <v>246</v>
      </c>
      <c r="EW682" s="407">
        <v>0</v>
      </c>
      <c r="EX682" s="407">
        <v>0</v>
      </c>
      <c r="EY682" s="407">
        <v>0</v>
      </c>
      <c r="EZ682" s="407"/>
      <c r="FA682" s="407">
        <v>0</v>
      </c>
      <c r="FB682" s="407"/>
      <c r="FC682" s="407"/>
      <c r="FD682" s="407"/>
      <c r="FE682" s="407"/>
      <c r="FF682" s="407">
        <v>0</v>
      </c>
      <c r="FG682" s="407">
        <v>0</v>
      </c>
      <c r="FH682" s="407">
        <v>0</v>
      </c>
      <c r="FI682" s="407">
        <v>0</v>
      </c>
    </row>
    <row r="683" spans="1:165">
      <c r="A683" s="407">
        <v>707</v>
      </c>
      <c r="B683" s="407" t="s">
        <v>1090</v>
      </c>
      <c r="C683" s="407" t="s">
        <v>2317</v>
      </c>
      <c r="D683" s="407" t="s">
        <v>650</v>
      </c>
      <c r="E683" s="407" t="s">
        <v>1052</v>
      </c>
      <c r="F683" s="407" t="s">
        <v>2321</v>
      </c>
      <c r="G683" s="407" t="s">
        <v>97</v>
      </c>
      <c r="H683" s="407" t="s">
        <v>97</v>
      </c>
      <c r="I683" s="407" t="s">
        <v>97</v>
      </c>
      <c r="J683" s="407" t="s">
        <v>2307</v>
      </c>
      <c r="K683" s="818">
        <v>44682</v>
      </c>
      <c r="L683" s="407">
        <v>0</v>
      </c>
      <c r="M683" s="407">
        <v>0</v>
      </c>
      <c r="N683" s="407">
        <v>0</v>
      </c>
      <c r="O683" s="407">
        <v>0</v>
      </c>
      <c r="P683" s="407">
        <v>0</v>
      </c>
      <c r="Q683" s="407">
        <v>0</v>
      </c>
      <c r="R683" s="407"/>
      <c r="S683" s="407"/>
      <c r="T683" s="407"/>
      <c r="U683" s="407"/>
      <c r="V683" s="407"/>
      <c r="W683" s="407"/>
      <c r="X683" s="407"/>
      <c r="Y683" s="407"/>
      <c r="Z683" s="407"/>
      <c r="AA683" s="407">
        <v>0</v>
      </c>
      <c r="AB683" s="407"/>
      <c r="AC683" s="407"/>
      <c r="AD683" s="407"/>
      <c r="AE683" s="407"/>
      <c r="AF683" s="407"/>
      <c r="AG683" s="407"/>
      <c r="AH683" s="407"/>
      <c r="AI683" s="407"/>
      <c r="AJ683" s="407"/>
      <c r="AK683" s="407"/>
      <c r="AL683" s="407"/>
      <c r="AM683" s="407"/>
      <c r="AN683" s="407"/>
      <c r="AO683" s="407"/>
      <c r="AP683" s="407"/>
      <c r="AQ683" s="407"/>
      <c r="AR683" s="407"/>
      <c r="AS683" s="407"/>
      <c r="AT683" s="407"/>
      <c r="AU683" s="407"/>
      <c r="AV683" s="407"/>
      <c r="AW683" s="407"/>
      <c r="AX683" s="407"/>
      <c r="AY683" s="407"/>
      <c r="AZ683" s="407">
        <v>0</v>
      </c>
      <c r="BA683" s="407"/>
      <c r="BB683" s="407"/>
      <c r="BC683" s="407"/>
      <c r="BD683" s="407"/>
      <c r="BE683" s="407"/>
      <c r="BF683" s="407"/>
      <c r="BG683" s="407"/>
      <c r="BH683" s="407"/>
      <c r="BI683" s="407">
        <v>68.91</v>
      </c>
      <c r="BJ683" s="407">
        <v>292.93</v>
      </c>
      <c r="BK683" s="407">
        <v>60341.53</v>
      </c>
      <c r="BL683" s="407">
        <v>3</v>
      </c>
      <c r="BM683" s="407"/>
      <c r="BN683" s="407"/>
      <c r="BO683" s="407"/>
      <c r="BP683" s="407"/>
      <c r="BQ683" s="407"/>
      <c r="BR683" s="407"/>
      <c r="BS683" s="407"/>
      <c r="BT683" s="407"/>
      <c r="BU683" s="407"/>
      <c r="BV683" s="407"/>
      <c r="BW683" s="407"/>
      <c r="BX683" s="407"/>
      <c r="BY683" s="407"/>
      <c r="BZ683" s="407"/>
      <c r="CA683" s="407"/>
      <c r="CB683" s="407"/>
      <c r="CC683" s="407"/>
      <c r="CD683" s="407"/>
      <c r="CE683" s="407"/>
      <c r="CF683" s="407"/>
      <c r="CG683" s="407"/>
      <c r="CH683" s="407"/>
      <c r="CI683" s="407"/>
      <c r="CJ683" s="407">
        <v>-0.03</v>
      </c>
      <c r="CK683" s="407"/>
      <c r="CL683" s="407"/>
      <c r="CM683" s="407"/>
      <c r="CN683" s="407"/>
      <c r="CO683" s="407">
        <v>0</v>
      </c>
      <c r="CP683" s="407">
        <v>0</v>
      </c>
      <c r="CQ683" s="407">
        <v>31</v>
      </c>
      <c r="CR683" s="407"/>
      <c r="CS683" s="407"/>
      <c r="CT683" s="407"/>
      <c r="CU683" s="407"/>
      <c r="CV683" s="407"/>
      <c r="CW683" s="407"/>
      <c r="CX683" s="407"/>
      <c r="CY683" s="407"/>
      <c r="CZ683" s="407"/>
      <c r="DA683" s="407"/>
      <c r="DB683" s="407"/>
      <c r="DC683" s="407"/>
      <c r="DD683" s="407"/>
      <c r="DE683" s="407"/>
      <c r="DF683" s="407"/>
      <c r="DG683" s="407"/>
      <c r="DH683" s="407"/>
      <c r="DI683" s="407"/>
      <c r="DJ683" s="407"/>
      <c r="DK683" s="407">
        <v>0</v>
      </c>
      <c r="DL683" s="407"/>
      <c r="DM683" s="407"/>
      <c r="DN683" s="407"/>
      <c r="DO683" s="407"/>
      <c r="DP683" s="407"/>
      <c r="DQ683" s="407"/>
      <c r="DR683" s="407"/>
      <c r="DS683" s="407"/>
      <c r="DT683" s="407"/>
      <c r="DU683" s="407"/>
      <c r="DV683" s="407"/>
      <c r="DW683" s="407"/>
      <c r="DX683" s="407"/>
      <c r="DY683" s="407"/>
      <c r="DZ683" s="407"/>
      <c r="EA683" s="407"/>
      <c r="EB683" s="407"/>
      <c r="EC683" s="407"/>
      <c r="ED683" s="407"/>
      <c r="EE683" s="407"/>
      <c r="EF683" s="407"/>
      <c r="EG683" s="407"/>
      <c r="EH683" s="407"/>
      <c r="EI683" s="407"/>
      <c r="EJ683" s="407"/>
      <c r="EK683" s="407"/>
      <c r="EL683" s="407"/>
      <c r="EM683" s="407"/>
      <c r="EN683" s="407"/>
      <c r="EO683" s="407"/>
      <c r="EP683" s="407"/>
      <c r="EQ683" s="407"/>
      <c r="ER683" s="407"/>
      <c r="ES683" s="407"/>
      <c r="ET683" s="407"/>
      <c r="EU683" s="407"/>
      <c r="EV683" s="407">
        <v>246</v>
      </c>
      <c r="EW683" s="407"/>
      <c r="EX683" s="407"/>
      <c r="EY683" s="407"/>
      <c r="EZ683" s="407"/>
      <c r="FA683" s="407">
        <v>0</v>
      </c>
      <c r="FB683" s="407"/>
      <c r="FC683" s="407"/>
      <c r="FD683" s="407"/>
      <c r="FE683" s="407"/>
      <c r="FF683" s="407">
        <v>0</v>
      </c>
      <c r="FG683" s="407">
        <v>0</v>
      </c>
      <c r="FH683" s="407">
        <v>0</v>
      </c>
      <c r="FI683" s="407">
        <v>0</v>
      </c>
    </row>
    <row r="684" spans="1:165">
      <c r="A684" s="407">
        <v>708</v>
      </c>
      <c r="B684" s="407" t="s">
        <v>1090</v>
      </c>
      <c r="C684" s="407" t="s">
        <v>2306</v>
      </c>
      <c r="D684" s="407" t="s">
        <v>1219</v>
      </c>
      <c r="E684" s="407" t="s">
        <v>2322</v>
      </c>
      <c r="F684" s="407" t="s">
        <v>97</v>
      </c>
      <c r="G684" s="407" t="s">
        <v>97</v>
      </c>
      <c r="H684" s="407" t="s">
        <v>97</v>
      </c>
      <c r="I684" s="407" t="s">
        <v>97</v>
      </c>
      <c r="J684" s="407" t="s">
        <v>2307</v>
      </c>
      <c r="K684" s="818">
        <v>44682</v>
      </c>
      <c r="L684" s="407">
        <v>0</v>
      </c>
      <c r="M684" s="407">
        <v>0</v>
      </c>
      <c r="N684" s="407">
        <v>4.3819999999999997</v>
      </c>
      <c r="O684" s="407">
        <v>4.3819999999999997</v>
      </c>
      <c r="P684" s="407">
        <v>4.3819999999999997</v>
      </c>
      <c r="Q684" s="407">
        <v>4.3819999999999997</v>
      </c>
      <c r="R684" s="407"/>
      <c r="S684" s="407">
        <v>648.44000000000005</v>
      </c>
      <c r="T684" s="407">
        <v>159.41</v>
      </c>
      <c r="U684" s="407"/>
      <c r="V684" s="407">
        <v>3539.9987000000001</v>
      </c>
      <c r="W684" s="407">
        <v>3539.9987000000001</v>
      </c>
      <c r="X684" s="407">
        <v>2680.9952399999997</v>
      </c>
      <c r="Y684" s="407">
        <v>0</v>
      </c>
      <c r="Z684" s="407">
        <v>271.55363826068935</v>
      </c>
      <c r="AA684" s="407">
        <v>0</v>
      </c>
      <c r="AB684" s="407">
        <v>0</v>
      </c>
      <c r="AC684" s="407">
        <v>0</v>
      </c>
      <c r="AD684" s="407">
        <v>511.13587566061585</v>
      </c>
      <c r="AE684" s="407">
        <v>1829.6865316289714</v>
      </c>
      <c r="AF684" s="407">
        <v>675.83900063684359</v>
      </c>
      <c r="AG684" s="407">
        <v>22.706416397401131</v>
      </c>
      <c r="AH684" s="407">
        <v>0</v>
      </c>
      <c r="AI684" s="407">
        <v>0</v>
      </c>
      <c r="AJ684" s="407">
        <v>0</v>
      </c>
      <c r="AK684" s="407">
        <v>0</v>
      </c>
      <c r="AL684" s="407">
        <v>41.962274546952017</v>
      </c>
      <c r="AM684" s="407"/>
      <c r="AN684" s="407">
        <v>9.0930690965761727</v>
      </c>
      <c r="AO684" s="407">
        <v>0</v>
      </c>
      <c r="AP684" s="407">
        <v>0</v>
      </c>
      <c r="AQ684" s="407">
        <v>0</v>
      </c>
      <c r="AR684" s="407">
        <v>0</v>
      </c>
      <c r="AS684" s="407">
        <v>0</v>
      </c>
      <c r="AT684" s="407">
        <v>0</v>
      </c>
      <c r="AU684" s="407">
        <v>0</v>
      </c>
      <c r="AV684" s="407">
        <v>0</v>
      </c>
      <c r="AW684" s="407">
        <v>0</v>
      </c>
      <c r="AX684" s="407">
        <v>0</v>
      </c>
      <c r="AY684" s="407">
        <v>0</v>
      </c>
      <c r="AZ684" s="407">
        <v>0</v>
      </c>
      <c r="BA684" s="407"/>
      <c r="BB684" s="407">
        <v>0</v>
      </c>
      <c r="BC684" s="407">
        <v>0</v>
      </c>
      <c r="BD684" s="407">
        <v>0</v>
      </c>
      <c r="BE684" s="407">
        <v>0</v>
      </c>
      <c r="BF684" s="407">
        <v>0</v>
      </c>
      <c r="BG684" s="407">
        <v>49.401672832442401</v>
      </c>
      <c r="BH684" s="407">
        <v>0</v>
      </c>
      <c r="BI684" s="407">
        <v>1.06</v>
      </c>
      <c r="BJ684" s="407">
        <v>4.5599999999999996</v>
      </c>
      <c r="BK684" s="407">
        <v>895.52</v>
      </c>
      <c r="BL684" s="407">
        <v>5</v>
      </c>
      <c r="BM684" s="407"/>
      <c r="BN684" s="407"/>
      <c r="BO684" s="407"/>
      <c r="BP684" s="407"/>
      <c r="BQ684" s="407"/>
      <c r="BR684" s="407"/>
      <c r="BS684" s="407"/>
      <c r="BT684" s="407"/>
      <c r="BU684" s="407"/>
      <c r="BV684" s="407">
        <v>725.24067346928598</v>
      </c>
      <c r="BW684" s="407"/>
      <c r="BX684" s="407"/>
      <c r="BY684" s="407"/>
      <c r="BZ684" s="407"/>
      <c r="CA684" s="407"/>
      <c r="CB684" s="407"/>
      <c r="CC684" s="407"/>
      <c r="CD684" s="407"/>
      <c r="CE684" s="407"/>
      <c r="CF684" s="407"/>
      <c r="CG684" s="407"/>
      <c r="CH684" s="407"/>
      <c r="CI684" s="407">
        <v>2679.7716</v>
      </c>
      <c r="CJ684" s="407">
        <v>-860.25710000000072</v>
      </c>
      <c r="CK684" s="407"/>
      <c r="CL684" s="407"/>
      <c r="CM684" s="407"/>
      <c r="CN684" s="407"/>
      <c r="CO684" s="407">
        <v>-979.37700000000018</v>
      </c>
      <c r="CP684" s="407">
        <v>120.37353999999999</v>
      </c>
      <c r="CQ684" s="407">
        <v>31</v>
      </c>
      <c r="CR684" s="407">
        <v>75.607106944615225</v>
      </c>
      <c r="CS684" s="407">
        <v>0</v>
      </c>
      <c r="CT684" s="407">
        <v>0</v>
      </c>
      <c r="CU684" s="407">
        <v>0</v>
      </c>
      <c r="CV684" s="407">
        <v>0</v>
      </c>
      <c r="CW684" s="407">
        <v>0</v>
      </c>
      <c r="CX684" s="407">
        <v>0</v>
      </c>
      <c r="CY684" s="407">
        <v>0</v>
      </c>
      <c r="CZ684" s="407">
        <v>23.089020988933271</v>
      </c>
      <c r="DA684" s="407">
        <v>0</v>
      </c>
      <c r="DB684" s="407">
        <v>0</v>
      </c>
      <c r="DC684" s="407">
        <v>134.00062289937478</v>
      </c>
      <c r="DD684" s="407">
        <v>0</v>
      </c>
      <c r="DE684" s="407">
        <v>0</v>
      </c>
      <c r="DF684" s="407">
        <v>0</v>
      </c>
      <c r="DG684" s="407">
        <v>9.795017638195695</v>
      </c>
      <c r="DH684" s="407">
        <v>0</v>
      </c>
      <c r="DI684" s="407">
        <v>-19.020152530299669</v>
      </c>
      <c r="DJ684" s="407"/>
      <c r="DK684" s="407">
        <v>0</v>
      </c>
      <c r="DL684" s="407">
        <v>0</v>
      </c>
      <c r="DM684" s="407">
        <v>0</v>
      </c>
      <c r="DN684" s="407">
        <v>0</v>
      </c>
      <c r="DO684" s="407">
        <v>-2.560176148604306</v>
      </c>
      <c r="DP684" s="407">
        <v>-0.57938841031949018</v>
      </c>
      <c r="DQ684" s="407">
        <v>0</v>
      </c>
      <c r="DR684" s="407">
        <v>-69.117837492665231</v>
      </c>
      <c r="DS684" s="407"/>
      <c r="DT684" s="407"/>
      <c r="DU684" s="407"/>
      <c r="DV684" s="407">
        <v>1829.6865316289714</v>
      </c>
      <c r="DW684" s="407">
        <v>0</v>
      </c>
      <c r="DX684" s="407">
        <v>0</v>
      </c>
      <c r="DY684" s="407">
        <v>-979.37700000000041</v>
      </c>
      <c r="DZ684" s="407">
        <v>120.37354000000005</v>
      </c>
      <c r="EA684" s="407">
        <v>0</v>
      </c>
      <c r="EB684" s="407">
        <v>0</v>
      </c>
      <c r="EC684" s="407">
        <v>-934.60813002874954</v>
      </c>
      <c r="ED684" s="407">
        <v>0</v>
      </c>
      <c r="EE684" s="407">
        <v>0</v>
      </c>
      <c r="EF684" s="407">
        <v>0</v>
      </c>
      <c r="EG684" s="407">
        <v>0</v>
      </c>
      <c r="EH684" s="407">
        <v>0</v>
      </c>
      <c r="EI684" s="407">
        <v>0</v>
      </c>
      <c r="EJ684" s="407">
        <v>0</v>
      </c>
      <c r="EK684" s="407">
        <v>0</v>
      </c>
      <c r="EL684" s="407">
        <v>0</v>
      </c>
      <c r="EM684" s="407">
        <v>0</v>
      </c>
      <c r="EN684" s="407">
        <v>0</v>
      </c>
      <c r="EO684" s="407">
        <v>0</v>
      </c>
      <c r="EP684" s="407">
        <v>128.63010317581382</v>
      </c>
      <c r="EQ684" s="407">
        <v>0</v>
      </c>
      <c r="ER684" s="407">
        <v>0</v>
      </c>
      <c r="ES684" s="407">
        <v>0</v>
      </c>
      <c r="ET684" s="407">
        <v>0</v>
      </c>
      <c r="EU684" s="407">
        <v>0</v>
      </c>
      <c r="EV684" s="407">
        <v>246</v>
      </c>
      <c r="EW684" s="407">
        <v>0</v>
      </c>
      <c r="EX684" s="407">
        <v>0</v>
      </c>
      <c r="EY684" s="407">
        <v>0</v>
      </c>
      <c r="EZ684" s="407"/>
      <c r="FA684" s="407">
        <v>0</v>
      </c>
      <c r="FB684" s="407"/>
      <c r="FC684" s="407"/>
      <c r="FD684" s="407"/>
      <c r="FE684" s="407"/>
      <c r="FF684" s="407">
        <v>0</v>
      </c>
      <c r="FG684" s="407">
        <v>0</v>
      </c>
      <c r="FH684" s="407">
        <v>0</v>
      </c>
      <c r="FI684" s="407">
        <v>0</v>
      </c>
    </row>
    <row r="685" spans="1:165">
      <c r="A685" s="407">
        <v>709</v>
      </c>
      <c r="B685" s="407" t="s">
        <v>1090</v>
      </c>
      <c r="C685" s="407" t="s">
        <v>2306</v>
      </c>
      <c r="D685" s="407" t="s">
        <v>2315</v>
      </c>
      <c r="E685" s="407" t="s">
        <v>1026</v>
      </c>
      <c r="F685" s="407" t="s">
        <v>2323</v>
      </c>
      <c r="G685" s="407" t="s">
        <v>2324</v>
      </c>
      <c r="H685" s="407" t="s">
        <v>97</v>
      </c>
      <c r="I685" s="407" t="s">
        <v>97</v>
      </c>
      <c r="J685" s="407" t="s">
        <v>2307</v>
      </c>
      <c r="K685" s="818">
        <v>44682</v>
      </c>
      <c r="L685" s="407">
        <v>0</v>
      </c>
      <c r="M685" s="407">
        <v>0</v>
      </c>
      <c r="N685" s="407">
        <v>0</v>
      </c>
      <c r="O685" s="407">
        <v>0</v>
      </c>
      <c r="P685" s="407">
        <v>0</v>
      </c>
      <c r="Q685" s="407">
        <v>0</v>
      </c>
      <c r="R685" s="407"/>
      <c r="S685" s="407"/>
      <c r="T685" s="407"/>
      <c r="U685" s="407"/>
      <c r="V685" s="407"/>
      <c r="W685" s="407"/>
      <c r="X685" s="407"/>
      <c r="Y685" s="407"/>
      <c r="Z685" s="407"/>
      <c r="AA685" s="407">
        <v>0</v>
      </c>
      <c r="AB685" s="407"/>
      <c r="AC685" s="407"/>
      <c r="AD685" s="407"/>
      <c r="AE685" s="407"/>
      <c r="AF685" s="407"/>
      <c r="AG685" s="407"/>
      <c r="AH685" s="407"/>
      <c r="AI685" s="407"/>
      <c r="AJ685" s="407"/>
      <c r="AK685" s="407"/>
      <c r="AL685" s="407"/>
      <c r="AM685" s="407"/>
      <c r="AN685" s="407"/>
      <c r="AO685" s="407"/>
      <c r="AP685" s="407"/>
      <c r="AQ685" s="407"/>
      <c r="AR685" s="407"/>
      <c r="AS685" s="407"/>
      <c r="AT685" s="407"/>
      <c r="AU685" s="407"/>
      <c r="AV685" s="407"/>
      <c r="AW685" s="407"/>
      <c r="AX685" s="407"/>
      <c r="AY685" s="407"/>
      <c r="AZ685" s="407">
        <v>0</v>
      </c>
      <c r="BA685" s="407"/>
      <c r="BB685" s="407"/>
      <c r="BC685" s="407"/>
      <c r="BD685" s="407"/>
      <c r="BE685" s="407"/>
      <c r="BF685" s="407"/>
      <c r="BG685" s="407"/>
      <c r="BH685" s="407"/>
      <c r="BI685" s="407">
        <v>0.8</v>
      </c>
      <c r="BJ685" s="407">
        <v>3.82</v>
      </c>
      <c r="BK685" s="407">
        <v>292.60000000000002</v>
      </c>
      <c r="BL685" s="407">
        <v>38</v>
      </c>
      <c r="BM685" s="407"/>
      <c r="BN685" s="407"/>
      <c r="BO685" s="407"/>
      <c r="BP685" s="407"/>
      <c r="BQ685" s="407"/>
      <c r="BR685" s="407"/>
      <c r="BS685" s="407"/>
      <c r="BT685" s="407"/>
      <c r="BU685" s="407"/>
      <c r="BV685" s="407"/>
      <c r="BW685" s="407"/>
      <c r="BX685" s="407"/>
      <c r="BY685" s="407"/>
      <c r="BZ685" s="407"/>
      <c r="CA685" s="407"/>
      <c r="CB685" s="407"/>
      <c r="CC685" s="407"/>
      <c r="CD685" s="407"/>
      <c r="CE685" s="407"/>
      <c r="CF685" s="407"/>
      <c r="CG685" s="407"/>
      <c r="CH685" s="407"/>
      <c r="CI685" s="407"/>
      <c r="CJ685" s="407">
        <v>-0.03</v>
      </c>
      <c r="CK685" s="407"/>
      <c r="CL685" s="407"/>
      <c r="CM685" s="407"/>
      <c r="CN685" s="407"/>
      <c r="CO685" s="407">
        <v>0</v>
      </c>
      <c r="CP685" s="407">
        <v>0</v>
      </c>
      <c r="CQ685" s="407">
        <v>31</v>
      </c>
      <c r="CR685" s="407"/>
      <c r="CS685" s="407"/>
      <c r="CT685" s="407"/>
      <c r="CU685" s="407"/>
      <c r="CV685" s="407"/>
      <c r="CW685" s="407"/>
      <c r="CX685" s="407"/>
      <c r="CY685" s="407"/>
      <c r="CZ685" s="407"/>
      <c r="DA685" s="407"/>
      <c r="DB685" s="407"/>
      <c r="DC685" s="407"/>
      <c r="DD685" s="407"/>
      <c r="DE685" s="407"/>
      <c r="DF685" s="407"/>
      <c r="DG685" s="407"/>
      <c r="DH685" s="407"/>
      <c r="DI685" s="407"/>
      <c r="DJ685" s="407"/>
      <c r="DK685" s="407">
        <v>0</v>
      </c>
      <c r="DL685" s="407"/>
      <c r="DM685" s="407"/>
      <c r="DN685" s="407"/>
      <c r="DO685" s="407"/>
      <c r="DP685" s="407"/>
      <c r="DQ685" s="407"/>
      <c r="DR685" s="407"/>
      <c r="DS685" s="407"/>
      <c r="DT685" s="407"/>
      <c r="DU685" s="407"/>
      <c r="DV685" s="407"/>
      <c r="DW685" s="407"/>
      <c r="DX685" s="407"/>
      <c r="DY685" s="407"/>
      <c r="DZ685" s="407"/>
      <c r="EA685" s="407"/>
      <c r="EB685" s="407"/>
      <c r="EC685" s="407"/>
      <c r="ED685" s="407"/>
      <c r="EE685" s="407"/>
      <c r="EF685" s="407"/>
      <c r="EG685" s="407"/>
      <c r="EH685" s="407"/>
      <c r="EI685" s="407"/>
      <c r="EJ685" s="407"/>
      <c r="EK685" s="407"/>
      <c r="EL685" s="407"/>
      <c r="EM685" s="407"/>
      <c r="EN685" s="407"/>
      <c r="EO685" s="407"/>
      <c r="EP685" s="407"/>
      <c r="EQ685" s="407"/>
      <c r="ER685" s="407"/>
      <c r="ES685" s="407"/>
      <c r="ET685" s="407"/>
      <c r="EU685" s="407"/>
      <c r="EV685" s="407">
        <v>246</v>
      </c>
      <c r="EW685" s="407"/>
      <c r="EX685" s="407"/>
      <c r="EY685" s="407"/>
      <c r="EZ685" s="407"/>
      <c r="FA685" s="407">
        <v>0</v>
      </c>
      <c r="FB685" s="407"/>
      <c r="FC685" s="407"/>
      <c r="FD685" s="407"/>
      <c r="FE685" s="407"/>
      <c r="FF685" s="407">
        <v>0</v>
      </c>
      <c r="FG685" s="407">
        <v>0</v>
      </c>
      <c r="FH685" s="407">
        <v>0</v>
      </c>
      <c r="FI685" s="407">
        <v>0</v>
      </c>
    </row>
    <row r="686" spans="1:165">
      <c r="A686" s="407">
        <v>710</v>
      </c>
      <c r="B686" s="407" t="s">
        <v>2309</v>
      </c>
      <c r="C686" s="407" t="s">
        <v>2306</v>
      </c>
      <c r="D686" s="407" t="s">
        <v>2315</v>
      </c>
      <c r="E686" s="407" t="s">
        <v>1026</v>
      </c>
      <c r="F686" s="407" t="s">
        <v>2323</v>
      </c>
      <c r="G686" s="407" t="s">
        <v>2324</v>
      </c>
      <c r="H686" s="407" t="s">
        <v>97</v>
      </c>
      <c r="I686" s="407" t="s">
        <v>97</v>
      </c>
      <c r="J686" s="407" t="s">
        <v>2307</v>
      </c>
      <c r="K686" s="818">
        <v>44682</v>
      </c>
      <c r="L686" s="407">
        <v>0</v>
      </c>
      <c r="M686" s="407">
        <v>0</v>
      </c>
      <c r="N686" s="407">
        <v>0</v>
      </c>
      <c r="O686" s="407">
        <v>0</v>
      </c>
      <c r="P686" s="407">
        <v>0</v>
      </c>
      <c r="Q686" s="407">
        <v>0</v>
      </c>
      <c r="R686" s="407"/>
      <c r="S686" s="407"/>
      <c r="T686" s="407"/>
      <c r="U686" s="407"/>
      <c r="V686" s="407"/>
      <c r="W686" s="407"/>
      <c r="X686" s="407"/>
      <c r="Y686" s="407"/>
      <c r="Z686" s="407"/>
      <c r="AA686" s="407">
        <v>0</v>
      </c>
      <c r="AB686" s="407"/>
      <c r="AC686" s="407"/>
      <c r="AD686" s="407"/>
      <c r="AE686" s="407"/>
      <c r="AF686" s="407"/>
      <c r="AG686" s="407"/>
      <c r="AH686" s="407"/>
      <c r="AI686" s="407"/>
      <c r="AJ686" s="407"/>
      <c r="AK686" s="407"/>
      <c r="AL686" s="407"/>
      <c r="AM686" s="407"/>
      <c r="AN686" s="407"/>
      <c r="AO686" s="407"/>
      <c r="AP686" s="407"/>
      <c r="AQ686" s="407"/>
      <c r="AR686" s="407"/>
      <c r="AS686" s="407"/>
      <c r="AT686" s="407"/>
      <c r="AU686" s="407"/>
      <c r="AV686" s="407"/>
      <c r="AW686" s="407"/>
      <c r="AX686" s="407"/>
      <c r="AY686" s="407"/>
      <c r="AZ686" s="407">
        <v>0</v>
      </c>
      <c r="BA686" s="407"/>
      <c r="BB686" s="407"/>
      <c r="BC686" s="407"/>
      <c r="BD686" s="407"/>
      <c r="BE686" s="407"/>
      <c r="BF686" s="407"/>
      <c r="BG686" s="407"/>
      <c r="BH686" s="407"/>
      <c r="BI686" s="407">
        <v>0.12</v>
      </c>
      <c r="BJ686" s="407">
        <v>0.61</v>
      </c>
      <c r="BK686" s="407">
        <v>53.58</v>
      </c>
      <c r="BL686" s="407">
        <v>7</v>
      </c>
      <c r="BM686" s="407"/>
      <c r="BN686" s="407"/>
      <c r="BO686" s="407"/>
      <c r="BP686" s="407"/>
      <c r="BQ686" s="407"/>
      <c r="BR686" s="407"/>
      <c r="BS686" s="407"/>
      <c r="BT686" s="407"/>
      <c r="BU686" s="407"/>
      <c r="BV686" s="407"/>
      <c r="BW686" s="407"/>
      <c r="BX686" s="407"/>
      <c r="BY686" s="407"/>
      <c r="BZ686" s="407"/>
      <c r="CA686" s="407"/>
      <c r="CB686" s="407"/>
      <c r="CC686" s="407"/>
      <c r="CD686" s="407"/>
      <c r="CE686" s="407"/>
      <c r="CF686" s="407"/>
      <c r="CG686" s="407"/>
      <c r="CH686" s="407"/>
      <c r="CI686" s="407"/>
      <c r="CJ686" s="407">
        <v>-0.03</v>
      </c>
      <c r="CK686" s="407"/>
      <c r="CL686" s="407"/>
      <c r="CM686" s="407"/>
      <c r="CN686" s="407"/>
      <c r="CO686" s="407">
        <v>0</v>
      </c>
      <c r="CP686" s="407">
        <v>0</v>
      </c>
      <c r="CQ686" s="407">
        <v>31</v>
      </c>
      <c r="CR686" s="407"/>
      <c r="CS686" s="407"/>
      <c r="CT686" s="407"/>
      <c r="CU686" s="407"/>
      <c r="CV686" s="407"/>
      <c r="CW686" s="407"/>
      <c r="CX686" s="407"/>
      <c r="CY686" s="407"/>
      <c r="CZ686" s="407"/>
      <c r="DA686" s="407"/>
      <c r="DB686" s="407"/>
      <c r="DC686" s="407"/>
      <c r="DD686" s="407"/>
      <c r="DE686" s="407"/>
      <c r="DF686" s="407"/>
      <c r="DG686" s="407"/>
      <c r="DH686" s="407"/>
      <c r="DI686" s="407"/>
      <c r="DJ686" s="407"/>
      <c r="DK686" s="407">
        <v>0</v>
      </c>
      <c r="DL686" s="407"/>
      <c r="DM686" s="407"/>
      <c r="DN686" s="407"/>
      <c r="DO686" s="407"/>
      <c r="DP686" s="407"/>
      <c r="DQ686" s="407"/>
      <c r="DR686" s="407"/>
      <c r="DS686" s="407"/>
      <c r="DT686" s="407"/>
      <c r="DU686" s="407"/>
      <c r="DV686" s="407"/>
      <c r="DW686" s="407"/>
      <c r="DX686" s="407"/>
      <c r="DY686" s="407"/>
      <c r="DZ686" s="407"/>
      <c r="EA686" s="407"/>
      <c r="EB686" s="407"/>
      <c r="EC686" s="407"/>
      <c r="ED686" s="407"/>
      <c r="EE686" s="407"/>
      <c r="EF686" s="407"/>
      <c r="EG686" s="407"/>
      <c r="EH686" s="407"/>
      <c r="EI686" s="407"/>
      <c r="EJ686" s="407"/>
      <c r="EK686" s="407"/>
      <c r="EL686" s="407"/>
      <c r="EM686" s="407"/>
      <c r="EN686" s="407"/>
      <c r="EO686" s="407"/>
      <c r="EP686" s="407"/>
      <c r="EQ686" s="407"/>
      <c r="ER686" s="407"/>
      <c r="ES686" s="407"/>
      <c r="ET686" s="407"/>
      <c r="EU686" s="407"/>
      <c r="EV686" s="407">
        <v>246</v>
      </c>
      <c r="EW686" s="407"/>
      <c r="EX686" s="407"/>
      <c r="EY686" s="407"/>
      <c r="EZ686" s="407"/>
      <c r="FA686" s="407">
        <v>0</v>
      </c>
      <c r="FB686" s="407"/>
      <c r="FC686" s="407"/>
      <c r="FD686" s="407"/>
      <c r="FE686" s="407"/>
      <c r="FF686" s="407">
        <v>0</v>
      </c>
      <c r="FG686" s="407">
        <v>0</v>
      </c>
      <c r="FH686" s="407">
        <v>0</v>
      </c>
      <c r="FI686" s="407">
        <v>0</v>
      </c>
    </row>
    <row r="687" spans="1:165">
      <c r="A687" s="407">
        <v>711</v>
      </c>
      <c r="B687" s="407" t="s">
        <v>1090</v>
      </c>
      <c r="C687" s="407" t="s">
        <v>2306</v>
      </c>
      <c r="D687" s="407" t="s">
        <v>2315</v>
      </c>
      <c r="E687" s="407" t="s">
        <v>1026</v>
      </c>
      <c r="F687" s="407" t="s">
        <v>2323</v>
      </c>
      <c r="G687" s="407" t="s">
        <v>2324</v>
      </c>
      <c r="H687" s="407" t="s">
        <v>97</v>
      </c>
      <c r="I687" s="407" t="s">
        <v>97</v>
      </c>
      <c r="J687" s="407" t="s">
        <v>2307</v>
      </c>
      <c r="K687" s="818">
        <v>44682</v>
      </c>
      <c r="L687" s="407">
        <v>0</v>
      </c>
      <c r="M687" s="407">
        <v>0</v>
      </c>
      <c r="N687" s="407">
        <v>3.44</v>
      </c>
      <c r="O687" s="407">
        <v>3.44</v>
      </c>
      <c r="P687" s="407">
        <v>3.44</v>
      </c>
      <c r="Q687" s="407">
        <v>3.44</v>
      </c>
      <c r="R687" s="407"/>
      <c r="S687" s="407">
        <v>648.44000000000005</v>
      </c>
      <c r="T687" s="407">
        <v>159.41</v>
      </c>
      <c r="U687" s="407"/>
      <c r="V687" s="407">
        <v>2779.0039999999999</v>
      </c>
      <c r="W687" s="407">
        <v>2779.0039999999999</v>
      </c>
      <c r="X687" s="407">
        <v>2104.6608000000001</v>
      </c>
      <c r="Y687" s="407">
        <v>0</v>
      </c>
      <c r="Z687" s="407">
        <v>213.17766216722305</v>
      </c>
      <c r="AA687" s="407">
        <v>0</v>
      </c>
      <c r="AB687" s="407">
        <v>0</v>
      </c>
      <c r="AC687" s="407">
        <v>0</v>
      </c>
      <c r="AD687" s="407">
        <v>401.25682616899104</v>
      </c>
      <c r="AE687" s="407">
        <v>1436.3582083075448</v>
      </c>
      <c r="AF687" s="407">
        <v>530.55366549309497</v>
      </c>
      <c r="AG687" s="407">
        <v>17.825210499100844</v>
      </c>
      <c r="AH687" s="407">
        <v>0</v>
      </c>
      <c r="AI687" s="407">
        <v>0</v>
      </c>
      <c r="AJ687" s="407">
        <v>0</v>
      </c>
      <c r="AK687" s="407">
        <v>0</v>
      </c>
      <c r="AL687" s="407">
        <v>32.941630406552932</v>
      </c>
      <c r="AM687" s="407"/>
      <c r="AN687" s="407">
        <v>7.1383290032455573</v>
      </c>
      <c r="AO687" s="407">
        <v>0</v>
      </c>
      <c r="AP687" s="407">
        <v>0</v>
      </c>
      <c r="AQ687" s="407">
        <v>0</v>
      </c>
      <c r="AR687" s="407">
        <v>0</v>
      </c>
      <c r="AS687" s="407">
        <v>0</v>
      </c>
      <c r="AT687" s="407">
        <v>0</v>
      </c>
      <c r="AU687" s="407">
        <v>0</v>
      </c>
      <c r="AV687" s="407">
        <v>0</v>
      </c>
      <c r="AW687" s="407">
        <v>0</v>
      </c>
      <c r="AX687" s="407">
        <v>0</v>
      </c>
      <c r="AY687" s="407">
        <v>0</v>
      </c>
      <c r="AZ687" s="407">
        <v>0</v>
      </c>
      <c r="BA687" s="407"/>
      <c r="BB687" s="407">
        <v>0</v>
      </c>
      <c r="BC687" s="407">
        <v>0</v>
      </c>
      <c r="BD687" s="407">
        <v>0</v>
      </c>
      <c r="BE687" s="407">
        <v>0</v>
      </c>
      <c r="BF687" s="407">
        <v>0</v>
      </c>
      <c r="BG687" s="407">
        <v>38.781778763943834</v>
      </c>
      <c r="BH687" s="407">
        <v>0</v>
      </c>
      <c r="BI687" s="407">
        <v>0</v>
      </c>
      <c r="BJ687" s="407">
        <v>0</v>
      </c>
      <c r="BK687" s="407">
        <v>0</v>
      </c>
      <c r="BL687" s="407">
        <v>0</v>
      </c>
      <c r="BM687" s="407"/>
      <c r="BN687" s="407"/>
      <c r="BO687" s="407"/>
      <c r="BP687" s="407"/>
      <c r="BQ687" s="407"/>
      <c r="BR687" s="407">
        <v>252.56480000000005</v>
      </c>
      <c r="BS687" s="407"/>
      <c r="BT687" s="407"/>
      <c r="BU687" s="407"/>
      <c r="BV687" s="407">
        <v>569.33544425703883</v>
      </c>
      <c r="BW687" s="407"/>
      <c r="BX687" s="407"/>
      <c r="BY687" s="407"/>
      <c r="BZ687" s="407"/>
      <c r="CA687" s="407"/>
      <c r="CB687" s="407"/>
      <c r="CC687" s="407"/>
      <c r="CD687" s="407"/>
      <c r="CE687" s="407"/>
      <c r="CF687" s="407"/>
      <c r="CG687" s="407"/>
      <c r="CH687" s="407"/>
      <c r="CI687" s="407">
        <v>1852.096</v>
      </c>
      <c r="CJ687" s="407">
        <v>-593.4644000000003</v>
      </c>
      <c r="CK687" s="407"/>
      <c r="CL687" s="407"/>
      <c r="CM687" s="407"/>
      <c r="CN687" s="407"/>
      <c r="CO687" s="407">
        <v>-768.84000000000015</v>
      </c>
      <c r="CP687" s="407">
        <v>94.496799999999993</v>
      </c>
      <c r="CQ687" s="407">
        <v>31</v>
      </c>
      <c r="CR687" s="407">
        <v>59.353821973864569</v>
      </c>
      <c r="CS687" s="407">
        <v>0</v>
      </c>
      <c r="CT687" s="407">
        <v>0</v>
      </c>
      <c r="CU687" s="407">
        <v>0</v>
      </c>
      <c r="CV687" s="407">
        <v>0</v>
      </c>
      <c r="CW687" s="407">
        <v>0</v>
      </c>
      <c r="CX687" s="407">
        <v>0</v>
      </c>
      <c r="CY687" s="407">
        <v>0</v>
      </c>
      <c r="CZ687" s="407">
        <v>18.125566454114619</v>
      </c>
      <c r="DA687" s="407">
        <v>0</v>
      </c>
      <c r="DB687" s="407">
        <v>0</v>
      </c>
      <c r="DC687" s="407">
        <v>105.19446434820838</v>
      </c>
      <c r="DD687" s="407">
        <v>0</v>
      </c>
      <c r="DE687" s="407">
        <v>0</v>
      </c>
      <c r="DF687" s="407">
        <v>0</v>
      </c>
      <c r="DG687" s="407">
        <v>7.6893794329970788</v>
      </c>
      <c r="DH687" s="407">
        <v>0</v>
      </c>
      <c r="DI687" s="407">
        <v>-14.931384003703982</v>
      </c>
      <c r="DJ687" s="407"/>
      <c r="DK687" s="407">
        <v>0</v>
      </c>
      <c r="DL687" s="407">
        <v>0</v>
      </c>
      <c r="DM687" s="407">
        <v>0</v>
      </c>
      <c r="DN687" s="407">
        <v>0</v>
      </c>
      <c r="DO687" s="407">
        <v>-2.009814228936289</v>
      </c>
      <c r="DP687" s="407">
        <v>-0.45483709071178424</v>
      </c>
      <c r="DQ687" s="407">
        <v>0</v>
      </c>
      <c r="DR687" s="407">
        <v>-54.259552938103241</v>
      </c>
      <c r="DS687" s="407"/>
      <c r="DT687" s="407"/>
      <c r="DU687" s="407"/>
      <c r="DV687" s="407">
        <v>1436.3582083075448</v>
      </c>
      <c r="DW687" s="407">
        <v>0</v>
      </c>
      <c r="DX687" s="407">
        <v>0</v>
      </c>
      <c r="DY687" s="407">
        <v>-768.84000000000015</v>
      </c>
      <c r="DZ687" s="407">
        <v>94.496800000000007</v>
      </c>
      <c r="EA687" s="407">
        <v>0</v>
      </c>
      <c r="EB687" s="407">
        <v>0</v>
      </c>
      <c r="EC687" s="407">
        <v>-733.69510892261485</v>
      </c>
      <c r="ED687" s="407">
        <v>0</v>
      </c>
      <c r="EE687" s="407">
        <v>0</v>
      </c>
      <c r="EF687" s="407">
        <v>0</v>
      </c>
      <c r="EG687" s="407">
        <v>0</v>
      </c>
      <c r="EH687" s="407">
        <v>0</v>
      </c>
      <c r="EI687" s="407">
        <v>0</v>
      </c>
      <c r="EJ687" s="407">
        <v>0</v>
      </c>
      <c r="EK687" s="407">
        <v>0</v>
      </c>
      <c r="EL687" s="407">
        <v>0</v>
      </c>
      <c r="EM687" s="407">
        <v>0</v>
      </c>
      <c r="EN687" s="407">
        <v>0</v>
      </c>
      <c r="EO687" s="407">
        <v>0</v>
      </c>
      <c r="EP687" s="407">
        <v>100.97844703897752</v>
      </c>
      <c r="EQ687" s="407">
        <v>0</v>
      </c>
      <c r="ER687" s="407">
        <v>0</v>
      </c>
      <c r="ES687" s="407">
        <v>0</v>
      </c>
      <c r="ET687" s="407">
        <v>0</v>
      </c>
      <c r="EU687" s="407">
        <v>0</v>
      </c>
      <c r="EV687" s="407">
        <v>246</v>
      </c>
      <c r="EW687" s="407">
        <v>0</v>
      </c>
      <c r="EX687" s="407">
        <v>0</v>
      </c>
      <c r="EY687" s="407">
        <v>0</v>
      </c>
      <c r="EZ687" s="407"/>
      <c r="FA687" s="407">
        <v>0</v>
      </c>
      <c r="FB687" s="407"/>
      <c r="FC687" s="407"/>
      <c r="FD687" s="407"/>
      <c r="FE687" s="407"/>
      <c r="FF687" s="407">
        <v>0</v>
      </c>
      <c r="FG687" s="407">
        <v>0</v>
      </c>
      <c r="FH687" s="407">
        <v>0</v>
      </c>
      <c r="FI687" s="407">
        <v>0</v>
      </c>
    </row>
    <row r="688" spans="1:165">
      <c r="A688" s="407">
        <v>712</v>
      </c>
      <c r="B688" s="407" t="s">
        <v>2309</v>
      </c>
      <c r="C688" s="407" t="s">
        <v>2306</v>
      </c>
      <c r="D688" s="407" t="s">
        <v>2315</v>
      </c>
      <c r="E688" s="407" t="s">
        <v>1026</v>
      </c>
      <c r="F688" s="407" t="s">
        <v>2323</v>
      </c>
      <c r="G688" s="407" t="s">
        <v>2324</v>
      </c>
      <c r="H688" s="407" t="s">
        <v>97</v>
      </c>
      <c r="I688" s="407" t="s">
        <v>97</v>
      </c>
      <c r="J688" s="407" t="s">
        <v>2307</v>
      </c>
      <c r="K688" s="818">
        <v>44682</v>
      </c>
      <c r="L688" s="407">
        <v>0</v>
      </c>
      <c r="M688" s="407">
        <v>0</v>
      </c>
      <c r="N688" s="407">
        <v>0.505</v>
      </c>
      <c r="O688" s="407">
        <v>0.505</v>
      </c>
      <c r="P688" s="407">
        <v>0.505</v>
      </c>
      <c r="Q688" s="407">
        <v>0.505</v>
      </c>
      <c r="R688" s="407"/>
      <c r="S688" s="407">
        <v>648.44000000000005</v>
      </c>
      <c r="T688" s="407">
        <v>159.41</v>
      </c>
      <c r="U688" s="407"/>
      <c r="V688" s="407">
        <v>407.96425000000005</v>
      </c>
      <c r="W688" s="407">
        <v>407.96425000000005</v>
      </c>
      <c r="X688" s="407">
        <v>308.96909999999997</v>
      </c>
      <c r="Y688" s="407">
        <v>0</v>
      </c>
      <c r="Z688" s="407">
        <v>31.294976568153384</v>
      </c>
      <c r="AA688" s="407">
        <v>0</v>
      </c>
      <c r="AB688" s="407">
        <v>0</v>
      </c>
      <c r="AC688" s="407">
        <v>0</v>
      </c>
      <c r="AD688" s="407">
        <v>58.905435237017578</v>
      </c>
      <c r="AE688" s="407">
        <v>210.8607253474739</v>
      </c>
      <c r="AF688" s="407">
        <v>77.886511940120045</v>
      </c>
      <c r="AG688" s="407">
        <v>2.6167823552459089</v>
      </c>
      <c r="AH688" s="407">
        <v>0</v>
      </c>
      <c r="AI688" s="407">
        <v>0</v>
      </c>
      <c r="AJ688" s="407">
        <v>0</v>
      </c>
      <c r="AK688" s="407">
        <v>0</v>
      </c>
      <c r="AL688" s="407">
        <v>4.8359079521247761</v>
      </c>
      <c r="AM688" s="407"/>
      <c r="AN688" s="407">
        <v>1.0479232984415716</v>
      </c>
      <c r="AO688" s="407">
        <v>0</v>
      </c>
      <c r="AP688" s="407">
        <v>0</v>
      </c>
      <c r="AQ688" s="407">
        <v>0</v>
      </c>
      <c r="AR688" s="407">
        <v>0</v>
      </c>
      <c r="AS688" s="407">
        <v>0</v>
      </c>
      <c r="AT688" s="407">
        <v>0</v>
      </c>
      <c r="AU688" s="407">
        <v>0</v>
      </c>
      <c r="AV688" s="407">
        <v>0</v>
      </c>
      <c r="AW688" s="407">
        <v>0</v>
      </c>
      <c r="AX688" s="407">
        <v>0</v>
      </c>
      <c r="AY688" s="407">
        <v>0</v>
      </c>
      <c r="AZ688" s="407">
        <v>0</v>
      </c>
      <c r="BA688" s="407"/>
      <c r="BB688" s="407">
        <v>0</v>
      </c>
      <c r="BC688" s="407">
        <v>0</v>
      </c>
      <c r="BD688" s="407">
        <v>0</v>
      </c>
      <c r="BE688" s="407">
        <v>0</v>
      </c>
      <c r="BF688" s="407">
        <v>0</v>
      </c>
      <c r="BG688" s="407">
        <v>5.6932553127301269</v>
      </c>
      <c r="BH688" s="407">
        <v>0</v>
      </c>
      <c r="BI688" s="407">
        <v>0</v>
      </c>
      <c r="BJ688" s="407">
        <v>0</v>
      </c>
      <c r="BK688" s="407">
        <v>0</v>
      </c>
      <c r="BL688" s="407">
        <v>0</v>
      </c>
      <c r="BM688" s="407"/>
      <c r="BN688" s="407"/>
      <c r="BO688" s="407"/>
      <c r="BP688" s="407"/>
      <c r="BQ688" s="407"/>
      <c r="BR688" s="407">
        <v>37.077100000000009</v>
      </c>
      <c r="BS688" s="407"/>
      <c r="BT688" s="407"/>
      <c r="BU688" s="407"/>
      <c r="BV688" s="407">
        <v>83.579767252850175</v>
      </c>
      <c r="BW688" s="407"/>
      <c r="BX688" s="407"/>
      <c r="BY688" s="407"/>
      <c r="BZ688" s="407"/>
      <c r="CA688" s="407"/>
      <c r="CB688" s="407"/>
      <c r="CC688" s="407"/>
      <c r="CD688" s="407"/>
      <c r="CE688" s="407"/>
      <c r="CF688" s="407"/>
      <c r="CG688" s="407"/>
      <c r="CH688" s="407"/>
      <c r="CI688" s="407">
        <v>274.584</v>
      </c>
      <c r="CJ688" s="407">
        <v>-84.455550000000017</v>
      </c>
      <c r="CK688" s="407"/>
      <c r="CL688" s="407"/>
      <c r="CM688" s="407"/>
      <c r="CN688" s="407"/>
      <c r="CO688" s="407">
        <v>-112.86750000000004</v>
      </c>
      <c r="CP688" s="407">
        <v>13.872349999999999</v>
      </c>
      <c r="CQ688" s="407">
        <v>31</v>
      </c>
      <c r="CR688" s="407">
        <v>8.7132790979075025</v>
      </c>
      <c r="CS688" s="407">
        <v>0</v>
      </c>
      <c r="CT688" s="407">
        <v>0</v>
      </c>
      <c r="CU688" s="407">
        <v>0</v>
      </c>
      <c r="CV688" s="407">
        <v>0</v>
      </c>
      <c r="CW688" s="407">
        <v>0</v>
      </c>
      <c r="CX688" s="407">
        <v>0</v>
      </c>
      <c r="CY688" s="407">
        <v>0</v>
      </c>
      <c r="CZ688" s="407">
        <v>2.6608753079441598</v>
      </c>
      <c r="DA688" s="407">
        <v>0</v>
      </c>
      <c r="DB688" s="407">
        <v>0</v>
      </c>
      <c r="DC688" s="407">
        <v>15.442792004606176</v>
      </c>
      <c r="DD688" s="407">
        <v>0</v>
      </c>
      <c r="DE688" s="407">
        <v>0</v>
      </c>
      <c r="DF688" s="407">
        <v>0</v>
      </c>
      <c r="DG688" s="407">
        <v>1.128818783041722</v>
      </c>
      <c r="DH688" s="407">
        <v>0</v>
      </c>
      <c r="DI688" s="407">
        <v>-2.1919618958925895</v>
      </c>
      <c r="DJ688" s="407"/>
      <c r="DK688" s="407">
        <v>0</v>
      </c>
      <c r="DL688" s="407">
        <v>0</v>
      </c>
      <c r="DM688" s="407">
        <v>0</v>
      </c>
      <c r="DN688" s="407">
        <v>0</v>
      </c>
      <c r="DO688" s="407">
        <v>-0.29504540279442626</v>
      </c>
      <c r="DP688" s="407">
        <v>-6.6771142677165995E-2</v>
      </c>
      <c r="DQ688" s="407">
        <v>0</v>
      </c>
      <c r="DR688" s="407">
        <v>-7.9654285563203882</v>
      </c>
      <c r="DS688" s="407"/>
      <c r="DT688" s="407"/>
      <c r="DU688" s="407"/>
      <c r="DV688" s="407">
        <v>210.8607253474739</v>
      </c>
      <c r="DW688" s="407">
        <v>0</v>
      </c>
      <c r="DX688" s="407">
        <v>0</v>
      </c>
      <c r="DY688" s="407">
        <v>-112.86750000000006</v>
      </c>
      <c r="DZ688" s="407">
        <v>13.872349999999997</v>
      </c>
      <c r="EA688" s="407">
        <v>0</v>
      </c>
      <c r="EB688" s="407">
        <v>0</v>
      </c>
      <c r="EC688" s="407">
        <v>-107.70814825753506</v>
      </c>
      <c r="ED688" s="407">
        <v>0</v>
      </c>
      <c r="EE688" s="407">
        <v>0</v>
      </c>
      <c r="EF688" s="407">
        <v>0</v>
      </c>
      <c r="EG688" s="407">
        <v>0</v>
      </c>
      <c r="EH688" s="407">
        <v>0</v>
      </c>
      <c r="EI688" s="407">
        <v>0</v>
      </c>
      <c r="EJ688" s="407">
        <v>0</v>
      </c>
      <c r="EK688" s="407">
        <v>0</v>
      </c>
      <c r="EL688" s="407">
        <v>0</v>
      </c>
      <c r="EM688" s="407">
        <v>0</v>
      </c>
      <c r="EN688" s="407">
        <v>0</v>
      </c>
      <c r="EO688" s="407">
        <v>0</v>
      </c>
      <c r="EP688" s="407">
        <v>14.823870858919665</v>
      </c>
      <c r="EQ688" s="407">
        <v>0</v>
      </c>
      <c r="ER688" s="407">
        <v>0</v>
      </c>
      <c r="ES688" s="407">
        <v>0</v>
      </c>
      <c r="ET688" s="407">
        <v>0</v>
      </c>
      <c r="EU688" s="407">
        <v>0</v>
      </c>
      <c r="EV688" s="407">
        <v>246</v>
      </c>
      <c r="EW688" s="407">
        <v>0</v>
      </c>
      <c r="EX688" s="407">
        <v>0</v>
      </c>
      <c r="EY688" s="407">
        <v>0</v>
      </c>
      <c r="EZ688" s="407"/>
      <c r="FA688" s="407">
        <v>0</v>
      </c>
      <c r="FB688" s="407"/>
      <c r="FC688" s="407"/>
      <c r="FD688" s="407"/>
      <c r="FE688" s="407"/>
      <c r="FF688" s="407">
        <v>0</v>
      </c>
      <c r="FG688" s="407">
        <v>0</v>
      </c>
      <c r="FH688" s="407">
        <v>0</v>
      </c>
      <c r="FI688" s="407">
        <v>0</v>
      </c>
    </row>
    <row r="689" spans="1:165">
      <c r="A689" s="407">
        <v>713</v>
      </c>
      <c r="B689" s="407" t="s">
        <v>1090</v>
      </c>
      <c r="C689" s="407" t="s">
        <v>2306</v>
      </c>
      <c r="D689" s="407" t="s">
        <v>2315</v>
      </c>
      <c r="E689" s="407" t="s">
        <v>1026</v>
      </c>
      <c r="F689" s="407" t="s">
        <v>2323</v>
      </c>
      <c r="G689" s="407" t="s">
        <v>2325</v>
      </c>
      <c r="H689" s="407" t="s">
        <v>97</v>
      </c>
      <c r="I689" s="407" t="s">
        <v>97</v>
      </c>
      <c r="J689" s="407" t="s">
        <v>2307</v>
      </c>
      <c r="K689" s="818">
        <v>44682</v>
      </c>
      <c r="L689" s="407">
        <v>0</v>
      </c>
      <c r="M689" s="407">
        <v>0</v>
      </c>
      <c r="N689" s="407">
        <v>1.7989999999999999</v>
      </c>
      <c r="O689" s="407">
        <v>0.71960000000000002</v>
      </c>
      <c r="P689" s="407">
        <v>1.7989999999999999</v>
      </c>
      <c r="Q689" s="407">
        <v>0.71960000000000002</v>
      </c>
      <c r="R689" s="407"/>
      <c r="S689" s="407">
        <v>648.44000000000005</v>
      </c>
      <c r="T689" s="407">
        <v>159.41</v>
      </c>
      <c r="U689" s="407"/>
      <c r="V689" s="407">
        <v>1453.32215</v>
      </c>
      <c r="W689" s="407">
        <v>1453.32215</v>
      </c>
      <c r="X689" s="407">
        <v>1100.66418</v>
      </c>
      <c r="Y689" s="407">
        <v>0</v>
      </c>
      <c r="Z689" s="407">
        <v>111.48448088338205</v>
      </c>
      <c r="AA689" s="407">
        <v>0</v>
      </c>
      <c r="AB689" s="407">
        <v>0</v>
      </c>
      <c r="AC689" s="407">
        <v>0</v>
      </c>
      <c r="AD689" s="407">
        <v>209.84332275523687</v>
      </c>
      <c r="AE689" s="407">
        <v>751.16523742595155</v>
      </c>
      <c r="AF689" s="407">
        <v>277.46105936688303</v>
      </c>
      <c r="AG689" s="407">
        <v>9.3219632813611675</v>
      </c>
      <c r="AH689" s="407">
        <v>0</v>
      </c>
      <c r="AI689" s="407">
        <v>0</v>
      </c>
      <c r="AJ689" s="407">
        <v>0</v>
      </c>
      <c r="AK689" s="407">
        <v>0</v>
      </c>
      <c r="AL689" s="407">
        <v>17.227323575985093</v>
      </c>
      <c r="AM689" s="407"/>
      <c r="AN689" s="407">
        <v>3.7330970572205691</v>
      </c>
      <c r="AO689" s="407">
        <v>0</v>
      </c>
      <c r="AP689" s="407">
        <v>0</v>
      </c>
      <c r="AQ689" s="407">
        <v>0</v>
      </c>
      <c r="AR689" s="407">
        <v>0</v>
      </c>
      <c r="AS689" s="407">
        <v>0</v>
      </c>
      <c r="AT689" s="407">
        <v>0</v>
      </c>
      <c r="AU689" s="407">
        <v>0</v>
      </c>
      <c r="AV689" s="407">
        <v>0</v>
      </c>
      <c r="AW689" s="407">
        <v>0</v>
      </c>
      <c r="AX689" s="407">
        <v>0</v>
      </c>
      <c r="AY689" s="407">
        <v>0</v>
      </c>
      <c r="AZ689" s="407">
        <v>0</v>
      </c>
      <c r="BA689" s="407"/>
      <c r="BB689" s="407">
        <v>0</v>
      </c>
      <c r="BC689" s="407">
        <v>0</v>
      </c>
      <c r="BD689" s="407">
        <v>0</v>
      </c>
      <c r="BE689" s="407">
        <v>0</v>
      </c>
      <c r="BF689" s="407">
        <v>0</v>
      </c>
      <c r="BG689" s="407">
        <v>20.281517440795046</v>
      </c>
      <c r="BH689" s="407">
        <v>0</v>
      </c>
      <c r="BI689" s="407">
        <v>0</v>
      </c>
      <c r="BJ689" s="407">
        <v>0</v>
      </c>
      <c r="BK689" s="407">
        <v>0</v>
      </c>
      <c r="BL689" s="407">
        <v>0</v>
      </c>
      <c r="BM689" s="407"/>
      <c r="BN689" s="407"/>
      <c r="BO689" s="407"/>
      <c r="BP689" s="407"/>
      <c r="BQ689" s="407"/>
      <c r="BR689" s="407"/>
      <c r="BS689" s="407">
        <v>713.23154</v>
      </c>
      <c r="BT689" s="407"/>
      <c r="BU689" s="407"/>
      <c r="BV689" s="407">
        <v>297.74257680767806</v>
      </c>
      <c r="BW689" s="407"/>
      <c r="BX689" s="407"/>
      <c r="BY689" s="407"/>
      <c r="BZ689" s="407"/>
      <c r="CA689" s="407"/>
      <c r="CB689" s="407"/>
      <c r="CC689" s="407"/>
      <c r="CD689" s="407"/>
      <c r="CE689" s="407"/>
      <c r="CF689" s="407"/>
      <c r="CG689" s="407"/>
      <c r="CH689" s="407"/>
      <c r="CI689" s="407">
        <v>387.64799999999997</v>
      </c>
      <c r="CJ689" s="407">
        <v>-123.95283600000005</v>
      </c>
      <c r="CK689" s="407"/>
      <c r="CL689" s="407"/>
      <c r="CM689" s="407"/>
      <c r="CN689" s="407"/>
      <c r="CO689" s="407">
        <v>-402.07650000000007</v>
      </c>
      <c r="CP689" s="407">
        <v>49.418529999999997</v>
      </c>
      <c r="CQ689" s="407">
        <v>31</v>
      </c>
      <c r="CR689" s="407">
        <v>31.039978410169397</v>
      </c>
      <c r="CS689" s="407">
        <v>0</v>
      </c>
      <c r="CT689" s="407">
        <v>0</v>
      </c>
      <c r="CU689" s="407">
        <v>0</v>
      </c>
      <c r="CV689" s="407">
        <v>0</v>
      </c>
      <c r="CW689" s="407">
        <v>0</v>
      </c>
      <c r="CX689" s="407">
        <v>0</v>
      </c>
      <c r="CY689" s="407">
        <v>0</v>
      </c>
      <c r="CZ689" s="407">
        <v>9.479038968300074</v>
      </c>
      <c r="DA689" s="407">
        <v>0</v>
      </c>
      <c r="DB689" s="407">
        <v>0</v>
      </c>
      <c r="DC689" s="407">
        <v>55.013035279775295</v>
      </c>
      <c r="DD689" s="407">
        <v>0</v>
      </c>
      <c r="DE689" s="407">
        <v>0</v>
      </c>
      <c r="DF689" s="407">
        <v>0</v>
      </c>
      <c r="DG689" s="407">
        <v>4.0212772092912026</v>
      </c>
      <c r="DH689" s="407">
        <v>0</v>
      </c>
      <c r="DI689" s="407">
        <v>-7.8085929717044849</v>
      </c>
      <c r="DJ689" s="407"/>
      <c r="DK689" s="407">
        <v>0</v>
      </c>
      <c r="DL689" s="407">
        <v>0</v>
      </c>
      <c r="DM689" s="407">
        <v>0</v>
      </c>
      <c r="DN689" s="407">
        <v>0</v>
      </c>
      <c r="DO689" s="407">
        <v>-1.0510627319349943</v>
      </c>
      <c r="DP689" s="407">
        <v>-0.23786393203212253</v>
      </c>
      <c r="DQ689" s="407">
        <v>0</v>
      </c>
      <c r="DR689" s="407">
        <v>-28.375853411525505</v>
      </c>
      <c r="DS689" s="407"/>
      <c r="DT689" s="407"/>
      <c r="DU689" s="407"/>
      <c r="DV689" s="407">
        <v>751.16523742595155</v>
      </c>
      <c r="DW689" s="407">
        <v>0</v>
      </c>
      <c r="DX689" s="407">
        <v>0</v>
      </c>
      <c r="DY689" s="407">
        <v>-402.07650000000012</v>
      </c>
      <c r="DZ689" s="407">
        <v>49.418529999999976</v>
      </c>
      <c r="EA689" s="407">
        <v>0</v>
      </c>
      <c r="EB689" s="407">
        <v>0</v>
      </c>
      <c r="EC689" s="407">
        <v>-383.69694795110013</v>
      </c>
      <c r="ED689" s="407">
        <v>0</v>
      </c>
      <c r="EE689" s="407">
        <v>0</v>
      </c>
      <c r="EF689" s="407">
        <v>0</v>
      </c>
      <c r="EG689" s="407">
        <v>0</v>
      </c>
      <c r="EH689" s="407">
        <v>0</v>
      </c>
      <c r="EI689" s="407">
        <v>0</v>
      </c>
      <c r="EJ689" s="407">
        <v>0</v>
      </c>
      <c r="EK689" s="407">
        <v>0</v>
      </c>
      <c r="EL689" s="407">
        <v>0</v>
      </c>
      <c r="EM689" s="407">
        <v>0</v>
      </c>
      <c r="EN689" s="407">
        <v>0</v>
      </c>
      <c r="EO689" s="407">
        <v>0</v>
      </c>
      <c r="EP689" s="407">
        <v>52.808205297418766</v>
      </c>
      <c r="EQ689" s="407">
        <v>0</v>
      </c>
      <c r="ER689" s="407">
        <v>0</v>
      </c>
      <c r="ES689" s="407">
        <v>0</v>
      </c>
      <c r="ET689" s="407">
        <v>0</v>
      </c>
      <c r="EU689" s="407">
        <v>0</v>
      </c>
      <c r="EV689" s="407">
        <v>246</v>
      </c>
      <c r="EW689" s="407">
        <v>0</v>
      </c>
      <c r="EX689" s="407">
        <v>0</v>
      </c>
      <c r="EY689" s="407">
        <v>0</v>
      </c>
      <c r="EZ689" s="407"/>
      <c r="FA689" s="407">
        <v>0</v>
      </c>
      <c r="FB689" s="407"/>
      <c r="FC689" s="407"/>
      <c r="FD689" s="407"/>
      <c r="FE689" s="407"/>
      <c r="FF689" s="407">
        <v>0</v>
      </c>
      <c r="FG689" s="407">
        <v>0</v>
      </c>
      <c r="FH689" s="407">
        <v>0</v>
      </c>
      <c r="FI689" s="407">
        <v>0</v>
      </c>
    </row>
    <row r="690" spans="1:165">
      <c r="A690" s="407">
        <v>714</v>
      </c>
      <c r="B690" s="407" t="s">
        <v>2309</v>
      </c>
      <c r="C690" s="407" t="s">
        <v>2306</v>
      </c>
      <c r="D690" s="407" t="s">
        <v>2315</v>
      </c>
      <c r="E690" s="407" t="s">
        <v>1026</v>
      </c>
      <c r="F690" s="407" t="s">
        <v>2323</v>
      </c>
      <c r="G690" s="407" t="s">
        <v>2325</v>
      </c>
      <c r="H690" s="407" t="s">
        <v>97</v>
      </c>
      <c r="I690" s="407" t="s">
        <v>97</v>
      </c>
      <c r="J690" s="407" t="s">
        <v>2307</v>
      </c>
      <c r="K690" s="818">
        <v>44682</v>
      </c>
      <c r="L690" s="407">
        <v>0</v>
      </c>
      <c r="M690" s="407">
        <v>0</v>
      </c>
      <c r="N690" s="407">
        <v>0.29099999999999998</v>
      </c>
      <c r="O690" s="407">
        <v>0.1164</v>
      </c>
      <c r="P690" s="407">
        <v>0.29099999999999998</v>
      </c>
      <c r="Q690" s="407">
        <v>0.1164</v>
      </c>
      <c r="R690" s="407"/>
      <c r="S690" s="407">
        <v>648.44000000000005</v>
      </c>
      <c r="T690" s="407">
        <v>159.41</v>
      </c>
      <c r="U690" s="407"/>
      <c r="V690" s="407">
        <v>235.08435</v>
      </c>
      <c r="W690" s="407">
        <v>235.08435</v>
      </c>
      <c r="X690" s="407">
        <v>178.03961999999999</v>
      </c>
      <c r="Y690" s="407">
        <v>0</v>
      </c>
      <c r="Z690" s="407">
        <v>18.033342933331948</v>
      </c>
      <c r="AA690" s="407">
        <v>0</v>
      </c>
      <c r="AB690" s="407">
        <v>0</v>
      </c>
      <c r="AC690" s="407">
        <v>0</v>
      </c>
      <c r="AD690" s="407">
        <v>33.943528027667554</v>
      </c>
      <c r="AE690" s="407">
        <v>121.5058833190394</v>
      </c>
      <c r="AF690" s="407">
        <v>44.88113856351471</v>
      </c>
      <c r="AG690" s="407">
        <v>1.5078884462902167</v>
      </c>
      <c r="AH690" s="407">
        <v>0</v>
      </c>
      <c r="AI690" s="407">
        <v>0</v>
      </c>
      <c r="AJ690" s="407">
        <v>0</v>
      </c>
      <c r="AK690" s="407">
        <v>0</v>
      </c>
      <c r="AL690" s="407">
        <v>2.7866321070659597</v>
      </c>
      <c r="AM690" s="407"/>
      <c r="AN690" s="407">
        <v>0.60385283137920265</v>
      </c>
      <c r="AO690" s="407">
        <v>0</v>
      </c>
      <c r="AP690" s="407">
        <v>0</v>
      </c>
      <c r="AQ690" s="407">
        <v>0</v>
      </c>
      <c r="AR690" s="407">
        <v>0</v>
      </c>
      <c r="AS690" s="407">
        <v>0</v>
      </c>
      <c r="AT690" s="407">
        <v>0</v>
      </c>
      <c r="AU690" s="407">
        <v>0</v>
      </c>
      <c r="AV690" s="407">
        <v>0</v>
      </c>
      <c r="AW690" s="407">
        <v>0</v>
      </c>
      <c r="AX690" s="407">
        <v>0</v>
      </c>
      <c r="AY690" s="407">
        <v>0</v>
      </c>
      <c r="AZ690" s="407">
        <v>0</v>
      </c>
      <c r="BA690" s="407"/>
      <c r="BB690" s="407">
        <v>0</v>
      </c>
      <c r="BC690" s="407">
        <v>0</v>
      </c>
      <c r="BD690" s="407">
        <v>0</v>
      </c>
      <c r="BE690" s="407">
        <v>0</v>
      </c>
      <c r="BF690" s="407">
        <v>0</v>
      </c>
      <c r="BG690" s="407">
        <v>3.2806679128801322</v>
      </c>
      <c r="BH690" s="407">
        <v>0</v>
      </c>
      <c r="BI690" s="407">
        <v>0</v>
      </c>
      <c r="BJ690" s="407">
        <v>0</v>
      </c>
      <c r="BK690" s="407">
        <v>0</v>
      </c>
      <c r="BL690" s="407">
        <v>0</v>
      </c>
      <c r="BM690" s="407"/>
      <c r="BN690" s="407"/>
      <c r="BO690" s="407"/>
      <c r="BP690" s="407"/>
      <c r="BQ690" s="407"/>
      <c r="BR690" s="407"/>
      <c r="BS690" s="407">
        <v>115.36985999999999</v>
      </c>
      <c r="BT690" s="407"/>
      <c r="BU690" s="407"/>
      <c r="BV690" s="407">
        <v>48.161806476394844</v>
      </c>
      <c r="BW690" s="407"/>
      <c r="BX690" s="407"/>
      <c r="BY690" s="407"/>
      <c r="BZ690" s="407"/>
      <c r="CA690" s="407"/>
      <c r="CB690" s="407"/>
      <c r="CC690" s="407"/>
      <c r="CD690" s="407"/>
      <c r="CE690" s="407"/>
      <c r="CF690" s="407"/>
      <c r="CG690" s="407"/>
      <c r="CH690" s="407"/>
      <c r="CI690" s="407">
        <v>64.60799999999999</v>
      </c>
      <c r="CJ690" s="407">
        <v>-18.171924000000033</v>
      </c>
      <c r="CK690" s="407"/>
      <c r="CL690" s="407"/>
      <c r="CM690" s="407"/>
      <c r="CN690" s="407"/>
      <c r="CO690" s="407">
        <v>-65.038500000000013</v>
      </c>
      <c r="CP690" s="407">
        <v>7.9937699999999987</v>
      </c>
      <c r="CQ690" s="407">
        <v>31</v>
      </c>
      <c r="CR690" s="407">
        <v>5.0209192425565874</v>
      </c>
      <c r="CS690" s="407">
        <v>0</v>
      </c>
      <c r="CT690" s="407">
        <v>0</v>
      </c>
      <c r="CU690" s="407">
        <v>0</v>
      </c>
      <c r="CV690" s="407">
        <v>0</v>
      </c>
      <c r="CW690" s="407">
        <v>0</v>
      </c>
      <c r="CX690" s="407">
        <v>0</v>
      </c>
      <c r="CY690" s="407">
        <v>0</v>
      </c>
      <c r="CZ690" s="407">
        <v>1.5332964645777167</v>
      </c>
      <c r="DA690" s="407">
        <v>0</v>
      </c>
      <c r="DB690" s="407">
        <v>0</v>
      </c>
      <c r="DC690" s="407">
        <v>8.8987177689908918</v>
      </c>
      <c r="DD690" s="407">
        <v>0</v>
      </c>
      <c r="DE690" s="407">
        <v>0</v>
      </c>
      <c r="DF690" s="407">
        <v>0</v>
      </c>
      <c r="DG690" s="407">
        <v>0.65046785319829947</v>
      </c>
      <c r="DH690" s="407">
        <v>0</v>
      </c>
      <c r="DI690" s="407">
        <v>-1.2630909142668187</v>
      </c>
      <c r="DJ690" s="407"/>
      <c r="DK690" s="407">
        <v>0</v>
      </c>
      <c r="DL690" s="407">
        <v>0</v>
      </c>
      <c r="DM690" s="407">
        <v>0</v>
      </c>
      <c r="DN690" s="407">
        <v>0</v>
      </c>
      <c r="DO690" s="407">
        <v>-0.17001626180827278</v>
      </c>
      <c r="DP690" s="407">
        <v>-3.8476044592188785E-2</v>
      </c>
      <c r="DQ690" s="407">
        <v>0</v>
      </c>
      <c r="DR690" s="407">
        <v>-4.5899796235430355</v>
      </c>
      <c r="DS690" s="407"/>
      <c r="DT690" s="407"/>
      <c r="DU690" s="407"/>
      <c r="DV690" s="407">
        <v>121.5058833190394</v>
      </c>
      <c r="DW690" s="407">
        <v>0</v>
      </c>
      <c r="DX690" s="407">
        <v>0</v>
      </c>
      <c r="DY690" s="407">
        <v>-65.038500000000013</v>
      </c>
      <c r="DZ690" s="407">
        <v>7.9937699999999978</v>
      </c>
      <c r="EA690" s="407">
        <v>0</v>
      </c>
      <c r="EB690" s="407">
        <v>0</v>
      </c>
      <c r="EC690" s="407">
        <v>-62.065487411767712</v>
      </c>
      <c r="ED690" s="407">
        <v>0</v>
      </c>
      <c r="EE690" s="407">
        <v>0</v>
      </c>
      <c r="EF690" s="407">
        <v>0</v>
      </c>
      <c r="EG690" s="407">
        <v>0</v>
      </c>
      <c r="EH690" s="407">
        <v>0</v>
      </c>
      <c r="EI690" s="407">
        <v>0</v>
      </c>
      <c r="EJ690" s="407">
        <v>0</v>
      </c>
      <c r="EK690" s="407">
        <v>0</v>
      </c>
      <c r="EL690" s="407">
        <v>0</v>
      </c>
      <c r="EM690" s="407">
        <v>0</v>
      </c>
      <c r="EN690" s="407">
        <v>0</v>
      </c>
      <c r="EO690" s="407">
        <v>0</v>
      </c>
      <c r="EP690" s="407">
        <v>8.542072118704203</v>
      </c>
      <c r="EQ690" s="407">
        <v>0</v>
      </c>
      <c r="ER690" s="407">
        <v>0</v>
      </c>
      <c r="ES690" s="407">
        <v>0</v>
      </c>
      <c r="ET690" s="407">
        <v>0</v>
      </c>
      <c r="EU690" s="407">
        <v>0</v>
      </c>
      <c r="EV690" s="407">
        <v>246</v>
      </c>
      <c r="EW690" s="407">
        <v>0</v>
      </c>
      <c r="EX690" s="407">
        <v>0</v>
      </c>
      <c r="EY690" s="407">
        <v>0</v>
      </c>
      <c r="EZ690" s="407"/>
      <c r="FA690" s="407">
        <v>0</v>
      </c>
      <c r="FB690" s="407"/>
      <c r="FC690" s="407"/>
      <c r="FD690" s="407"/>
      <c r="FE690" s="407"/>
      <c r="FF690" s="407">
        <v>0</v>
      </c>
      <c r="FG690" s="407">
        <v>0</v>
      </c>
      <c r="FH690" s="407">
        <v>0</v>
      </c>
      <c r="FI690" s="407">
        <v>0</v>
      </c>
    </row>
    <row r="691" spans="1:165">
      <c r="A691" s="407">
        <v>715</v>
      </c>
      <c r="B691" s="407" t="s">
        <v>1090</v>
      </c>
      <c r="C691" s="407" t="s">
        <v>2314</v>
      </c>
      <c r="D691" s="407" t="s">
        <v>650</v>
      </c>
      <c r="E691" s="407" t="s">
        <v>1026</v>
      </c>
      <c r="F691" s="407" t="s">
        <v>2323</v>
      </c>
      <c r="G691" s="407" t="s">
        <v>97</v>
      </c>
      <c r="H691" s="407" t="s">
        <v>97</v>
      </c>
      <c r="I691" s="407" t="s">
        <v>1025</v>
      </c>
      <c r="J691" s="407" t="s">
        <v>2307</v>
      </c>
      <c r="K691" s="818">
        <v>44682</v>
      </c>
      <c r="L691" s="407">
        <v>0</v>
      </c>
      <c r="M691" s="407">
        <v>0</v>
      </c>
      <c r="N691" s="407">
        <v>1.109</v>
      </c>
      <c r="O691" s="407">
        <v>1.06464</v>
      </c>
      <c r="P691" s="407">
        <v>1.109</v>
      </c>
      <c r="Q691" s="407">
        <v>1.06464</v>
      </c>
      <c r="R691" s="407"/>
      <c r="S691" s="407">
        <v>2810.7</v>
      </c>
      <c r="T691" s="407">
        <v>159.41</v>
      </c>
      <c r="U691" s="407"/>
      <c r="V691" s="407">
        <v>3293.8519900000001</v>
      </c>
      <c r="W691" s="407">
        <v>3293.8519900000001</v>
      </c>
      <c r="X691" s="407">
        <v>2097.8842100000002</v>
      </c>
      <c r="Y691" s="407">
        <v>0</v>
      </c>
      <c r="Z691" s="407">
        <v>59.790756915349327</v>
      </c>
      <c r="AA691" s="407">
        <v>0</v>
      </c>
      <c r="AB691" s="407">
        <v>0</v>
      </c>
      <c r="AC691" s="407">
        <v>0</v>
      </c>
      <c r="AD691" s="407">
        <v>677.06179306583147</v>
      </c>
      <c r="AE691" s="407">
        <v>2334.3217946368413</v>
      </c>
      <c r="AF691" s="407">
        <v>171.04186483483787</v>
      </c>
      <c r="AG691" s="407">
        <v>5.7465576870647777</v>
      </c>
      <c r="AH691" s="407">
        <v>0</v>
      </c>
      <c r="AI691" s="407">
        <v>0</v>
      </c>
      <c r="AJ691" s="407">
        <v>0</v>
      </c>
      <c r="AK691" s="407">
        <v>0</v>
      </c>
      <c r="AL691" s="407">
        <v>10.619845383973022</v>
      </c>
      <c r="AM691" s="407"/>
      <c r="AN691" s="407">
        <v>1.1907703226462769</v>
      </c>
      <c r="AO691" s="407">
        <v>0</v>
      </c>
      <c r="AP691" s="407">
        <v>0</v>
      </c>
      <c r="AQ691" s="407">
        <v>0</v>
      </c>
      <c r="AR691" s="407">
        <v>0</v>
      </c>
      <c r="AS691" s="407">
        <v>0</v>
      </c>
      <c r="AT691" s="407">
        <v>0</v>
      </c>
      <c r="AU691" s="407">
        <v>0</v>
      </c>
      <c r="AV691" s="407">
        <v>0</v>
      </c>
      <c r="AW691" s="407">
        <v>0</v>
      </c>
      <c r="AX691" s="407">
        <v>0</v>
      </c>
      <c r="AY691" s="407">
        <v>0</v>
      </c>
      <c r="AZ691" s="407">
        <v>0</v>
      </c>
      <c r="BA691" s="407"/>
      <c r="BB691" s="407">
        <v>0</v>
      </c>
      <c r="BC691" s="407">
        <v>0</v>
      </c>
      <c r="BD691" s="407">
        <v>0</v>
      </c>
      <c r="BE691" s="407">
        <v>0</v>
      </c>
      <c r="BF691" s="407">
        <v>0</v>
      </c>
      <c r="BG691" s="407">
        <v>5.7555706640642716</v>
      </c>
      <c r="BH691" s="407">
        <v>0</v>
      </c>
      <c r="BI691" s="407">
        <v>0</v>
      </c>
      <c r="BJ691" s="407">
        <v>0</v>
      </c>
      <c r="BK691" s="407">
        <v>0</v>
      </c>
      <c r="BL691" s="407">
        <v>0</v>
      </c>
      <c r="BM691" s="407"/>
      <c r="BN691" s="407"/>
      <c r="BO691" s="407"/>
      <c r="BP691" s="407"/>
      <c r="BQ691" s="407"/>
      <c r="BR691" s="407">
        <v>83.91536839999992</v>
      </c>
      <c r="BS691" s="407"/>
      <c r="BT691" s="407"/>
      <c r="BU691" s="407"/>
      <c r="BV691" s="407">
        <v>176.79743549890213</v>
      </c>
      <c r="BW691" s="407"/>
      <c r="BX691" s="407"/>
      <c r="BY691" s="407"/>
      <c r="BZ691" s="407"/>
      <c r="CA691" s="407"/>
      <c r="CB691" s="407"/>
      <c r="CC691" s="407"/>
      <c r="CD691" s="407"/>
      <c r="CE691" s="407"/>
      <c r="CF691" s="407"/>
      <c r="CG691" s="407"/>
      <c r="CH691" s="407"/>
      <c r="CI691" s="407">
        <v>2005.1914000000002</v>
      </c>
      <c r="CJ691" s="407">
        <v>-1156.9365104000003</v>
      </c>
      <c r="CK691" s="407"/>
      <c r="CL691" s="407"/>
      <c r="CM691" s="407"/>
      <c r="CN691" s="407"/>
      <c r="CO691" s="407">
        <v>-1226.4320099999998</v>
      </c>
      <c r="CP691" s="407">
        <v>30.464229999999997</v>
      </c>
      <c r="CQ691" s="407">
        <v>31</v>
      </c>
      <c r="CR691" s="407">
        <v>-3.5849500673896273</v>
      </c>
      <c r="CS691" s="407">
        <v>0</v>
      </c>
      <c r="CT691" s="407">
        <v>0</v>
      </c>
      <c r="CU691" s="407">
        <v>0</v>
      </c>
      <c r="CV691" s="407">
        <v>0</v>
      </c>
      <c r="CW691" s="407">
        <v>0</v>
      </c>
      <c r="CX691" s="407">
        <v>0</v>
      </c>
      <c r="CY691" s="407">
        <v>0</v>
      </c>
      <c r="CZ691" s="407">
        <v>30.584223677700493</v>
      </c>
      <c r="DA691" s="407">
        <v>0</v>
      </c>
      <c r="DB691" s="407">
        <v>0</v>
      </c>
      <c r="DC691" s="407">
        <v>33.912982837838115</v>
      </c>
      <c r="DD691" s="407">
        <v>0</v>
      </c>
      <c r="DE691" s="407">
        <v>0</v>
      </c>
      <c r="DF691" s="407">
        <v>0</v>
      </c>
      <c r="DG691" s="407">
        <v>1.1411742343949269</v>
      </c>
      <c r="DH691" s="407">
        <v>0</v>
      </c>
      <c r="DI691" s="407">
        <v>-4.1878625663644797</v>
      </c>
      <c r="DJ691" s="407"/>
      <c r="DK691" s="407">
        <v>0</v>
      </c>
      <c r="DL691" s="407">
        <v>0</v>
      </c>
      <c r="DM691" s="407">
        <v>0</v>
      </c>
      <c r="DN691" s="407">
        <v>0</v>
      </c>
      <c r="DO691" s="407">
        <v>-0.64793138950300566</v>
      </c>
      <c r="DP691" s="407">
        <v>-7.5873010197775814E-2</v>
      </c>
      <c r="DQ691" s="407">
        <v>0</v>
      </c>
      <c r="DR691" s="407">
        <v>-64.311663851258004</v>
      </c>
      <c r="DS691" s="407"/>
      <c r="DT691" s="407"/>
      <c r="DU691" s="407"/>
      <c r="DV691" s="407">
        <v>2334.3217946368413</v>
      </c>
      <c r="DW691" s="407">
        <v>0</v>
      </c>
      <c r="DX691" s="407">
        <v>0</v>
      </c>
      <c r="DY691" s="407">
        <v>-1226.43201</v>
      </c>
      <c r="DZ691" s="407">
        <v>30.464230000000015</v>
      </c>
      <c r="EA691" s="407">
        <v>0</v>
      </c>
      <c r="EB691" s="407">
        <v>0</v>
      </c>
      <c r="EC691" s="407">
        <v>-1192.3769944508108</v>
      </c>
      <c r="ED691" s="407">
        <v>0</v>
      </c>
      <c r="EE691" s="407">
        <v>0</v>
      </c>
      <c r="EF691" s="407">
        <v>0</v>
      </c>
      <c r="EG691" s="407">
        <v>0</v>
      </c>
      <c r="EH691" s="407">
        <v>0</v>
      </c>
      <c r="EI691" s="407">
        <v>0</v>
      </c>
      <c r="EJ691" s="407">
        <v>0</v>
      </c>
      <c r="EK691" s="407">
        <v>0</v>
      </c>
      <c r="EL691" s="407">
        <v>0</v>
      </c>
      <c r="EM691" s="407">
        <v>0</v>
      </c>
      <c r="EN691" s="407">
        <v>0</v>
      </c>
      <c r="EO691" s="407">
        <v>0</v>
      </c>
      <c r="EP691" s="407">
        <v>28.321812516458326</v>
      </c>
      <c r="EQ691" s="407">
        <v>0</v>
      </c>
      <c r="ER691" s="407">
        <v>0</v>
      </c>
      <c r="ES691" s="407">
        <v>0</v>
      </c>
      <c r="ET691" s="407">
        <v>0</v>
      </c>
      <c r="EU691" s="407">
        <v>0</v>
      </c>
      <c r="EV691" s="407">
        <v>246</v>
      </c>
      <c r="EW691" s="407">
        <v>0</v>
      </c>
      <c r="EX691" s="407">
        <v>0</v>
      </c>
      <c r="EY691" s="407">
        <v>0</v>
      </c>
      <c r="EZ691" s="407"/>
      <c r="FA691" s="407">
        <v>0</v>
      </c>
      <c r="FB691" s="407"/>
      <c r="FC691" s="407"/>
      <c r="FD691" s="407"/>
      <c r="FE691" s="407"/>
      <c r="FF691" s="407">
        <v>0</v>
      </c>
      <c r="FG691" s="407">
        <v>0</v>
      </c>
      <c r="FH691" s="407">
        <v>0</v>
      </c>
      <c r="FI691" s="407">
        <v>0</v>
      </c>
    </row>
    <row r="692" spans="1:165">
      <c r="A692" s="407">
        <v>717</v>
      </c>
      <c r="B692" s="407" t="s">
        <v>1090</v>
      </c>
      <c r="C692" s="407" t="s">
        <v>2314</v>
      </c>
      <c r="D692" s="407" t="s">
        <v>650</v>
      </c>
      <c r="E692" s="407" t="s">
        <v>1026</v>
      </c>
      <c r="F692" s="407" t="s">
        <v>2323</v>
      </c>
      <c r="G692" s="407" t="s">
        <v>97</v>
      </c>
      <c r="H692" s="407" t="s">
        <v>97</v>
      </c>
      <c r="I692" s="407" t="s">
        <v>2290</v>
      </c>
      <c r="J692" s="407" t="s">
        <v>2307</v>
      </c>
      <c r="K692" s="818">
        <v>44682</v>
      </c>
      <c r="L692" s="407">
        <v>0</v>
      </c>
      <c r="M692" s="407">
        <v>0</v>
      </c>
      <c r="N692" s="407">
        <v>7.4210000000000003</v>
      </c>
      <c r="O692" s="407">
        <v>7.1241599999999998</v>
      </c>
      <c r="P692" s="407">
        <v>7.4210000000000003</v>
      </c>
      <c r="Q692" s="407">
        <v>7.1241599999999998</v>
      </c>
      <c r="R692" s="407"/>
      <c r="S692" s="407">
        <v>95.29</v>
      </c>
      <c r="T692" s="407">
        <v>159.41</v>
      </c>
      <c r="U692" s="407"/>
      <c r="V692" s="407">
        <v>1890.1287000000002</v>
      </c>
      <c r="W692" s="407">
        <v>1890.1287000000002</v>
      </c>
      <c r="X692" s="407">
        <v>2054.94911</v>
      </c>
      <c r="Y692" s="407">
        <v>0</v>
      </c>
      <c r="Z692" s="407">
        <v>400.09667003499317</v>
      </c>
      <c r="AA692" s="407">
        <v>0</v>
      </c>
      <c r="AB692" s="407">
        <v>0</v>
      </c>
      <c r="AC692" s="407">
        <v>0</v>
      </c>
      <c r="AD692" s="407">
        <v>0</v>
      </c>
      <c r="AE692" s="407">
        <v>0</v>
      </c>
      <c r="AF692" s="407">
        <v>1144.5461487279817</v>
      </c>
      <c r="AG692" s="407">
        <v>38.453746254019585</v>
      </c>
      <c r="AH692" s="407">
        <v>0</v>
      </c>
      <c r="AI692" s="407">
        <v>0</v>
      </c>
      <c r="AJ692" s="407">
        <v>0</v>
      </c>
      <c r="AK692" s="407">
        <v>0</v>
      </c>
      <c r="AL692" s="407">
        <v>71.063906757857353</v>
      </c>
      <c r="AM692" s="407"/>
      <c r="AN692" s="407">
        <v>7.9681754412606152</v>
      </c>
      <c r="AO692" s="407">
        <v>0</v>
      </c>
      <c r="AP692" s="407">
        <v>0</v>
      </c>
      <c r="AQ692" s="407">
        <v>0</v>
      </c>
      <c r="AR692" s="407">
        <v>0</v>
      </c>
      <c r="AS692" s="407">
        <v>0</v>
      </c>
      <c r="AT692" s="407">
        <v>0</v>
      </c>
      <c r="AU692" s="407">
        <v>0</v>
      </c>
      <c r="AV692" s="407">
        <v>0</v>
      </c>
      <c r="AW692" s="407">
        <v>0</v>
      </c>
      <c r="AX692" s="407">
        <v>0</v>
      </c>
      <c r="AY692" s="407">
        <v>0</v>
      </c>
      <c r="AZ692" s="407">
        <v>0</v>
      </c>
      <c r="BA692" s="407"/>
      <c r="BB692" s="407">
        <v>0</v>
      </c>
      <c r="BC692" s="407">
        <v>0</v>
      </c>
      <c r="BD692" s="407">
        <v>0</v>
      </c>
      <c r="BE692" s="407">
        <v>0</v>
      </c>
      <c r="BF692" s="407">
        <v>0</v>
      </c>
      <c r="BG692" s="407">
        <v>38.51405761769248</v>
      </c>
      <c r="BH692" s="407">
        <v>0</v>
      </c>
      <c r="BI692" s="407">
        <v>0</v>
      </c>
      <c r="BJ692" s="407">
        <v>0</v>
      </c>
      <c r="BK692" s="407">
        <v>0</v>
      </c>
      <c r="BL692" s="407">
        <v>0</v>
      </c>
      <c r="BM692" s="407"/>
      <c r="BN692" s="407"/>
      <c r="BO692" s="407"/>
      <c r="BP692" s="407"/>
      <c r="BQ692" s="407"/>
      <c r="BR692" s="407">
        <v>82.197964400000117</v>
      </c>
      <c r="BS692" s="407"/>
      <c r="BT692" s="407"/>
      <c r="BU692" s="407"/>
      <c r="BV692" s="407">
        <v>1183.0602063456743</v>
      </c>
      <c r="BW692" s="407"/>
      <c r="BX692" s="407"/>
      <c r="BY692" s="407"/>
      <c r="BZ692" s="407"/>
      <c r="CA692" s="407"/>
      <c r="CB692" s="407"/>
      <c r="CC692" s="407"/>
      <c r="CD692" s="407"/>
      <c r="CE692" s="407"/>
      <c r="CF692" s="407"/>
      <c r="CG692" s="407"/>
      <c r="CH692" s="407"/>
      <c r="CI692" s="407">
        <v>1971.5991999999999</v>
      </c>
      <c r="CJ692" s="407">
        <v>157.0456479999998</v>
      </c>
      <c r="CK692" s="407"/>
      <c r="CL692" s="407"/>
      <c r="CM692" s="407"/>
      <c r="CN692" s="407"/>
      <c r="CO692" s="407">
        <v>-39.034460000000038</v>
      </c>
      <c r="CP692" s="407">
        <v>203.85487000000001</v>
      </c>
      <c r="CQ692" s="407">
        <v>31</v>
      </c>
      <c r="CR692" s="407">
        <v>164.79695377431813</v>
      </c>
      <c r="CS692" s="407">
        <v>0</v>
      </c>
      <c r="CT692" s="407">
        <v>0</v>
      </c>
      <c r="CU692" s="407">
        <v>0</v>
      </c>
      <c r="CV692" s="407">
        <v>0</v>
      </c>
      <c r="CW692" s="407">
        <v>0</v>
      </c>
      <c r="CX692" s="407">
        <v>0</v>
      </c>
      <c r="CY692" s="407">
        <v>0</v>
      </c>
      <c r="CZ692" s="407">
        <v>0</v>
      </c>
      <c r="DA692" s="407">
        <v>0</v>
      </c>
      <c r="DB692" s="407">
        <v>0</v>
      </c>
      <c r="DC692" s="407">
        <v>226.93259300234149</v>
      </c>
      <c r="DD692" s="407">
        <v>0</v>
      </c>
      <c r="DE692" s="407">
        <v>0</v>
      </c>
      <c r="DF692" s="407">
        <v>0</v>
      </c>
      <c r="DG692" s="407">
        <v>7.6362975594632587</v>
      </c>
      <c r="DH692" s="407">
        <v>0</v>
      </c>
      <c r="DI692" s="407">
        <v>-28.023560058603096</v>
      </c>
      <c r="DJ692" s="407"/>
      <c r="DK692" s="407">
        <v>0</v>
      </c>
      <c r="DL692" s="407">
        <v>0</v>
      </c>
      <c r="DM692" s="407">
        <v>0</v>
      </c>
      <c r="DN692" s="407">
        <v>0</v>
      </c>
      <c r="DO692" s="407">
        <v>-4.3357068002721491</v>
      </c>
      <c r="DP692" s="407">
        <v>-0.50771290232434207</v>
      </c>
      <c r="DQ692" s="407">
        <v>0</v>
      </c>
      <c r="DR692" s="407">
        <v>-36.90495702628732</v>
      </c>
      <c r="DS692" s="407"/>
      <c r="DT692" s="407"/>
      <c r="DU692" s="407"/>
      <c r="DV692" s="407">
        <v>0</v>
      </c>
      <c r="DW692" s="407">
        <v>0</v>
      </c>
      <c r="DX692" s="407">
        <v>0</v>
      </c>
      <c r="DY692" s="407">
        <v>-39.034459999999967</v>
      </c>
      <c r="DZ692" s="407">
        <v>203.85486999999989</v>
      </c>
      <c r="EA692" s="407">
        <v>0</v>
      </c>
      <c r="EB692" s="407">
        <v>0</v>
      </c>
      <c r="EC692" s="407">
        <v>0</v>
      </c>
      <c r="ED692" s="407">
        <v>0</v>
      </c>
      <c r="EE692" s="407">
        <v>0</v>
      </c>
      <c r="EF692" s="407">
        <v>0</v>
      </c>
      <c r="EG692" s="407">
        <v>0</v>
      </c>
      <c r="EH692" s="407">
        <v>0</v>
      </c>
      <c r="EI692" s="407">
        <v>0</v>
      </c>
      <c r="EJ692" s="407">
        <v>0</v>
      </c>
      <c r="EK692" s="407">
        <v>0</v>
      </c>
      <c r="EL692" s="407">
        <v>0</v>
      </c>
      <c r="EM692" s="407">
        <v>0</v>
      </c>
      <c r="EN692" s="407">
        <v>0</v>
      </c>
      <c r="EO692" s="407">
        <v>0</v>
      </c>
      <c r="EP692" s="407">
        <v>189.51863903033114</v>
      </c>
      <c r="EQ692" s="407">
        <v>0</v>
      </c>
      <c r="ER692" s="407">
        <v>0</v>
      </c>
      <c r="ES692" s="407">
        <v>0</v>
      </c>
      <c r="ET692" s="407">
        <v>0</v>
      </c>
      <c r="EU692" s="407">
        <v>0</v>
      </c>
      <c r="EV692" s="407">
        <v>246</v>
      </c>
      <c r="EW692" s="407">
        <v>0</v>
      </c>
      <c r="EX692" s="407">
        <v>0</v>
      </c>
      <c r="EY692" s="407">
        <v>0</v>
      </c>
      <c r="EZ692" s="407"/>
      <c r="FA692" s="407">
        <v>0</v>
      </c>
      <c r="FB692" s="407"/>
      <c r="FC692" s="407"/>
      <c r="FD692" s="407"/>
      <c r="FE692" s="407"/>
      <c r="FF692" s="407">
        <v>0</v>
      </c>
      <c r="FG692" s="407">
        <v>0</v>
      </c>
      <c r="FH692" s="407">
        <v>0</v>
      </c>
      <c r="FI692" s="407">
        <v>0</v>
      </c>
    </row>
    <row r="693" spans="1:165">
      <c r="A693" s="407">
        <v>719</v>
      </c>
      <c r="B693" s="407" t="s">
        <v>1090</v>
      </c>
      <c r="C693" s="407" t="s">
        <v>2314</v>
      </c>
      <c r="D693" s="407" t="s">
        <v>650</v>
      </c>
      <c r="E693" s="407" t="s">
        <v>1026</v>
      </c>
      <c r="F693" s="407" t="s">
        <v>2323</v>
      </c>
      <c r="G693" s="407" t="s">
        <v>97</v>
      </c>
      <c r="H693" s="407" t="s">
        <v>97</v>
      </c>
      <c r="I693" s="407" t="s">
        <v>97</v>
      </c>
      <c r="J693" s="407" t="s">
        <v>2307</v>
      </c>
      <c r="K693" s="818">
        <v>44682</v>
      </c>
      <c r="L693" s="407">
        <v>1057</v>
      </c>
      <c r="M693" s="407">
        <v>1014.72</v>
      </c>
      <c r="N693" s="407">
        <v>0</v>
      </c>
      <c r="O693" s="407">
        <v>0</v>
      </c>
      <c r="P693" s="407">
        <v>0</v>
      </c>
      <c r="Q693" s="407">
        <v>0</v>
      </c>
      <c r="R693" s="407">
        <v>43.29</v>
      </c>
      <c r="S693" s="407"/>
      <c r="T693" s="407"/>
      <c r="U693" s="407">
        <v>45757.53</v>
      </c>
      <c r="V693" s="407"/>
      <c r="W693" s="407">
        <v>45757.53</v>
      </c>
      <c r="X693" s="407">
        <v>35398.93</v>
      </c>
      <c r="Y693" s="407">
        <v>0</v>
      </c>
      <c r="Z693" s="407">
        <v>0</v>
      </c>
      <c r="AA693" s="407">
        <v>0</v>
      </c>
      <c r="AB693" s="407">
        <v>0</v>
      </c>
      <c r="AC693" s="407">
        <v>0</v>
      </c>
      <c r="AD693" s="407">
        <v>25012.834426468966</v>
      </c>
      <c r="AE693" s="407">
        <v>20748.05076932078</v>
      </c>
      <c r="AF693" s="407"/>
      <c r="AG693" s="407"/>
      <c r="AH693" s="407"/>
      <c r="AI693" s="407">
        <v>0</v>
      </c>
      <c r="AJ693" s="407">
        <v>0</v>
      </c>
      <c r="AK693" s="407">
        <v>0</v>
      </c>
      <c r="AL693" s="407">
        <v>0</v>
      </c>
      <c r="AM693" s="407"/>
      <c r="AN693" s="407">
        <v>0</v>
      </c>
      <c r="AO693" s="407">
        <v>0</v>
      </c>
      <c r="AP693" s="407">
        <v>0</v>
      </c>
      <c r="AQ693" s="407">
        <v>0</v>
      </c>
      <c r="AR693" s="407">
        <v>0</v>
      </c>
      <c r="AS693" s="407"/>
      <c r="AT693" s="407"/>
      <c r="AU693" s="407">
        <v>0</v>
      </c>
      <c r="AV693" s="407">
        <v>0</v>
      </c>
      <c r="AW693" s="407">
        <v>0</v>
      </c>
      <c r="AX693" s="407"/>
      <c r="AY693" s="407"/>
      <c r="AZ693" s="407">
        <v>0</v>
      </c>
      <c r="BA693" s="407"/>
      <c r="BB693" s="407">
        <v>0</v>
      </c>
      <c r="BC693" s="407">
        <v>0</v>
      </c>
      <c r="BD693" s="407">
        <v>0</v>
      </c>
      <c r="BE693" s="407">
        <v>0</v>
      </c>
      <c r="BF693" s="407"/>
      <c r="BG693" s="407">
        <v>0</v>
      </c>
      <c r="BH693" s="407">
        <v>0</v>
      </c>
      <c r="BI693" s="407">
        <v>15.15</v>
      </c>
      <c r="BJ693" s="407">
        <v>65.38</v>
      </c>
      <c r="BK693" s="407">
        <v>156.65</v>
      </c>
      <c r="BL693" s="407">
        <v>42</v>
      </c>
      <c r="BM693" s="407"/>
      <c r="BN693" s="407"/>
      <c r="BO693" s="407"/>
      <c r="BP693" s="407"/>
      <c r="BQ693" s="407"/>
      <c r="BR693" s="407">
        <v>1415.9571999999991</v>
      </c>
      <c r="BS693" s="407"/>
      <c r="BT693" s="407"/>
      <c r="BU693" s="407"/>
      <c r="BV693" s="407">
        <v>0</v>
      </c>
      <c r="BW693" s="407"/>
      <c r="BX693" s="407"/>
      <c r="BY693" s="407"/>
      <c r="BZ693" s="407"/>
      <c r="CA693" s="407"/>
      <c r="CB693" s="407"/>
      <c r="CC693" s="407"/>
      <c r="CD693" s="407"/>
      <c r="CE693" s="407"/>
      <c r="CF693" s="407"/>
      <c r="CG693" s="407"/>
      <c r="CH693" s="407"/>
      <c r="CI693" s="407">
        <v>33982.972800000003</v>
      </c>
      <c r="CJ693" s="407">
        <v>-9944.2860000000001</v>
      </c>
      <c r="CK693" s="407"/>
      <c r="CL693" s="407"/>
      <c r="CM693" s="407"/>
      <c r="CN693" s="407"/>
      <c r="CO693" s="407">
        <v>-10358.599999999997</v>
      </c>
      <c r="CP693" s="407">
        <v>0</v>
      </c>
      <c r="CQ693" s="407">
        <v>31</v>
      </c>
      <c r="CR693" s="407">
        <v>236.40877349189759</v>
      </c>
      <c r="CS693" s="407">
        <v>0</v>
      </c>
      <c r="CT693" s="407">
        <v>0</v>
      </c>
      <c r="CU693" s="407">
        <v>0</v>
      </c>
      <c r="CV693" s="407">
        <v>0</v>
      </c>
      <c r="CW693" s="407"/>
      <c r="CX693" s="407"/>
      <c r="CY693" s="407"/>
      <c r="CZ693" s="407">
        <v>1129.8793267426554</v>
      </c>
      <c r="DA693" s="407">
        <v>0</v>
      </c>
      <c r="DB693" s="407">
        <v>0</v>
      </c>
      <c r="DC693" s="407"/>
      <c r="DD693" s="407"/>
      <c r="DE693" s="407">
        <v>0</v>
      </c>
      <c r="DF693" s="407">
        <v>0</v>
      </c>
      <c r="DG693" s="407">
        <v>0</v>
      </c>
      <c r="DH693" s="407">
        <v>0</v>
      </c>
      <c r="DI693" s="407">
        <v>0</v>
      </c>
      <c r="DJ693" s="407"/>
      <c r="DK693" s="407">
        <v>0</v>
      </c>
      <c r="DL693" s="407">
        <v>0</v>
      </c>
      <c r="DM693" s="407"/>
      <c r="DN693" s="407">
        <v>0</v>
      </c>
      <c r="DO693" s="407">
        <v>0</v>
      </c>
      <c r="DP693" s="407">
        <v>0</v>
      </c>
      <c r="DQ693" s="407">
        <v>0</v>
      </c>
      <c r="DR693" s="407">
        <v>-893.47055325075678</v>
      </c>
      <c r="DS693" s="407"/>
      <c r="DT693" s="407"/>
      <c r="DU693" s="407">
        <v>20748.05076932078</v>
      </c>
      <c r="DV693" s="407"/>
      <c r="DW693" s="407">
        <v>0</v>
      </c>
      <c r="DX693" s="407">
        <v>0</v>
      </c>
      <c r="DY693" s="407">
        <v>-10358.599999999999</v>
      </c>
      <c r="DZ693" s="407"/>
      <c r="EA693" s="407">
        <v>0</v>
      </c>
      <c r="EB693" s="407"/>
      <c r="EC693" s="407">
        <v>-10598.152522876362</v>
      </c>
      <c r="ED693" s="407"/>
      <c r="EE693" s="407">
        <v>0</v>
      </c>
      <c r="EF693" s="407">
        <v>0</v>
      </c>
      <c r="EG693" s="407"/>
      <c r="EH693" s="407">
        <v>0</v>
      </c>
      <c r="EI693" s="407">
        <v>0</v>
      </c>
      <c r="EJ693" s="407">
        <v>0</v>
      </c>
      <c r="EK693" s="407">
        <v>0</v>
      </c>
      <c r="EL693" s="407">
        <v>0</v>
      </c>
      <c r="EM693" s="407"/>
      <c r="EN693" s="407"/>
      <c r="EO693" s="407">
        <v>0</v>
      </c>
      <c r="EP693" s="407">
        <v>0</v>
      </c>
      <c r="EQ693" s="407"/>
      <c r="ER693" s="407">
        <v>0</v>
      </c>
      <c r="ES693" s="407"/>
      <c r="ET693" s="407">
        <v>0</v>
      </c>
      <c r="EU693" s="407"/>
      <c r="EV693" s="407">
        <v>246</v>
      </c>
      <c r="EW693" s="407"/>
      <c r="EX693" s="407"/>
      <c r="EY693" s="407"/>
      <c r="EZ693" s="407"/>
      <c r="FA693" s="407">
        <v>0</v>
      </c>
      <c r="FB693" s="407"/>
      <c r="FC693" s="407"/>
      <c r="FD693" s="407"/>
      <c r="FE693" s="407"/>
      <c r="FF693" s="407">
        <v>0</v>
      </c>
      <c r="FG693" s="407">
        <v>0</v>
      </c>
      <c r="FH693" s="407">
        <v>0</v>
      </c>
      <c r="FI693" s="407">
        <v>0</v>
      </c>
    </row>
    <row r="694" spans="1:165">
      <c r="A694" s="407">
        <v>720</v>
      </c>
      <c r="B694" s="407" t="s">
        <v>2309</v>
      </c>
      <c r="C694" s="407" t="s">
        <v>2314</v>
      </c>
      <c r="D694" s="407" t="s">
        <v>650</v>
      </c>
      <c r="E694" s="407" t="s">
        <v>1026</v>
      </c>
      <c r="F694" s="407" t="s">
        <v>2323</v>
      </c>
      <c r="G694" s="407" t="s">
        <v>97</v>
      </c>
      <c r="H694" s="407" t="s">
        <v>97</v>
      </c>
      <c r="I694" s="407" t="s">
        <v>97</v>
      </c>
      <c r="J694" s="407" t="s">
        <v>2307</v>
      </c>
      <c r="K694" s="818">
        <v>44682</v>
      </c>
      <c r="L694" s="407">
        <v>77</v>
      </c>
      <c r="M694" s="407">
        <v>73.92</v>
      </c>
      <c r="N694" s="407">
        <v>0</v>
      </c>
      <c r="O694" s="407">
        <v>0</v>
      </c>
      <c r="P694" s="407">
        <v>0</v>
      </c>
      <c r="Q694" s="407">
        <v>0</v>
      </c>
      <c r="R694" s="407">
        <v>43.29</v>
      </c>
      <c r="S694" s="407"/>
      <c r="T694" s="407"/>
      <c r="U694" s="407">
        <v>3333.33</v>
      </c>
      <c r="V694" s="407"/>
      <c r="W694" s="407">
        <v>3333.33</v>
      </c>
      <c r="X694" s="407">
        <v>2578.73</v>
      </c>
      <c r="Y694" s="407">
        <v>0</v>
      </c>
      <c r="Z694" s="407">
        <v>0</v>
      </c>
      <c r="AA694" s="407">
        <v>0</v>
      </c>
      <c r="AB694" s="407">
        <v>0</v>
      </c>
      <c r="AC694" s="407">
        <v>0</v>
      </c>
      <c r="AD694" s="407">
        <v>1822.127011199726</v>
      </c>
      <c r="AE694" s="407">
        <v>1511.4474070366132</v>
      </c>
      <c r="AF694" s="407"/>
      <c r="AG694" s="407"/>
      <c r="AH694" s="407"/>
      <c r="AI694" s="407">
        <v>0</v>
      </c>
      <c r="AJ694" s="407">
        <v>0</v>
      </c>
      <c r="AK694" s="407">
        <v>0</v>
      </c>
      <c r="AL694" s="407">
        <v>0</v>
      </c>
      <c r="AM694" s="407"/>
      <c r="AN694" s="407">
        <v>0</v>
      </c>
      <c r="AO694" s="407">
        <v>0</v>
      </c>
      <c r="AP694" s="407">
        <v>0</v>
      </c>
      <c r="AQ694" s="407">
        <v>0</v>
      </c>
      <c r="AR694" s="407">
        <v>0</v>
      </c>
      <c r="AS694" s="407"/>
      <c r="AT694" s="407"/>
      <c r="AU694" s="407">
        <v>0</v>
      </c>
      <c r="AV694" s="407">
        <v>0</v>
      </c>
      <c r="AW694" s="407">
        <v>0</v>
      </c>
      <c r="AX694" s="407"/>
      <c r="AY694" s="407"/>
      <c r="AZ694" s="407">
        <v>0</v>
      </c>
      <c r="BA694" s="407"/>
      <c r="BB694" s="407">
        <v>0</v>
      </c>
      <c r="BC694" s="407">
        <v>0</v>
      </c>
      <c r="BD694" s="407">
        <v>0</v>
      </c>
      <c r="BE694" s="407">
        <v>0</v>
      </c>
      <c r="BF694" s="407"/>
      <c r="BG694" s="407">
        <v>0</v>
      </c>
      <c r="BH694" s="407">
        <v>0</v>
      </c>
      <c r="BI694" s="407">
        <v>4.82</v>
      </c>
      <c r="BJ694" s="407">
        <v>20.58</v>
      </c>
      <c r="BK694" s="407">
        <v>10.94</v>
      </c>
      <c r="BL694" s="407">
        <v>4</v>
      </c>
      <c r="BM694" s="407"/>
      <c r="BN694" s="407"/>
      <c r="BO694" s="407"/>
      <c r="BP694" s="407"/>
      <c r="BQ694" s="407"/>
      <c r="BR694" s="407">
        <v>103.14919999999995</v>
      </c>
      <c r="BS694" s="407"/>
      <c r="BT694" s="407"/>
      <c r="BU694" s="407"/>
      <c r="BV694" s="407">
        <v>0</v>
      </c>
      <c r="BW694" s="407"/>
      <c r="BX694" s="407"/>
      <c r="BY694" s="407"/>
      <c r="BZ694" s="407"/>
      <c r="CA694" s="407"/>
      <c r="CB694" s="407"/>
      <c r="CC694" s="407"/>
      <c r="CD694" s="407"/>
      <c r="CE694" s="407"/>
      <c r="CF694" s="407"/>
      <c r="CG694" s="407"/>
      <c r="CH694" s="407"/>
      <c r="CI694" s="407">
        <v>2475.5808000000002</v>
      </c>
      <c r="CJ694" s="407">
        <v>-724.44600000000037</v>
      </c>
      <c r="CK694" s="407"/>
      <c r="CL694" s="407"/>
      <c r="CM694" s="407"/>
      <c r="CN694" s="407"/>
      <c r="CO694" s="407">
        <v>-754.5999999999998</v>
      </c>
      <c r="CP694" s="407">
        <v>0</v>
      </c>
      <c r="CQ694" s="407">
        <v>31</v>
      </c>
      <c r="CR694" s="407">
        <v>17.221831181529069</v>
      </c>
      <c r="CS694" s="407">
        <v>0</v>
      </c>
      <c r="CT694" s="407">
        <v>0</v>
      </c>
      <c r="CU694" s="407">
        <v>0</v>
      </c>
      <c r="CV694" s="407">
        <v>0</v>
      </c>
      <c r="CW694" s="407"/>
      <c r="CX694" s="407"/>
      <c r="CY694" s="407"/>
      <c r="CZ694" s="407">
        <v>82.309090027610637</v>
      </c>
      <c r="DA694" s="407">
        <v>0</v>
      </c>
      <c r="DB694" s="407">
        <v>0</v>
      </c>
      <c r="DC694" s="407"/>
      <c r="DD694" s="407"/>
      <c r="DE694" s="407">
        <v>0</v>
      </c>
      <c r="DF694" s="407">
        <v>0</v>
      </c>
      <c r="DG694" s="407">
        <v>0</v>
      </c>
      <c r="DH694" s="407">
        <v>0</v>
      </c>
      <c r="DI694" s="407">
        <v>0</v>
      </c>
      <c r="DJ694" s="407"/>
      <c r="DK694" s="407">
        <v>0</v>
      </c>
      <c r="DL694" s="407">
        <v>0</v>
      </c>
      <c r="DM694" s="407"/>
      <c r="DN694" s="407">
        <v>0</v>
      </c>
      <c r="DO694" s="407">
        <v>0</v>
      </c>
      <c r="DP694" s="407">
        <v>0</v>
      </c>
      <c r="DQ694" s="407">
        <v>0</v>
      </c>
      <c r="DR694" s="407">
        <v>-65.087258846081625</v>
      </c>
      <c r="DS694" s="407"/>
      <c r="DT694" s="407"/>
      <c r="DU694" s="407">
        <v>1511.4474070366132</v>
      </c>
      <c r="DV694" s="407"/>
      <c r="DW694" s="407">
        <v>0</v>
      </c>
      <c r="DX694" s="407">
        <v>0</v>
      </c>
      <c r="DY694" s="407">
        <v>-754.59999999999991</v>
      </c>
      <c r="DZ694" s="407"/>
      <c r="EA694" s="407">
        <v>0</v>
      </c>
      <c r="EB694" s="407"/>
      <c r="EC694" s="407">
        <v>-772.05084603735088</v>
      </c>
      <c r="ED694" s="407"/>
      <c r="EE694" s="407">
        <v>0</v>
      </c>
      <c r="EF694" s="407">
        <v>0</v>
      </c>
      <c r="EG694" s="407"/>
      <c r="EH694" s="407">
        <v>0</v>
      </c>
      <c r="EI694" s="407">
        <v>0</v>
      </c>
      <c r="EJ694" s="407">
        <v>0</v>
      </c>
      <c r="EK694" s="407">
        <v>0</v>
      </c>
      <c r="EL694" s="407">
        <v>0</v>
      </c>
      <c r="EM694" s="407"/>
      <c r="EN694" s="407"/>
      <c r="EO694" s="407">
        <v>0</v>
      </c>
      <c r="EP694" s="407">
        <v>0</v>
      </c>
      <c r="EQ694" s="407"/>
      <c r="ER694" s="407">
        <v>0</v>
      </c>
      <c r="ES694" s="407"/>
      <c r="ET694" s="407">
        <v>0</v>
      </c>
      <c r="EU694" s="407"/>
      <c r="EV694" s="407">
        <v>246</v>
      </c>
      <c r="EW694" s="407"/>
      <c r="EX694" s="407"/>
      <c r="EY694" s="407"/>
      <c r="EZ694" s="407"/>
      <c r="FA694" s="407">
        <v>0</v>
      </c>
      <c r="FB694" s="407"/>
      <c r="FC694" s="407"/>
      <c r="FD694" s="407"/>
      <c r="FE694" s="407"/>
      <c r="FF694" s="407">
        <v>0</v>
      </c>
      <c r="FG694" s="407">
        <v>0</v>
      </c>
      <c r="FH694" s="407">
        <v>0</v>
      </c>
      <c r="FI694" s="407">
        <v>0</v>
      </c>
    </row>
    <row r="695" spans="1:165">
      <c r="A695" s="407">
        <v>721</v>
      </c>
      <c r="B695" s="407" t="s">
        <v>1090</v>
      </c>
      <c r="C695" s="407" t="s">
        <v>2314</v>
      </c>
      <c r="D695" s="407" t="s">
        <v>650</v>
      </c>
      <c r="E695" s="407" t="s">
        <v>1026</v>
      </c>
      <c r="F695" s="407" t="s">
        <v>2323</v>
      </c>
      <c r="G695" s="407" t="s">
        <v>2325</v>
      </c>
      <c r="H695" s="407" t="s">
        <v>97</v>
      </c>
      <c r="I695" s="407" t="s">
        <v>2290</v>
      </c>
      <c r="J695" s="407" t="s">
        <v>2307</v>
      </c>
      <c r="K695" s="818">
        <v>44682</v>
      </c>
      <c r="L695" s="407">
        <v>0</v>
      </c>
      <c r="M695" s="407">
        <v>0</v>
      </c>
      <c r="N695" s="407">
        <v>4.5389999999999997</v>
      </c>
      <c r="O695" s="407">
        <v>1.3616999999999999</v>
      </c>
      <c r="P695" s="407">
        <v>4.5389999999999997</v>
      </c>
      <c r="Q695" s="407">
        <v>1.3616999999999999</v>
      </c>
      <c r="R695" s="407"/>
      <c r="S695" s="407">
        <v>95.29</v>
      </c>
      <c r="T695" s="407">
        <v>159.41</v>
      </c>
      <c r="U695" s="407"/>
      <c r="V695" s="407">
        <v>1156.0833</v>
      </c>
      <c r="W695" s="407">
        <v>1156.0833</v>
      </c>
      <c r="X695" s="407">
        <v>1256.8944899999999</v>
      </c>
      <c r="Y695" s="407">
        <v>0</v>
      </c>
      <c r="Z695" s="407">
        <v>244.7161818203522</v>
      </c>
      <c r="AA695" s="407">
        <v>0</v>
      </c>
      <c r="AB695" s="407">
        <v>0</v>
      </c>
      <c r="AC695" s="407">
        <v>0</v>
      </c>
      <c r="AD695" s="407">
        <v>0</v>
      </c>
      <c r="AE695" s="407">
        <v>0</v>
      </c>
      <c r="AF695" s="407">
        <v>700.05322316080162</v>
      </c>
      <c r="AG695" s="407">
        <v>23.519950713784514</v>
      </c>
      <c r="AH695" s="407">
        <v>0</v>
      </c>
      <c r="AI695" s="407">
        <v>0</v>
      </c>
      <c r="AJ695" s="407">
        <v>0</v>
      </c>
      <c r="AK695" s="407">
        <v>0</v>
      </c>
      <c r="AL695" s="407">
        <v>43.465715237018529</v>
      </c>
      <c r="AM695" s="407"/>
      <c r="AN695" s="407">
        <v>4.8736758291176292</v>
      </c>
      <c r="AO695" s="407">
        <v>0</v>
      </c>
      <c r="AP695" s="407">
        <v>0</v>
      </c>
      <c r="AQ695" s="407">
        <v>0</v>
      </c>
      <c r="AR695" s="407">
        <v>0</v>
      </c>
      <c r="AS695" s="407">
        <v>0</v>
      </c>
      <c r="AT695" s="407">
        <v>0</v>
      </c>
      <c r="AU695" s="407">
        <v>0</v>
      </c>
      <c r="AV695" s="407">
        <v>0</v>
      </c>
      <c r="AW695" s="407">
        <v>0</v>
      </c>
      <c r="AX695" s="407">
        <v>0</v>
      </c>
      <c r="AY695" s="407">
        <v>0</v>
      </c>
      <c r="AZ695" s="407">
        <v>0</v>
      </c>
      <c r="BA695" s="407"/>
      <c r="BB695" s="407">
        <v>0</v>
      </c>
      <c r="BC695" s="407">
        <v>0</v>
      </c>
      <c r="BD695" s="407">
        <v>0</v>
      </c>
      <c r="BE695" s="407">
        <v>0</v>
      </c>
      <c r="BF695" s="407">
        <v>0</v>
      </c>
      <c r="BG695" s="407">
        <v>23.556839715227888</v>
      </c>
      <c r="BH695" s="407">
        <v>0</v>
      </c>
      <c r="BI695" s="407">
        <v>0</v>
      </c>
      <c r="BJ695" s="407">
        <v>0</v>
      </c>
      <c r="BK695" s="407">
        <v>0</v>
      </c>
      <c r="BL695" s="407">
        <v>0</v>
      </c>
      <c r="BM695" s="407"/>
      <c r="BN695" s="407"/>
      <c r="BO695" s="407"/>
      <c r="BP695" s="407"/>
      <c r="BQ695" s="407"/>
      <c r="BR695" s="407"/>
      <c r="BS695" s="407">
        <v>879.826143</v>
      </c>
      <c r="BT695" s="407"/>
      <c r="BU695" s="407"/>
      <c r="BV695" s="407">
        <v>723.61006287602947</v>
      </c>
      <c r="BW695" s="407"/>
      <c r="BX695" s="407"/>
      <c r="BY695" s="407"/>
      <c r="BZ695" s="407"/>
      <c r="CA695" s="407"/>
      <c r="CB695" s="407"/>
      <c r="CC695" s="407"/>
      <c r="CD695" s="407"/>
      <c r="CE695" s="407"/>
      <c r="CF695" s="407"/>
      <c r="CG695" s="407"/>
      <c r="CH695" s="407"/>
      <c r="CI695" s="407">
        <v>376.5976</v>
      </c>
      <c r="CJ695" s="407">
        <v>29.74261000000007</v>
      </c>
      <c r="CK695" s="407"/>
      <c r="CL695" s="407"/>
      <c r="CM695" s="407"/>
      <c r="CN695" s="407"/>
      <c r="CO695" s="407">
        <v>-23.875140000000023</v>
      </c>
      <c r="CP695" s="407">
        <v>124.68632999999998</v>
      </c>
      <c r="CQ695" s="407">
        <v>31</v>
      </c>
      <c r="CR695" s="407">
        <v>100.79684317229862</v>
      </c>
      <c r="CS695" s="407">
        <v>0</v>
      </c>
      <c r="CT695" s="407">
        <v>0</v>
      </c>
      <c r="CU695" s="407">
        <v>0</v>
      </c>
      <c r="CV695" s="407">
        <v>0</v>
      </c>
      <c r="CW695" s="407">
        <v>0</v>
      </c>
      <c r="CX695" s="407">
        <v>0</v>
      </c>
      <c r="CY695" s="407">
        <v>0</v>
      </c>
      <c r="CZ695" s="407">
        <v>0</v>
      </c>
      <c r="DA695" s="407">
        <v>0</v>
      </c>
      <c r="DB695" s="407">
        <v>0</v>
      </c>
      <c r="DC695" s="407">
        <v>138.80164932456921</v>
      </c>
      <c r="DD695" s="407">
        <v>0</v>
      </c>
      <c r="DE695" s="407">
        <v>0</v>
      </c>
      <c r="DF695" s="407">
        <v>0</v>
      </c>
      <c r="DG695" s="407">
        <v>4.6706851667435281</v>
      </c>
      <c r="DH695" s="407">
        <v>0</v>
      </c>
      <c r="DI695" s="407">
        <v>-17.140404137717212</v>
      </c>
      <c r="DJ695" s="407"/>
      <c r="DK695" s="407">
        <v>0</v>
      </c>
      <c r="DL695" s="407">
        <v>0</v>
      </c>
      <c r="DM695" s="407">
        <v>0</v>
      </c>
      <c r="DN695" s="407">
        <v>0</v>
      </c>
      <c r="DO695" s="407">
        <v>-2.6519031352156404</v>
      </c>
      <c r="DP695" s="407">
        <v>-0.31053885778873269</v>
      </c>
      <c r="DQ695" s="407">
        <v>0</v>
      </c>
      <c r="DR695" s="407">
        <v>-22.572645188292427</v>
      </c>
      <c r="DS695" s="407"/>
      <c r="DT695" s="407"/>
      <c r="DU695" s="407"/>
      <c r="DV695" s="407">
        <v>0</v>
      </c>
      <c r="DW695" s="407">
        <v>0</v>
      </c>
      <c r="DX695" s="407">
        <v>0</v>
      </c>
      <c r="DY695" s="407">
        <v>-23.875140000000044</v>
      </c>
      <c r="DZ695" s="407">
        <v>124.68633</v>
      </c>
      <c r="EA695" s="407">
        <v>0</v>
      </c>
      <c r="EB695" s="407">
        <v>0</v>
      </c>
      <c r="EC695" s="407">
        <v>0</v>
      </c>
      <c r="ED695" s="407">
        <v>0</v>
      </c>
      <c r="EE695" s="407">
        <v>0</v>
      </c>
      <c r="EF695" s="407">
        <v>0</v>
      </c>
      <c r="EG695" s="407">
        <v>0</v>
      </c>
      <c r="EH695" s="407">
        <v>0</v>
      </c>
      <c r="EI695" s="407">
        <v>0</v>
      </c>
      <c r="EJ695" s="407">
        <v>0</v>
      </c>
      <c r="EK695" s="407">
        <v>0</v>
      </c>
      <c r="EL695" s="407">
        <v>0</v>
      </c>
      <c r="EM695" s="407">
        <v>0</v>
      </c>
      <c r="EN695" s="407">
        <v>0</v>
      </c>
      <c r="EO695" s="407">
        <v>0</v>
      </c>
      <c r="EP695" s="407">
        <v>115.91767990279922</v>
      </c>
      <c r="EQ695" s="407">
        <v>0</v>
      </c>
      <c r="ER695" s="407">
        <v>0</v>
      </c>
      <c r="ES695" s="407">
        <v>0</v>
      </c>
      <c r="ET695" s="407">
        <v>0</v>
      </c>
      <c r="EU695" s="407">
        <v>0</v>
      </c>
      <c r="EV695" s="407">
        <v>246</v>
      </c>
      <c r="EW695" s="407">
        <v>0</v>
      </c>
      <c r="EX695" s="407">
        <v>0</v>
      </c>
      <c r="EY695" s="407">
        <v>0</v>
      </c>
      <c r="EZ695" s="407"/>
      <c r="FA695" s="407">
        <v>0</v>
      </c>
      <c r="FB695" s="407"/>
      <c r="FC695" s="407"/>
      <c r="FD695" s="407"/>
      <c r="FE695" s="407"/>
      <c r="FF695" s="407">
        <v>0</v>
      </c>
      <c r="FG695" s="407">
        <v>0</v>
      </c>
      <c r="FH695" s="407">
        <v>0</v>
      </c>
      <c r="FI695" s="407">
        <v>0</v>
      </c>
    </row>
    <row r="696" spans="1:165">
      <c r="A696" s="407">
        <v>723</v>
      </c>
      <c r="B696" s="407" t="s">
        <v>1090</v>
      </c>
      <c r="C696" s="407" t="s">
        <v>2306</v>
      </c>
      <c r="D696" s="407" t="s">
        <v>2315</v>
      </c>
      <c r="E696" s="407" t="s">
        <v>1026</v>
      </c>
      <c r="F696" s="407" t="s">
        <v>2326</v>
      </c>
      <c r="G696" s="407" t="s">
        <v>2324</v>
      </c>
      <c r="H696" s="407" t="s">
        <v>97</v>
      </c>
      <c r="I696" s="407" t="s">
        <v>97</v>
      </c>
      <c r="J696" s="407" t="s">
        <v>2307</v>
      </c>
      <c r="K696" s="818">
        <v>44682</v>
      </c>
      <c r="L696" s="407">
        <v>0</v>
      </c>
      <c r="M696" s="407">
        <v>0</v>
      </c>
      <c r="N696" s="407">
        <v>0</v>
      </c>
      <c r="O696" s="407">
        <v>0</v>
      </c>
      <c r="P696" s="407">
        <v>0</v>
      </c>
      <c r="Q696" s="407">
        <v>0</v>
      </c>
      <c r="R696" s="407"/>
      <c r="S696" s="407"/>
      <c r="T696" s="407"/>
      <c r="U696" s="407"/>
      <c r="V696" s="407"/>
      <c r="W696" s="407"/>
      <c r="X696" s="407"/>
      <c r="Y696" s="407"/>
      <c r="Z696" s="407"/>
      <c r="AA696" s="407">
        <v>0</v>
      </c>
      <c r="AB696" s="407"/>
      <c r="AC696" s="407"/>
      <c r="AD696" s="407"/>
      <c r="AE696" s="407"/>
      <c r="AF696" s="407"/>
      <c r="AG696" s="407"/>
      <c r="AH696" s="407"/>
      <c r="AI696" s="407"/>
      <c r="AJ696" s="407"/>
      <c r="AK696" s="407"/>
      <c r="AL696" s="407"/>
      <c r="AM696" s="407"/>
      <c r="AN696" s="407"/>
      <c r="AO696" s="407"/>
      <c r="AP696" s="407"/>
      <c r="AQ696" s="407"/>
      <c r="AR696" s="407"/>
      <c r="AS696" s="407"/>
      <c r="AT696" s="407"/>
      <c r="AU696" s="407"/>
      <c r="AV696" s="407"/>
      <c r="AW696" s="407"/>
      <c r="AX696" s="407"/>
      <c r="AY696" s="407"/>
      <c r="AZ696" s="407">
        <v>0</v>
      </c>
      <c r="BA696" s="407"/>
      <c r="BB696" s="407"/>
      <c r="BC696" s="407"/>
      <c r="BD696" s="407"/>
      <c r="BE696" s="407"/>
      <c r="BF696" s="407"/>
      <c r="BG696" s="407"/>
      <c r="BH696" s="407"/>
      <c r="BI696" s="407">
        <v>1.41</v>
      </c>
      <c r="BJ696" s="407">
        <v>5.99</v>
      </c>
      <c r="BK696" s="407">
        <v>39.57</v>
      </c>
      <c r="BL696" s="407">
        <v>5</v>
      </c>
      <c r="BM696" s="407"/>
      <c r="BN696" s="407"/>
      <c r="BO696" s="407"/>
      <c r="BP696" s="407"/>
      <c r="BQ696" s="407"/>
      <c r="BR696" s="407"/>
      <c r="BS696" s="407"/>
      <c r="BT696" s="407"/>
      <c r="BU696" s="407"/>
      <c r="BV696" s="407"/>
      <c r="BW696" s="407"/>
      <c r="BX696" s="407"/>
      <c r="BY696" s="407"/>
      <c r="BZ696" s="407"/>
      <c r="CA696" s="407"/>
      <c r="CB696" s="407"/>
      <c r="CC696" s="407"/>
      <c r="CD696" s="407"/>
      <c r="CE696" s="407"/>
      <c r="CF696" s="407"/>
      <c r="CG696" s="407"/>
      <c r="CH696" s="407"/>
      <c r="CI696" s="407"/>
      <c r="CJ696" s="407">
        <v>-0.03</v>
      </c>
      <c r="CK696" s="407"/>
      <c r="CL696" s="407"/>
      <c r="CM696" s="407"/>
      <c r="CN696" s="407"/>
      <c r="CO696" s="407">
        <v>0</v>
      </c>
      <c r="CP696" s="407">
        <v>0</v>
      </c>
      <c r="CQ696" s="407">
        <v>31</v>
      </c>
      <c r="CR696" s="407"/>
      <c r="CS696" s="407"/>
      <c r="CT696" s="407"/>
      <c r="CU696" s="407"/>
      <c r="CV696" s="407"/>
      <c r="CW696" s="407"/>
      <c r="CX696" s="407"/>
      <c r="CY696" s="407"/>
      <c r="CZ696" s="407"/>
      <c r="DA696" s="407"/>
      <c r="DB696" s="407"/>
      <c r="DC696" s="407"/>
      <c r="DD696" s="407"/>
      <c r="DE696" s="407"/>
      <c r="DF696" s="407"/>
      <c r="DG696" s="407"/>
      <c r="DH696" s="407"/>
      <c r="DI696" s="407"/>
      <c r="DJ696" s="407"/>
      <c r="DK696" s="407">
        <v>0</v>
      </c>
      <c r="DL696" s="407"/>
      <c r="DM696" s="407"/>
      <c r="DN696" s="407"/>
      <c r="DO696" s="407"/>
      <c r="DP696" s="407"/>
      <c r="DQ696" s="407"/>
      <c r="DR696" s="407"/>
      <c r="DS696" s="407"/>
      <c r="DT696" s="407"/>
      <c r="DU696" s="407"/>
      <c r="DV696" s="407"/>
      <c r="DW696" s="407"/>
      <c r="DX696" s="407"/>
      <c r="DY696" s="407"/>
      <c r="DZ696" s="407"/>
      <c r="EA696" s="407"/>
      <c r="EB696" s="407"/>
      <c r="EC696" s="407"/>
      <c r="ED696" s="407"/>
      <c r="EE696" s="407"/>
      <c r="EF696" s="407"/>
      <c r="EG696" s="407"/>
      <c r="EH696" s="407"/>
      <c r="EI696" s="407"/>
      <c r="EJ696" s="407"/>
      <c r="EK696" s="407"/>
      <c r="EL696" s="407"/>
      <c r="EM696" s="407"/>
      <c r="EN696" s="407"/>
      <c r="EO696" s="407"/>
      <c r="EP696" s="407"/>
      <c r="EQ696" s="407"/>
      <c r="ER696" s="407"/>
      <c r="ES696" s="407"/>
      <c r="ET696" s="407"/>
      <c r="EU696" s="407"/>
      <c r="EV696" s="407">
        <v>246</v>
      </c>
      <c r="EW696" s="407"/>
      <c r="EX696" s="407"/>
      <c r="EY696" s="407"/>
      <c r="EZ696" s="407"/>
      <c r="FA696" s="407">
        <v>0</v>
      </c>
      <c r="FB696" s="407"/>
      <c r="FC696" s="407"/>
      <c r="FD696" s="407"/>
      <c r="FE696" s="407"/>
      <c r="FF696" s="407">
        <v>0</v>
      </c>
      <c r="FG696" s="407">
        <v>0</v>
      </c>
      <c r="FH696" s="407">
        <v>0</v>
      </c>
      <c r="FI696" s="407">
        <v>0</v>
      </c>
    </row>
    <row r="697" spans="1:165">
      <c r="A697" s="407">
        <v>724</v>
      </c>
      <c r="B697" s="407" t="s">
        <v>1090</v>
      </c>
      <c r="C697" s="407" t="s">
        <v>2306</v>
      </c>
      <c r="D697" s="407" t="s">
        <v>2315</v>
      </c>
      <c r="E697" s="407" t="s">
        <v>1026</v>
      </c>
      <c r="F697" s="407" t="s">
        <v>2326</v>
      </c>
      <c r="G697" s="407" t="s">
        <v>2324</v>
      </c>
      <c r="H697" s="407" t="s">
        <v>97</v>
      </c>
      <c r="I697" s="407" t="s">
        <v>97</v>
      </c>
      <c r="J697" s="407" t="s">
        <v>2307</v>
      </c>
      <c r="K697" s="818">
        <v>44682</v>
      </c>
      <c r="L697" s="407">
        <v>0</v>
      </c>
      <c r="M697" s="407">
        <v>0</v>
      </c>
      <c r="N697" s="407">
        <v>4.5650000000000004</v>
      </c>
      <c r="O697" s="407">
        <v>4.5650000000000004</v>
      </c>
      <c r="P697" s="407">
        <v>4.5650000000000004</v>
      </c>
      <c r="Q697" s="407">
        <v>4.5650000000000004</v>
      </c>
      <c r="R697" s="407"/>
      <c r="S697" s="407">
        <v>648.44000000000005</v>
      </c>
      <c r="T697" s="407">
        <v>159.41</v>
      </c>
      <c r="U697" s="407"/>
      <c r="V697" s="407">
        <v>3687.8352500000005</v>
      </c>
      <c r="W697" s="407">
        <v>3687.8352500000005</v>
      </c>
      <c r="X697" s="407">
        <v>2792.9583000000002</v>
      </c>
      <c r="Y697" s="407">
        <v>0</v>
      </c>
      <c r="Z697" s="407">
        <v>282.89419412598062</v>
      </c>
      <c r="AA697" s="407">
        <v>0</v>
      </c>
      <c r="AB697" s="407">
        <v>0</v>
      </c>
      <c r="AC697" s="407">
        <v>0</v>
      </c>
      <c r="AD697" s="407">
        <v>532.48180565739654</v>
      </c>
      <c r="AE697" s="407">
        <v>1906.0974479430067</v>
      </c>
      <c r="AF697" s="407">
        <v>704.06322179534254</v>
      </c>
      <c r="AG697" s="407">
        <v>23.654676141975393</v>
      </c>
      <c r="AH697" s="407">
        <v>0</v>
      </c>
      <c r="AI697" s="407">
        <v>0</v>
      </c>
      <c r="AJ697" s="407">
        <v>0</v>
      </c>
      <c r="AK697" s="407">
        <v>0</v>
      </c>
      <c r="AL697" s="407">
        <v>43.71469267613783</v>
      </c>
      <c r="AM697" s="407"/>
      <c r="AN697" s="407">
        <v>9.4728115987837125</v>
      </c>
      <c r="AO697" s="407">
        <v>0</v>
      </c>
      <c r="AP697" s="407">
        <v>0</v>
      </c>
      <c r="AQ697" s="407">
        <v>0</v>
      </c>
      <c r="AR697" s="407">
        <v>0</v>
      </c>
      <c r="AS697" s="407">
        <v>0</v>
      </c>
      <c r="AT697" s="407">
        <v>0</v>
      </c>
      <c r="AU697" s="407">
        <v>0</v>
      </c>
      <c r="AV697" s="407">
        <v>0</v>
      </c>
      <c r="AW697" s="407">
        <v>0</v>
      </c>
      <c r="AX697" s="407">
        <v>0</v>
      </c>
      <c r="AY697" s="407">
        <v>0</v>
      </c>
      <c r="AZ697" s="407">
        <v>0</v>
      </c>
      <c r="BA697" s="407"/>
      <c r="BB697" s="407">
        <v>0</v>
      </c>
      <c r="BC697" s="407">
        <v>0</v>
      </c>
      <c r="BD697" s="407">
        <v>0</v>
      </c>
      <c r="BE697" s="407">
        <v>0</v>
      </c>
      <c r="BF697" s="407">
        <v>0</v>
      </c>
      <c r="BG697" s="407">
        <v>51.464773272501048</v>
      </c>
      <c r="BH697" s="407">
        <v>0</v>
      </c>
      <c r="BI697" s="407">
        <v>0</v>
      </c>
      <c r="BJ697" s="407">
        <v>0</v>
      </c>
      <c r="BK697" s="407">
        <v>0</v>
      </c>
      <c r="BL697" s="407">
        <v>0</v>
      </c>
      <c r="BM697" s="407"/>
      <c r="BN697" s="407"/>
      <c r="BO697" s="407"/>
      <c r="BP697" s="407"/>
      <c r="BQ697" s="407"/>
      <c r="BR697" s="407">
        <v>335.16230000000007</v>
      </c>
      <c r="BS697" s="407"/>
      <c r="BT697" s="407"/>
      <c r="BU697" s="407"/>
      <c r="BV697" s="407">
        <v>755.52799506784356</v>
      </c>
      <c r="BW697" s="407"/>
      <c r="BX697" s="407"/>
      <c r="BY697" s="407"/>
      <c r="BZ697" s="407"/>
      <c r="CA697" s="407"/>
      <c r="CB697" s="407"/>
      <c r="CC697" s="407"/>
      <c r="CD697" s="407"/>
      <c r="CE697" s="407"/>
      <c r="CF697" s="407"/>
      <c r="CG697" s="407"/>
      <c r="CH697" s="407"/>
      <c r="CI697" s="407">
        <v>2460.4880000000003</v>
      </c>
      <c r="CJ697" s="407">
        <v>-784.84615000000076</v>
      </c>
      <c r="CK697" s="407"/>
      <c r="CL697" s="407"/>
      <c r="CM697" s="407"/>
      <c r="CN697" s="407"/>
      <c r="CO697" s="407">
        <v>-1020.2775000000004</v>
      </c>
      <c r="CP697" s="407">
        <v>125.40055000000001</v>
      </c>
      <c r="CQ697" s="407">
        <v>31</v>
      </c>
      <c r="CR697" s="407">
        <v>78.764592241480614</v>
      </c>
      <c r="CS697" s="407">
        <v>0</v>
      </c>
      <c r="CT697" s="407">
        <v>0</v>
      </c>
      <c r="CU697" s="407">
        <v>0</v>
      </c>
      <c r="CV697" s="407">
        <v>0</v>
      </c>
      <c r="CW697" s="407">
        <v>0</v>
      </c>
      <c r="CX697" s="407">
        <v>0</v>
      </c>
      <c r="CY697" s="407">
        <v>0</v>
      </c>
      <c r="CZ697" s="407">
        <v>24.053258971812056</v>
      </c>
      <c r="DA697" s="407">
        <v>0</v>
      </c>
      <c r="DB697" s="407">
        <v>0</v>
      </c>
      <c r="DC697" s="407">
        <v>139.5967237644104</v>
      </c>
      <c r="DD697" s="407">
        <v>0</v>
      </c>
      <c r="DE697" s="407">
        <v>0</v>
      </c>
      <c r="DF697" s="407">
        <v>0</v>
      </c>
      <c r="DG697" s="407">
        <v>10.204074741753395</v>
      </c>
      <c r="DH697" s="407">
        <v>0</v>
      </c>
      <c r="DI697" s="407">
        <v>-19.81446743514789</v>
      </c>
      <c r="DJ697" s="407"/>
      <c r="DK697" s="407">
        <v>0</v>
      </c>
      <c r="DL697" s="407">
        <v>0</v>
      </c>
      <c r="DM697" s="407">
        <v>0</v>
      </c>
      <c r="DN697" s="407">
        <v>0</v>
      </c>
      <c r="DO697" s="407">
        <v>-2.667093591597137</v>
      </c>
      <c r="DP697" s="407">
        <v>-0.6035846857846785</v>
      </c>
      <c r="DQ697" s="407">
        <v>0</v>
      </c>
      <c r="DR697" s="407">
        <v>-72.004319523965506</v>
      </c>
      <c r="DS697" s="407"/>
      <c r="DT697" s="407"/>
      <c r="DU697" s="407"/>
      <c r="DV697" s="407">
        <v>1906.0974479430067</v>
      </c>
      <c r="DW697" s="407">
        <v>0</v>
      </c>
      <c r="DX697" s="407">
        <v>0</v>
      </c>
      <c r="DY697" s="407">
        <v>-1020.2775000000004</v>
      </c>
      <c r="DZ697" s="407">
        <v>125.40054999999995</v>
      </c>
      <c r="EA697" s="407">
        <v>0</v>
      </c>
      <c r="EB697" s="407">
        <v>0</v>
      </c>
      <c r="EC697" s="407">
        <v>-973.63900355573765</v>
      </c>
      <c r="ED697" s="407">
        <v>0</v>
      </c>
      <c r="EE697" s="407">
        <v>0</v>
      </c>
      <c r="EF697" s="407">
        <v>0</v>
      </c>
      <c r="EG697" s="407">
        <v>0</v>
      </c>
      <c r="EH697" s="407">
        <v>0</v>
      </c>
      <c r="EI697" s="407">
        <v>0</v>
      </c>
      <c r="EJ697" s="407">
        <v>0</v>
      </c>
      <c r="EK697" s="407">
        <v>0</v>
      </c>
      <c r="EL697" s="407">
        <v>0</v>
      </c>
      <c r="EM697" s="407">
        <v>0</v>
      </c>
      <c r="EN697" s="407">
        <v>0</v>
      </c>
      <c r="EO697" s="407">
        <v>0</v>
      </c>
      <c r="EP697" s="407">
        <v>134.00192172468965</v>
      </c>
      <c r="EQ697" s="407">
        <v>0</v>
      </c>
      <c r="ER697" s="407">
        <v>0</v>
      </c>
      <c r="ES697" s="407">
        <v>0</v>
      </c>
      <c r="ET697" s="407">
        <v>0</v>
      </c>
      <c r="EU697" s="407">
        <v>0</v>
      </c>
      <c r="EV697" s="407">
        <v>246</v>
      </c>
      <c r="EW697" s="407">
        <v>0</v>
      </c>
      <c r="EX697" s="407">
        <v>0</v>
      </c>
      <c r="EY697" s="407">
        <v>0</v>
      </c>
      <c r="EZ697" s="407"/>
      <c r="FA697" s="407">
        <v>0</v>
      </c>
      <c r="FB697" s="407"/>
      <c r="FC697" s="407"/>
      <c r="FD697" s="407"/>
      <c r="FE697" s="407"/>
      <c r="FF697" s="407">
        <v>0</v>
      </c>
      <c r="FG697" s="407">
        <v>0</v>
      </c>
      <c r="FH697" s="407">
        <v>0</v>
      </c>
      <c r="FI697" s="407">
        <v>0</v>
      </c>
    </row>
    <row r="698" spans="1:165">
      <c r="A698" s="407">
        <v>725</v>
      </c>
      <c r="B698" s="407" t="s">
        <v>1090</v>
      </c>
      <c r="C698" s="407" t="s">
        <v>2306</v>
      </c>
      <c r="D698" s="407" t="s">
        <v>2315</v>
      </c>
      <c r="E698" s="407" t="s">
        <v>1026</v>
      </c>
      <c r="F698" s="407" t="s">
        <v>2326</v>
      </c>
      <c r="G698" s="407" t="s">
        <v>2325</v>
      </c>
      <c r="H698" s="407" t="s">
        <v>97</v>
      </c>
      <c r="I698" s="407" t="s">
        <v>97</v>
      </c>
      <c r="J698" s="407" t="s">
        <v>2307</v>
      </c>
      <c r="K698" s="818">
        <v>44682</v>
      </c>
      <c r="L698" s="407">
        <v>0</v>
      </c>
      <c r="M698" s="407">
        <v>0</v>
      </c>
      <c r="N698" s="407">
        <v>4.5609999999999999</v>
      </c>
      <c r="O698" s="407">
        <v>1.8244</v>
      </c>
      <c r="P698" s="407">
        <v>4.5609999999999999</v>
      </c>
      <c r="Q698" s="407">
        <v>1.8244</v>
      </c>
      <c r="R698" s="407"/>
      <c r="S698" s="407">
        <v>648.44000000000005</v>
      </c>
      <c r="T698" s="407">
        <v>159.41</v>
      </c>
      <c r="U698" s="407"/>
      <c r="V698" s="407">
        <v>3684.6038500000004</v>
      </c>
      <c r="W698" s="407">
        <v>3684.6038500000004</v>
      </c>
      <c r="X698" s="407">
        <v>2790.5110199999999</v>
      </c>
      <c r="Y698" s="407">
        <v>0</v>
      </c>
      <c r="Z698" s="407">
        <v>282.64631312346057</v>
      </c>
      <c r="AA698" s="407">
        <v>0</v>
      </c>
      <c r="AB698" s="407">
        <v>0</v>
      </c>
      <c r="AC698" s="407">
        <v>0</v>
      </c>
      <c r="AD698" s="407">
        <v>532.01522795254891</v>
      </c>
      <c r="AE698" s="407">
        <v>1904.4272639798583</v>
      </c>
      <c r="AF698" s="407">
        <v>703.44629892849014</v>
      </c>
      <c r="AG698" s="407">
        <v>23.63394915302295</v>
      </c>
      <c r="AH698" s="407">
        <v>0</v>
      </c>
      <c r="AI698" s="407">
        <v>0</v>
      </c>
      <c r="AJ698" s="407">
        <v>0</v>
      </c>
      <c r="AK698" s="407">
        <v>0</v>
      </c>
      <c r="AL698" s="407">
        <v>43.676388454734855</v>
      </c>
      <c r="AM698" s="407"/>
      <c r="AN698" s="407">
        <v>9.4645112162217995</v>
      </c>
      <c r="AO698" s="407">
        <v>0</v>
      </c>
      <c r="AP698" s="407">
        <v>0</v>
      </c>
      <c r="AQ698" s="407">
        <v>0</v>
      </c>
      <c r="AR698" s="407">
        <v>0</v>
      </c>
      <c r="AS698" s="407">
        <v>0</v>
      </c>
      <c r="AT698" s="407">
        <v>0</v>
      </c>
      <c r="AU698" s="407">
        <v>0</v>
      </c>
      <c r="AV698" s="407">
        <v>0</v>
      </c>
      <c r="AW698" s="407">
        <v>0</v>
      </c>
      <c r="AX698" s="407">
        <v>0</v>
      </c>
      <c r="AY698" s="407">
        <v>0</v>
      </c>
      <c r="AZ698" s="407">
        <v>0</v>
      </c>
      <c r="BA698" s="407"/>
      <c r="BB698" s="407">
        <v>0</v>
      </c>
      <c r="BC698" s="407">
        <v>0</v>
      </c>
      <c r="BD698" s="407">
        <v>0</v>
      </c>
      <c r="BE698" s="407">
        <v>0</v>
      </c>
      <c r="BF698" s="407">
        <v>0</v>
      </c>
      <c r="BG698" s="407">
        <v>51.419678180915064</v>
      </c>
      <c r="BH698" s="407">
        <v>0</v>
      </c>
      <c r="BI698" s="407">
        <v>0</v>
      </c>
      <c r="BJ698" s="407">
        <v>0</v>
      </c>
      <c r="BK698" s="407">
        <v>0</v>
      </c>
      <c r="BL698" s="407">
        <v>0</v>
      </c>
      <c r="BM698" s="407"/>
      <c r="BN698" s="407"/>
      <c r="BO698" s="407"/>
      <c r="BP698" s="407"/>
      <c r="BQ698" s="407"/>
      <c r="BR698" s="407"/>
      <c r="BS698" s="407">
        <v>1808.25406</v>
      </c>
      <c r="BT698" s="407"/>
      <c r="BU698" s="407"/>
      <c r="BV698" s="407">
        <v>754.86597710940521</v>
      </c>
      <c r="BW698" s="407"/>
      <c r="BX698" s="407"/>
      <c r="BY698" s="407"/>
      <c r="BZ698" s="407"/>
      <c r="CA698" s="407"/>
      <c r="CB698" s="407"/>
      <c r="CC698" s="407"/>
      <c r="CD698" s="407"/>
      <c r="CE698" s="407"/>
      <c r="CF698" s="407"/>
      <c r="CG698" s="407"/>
      <c r="CH698" s="407"/>
      <c r="CI698" s="407">
        <v>979.88800000000003</v>
      </c>
      <c r="CJ698" s="407">
        <v>-317.12620400000003</v>
      </c>
      <c r="CK698" s="407"/>
      <c r="CL698" s="407"/>
      <c r="CM698" s="407"/>
      <c r="CN698" s="407"/>
      <c r="CO698" s="407">
        <v>-1019.3835000000003</v>
      </c>
      <c r="CP698" s="407">
        <v>125.29066999999999</v>
      </c>
      <c r="CQ698" s="407">
        <v>31</v>
      </c>
      <c r="CR698" s="407">
        <v>78.695576169417336</v>
      </c>
      <c r="CS698" s="407">
        <v>0</v>
      </c>
      <c r="CT698" s="407">
        <v>0</v>
      </c>
      <c r="CU698" s="407">
        <v>0</v>
      </c>
      <c r="CV698" s="407">
        <v>0</v>
      </c>
      <c r="CW698" s="407">
        <v>0</v>
      </c>
      <c r="CX698" s="407">
        <v>0</v>
      </c>
      <c r="CY698" s="407">
        <v>0</v>
      </c>
      <c r="CZ698" s="407">
        <v>24.032182731749003</v>
      </c>
      <c r="DA698" s="407">
        <v>0</v>
      </c>
      <c r="DB698" s="407">
        <v>0</v>
      </c>
      <c r="DC698" s="407">
        <v>139.47440461981932</v>
      </c>
      <c r="DD698" s="407">
        <v>0</v>
      </c>
      <c r="DE698" s="407">
        <v>0</v>
      </c>
      <c r="DF698" s="407">
        <v>0</v>
      </c>
      <c r="DG698" s="407">
        <v>10.19513360287781</v>
      </c>
      <c r="DH698" s="407">
        <v>0</v>
      </c>
      <c r="DI698" s="407">
        <v>-19.79710536072497</v>
      </c>
      <c r="DJ698" s="407"/>
      <c r="DK698" s="407">
        <v>0</v>
      </c>
      <c r="DL698" s="407">
        <v>0</v>
      </c>
      <c r="DM698" s="407">
        <v>0</v>
      </c>
      <c r="DN698" s="407">
        <v>0</v>
      </c>
      <c r="DO698" s="407">
        <v>-2.664756598307676</v>
      </c>
      <c r="DP698" s="407">
        <v>-0.60305580544664394</v>
      </c>
      <c r="DQ698" s="407">
        <v>0</v>
      </c>
      <c r="DR698" s="407">
        <v>-71.941227020549093</v>
      </c>
      <c r="DS698" s="407"/>
      <c r="DT698" s="407"/>
      <c r="DU698" s="407"/>
      <c r="DV698" s="407">
        <v>1904.4272639798583</v>
      </c>
      <c r="DW698" s="407">
        <v>0</v>
      </c>
      <c r="DX698" s="407">
        <v>0</v>
      </c>
      <c r="DY698" s="407">
        <v>-1019.3835000000004</v>
      </c>
      <c r="DZ698" s="407">
        <v>125.29066999999998</v>
      </c>
      <c r="EA698" s="407">
        <v>0</v>
      </c>
      <c r="EB698" s="407">
        <v>0</v>
      </c>
      <c r="EC698" s="407">
        <v>-972.7858697081532</v>
      </c>
      <c r="ED698" s="407">
        <v>0</v>
      </c>
      <c r="EE698" s="407">
        <v>0</v>
      </c>
      <c r="EF698" s="407">
        <v>0</v>
      </c>
      <c r="EG698" s="407">
        <v>0</v>
      </c>
      <c r="EH698" s="407">
        <v>0</v>
      </c>
      <c r="EI698" s="407">
        <v>0</v>
      </c>
      <c r="EJ698" s="407">
        <v>0</v>
      </c>
      <c r="EK698" s="407">
        <v>0</v>
      </c>
      <c r="EL698" s="407">
        <v>0</v>
      </c>
      <c r="EM698" s="407">
        <v>0</v>
      </c>
      <c r="EN698" s="407">
        <v>0</v>
      </c>
      <c r="EO698" s="407">
        <v>0</v>
      </c>
      <c r="EP698" s="407">
        <v>133.88450492580711</v>
      </c>
      <c r="EQ698" s="407">
        <v>0</v>
      </c>
      <c r="ER698" s="407">
        <v>0</v>
      </c>
      <c r="ES698" s="407">
        <v>0</v>
      </c>
      <c r="ET698" s="407">
        <v>0</v>
      </c>
      <c r="EU698" s="407">
        <v>0</v>
      </c>
      <c r="EV698" s="407">
        <v>246</v>
      </c>
      <c r="EW698" s="407">
        <v>0</v>
      </c>
      <c r="EX698" s="407">
        <v>0</v>
      </c>
      <c r="EY698" s="407">
        <v>0</v>
      </c>
      <c r="EZ698" s="407"/>
      <c r="FA698" s="407">
        <v>0</v>
      </c>
      <c r="FB698" s="407"/>
      <c r="FC698" s="407"/>
      <c r="FD698" s="407"/>
      <c r="FE698" s="407"/>
      <c r="FF698" s="407">
        <v>0</v>
      </c>
      <c r="FG698" s="407">
        <v>0</v>
      </c>
      <c r="FH698" s="407">
        <v>0</v>
      </c>
      <c r="FI698" s="407">
        <v>0</v>
      </c>
    </row>
    <row r="699" spans="1:165">
      <c r="A699" s="407">
        <v>726</v>
      </c>
      <c r="B699" s="407" t="s">
        <v>1090</v>
      </c>
      <c r="C699" s="407" t="s">
        <v>2306</v>
      </c>
      <c r="D699" s="407" t="s">
        <v>1218</v>
      </c>
      <c r="E699" s="407" t="s">
        <v>1021</v>
      </c>
      <c r="F699" s="407" t="s">
        <v>1021</v>
      </c>
      <c r="G699" s="407" t="s">
        <v>97</v>
      </c>
      <c r="H699" s="407" t="s">
        <v>97</v>
      </c>
      <c r="I699" s="407" t="s">
        <v>97</v>
      </c>
      <c r="J699" s="407" t="s">
        <v>2307</v>
      </c>
      <c r="K699" s="818">
        <v>44713</v>
      </c>
      <c r="L699" s="407">
        <v>0</v>
      </c>
      <c r="M699" s="407">
        <v>0</v>
      </c>
      <c r="N699" s="407">
        <v>1108.6780000000001</v>
      </c>
      <c r="O699" s="407">
        <v>1108.6780000000001</v>
      </c>
      <c r="P699" s="407">
        <v>1108.6780000000001</v>
      </c>
      <c r="Q699" s="407">
        <v>1108.6780000000001</v>
      </c>
      <c r="R699" s="407"/>
      <c r="S699" s="407">
        <v>648.44000000000005</v>
      </c>
      <c r="T699" s="407">
        <v>159.41</v>
      </c>
      <c r="U699" s="407"/>
      <c r="V699" s="407">
        <v>895645.52230000007</v>
      </c>
      <c r="W699" s="407">
        <v>895645.52230000007</v>
      </c>
      <c r="X699" s="407">
        <v>678311.37396000011</v>
      </c>
      <c r="Y699" s="407">
        <v>0</v>
      </c>
      <c r="Z699" s="407">
        <v>68705.053527974582</v>
      </c>
      <c r="AA699" s="407">
        <v>0</v>
      </c>
      <c r="AB699" s="407">
        <v>0</v>
      </c>
      <c r="AC699" s="407">
        <v>0</v>
      </c>
      <c r="AD699" s="407">
        <v>129321.10916377461</v>
      </c>
      <c r="AE699" s="407">
        <v>462924.05397383502</v>
      </c>
      <c r="AF699" s="407">
        <v>170992.20254405626</v>
      </c>
      <c r="AG699" s="407">
        <v>5744.8891644541063</v>
      </c>
      <c r="AH699" s="407">
        <v>0</v>
      </c>
      <c r="AI699" s="407">
        <v>0</v>
      </c>
      <c r="AJ699" s="407">
        <v>0</v>
      </c>
      <c r="AK699" s="407">
        <v>0</v>
      </c>
      <c r="AL699" s="407">
        <v>10616.761894150084</v>
      </c>
      <c r="AM699" s="407"/>
      <c r="AN699" s="407">
        <v>2300.6128844942673</v>
      </c>
      <c r="AO699" s="407">
        <v>0</v>
      </c>
      <c r="AP699" s="407">
        <v>0</v>
      </c>
      <c r="AQ699" s="407">
        <v>0</v>
      </c>
      <c r="AR699" s="407">
        <v>0</v>
      </c>
      <c r="AS699" s="407">
        <v>0</v>
      </c>
      <c r="AT699" s="407">
        <v>0</v>
      </c>
      <c r="AU699" s="407">
        <v>0</v>
      </c>
      <c r="AV699" s="407">
        <v>0</v>
      </c>
      <c r="AW699" s="407">
        <v>0</v>
      </c>
      <c r="AX699" s="407">
        <v>0</v>
      </c>
      <c r="AY699" s="407">
        <v>0</v>
      </c>
      <c r="AZ699" s="407">
        <v>0</v>
      </c>
      <c r="BA699" s="407"/>
      <c r="BB699" s="407">
        <v>0</v>
      </c>
      <c r="BC699" s="407">
        <v>0</v>
      </c>
      <c r="BD699" s="407">
        <v>0</v>
      </c>
      <c r="BE699" s="407">
        <v>0</v>
      </c>
      <c r="BF699" s="407">
        <v>0</v>
      </c>
      <c r="BG699" s="407">
        <v>12498.983987340618</v>
      </c>
      <c r="BH699" s="407">
        <v>0</v>
      </c>
      <c r="BI699" s="407">
        <v>1683.48</v>
      </c>
      <c r="BJ699" s="407">
        <v>7914.65</v>
      </c>
      <c r="BK699" s="407">
        <v>224768.02</v>
      </c>
      <c r="BL699" s="407">
        <v>6996</v>
      </c>
      <c r="BM699" s="407"/>
      <c r="BN699" s="407"/>
      <c r="BO699" s="407"/>
      <c r="BP699" s="407"/>
      <c r="BQ699" s="407"/>
      <c r="BR699" s="407"/>
      <c r="BS699" s="407"/>
      <c r="BT699" s="407"/>
      <c r="BU699" s="407"/>
      <c r="BV699" s="407">
        <v>183491.18653139687</v>
      </c>
      <c r="BW699" s="407"/>
      <c r="BX699" s="407"/>
      <c r="BY699" s="407"/>
      <c r="BZ699" s="407"/>
      <c r="CA699" s="407"/>
      <c r="CB699" s="407"/>
      <c r="CC699" s="407"/>
      <c r="CD699" s="407"/>
      <c r="CE699" s="407"/>
      <c r="CF699" s="407"/>
      <c r="CG699" s="407"/>
      <c r="CH699" s="407"/>
      <c r="CI699" s="407">
        <v>678312.59759999998</v>
      </c>
      <c r="CJ699" s="407">
        <v>-217332.95470000012</v>
      </c>
      <c r="CK699" s="407"/>
      <c r="CL699" s="407"/>
      <c r="CM699" s="407"/>
      <c r="CN699" s="407"/>
      <c r="CO699" s="407">
        <v>-247789.53300000008</v>
      </c>
      <c r="CP699" s="407">
        <v>30455.384660000003</v>
      </c>
      <c r="CQ699" s="407">
        <v>30</v>
      </c>
      <c r="CR699" s="407">
        <v>19129.150185564125</v>
      </c>
      <c r="CS699" s="407">
        <v>0</v>
      </c>
      <c r="CT699" s="407">
        <v>0</v>
      </c>
      <c r="CU699" s="407">
        <v>0</v>
      </c>
      <c r="CV699" s="407">
        <v>0</v>
      </c>
      <c r="CW699" s="407">
        <v>0</v>
      </c>
      <c r="CX699" s="407">
        <v>0</v>
      </c>
      <c r="CY699" s="407">
        <v>0</v>
      </c>
      <c r="CZ699" s="407">
        <v>5841.690920120629</v>
      </c>
      <c r="DA699" s="407">
        <v>0</v>
      </c>
      <c r="DB699" s="407">
        <v>0</v>
      </c>
      <c r="DC699" s="407">
        <v>33903.136146698555</v>
      </c>
      <c r="DD699" s="407">
        <v>0</v>
      </c>
      <c r="DE699" s="407">
        <v>0</v>
      </c>
      <c r="DF699" s="407">
        <v>0</v>
      </c>
      <c r="DG699" s="407">
        <v>2478.2109915745168</v>
      </c>
      <c r="DH699" s="407">
        <v>0</v>
      </c>
      <c r="DI699" s="407">
        <v>-4812.2374867612016</v>
      </c>
      <c r="DJ699" s="407"/>
      <c r="DK699" s="407">
        <v>0</v>
      </c>
      <c r="DL699" s="407">
        <v>0</v>
      </c>
      <c r="DM699" s="407">
        <v>0</v>
      </c>
      <c r="DN699" s="407">
        <v>0</v>
      </c>
      <c r="DO699" s="407">
        <v>-647.74326154320443</v>
      </c>
      <c r="DP699" s="407">
        <v>-146.58949885353513</v>
      </c>
      <c r="DQ699" s="407">
        <v>0</v>
      </c>
      <c r="DR699" s="407">
        <v>-17487.31762567164</v>
      </c>
      <c r="DS699" s="407"/>
      <c r="DT699" s="407"/>
      <c r="DU699" s="407"/>
      <c r="DV699" s="407">
        <v>462924.05397383502</v>
      </c>
      <c r="DW699" s="407">
        <v>0</v>
      </c>
      <c r="DX699" s="407">
        <v>0</v>
      </c>
      <c r="DY699" s="407">
        <v>-247789.53300000005</v>
      </c>
      <c r="DZ699" s="407">
        <v>30455.384660000011</v>
      </c>
      <c r="EA699" s="407">
        <v>0</v>
      </c>
      <c r="EB699" s="407">
        <v>0</v>
      </c>
      <c r="EC699" s="407">
        <v>-236462.68196805436</v>
      </c>
      <c r="ED699" s="407">
        <v>0</v>
      </c>
      <c r="EE699" s="407">
        <v>0</v>
      </c>
      <c r="EF699" s="407">
        <v>0</v>
      </c>
      <c r="EG699" s="407">
        <v>0</v>
      </c>
      <c r="EH699" s="407">
        <v>0</v>
      </c>
      <c r="EI699" s="407">
        <v>0</v>
      </c>
      <c r="EJ699" s="407">
        <v>0</v>
      </c>
      <c r="EK699" s="407">
        <v>0</v>
      </c>
      <c r="EL699" s="407">
        <v>0</v>
      </c>
      <c r="EM699" s="407">
        <v>0</v>
      </c>
      <c r="EN699" s="407">
        <v>0</v>
      </c>
      <c r="EO699" s="407">
        <v>0</v>
      </c>
      <c r="EP699" s="407">
        <v>32544.35543787196</v>
      </c>
      <c r="EQ699" s="407">
        <v>0</v>
      </c>
      <c r="ER699" s="407">
        <v>0</v>
      </c>
      <c r="ES699" s="407">
        <v>0</v>
      </c>
      <c r="ET699" s="407">
        <v>0</v>
      </c>
      <c r="EU699" s="407">
        <v>0</v>
      </c>
      <c r="EV699" s="407">
        <v>246</v>
      </c>
      <c r="EW699" s="407">
        <v>0</v>
      </c>
      <c r="EX699" s="407">
        <v>0</v>
      </c>
      <c r="EY699" s="407">
        <v>0</v>
      </c>
      <c r="EZ699" s="407"/>
      <c r="FA699" s="407">
        <v>0</v>
      </c>
      <c r="FB699" s="407"/>
      <c r="FC699" s="407"/>
      <c r="FD699" s="407"/>
      <c r="FE699" s="407"/>
      <c r="FF699" s="407">
        <v>0</v>
      </c>
      <c r="FG699" s="407">
        <v>0</v>
      </c>
      <c r="FH699" s="407">
        <v>0</v>
      </c>
      <c r="FI699" s="407">
        <v>0</v>
      </c>
    </row>
    <row r="700" spans="1:165">
      <c r="A700" s="407">
        <v>727</v>
      </c>
      <c r="B700" s="407" t="s">
        <v>2308</v>
      </c>
      <c r="C700" s="407" t="s">
        <v>2306</v>
      </c>
      <c r="D700" s="407" t="s">
        <v>1218</v>
      </c>
      <c r="E700" s="407" t="s">
        <v>1021</v>
      </c>
      <c r="F700" s="407" t="s">
        <v>1021</v>
      </c>
      <c r="G700" s="407" t="s">
        <v>97</v>
      </c>
      <c r="H700" s="407" t="s">
        <v>97</v>
      </c>
      <c r="I700" s="407" t="s">
        <v>97</v>
      </c>
      <c r="J700" s="407" t="s">
        <v>2307</v>
      </c>
      <c r="K700" s="818">
        <v>44713</v>
      </c>
      <c r="L700" s="407">
        <v>0</v>
      </c>
      <c r="M700" s="407">
        <v>0</v>
      </c>
      <c r="N700" s="407">
        <v>-0.79800000000000004</v>
      </c>
      <c r="O700" s="407">
        <v>-0.79800000000000004</v>
      </c>
      <c r="P700" s="407">
        <v>-0.79800000000000004</v>
      </c>
      <c r="Q700" s="407">
        <v>-0.79800000000000004</v>
      </c>
      <c r="R700" s="407"/>
      <c r="S700" s="407">
        <v>648.44000000000005</v>
      </c>
      <c r="T700" s="407">
        <v>159.41</v>
      </c>
      <c r="U700" s="407"/>
      <c r="V700" s="407">
        <v>-644.66430000000014</v>
      </c>
      <c r="W700" s="407">
        <v>-644.66430000000014</v>
      </c>
      <c r="X700" s="407">
        <v>-488.23236000000003</v>
      </c>
      <c r="Y700" s="407">
        <v>0</v>
      </c>
      <c r="Z700" s="407">
        <v>-49.452260002745355</v>
      </c>
      <c r="AA700" s="407">
        <v>0</v>
      </c>
      <c r="AB700" s="407">
        <v>0</v>
      </c>
      <c r="AC700" s="407">
        <v>0</v>
      </c>
      <c r="AD700" s="407">
        <v>-93.082252117108979</v>
      </c>
      <c r="AE700" s="407">
        <v>-333.20170064808747</v>
      </c>
      <c r="AF700" s="407">
        <v>-123.07611193706099</v>
      </c>
      <c r="AG700" s="407">
        <v>-4.1350342960123472</v>
      </c>
      <c r="AH700" s="407">
        <v>0</v>
      </c>
      <c r="AI700" s="407">
        <v>0</v>
      </c>
      <c r="AJ700" s="407">
        <v>0</v>
      </c>
      <c r="AK700" s="407">
        <v>0</v>
      </c>
      <c r="AL700" s="407">
        <v>-7.6416921698922211</v>
      </c>
      <c r="AM700" s="407"/>
      <c r="AN700" s="407">
        <v>-1.6559263211017312</v>
      </c>
      <c r="AO700" s="407">
        <v>0</v>
      </c>
      <c r="AP700" s="407">
        <v>0</v>
      </c>
      <c r="AQ700" s="407">
        <v>0</v>
      </c>
      <c r="AR700" s="407">
        <v>0</v>
      </c>
      <c r="AS700" s="407">
        <v>0</v>
      </c>
      <c r="AT700" s="407">
        <v>0</v>
      </c>
      <c r="AU700" s="407">
        <v>0</v>
      </c>
      <c r="AV700" s="407">
        <v>0</v>
      </c>
      <c r="AW700" s="407">
        <v>0</v>
      </c>
      <c r="AX700" s="407">
        <v>0</v>
      </c>
      <c r="AY700" s="407">
        <v>0</v>
      </c>
      <c r="AZ700" s="407">
        <v>0</v>
      </c>
      <c r="BA700" s="407"/>
      <c r="BB700" s="407">
        <v>0</v>
      </c>
      <c r="BC700" s="407">
        <v>0</v>
      </c>
      <c r="BD700" s="407">
        <v>0</v>
      </c>
      <c r="BE700" s="407">
        <v>0</v>
      </c>
      <c r="BF700" s="407">
        <v>0</v>
      </c>
      <c r="BG700" s="407">
        <v>-8.996470771403251</v>
      </c>
      <c r="BH700" s="407">
        <v>0</v>
      </c>
      <c r="BI700" s="407">
        <v>-0.32</v>
      </c>
      <c r="BJ700" s="407">
        <v>-1.43</v>
      </c>
      <c r="BK700" s="407">
        <v>-160.85</v>
      </c>
      <c r="BL700" s="407">
        <v>0</v>
      </c>
      <c r="BM700" s="407"/>
      <c r="BN700" s="407"/>
      <c r="BO700" s="407"/>
      <c r="BP700" s="407"/>
      <c r="BQ700" s="407"/>
      <c r="BR700" s="407"/>
      <c r="BS700" s="407"/>
      <c r="BT700" s="407"/>
      <c r="BU700" s="407"/>
      <c r="BV700" s="407">
        <v>-132.07258270846424</v>
      </c>
      <c r="BW700" s="407"/>
      <c r="BX700" s="407"/>
      <c r="BY700" s="407"/>
      <c r="BZ700" s="407"/>
      <c r="CA700" s="407"/>
      <c r="CB700" s="407"/>
      <c r="CC700" s="407"/>
      <c r="CD700" s="407"/>
      <c r="CE700" s="407"/>
      <c r="CF700" s="407"/>
      <c r="CG700" s="407"/>
      <c r="CH700" s="407"/>
      <c r="CI700" s="407">
        <v>-489.45600000000002</v>
      </c>
      <c r="CJ700" s="407">
        <v>155.17830000000015</v>
      </c>
      <c r="CK700" s="407"/>
      <c r="CL700" s="407"/>
      <c r="CM700" s="407"/>
      <c r="CN700" s="407"/>
      <c r="CO700" s="407">
        <v>178.35300000000007</v>
      </c>
      <c r="CP700" s="407">
        <v>-21.921060000000001</v>
      </c>
      <c r="CQ700" s="407">
        <v>30</v>
      </c>
      <c r="CR700" s="407">
        <v>-13.768706376495402</v>
      </c>
      <c r="CS700" s="407">
        <v>0</v>
      </c>
      <c r="CT700" s="407">
        <v>0</v>
      </c>
      <c r="CU700" s="407">
        <v>0</v>
      </c>
      <c r="CV700" s="407">
        <v>0</v>
      </c>
      <c r="CW700" s="407">
        <v>0</v>
      </c>
      <c r="CX700" s="407">
        <v>0</v>
      </c>
      <c r="CY700" s="407">
        <v>0</v>
      </c>
      <c r="CZ700" s="407">
        <v>-4.2047098925533248</v>
      </c>
      <c r="DA700" s="407">
        <v>0</v>
      </c>
      <c r="DB700" s="407">
        <v>0</v>
      </c>
      <c r="DC700" s="407">
        <v>-24.402669345892534</v>
      </c>
      <c r="DD700" s="407">
        <v>0</v>
      </c>
      <c r="DE700" s="407">
        <v>0</v>
      </c>
      <c r="DF700" s="407">
        <v>0</v>
      </c>
      <c r="DG700" s="407">
        <v>-1.7837572056778104</v>
      </c>
      <c r="DH700" s="407">
        <v>0</v>
      </c>
      <c r="DI700" s="407">
        <v>3.4637338473708681</v>
      </c>
      <c r="DJ700" s="407"/>
      <c r="DK700" s="407">
        <v>0</v>
      </c>
      <c r="DL700" s="407">
        <v>0</v>
      </c>
      <c r="DM700" s="407">
        <v>0</v>
      </c>
      <c r="DN700" s="407">
        <v>0</v>
      </c>
      <c r="DO700" s="407">
        <v>0.46623016124743</v>
      </c>
      <c r="DP700" s="407">
        <v>0.10551162743837339</v>
      </c>
      <c r="DQ700" s="407">
        <v>0</v>
      </c>
      <c r="DR700" s="407">
        <v>12.586954431571625</v>
      </c>
      <c r="DS700" s="407"/>
      <c r="DT700" s="407"/>
      <c r="DU700" s="407"/>
      <c r="DV700" s="407">
        <v>-333.20170064808747</v>
      </c>
      <c r="DW700" s="407">
        <v>0</v>
      </c>
      <c r="DX700" s="407">
        <v>0</v>
      </c>
      <c r="DY700" s="407">
        <v>178.35300000000007</v>
      </c>
      <c r="DZ700" s="407">
        <v>-21.921060000000011</v>
      </c>
      <c r="EA700" s="407">
        <v>0</v>
      </c>
      <c r="EB700" s="407">
        <v>0</v>
      </c>
      <c r="EC700" s="407">
        <v>170.20020259309499</v>
      </c>
      <c r="ED700" s="407">
        <v>0</v>
      </c>
      <c r="EE700" s="407">
        <v>0</v>
      </c>
      <c r="EF700" s="407">
        <v>0</v>
      </c>
      <c r="EG700" s="407">
        <v>0</v>
      </c>
      <c r="EH700" s="407">
        <v>0</v>
      </c>
      <c r="EI700" s="407">
        <v>0</v>
      </c>
      <c r="EJ700" s="407">
        <v>0</v>
      </c>
      <c r="EK700" s="407">
        <v>0</v>
      </c>
      <c r="EL700" s="407">
        <v>0</v>
      </c>
      <c r="EM700" s="407">
        <v>0</v>
      </c>
      <c r="EN700" s="407">
        <v>0</v>
      </c>
      <c r="EO700" s="407">
        <v>0</v>
      </c>
      <c r="EP700" s="407">
        <v>-23.424651377065135</v>
      </c>
      <c r="EQ700" s="407">
        <v>0</v>
      </c>
      <c r="ER700" s="407">
        <v>0</v>
      </c>
      <c r="ES700" s="407">
        <v>0</v>
      </c>
      <c r="ET700" s="407">
        <v>0</v>
      </c>
      <c r="EU700" s="407">
        <v>0</v>
      </c>
      <c r="EV700" s="407">
        <v>246</v>
      </c>
      <c r="EW700" s="407">
        <v>0</v>
      </c>
      <c r="EX700" s="407">
        <v>0</v>
      </c>
      <c r="EY700" s="407">
        <v>0</v>
      </c>
      <c r="EZ700" s="407"/>
      <c r="FA700" s="407">
        <v>0</v>
      </c>
      <c r="FB700" s="407"/>
      <c r="FC700" s="407"/>
      <c r="FD700" s="407"/>
      <c r="FE700" s="407"/>
      <c r="FF700" s="407">
        <v>0</v>
      </c>
      <c r="FG700" s="407">
        <v>0</v>
      </c>
      <c r="FH700" s="407">
        <v>0</v>
      </c>
      <c r="FI700" s="407">
        <v>0</v>
      </c>
    </row>
    <row r="701" spans="1:165">
      <c r="A701" s="407">
        <v>728</v>
      </c>
      <c r="B701" s="407" t="s">
        <v>2309</v>
      </c>
      <c r="C701" s="407" t="s">
        <v>2306</v>
      </c>
      <c r="D701" s="407" t="s">
        <v>1218</v>
      </c>
      <c r="E701" s="407" t="s">
        <v>1021</v>
      </c>
      <c r="F701" s="407" t="s">
        <v>1021</v>
      </c>
      <c r="G701" s="407" t="s">
        <v>97</v>
      </c>
      <c r="H701" s="407" t="s">
        <v>97</v>
      </c>
      <c r="I701" s="407" t="s">
        <v>97</v>
      </c>
      <c r="J701" s="407" t="s">
        <v>2307</v>
      </c>
      <c r="K701" s="818">
        <v>44713</v>
      </c>
      <c r="L701" s="407">
        <v>0</v>
      </c>
      <c r="M701" s="407">
        <v>0</v>
      </c>
      <c r="N701" s="407">
        <v>47.94</v>
      </c>
      <c r="O701" s="407">
        <v>47.94</v>
      </c>
      <c r="P701" s="407">
        <v>47.94</v>
      </c>
      <c r="Q701" s="407">
        <v>47.94</v>
      </c>
      <c r="R701" s="407"/>
      <c r="S701" s="407">
        <v>648.44000000000005</v>
      </c>
      <c r="T701" s="407">
        <v>159.41</v>
      </c>
      <c r="U701" s="407"/>
      <c r="V701" s="407">
        <v>38728.329000000005</v>
      </c>
      <c r="W701" s="407">
        <v>38728.329000000005</v>
      </c>
      <c r="X701" s="407">
        <v>29330.650799999996</v>
      </c>
      <c r="Y701" s="407">
        <v>0</v>
      </c>
      <c r="Z701" s="407">
        <v>2970.8538152025212</v>
      </c>
      <c r="AA701" s="407">
        <v>0</v>
      </c>
      <c r="AB701" s="407">
        <v>0</v>
      </c>
      <c r="AC701" s="407">
        <v>0</v>
      </c>
      <c r="AD701" s="407">
        <v>5591.9337925992531</v>
      </c>
      <c r="AE701" s="407">
        <v>20017.154798332471</v>
      </c>
      <c r="AF701" s="407">
        <v>7393.8205592264449</v>
      </c>
      <c r="AG701" s="407">
        <v>248.41296259502744</v>
      </c>
      <c r="AH701" s="407">
        <v>0</v>
      </c>
      <c r="AI701" s="407">
        <v>0</v>
      </c>
      <c r="AJ701" s="407">
        <v>0</v>
      </c>
      <c r="AK701" s="407">
        <v>0</v>
      </c>
      <c r="AL701" s="407">
        <v>459.07609351457774</v>
      </c>
      <c r="AM701" s="407"/>
      <c r="AN701" s="407">
        <v>99.480085004532569</v>
      </c>
      <c r="AO701" s="407">
        <v>0</v>
      </c>
      <c r="AP701" s="407">
        <v>0</v>
      </c>
      <c r="AQ701" s="407">
        <v>0</v>
      </c>
      <c r="AR701" s="407">
        <v>0</v>
      </c>
      <c r="AS701" s="407">
        <v>0</v>
      </c>
      <c r="AT701" s="407">
        <v>0</v>
      </c>
      <c r="AU701" s="407">
        <v>0</v>
      </c>
      <c r="AV701" s="407">
        <v>0</v>
      </c>
      <c r="AW701" s="407">
        <v>0</v>
      </c>
      <c r="AX701" s="407">
        <v>0</v>
      </c>
      <c r="AY701" s="407">
        <v>0</v>
      </c>
      <c r="AZ701" s="407">
        <v>0</v>
      </c>
      <c r="BA701" s="407"/>
      <c r="BB701" s="407">
        <v>0</v>
      </c>
      <c r="BC701" s="407">
        <v>0</v>
      </c>
      <c r="BD701" s="407">
        <v>0</v>
      </c>
      <c r="BE701" s="407">
        <v>0</v>
      </c>
      <c r="BF701" s="407">
        <v>0</v>
      </c>
      <c r="BG701" s="407">
        <v>540.46467265798469</v>
      </c>
      <c r="BH701" s="407">
        <v>0</v>
      </c>
      <c r="BI701" s="407">
        <v>72.36</v>
      </c>
      <c r="BJ701" s="407">
        <v>342.61</v>
      </c>
      <c r="BK701" s="407">
        <v>22044.89</v>
      </c>
      <c r="BL701" s="407">
        <v>348</v>
      </c>
      <c r="BM701" s="407"/>
      <c r="BN701" s="407"/>
      <c r="BO701" s="407"/>
      <c r="BP701" s="407"/>
      <c r="BQ701" s="407"/>
      <c r="BR701" s="407"/>
      <c r="BS701" s="407"/>
      <c r="BT701" s="407"/>
      <c r="BU701" s="407"/>
      <c r="BV701" s="407">
        <v>7934.2852318844298</v>
      </c>
      <c r="BW701" s="407"/>
      <c r="BX701" s="407"/>
      <c r="BY701" s="407"/>
      <c r="BZ701" s="407"/>
      <c r="CA701" s="407"/>
      <c r="CB701" s="407"/>
      <c r="CC701" s="407"/>
      <c r="CD701" s="407"/>
      <c r="CE701" s="407"/>
      <c r="CF701" s="407"/>
      <c r="CG701" s="407"/>
      <c r="CH701" s="407"/>
      <c r="CI701" s="407">
        <v>29330.650799999996</v>
      </c>
      <c r="CJ701" s="407">
        <v>-9397.7082000000082</v>
      </c>
      <c r="CK701" s="407"/>
      <c r="CL701" s="407"/>
      <c r="CM701" s="407"/>
      <c r="CN701" s="407"/>
      <c r="CO701" s="407">
        <v>-10714.590000000002</v>
      </c>
      <c r="CP701" s="407">
        <v>1316.9117999999999</v>
      </c>
      <c r="CQ701" s="407">
        <v>30</v>
      </c>
      <c r="CR701" s="407">
        <v>827.15762367066418</v>
      </c>
      <c r="CS701" s="407">
        <v>0</v>
      </c>
      <c r="CT701" s="407">
        <v>0</v>
      </c>
      <c r="CU701" s="407">
        <v>0</v>
      </c>
      <c r="CV701" s="407">
        <v>0</v>
      </c>
      <c r="CW701" s="407">
        <v>0</v>
      </c>
      <c r="CX701" s="407">
        <v>0</v>
      </c>
      <c r="CY701" s="407">
        <v>0</v>
      </c>
      <c r="CZ701" s="407">
        <v>252.59873715414415</v>
      </c>
      <c r="DA701" s="407">
        <v>0</v>
      </c>
      <c r="DB701" s="407">
        <v>0</v>
      </c>
      <c r="DC701" s="407">
        <v>1465.9949479224151</v>
      </c>
      <c r="DD701" s="407">
        <v>0</v>
      </c>
      <c r="DE701" s="407">
        <v>0</v>
      </c>
      <c r="DF701" s="407">
        <v>0</v>
      </c>
      <c r="DG701" s="407">
        <v>107.15954942380233</v>
      </c>
      <c r="DH701" s="407">
        <v>0</v>
      </c>
      <c r="DI701" s="407">
        <v>-208.08446195859551</v>
      </c>
      <c r="DJ701" s="407"/>
      <c r="DK701" s="407">
        <v>0</v>
      </c>
      <c r="DL701" s="407">
        <v>0</v>
      </c>
      <c r="DM701" s="407">
        <v>0</v>
      </c>
      <c r="DN701" s="407">
        <v>0</v>
      </c>
      <c r="DO701" s="407">
        <v>-28.008864574187726</v>
      </c>
      <c r="DP701" s="407">
        <v>-6.3386308513729546</v>
      </c>
      <c r="DQ701" s="407">
        <v>0</v>
      </c>
      <c r="DR701" s="407">
        <v>-756.16365344554333</v>
      </c>
      <c r="DS701" s="407"/>
      <c r="DT701" s="407"/>
      <c r="DU701" s="407"/>
      <c r="DV701" s="407">
        <v>20017.154798332471</v>
      </c>
      <c r="DW701" s="407">
        <v>0</v>
      </c>
      <c r="DX701" s="407">
        <v>0</v>
      </c>
      <c r="DY701" s="407">
        <v>-10714.590000000004</v>
      </c>
      <c r="DZ701" s="407">
        <v>1316.9117999999989</v>
      </c>
      <c r="EA701" s="407">
        <v>0</v>
      </c>
      <c r="EB701" s="407">
        <v>0</v>
      </c>
      <c r="EC701" s="407">
        <v>-10224.809163299466</v>
      </c>
      <c r="ED701" s="407">
        <v>0</v>
      </c>
      <c r="EE701" s="407">
        <v>0</v>
      </c>
      <c r="EF701" s="407">
        <v>0</v>
      </c>
      <c r="EG701" s="407">
        <v>0</v>
      </c>
      <c r="EH701" s="407">
        <v>0</v>
      </c>
      <c r="EI701" s="407">
        <v>0</v>
      </c>
      <c r="EJ701" s="407">
        <v>0</v>
      </c>
      <c r="EK701" s="407">
        <v>0</v>
      </c>
      <c r="EL701" s="407">
        <v>0</v>
      </c>
      <c r="EM701" s="407">
        <v>0</v>
      </c>
      <c r="EN701" s="407">
        <v>0</v>
      </c>
      <c r="EO701" s="407">
        <v>0</v>
      </c>
      <c r="EP701" s="407">
        <v>1407.240334607146</v>
      </c>
      <c r="EQ701" s="407">
        <v>0</v>
      </c>
      <c r="ER701" s="407">
        <v>0</v>
      </c>
      <c r="ES701" s="407">
        <v>0</v>
      </c>
      <c r="ET701" s="407">
        <v>0</v>
      </c>
      <c r="EU701" s="407">
        <v>0</v>
      </c>
      <c r="EV701" s="407">
        <v>246</v>
      </c>
      <c r="EW701" s="407">
        <v>0</v>
      </c>
      <c r="EX701" s="407">
        <v>0</v>
      </c>
      <c r="EY701" s="407">
        <v>0</v>
      </c>
      <c r="EZ701" s="407"/>
      <c r="FA701" s="407">
        <v>0</v>
      </c>
      <c r="FB701" s="407"/>
      <c r="FC701" s="407"/>
      <c r="FD701" s="407"/>
      <c r="FE701" s="407"/>
      <c r="FF701" s="407">
        <v>0</v>
      </c>
      <c r="FG701" s="407">
        <v>0</v>
      </c>
      <c r="FH701" s="407">
        <v>0</v>
      </c>
      <c r="FI701" s="407">
        <v>0</v>
      </c>
    </row>
    <row r="702" spans="1:165">
      <c r="A702" s="407">
        <v>729</v>
      </c>
      <c r="B702" s="407" t="s">
        <v>1090</v>
      </c>
      <c r="C702" s="407" t="s">
        <v>2306</v>
      </c>
      <c r="D702" s="407" t="s">
        <v>1218</v>
      </c>
      <c r="E702" s="407" t="s">
        <v>1021</v>
      </c>
      <c r="F702" s="407" t="s">
        <v>2310</v>
      </c>
      <c r="G702" s="407" t="s">
        <v>97</v>
      </c>
      <c r="H702" s="407" t="s">
        <v>97</v>
      </c>
      <c r="I702" s="407" t="s">
        <v>97</v>
      </c>
      <c r="J702" s="407" t="s">
        <v>2307</v>
      </c>
      <c r="K702" s="818">
        <v>44713</v>
      </c>
      <c r="L702" s="407">
        <v>0</v>
      </c>
      <c r="M702" s="407">
        <v>0</v>
      </c>
      <c r="N702" s="407">
        <v>46.548000000000002</v>
      </c>
      <c r="O702" s="407">
        <v>46.548000000000002</v>
      </c>
      <c r="P702" s="407">
        <v>46.548000000000002</v>
      </c>
      <c r="Q702" s="407">
        <v>46.548000000000002</v>
      </c>
      <c r="R702" s="407"/>
      <c r="S702" s="407">
        <v>547.54</v>
      </c>
      <c r="T702" s="407">
        <v>159.41</v>
      </c>
      <c r="U702" s="407"/>
      <c r="V702" s="407">
        <v>32907.1086</v>
      </c>
      <c r="W702" s="407">
        <v>32907.1086</v>
      </c>
      <c r="X702" s="407">
        <v>24103.485359999999</v>
      </c>
      <c r="Y702" s="407">
        <v>0</v>
      </c>
      <c r="Z702" s="407">
        <v>0</v>
      </c>
      <c r="AA702" s="407">
        <v>0</v>
      </c>
      <c r="AB702" s="407">
        <v>0</v>
      </c>
      <c r="AC702" s="407">
        <v>0</v>
      </c>
      <c r="AD702" s="407">
        <v>5429.5647513122658</v>
      </c>
      <c r="AE702" s="407">
        <v>19435.930779156861</v>
      </c>
      <c r="AF702" s="407">
        <v>7179.1314015617972</v>
      </c>
      <c r="AG702" s="407">
        <v>241.19997043957736</v>
      </c>
      <c r="AH702" s="407">
        <v>0</v>
      </c>
      <c r="AI702" s="407">
        <v>0</v>
      </c>
      <c r="AJ702" s="407">
        <v>0</v>
      </c>
      <c r="AK702" s="407">
        <v>0</v>
      </c>
      <c r="AL702" s="407">
        <v>0</v>
      </c>
      <c r="AM702" s="407"/>
      <c r="AN702" s="407">
        <v>96.591551872986699</v>
      </c>
      <c r="AO702" s="407">
        <v>0</v>
      </c>
      <c r="AP702" s="407">
        <v>0</v>
      </c>
      <c r="AQ702" s="407">
        <v>0</v>
      </c>
      <c r="AR702" s="407">
        <v>0</v>
      </c>
      <c r="AS702" s="407">
        <v>0</v>
      </c>
      <c r="AT702" s="407">
        <v>0</v>
      </c>
      <c r="AU702" s="407">
        <v>0</v>
      </c>
      <c r="AV702" s="407">
        <v>0</v>
      </c>
      <c r="AW702" s="407">
        <v>0</v>
      </c>
      <c r="AX702" s="407">
        <v>0</v>
      </c>
      <c r="AY702" s="407">
        <v>0</v>
      </c>
      <c r="AZ702" s="407">
        <v>0</v>
      </c>
      <c r="BA702" s="407"/>
      <c r="BB702" s="407">
        <v>0</v>
      </c>
      <c r="BC702" s="407">
        <v>0</v>
      </c>
      <c r="BD702" s="407">
        <v>0</v>
      </c>
      <c r="BE702" s="407">
        <v>0</v>
      </c>
      <c r="BF702" s="407">
        <v>0</v>
      </c>
      <c r="BG702" s="407">
        <v>524.77158078606328</v>
      </c>
      <c r="BH702" s="407">
        <v>0</v>
      </c>
      <c r="BI702" s="407">
        <v>15.06</v>
      </c>
      <c r="BJ702" s="407">
        <v>90.4</v>
      </c>
      <c r="BK702" s="407">
        <v>2514.5100000000002</v>
      </c>
      <c r="BL702" s="407">
        <v>123</v>
      </c>
      <c r="BM702" s="407"/>
      <c r="BN702" s="407"/>
      <c r="BO702" s="407"/>
      <c r="BP702" s="407"/>
      <c r="BQ702" s="407"/>
      <c r="BR702" s="407"/>
      <c r="BS702" s="407"/>
      <c r="BT702" s="407">
        <v>15667.125840000001</v>
      </c>
      <c r="BU702" s="407"/>
      <c r="BV702" s="407">
        <v>7703.9029823478604</v>
      </c>
      <c r="BW702" s="407"/>
      <c r="BX702" s="407"/>
      <c r="BY702" s="407"/>
      <c r="BZ702" s="407"/>
      <c r="CA702" s="407"/>
      <c r="CB702" s="407"/>
      <c r="CC702" s="407"/>
      <c r="CD702" s="407"/>
      <c r="CE702" s="407"/>
      <c r="CF702" s="407"/>
      <c r="CG702" s="407"/>
      <c r="CH702" s="407"/>
      <c r="CI702" s="407">
        <v>8436.7219999999998</v>
      </c>
      <c r="CJ702" s="407">
        <v>-3080.6796400000021</v>
      </c>
      <c r="CK702" s="407"/>
      <c r="CL702" s="407"/>
      <c r="CM702" s="407"/>
      <c r="CN702" s="407"/>
      <c r="CO702" s="407">
        <v>-10082.296799999998</v>
      </c>
      <c r="CP702" s="407">
        <v>1278.67356</v>
      </c>
      <c r="CQ702" s="407">
        <v>30</v>
      </c>
      <c r="CR702" s="407">
        <v>1124.0803745931971</v>
      </c>
      <c r="CS702" s="407">
        <v>0</v>
      </c>
      <c r="CT702" s="407">
        <v>0</v>
      </c>
      <c r="CU702" s="407">
        <v>0</v>
      </c>
      <c r="CV702" s="407">
        <v>0</v>
      </c>
      <c r="CW702" s="407">
        <v>0</v>
      </c>
      <c r="CX702" s="407">
        <v>0</v>
      </c>
      <c r="CY702" s="407">
        <v>0</v>
      </c>
      <c r="CZ702" s="407">
        <v>245.26420561224677</v>
      </c>
      <c r="DA702" s="407">
        <v>0</v>
      </c>
      <c r="DB702" s="407">
        <v>0</v>
      </c>
      <c r="DC702" s="407">
        <v>1423.4278856047695</v>
      </c>
      <c r="DD702" s="407">
        <v>0</v>
      </c>
      <c r="DE702" s="407">
        <v>0</v>
      </c>
      <c r="DF702" s="407">
        <v>0</v>
      </c>
      <c r="DG702" s="407">
        <v>104.04803309510112</v>
      </c>
      <c r="DH702" s="407">
        <v>0</v>
      </c>
      <c r="DI702" s="407">
        <v>0</v>
      </c>
      <c r="DJ702" s="407"/>
      <c r="DK702" s="407">
        <v>0</v>
      </c>
      <c r="DL702" s="407">
        <v>0</v>
      </c>
      <c r="DM702" s="407">
        <v>0</v>
      </c>
      <c r="DN702" s="407">
        <v>0</v>
      </c>
      <c r="DO702" s="407">
        <v>0</v>
      </c>
      <c r="DP702" s="407">
        <v>-6.1545804937360913</v>
      </c>
      <c r="DQ702" s="407">
        <v>0</v>
      </c>
      <c r="DR702" s="407">
        <v>-642.50516922518295</v>
      </c>
      <c r="DS702" s="407"/>
      <c r="DT702" s="407"/>
      <c r="DU702" s="407"/>
      <c r="DV702" s="407">
        <v>19435.930779156861</v>
      </c>
      <c r="DW702" s="407">
        <v>0</v>
      </c>
      <c r="DX702" s="407">
        <v>0</v>
      </c>
      <c r="DY702" s="407">
        <v>-10082.296799999998</v>
      </c>
      <c r="DZ702" s="407">
        <v>1278.6735600000002</v>
      </c>
      <c r="EA702" s="407">
        <v>0</v>
      </c>
      <c r="EB702" s="407">
        <v>0</v>
      </c>
      <c r="EC702" s="407">
        <v>-9927.918584340081</v>
      </c>
      <c r="ED702" s="407">
        <v>0</v>
      </c>
      <c r="EE702" s="407">
        <v>0</v>
      </c>
      <c r="EF702" s="407">
        <v>0</v>
      </c>
      <c r="EG702" s="407">
        <v>0</v>
      </c>
      <c r="EH702" s="407">
        <v>0</v>
      </c>
      <c r="EI702" s="407">
        <v>0</v>
      </c>
      <c r="EJ702" s="407">
        <v>0</v>
      </c>
      <c r="EK702" s="407">
        <v>0</v>
      </c>
      <c r="EL702" s="407">
        <v>0</v>
      </c>
      <c r="EM702" s="407">
        <v>0</v>
      </c>
      <c r="EN702" s="407">
        <v>0</v>
      </c>
      <c r="EO702" s="407">
        <v>0</v>
      </c>
      <c r="EP702" s="407">
        <v>0</v>
      </c>
      <c r="EQ702" s="407">
        <v>0</v>
      </c>
      <c r="ER702" s="407">
        <v>0</v>
      </c>
      <c r="ES702" s="407">
        <v>0</v>
      </c>
      <c r="ET702" s="407">
        <v>0</v>
      </c>
      <c r="EU702" s="407">
        <v>0</v>
      </c>
      <c r="EV702" s="407">
        <v>246</v>
      </c>
      <c r="EW702" s="407">
        <v>0</v>
      </c>
      <c r="EX702" s="407">
        <v>0</v>
      </c>
      <c r="EY702" s="407">
        <v>0</v>
      </c>
      <c r="EZ702" s="407"/>
      <c r="FA702" s="407">
        <v>0</v>
      </c>
      <c r="FB702" s="407"/>
      <c r="FC702" s="407"/>
      <c r="FD702" s="407"/>
      <c r="FE702" s="407"/>
      <c r="FF702" s="407">
        <v>0</v>
      </c>
      <c r="FG702" s="407">
        <v>0</v>
      </c>
      <c r="FH702" s="407">
        <v>0</v>
      </c>
      <c r="FI702" s="407">
        <v>0</v>
      </c>
    </row>
    <row r="703" spans="1:165">
      <c r="A703" s="407">
        <v>730</v>
      </c>
      <c r="B703" s="407" t="s">
        <v>2309</v>
      </c>
      <c r="C703" s="407" t="s">
        <v>2306</v>
      </c>
      <c r="D703" s="407" t="s">
        <v>1218</v>
      </c>
      <c r="E703" s="407" t="s">
        <v>1021</v>
      </c>
      <c r="F703" s="407" t="s">
        <v>2310</v>
      </c>
      <c r="G703" s="407" t="s">
        <v>97</v>
      </c>
      <c r="H703" s="407" t="s">
        <v>97</v>
      </c>
      <c r="I703" s="407" t="s">
        <v>97</v>
      </c>
      <c r="J703" s="407" t="s">
        <v>2307</v>
      </c>
      <c r="K703" s="818">
        <v>44713</v>
      </c>
      <c r="L703" s="407">
        <v>0</v>
      </c>
      <c r="M703" s="407">
        <v>0</v>
      </c>
      <c r="N703" s="407">
        <v>0.15</v>
      </c>
      <c r="O703" s="407">
        <v>0.15</v>
      </c>
      <c r="P703" s="407">
        <v>0.15</v>
      </c>
      <c r="Q703" s="407">
        <v>0.15</v>
      </c>
      <c r="R703" s="407"/>
      <c r="S703" s="407">
        <v>547.54</v>
      </c>
      <c r="T703" s="407">
        <v>159.41</v>
      </c>
      <c r="U703" s="407"/>
      <c r="V703" s="407">
        <v>106.04249999999999</v>
      </c>
      <c r="W703" s="407">
        <v>106.04249999999999</v>
      </c>
      <c r="X703" s="407">
        <v>77.673000000000002</v>
      </c>
      <c r="Y703" s="407">
        <v>0</v>
      </c>
      <c r="Z703" s="407">
        <v>0</v>
      </c>
      <c r="AA703" s="407">
        <v>0</v>
      </c>
      <c r="AB703" s="407">
        <v>0</v>
      </c>
      <c r="AC703" s="407">
        <v>0</v>
      </c>
      <c r="AD703" s="407">
        <v>17.496663931787399</v>
      </c>
      <c r="AE703" s="407">
        <v>62.631898618061548</v>
      </c>
      <c r="AF703" s="407">
        <v>23.134607506966347</v>
      </c>
      <c r="AG703" s="407">
        <v>0.77726208571660649</v>
      </c>
      <c r="AH703" s="407">
        <v>0</v>
      </c>
      <c r="AI703" s="407">
        <v>0</v>
      </c>
      <c r="AJ703" s="407">
        <v>0</v>
      </c>
      <c r="AK703" s="407">
        <v>0</v>
      </c>
      <c r="AL703" s="407">
        <v>0</v>
      </c>
      <c r="AM703" s="407"/>
      <c r="AN703" s="407">
        <v>0.31126434607175396</v>
      </c>
      <c r="AO703" s="407">
        <v>0</v>
      </c>
      <c r="AP703" s="407">
        <v>0</v>
      </c>
      <c r="AQ703" s="407">
        <v>0</v>
      </c>
      <c r="AR703" s="407">
        <v>0</v>
      </c>
      <c r="AS703" s="407">
        <v>0</v>
      </c>
      <c r="AT703" s="407">
        <v>0</v>
      </c>
      <c r="AU703" s="407">
        <v>0</v>
      </c>
      <c r="AV703" s="407">
        <v>0</v>
      </c>
      <c r="AW703" s="407">
        <v>0</v>
      </c>
      <c r="AX703" s="407">
        <v>0</v>
      </c>
      <c r="AY703" s="407">
        <v>0</v>
      </c>
      <c r="AZ703" s="407">
        <v>0</v>
      </c>
      <c r="BA703" s="407"/>
      <c r="BB703" s="407">
        <v>0</v>
      </c>
      <c r="BC703" s="407">
        <v>0</v>
      </c>
      <c r="BD703" s="407">
        <v>0</v>
      </c>
      <c r="BE703" s="407">
        <v>0</v>
      </c>
      <c r="BF703" s="407">
        <v>0</v>
      </c>
      <c r="BG703" s="407">
        <v>1.6910659344742951</v>
      </c>
      <c r="BH703" s="407">
        <v>0</v>
      </c>
      <c r="BI703" s="407">
        <v>0.06</v>
      </c>
      <c r="BJ703" s="407">
        <v>0.28999999999999998</v>
      </c>
      <c r="BK703" s="407">
        <v>9.15</v>
      </c>
      <c r="BL703" s="407">
        <v>0</v>
      </c>
      <c r="BM703" s="407"/>
      <c r="BN703" s="407"/>
      <c r="BO703" s="407"/>
      <c r="BP703" s="407"/>
      <c r="BQ703" s="407"/>
      <c r="BR703" s="407"/>
      <c r="BS703" s="407"/>
      <c r="BT703" s="407">
        <v>50.486999999999995</v>
      </c>
      <c r="BU703" s="407"/>
      <c r="BV703" s="407">
        <v>24.825673441440642</v>
      </c>
      <c r="BW703" s="407"/>
      <c r="BX703" s="407"/>
      <c r="BY703" s="407"/>
      <c r="BZ703" s="407"/>
      <c r="CA703" s="407"/>
      <c r="CB703" s="407"/>
      <c r="CC703" s="407"/>
      <c r="CD703" s="407"/>
      <c r="CE703" s="407"/>
      <c r="CF703" s="407"/>
      <c r="CG703" s="407"/>
      <c r="CH703" s="407"/>
      <c r="CI703" s="407">
        <v>27.185999999999996</v>
      </c>
      <c r="CJ703" s="407">
        <v>-9.9585000000000043</v>
      </c>
      <c r="CK703" s="407"/>
      <c r="CL703" s="407"/>
      <c r="CM703" s="407"/>
      <c r="CN703" s="407"/>
      <c r="CO703" s="407">
        <v>-32.489999999999995</v>
      </c>
      <c r="CP703" s="407">
        <v>4.1204999999999998</v>
      </c>
      <c r="CQ703" s="407">
        <v>30</v>
      </c>
      <c r="CR703" s="407">
        <v>3.6223265487019773</v>
      </c>
      <c r="CS703" s="407">
        <v>0</v>
      </c>
      <c r="CT703" s="407">
        <v>0</v>
      </c>
      <c r="CU703" s="407">
        <v>0</v>
      </c>
      <c r="CV703" s="407">
        <v>0</v>
      </c>
      <c r="CW703" s="407">
        <v>0</v>
      </c>
      <c r="CX703" s="407">
        <v>0</v>
      </c>
      <c r="CY703" s="407">
        <v>0</v>
      </c>
      <c r="CZ703" s="407">
        <v>0.79035900235965073</v>
      </c>
      <c r="DA703" s="407">
        <v>0</v>
      </c>
      <c r="DB703" s="407">
        <v>0</v>
      </c>
      <c r="DC703" s="407">
        <v>4.5869679221602517</v>
      </c>
      <c r="DD703" s="407">
        <v>0</v>
      </c>
      <c r="DE703" s="407">
        <v>0</v>
      </c>
      <c r="DF703" s="407">
        <v>0</v>
      </c>
      <c r="DG703" s="407">
        <v>0.33529270783417497</v>
      </c>
      <c r="DH703" s="407">
        <v>0</v>
      </c>
      <c r="DI703" s="407">
        <v>0</v>
      </c>
      <c r="DJ703" s="407"/>
      <c r="DK703" s="407">
        <v>0</v>
      </c>
      <c r="DL703" s="407">
        <v>0</v>
      </c>
      <c r="DM703" s="407">
        <v>0</v>
      </c>
      <c r="DN703" s="407">
        <v>0</v>
      </c>
      <c r="DO703" s="407">
        <v>0</v>
      </c>
      <c r="DP703" s="407">
        <v>-1.9833012676385986E-2</v>
      </c>
      <c r="DQ703" s="407">
        <v>0</v>
      </c>
      <c r="DR703" s="407">
        <v>-2.0704600709757122</v>
      </c>
      <c r="DS703" s="407"/>
      <c r="DT703" s="407"/>
      <c r="DU703" s="407"/>
      <c r="DV703" s="407">
        <v>62.631898618061548</v>
      </c>
      <c r="DW703" s="407">
        <v>0</v>
      </c>
      <c r="DX703" s="407">
        <v>0</v>
      </c>
      <c r="DY703" s="407">
        <v>-32.489999999999988</v>
      </c>
      <c r="DZ703" s="407">
        <v>4.1204999999999998</v>
      </c>
      <c r="EA703" s="407">
        <v>0</v>
      </c>
      <c r="EB703" s="407">
        <v>0</v>
      </c>
      <c r="EC703" s="407">
        <v>-31.992519284416346</v>
      </c>
      <c r="ED703" s="407">
        <v>0</v>
      </c>
      <c r="EE703" s="407">
        <v>0</v>
      </c>
      <c r="EF703" s="407">
        <v>0</v>
      </c>
      <c r="EG703" s="407">
        <v>0</v>
      </c>
      <c r="EH703" s="407">
        <v>0</v>
      </c>
      <c r="EI703" s="407">
        <v>0</v>
      </c>
      <c r="EJ703" s="407">
        <v>0</v>
      </c>
      <c r="EK703" s="407">
        <v>0</v>
      </c>
      <c r="EL703" s="407">
        <v>0</v>
      </c>
      <c r="EM703" s="407">
        <v>0</v>
      </c>
      <c r="EN703" s="407">
        <v>0</v>
      </c>
      <c r="EO703" s="407">
        <v>0</v>
      </c>
      <c r="EP703" s="407">
        <v>0</v>
      </c>
      <c r="EQ703" s="407">
        <v>0</v>
      </c>
      <c r="ER703" s="407">
        <v>0</v>
      </c>
      <c r="ES703" s="407">
        <v>0</v>
      </c>
      <c r="ET703" s="407">
        <v>0</v>
      </c>
      <c r="EU703" s="407">
        <v>0</v>
      </c>
      <c r="EV703" s="407">
        <v>246</v>
      </c>
      <c r="EW703" s="407">
        <v>0</v>
      </c>
      <c r="EX703" s="407">
        <v>0</v>
      </c>
      <c r="EY703" s="407">
        <v>0</v>
      </c>
      <c r="EZ703" s="407"/>
      <c r="FA703" s="407">
        <v>0</v>
      </c>
      <c r="FB703" s="407"/>
      <c r="FC703" s="407"/>
      <c r="FD703" s="407"/>
      <c r="FE703" s="407"/>
      <c r="FF703" s="407">
        <v>0</v>
      </c>
      <c r="FG703" s="407">
        <v>0</v>
      </c>
      <c r="FH703" s="407">
        <v>0</v>
      </c>
      <c r="FI703" s="407">
        <v>0</v>
      </c>
    </row>
    <row r="704" spans="1:165">
      <c r="A704" s="407">
        <v>731</v>
      </c>
      <c r="B704" s="407" t="s">
        <v>1090</v>
      </c>
      <c r="C704" s="407" t="s">
        <v>2306</v>
      </c>
      <c r="D704" s="407" t="s">
        <v>1218</v>
      </c>
      <c r="E704" s="407" t="s">
        <v>1021</v>
      </c>
      <c r="F704" s="407" t="s">
        <v>2311</v>
      </c>
      <c r="G704" s="407" t="s">
        <v>97</v>
      </c>
      <c r="H704" s="407" t="s">
        <v>97</v>
      </c>
      <c r="I704" s="407" t="s">
        <v>97</v>
      </c>
      <c r="J704" s="407" t="s">
        <v>2307</v>
      </c>
      <c r="K704" s="818">
        <v>44713</v>
      </c>
      <c r="L704" s="407">
        <v>0</v>
      </c>
      <c r="M704" s="407">
        <v>0</v>
      </c>
      <c r="N704" s="407">
        <v>84.332999999999998</v>
      </c>
      <c r="O704" s="407">
        <v>84.332999999999998</v>
      </c>
      <c r="P704" s="407">
        <v>84.332999999999998</v>
      </c>
      <c r="Q704" s="407">
        <v>84.332999999999998</v>
      </c>
      <c r="R704" s="407"/>
      <c r="S704" s="407">
        <v>547.54</v>
      </c>
      <c r="T704" s="407">
        <v>159.41</v>
      </c>
      <c r="U704" s="407"/>
      <c r="V704" s="407">
        <v>59619.214349999995</v>
      </c>
      <c r="W704" s="407">
        <v>59619.214349999995</v>
      </c>
      <c r="X704" s="407">
        <v>43669.314059999997</v>
      </c>
      <c r="Y704" s="407">
        <v>0</v>
      </c>
      <c r="Z704" s="407">
        <v>0</v>
      </c>
      <c r="AA704" s="407">
        <v>0</v>
      </c>
      <c r="AB704" s="407">
        <v>0</v>
      </c>
      <c r="AC704" s="407">
        <v>0</v>
      </c>
      <c r="AD704" s="407">
        <v>9836.9743957295123</v>
      </c>
      <c r="AE704" s="407">
        <v>35212.906041046568</v>
      </c>
      <c r="AF704" s="407">
        <v>13006.73903256662</v>
      </c>
      <c r="AG704" s="407">
        <v>436.99228983159054</v>
      </c>
      <c r="AH704" s="407">
        <v>0</v>
      </c>
      <c r="AI704" s="407">
        <v>0</v>
      </c>
      <c r="AJ704" s="407">
        <v>0</v>
      </c>
      <c r="AK704" s="407">
        <v>0</v>
      </c>
      <c r="AL704" s="407">
        <v>0</v>
      </c>
      <c r="AM704" s="407"/>
      <c r="AN704" s="407">
        <v>174.99904064846152</v>
      </c>
      <c r="AO704" s="407">
        <v>0</v>
      </c>
      <c r="AP704" s="407">
        <v>0</v>
      </c>
      <c r="AQ704" s="407">
        <v>0</v>
      </c>
      <c r="AR704" s="407">
        <v>0</v>
      </c>
      <c r="AS704" s="407">
        <v>0</v>
      </c>
      <c r="AT704" s="407">
        <v>0</v>
      </c>
      <c r="AU704" s="407">
        <v>0</v>
      </c>
      <c r="AV704" s="407">
        <v>0</v>
      </c>
      <c r="AW704" s="407">
        <v>0</v>
      </c>
      <c r="AX704" s="407">
        <v>0</v>
      </c>
      <c r="AY704" s="407">
        <v>0</v>
      </c>
      <c r="AZ704" s="407">
        <v>0</v>
      </c>
      <c r="BA704" s="407"/>
      <c r="BB704" s="407">
        <v>0</v>
      </c>
      <c r="BC704" s="407">
        <v>0</v>
      </c>
      <c r="BD704" s="407">
        <v>0</v>
      </c>
      <c r="BE704" s="407">
        <v>0</v>
      </c>
      <c r="BF704" s="407">
        <v>0</v>
      </c>
      <c r="BG704" s="407">
        <v>950.75108968013819</v>
      </c>
      <c r="BH704" s="407">
        <v>0</v>
      </c>
      <c r="BI704" s="407">
        <v>62.23</v>
      </c>
      <c r="BJ704" s="407">
        <v>307.99</v>
      </c>
      <c r="BK704" s="407">
        <v>8691.16</v>
      </c>
      <c r="BL704" s="407">
        <v>525</v>
      </c>
      <c r="BM704" s="407"/>
      <c r="BN704" s="407"/>
      <c r="BO704" s="407"/>
      <c r="BP704" s="407"/>
      <c r="BQ704" s="407"/>
      <c r="BR704" s="407"/>
      <c r="BS704" s="407"/>
      <c r="BT704" s="407">
        <v>17467.89429</v>
      </c>
      <c r="BU704" s="407"/>
      <c r="BV704" s="407">
        <v>13957.490122246758</v>
      </c>
      <c r="BW704" s="407"/>
      <c r="BX704" s="407"/>
      <c r="BY704" s="407"/>
      <c r="BZ704" s="407"/>
      <c r="CA704" s="407"/>
      <c r="CB704" s="407"/>
      <c r="CC704" s="407"/>
      <c r="CD704" s="407"/>
      <c r="CE704" s="407"/>
      <c r="CF704" s="407"/>
      <c r="CG704" s="407"/>
      <c r="CH704" s="407"/>
      <c r="CI704" s="407">
        <v>26200.487699999998</v>
      </c>
      <c r="CJ704" s="407">
        <v>-9571.0709100000022</v>
      </c>
      <c r="CK704" s="407"/>
      <c r="CL704" s="407"/>
      <c r="CM704" s="407"/>
      <c r="CN704" s="407"/>
      <c r="CO704" s="407">
        <v>-18266.527799999996</v>
      </c>
      <c r="CP704" s="407">
        <v>2316.6275099999998</v>
      </c>
      <c r="CQ704" s="407">
        <v>30</v>
      </c>
      <c r="CR704" s="407">
        <v>2036.5444322112271</v>
      </c>
      <c r="CS704" s="407">
        <v>0</v>
      </c>
      <c r="CT704" s="407">
        <v>0</v>
      </c>
      <c r="CU704" s="407">
        <v>0</v>
      </c>
      <c r="CV704" s="407">
        <v>0</v>
      </c>
      <c r="CW704" s="407">
        <v>0</v>
      </c>
      <c r="CX704" s="407">
        <v>0</v>
      </c>
      <c r="CY704" s="407">
        <v>0</v>
      </c>
      <c r="CZ704" s="407">
        <v>444.3556383066425</v>
      </c>
      <c r="DA704" s="407">
        <v>0</v>
      </c>
      <c r="DB704" s="407">
        <v>0</v>
      </c>
      <c r="DC704" s="407">
        <v>2578.8851051969359</v>
      </c>
      <c r="DD704" s="407">
        <v>0</v>
      </c>
      <c r="DE704" s="407">
        <v>0</v>
      </c>
      <c r="DF704" s="407">
        <v>0</v>
      </c>
      <c r="DG704" s="407">
        <v>188.50826619852978</v>
      </c>
      <c r="DH704" s="407">
        <v>0</v>
      </c>
      <c r="DI704" s="407">
        <v>0</v>
      </c>
      <c r="DJ704" s="407"/>
      <c r="DK704" s="407">
        <v>0</v>
      </c>
      <c r="DL704" s="407">
        <v>0</v>
      </c>
      <c r="DM704" s="407">
        <v>0</v>
      </c>
      <c r="DN704" s="407">
        <v>0</v>
      </c>
      <c r="DO704" s="407">
        <v>0</v>
      </c>
      <c r="DP704" s="407">
        <v>-11.15051638691773</v>
      </c>
      <c r="DQ704" s="407">
        <v>0</v>
      </c>
      <c r="DR704" s="407">
        <v>-1164.0540611039646</v>
      </c>
      <c r="DS704" s="407"/>
      <c r="DT704" s="407"/>
      <c r="DU704" s="407"/>
      <c r="DV704" s="407">
        <v>35212.906041046568</v>
      </c>
      <c r="DW704" s="407">
        <v>0</v>
      </c>
      <c r="DX704" s="407">
        <v>0</v>
      </c>
      <c r="DY704" s="407">
        <v>-18266.527799999996</v>
      </c>
      <c r="DZ704" s="407">
        <v>2316.6275100000003</v>
      </c>
      <c r="EA704" s="407">
        <v>0</v>
      </c>
      <c r="EB704" s="407">
        <v>0</v>
      </c>
      <c r="EC704" s="407">
        <v>-17986.834192084563</v>
      </c>
      <c r="ED704" s="407">
        <v>0</v>
      </c>
      <c r="EE704" s="407">
        <v>0</v>
      </c>
      <c r="EF704" s="407">
        <v>0</v>
      </c>
      <c r="EG704" s="407">
        <v>0</v>
      </c>
      <c r="EH704" s="407">
        <v>0</v>
      </c>
      <c r="EI704" s="407">
        <v>0</v>
      </c>
      <c r="EJ704" s="407">
        <v>0</v>
      </c>
      <c r="EK704" s="407">
        <v>0</v>
      </c>
      <c r="EL704" s="407">
        <v>0</v>
      </c>
      <c r="EM704" s="407">
        <v>0</v>
      </c>
      <c r="EN704" s="407">
        <v>0</v>
      </c>
      <c r="EO704" s="407">
        <v>0</v>
      </c>
      <c r="EP704" s="407">
        <v>0</v>
      </c>
      <c r="EQ704" s="407">
        <v>0</v>
      </c>
      <c r="ER704" s="407">
        <v>0</v>
      </c>
      <c r="ES704" s="407">
        <v>0</v>
      </c>
      <c r="ET704" s="407">
        <v>0</v>
      </c>
      <c r="EU704" s="407">
        <v>0</v>
      </c>
      <c r="EV704" s="407">
        <v>246</v>
      </c>
      <c r="EW704" s="407">
        <v>0</v>
      </c>
      <c r="EX704" s="407">
        <v>0</v>
      </c>
      <c r="EY704" s="407">
        <v>0</v>
      </c>
      <c r="EZ704" s="407"/>
      <c r="FA704" s="407">
        <v>0</v>
      </c>
      <c r="FB704" s="407"/>
      <c r="FC704" s="407"/>
      <c r="FD704" s="407"/>
      <c r="FE704" s="407"/>
      <c r="FF704" s="407">
        <v>0</v>
      </c>
      <c r="FG704" s="407">
        <v>0</v>
      </c>
      <c r="FH704" s="407">
        <v>0</v>
      </c>
      <c r="FI704" s="407">
        <v>0</v>
      </c>
    </row>
    <row r="705" spans="1:165">
      <c r="A705" s="407">
        <v>732</v>
      </c>
      <c r="B705" s="407" t="s">
        <v>2308</v>
      </c>
      <c r="C705" s="407" t="s">
        <v>2306</v>
      </c>
      <c r="D705" s="407" t="s">
        <v>1218</v>
      </c>
      <c r="E705" s="407" t="s">
        <v>1021</v>
      </c>
      <c r="F705" s="407" t="s">
        <v>2311</v>
      </c>
      <c r="G705" s="407" t="s">
        <v>97</v>
      </c>
      <c r="H705" s="407" t="s">
        <v>97</v>
      </c>
      <c r="I705" s="407" t="s">
        <v>97</v>
      </c>
      <c r="J705" s="407" t="s">
        <v>2307</v>
      </c>
      <c r="K705" s="818">
        <v>44713</v>
      </c>
      <c r="L705" s="407">
        <v>0</v>
      </c>
      <c r="M705" s="407">
        <v>0</v>
      </c>
      <c r="N705" s="407">
        <v>3.2000000000000001E-2</v>
      </c>
      <c r="O705" s="407">
        <v>3.2000000000000001E-2</v>
      </c>
      <c r="P705" s="407">
        <v>3.2000000000000001E-2</v>
      </c>
      <c r="Q705" s="407">
        <v>3.2000000000000001E-2</v>
      </c>
      <c r="R705" s="407"/>
      <c r="S705" s="407">
        <v>547.54</v>
      </c>
      <c r="T705" s="407">
        <v>159.41</v>
      </c>
      <c r="U705" s="407"/>
      <c r="V705" s="407">
        <v>22.622399999999999</v>
      </c>
      <c r="W705" s="407">
        <v>22.622399999999999</v>
      </c>
      <c r="X705" s="407">
        <v>16.570239999999998</v>
      </c>
      <c r="Y705" s="407">
        <v>0</v>
      </c>
      <c r="Z705" s="407">
        <v>0</v>
      </c>
      <c r="AA705" s="407">
        <v>0</v>
      </c>
      <c r="AB705" s="407">
        <v>0</v>
      </c>
      <c r="AC705" s="407">
        <v>0</v>
      </c>
      <c r="AD705" s="407">
        <v>3.7326216387813123</v>
      </c>
      <c r="AE705" s="407">
        <v>13.361471705186466</v>
      </c>
      <c r="AF705" s="407">
        <v>4.9353829348194882</v>
      </c>
      <c r="AG705" s="407">
        <v>0.16581591161954273</v>
      </c>
      <c r="AH705" s="407">
        <v>0</v>
      </c>
      <c r="AI705" s="407">
        <v>0</v>
      </c>
      <c r="AJ705" s="407">
        <v>0</v>
      </c>
      <c r="AK705" s="407">
        <v>0</v>
      </c>
      <c r="AL705" s="407">
        <v>0</v>
      </c>
      <c r="AM705" s="407"/>
      <c r="AN705" s="407">
        <v>6.6403060495307517E-2</v>
      </c>
      <c r="AO705" s="407">
        <v>0</v>
      </c>
      <c r="AP705" s="407">
        <v>0</v>
      </c>
      <c r="AQ705" s="407">
        <v>0</v>
      </c>
      <c r="AR705" s="407">
        <v>0</v>
      </c>
      <c r="AS705" s="407">
        <v>0</v>
      </c>
      <c r="AT705" s="407">
        <v>0</v>
      </c>
      <c r="AU705" s="407">
        <v>0</v>
      </c>
      <c r="AV705" s="407">
        <v>0</v>
      </c>
      <c r="AW705" s="407">
        <v>0</v>
      </c>
      <c r="AX705" s="407">
        <v>0</v>
      </c>
      <c r="AY705" s="407">
        <v>0</v>
      </c>
      <c r="AZ705" s="407">
        <v>0</v>
      </c>
      <c r="BA705" s="407"/>
      <c r="BB705" s="407">
        <v>0</v>
      </c>
      <c r="BC705" s="407">
        <v>0</v>
      </c>
      <c r="BD705" s="407">
        <v>0</v>
      </c>
      <c r="BE705" s="407">
        <v>0</v>
      </c>
      <c r="BF705" s="407">
        <v>0</v>
      </c>
      <c r="BG705" s="407">
        <v>0.36076073268784964</v>
      </c>
      <c r="BH705" s="407">
        <v>0</v>
      </c>
      <c r="BI705" s="407">
        <v>0.01</v>
      </c>
      <c r="BJ705" s="407">
        <v>0.01</v>
      </c>
      <c r="BK705" s="407">
        <v>3.32</v>
      </c>
      <c r="BL705" s="407">
        <v>0</v>
      </c>
      <c r="BM705" s="407"/>
      <c r="BN705" s="407"/>
      <c r="BO705" s="407"/>
      <c r="BP705" s="407"/>
      <c r="BQ705" s="407"/>
      <c r="BR705" s="407"/>
      <c r="BS705" s="407"/>
      <c r="BT705" s="407">
        <v>6.6281599999999994</v>
      </c>
      <c r="BU705" s="407"/>
      <c r="BV705" s="407">
        <v>5.2961436675073381</v>
      </c>
      <c r="BW705" s="407"/>
      <c r="BX705" s="407"/>
      <c r="BY705" s="407"/>
      <c r="BZ705" s="407"/>
      <c r="CA705" s="407"/>
      <c r="CB705" s="407"/>
      <c r="CC705" s="407"/>
      <c r="CD705" s="407"/>
      <c r="CE705" s="407"/>
      <c r="CF705" s="407"/>
      <c r="CG705" s="407"/>
      <c r="CH705" s="407"/>
      <c r="CI705" s="407">
        <v>9.3206999999999987</v>
      </c>
      <c r="CJ705" s="407">
        <v>-4.2827400000000004</v>
      </c>
      <c r="CK705" s="407"/>
      <c r="CL705" s="407"/>
      <c r="CM705" s="407"/>
      <c r="CN705" s="407"/>
      <c r="CO705" s="407">
        <v>-6.9311999999999987</v>
      </c>
      <c r="CP705" s="407">
        <v>0.87903999999999993</v>
      </c>
      <c r="CQ705" s="407">
        <v>30</v>
      </c>
      <c r="CR705" s="407">
        <v>0.77276299705641804</v>
      </c>
      <c r="CS705" s="407">
        <v>0</v>
      </c>
      <c r="CT705" s="407">
        <v>0</v>
      </c>
      <c r="CU705" s="407">
        <v>0</v>
      </c>
      <c r="CV705" s="407">
        <v>0</v>
      </c>
      <c r="CW705" s="407">
        <v>0</v>
      </c>
      <c r="CX705" s="407">
        <v>0</v>
      </c>
      <c r="CY705" s="407">
        <v>0</v>
      </c>
      <c r="CZ705" s="407">
        <v>0.16860992050339174</v>
      </c>
      <c r="DA705" s="407">
        <v>0</v>
      </c>
      <c r="DB705" s="407">
        <v>0</v>
      </c>
      <c r="DC705" s="407">
        <v>0.97855315672751964</v>
      </c>
      <c r="DD705" s="407">
        <v>0</v>
      </c>
      <c r="DE705" s="407">
        <v>0</v>
      </c>
      <c r="DF705" s="407">
        <v>0</v>
      </c>
      <c r="DG705" s="407">
        <v>7.1529111004623946E-2</v>
      </c>
      <c r="DH705" s="407">
        <v>0</v>
      </c>
      <c r="DI705" s="407">
        <v>0</v>
      </c>
      <c r="DJ705" s="407"/>
      <c r="DK705" s="407">
        <v>0</v>
      </c>
      <c r="DL705" s="407">
        <v>0</v>
      </c>
      <c r="DM705" s="407">
        <v>0</v>
      </c>
      <c r="DN705" s="407">
        <v>0</v>
      </c>
      <c r="DO705" s="407">
        <v>0</v>
      </c>
      <c r="DP705" s="407">
        <v>-4.2310427042956747E-3</v>
      </c>
      <c r="DQ705" s="407">
        <v>0</v>
      </c>
      <c r="DR705" s="407">
        <v>-0.44169814847481859</v>
      </c>
      <c r="DS705" s="407"/>
      <c r="DT705" s="407"/>
      <c r="DU705" s="407"/>
      <c r="DV705" s="407">
        <v>13.361471705186466</v>
      </c>
      <c r="DW705" s="407">
        <v>0</v>
      </c>
      <c r="DX705" s="407">
        <v>0</v>
      </c>
      <c r="DY705" s="407">
        <v>-6.9312000000000005</v>
      </c>
      <c r="DZ705" s="407">
        <v>0.87903999999999982</v>
      </c>
      <c r="EA705" s="407">
        <v>0</v>
      </c>
      <c r="EB705" s="407">
        <v>0</v>
      </c>
      <c r="EC705" s="407">
        <v>-6.8250707806754889</v>
      </c>
      <c r="ED705" s="407">
        <v>0</v>
      </c>
      <c r="EE705" s="407">
        <v>0</v>
      </c>
      <c r="EF705" s="407">
        <v>0</v>
      </c>
      <c r="EG705" s="407">
        <v>0</v>
      </c>
      <c r="EH705" s="407">
        <v>0</v>
      </c>
      <c r="EI705" s="407">
        <v>0</v>
      </c>
      <c r="EJ705" s="407">
        <v>0</v>
      </c>
      <c r="EK705" s="407">
        <v>0</v>
      </c>
      <c r="EL705" s="407">
        <v>0</v>
      </c>
      <c r="EM705" s="407">
        <v>0</v>
      </c>
      <c r="EN705" s="407">
        <v>0</v>
      </c>
      <c r="EO705" s="407">
        <v>0</v>
      </c>
      <c r="EP705" s="407">
        <v>0</v>
      </c>
      <c r="EQ705" s="407">
        <v>0</v>
      </c>
      <c r="ER705" s="407">
        <v>0</v>
      </c>
      <c r="ES705" s="407">
        <v>0</v>
      </c>
      <c r="ET705" s="407">
        <v>0</v>
      </c>
      <c r="EU705" s="407">
        <v>0</v>
      </c>
      <c r="EV705" s="407">
        <v>246</v>
      </c>
      <c r="EW705" s="407">
        <v>0</v>
      </c>
      <c r="EX705" s="407">
        <v>0</v>
      </c>
      <c r="EY705" s="407">
        <v>0</v>
      </c>
      <c r="EZ705" s="407"/>
      <c r="FA705" s="407">
        <v>0</v>
      </c>
      <c r="FB705" s="407"/>
      <c r="FC705" s="407"/>
      <c r="FD705" s="407"/>
      <c r="FE705" s="407"/>
      <c r="FF705" s="407">
        <v>0</v>
      </c>
      <c r="FG705" s="407">
        <v>0</v>
      </c>
      <c r="FH705" s="407">
        <v>0</v>
      </c>
      <c r="FI705" s="407">
        <v>0</v>
      </c>
    </row>
    <row r="706" spans="1:165">
      <c r="A706" s="407">
        <v>733</v>
      </c>
      <c r="B706" s="407" t="s">
        <v>2309</v>
      </c>
      <c r="C706" s="407" t="s">
        <v>2306</v>
      </c>
      <c r="D706" s="407" t="s">
        <v>1218</v>
      </c>
      <c r="E706" s="407" t="s">
        <v>1021</v>
      </c>
      <c r="F706" s="407" t="s">
        <v>2311</v>
      </c>
      <c r="G706" s="407" t="s">
        <v>97</v>
      </c>
      <c r="H706" s="407" t="s">
        <v>97</v>
      </c>
      <c r="I706" s="407" t="s">
        <v>97</v>
      </c>
      <c r="J706" s="407" t="s">
        <v>2307</v>
      </c>
      <c r="K706" s="818">
        <v>44713</v>
      </c>
      <c r="L706" s="407">
        <v>0</v>
      </c>
      <c r="M706" s="407">
        <v>0</v>
      </c>
      <c r="N706" s="407">
        <v>7.0000000000000007E-2</v>
      </c>
      <c r="O706" s="407">
        <v>7.0000000000000007E-2</v>
      </c>
      <c r="P706" s="407">
        <v>7.0000000000000007E-2</v>
      </c>
      <c r="Q706" s="407">
        <v>7.0000000000000007E-2</v>
      </c>
      <c r="R706" s="407"/>
      <c r="S706" s="407">
        <v>547.54</v>
      </c>
      <c r="T706" s="407">
        <v>159.41</v>
      </c>
      <c r="U706" s="407"/>
      <c r="V706" s="407">
        <v>49.486500000000007</v>
      </c>
      <c r="W706" s="407">
        <v>49.486500000000007</v>
      </c>
      <c r="X706" s="407">
        <v>36.247399999999999</v>
      </c>
      <c r="Y706" s="407">
        <v>0</v>
      </c>
      <c r="Z706" s="407">
        <v>0</v>
      </c>
      <c r="AA706" s="407">
        <v>0</v>
      </c>
      <c r="AB706" s="407">
        <v>0</v>
      </c>
      <c r="AC706" s="407">
        <v>0</v>
      </c>
      <c r="AD706" s="407">
        <v>8.1651098348341211</v>
      </c>
      <c r="AE706" s="407">
        <v>29.228219355095394</v>
      </c>
      <c r="AF706" s="407">
        <v>10.796150169917631</v>
      </c>
      <c r="AG706" s="407">
        <v>0.36272230666774974</v>
      </c>
      <c r="AH706" s="407">
        <v>0</v>
      </c>
      <c r="AI706" s="407">
        <v>0</v>
      </c>
      <c r="AJ706" s="407">
        <v>0</v>
      </c>
      <c r="AK706" s="407">
        <v>0</v>
      </c>
      <c r="AL706" s="407">
        <v>0</v>
      </c>
      <c r="AM706" s="407"/>
      <c r="AN706" s="407">
        <v>0.14525669483348519</v>
      </c>
      <c r="AO706" s="407">
        <v>0</v>
      </c>
      <c r="AP706" s="407">
        <v>0</v>
      </c>
      <c r="AQ706" s="407">
        <v>0</v>
      </c>
      <c r="AR706" s="407">
        <v>0</v>
      </c>
      <c r="AS706" s="407">
        <v>0</v>
      </c>
      <c r="AT706" s="407">
        <v>0</v>
      </c>
      <c r="AU706" s="407">
        <v>0</v>
      </c>
      <c r="AV706" s="407">
        <v>0</v>
      </c>
      <c r="AW706" s="407">
        <v>0</v>
      </c>
      <c r="AX706" s="407">
        <v>0</v>
      </c>
      <c r="AY706" s="407">
        <v>0</v>
      </c>
      <c r="AZ706" s="407">
        <v>0</v>
      </c>
      <c r="BA706" s="407"/>
      <c r="BB706" s="407">
        <v>0</v>
      </c>
      <c r="BC706" s="407">
        <v>0</v>
      </c>
      <c r="BD706" s="407">
        <v>0</v>
      </c>
      <c r="BE706" s="407">
        <v>0</v>
      </c>
      <c r="BF706" s="407">
        <v>0</v>
      </c>
      <c r="BG706" s="407">
        <v>0.78916410275467108</v>
      </c>
      <c r="BH706" s="407">
        <v>0</v>
      </c>
      <c r="BI706" s="407">
        <v>0.05</v>
      </c>
      <c r="BJ706" s="407">
        <v>0.26</v>
      </c>
      <c r="BK706" s="407">
        <v>22.55</v>
      </c>
      <c r="BL706" s="407">
        <v>0</v>
      </c>
      <c r="BM706" s="407"/>
      <c r="BN706" s="407"/>
      <c r="BO706" s="407"/>
      <c r="BP706" s="407"/>
      <c r="BQ706" s="407"/>
      <c r="BR706" s="407"/>
      <c r="BS706" s="407"/>
      <c r="BT706" s="407">
        <v>14.499100000000002</v>
      </c>
      <c r="BU706" s="407"/>
      <c r="BV706" s="407">
        <v>11.585314272672303</v>
      </c>
      <c r="BW706" s="407"/>
      <c r="BX706" s="407"/>
      <c r="BY706" s="407"/>
      <c r="BZ706" s="407"/>
      <c r="CA706" s="407"/>
      <c r="CB706" s="407"/>
      <c r="CC706" s="407"/>
      <c r="CD706" s="407"/>
      <c r="CE706" s="407"/>
      <c r="CF706" s="407"/>
      <c r="CG706" s="407"/>
      <c r="CH706" s="407"/>
      <c r="CI706" s="407">
        <v>21.748300000000004</v>
      </c>
      <c r="CJ706" s="407">
        <v>-7.9736000000000047</v>
      </c>
      <c r="CK706" s="407"/>
      <c r="CL706" s="407"/>
      <c r="CM706" s="407"/>
      <c r="CN706" s="407"/>
      <c r="CO706" s="407">
        <v>-15.161999999999999</v>
      </c>
      <c r="CP706" s="407">
        <v>1.9229000000000001</v>
      </c>
      <c r="CQ706" s="407">
        <v>30</v>
      </c>
      <c r="CR706" s="407">
        <v>1.6904190560609216</v>
      </c>
      <c r="CS706" s="407">
        <v>0</v>
      </c>
      <c r="CT706" s="407">
        <v>0</v>
      </c>
      <c r="CU706" s="407">
        <v>0</v>
      </c>
      <c r="CV706" s="407">
        <v>0</v>
      </c>
      <c r="CW706" s="407">
        <v>0</v>
      </c>
      <c r="CX706" s="407">
        <v>0</v>
      </c>
      <c r="CY706" s="407">
        <v>0</v>
      </c>
      <c r="CZ706" s="407">
        <v>0.36883420110116916</v>
      </c>
      <c r="DA706" s="407">
        <v>0</v>
      </c>
      <c r="DB706" s="407">
        <v>0</v>
      </c>
      <c r="DC706" s="407">
        <v>2.14058503034145</v>
      </c>
      <c r="DD706" s="407">
        <v>0</v>
      </c>
      <c r="DE706" s="407">
        <v>0</v>
      </c>
      <c r="DF706" s="407">
        <v>0</v>
      </c>
      <c r="DG706" s="407">
        <v>0.15646993032261503</v>
      </c>
      <c r="DH706" s="407">
        <v>0</v>
      </c>
      <c r="DI706" s="407">
        <v>0</v>
      </c>
      <c r="DJ706" s="407"/>
      <c r="DK706" s="407">
        <v>0</v>
      </c>
      <c r="DL706" s="407">
        <v>0</v>
      </c>
      <c r="DM706" s="407">
        <v>0</v>
      </c>
      <c r="DN706" s="407">
        <v>0</v>
      </c>
      <c r="DO706" s="407">
        <v>0</v>
      </c>
      <c r="DP706" s="407">
        <v>-9.255405915646775E-3</v>
      </c>
      <c r="DQ706" s="407">
        <v>0</v>
      </c>
      <c r="DR706" s="407">
        <v>-0.9662146997886657</v>
      </c>
      <c r="DS706" s="407"/>
      <c r="DT706" s="407"/>
      <c r="DU706" s="407"/>
      <c r="DV706" s="407">
        <v>29.228219355095394</v>
      </c>
      <c r="DW706" s="407">
        <v>0</v>
      </c>
      <c r="DX706" s="407">
        <v>0</v>
      </c>
      <c r="DY706" s="407">
        <v>-15.162000000000003</v>
      </c>
      <c r="DZ706" s="407">
        <v>1.9229000000000003</v>
      </c>
      <c r="EA706" s="407">
        <v>0</v>
      </c>
      <c r="EB706" s="407">
        <v>0</v>
      </c>
      <c r="EC706" s="407">
        <v>-14.929842332727631</v>
      </c>
      <c r="ED706" s="407">
        <v>0</v>
      </c>
      <c r="EE706" s="407">
        <v>0</v>
      </c>
      <c r="EF706" s="407">
        <v>0</v>
      </c>
      <c r="EG706" s="407">
        <v>0</v>
      </c>
      <c r="EH706" s="407">
        <v>0</v>
      </c>
      <c r="EI706" s="407">
        <v>0</v>
      </c>
      <c r="EJ706" s="407">
        <v>0</v>
      </c>
      <c r="EK706" s="407">
        <v>0</v>
      </c>
      <c r="EL706" s="407">
        <v>0</v>
      </c>
      <c r="EM706" s="407">
        <v>0</v>
      </c>
      <c r="EN706" s="407">
        <v>0</v>
      </c>
      <c r="EO706" s="407">
        <v>0</v>
      </c>
      <c r="EP706" s="407">
        <v>0</v>
      </c>
      <c r="EQ706" s="407">
        <v>0</v>
      </c>
      <c r="ER706" s="407">
        <v>0</v>
      </c>
      <c r="ES706" s="407">
        <v>0</v>
      </c>
      <c r="ET706" s="407">
        <v>0</v>
      </c>
      <c r="EU706" s="407">
        <v>0</v>
      </c>
      <c r="EV706" s="407">
        <v>246</v>
      </c>
      <c r="EW706" s="407">
        <v>0</v>
      </c>
      <c r="EX706" s="407">
        <v>0</v>
      </c>
      <c r="EY706" s="407">
        <v>0</v>
      </c>
      <c r="EZ706" s="407"/>
      <c r="FA706" s="407">
        <v>0</v>
      </c>
      <c r="FB706" s="407"/>
      <c r="FC706" s="407"/>
      <c r="FD706" s="407"/>
      <c r="FE706" s="407"/>
      <c r="FF706" s="407">
        <v>0</v>
      </c>
      <c r="FG706" s="407">
        <v>0</v>
      </c>
      <c r="FH706" s="407">
        <v>0</v>
      </c>
      <c r="FI706" s="407">
        <v>0</v>
      </c>
    </row>
    <row r="707" spans="1:165">
      <c r="A707" s="407">
        <v>734</v>
      </c>
      <c r="B707" s="407" t="s">
        <v>1090</v>
      </c>
      <c r="C707" s="407" t="s">
        <v>2306</v>
      </c>
      <c r="D707" s="407" t="s">
        <v>1218</v>
      </c>
      <c r="E707" s="407" t="s">
        <v>1021</v>
      </c>
      <c r="F707" s="407" t="s">
        <v>2312</v>
      </c>
      <c r="G707" s="407" t="s">
        <v>97</v>
      </c>
      <c r="H707" s="407" t="s">
        <v>97</v>
      </c>
      <c r="I707" s="407" t="s">
        <v>97</v>
      </c>
      <c r="J707" s="407" t="s">
        <v>2307</v>
      </c>
      <c r="K707" s="818">
        <v>44713</v>
      </c>
      <c r="L707" s="407">
        <v>0</v>
      </c>
      <c r="M707" s="407">
        <v>0</v>
      </c>
      <c r="N707" s="407">
        <v>57.936</v>
      </c>
      <c r="O707" s="407">
        <v>57.936</v>
      </c>
      <c r="P707" s="407">
        <v>57.936</v>
      </c>
      <c r="Q707" s="407">
        <v>57.936</v>
      </c>
      <c r="R707" s="407"/>
      <c r="S707" s="407">
        <v>547.54</v>
      </c>
      <c r="T707" s="407">
        <v>159.41</v>
      </c>
      <c r="U707" s="407"/>
      <c r="V707" s="407">
        <v>40957.855199999998</v>
      </c>
      <c r="W707" s="407">
        <v>40957.855199999998</v>
      </c>
      <c r="X707" s="407">
        <v>30000.419519999999</v>
      </c>
      <c r="Y707" s="407">
        <v>0</v>
      </c>
      <c r="Z707" s="407">
        <v>0</v>
      </c>
      <c r="AA707" s="407">
        <v>0</v>
      </c>
      <c r="AB707" s="407">
        <v>0</v>
      </c>
      <c r="AC707" s="407">
        <v>0</v>
      </c>
      <c r="AD707" s="407">
        <v>6757.9114770135657</v>
      </c>
      <c r="AE707" s="407">
        <v>24190.944522240094</v>
      </c>
      <c r="AF707" s="407">
        <v>8935.5108034906825</v>
      </c>
      <c r="AG707" s="407">
        <v>300.20970798718213</v>
      </c>
      <c r="AH707" s="407">
        <v>0</v>
      </c>
      <c r="AI707" s="407">
        <v>0</v>
      </c>
      <c r="AJ707" s="407">
        <v>0</v>
      </c>
      <c r="AK707" s="407">
        <v>0</v>
      </c>
      <c r="AL707" s="407">
        <v>0</v>
      </c>
      <c r="AM707" s="407"/>
      <c r="AN707" s="407">
        <v>120.22274102675425</v>
      </c>
      <c r="AO707" s="407">
        <v>0</v>
      </c>
      <c r="AP707" s="407">
        <v>0</v>
      </c>
      <c r="AQ707" s="407">
        <v>0</v>
      </c>
      <c r="AR707" s="407">
        <v>0</v>
      </c>
      <c r="AS707" s="407">
        <v>0</v>
      </c>
      <c r="AT707" s="407">
        <v>0</v>
      </c>
      <c r="AU707" s="407">
        <v>0</v>
      </c>
      <c r="AV707" s="407">
        <v>0</v>
      </c>
      <c r="AW707" s="407">
        <v>0</v>
      </c>
      <c r="AX707" s="407">
        <v>0</v>
      </c>
      <c r="AY707" s="407">
        <v>0</v>
      </c>
      <c r="AZ707" s="407">
        <v>0</v>
      </c>
      <c r="BA707" s="407"/>
      <c r="BB707" s="407">
        <v>0</v>
      </c>
      <c r="BC707" s="407">
        <v>0</v>
      </c>
      <c r="BD707" s="407">
        <v>0</v>
      </c>
      <c r="BE707" s="407">
        <v>0</v>
      </c>
      <c r="BF707" s="407">
        <v>0</v>
      </c>
      <c r="BG707" s="407">
        <v>653.15730653135176</v>
      </c>
      <c r="BH707" s="407">
        <v>0</v>
      </c>
      <c r="BI707" s="407">
        <v>69.47</v>
      </c>
      <c r="BJ707" s="407">
        <v>313.44</v>
      </c>
      <c r="BK707" s="407">
        <v>9123.4500000000007</v>
      </c>
      <c r="BL707" s="407">
        <v>720</v>
      </c>
      <c r="BM707" s="407"/>
      <c r="BN707" s="407"/>
      <c r="BO707" s="407"/>
      <c r="BP707" s="407"/>
      <c r="BQ707" s="407"/>
      <c r="BR707" s="407"/>
      <c r="BS707" s="407"/>
      <c r="BT707" s="407">
        <v>3000.5054400000008</v>
      </c>
      <c r="BU707" s="407"/>
      <c r="BV707" s="407">
        <v>9588.6681100220339</v>
      </c>
      <c r="BW707" s="407"/>
      <c r="BX707" s="407"/>
      <c r="BY707" s="407"/>
      <c r="BZ707" s="407"/>
      <c r="CA707" s="407"/>
      <c r="CB707" s="407"/>
      <c r="CC707" s="407"/>
      <c r="CD707" s="407"/>
      <c r="CE707" s="407"/>
      <c r="CF707" s="407"/>
      <c r="CG707" s="407"/>
      <c r="CH707" s="407"/>
      <c r="CI707" s="407">
        <v>27001.778199999997</v>
      </c>
      <c r="CJ707" s="407">
        <v>-9860.611160000004</v>
      </c>
      <c r="CK707" s="407"/>
      <c r="CL707" s="407"/>
      <c r="CM707" s="407"/>
      <c r="CN707" s="407"/>
      <c r="CO707" s="407">
        <v>-12548.937599999997</v>
      </c>
      <c r="CP707" s="407">
        <v>1591.5019199999999</v>
      </c>
      <c r="CQ707" s="407">
        <v>30</v>
      </c>
      <c r="CR707" s="407">
        <v>1399.0874061706454</v>
      </c>
      <c r="CS707" s="407">
        <v>0</v>
      </c>
      <c r="CT707" s="407">
        <v>0</v>
      </c>
      <c r="CU707" s="407">
        <v>0</v>
      </c>
      <c r="CV707" s="407">
        <v>0</v>
      </c>
      <c r="CW707" s="407">
        <v>0</v>
      </c>
      <c r="CX707" s="407">
        <v>0</v>
      </c>
      <c r="CY707" s="407">
        <v>0</v>
      </c>
      <c r="CZ707" s="407">
        <v>305.26826107139095</v>
      </c>
      <c r="DA707" s="407">
        <v>0</v>
      </c>
      <c r="DB707" s="407">
        <v>0</v>
      </c>
      <c r="DC707" s="407">
        <v>1771.6704902551755</v>
      </c>
      <c r="DD707" s="407">
        <v>0</v>
      </c>
      <c r="DE707" s="407">
        <v>0</v>
      </c>
      <c r="DF707" s="407">
        <v>0</v>
      </c>
      <c r="DG707" s="407">
        <v>129.50345547387167</v>
      </c>
      <c r="DH707" s="407">
        <v>0</v>
      </c>
      <c r="DI707" s="407">
        <v>0</v>
      </c>
      <c r="DJ707" s="407"/>
      <c r="DK707" s="407">
        <v>0</v>
      </c>
      <c r="DL707" s="407">
        <v>0</v>
      </c>
      <c r="DM707" s="407">
        <v>0</v>
      </c>
      <c r="DN707" s="407">
        <v>0</v>
      </c>
      <c r="DO707" s="407">
        <v>0</v>
      </c>
      <c r="DP707" s="407">
        <v>-7.660302816127313</v>
      </c>
      <c r="DQ707" s="407">
        <v>0</v>
      </c>
      <c r="DR707" s="407">
        <v>-799.69449781365904</v>
      </c>
      <c r="DS707" s="407"/>
      <c r="DT707" s="407"/>
      <c r="DU707" s="407"/>
      <c r="DV707" s="407">
        <v>24190.944522240094</v>
      </c>
      <c r="DW707" s="407">
        <v>0</v>
      </c>
      <c r="DX707" s="407">
        <v>0</v>
      </c>
      <c r="DY707" s="407">
        <v>-12548.937599999997</v>
      </c>
      <c r="DZ707" s="407">
        <v>1591.5019199999988</v>
      </c>
      <c r="EA707" s="407">
        <v>0</v>
      </c>
      <c r="EB707" s="407">
        <v>0</v>
      </c>
      <c r="EC707" s="407">
        <v>-12356.790648412971</v>
      </c>
      <c r="ED707" s="407">
        <v>0</v>
      </c>
      <c r="EE707" s="407">
        <v>0</v>
      </c>
      <c r="EF707" s="407">
        <v>0</v>
      </c>
      <c r="EG707" s="407">
        <v>0</v>
      </c>
      <c r="EH707" s="407">
        <v>0</v>
      </c>
      <c r="EI707" s="407">
        <v>0</v>
      </c>
      <c r="EJ707" s="407">
        <v>0</v>
      </c>
      <c r="EK707" s="407">
        <v>0</v>
      </c>
      <c r="EL707" s="407">
        <v>0</v>
      </c>
      <c r="EM707" s="407">
        <v>0</v>
      </c>
      <c r="EN707" s="407">
        <v>0</v>
      </c>
      <c r="EO707" s="407">
        <v>0</v>
      </c>
      <c r="EP707" s="407">
        <v>0</v>
      </c>
      <c r="EQ707" s="407">
        <v>0</v>
      </c>
      <c r="ER707" s="407">
        <v>0</v>
      </c>
      <c r="ES707" s="407">
        <v>0</v>
      </c>
      <c r="ET707" s="407">
        <v>0</v>
      </c>
      <c r="EU707" s="407">
        <v>0</v>
      </c>
      <c r="EV707" s="407">
        <v>246</v>
      </c>
      <c r="EW707" s="407">
        <v>0</v>
      </c>
      <c r="EX707" s="407">
        <v>0</v>
      </c>
      <c r="EY707" s="407">
        <v>0</v>
      </c>
      <c r="EZ707" s="407"/>
      <c r="FA707" s="407">
        <v>0</v>
      </c>
      <c r="FB707" s="407"/>
      <c r="FC707" s="407"/>
      <c r="FD707" s="407"/>
      <c r="FE707" s="407"/>
      <c r="FF707" s="407">
        <v>0</v>
      </c>
      <c r="FG707" s="407">
        <v>0</v>
      </c>
      <c r="FH707" s="407">
        <v>0</v>
      </c>
      <c r="FI707" s="407">
        <v>0</v>
      </c>
    </row>
    <row r="708" spans="1:165">
      <c r="A708" s="407">
        <v>735</v>
      </c>
      <c r="B708" s="407" t="s">
        <v>2308</v>
      </c>
      <c r="C708" s="407" t="s">
        <v>2306</v>
      </c>
      <c r="D708" s="407" t="s">
        <v>1218</v>
      </c>
      <c r="E708" s="407" t="s">
        <v>1021</v>
      </c>
      <c r="F708" s="407" t="s">
        <v>2312</v>
      </c>
      <c r="G708" s="407" t="s">
        <v>97</v>
      </c>
      <c r="H708" s="407" t="s">
        <v>97</v>
      </c>
      <c r="I708" s="407" t="s">
        <v>97</v>
      </c>
      <c r="J708" s="407" t="s">
        <v>2307</v>
      </c>
      <c r="K708" s="818">
        <v>44713</v>
      </c>
      <c r="L708" s="407">
        <v>0</v>
      </c>
      <c r="M708" s="407">
        <v>0</v>
      </c>
      <c r="N708" s="407">
        <v>0.12</v>
      </c>
      <c r="O708" s="407">
        <v>0.12</v>
      </c>
      <c r="P708" s="407">
        <v>0.12</v>
      </c>
      <c r="Q708" s="407">
        <v>0.12</v>
      </c>
      <c r="R708" s="407"/>
      <c r="S708" s="407">
        <v>547.54</v>
      </c>
      <c r="T708" s="407">
        <v>159.41</v>
      </c>
      <c r="U708" s="407"/>
      <c r="V708" s="407">
        <v>84.833999999999989</v>
      </c>
      <c r="W708" s="407">
        <v>84.833999999999989</v>
      </c>
      <c r="X708" s="407">
        <v>62.138400000000004</v>
      </c>
      <c r="Y708" s="407">
        <v>0</v>
      </c>
      <c r="Z708" s="407">
        <v>0</v>
      </c>
      <c r="AA708" s="407">
        <v>0</v>
      </c>
      <c r="AB708" s="407">
        <v>0</v>
      </c>
      <c r="AC708" s="407">
        <v>0</v>
      </c>
      <c r="AD708" s="407">
        <v>13.99733114542992</v>
      </c>
      <c r="AE708" s="407">
        <v>50.10551889444924</v>
      </c>
      <c r="AF708" s="407">
        <v>18.507686005573078</v>
      </c>
      <c r="AG708" s="407">
        <v>0.62180966857328523</v>
      </c>
      <c r="AH708" s="407">
        <v>0</v>
      </c>
      <c r="AI708" s="407">
        <v>0</v>
      </c>
      <c r="AJ708" s="407">
        <v>0</v>
      </c>
      <c r="AK708" s="407">
        <v>0</v>
      </c>
      <c r="AL708" s="407">
        <v>0</v>
      </c>
      <c r="AM708" s="407"/>
      <c r="AN708" s="407">
        <v>0.24901147685740316</v>
      </c>
      <c r="AO708" s="407">
        <v>0</v>
      </c>
      <c r="AP708" s="407">
        <v>0</v>
      </c>
      <c r="AQ708" s="407">
        <v>0</v>
      </c>
      <c r="AR708" s="407">
        <v>0</v>
      </c>
      <c r="AS708" s="407">
        <v>0</v>
      </c>
      <c r="AT708" s="407">
        <v>0</v>
      </c>
      <c r="AU708" s="407">
        <v>0</v>
      </c>
      <c r="AV708" s="407">
        <v>0</v>
      </c>
      <c r="AW708" s="407">
        <v>0</v>
      </c>
      <c r="AX708" s="407">
        <v>0</v>
      </c>
      <c r="AY708" s="407">
        <v>0</v>
      </c>
      <c r="AZ708" s="407">
        <v>0</v>
      </c>
      <c r="BA708" s="407"/>
      <c r="BB708" s="407">
        <v>0</v>
      </c>
      <c r="BC708" s="407">
        <v>0</v>
      </c>
      <c r="BD708" s="407">
        <v>0</v>
      </c>
      <c r="BE708" s="407">
        <v>0</v>
      </c>
      <c r="BF708" s="407">
        <v>0</v>
      </c>
      <c r="BG708" s="407">
        <v>1.3528527475794361</v>
      </c>
      <c r="BH708" s="407">
        <v>0</v>
      </c>
      <c r="BI708" s="407">
        <v>0.02</v>
      </c>
      <c r="BJ708" s="407">
        <v>0.1</v>
      </c>
      <c r="BK708" s="407">
        <v>18.68</v>
      </c>
      <c r="BL708" s="407">
        <v>0</v>
      </c>
      <c r="BM708" s="407"/>
      <c r="BN708" s="407"/>
      <c r="BO708" s="407"/>
      <c r="BP708" s="407"/>
      <c r="BQ708" s="407"/>
      <c r="BR708" s="407"/>
      <c r="BS708" s="407"/>
      <c r="BT708" s="407">
        <v>6.2148000000000021</v>
      </c>
      <c r="BU708" s="407"/>
      <c r="BV708" s="407">
        <v>19.860538753152515</v>
      </c>
      <c r="BW708" s="407"/>
      <c r="BX708" s="407"/>
      <c r="BY708" s="407"/>
      <c r="BZ708" s="407"/>
      <c r="CA708" s="407"/>
      <c r="CB708" s="407"/>
      <c r="CC708" s="407"/>
      <c r="CD708" s="407"/>
      <c r="CE708" s="407"/>
      <c r="CF708" s="407"/>
      <c r="CG708" s="407"/>
      <c r="CH708" s="407"/>
      <c r="CI708" s="407">
        <v>55.923599999999993</v>
      </c>
      <c r="CJ708" s="407">
        <v>-20.457599999999999</v>
      </c>
      <c r="CK708" s="407"/>
      <c r="CL708" s="407"/>
      <c r="CM708" s="407"/>
      <c r="CN708" s="407"/>
      <c r="CO708" s="407">
        <v>-25.991999999999994</v>
      </c>
      <c r="CP708" s="407">
        <v>3.2963999999999998</v>
      </c>
      <c r="CQ708" s="407">
        <v>30</v>
      </c>
      <c r="CR708" s="407">
        <v>2.8978612389615748</v>
      </c>
      <c r="CS708" s="407">
        <v>0</v>
      </c>
      <c r="CT708" s="407">
        <v>0</v>
      </c>
      <c r="CU708" s="407">
        <v>0</v>
      </c>
      <c r="CV708" s="407">
        <v>0</v>
      </c>
      <c r="CW708" s="407">
        <v>0</v>
      </c>
      <c r="CX708" s="407">
        <v>0</v>
      </c>
      <c r="CY708" s="407">
        <v>0</v>
      </c>
      <c r="CZ708" s="407">
        <v>0.63228720188771881</v>
      </c>
      <c r="DA708" s="407">
        <v>0</v>
      </c>
      <c r="DB708" s="407">
        <v>0</v>
      </c>
      <c r="DC708" s="407">
        <v>3.6695743377282</v>
      </c>
      <c r="DD708" s="407">
        <v>0</v>
      </c>
      <c r="DE708" s="407">
        <v>0</v>
      </c>
      <c r="DF708" s="407">
        <v>0</v>
      </c>
      <c r="DG708" s="407">
        <v>0.26823416626733976</v>
      </c>
      <c r="DH708" s="407">
        <v>0</v>
      </c>
      <c r="DI708" s="407">
        <v>0</v>
      </c>
      <c r="DJ708" s="407"/>
      <c r="DK708" s="407">
        <v>0</v>
      </c>
      <c r="DL708" s="407">
        <v>0</v>
      </c>
      <c r="DM708" s="407">
        <v>0</v>
      </c>
      <c r="DN708" s="407">
        <v>0</v>
      </c>
      <c r="DO708" s="407">
        <v>0</v>
      </c>
      <c r="DP708" s="407">
        <v>-1.5866410141108761E-2</v>
      </c>
      <c r="DQ708" s="407">
        <v>0</v>
      </c>
      <c r="DR708" s="407">
        <v>-1.6563680567805696</v>
      </c>
      <c r="DS708" s="407"/>
      <c r="DT708" s="407"/>
      <c r="DU708" s="407"/>
      <c r="DV708" s="407">
        <v>50.10551889444924</v>
      </c>
      <c r="DW708" s="407">
        <v>0</v>
      </c>
      <c r="DX708" s="407">
        <v>0</v>
      </c>
      <c r="DY708" s="407">
        <v>-25.99199999999999</v>
      </c>
      <c r="DZ708" s="407">
        <v>3.296400000000002</v>
      </c>
      <c r="EA708" s="407">
        <v>0</v>
      </c>
      <c r="EB708" s="407">
        <v>0</v>
      </c>
      <c r="EC708" s="407">
        <v>-25.59401542753308</v>
      </c>
      <c r="ED708" s="407">
        <v>0</v>
      </c>
      <c r="EE708" s="407">
        <v>0</v>
      </c>
      <c r="EF708" s="407">
        <v>0</v>
      </c>
      <c r="EG708" s="407">
        <v>0</v>
      </c>
      <c r="EH708" s="407">
        <v>0</v>
      </c>
      <c r="EI708" s="407">
        <v>0</v>
      </c>
      <c r="EJ708" s="407">
        <v>0</v>
      </c>
      <c r="EK708" s="407">
        <v>0</v>
      </c>
      <c r="EL708" s="407">
        <v>0</v>
      </c>
      <c r="EM708" s="407">
        <v>0</v>
      </c>
      <c r="EN708" s="407">
        <v>0</v>
      </c>
      <c r="EO708" s="407">
        <v>0</v>
      </c>
      <c r="EP708" s="407">
        <v>0</v>
      </c>
      <c r="EQ708" s="407">
        <v>0</v>
      </c>
      <c r="ER708" s="407">
        <v>0</v>
      </c>
      <c r="ES708" s="407">
        <v>0</v>
      </c>
      <c r="ET708" s="407">
        <v>0</v>
      </c>
      <c r="EU708" s="407">
        <v>0</v>
      </c>
      <c r="EV708" s="407">
        <v>246</v>
      </c>
      <c r="EW708" s="407">
        <v>0</v>
      </c>
      <c r="EX708" s="407">
        <v>0</v>
      </c>
      <c r="EY708" s="407">
        <v>0</v>
      </c>
      <c r="EZ708" s="407"/>
      <c r="FA708" s="407">
        <v>0</v>
      </c>
      <c r="FB708" s="407"/>
      <c r="FC708" s="407"/>
      <c r="FD708" s="407"/>
      <c r="FE708" s="407"/>
      <c r="FF708" s="407">
        <v>0</v>
      </c>
      <c r="FG708" s="407">
        <v>0</v>
      </c>
      <c r="FH708" s="407">
        <v>0</v>
      </c>
      <c r="FI708" s="407">
        <v>0</v>
      </c>
    </row>
    <row r="709" spans="1:165">
      <c r="A709" s="407">
        <v>736</v>
      </c>
      <c r="B709" s="407" t="s">
        <v>2309</v>
      </c>
      <c r="C709" s="407" t="s">
        <v>2306</v>
      </c>
      <c r="D709" s="407" t="s">
        <v>1218</v>
      </c>
      <c r="E709" s="407" t="s">
        <v>1021</v>
      </c>
      <c r="F709" s="407" t="s">
        <v>2312</v>
      </c>
      <c r="G709" s="407" t="s">
        <v>97</v>
      </c>
      <c r="H709" s="407" t="s">
        <v>97</v>
      </c>
      <c r="I709" s="407" t="s">
        <v>97</v>
      </c>
      <c r="J709" s="407" t="s">
        <v>2307</v>
      </c>
      <c r="K709" s="818">
        <v>44713</v>
      </c>
      <c r="L709" s="407">
        <v>0</v>
      </c>
      <c r="M709" s="407">
        <v>0</v>
      </c>
      <c r="N709" s="407">
        <v>3.5999999999999997E-2</v>
      </c>
      <c r="O709" s="407">
        <v>3.5999999999999997E-2</v>
      </c>
      <c r="P709" s="407">
        <v>3.5999999999999997E-2</v>
      </c>
      <c r="Q709" s="407">
        <v>3.5999999999999997E-2</v>
      </c>
      <c r="R709" s="407"/>
      <c r="S709" s="407">
        <v>547.54</v>
      </c>
      <c r="T709" s="407">
        <v>159.41</v>
      </c>
      <c r="U709" s="407"/>
      <c r="V709" s="407">
        <v>25.450199999999995</v>
      </c>
      <c r="W709" s="407">
        <v>25.450199999999995</v>
      </c>
      <c r="X709" s="407">
        <v>18.64152</v>
      </c>
      <c r="Y709" s="407">
        <v>0</v>
      </c>
      <c r="Z709" s="407">
        <v>0</v>
      </c>
      <c r="AA709" s="407">
        <v>0</v>
      </c>
      <c r="AB709" s="407">
        <v>0</v>
      </c>
      <c r="AC709" s="407">
        <v>0</v>
      </c>
      <c r="AD709" s="407">
        <v>4.1991993436289761</v>
      </c>
      <c r="AE709" s="407">
        <v>15.031655668334771</v>
      </c>
      <c r="AF709" s="407">
        <v>5.5523058016719231</v>
      </c>
      <c r="AG709" s="407">
        <v>0.18654290057198555</v>
      </c>
      <c r="AH709" s="407">
        <v>0</v>
      </c>
      <c r="AI709" s="407">
        <v>0</v>
      </c>
      <c r="AJ709" s="407">
        <v>0</v>
      </c>
      <c r="AK709" s="407">
        <v>0</v>
      </c>
      <c r="AL709" s="407">
        <v>0</v>
      </c>
      <c r="AM709" s="407"/>
      <c r="AN709" s="407">
        <v>7.4703443057220945E-2</v>
      </c>
      <c r="AO709" s="407">
        <v>0</v>
      </c>
      <c r="AP709" s="407">
        <v>0</v>
      </c>
      <c r="AQ709" s="407">
        <v>0</v>
      </c>
      <c r="AR709" s="407">
        <v>0</v>
      </c>
      <c r="AS709" s="407">
        <v>0</v>
      </c>
      <c r="AT709" s="407">
        <v>0</v>
      </c>
      <c r="AU709" s="407">
        <v>0</v>
      </c>
      <c r="AV709" s="407">
        <v>0</v>
      </c>
      <c r="AW709" s="407">
        <v>0</v>
      </c>
      <c r="AX709" s="407">
        <v>0</v>
      </c>
      <c r="AY709" s="407">
        <v>0</v>
      </c>
      <c r="AZ709" s="407">
        <v>0</v>
      </c>
      <c r="BA709" s="407"/>
      <c r="BB709" s="407">
        <v>0</v>
      </c>
      <c r="BC709" s="407">
        <v>0</v>
      </c>
      <c r="BD709" s="407">
        <v>0</v>
      </c>
      <c r="BE709" s="407">
        <v>0</v>
      </c>
      <c r="BF709" s="407">
        <v>0</v>
      </c>
      <c r="BG709" s="407">
        <v>0.40585582427383077</v>
      </c>
      <c r="BH709" s="407">
        <v>0</v>
      </c>
      <c r="BI709" s="407">
        <v>0.04</v>
      </c>
      <c r="BJ709" s="407">
        <v>0.2</v>
      </c>
      <c r="BK709" s="407">
        <v>52.81</v>
      </c>
      <c r="BL709" s="407">
        <v>2</v>
      </c>
      <c r="BM709" s="407"/>
      <c r="BN709" s="407"/>
      <c r="BO709" s="407"/>
      <c r="BP709" s="407"/>
      <c r="BQ709" s="407"/>
      <c r="BR709" s="407"/>
      <c r="BS709" s="407"/>
      <c r="BT709" s="407">
        <v>1.8644400000000005</v>
      </c>
      <c r="BU709" s="407"/>
      <c r="BV709" s="407">
        <v>5.9581616259457535</v>
      </c>
      <c r="BW709" s="407"/>
      <c r="BX709" s="407"/>
      <c r="BY709" s="407"/>
      <c r="BZ709" s="407"/>
      <c r="CA709" s="407"/>
      <c r="CB709" s="407"/>
      <c r="CC709" s="407"/>
      <c r="CD709" s="407"/>
      <c r="CE709" s="407"/>
      <c r="CF709" s="407"/>
      <c r="CG709" s="407"/>
      <c r="CH709" s="407"/>
      <c r="CI709" s="407">
        <v>18.641199999999998</v>
      </c>
      <c r="CJ709" s="407">
        <v>-4.2941600000000051</v>
      </c>
      <c r="CK709" s="407"/>
      <c r="CL709" s="407"/>
      <c r="CM709" s="407"/>
      <c r="CN709" s="407"/>
      <c r="CO709" s="407">
        <v>-7.7975999999999983</v>
      </c>
      <c r="CP709" s="407">
        <v>0.98891999999999991</v>
      </c>
      <c r="CQ709" s="407">
        <v>30</v>
      </c>
      <c r="CR709" s="407">
        <v>0.8693583716884774</v>
      </c>
      <c r="CS709" s="407">
        <v>0</v>
      </c>
      <c r="CT709" s="407">
        <v>0</v>
      </c>
      <c r="CU709" s="407">
        <v>0</v>
      </c>
      <c r="CV709" s="407">
        <v>0</v>
      </c>
      <c r="CW709" s="407">
        <v>0</v>
      </c>
      <c r="CX709" s="407">
        <v>0</v>
      </c>
      <c r="CY709" s="407">
        <v>0</v>
      </c>
      <c r="CZ709" s="407">
        <v>0.18968616056631582</v>
      </c>
      <c r="DA709" s="407">
        <v>0</v>
      </c>
      <c r="DB709" s="407">
        <v>0</v>
      </c>
      <c r="DC709" s="407">
        <v>1.1008723013184607</v>
      </c>
      <c r="DD709" s="407">
        <v>0</v>
      </c>
      <c r="DE709" s="407">
        <v>0</v>
      </c>
      <c r="DF709" s="407">
        <v>0</v>
      </c>
      <c r="DG709" s="407">
        <v>8.0470249880202016E-2</v>
      </c>
      <c r="DH709" s="407">
        <v>0</v>
      </c>
      <c r="DI709" s="407">
        <v>0</v>
      </c>
      <c r="DJ709" s="407"/>
      <c r="DK709" s="407">
        <v>0</v>
      </c>
      <c r="DL709" s="407">
        <v>0</v>
      </c>
      <c r="DM709" s="407">
        <v>0</v>
      </c>
      <c r="DN709" s="407">
        <v>0</v>
      </c>
      <c r="DO709" s="407">
        <v>0</v>
      </c>
      <c r="DP709" s="407">
        <v>-4.7599230423326366E-3</v>
      </c>
      <c r="DQ709" s="407">
        <v>0</v>
      </c>
      <c r="DR709" s="407">
        <v>-0.49691041703417083</v>
      </c>
      <c r="DS709" s="407"/>
      <c r="DT709" s="407"/>
      <c r="DU709" s="407"/>
      <c r="DV709" s="407">
        <v>15.031655668334771</v>
      </c>
      <c r="DW709" s="407">
        <v>0</v>
      </c>
      <c r="DX709" s="407">
        <v>0</v>
      </c>
      <c r="DY709" s="407">
        <v>-7.7975999999999974</v>
      </c>
      <c r="DZ709" s="407">
        <v>0.98892000000000024</v>
      </c>
      <c r="EA709" s="407">
        <v>0</v>
      </c>
      <c r="EB709" s="407">
        <v>0</v>
      </c>
      <c r="EC709" s="407">
        <v>-7.6782046282599232</v>
      </c>
      <c r="ED709" s="407">
        <v>0</v>
      </c>
      <c r="EE709" s="407">
        <v>0</v>
      </c>
      <c r="EF709" s="407">
        <v>0</v>
      </c>
      <c r="EG709" s="407">
        <v>0</v>
      </c>
      <c r="EH709" s="407">
        <v>0</v>
      </c>
      <c r="EI709" s="407">
        <v>0</v>
      </c>
      <c r="EJ709" s="407">
        <v>0</v>
      </c>
      <c r="EK709" s="407">
        <v>0</v>
      </c>
      <c r="EL709" s="407">
        <v>0</v>
      </c>
      <c r="EM709" s="407">
        <v>0</v>
      </c>
      <c r="EN709" s="407">
        <v>0</v>
      </c>
      <c r="EO709" s="407">
        <v>0</v>
      </c>
      <c r="EP709" s="407">
        <v>0</v>
      </c>
      <c r="EQ709" s="407">
        <v>0</v>
      </c>
      <c r="ER709" s="407">
        <v>0</v>
      </c>
      <c r="ES709" s="407">
        <v>0</v>
      </c>
      <c r="ET709" s="407">
        <v>0</v>
      </c>
      <c r="EU709" s="407">
        <v>0</v>
      </c>
      <c r="EV709" s="407">
        <v>246</v>
      </c>
      <c r="EW709" s="407">
        <v>0</v>
      </c>
      <c r="EX709" s="407">
        <v>0</v>
      </c>
      <c r="EY709" s="407">
        <v>0</v>
      </c>
      <c r="EZ709" s="407"/>
      <c r="FA709" s="407">
        <v>0</v>
      </c>
      <c r="FB709" s="407"/>
      <c r="FC709" s="407"/>
      <c r="FD709" s="407"/>
      <c r="FE709" s="407"/>
      <c r="FF709" s="407">
        <v>0</v>
      </c>
      <c r="FG709" s="407">
        <v>0</v>
      </c>
      <c r="FH709" s="407">
        <v>0</v>
      </c>
      <c r="FI709" s="407">
        <v>0</v>
      </c>
    </row>
    <row r="710" spans="1:165">
      <c r="A710" s="407">
        <v>737</v>
      </c>
      <c r="B710" s="407" t="s">
        <v>1090</v>
      </c>
      <c r="C710" s="407" t="s">
        <v>2306</v>
      </c>
      <c r="D710" s="407" t="s">
        <v>1218</v>
      </c>
      <c r="E710" s="407" t="s">
        <v>1021</v>
      </c>
      <c r="F710" s="407" t="s">
        <v>2313</v>
      </c>
      <c r="G710" s="407" t="s">
        <v>97</v>
      </c>
      <c r="H710" s="407" t="s">
        <v>97</v>
      </c>
      <c r="I710" s="407" t="s">
        <v>97</v>
      </c>
      <c r="J710" s="407" t="s">
        <v>2307</v>
      </c>
      <c r="K710" s="818">
        <v>44713</v>
      </c>
      <c r="L710" s="407">
        <v>0</v>
      </c>
      <c r="M710" s="407">
        <v>0</v>
      </c>
      <c r="N710" s="407">
        <v>14.487</v>
      </c>
      <c r="O710" s="407">
        <v>14.487</v>
      </c>
      <c r="P710" s="407">
        <v>14.487</v>
      </c>
      <c r="Q710" s="407">
        <v>14.487</v>
      </c>
      <c r="R710" s="407"/>
      <c r="S710" s="407">
        <v>547.54</v>
      </c>
      <c r="T710" s="407">
        <v>159.41</v>
      </c>
      <c r="U710" s="407"/>
      <c r="V710" s="407">
        <v>10241.584649999999</v>
      </c>
      <c r="W710" s="407">
        <v>10241.584649999999</v>
      </c>
      <c r="X710" s="407">
        <v>7501.65834</v>
      </c>
      <c r="Y710" s="407">
        <v>0</v>
      </c>
      <c r="Z710" s="407">
        <v>0</v>
      </c>
      <c r="AA710" s="407">
        <v>0</v>
      </c>
      <c r="AB710" s="407">
        <v>0</v>
      </c>
      <c r="AC710" s="407">
        <v>0</v>
      </c>
      <c r="AD710" s="407">
        <v>1689.8278025320271</v>
      </c>
      <c r="AE710" s="407">
        <v>6048.9887685323847</v>
      </c>
      <c r="AF710" s="407">
        <v>2234.3403930228101</v>
      </c>
      <c r="AG710" s="407">
        <v>75.067972238509867</v>
      </c>
      <c r="AH710" s="407">
        <v>0</v>
      </c>
      <c r="AI710" s="407">
        <v>0</v>
      </c>
      <c r="AJ710" s="407">
        <v>0</v>
      </c>
      <c r="AK710" s="407">
        <v>0</v>
      </c>
      <c r="AL710" s="407">
        <v>0</v>
      </c>
      <c r="AM710" s="407"/>
      <c r="AN710" s="407">
        <v>30.061910543609997</v>
      </c>
      <c r="AO710" s="407">
        <v>0</v>
      </c>
      <c r="AP710" s="407">
        <v>0</v>
      </c>
      <c r="AQ710" s="407">
        <v>0</v>
      </c>
      <c r="AR710" s="407">
        <v>0</v>
      </c>
      <c r="AS710" s="407">
        <v>0</v>
      </c>
      <c r="AT710" s="407">
        <v>0</v>
      </c>
      <c r="AU710" s="407">
        <v>0</v>
      </c>
      <c r="AV710" s="407">
        <v>0</v>
      </c>
      <c r="AW710" s="407">
        <v>0</v>
      </c>
      <c r="AX710" s="407">
        <v>0</v>
      </c>
      <c r="AY710" s="407">
        <v>0</v>
      </c>
      <c r="AZ710" s="407">
        <v>0</v>
      </c>
      <c r="BA710" s="407"/>
      <c r="BB710" s="407">
        <v>0</v>
      </c>
      <c r="BC710" s="407">
        <v>0</v>
      </c>
      <c r="BD710" s="407">
        <v>0</v>
      </c>
      <c r="BE710" s="407">
        <v>0</v>
      </c>
      <c r="BF710" s="407">
        <v>0</v>
      </c>
      <c r="BG710" s="407">
        <v>163.3231479515274</v>
      </c>
      <c r="BH710" s="407">
        <v>0</v>
      </c>
      <c r="BI710" s="407">
        <v>19.5</v>
      </c>
      <c r="BJ710" s="407">
        <v>87.83</v>
      </c>
      <c r="BK710" s="407">
        <v>2536.04</v>
      </c>
      <c r="BL710" s="407">
        <v>184</v>
      </c>
      <c r="BM710" s="407"/>
      <c r="BN710" s="407"/>
      <c r="BO710" s="407"/>
      <c r="BP710" s="407"/>
      <c r="BQ710" s="407"/>
      <c r="BR710" s="407"/>
      <c r="BS710" s="407"/>
      <c r="BT710" s="407"/>
      <c r="BU710" s="407"/>
      <c r="BV710" s="407">
        <v>2397.6635409743376</v>
      </c>
      <c r="BW710" s="407"/>
      <c r="BX710" s="407"/>
      <c r="BY710" s="407"/>
      <c r="BZ710" s="407"/>
      <c r="CA710" s="407"/>
      <c r="CB710" s="407"/>
      <c r="CC710" s="407"/>
      <c r="CD710" s="407"/>
      <c r="CE710" s="407"/>
      <c r="CF710" s="407"/>
      <c r="CG710" s="407"/>
      <c r="CH710" s="407"/>
      <c r="CI710" s="407">
        <v>7503.2118</v>
      </c>
      <c r="CJ710" s="407">
        <v>-2738.4028499999995</v>
      </c>
      <c r="CK710" s="407"/>
      <c r="CL710" s="407"/>
      <c r="CM710" s="407"/>
      <c r="CN710" s="407"/>
      <c r="CO710" s="407">
        <v>-3137.8841999999995</v>
      </c>
      <c r="CP710" s="407">
        <v>397.95788999999996</v>
      </c>
      <c r="CQ710" s="407">
        <v>30</v>
      </c>
      <c r="CR710" s="407">
        <v>349.84429807363813</v>
      </c>
      <c r="CS710" s="407">
        <v>0</v>
      </c>
      <c r="CT710" s="407">
        <v>0</v>
      </c>
      <c r="CU710" s="407">
        <v>0</v>
      </c>
      <c r="CV710" s="407">
        <v>0</v>
      </c>
      <c r="CW710" s="407">
        <v>0</v>
      </c>
      <c r="CX710" s="407">
        <v>0</v>
      </c>
      <c r="CY710" s="407">
        <v>0</v>
      </c>
      <c r="CZ710" s="407">
        <v>76.332872447894943</v>
      </c>
      <c r="DA710" s="407">
        <v>0</v>
      </c>
      <c r="DB710" s="407">
        <v>0</v>
      </c>
      <c r="DC710" s="407">
        <v>443.00936192223708</v>
      </c>
      <c r="DD710" s="407">
        <v>0</v>
      </c>
      <c r="DE710" s="407">
        <v>0</v>
      </c>
      <c r="DF710" s="407">
        <v>0</v>
      </c>
      <c r="DG710" s="407">
        <v>32.382569722624623</v>
      </c>
      <c r="DH710" s="407">
        <v>0</v>
      </c>
      <c r="DI710" s="407">
        <v>0</v>
      </c>
      <c r="DJ710" s="407"/>
      <c r="DK710" s="407">
        <v>0</v>
      </c>
      <c r="DL710" s="407">
        <v>0</v>
      </c>
      <c r="DM710" s="407">
        <v>0</v>
      </c>
      <c r="DN710" s="407">
        <v>0</v>
      </c>
      <c r="DO710" s="407">
        <v>0</v>
      </c>
      <c r="DP710" s="407">
        <v>-1.9154723642853568</v>
      </c>
      <c r="DQ710" s="407">
        <v>0</v>
      </c>
      <c r="DR710" s="407">
        <v>-199.96503365483426</v>
      </c>
      <c r="DS710" s="407"/>
      <c r="DT710" s="407"/>
      <c r="DU710" s="407"/>
      <c r="DV710" s="407">
        <v>6048.9887685323847</v>
      </c>
      <c r="DW710" s="407">
        <v>0</v>
      </c>
      <c r="DX710" s="407">
        <v>0</v>
      </c>
      <c r="DY710" s="407">
        <v>-3137.8841999999995</v>
      </c>
      <c r="DZ710" s="407">
        <v>397.95789000000013</v>
      </c>
      <c r="EA710" s="407">
        <v>0</v>
      </c>
      <c r="EB710" s="407">
        <v>0</v>
      </c>
      <c r="EC710" s="407">
        <v>-3089.8375124889312</v>
      </c>
      <c r="ED710" s="407">
        <v>0</v>
      </c>
      <c r="EE710" s="407">
        <v>0</v>
      </c>
      <c r="EF710" s="407">
        <v>0</v>
      </c>
      <c r="EG710" s="407">
        <v>0</v>
      </c>
      <c r="EH710" s="407">
        <v>0</v>
      </c>
      <c r="EI710" s="407">
        <v>0</v>
      </c>
      <c r="EJ710" s="407">
        <v>0</v>
      </c>
      <c r="EK710" s="407">
        <v>0</v>
      </c>
      <c r="EL710" s="407">
        <v>0</v>
      </c>
      <c r="EM710" s="407">
        <v>0</v>
      </c>
      <c r="EN710" s="407">
        <v>0</v>
      </c>
      <c r="EO710" s="407">
        <v>0</v>
      </c>
      <c r="EP710" s="407">
        <v>0</v>
      </c>
      <c r="EQ710" s="407">
        <v>0</v>
      </c>
      <c r="ER710" s="407">
        <v>0</v>
      </c>
      <c r="ES710" s="407">
        <v>0</v>
      </c>
      <c r="ET710" s="407">
        <v>0</v>
      </c>
      <c r="EU710" s="407">
        <v>0</v>
      </c>
      <c r="EV710" s="407">
        <v>246</v>
      </c>
      <c r="EW710" s="407">
        <v>0</v>
      </c>
      <c r="EX710" s="407">
        <v>0</v>
      </c>
      <c r="EY710" s="407">
        <v>0</v>
      </c>
      <c r="EZ710" s="407"/>
      <c r="FA710" s="407">
        <v>0</v>
      </c>
      <c r="FB710" s="407"/>
      <c r="FC710" s="407"/>
      <c r="FD710" s="407"/>
      <c r="FE710" s="407"/>
      <c r="FF710" s="407">
        <v>0</v>
      </c>
      <c r="FG710" s="407">
        <v>0</v>
      </c>
      <c r="FH710" s="407">
        <v>0</v>
      </c>
      <c r="FI710" s="407">
        <v>0</v>
      </c>
    </row>
    <row r="711" spans="1:165">
      <c r="A711" s="407">
        <v>738</v>
      </c>
      <c r="B711" s="407" t="s">
        <v>2308</v>
      </c>
      <c r="C711" s="407" t="s">
        <v>2306</v>
      </c>
      <c r="D711" s="407" t="s">
        <v>1218</v>
      </c>
      <c r="E711" s="407" t="s">
        <v>1021</v>
      </c>
      <c r="F711" s="407" t="s">
        <v>2313</v>
      </c>
      <c r="G711" s="407" t="s">
        <v>97</v>
      </c>
      <c r="H711" s="407" t="s">
        <v>97</v>
      </c>
      <c r="I711" s="407" t="s">
        <v>97</v>
      </c>
      <c r="J711" s="407" t="s">
        <v>2307</v>
      </c>
      <c r="K711" s="818">
        <v>44713</v>
      </c>
      <c r="L711" s="407">
        <v>0</v>
      </c>
      <c r="M711" s="407">
        <v>0</v>
      </c>
      <c r="N711" s="407">
        <v>1.7999999999999999E-2</v>
      </c>
      <c r="O711" s="407">
        <v>1.7999999999999999E-2</v>
      </c>
      <c r="P711" s="407">
        <v>1.7999999999999999E-2</v>
      </c>
      <c r="Q711" s="407">
        <v>1.7999999999999999E-2</v>
      </c>
      <c r="R711" s="407"/>
      <c r="S711" s="407">
        <v>547.54</v>
      </c>
      <c r="T711" s="407">
        <v>159.41</v>
      </c>
      <c r="U711" s="407"/>
      <c r="V711" s="407">
        <v>12.725099999999998</v>
      </c>
      <c r="W711" s="407">
        <v>12.725099999999998</v>
      </c>
      <c r="X711" s="407">
        <v>9.3207599999999999</v>
      </c>
      <c r="Y711" s="407">
        <v>0</v>
      </c>
      <c r="Z711" s="407">
        <v>0</v>
      </c>
      <c r="AA711" s="407">
        <v>0</v>
      </c>
      <c r="AB711" s="407">
        <v>0</v>
      </c>
      <c r="AC711" s="407">
        <v>0</v>
      </c>
      <c r="AD711" s="407">
        <v>2.099599671814488</v>
      </c>
      <c r="AE711" s="407">
        <v>7.5158278341673856</v>
      </c>
      <c r="AF711" s="407">
        <v>2.7761529008359616</v>
      </c>
      <c r="AG711" s="407">
        <v>9.3271450285992777E-2</v>
      </c>
      <c r="AH711" s="407">
        <v>0</v>
      </c>
      <c r="AI711" s="407">
        <v>0</v>
      </c>
      <c r="AJ711" s="407">
        <v>0</v>
      </c>
      <c r="AK711" s="407">
        <v>0</v>
      </c>
      <c r="AL711" s="407">
        <v>0</v>
      </c>
      <c r="AM711" s="407"/>
      <c r="AN711" s="407">
        <v>3.7351721528610472E-2</v>
      </c>
      <c r="AO711" s="407">
        <v>0</v>
      </c>
      <c r="AP711" s="407">
        <v>0</v>
      </c>
      <c r="AQ711" s="407">
        <v>0</v>
      </c>
      <c r="AR711" s="407">
        <v>0</v>
      </c>
      <c r="AS711" s="407">
        <v>0</v>
      </c>
      <c r="AT711" s="407">
        <v>0</v>
      </c>
      <c r="AU711" s="407">
        <v>0</v>
      </c>
      <c r="AV711" s="407">
        <v>0</v>
      </c>
      <c r="AW711" s="407">
        <v>0</v>
      </c>
      <c r="AX711" s="407">
        <v>0</v>
      </c>
      <c r="AY711" s="407">
        <v>0</v>
      </c>
      <c r="AZ711" s="407">
        <v>0</v>
      </c>
      <c r="BA711" s="407"/>
      <c r="BB711" s="407">
        <v>0</v>
      </c>
      <c r="BC711" s="407">
        <v>0</v>
      </c>
      <c r="BD711" s="407">
        <v>0</v>
      </c>
      <c r="BE711" s="407">
        <v>0</v>
      </c>
      <c r="BF711" s="407">
        <v>0</v>
      </c>
      <c r="BG711" s="407">
        <v>0.20292791213691538</v>
      </c>
      <c r="BH711" s="407">
        <v>0</v>
      </c>
      <c r="BI711" s="407">
        <v>0</v>
      </c>
      <c r="BJ711" s="407">
        <v>0.02</v>
      </c>
      <c r="BK711" s="407">
        <v>3.11</v>
      </c>
      <c r="BL711" s="407">
        <v>0</v>
      </c>
      <c r="BM711" s="407"/>
      <c r="BN711" s="407"/>
      <c r="BO711" s="407"/>
      <c r="BP711" s="407"/>
      <c r="BQ711" s="407"/>
      <c r="BR711" s="407"/>
      <c r="BS711" s="407"/>
      <c r="BT711" s="407"/>
      <c r="BU711" s="407"/>
      <c r="BV711" s="407">
        <v>2.9790808129728767</v>
      </c>
      <c r="BW711" s="407"/>
      <c r="BX711" s="407"/>
      <c r="BY711" s="407"/>
      <c r="BZ711" s="407"/>
      <c r="CA711" s="407"/>
      <c r="CB711" s="407"/>
      <c r="CC711" s="407"/>
      <c r="CD711" s="407"/>
      <c r="CE711" s="407"/>
      <c r="CF711" s="407"/>
      <c r="CG711" s="407"/>
      <c r="CH711" s="407"/>
      <c r="CI711" s="407">
        <v>10.356400000000001</v>
      </c>
      <c r="CJ711" s="407">
        <v>-2.3986999999999963</v>
      </c>
      <c r="CK711" s="407"/>
      <c r="CL711" s="407"/>
      <c r="CM711" s="407"/>
      <c r="CN711" s="407"/>
      <c r="CO711" s="407">
        <v>-3.8987999999999992</v>
      </c>
      <c r="CP711" s="407">
        <v>0.49445999999999996</v>
      </c>
      <c r="CQ711" s="407">
        <v>30</v>
      </c>
      <c r="CR711" s="407">
        <v>0.4346791858442387</v>
      </c>
      <c r="CS711" s="407">
        <v>0</v>
      </c>
      <c r="CT711" s="407">
        <v>0</v>
      </c>
      <c r="CU711" s="407">
        <v>0</v>
      </c>
      <c r="CV711" s="407">
        <v>0</v>
      </c>
      <c r="CW711" s="407">
        <v>0</v>
      </c>
      <c r="CX711" s="407">
        <v>0</v>
      </c>
      <c r="CY711" s="407">
        <v>0</v>
      </c>
      <c r="CZ711" s="407">
        <v>9.484308028315791E-2</v>
      </c>
      <c r="DA711" s="407">
        <v>0</v>
      </c>
      <c r="DB711" s="407">
        <v>0</v>
      </c>
      <c r="DC711" s="407">
        <v>0.55043615065923035</v>
      </c>
      <c r="DD711" s="407">
        <v>0</v>
      </c>
      <c r="DE711" s="407">
        <v>0</v>
      </c>
      <c r="DF711" s="407">
        <v>0</v>
      </c>
      <c r="DG711" s="407">
        <v>4.0235124940101008E-2</v>
      </c>
      <c r="DH711" s="407">
        <v>0</v>
      </c>
      <c r="DI711" s="407">
        <v>0</v>
      </c>
      <c r="DJ711" s="407"/>
      <c r="DK711" s="407">
        <v>0</v>
      </c>
      <c r="DL711" s="407">
        <v>0</v>
      </c>
      <c r="DM711" s="407">
        <v>0</v>
      </c>
      <c r="DN711" s="407">
        <v>0</v>
      </c>
      <c r="DO711" s="407">
        <v>0</v>
      </c>
      <c r="DP711" s="407">
        <v>-2.3799615211663183E-3</v>
      </c>
      <c r="DQ711" s="407">
        <v>0</v>
      </c>
      <c r="DR711" s="407">
        <v>-0.24845520851708541</v>
      </c>
      <c r="DS711" s="407"/>
      <c r="DT711" s="407"/>
      <c r="DU711" s="407"/>
      <c r="DV711" s="407">
        <v>7.5158278341673856</v>
      </c>
      <c r="DW711" s="407">
        <v>0</v>
      </c>
      <c r="DX711" s="407">
        <v>0</v>
      </c>
      <c r="DY711" s="407">
        <v>-3.8987999999999987</v>
      </c>
      <c r="DZ711" s="407">
        <v>0.49446000000000012</v>
      </c>
      <c r="EA711" s="407">
        <v>0</v>
      </c>
      <c r="EB711" s="407">
        <v>0</v>
      </c>
      <c r="EC711" s="407">
        <v>-3.8391023141299616</v>
      </c>
      <c r="ED711" s="407">
        <v>0</v>
      </c>
      <c r="EE711" s="407">
        <v>0</v>
      </c>
      <c r="EF711" s="407">
        <v>0</v>
      </c>
      <c r="EG711" s="407">
        <v>0</v>
      </c>
      <c r="EH711" s="407">
        <v>0</v>
      </c>
      <c r="EI711" s="407">
        <v>0</v>
      </c>
      <c r="EJ711" s="407">
        <v>0</v>
      </c>
      <c r="EK711" s="407">
        <v>0</v>
      </c>
      <c r="EL711" s="407">
        <v>0</v>
      </c>
      <c r="EM711" s="407">
        <v>0</v>
      </c>
      <c r="EN711" s="407">
        <v>0</v>
      </c>
      <c r="EO711" s="407">
        <v>0</v>
      </c>
      <c r="EP711" s="407">
        <v>0</v>
      </c>
      <c r="EQ711" s="407">
        <v>0</v>
      </c>
      <c r="ER711" s="407">
        <v>0</v>
      </c>
      <c r="ES711" s="407">
        <v>0</v>
      </c>
      <c r="ET711" s="407">
        <v>0</v>
      </c>
      <c r="EU711" s="407">
        <v>0</v>
      </c>
      <c r="EV711" s="407">
        <v>246</v>
      </c>
      <c r="EW711" s="407">
        <v>0</v>
      </c>
      <c r="EX711" s="407">
        <v>0</v>
      </c>
      <c r="EY711" s="407">
        <v>0</v>
      </c>
      <c r="EZ711" s="407"/>
      <c r="FA711" s="407">
        <v>0</v>
      </c>
      <c r="FB711" s="407"/>
      <c r="FC711" s="407"/>
      <c r="FD711" s="407"/>
      <c r="FE711" s="407"/>
      <c r="FF711" s="407">
        <v>0</v>
      </c>
      <c r="FG711" s="407">
        <v>0</v>
      </c>
      <c r="FH711" s="407">
        <v>0</v>
      </c>
      <c r="FI711" s="407">
        <v>0</v>
      </c>
    </row>
    <row r="712" spans="1:165">
      <c r="A712" s="407">
        <v>739</v>
      </c>
      <c r="B712" s="407" t="s">
        <v>2309</v>
      </c>
      <c r="C712" s="407" t="s">
        <v>2306</v>
      </c>
      <c r="D712" s="407" t="s">
        <v>1218</v>
      </c>
      <c r="E712" s="407" t="s">
        <v>1021</v>
      </c>
      <c r="F712" s="407" t="s">
        <v>2313</v>
      </c>
      <c r="G712" s="407" t="s">
        <v>97</v>
      </c>
      <c r="H712" s="407" t="s">
        <v>97</v>
      </c>
      <c r="I712" s="407" t="s">
        <v>97</v>
      </c>
      <c r="J712" s="407" t="s">
        <v>2307</v>
      </c>
      <c r="K712" s="818">
        <v>44713</v>
      </c>
      <c r="L712" s="407">
        <v>0</v>
      </c>
      <c r="M712" s="407">
        <v>0</v>
      </c>
      <c r="N712" s="407">
        <v>0</v>
      </c>
      <c r="O712" s="407">
        <v>0</v>
      </c>
      <c r="P712" s="407">
        <v>0</v>
      </c>
      <c r="Q712" s="407">
        <v>0</v>
      </c>
      <c r="R712" s="407"/>
      <c r="S712" s="407"/>
      <c r="T712" s="407"/>
      <c r="U712" s="407"/>
      <c r="V712" s="407"/>
      <c r="W712" s="407"/>
      <c r="X712" s="407"/>
      <c r="Y712" s="407"/>
      <c r="Z712" s="407"/>
      <c r="AA712" s="407">
        <v>0</v>
      </c>
      <c r="AB712" s="407"/>
      <c r="AC712" s="407"/>
      <c r="AD712" s="407"/>
      <c r="AE712" s="407"/>
      <c r="AF712" s="407"/>
      <c r="AG712" s="407"/>
      <c r="AH712" s="407"/>
      <c r="AI712" s="407"/>
      <c r="AJ712" s="407"/>
      <c r="AK712" s="407"/>
      <c r="AL712" s="407"/>
      <c r="AM712" s="407"/>
      <c r="AN712" s="407"/>
      <c r="AO712" s="407"/>
      <c r="AP712" s="407"/>
      <c r="AQ712" s="407"/>
      <c r="AR712" s="407"/>
      <c r="AS712" s="407"/>
      <c r="AT712" s="407"/>
      <c r="AU712" s="407"/>
      <c r="AV712" s="407"/>
      <c r="AW712" s="407"/>
      <c r="AX712" s="407"/>
      <c r="AY712" s="407"/>
      <c r="AZ712" s="407">
        <v>0</v>
      </c>
      <c r="BA712" s="407"/>
      <c r="BB712" s="407"/>
      <c r="BC712" s="407"/>
      <c r="BD712" s="407"/>
      <c r="BE712" s="407"/>
      <c r="BF712" s="407"/>
      <c r="BG712" s="407"/>
      <c r="BH712" s="407"/>
      <c r="BI712" s="407">
        <v>0</v>
      </c>
      <c r="BJ712" s="407">
        <v>0</v>
      </c>
      <c r="BK712" s="407">
        <v>82.96</v>
      </c>
      <c r="BL712" s="407">
        <v>3</v>
      </c>
      <c r="BM712" s="407"/>
      <c r="BN712" s="407"/>
      <c r="BO712" s="407"/>
      <c r="BP712" s="407"/>
      <c r="BQ712" s="407"/>
      <c r="BR712" s="407"/>
      <c r="BS712" s="407"/>
      <c r="BT712" s="407"/>
      <c r="BU712" s="407"/>
      <c r="BV712" s="407"/>
      <c r="BW712" s="407"/>
      <c r="BX712" s="407"/>
      <c r="BY712" s="407"/>
      <c r="BZ712" s="407"/>
      <c r="CA712" s="407"/>
      <c r="CB712" s="407"/>
      <c r="CC712" s="407"/>
      <c r="CD712" s="407"/>
      <c r="CE712" s="407"/>
      <c r="CF712" s="407"/>
      <c r="CG712" s="407"/>
      <c r="CH712" s="407"/>
      <c r="CI712" s="407"/>
      <c r="CJ712" s="407">
        <v>-0.03</v>
      </c>
      <c r="CK712" s="407"/>
      <c r="CL712" s="407"/>
      <c r="CM712" s="407"/>
      <c r="CN712" s="407"/>
      <c r="CO712" s="407">
        <v>0</v>
      </c>
      <c r="CP712" s="407">
        <v>0</v>
      </c>
      <c r="CQ712" s="407">
        <v>30</v>
      </c>
      <c r="CR712" s="407"/>
      <c r="CS712" s="407"/>
      <c r="CT712" s="407"/>
      <c r="CU712" s="407"/>
      <c r="CV712" s="407"/>
      <c r="CW712" s="407"/>
      <c r="CX712" s="407"/>
      <c r="CY712" s="407"/>
      <c r="CZ712" s="407"/>
      <c r="DA712" s="407"/>
      <c r="DB712" s="407"/>
      <c r="DC712" s="407"/>
      <c r="DD712" s="407"/>
      <c r="DE712" s="407"/>
      <c r="DF712" s="407"/>
      <c r="DG712" s="407"/>
      <c r="DH712" s="407"/>
      <c r="DI712" s="407"/>
      <c r="DJ712" s="407"/>
      <c r="DK712" s="407">
        <v>0</v>
      </c>
      <c r="DL712" s="407"/>
      <c r="DM712" s="407"/>
      <c r="DN712" s="407"/>
      <c r="DO712" s="407"/>
      <c r="DP712" s="407"/>
      <c r="DQ712" s="407"/>
      <c r="DR712" s="407"/>
      <c r="DS712" s="407"/>
      <c r="DT712" s="407"/>
      <c r="DU712" s="407"/>
      <c r="DV712" s="407"/>
      <c r="DW712" s="407"/>
      <c r="DX712" s="407"/>
      <c r="DY712" s="407"/>
      <c r="DZ712" s="407"/>
      <c r="EA712" s="407"/>
      <c r="EB712" s="407"/>
      <c r="EC712" s="407"/>
      <c r="ED712" s="407"/>
      <c r="EE712" s="407"/>
      <c r="EF712" s="407"/>
      <c r="EG712" s="407"/>
      <c r="EH712" s="407"/>
      <c r="EI712" s="407"/>
      <c r="EJ712" s="407"/>
      <c r="EK712" s="407"/>
      <c r="EL712" s="407"/>
      <c r="EM712" s="407"/>
      <c r="EN712" s="407"/>
      <c r="EO712" s="407"/>
      <c r="EP712" s="407"/>
      <c r="EQ712" s="407"/>
      <c r="ER712" s="407"/>
      <c r="ES712" s="407"/>
      <c r="ET712" s="407"/>
      <c r="EU712" s="407"/>
      <c r="EV712" s="407">
        <v>246</v>
      </c>
      <c r="EW712" s="407"/>
      <c r="EX712" s="407"/>
      <c r="EY712" s="407"/>
      <c r="EZ712" s="407"/>
      <c r="FA712" s="407">
        <v>0</v>
      </c>
      <c r="FB712" s="407"/>
      <c r="FC712" s="407"/>
      <c r="FD712" s="407"/>
      <c r="FE712" s="407"/>
      <c r="FF712" s="407">
        <v>0</v>
      </c>
      <c r="FG712" s="407">
        <v>0</v>
      </c>
      <c r="FH712" s="407">
        <v>0</v>
      </c>
      <c r="FI712" s="407">
        <v>0</v>
      </c>
    </row>
    <row r="713" spans="1:165">
      <c r="A713" s="407">
        <v>740</v>
      </c>
      <c r="B713" s="407" t="s">
        <v>1090</v>
      </c>
      <c r="C713" s="407" t="s">
        <v>2306</v>
      </c>
      <c r="D713" s="407" t="s">
        <v>1219</v>
      </c>
      <c r="E713" s="407" t="s">
        <v>1022</v>
      </c>
      <c r="F713" s="407" t="s">
        <v>97</v>
      </c>
      <c r="G713" s="407" t="s">
        <v>97</v>
      </c>
      <c r="H713" s="407" t="s">
        <v>97</v>
      </c>
      <c r="I713" s="407" t="s">
        <v>97</v>
      </c>
      <c r="J713" s="407" t="s">
        <v>2307</v>
      </c>
      <c r="K713" s="818">
        <v>44713</v>
      </c>
      <c r="L713" s="407">
        <v>0</v>
      </c>
      <c r="M713" s="407">
        <v>0</v>
      </c>
      <c r="N713" s="407">
        <v>96.37</v>
      </c>
      <c r="O713" s="407">
        <v>96.37</v>
      </c>
      <c r="P713" s="407">
        <v>96.37</v>
      </c>
      <c r="Q713" s="407">
        <v>96.37</v>
      </c>
      <c r="R713" s="407"/>
      <c r="S713" s="407">
        <v>648.44000000000005</v>
      </c>
      <c r="T713" s="407">
        <v>159.41</v>
      </c>
      <c r="U713" s="407"/>
      <c r="V713" s="407">
        <v>77852.50450000001</v>
      </c>
      <c r="W713" s="407">
        <v>77852.50450000001</v>
      </c>
      <c r="X713" s="407">
        <v>58961.093399999998</v>
      </c>
      <c r="Y713" s="407">
        <v>0</v>
      </c>
      <c r="Z713" s="407">
        <v>5972.0730532137459</v>
      </c>
      <c r="AA713" s="407">
        <v>0</v>
      </c>
      <c r="AB713" s="407">
        <v>0</v>
      </c>
      <c r="AC713" s="407">
        <v>0</v>
      </c>
      <c r="AD713" s="407">
        <v>11241.023354042345</v>
      </c>
      <c r="AE713" s="407">
        <v>40238.907132150613</v>
      </c>
      <c r="AF713" s="407">
        <v>14863.214169642313</v>
      </c>
      <c r="AG713" s="407">
        <v>499.36498133672916</v>
      </c>
      <c r="AH713" s="407">
        <v>0</v>
      </c>
      <c r="AI713" s="407">
        <v>0</v>
      </c>
      <c r="AJ713" s="407">
        <v>0</v>
      </c>
      <c r="AK713" s="407">
        <v>0</v>
      </c>
      <c r="AL713" s="407">
        <v>922.84445415101914</v>
      </c>
      <c r="AM713" s="407"/>
      <c r="AN713" s="407">
        <v>199.97696687289954</v>
      </c>
      <c r="AO713" s="407">
        <v>0</v>
      </c>
      <c r="AP713" s="407">
        <v>0</v>
      </c>
      <c r="AQ713" s="407">
        <v>0</v>
      </c>
      <c r="AR713" s="407">
        <v>0</v>
      </c>
      <c r="AS713" s="407">
        <v>0</v>
      </c>
      <c r="AT713" s="407">
        <v>0</v>
      </c>
      <c r="AU713" s="407">
        <v>0</v>
      </c>
      <c r="AV713" s="407">
        <v>0</v>
      </c>
      <c r="AW713" s="407">
        <v>0</v>
      </c>
      <c r="AX713" s="407">
        <v>0</v>
      </c>
      <c r="AY713" s="407">
        <v>0</v>
      </c>
      <c r="AZ713" s="407">
        <v>0</v>
      </c>
      <c r="BA713" s="407"/>
      <c r="BB713" s="407">
        <v>0</v>
      </c>
      <c r="BC713" s="407">
        <v>0</v>
      </c>
      <c r="BD713" s="407">
        <v>0</v>
      </c>
      <c r="BE713" s="407">
        <v>0</v>
      </c>
      <c r="BF713" s="407">
        <v>0</v>
      </c>
      <c r="BG713" s="407">
        <v>1086.4534940352521</v>
      </c>
      <c r="BH713" s="407">
        <v>0</v>
      </c>
      <c r="BI713" s="407">
        <v>149.05000000000001</v>
      </c>
      <c r="BJ713" s="407">
        <v>687.65</v>
      </c>
      <c r="BK713" s="407">
        <v>12247.23</v>
      </c>
      <c r="BL713" s="407">
        <v>86</v>
      </c>
      <c r="BM713" s="407"/>
      <c r="BN713" s="407"/>
      <c r="BO713" s="407"/>
      <c r="BP713" s="407"/>
      <c r="BQ713" s="407"/>
      <c r="BR713" s="407"/>
      <c r="BS713" s="407"/>
      <c r="BT713" s="407"/>
      <c r="BU713" s="407"/>
      <c r="BV713" s="407">
        <v>15949.667663677565</v>
      </c>
      <c r="BW713" s="407"/>
      <c r="BX713" s="407"/>
      <c r="BY713" s="407"/>
      <c r="BZ713" s="407"/>
      <c r="CA713" s="407"/>
      <c r="CB713" s="407"/>
      <c r="CC713" s="407"/>
      <c r="CD713" s="407"/>
      <c r="CE713" s="407"/>
      <c r="CF713" s="407"/>
      <c r="CG713" s="407"/>
      <c r="CH713" s="407"/>
      <c r="CI713" s="407">
        <v>58961.093399999998</v>
      </c>
      <c r="CJ713" s="407">
        <v>-18891.441100000011</v>
      </c>
      <c r="CK713" s="407"/>
      <c r="CL713" s="407"/>
      <c r="CM713" s="407"/>
      <c r="CN713" s="407"/>
      <c r="CO713" s="407">
        <v>-21538.695000000007</v>
      </c>
      <c r="CP713" s="407">
        <v>2647.2838999999999</v>
      </c>
      <c r="CQ713" s="407">
        <v>30</v>
      </c>
      <c r="CR713" s="407">
        <v>1662.7697161690085</v>
      </c>
      <c r="CS713" s="407">
        <v>0</v>
      </c>
      <c r="CT713" s="407">
        <v>0</v>
      </c>
      <c r="CU713" s="407">
        <v>0</v>
      </c>
      <c r="CV713" s="407">
        <v>0</v>
      </c>
      <c r="CW713" s="407">
        <v>0</v>
      </c>
      <c r="CX713" s="407">
        <v>0</v>
      </c>
      <c r="CY713" s="407">
        <v>0</v>
      </c>
      <c r="CZ713" s="407">
        <v>507.77931371599698</v>
      </c>
      <c r="DA713" s="407">
        <v>0</v>
      </c>
      <c r="DB713" s="407">
        <v>0</v>
      </c>
      <c r="DC713" s="407">
        <v>2946.9739910572243</v>
      </c>
      <c r="DD713" s="407">
        <v>0</v>
      </c>
      <c r="DE713" s="407">
        <v>0</v>
      </c>
      <c r="DF713" s="407">
        <v>0</v>
      </c>
      <c r="DG713" s="407">
        <v>215.41438835986287</v>
      </c>
      <c r="DH713" s="407">
        <v>0</v>
      </c>
      <c r="DI713" s="407">
        <v>-418.29577803399752</v>
      </c>
      <c r="DJ713" s="407"/>
      <c r="DK713" s="407">
        <v>0</v>
      </c>
      <c r="DL713" s="407">
        <v>0</v>
      </c>
      <c r="DM713" s="407">
        <v>0</v>
      </c>
      <c r="DN713" s="407">
        <v>0</v>
      </c>
      <c r="DO713" s="407">
        <v>-56.30401082633432</v>
      </c>
      <c r="DP713" s="407">
        <v>-12.742049544155435</v>
      </c>
      <c r="DQ713" s="407">
        <v>0</v>
      </c>
      <c r="DR713" s="407">
        <v>-1520.0561385595956</v>
      </c>
      <c r="DS713" s="407"/>
      <c r="DT713" s="407"/>
      <c r="DU713" s="407"/>
      <c r="DV713" s="407">
        <v>40238.907132150613</v>
      </c>
      <c r="DW713" s="407">
        <v>0</v>
      </c>
      <c r="DX713" s="407">
        <v>0</v>
      </c>
      <c r="DY713" s="407">
        <v>-21538.695000000007</v>
      </c>
      <c r="DZ713" s="407">
        <v>2647.2838999999985</v>
      </c>
      <c r="EA713" s="407">
        <v>0</v>
      </c>
      <c r="EB713" s="407">
        <v>0</v>
      </c>
      <c r="EC713" s="407">
        <v>-20554.127222928026</v>
      </c>
      <c r="ED713" s="407">
        <v>0</v>
      </c>
      <c r="EE713" s="407">
        <v>0</v>
      </c>
      <c r="EF713" s="407">
        <v>0</v>
      </c>
      <c r="EG713" s="407">
        <v>0</v>
      </c>
      <c r="EH713" s="407">
        <v>0</v>
      </c>
      <c r="EI713" s="407">
        <v>0</v>
      </c>
      <c r="EJ713" s="407">
        <v>0</v>
      </c>
      <c r="EK713" s="407">
        <v>0</v>
      </c>
      <c r="EL713" s="407">
        <v>0</v>
      </c>
      <c r="EM713" s="407">
        <v>0</v>
      </c>
      <c r="EN713" s="407">
        <v>0</v>
      </c>
      <c r="EO713" s="407">
        <v>0</v>
      </c>
      <c r="EP713" s="407">
        <v>2828.8642270774026</v>
      </c>
      <c r="EQ713" s="407">
        <v>0</v>
      </c>
      <c r="ER713" s="407">
        <v>0</v>
      </c>
      <c r="ES713" s="407">
        <v>0</v>
      </c>
      <c r="ET713" s="407">
        <v>0</v>
      </c>
      <c r="EU713" s="407">
        <v>0</v>
      </c>
      <c r="EV713" s="407">
        <v>246</v>
      </c>
      <c r="EW713" s="407">
        <v>0</v>
      </c>
      <c r="EX713" s="407">
        <v>0</v>
      </c>
      <c r="EY713" s="407">
        <v>0</v>
      </c>
      <c r="EZ713" s="407"/>
      <c r="FA713" s="407">
        <v>0</v>
      </c>
      <c r="FB713" s="407"/>
      <c r="FC713" s="407"/>
      <c r="FD713" s="407"/>
      <c r="FE713" s="407"/>
      <c r="FF713" s="407">
        <v>0</v>
      </c>
      <c r="FG713" s="407">
        <v>0</v>
      </c>
      <c r="FH713" s="407">
        <v>0</v>
      </c>
      <c r="FI713" s="407">
        <v>0</v>
      </c>
    </row>
    <row r="714" spans="1:165">
      <c r="A714" s="407">
        <v>741</v>
      </c>
      <c r="B714" s="407" t="s">
        <v>2309</v>
      </c>
      <c r="C714" s="407" t="s">
        <v>2306</v>
      </c>
      <c r="D714" s="407" t="s">
        <v>1219</v>
      </c>
      <c r="E714" s="407" t="s">
        <v>1022</v>
      </c>
      <c r="F714" s="407" t="s">
        <v>97</v>
      </c>
      <c r="G714" s="407" t="s">
        <v>97</v>
      </c>
      <c r="H714" s="407" t="s">
        <v>97</v>
      </c>
      <c r="I714" s="407" t="s">
        <v>97</v>
      </c>
      <c r="J714" s="407" t="s">
        <v>2307</v>
      </c>
      <c r="K714" s="818">
        <v>44713</v>
      </c>
      <c r="L714" s="407">
        <v>0</v>
      </c>
      <c r="M714" s="407">
        <v>0</v>
      </c>
      <c r="N714" s="407">
        <v>25.858000000000001</v>
      </c>
      <c r="O714" s="407">
        <v>25.858000000000001</v>
      </c>
      <c r="P714" s="407">
        <v>25.858000000000001</v>
      </c>
      <c r="Q714" s="407">
        <v>25.858000000000001</v>
      </c>
      <c r="R714" s="407"/>
      <c r="S714" s="407">
        <v>648.44000000000005</v>
      </c>
      <c r="T714" s="407">
        <v>159.41</v>
      </c>
      <c r="U714" s="407"/>
      <c r="V714" s="407">
        <v>20889.385300000002</v>
      </c>
      <c r="W714" s="407">
        <v>20889.385300000002</v>
      </c>
      <c r="X714" s="407">
        <v>15820.441559999999</v>
      </c>
      <c r="Y714" s="407">
        <v>0</v>
      </c>
      <c r="Z714" s="407">
        <v>1602.4267407907134</v>
      </c>
      <c r="AA714" s="407">
        <v>0</v>
      </c>
      <c r="AB714" s="407">
        <v>0</v>
      </c>
      <c r="AC714" s="407">
        <v>0</v>
      </c>
      <c r="AD714" s="407">
        <v>3016.1915729877242</v>
      </c>
      <c r="AE714" s="407">
        <v>10796.904229772237</v>
      </c>
      <c r="AF714" s="407">
        <v>3988.0978727675724</v>
      </c>
      <c r="AG714" s="407">
        <v>133.98962008306674</v>
      </c>
      <c r="AH714" s="407">
        <v>0</v>
      </c>
      <c r="AI714" s="407">
        <v>0</v>
      </c>
      <c r="AJ714" s="407">
        <v>0</v>
      </c>
      <c r="AK714" s="407">
        <v>0</v>
      </c>
      <c r="AL714" s="407">
        <v>247.61763925949003</v>
      </c>
      <c r="AM714" s="407"/>
      <c r="AN714" s="407">
        <v>53.657823071489432</v>
      </c>
      <c r="AO714" s="407">
        <v>0</v>
      </c>
      <c r="AP714" s="407">
        <v>0</v>
      </c>
      <c r="AQ714" s="407">
        <v>0</v>
      </c>
      <c r="AR714" s="407">
        <v>0</v>
      </c>
      <c r="AS714" s="407">
        <v>0</v>
      </c>
      <c r="AT714" s="407">
        <v>0</v>
      </c>
      <c r="AU714" s="407">
        <v>0</v>
      </c>
      <c r="AV714" s="407">
        <v>0</v>
      </c>
      <c r="AW714" s="407">
        <v>0</v>
      </c>
      <c r="AX714" s="407">
        <v>0</v>
      </c>
      <c r="AY714" s="407">
        <v>0</v>
      </c>
      <c r="AZ714" s="407">
        <v>0</v>
      </c>
      <c r="BA714" s="407"/>
      <c r="BB714" s="407">
        <v>0</v>
      </c>
      <c r="BC714" s="407">
        <v>0</v>
      </c>
      <c r="BD714" s="407">
        <v>0</v>
      </c>
      <c r="BE714" s="407">
        <v>0</v>
      </c>
      <c r="BF714" s="407">
        <v>0</v>
      </c>
      <c r="BG714" s="407">
        <v>291.51721955757546</v>
      </c>
      <c r="BH714" s="407">
        <v>0</v>
      </c>
      <c r="BI714" s="407">
        <v>40</v>
      </c>
      <c r="BJ714" s="407">
        <v>184.48</v>
      </c>
      <c r="BK714" s="407">
        <v>5869.46</v>
      </c>
      <c r="BL714" s="407">
        <v>21</v>
      </c>
      <c r="BM714" s="407"/>
      <c r="BN714" s="407"/>
      <c r="BO714" s="407"/>
      <c r="BP714" s="407"/>
      <c r="BQ714" s="407"/>
      <c r="BR714" s="407"/>
      <c r="BS714" s="407"/>
      <c r="BT714" s="407"/>
      <c r="BU714" s="407"/>
      <c r="BV714" s="407">
        <v>4279.615092325148</v>
      </c>
      <c r="BW714" s="407"/>
      <c r="BX714" s="407"/>
      <c r="BY714" s="407"/>
      <c r="BZ714" s="407"/>
      <c r="CA714" s="407"/>
      <c r="CB714" s="407"/>
      <c r="CC714" s="407"/>
      <c r="CD714" s="407"/>
      <c r="CE714" s="407"/>
      <c r="CF714" s="407"/>
      <c r="CG714" s="407"/>
      <c r="CH714" s="407"/>
      <c r="CI714" s="407">
        <v>15821.665199999999</v>
      </c>
      <c r="CJ714" s="407">
        <v>-5067.7500999999975</v>
      </c>
      <c r="CK714" s="407"/>
      <c r="CL714" s="407"/>
      <c r="CM714" s="407"/>
      <c r="CN714" s="407"/>
      <c r="CO714" s="407">
        <v>-5779.2630000000017</v>
      </c>
      <c r="CP714" s="407">
        <v>710.31925999999999</v>
      </c>
      <c r="CQ714" s="407">
        <v>30</v>
      </c>
      <c r="CR714" s="407">
        <v>446.1543978488935</v>
      </c>
      <c r="CS714" s="407">
        <v>0</v>
      </c>
      <c r="CT714" s="407">
        <v>0</v>
      </c>
      <c r="CU714" s="407">
        <v>0</v>
      </c>
      <c r="CV714" s="407">
        <v>0</v>
      </c>
      <c r="CW714" s="407">
        <v>0</v>
      </c>
      <c r="CX714" s="407">
        <v>0</v>
      </c>
      <c r="CY714" s="407">
        <v>0</v>
      </c>
      <c r="CZ714" s="407">
        <v>136.24735388677209</v>
      </c>
      <c r="DA714" s="407">
        <v>0</v>
      </c>
      <c r="DB714" s="407">
        <v>0</v>
      </c>
      <c r="DC714" s="407">
        <v>790.73211020813187</v>
      </c>
      <c r="DD714" s="407">
        <v>0</v>
      </c>
      <c r="DE714" s="407">
        <v>0</v>
      </c>
      <c r="DF714" s="407">
        <v>0</v>
      </c>
      <c r="DG714" s="407">
        <v>57.799992261173998</v>
      </c>
      <c r="DH714" s="407">
        <v>0</v>
      </c>
      <c r="DI714" s="407">
        <v>-112.23713010691222</v>
      </c>
      <c r="DJ714" s="407"/>
      <c r="DK714" s="407">
        <v>0</v>
      </c>
      <c r="DL714" s="407">
        <v>0</v>
      </c>
      <c r="DM714" s="407">
        <v>0</v>
      </c>
      <c r="DN714" s="407">
        <v>0</v>
      </c>
      <c r="DO714" s="407">
        <v>-15.107493119719351</v>
      </c>
      <c r="DP714" s="407">
        <v>-3.4189469452399237</v>
      </c>
      <c r="DQ714" s="407">
        <v>0</v>
      </c>
      <c r="DR714" s="407">
        <v>-407.86148833531212</v>
      </c>
      <c r="DS714" s="407"/>
      <c r="DT714" s="407"/>
      <c r="DU714" s="407"/>
      <c r="DV714" s="407">
        <v>10796.904229772237</v>
      </c>
      <c r="DW714" s="407">
        <v>0</v>
      </c>
      <c r="DX714" s="407">
        <v>0</v>
      </c>
      <c r="DY714" s="407">
        <v>-5779.2630000000026</v>
      </c>
      <c r="DZ714" s="407">
        <v>710.3192599999993</v>
      </c>
      <c r="EA714" s="407">
        <v>0</v>
      </c>
      <c r="EB714" s="407">
        <v>0</v>
      </c>
      <c r="EC714" s="407">
        <v>-5515.0837577095863</v>
      </c>
      <c r="ED714" s="407">
        <v>0</v>
      </c>
      <c r="EE714" s="407">
        <v>0</v>
      </c>
      <c r="EF714" s="407">
        <v>0</v>
      </c>
      <c r="EG714" s="407">
        <v>0</v>
      </c>
      <c r="EH714" s="407">
        <v>0</v>
      </c>
      <c r="EI714" s="407">
        <v>0</v>
      </c>
      <c r="EJ714" s="407">
        <v>0</v>
      </c>
      <c r="EK714" s="407">
        <v>0</v>
      </c>
      <c r="EL714" s="407">
        <v>0</v>
      </c>
      <c r="EM714" s="407">
        <v>0</v>
      </c>
      <c r="EN714" s="407">
        <v>0</v>
      </c>
      <c r="EO714" s="407">
        <v>0</v>
      </c>
      <c r="EP714" s="407">
        <v>759.04089637612822</v>
      </c>
      <c r="EQ714" s="407">
        <v>0</v>
      </c>
      <c r="ER714" s="407">
        <v>0</v>
      </c>
      <c r="ES714" s="407">
        <v>0</v>
      </c>
      <c r="ET714" s="407">
        <v>0</v>
      </c>
      <c r="EU714" s="407">
        <v>0</v>
      </c>
      <c r="EV714" s="407">
        <v>246</v>
      </c>
      <c r="EW714" s="407">
        <v>0</v>
      </c>
      <c r="EX714" s="407">
        <v>0</v>
      </c>
      <c r="EY714" s="407">
        <v>0</v>
      </c>
      <c r="EZ714" s="407"/>
      <c r="FA714" s="407">
        <v>0</v>
      </c>
      <c r="FB714" s="407"/>
      <c r="FC714" s="407"/>
      <c r="FD714" s="407"/>
      <c r="FE714" s="407"/>
      <c r="FF714" s="407">
        <v>0</v>
      </c>
      <c r="FG714" s="407">
        <v>0</v>
      </c>
      <c r="FH714" s="407">
        <v>0</v>
      </c>
      <c r="FI714" s="407">
        <v>0</v>
      </c>
    </row>
    <row r="715" spans="1:165">
      <c r="A715" s="407">
        <v>742</v>
      </c>
      <c r="B715" s="407" t="s">
        <v>1090</v>
      </c>
      <c r="C715" s="407" t="s">
        <v>2314</v>
      </c>
      <c r="D715" s="407" t="s">
        <v>650</v>
      </c>
      <c r="E715" s="407" t="s">
        <v>1022</v>
      </c>
      <c r="F715" s="407" t="s">
        <v>97</v>
      </c>
      <c r="G715" s="407" t="s">
        <v>97</v>
      </c>
      <c r="H715" s="407" t="s">
        <v>97</v>
      </c>
      <c r="I715" s="407" t="s">
        <v>1025</v>
      </c>
      <c r="J715" s="407" t="s">
        <v>2307</v>
      </c>
      <c r="K715" s="818">
        <v>44713</v>
      </c>
      <c r="L715" s="407">
        <v>0</v>
      </c>
      <c r="M715" s="407">
        <v>0</v>
      </c>
      <c r="N715" s="407">
        <v>13.241</v>
      </c>
      <c r="O715" s="407">
        <v>13.241</v>
      </c>
      <c r="P715" s="407">
        <v>13.241</v>
      </c>
      <c r="Q715" s="407">
        <v>13.241</v>
      </c>
      <c r="R715" s="407"/>
      <c r="S715" s="407">
        <v>2810.7</v>
      </c>
      <c r="T715" s="407">
        <v>159.41</v>
      </c>
      <c r="U715" s="407"/>
      <c r="V715" s="407">
        <v>39327.22651</v>
      </c>
      <c r="W715" s="407">
        <v>39327.22651</v>
      </c>
      <c r="X715" s="407">
        <v>25047.867289999998</v>
      </c>
      <c r="Y715" s="407">
        <v>0</v>
      </c>
      <c r="Z715" s="407">
        <v>713.87683707496888</v>
      </c>
      <c r="AA715" s="407">
        <v>0</v>
      </c>
      <c r="AB715" s="407">
        <v>0</v>
      </c>
      <c r="AC715" s="407">
        <v>0</v>
      </c>
      <c r="AD715" s="407">
        <v>8083.8369720330693</v>
      </c>
      <c r="AE715" s="407">
        <v>27870.833979068</v>
      </c>
      <c r="AF715" s="407">
        <v>2042.1689199982761</v>
      </c>
      <c r="AG715" s="407">
        <v>68.611515179823911</v>
      </c>
      <c r="AH715" s="407">
        <v>0</v>
      </c>
      <c r="AI715" s="407">
        <v>0</v>
      </c>
      <c r="AJ715" s="407">
        <v>0</v>
      </c>
      <c r="AK715" s="407">
        <v>0</v>
      </c>
      <c r="AL715" s="407">
        <v>126.79654889917654</v>
      </c>
      <c r="AM715" s="407"/>
      <c r="AN715" s="407">
        <v>14.217303735039994</v>
      </c>
      <c r="AO715" s="407">
        <v>0</v>
      </c>
      <c r="AP715" s="407">
        <v>0</v>
      </c>
      <c r="AQ715" s="407">
        <v>0</v>
      </c>
      <c r="AR715" s="407">
        <v>0</v>
      </c>
      <c r="AS715" s="407">
        <v>0</v>
      </c>
      <c r="AT715" s="407">
        <v>0</v>
      </c>
      <c r="AU715" s="407">
        <v>0</v>
      </c>
      <c r="AV715" s="407">
        <v>0</v>
      </c>
      <c r="AW715" s="407">
        <v>0</v>
      </c>
      <c r="AX715" s="407">
        <v>0</v>
      </c>
      <c r="AY715" s="407">
        <v>0</v>
      </c>
      <c r="AZ715" s="407">
        <v>0</v>
      </c>
      <c r="BA715" s="407"/>
      <c r="BB715" s="407">
        <v>0</v>
      </c>
      <c r="BC715" s="407">
        <v>0</v>
      </c>
      <c r="BD715" s="407">
        <v>0</v>
      </c>
      <c r="BE715" s="407">
        <v>0</v>
      </c>
      <c r="BF715" s="407">
        <v>0</v>
      </c>
      <c r="BG715" s="407">
        <v>68.719126386722294</v>
      </c>
      <c r="BH715" s="407">
        <v>0</v>
      </c>
      <c r="BI715" s="407">
        <v>0</v>
      </c>
      <c r="BJ715" s="407">
        <v>0</v>
      </c>
      <c r="BK715" s="407">
        <v>0</v>
      </c>
      <c r="BL715" s="407">
        <v>0</v>
      </c>
      <c r="BM715" s="407"/>
      <c r="BN715" s="407"/>
      <c r="BO715" s="407"/>
      <c r="BP715" s="407"/>
      <c r="BQ715" s="407"/>
      <c r="BR715" s="407"/>
      <c r="BS715" s="407"/>
      <c r="BT715" s="407"/>
      <c r="BU715" s="407"/>
      <c r="BV715" s="407">
        <v>2110.8880463849982</v>
      </c>
      <c r="BW715" s="407"/>
      <c r="BX715" s="407"/>
      <c r="BY715" s="407"/>
      <c r="BZ715" s="407"/>
      <c r="CA715" s="407"/>
      <c r="CB715" s="407"/>
      <c r="CC715" s="407"/>
      <c r="CD715" s="407"/>
      <c r="CE715" s="407"/>
      <c r="CF715" s="407"/>
      <c r="CG715" s="407"/>
      <c r="CH715" s="407"/>
      <c r="CI715" s="407">
        <v>25045.975599999998</v>
      </c>
      <c r="CJ715" s="407">
        <v>-14281.280910000009</v>
      </c>
      <c r="CK715" s="407"/>
      <c r="CL715" s="407"/>
      <c r="CM715" s="407"/>
      <c r="CN715" s="407"/>
      <c r="CO715" s="407">
        <v>-14643.089489999998</v>
      </c>
      <c r="CP715" s="407">
        <v>363.73026999999996</v>
      </c>
      <c r="CQ715" s="407">
        <v>30</v>
      </c>
      <c r="CR715" s="407">
        <v>-42.80281681001361</v>
      </c>
      <c r="CS715" s="407">
        <v>0</v>
      </c>
      <c r="CT715" s="407">
        <v>0</v>
      </c>
      <c r="CU715" s="407">
        <v>0</v>
      </c>
      <c r="CV715" s="407">
        <v>0</v>
      </c>
      <c r="CW715" s="407">
        <v>0</v>
      </c>
      <c r="CX715" s="407">
        <v>0</v>
      </c>
      <c r="CY715" s="407">
        <v>0</v>
      </c>
      <c r="CZ715" s="407">
        <v>365.16294473979633</v>
      </c>
      <c r="DA715" s="407">
        <v>0</v>
      </c>
      <c r="DB715" s="407">
        <v>0</v>
      </c>
      <c r="DC715" s="407">
        <v>404.90694838215904</v>
      </c>
      <c r="DD715" s="407">
        <v>0</v>
      </c>
      <c r="DE715" s="407">
        <v>0</v>
      </c>
      <c r="DF715" s="407">
        <v>0</v>
      </c>
      <c r="DG715" s="407">
        <v>13.625147013185952</v>
      </c>
      <c r="DH715" s="407">
        <v>0</v>
      </c>
      <c r="DI715" s="407">
        <v>-50.001341966845871</v>
      </c>
      <c r="DJ715" s="407"/>
      <c r="DK715" s="407">
        <v>0</v>
      </c>
      <c r="DL715" s="407">
        <v>0</v>
      </c>
      <c r="DM715" s="407">
        <v>0</v>
      </c>
      <c r="DN715" s="407">
        <v>0</v>
      </c>
      <c r="DO715" s="407">
        <v>-7.7360320364376065</v>
      </c>
      <c r="DP715" s="407">
        <v>-0.90589227053990307</v>
      </c>
      <c r="DQ715" s="407">
        <v>0</v>
      </c>
      <c r="DR715" s="407">
        <v>-767.85459067133206</v>
      </c>
      <c r="DS715" s="407"/>
      <c r="DT715" s="407"/>
      <c r="DU715" s="407"/>
      <c r="DV715" s="407">
        <v>27870.833979068</v>
      </c>
      <c r="DW715" s="407">
        <v>0</v>
      </c>
      <c r="DX715" s="407">
        <v>0</v>
      </c>
      <c r="DY715" s="407">
        <v>-14643.089490000002</v>
      </c>
      <c r="DZ715" s="407">
        <v>363.73027000000002</v>
      </c>
      <c r="EA715" s="407">
        <v>0</v>
      </c>
      <c r="EB715" s="407">
        <v>0</v>
      </c>
      <c r="EC715" s="407">
        <v>-14236.486729957785</v>
      </c>
      <c r="ED715" s="407">
        <v>0</v>
      </c>
      <c r="EE715" s="407">
        <v>0</v>
      </c>
      <c r="EF715" s="407">
        <v>0</v>
      </c>
      <c r="EG715" s="407">
        <v>0</v>
      </c>
      <c r="EH715" s="407">
        <v>0</v>
      </c>
      <c r="EI715" s="407">
        <v>0</v>
      </c>
      <c r="EJ715" s="407">
        <v>0</v>
      </c>
      <c r="EK715" s="407">
        <v>0</v>
      </c>
      <c r="EL715" s="407">
        <v>0</v>
      </c>
      <c r="EM715" s="407">
        <v>0</v>
      </c>
      <c r="EN715" s="407">
        <v>0</v>
      </c>
      <c r="EO715" s="407">
        <v>0</v>
      </c>
      <c r="EP715" s="407">
        <v>338.15069389578417</v>
      </c>
      <c r="EQ715" s="407">
        <v>0</v>
      </c>
      <c r="ER715" s="407">
        <v>0</v>
      </c>
      <c r="ES715" s="407">
        <v>0</v>
      </c>
      <c r="ET715" s="407">
        <v>0</v>
      </c>
      <c r="EU715" s="407">
        <v>0</v>
      </c>
      <c r="EV715" s="407">
        <v>246</v>
      </c>
      <c r="EW715" s="407">
        <v>0</v>
      </c>
      <c r="EX715" s="407">
        <v>0</v>
      </c>
      <c r="EY715" s="407">
        <v>0</v>
      </c>
      <c r="EZ715" s="407"/>
      <c r="FA715" s="407">
        <v>0</v>
      </c>
      <c r="FB715" s="407"/>
      <c r="FC715" s="407"/>
      <c r="FD715" s="407"/>
      <c r="FE715" s="407"/>
      <c r="FF715" s="407">
        <v>0</v>
      </c>
      <c r="FG715" s="407">
        <v>0</v>
      </c>
      <c r="FH715" s="407">
        <v>0</v>
      </c>
      <c r="FI715" s="407">
        <v>0</v>
      </c>
    </row>
    <row r="716" spans="1:165">
      <c r="A716" s="407">
        <v>743</v>
      </c>
      <c r="B716" s="407" t="s">
        <v>1090</v>
      </c>
      <c r="C716" s="407" t="s">
        <v>2314</v>
      </c>
      <c r="D716" s="407" t="s">
        <v>650</v>
      </c>
      <c r="E716" s="407" t="s">
        <v>1022</v>
      </c>
      <c r="F716" s="407" t="s">
        <v>97</v>
      </c>
      <c r="G716" s="407" t="s">
        <v>97</v>
      </c>
      <c r="H716" s="407" t="s">
        <v>97</v>
      </c>
      <c r="I716" s="407" t="s">
        <v>2290</v>
      </c>
      <c r="J716" s="407" t="s">
        <v>2307</v>
      </c>
      <c r="K716" s="818">
        <v>44713</v>
      </c>
      <c r="L716" s="407">
        <v>0</v>
      </c>
      <c r="M716" s="407">
        <v>0</v>
      </c>
      <c r="N716" s="407">
        <v>448.07400000000001</v>
      </c>
      <c r="O716" s="407">
        <v>448.07400000000001</v>
      </c>
      <c r="P716" s="407">
        <v>448.07400000000001</v>
      </c>
      <c r="Q716" s="407">
        <v>448.07400000000001</v>
      </c>
      <c r="R716" s="407"/>
      <c r="S716" s="407">
        <v>95.29</v>
      </c>
      <c r="T716" s="407">
        <v>159.41</v>
      </c>
      <c r="U716" s="407"/>
      <c r="V716" s="407">
        <v>114124.44779999999</v>
      </c>
      <c r="W716" s="407">
        <v>114124.44779999999</v>
      </c>
      <c r="X716" s="407">
        <v>124076.17134</v>
      </c>
      <c r="Y716" s="407">
        <v>0</v>
      </c>
      <c r="Z716" s="407">
        <v>24157.514530286957</v>
      </c>
      <c r="AA716" s="407">
        <v>0</v>
      </c>
      <c r="AB716" s="407">
        <v>0</v>
      </c>
      <c r="AC716" s="407">
        <v>0</v>
      </c>
      <c r="AD716" s="407">
        <v>0</v>
      </c>
      <c r="AE716" s="407">
        <v>0</v>
      </c>
      <c r="AF716" s="407">
        <v>69106.774160509594</v>
      </c>
      <c r="AG716" s="407">
        <v>2321.8062119692186</v>
      </c>
      <c r="AH716" s="407">
        <v>0</v>
      </c>
      <c r="AI716" s="407">
        <v>0</v>
      </c>
      <c r="AJ716" s="407">
        <v>0</v>
      </c>
      <c r="AK716" s="407">
        <v>0</v>
      </c>
      <c r="AL716" s="407">
        <v>4290.7814252284297</v>
      </c>
      <c r="AM716" s="407"/>
      <c r="AN716" s="407">
        <v>481.11201221768073</v>
      </c>
      <c r="AO716" s="407">
        <v>0</v>
      </c>
      <c r="AP716" s="407">
        <v>0</v>
      </c>
      <c r="AQ716" s="407">
        <v>0</v>
      </c>
      <c r="AR716" s="407">
        <v>0</v>
      </c>
      <c r="AS716" s="407">
        <v>0</v>
      </c>
      <c r="AT716" s="407">
        <v>0</v>
      </c>
      <c r="AU716" s="407">
        <v>0</v>
      </c>
      <c r="AV716" s="407">
        <v>0</v>
      </c>
      <c r="AW716" s="407">
        <v>0</v>
      </c>
      <c r="AX716" s="407">
        <v>0</v>
      </c>
      <c r="AY716" s="407">
        <v>0</v>
      </c>
      <c r="AZ716" s="407">
        <v>0</v>
      </c>
      <c r="BA716" s="407"/>
      <c r="BB716" s="407">
        <v>0</v>
      </c>
      <c r="BC716" s="407">
        <v>0</v>
      </c>
      <c r="BD716" s="407">
        <v>0</v>
      </c>
      <c r="BE716" s="407">
        <v>0</v>
      </c>
      <c r="BF716" s="407">
        <v>0</v>
      </c>
      <c r="BG716" s="407">
        <v>2325.4477635076055</v>
      </c>
      <c r="BH716" s="407">
        <v>0</v>
      </c>
      <c r="BI716" s="407">
        <v>0</v>
      </c>
      <c r="BJ716" s="407">
        <v>0</v>
      </c>
      <c r="BK716" s="407">
        <v>0</v>
      </c>
      <c r="BL716" s="407">
        <v>0</v>
      </c>
      <c r="BM716" s="407"/>
      <c r="BN716" s="407"/>
      <c r="BO716" s="407"/>
      <c r="BP716" s="407"/>
      <c r="BQ716" s="407"/>
      <c r="BR716" s="407"/>
      <c r="BS716" s="407"/>
      <c r="BT716" s="407"/>
      <c r="BU716" s="407"/>
      <c r="BV716" s="407">
        <v>71432.221924017198</v>
      </c>
      <c r="BW716" s="407"/>
      <c r="BX716" s="407"/>
      <c r="BY716" s="407"/>
      <c r="BZ716" s="407"/>
      <c r="CA716" s="407"/>
      <c r="CB716" s="407"/>
      <c r="CC716" s="407"/>
      <c r="CD716" s="407"/>
      <c r="CE716" s="407"/>
      <c r="CF716" s="407"/>
      <c r="CG716" s="407"/>
      <c r="CH716" s="407"/>
      <c r="CI716" s="407">
        <v>124075.0637</v>
      </c>
      <c r="CJ716" s="407">
        <v>9950.5859000000055</v>
      </c>
      <c r="CK716" s="407"/>
      <c r="CL716" s="407"/>
      <c r="CM716" s="407"/>
      <c r="CN716" s="407"/>
      <c r="CO716" s="407">
        <v>-2356.8692400000023</v>
      </c>
      <c r="CP716" s="407">
        <v>12308.592779999999</v>
      </c>
      <c r="CQ716" s="407">
        <v>30</v>
      </c>
      <c r="CR716" s="407">
        <v>9950.3072719948395</v>
      </c>
      <c r="CS716" s="407">
        <v>0</v>
      </c>
      <c r="CT716" s="407">
        <v>0</v>
      </c>
      <c r="CU716" s="407">
        <v>0</v>
      </c>
      <c r="CV716" s="407">
        <v>0</v>
      </c>
      <c r="CW716" s="407">
        <v>0</v>
      </c>
      <c r="CX716" s="407">
        <v>0</v>
      </c>
      <c r="CY716" s="407">
        <v>0</v>
      </c>
      <c r="CZ716" s="407">
        <v>0</v>
      </c>
      <c r="DA716" s="407">
        <v>0</v>
      </c>
      <c r="DB716" s="407">
        <v>0</v>
      </c>
      <c r="DC716" s="407">
        <v>13702.00709836022</v>
      </c>
      <c r="DD716" s="407">
        <v>0</v>
      </c>
      <c r="DE716" s="407">
        <v>0</v>
      </c>
      <c r="DF716" s="407">
        <v>0</v>
      </c>
      <c r="DG716" s="407">
        <v>461.07349314902876</v>
      </c>
      <c r="DH716" s="407">
        <v>0</v>
      </c>
      <c r="DI716" s="407">
        <v>-1692.0399743563539</v>
      </c>
      <c r="DJ716" s="407"/>
      <c r="DK716" s="407">
        <v>0</v>
      </c>
      <c r="DL716" s="407">
        <v>0</v>
      </c>
      <c r="DM716" s="407">
        <v>0</v>
      </c>
      <c r="DN716" s="407">
        <v>0</v>
      </c>
      <c r="DO716" s="407">
        <v>-261.78648279546496</v>
      </c>
      <c r="DP716" s="407">
        <v>-30.655295916463729</v>
      </c>
      <c r="DQ716" s="407">
        <v>0</v>
      </c>
      <c r="DR716" s="407">
        <v>-2228.2915664461207</v>
      </c>
      <c r="DS716" s="407"/>
      <c r="DT716" s="407"/>
      <c r="DU716" s="407"/>
      <c r="DV716" s="407">
        <v>0</v>
      </c>
      <c r="DW716" s="407">
        <v>0</v>
      </c>
      <c r="DX716" s="407">
        <v>0</v>
      </c>
      <c r="DY716" s="407">
        <v>-2356.86924</v>
      </c>
      <c r="DZ716" s="407">
        <v>12308.592780000006</v>
      </c>
      <c r="EA716" s="407">
        <v>0</v>
      </c>
      <c r="EB716" s="407">
        <v>0</v>
      </c>
      <c r="EC716" s="407">
        <v>0</v>
      </c>
      <c r="ED716" s="407">
        <v>0</v>
      </c>
      <c r="EE716" s="407">
        <v>0</v>
      </c>
      <c r="EF716" s="407">
        <v>0</v>
      </c>
      <c r="EG716" s="407">
        <v>0</v>
      </c>
      <c r="EH716" s="407">
        <v>0</v>
      </c>
      <c r="EI716" s="407">
        <v>0</v>
      </c>
      <c r="EJ716" s="407">
        <v>0</v>
      </c>
      <c r="EK716" s="407">
        <v>0</v>
      </c>
      <c r="EL716" s="407">
        <v>0</v>
      </c>
      <c r="EM716" s="407">
        <v>0</v>
      </c>
      <c r="EN716" s="407">
        <v>0</v>
      </c>
      <c r="EO716" s="407">
        <v>0</v>
      </c>
      <c r="EP716" s="407">
        <v>11442.982706491928</v>
      </c>
      <c r="EQ716" s="407">
        <v>0</v>
      </c>
      <c r="ER716" s="407">
        <v>0</v>
      </c>
      <c r="ES716" s="407">
        <v>0</v>
      </c>
      <c r="ET716" s="407">
        <v>0</v>
      </c>
      <c r="EU716" s="407">
        <v>0</v>
      </c>
      <c r="EV716" s="407">
        <v>246</v>
      </c>
      <c r="EW716" s="407">
        <v>0</v>
      </c>
      <c r="EX716" s="407">
        <v>0</v>
      </c>
      <c r="EY716" s="407">
        <v>0</v>
      </c>
      <c r="EZ716" s="407"/>
      <c r="FA716" s="407">
        <v>0</v>
      </c>
      <c r="FB716" s="407"/>
      <c r="FC716" s="407"/>
      <c r="FD716" s="407"/>
      <c r="FE716" s="407"/>
      <c r="FF716" s="407">
        <v>0</v>
      </c>
      <c r="FG716" s="407">
        <v>0</v>
      </c>
      <c r="FH716" s="407">
        <v>0</v>
      </c>
      <c r="FI716" s="407">
        <v>0</v>
      </c>
    </row>
    <row r="717" spans="1:165">
      <c r="A717" s="407">
        <v>744</v>
      </c>
      <c r="B717" s="407" t="s">
        <v>1090</v>
      </c>
      <c r="C717" s="407" t="s">
        <v>2314</v>
      </c>
      <c r="D717" s="407" t="s">
        <v>650</v>
      </c>
      <c r="E717" s="407" t="s">
        <v>1022</v>
      </c>
      <c r="F717" s="407" t="s">
        <v>97</v>
      </c>
      <c r="G717" s="407" t="s">
        <v>97</v>
      </c>
      <c r="H717" s="407" t="s">
        <v>97</v>
      </c>
      <c r="I717" s="407" t="s">
        <v>97</v>
      </c>
      <c r="J717" s="407" t="s">
        <v>2307</v>
      </c>
      <c r="K717" s="818">
        <v>44713</v>
      </c>
      <c r="L717" s="407">
        <v>2181</v>
      </c>
      <c r="M717" s="407">
        <v>2181</v>
      </c>
      <c r="N717" s="407">
        <v>0</v>
      </c>
      <c r="O717" s="407">
        <v>0</v>
      </c>
      <c r="P717" s="407">
        <v>0</v>
      </c>
      <c r="Q717" s="407">
        <v>0</v>
      </c>
      <c r="R717" s="407">
        <v>43.29</v>
      </c>
      <c r="S717" s="407"/>
      <c r="T717" s="407"/>
      <c r="U717" s="407">
        <v>94415.49</v>
      </c>
      <c r="V717" s="407"/>
      <c r="W717" s="407">
        <v>94415.49</v>
      </c>
      <c r="X717" s="407">
        <v>73041.69</v>
      </c>
      <c r="Y717" s="407">
        <v>0</v>
      </c>
      <c r="Z717" s="407">
        <v>0</v>
      </c>
      <c r="AA717" s="407">
        <v>0</v>
      </c>
      <c r="AB717" s="407">
        <v>0</v>
      </c>
      <c r="AC717" s="407">
        <v>0</v>
      </c>
      <c r="AD717" s="407">
        <v>51611.155992553278</v>
      </c>
      <c r="AE717" s="407">
        <v>42811.257074634457</v>
      </c>
      <c r="AF717" s="407"/>
      <c r="AG717" s="407"/>
      <c r="AH717" s="407"/>
      <c r="AI717" s="407">
        <v>0</v>
      </c>
      <c r="AJ717" s="407">
        <v>0</v>
      </c>
      <c r="AK717" s="407">
        <v>0</v>
      </c>
      <c r="AL717" s="407">
        <v>0</v>
      </c>
      <c r="AM717" s="407"/>
      <c r="AN717" s="407">
        <v>0</v>
      </c>
      <c r="AO717" s="407">
        <v>0</v>
      </c>
      <c r="AP717" s="407">
        <v>0</v>
      </c>
      <c r="AQ717" s="407">
        <v>0</v>
      </c>
      <c r="AR717" s="407">
        <v>0</v>
      </c>
      <c r="AS717" s="407"/>
      <c r="AT717" s="407"/>
      <c r="AU717" s="407">
        <v>0</v>
      </c>
      <c r="AV717" s="407">
        <v>0</v>
      </c>
      <c r="AW717" s="407">
        <v>0</v>
      </c>
      <c r="AX717" s="407"/>
      <c r="AY717" s="407"/>
      <c r="AZ717" s="407">
        <v>0</v>
      </c>
      <c r="BA717" s="407"/>
      <c r="BB717" s="407">
        <v>0</v>
      </c>
      <c r="BC717" s="407">
        <v>0</v>
      </c>
      <c r="BD717" s="407">
        <v>0</v>
      </c>
      <c r="BE717" s="407">
        <v>0</v>
      </c>
      <c r="BF717" s="407"/>
      <c r="BG717" s="407">
        <v>0</v>
      </c>
      <c r="BH717" s="407">
        <v>0</v>
      </c>
      <c r="BI717" s="407">
        <v>572.80999999999995</v>
      </c>
      <c r="BJ717" s="407">
        <v>2634.92</v>
      </c>
      <c r="BK717" s="407">
        <v>45628.17</v>
      </c>
      <c r="BL717" s="407">
        <v>13</v>
      </c>
      <c r="BM717" s="407"/>
      <c r="BN717" s="407"/>
      <c r="BO717" s="407"/>
      <c r="BP717" s="407"/>
      <c r="BQ717" s="407"/>
      <c r="BR717" s="407"/>
      <c r="BS717" s="407"/>
      <c r="BT717" s="407"/>
      <c r="BU717" s="407"/>
      <c r="BV717" s="407">
        <v>0</v>
      </c>
      <c r="BW717" s="407"/>
      <c r="BX717" s="407"/>
      <c r="BY717" s="407"/>
      <c r="BZ717" s="407"/>
      <c r="CA717" s="407"/>
      <c r="CB717" s="407"/>
      <c r="CC717" s="407"/>
      <c r="CD717" s="407"/>
      <c r="CE717" s="407"/>
      <c r="CF717" s="407"/>
      <c r="CG717" s="407"/>
      <c r="CH717" s="407"/>
      <c r="CI717" s="407">
        <v>73041.69</v>
      </c>
      <c r="CJ717" s="407">
        <v>-21373.829999999987</v>
      </c>
      <c r="CK717" s="407"/>
      <c r="CL717" s="407"/>
      <c r="CM717" s="407"/>
      <c r="CN717" s="407"/>
      <c r="CO717" s="407">
        <v>-21373.799999999992</v>
      </c>
      <c r="CP717" s="407">
        <v>0</v>
      </c>
      <c r="CQ717" s="407">
        <v>30</v>
      </c>
      <c r="CR717" s="407">
        <v>487.8027767131789</v>
      </c>
      <c r="CS717" s="407">
        <v>0</v>
      </c>
      <c r="CT717" s="407">
        <v>0</v>
      </c>
      <c r="CU717" s="407">
        <v>0</v>
      </c>
      <c r="CV717" s="407">
        <v>0</v>
      </c>
      <c r="CW717" s="407"/>
      <c r="CX717" s="407"/>
      <c r="CY717" s="407"/>
      <c r="CZ717" s="407">
        <v>2331.3782513015394</v>
      </c>
      <c r="DA717" s="407">
        <v>0</v>
      </c>
      <c r="DB717" s="407">
        <v>0</v>
      </c>
      <c r="DC717" s="407"/>
      <c r="DD717" s="407"/>
      <c r="DE717" s="407">
        <v>0</v>
      </c>
      <c r="DF717" s="407">
        <v>0</v>
      </c>
      <c r="DG717" s="407">
        <v>0</v>
      </c>
      <c r="DH717" s="407">
        <v>0</v>
      </c>
      <c r="DI717" s="407">
        <v>0</v>
      </c>
      <c r="DJ717" s="407"/>
      <c r="DK717" s="407">
        <v>0</v>
      </c>
      <c r="DL717" s="407">
        <v>0</v>
      </c>
      <c r="DM717" s="407"/>
      <c r="DN717" s="407">
        <v>0</v>
      </c>
      <c r="DO717" s="407">
        <v>0</v>
      </c>
      <c r="DP717" s="407">
        <v>0</v>
      </c>
      <c r="DQ717" s="407">
        <v>0</v>
      </c>
      <c r="DR717" s="407">
        <v>-1843.5754745883639</v>
      </c>
      <c r="DS717" s="407"/>
      <c r="DT717" s="407"/>
      <c r="DU717" s="407">
        <v>42811.257074634457</v>
      </c>
      <c r="DV717" s="407"/>
      <c r="DW717" s="407">
        <v>0</v>
      </c>
      <c r="DX717" s="407">
        <v>0</v>
      </c>
      <c r="DY717" s="407">
        <v>-21373.800000000003</v>
      </c>
      <c r="DZ717" s="407"/>
      <c r="EA717" s="407">
        <v>0</v>
      </c>
      <c r="EB717" s="407"/>
      <c r="EC717" s="407">
        <v>-21868.089548148859</v>
      </c>
      <c r="ED717" s="407"/>
      <c r="EE717" s="407">
        <v>0</v>
      </c>
      <c r="EF717" s="407">
        <v>0</v>
      </c>
      <c r="EG717" s="407"/>
      <c r="EH717" s="407">
        <v>0</v>
      </c>
      <c r="EI717" s="407">
        <v>0</v>
      </c>
      <c r="EJ717" s="407">
        <v>0</v>
      </c>
      <c r="EK717" s="407">
        <v>0</v>
      </c>
      <c r="EL717" s="407">
        <v>0</v>
      </c>
      <c r="EM717" s="407"/>
      <c r="EN717" s="407"/>
      <c r="EO717" s="407">
        <v>0</v>
      </c>
      <c r="EP717" s="407">
        <v>0</v>
      </c>
      <c r="EQ717" s="407"/>
      <c r="ER717" s="407">
        <v>0</v>
      </c>
      <c r="ES717" s="407"/>
      <c r="ET717" s="407">
        <v>0</v>
      </c>
      <c r="EU717" s="407"/>
      <c r="EV717" s="407">
        <v>246</v>
      </c>
      <c r="EW717" s="407"/>
      <c r="EX717" s="407"/>
      <c r="EY717" s="407"/>
      <c r="EZ717" s="407"/>
      <c r="FA717" s="407">
        <v>0</v>
      </c>
      <c r="FB717" s="407"/>
      <c r="FC717" s="407"/>
      <c r="FD717" s="407"/>
      <c r="FE717" s="407"/>
      <c r="FF717" s="407">
        <v>0</v>
      </c>
      <c r="FG717" s="407">
        <v>0</v>
      </c>
      <c r="FH717" s="407">
        <v>0</v>
      </c>
      <c r="FI717" s="407">
        <v>0</v>
      </c>
    </row>
    <row r="718" spans="1:165">
      <c r="A718" s="407">
        <v>745</v>
      </c>
      <c r="B718" s="407" t="s">
        <v>1090</v>
      </c>
      <c r="C718" s="407" t="s">
        <v>2306</v>
      </c>
      <c r="D718" s="407" t="s">
        <v>1219</v>
      </c>
      <c r="E718" s="407" t="s">
        <v>1049</v>
      </c>
      <c r="F718" s="407" t="s">
        <v>97</v>
      </c>
      <c r="G718" s="407" t="s">
        <v>97</v>
      </c>
      <c r="H718" s="407" t="s">
        <v>97</v>
      </c>
      <c r="I718" s="407" t="s">
        <v>97</v>
      </c>
      <c r="J718" s="407" t="s">
        <v>2307</v>
      </c>
      <c r="K718" s="818">
        <v>44713</v>
      </c>
      <c r="L718" s="407">
        <v>0</v>
      </c>
      <c r="M718" s="407">
        <v>0</v>
      </c>
      <c r="N718" s="407">
        <v>581.04200000000003</v>
      </c>
      <c r="O718" s="407">
        <v>581.04200000000003</v>
      </c>
      <c r="P718" s="407">
        <v>581.04200000000003</v>
      </c>
      <c r="Q718" s="407">
        <v>581.04200000000003</v>
      </c>
      <c r="R718" s="407"/>
      <c r="S718" s="407">
        <v>648.44000000000005</v>
      </c>
      <c r="T718" s="407">
        <v>159.41</v>
      </c>
      <c r="U718" s="407"/>
      <c r="V718" s="407">
        <v>469394.77970000007</v>
      </c>
      <c r="W718" s="407">
        <v>469394.77970000007</v>
      </c>
      <c r="X718" s="407">
        <v>355493.11644000001</v>
      </c>
      <c r="Y718" s="407">
        <v>0</v>
      </c>
      <c r="Z718" s="407">
        <v>36007.318366560357</v>
      </c>
      <c r="AA718" s="407">
        <v>0</v>
      </c>
      <c r="AB718" s="407">
        <v>0</v>
      </c>
      <c r="AC718" s="407">
        <v>0</v>
      </c>
      <c r="AD718" s="407">
        <v>67775.310695024105</v>
      </c>
      <c r="AE718" s="407">
        <v>242611.75757890483</v>
      </c>
      <c r="AF718" s="407">
        <v>89614.524100418275</v>
      </c>
      <c r="AG718" s="407">
        <v>3010.8127787263234</v>
      </c>
      <c r="AH718" s="407">
        <v>0</v>
      </c>
      <c r="AI718" s="407">
        <v>0</v>
      </c>
      <c r="AJ718" s="407">
        <v>0</v>
      </c>
      <c r="AK718" s="407">
        <v>0</v>
      </c>
      <c r="AL718" s="407">
        <v>5564.0903531059093</v>
      </c>
      <c r="AM718" s="407"/>
      <c r="AN718" s="407">
        <v>1205.7177211348271</v>
      </c>
      <c r="AO718" s="407">
        <v>0</v>
      </c>
      <c r="AP718" s="407">
        <v>0</v>
      </c>
      <c r="AQ718" s="407">
        <v>0</v>
      </c>
      <c r="AR718" s="407">
        <v>0</v>
      </c>
      <c r="AS718" s="407">
        <v>0</v>
      </c>
      <c r="AT718" s="407">
        <v>0</v>
      </c>
      <c r="AU718" s="407">
        <v>0</v>
      </c>
      <c r="AV718" s="407">
        <v>0</v>
      </c>
      <c r="AW718" s="407">
        <v>0</v>
      </c>
      <c r="AX718" s="407">
        <v>0</v>
      </c>
      <c r="AY718" s="407">
        <v>0</v>
      </c>
      <c r="AZ718" s="407">
        <v>0</v>
      </c>
      <c r="BA718" s="407"/>
      <c r="BB718" s="407">
        <v>0</v>
      </c>
      <c r="BC718" s="407">
        <v>0</v>
      </c>
      <c r="BD718" s="407">
        <v>0</v>
      </c>
      <c r="BE718" s="407">
        <v>0</v>
      </c>
      <c r="BF718" s="407">
        <v>0</v>
      </c>
      <c r="BG718" s="407">
        <v>6550.5355513254226</v>
      </c>
      <c r="BH718" s="407">
        <v>0</v>
      </c>
      <c r="BI718" s="407">
        <v>893.22</v>
      </c>
      <c r="BJ718" s="407">
        <v>4147.78</v>
      </c>
      <c r="BK718" s="407">
        <v>120171.37</v>
      </c>
      <c r="BL718" s="407">
        <v>1504</v>
      </c>
      <c r="BM718" s="407"/>
      <c r="BN718" s="407"/>
      <c r="BO718" s="407"/>
      <c r="BP718" s="407"/>
      <c r="BQ718" s="407"/>
      <c r="BR718" s="407"/>
      <c r="BS718" s="407"/>
      <c r="BT718" s="407"/>
      <c r="BU718" s="407"/>
      <c r="BV718" s="407">
        <v>96165.059651743693</v>
      </c>
      <c r="BW718" s="407"/>
      <c r="BX718" s="407"/>
      <c r="BY718" s="407"/>
      <c r="BZ718" s="407"/>
      <c r="CA718" s="407"/>
      <c r="CB718" s="407"/>
      <c r="CC718" s="407"/>
      <c r="CD718" s="407"/>
      <c r="CE718" s="407"/>
      <c r="CF718" s="407"/>
      <c r="CG718" s="407"/>
      <c r="CH718" s="407"/>
      <c r="CI718" s="407">
        <v>355491.89279999997</v>
      </c>
      <c r="CJ718" s="407">
        <v>-113902.91690000013</v>
      </c>
      <c r="CK718" s="407"/>
      <c r="CL718" s="407"/>
      <c r="CM718" s="407"/>
      <c r="CN718" s="407"/>
      <c r="CO718" s="407">
        <v>-129862.88700000005</v>
      </c>
      <c r="CP718" s="407">
        <v>15961.223739999999</v>
      </c>
      <c r="CQ718" s="407">
        <v>30</v>
      </c>
      <c r="CR718" s="407">
        <v>10025.309135854186</v>
      </c>
      <c r="CS718" s="407">
        <v>0</v>
      </c>
      <c r="CT718" s="407">
        <v>0</v>
      </c>
      <c r="CU718" s="407">
        <v>0</v>
      </c>
      <c r="CV718" s="407">
        <v>0</v>
      </c>
      <c r="CW718" s="407">
        <v>0</v>
      </c>
      <c r="CX718" s="407">
        <v>0</v>
      </c>
      <c r="CY718" s="407">
        <v>0</v>
      </c>
      <c r="CZ718" s="407">
        <v>3061.5451696603704</v>
      </c>
      <c r="DA718" s="407">
        <v>0</v>
      </c>
      <c r="DB718" s="407">
        <v>0</v>
      </c>
      <c r="DC718" s="407">
        <v>17768.140102852252</v>
      </c>
      <c r="DD718" s="407">
        <v>0</v>
      </c>
      <c r="DE718" s="407">
        <v>0</v>
      </c>
      <c r="DF718" s="407">
        <v>0</v>
      </c>
      <c r="DG718" s="407">
        <v>1298.7943036358974</v>
      </c>
      <c r="DH718" s="407">
        <v>0</v>
      </c>
      <c r="DI718" s="407">
        <v>-2522.0236117093518</v>
      </c>
      <c r="DJ718" s="407"/>
      <c r="DK718" s="407">
        <v>0</v>
      </c>
      <c r="DL718" s="407">
        <v>0</v>
      </c>
      <c r="DM718" s="407">
        <v>0</v>
      </c>
      <c r="DN718" s="407">
        <v>0</v>
      </c>
      <c r="DO718" s="407">
        <v>-339.47281372372072</v>
      </c>
      <c r="DP718" s="407">
        <v>-76.825422343417586</v>
      </c>
      <c r="DQ718" s="407">
        <v>0</v>
      </c>
      <c r="DR718" s="407">
        <v>-9164.8485925178447</v>
      </c>
      <c r="DS718" s="407"/>
      <c r="DT718" s="407"/>
      <c r="DU718" s="407"/>
      <c r="DV718" s="407">
        <v>242611.75757890483</v>
      </c>
      <c r="DW718" s="407">
        <v>0</v>
      </c>
      <c r="DX718" s="407">
        <v>0</v>
      </c>
      <c r="DY718" s="407">
        <v>-129862.88700000005</v>
      </c>
      <c r="DZ718" s="407">
        <v>15961.223740000001</v>
      </c>
      <c r="EA718" s="407">
        <v>0</v>
      </c>
      <c r="EB718" s="407">
        <v>0</v>
      </c>
      <c r="EC718" s="407">
        <v>-123926.64926703899</v>
      </c>
      <c r="ED718" s="407">
        <v>0</v>
      </c>
      <c r="EE718" s="407">
        <v>0</v>
      </c>
      <c r="EF718" s="407">
        <v>0</v>
      </c>
      <c r="EG718" s="407">
        <v>0</v>
      </c>
      <c r="EH718" s="407">
        <v>0</v>
      </c>
      <c r="EI718" s="407">
        <v>0</v>
      </c>
      <c r="EJ718" s="407">
        <v>0</v>
      </c>
      <c r="EK718" s="407">
        <v>0</v>
      </c>
      <c r="EL718" s="407">
        <v>0</v>
      </c>
      <c r="EM718" s="407">
        <v>0</v>
      </c>
      <c r="EN718" s="407">
        <v>0</v>
      </c>
      <c r="EO718" s="407">
        <v>0</v>
      </c>
      <c r="EP718" s="407">
        <v>17056.022914076042</v>
      </c>
      <c r="EQ718" s="407">
        <v>0</v>
      </c>
      <c r="ER718" s="407">
        <v>0</v>
      </c>
      <c r="ES718" s="407">
        <v>0</v>
      </c>
      <c r="ET718" s="407">
        <v>0</v>
      </c>
      <c r="EU718" s="407">
        <v>0</v>
      </c>
      <c r="EV718" s="407">
        <v>246</v>
      </c>
      <c r="EW718" s="407">
        <v>0</v>
      </c>
      <c r="EX718" s="407">
        <v>0</v>
      </c>
      <c r="EY718" s="407">
        <v>0</v>
      </c>
      <c r="EZ718" s="407"/>
      <c r="FA718" s="407">
        <v>0</v>
      </c>
      <c r="FB718" s="407"/>
      <c r="FC718" s="407"/>
      <c r="FD718" s="407"/>
      <c r="FE718" s="407"/>
      <c r="FF718" s="407">
        <v>0</v>
      </c>
      <c r="FG718" s="407">
        <v>0</v>
      </c>
      <c r="FH718" s="407">
        <v>0</v>
      </c>
      <c r="FI718" s="407">
        <v>0</v>
      </c>
    </row>
    <row r="719" spans="1:165">
      <c r="A719" s="407">
        <v>746</v>
      </c>
      <c r="B719" s="407" t="s">
        <v>2308</v>
      </c>
      <c r="C719" s="407" t="s">
        <v>2306</v>
      </c>
      <c r="D719" s="407" t="s">
        <v>1219</v>
      </c>
      <c r="E719" s="407" t="s">
        <v>1049</v>
      </c>
      <c r="F719" s="407" t="s">
        <v>97</v>
      </c>
      <c r="G719" s="407" t="s">
        <v>97</v>
      </c>
      <c r="H719" s="407" t="s">
        <v>97</v>
      </c>
      <c r="I719" s="407" t="s">
        <v>97</v>
      </c>
      <c r="J719" s="407" t="s">
        <v>2307</v>
      </c>
      <c r="K719" s="818">
        <v>44713</v>
      </c>
      <c r="L719" s="407">
        <v>0</v>
      </c>
      <c r="M719" s="407">
        <v>0</v>
      </c>
      <c r="N719" s="407">
        <v>-5.2690000000000001</v>
      </c>
      <c r="O719" s="407">
        <v>-5.2690000000000001</v>
      </c>
      <c r="P719" s="407">
        <v>-5.2690000000000001</v>
      </c>
      <c r="Q719" s="407">
        <v>-5.2690000000000001</v>
      </c>
      <c r="R719" s="407"/>
      <c r="S719" s="407">
        <v>648.44000000000005</v>
      </c>
      <c r="T719" s="407">
        <v>159.41</v>
      </c>
      <c r="U719" s="407"/>
      <c r="V719" s="407">
        <v>-4256.5616500000006</v>
      </c>
      <c r="W719" s="407">
        <v>-4256.5616500000006</v>
      </c>
      <c r="X719" s="407">
        <v>-3223.67958</v>
      </c>
      <c r="Y719" s="407">
        <v>0</v>
      </c>
      <c r="Z719" s="407">
        <v>-326.5212505695053</v>
      </c>
      <c r="AA719" s="407">
        <v>0</v>
      </c>
      <c r="AB719" s="407">
        <v>0</v>
      </c>
      <c r="AC719" s="407">
        <v>0</v>
      </c>
      <c r="AD719" s="407">
        <v>-614.59948171058545</v>
      </c>
      <c r="AE719" s="407">
        <v>-2200.0498254571089</v>
      </c>
      <c r="AF719" s="407">
        <v>-812.64164636137127</v>
      </c>
      <c r="AG719" s="407">
        <v>-27.302626197605335</v>
      </c>
      <c r="AH719" s="407">
        <v>0</v>
      </c>
      <c r="AI719" s="407">
        <v>0</v>
      </c>
      <c r="AJ719" s="407">
        <v>0</v>
      </c>
      <c r="AK719" s="407">
        <v>0</v>
      </c>
      <c r="AL719" s="407">
        <v>-50.456235643060289</v>
      </c>
      <c r="AM719" s="407"/>
      <c r="AN719" s="407">
        <v>-10.933678929680479</v>
      </c>
      <c r="AO719" s="407">
        <v>0</v>
      </c>
      <c r="AP719" s="407">
        <v>0</v>
      </c>
      <c r="AQ719" s="407">
        <v>0</v>
      </c>
      <c r="AR719" s="407">
        <v>0</v>
      </c>
      <c r="AS719" s="407">
        <v>0</v>
      </c>
      <c r="AT719" s="407">
        <v>0</v>
      </c>
      <c r="AU719" s="407">
        <v>0</v>
      </c>
      <c r="AV719" s="407">
        <v>0</v>
      </c>
      <c r="AW719" s="407">
        <v>0</v>
      </c>
      <c r="AX719" s="407">
        <v>0</v>
      </c>
      <c r="AY719" s="407">
        <v>0</v>
      </c>
      <c r="AZ719" s="407">
        <v>0</v>
      </c>
      <c r="BA719" s="407"/>
      <c r="BB719" s="407">
        <v>0</v>
      </c>
      <c r="BC719" s="407">
        <v>0</v>
      </c>
      <c r="BD719" s="407">
        <v>0</v>
      </c>
      <c r="BE719" s="407">
        <v>0</v>
      </c>
      <c r="BF719" s="407">
        <v>0</v>
      </c>
      <c r="BG719" s="407">
        <v>-59.401509391633738</v>
      </c>
      <c r="BH719" s="407">
        <v>0</v>
      </c>
      <c r="BI719" s="407">
        <v>-5.2</v>
      </c>
      <c r="BJ719" s="407">
        <v>-23.82</v>
      </c>
      <c r="BK719" s="407">
        <v>-1261.1099999999999</v>
      </c>
      <c r="BL719" s="407">
        <v>0</v>
      </c>
      <c r="BM719" s="407"/>
      <c r="BN719" s="407"/>
      <c r="BO719" s="407"/>
      <c r="BP719" s="407"/>
      <c r="BQ719" s="407"/>
      <c r="BR719" s="407"/>
      <c r="BS719" s="407"/>
      <c r="BT719" s="407"/>
      <c r="BU719" s="407"/>
      <c r="BV719" s="407">
        <v>-872.04315575300507</v>
      </c>
      <c r="BW719" s="407"/>
      <c r="BX719" s="407"/>
      <c r="BY719" s="407"/>
      <c r="BZ719" s="407"/>
      <c r="CA719" s="407"/>
      <c r="CB719" s="407"/>
      <c r="CC719" s="407"/>
      <c r="CD719" s="407"/>
      <c r="CE719" s="407"/>
      <c r="CF719" s="407"/>
      <c r="CG719" s="407"/>
      <c r="CH719" s="407"/>
      <c r="CI719" s="407">
        <v>-3224.2913999999996</v>
      </c>
      <c r="CJ719" s="407">
        <v>1032.2402500000003</v>
      </c>
      <c r="CK719" s="407"/>
      <c r="CL719" s="407"/>
      <c r="CM719" s="407"/>
      <c r="CN719" s="407"/>
      <c r="CO719" s="407">
        <v>1177.6215000000004</v>
      </c>
      <c r="CP719" s="407">
        <v>-144.73943</v>
      </c>
      <c r="CQ719" s="407">
        <v>30</v>
      </c>
      <c r="CR719" s="407">
        <v>-90.911420924504</v>
      </c>
      <c r="CS719" s="407">
        <v>0</v>
      </c>
      <c r="CT719" s="407">
        <v>0</v>
      </c>
      <c r="CU719" s="407">
        <v>0</v>
      </c>
      <c r="CV719" s="407">
        <v>0</v>
      </c>
      <c r="CW719" s="407">
        <v>0</v>
      </c>
      <c r="CX719" s="407">
        <v>0</v>
      </c>
      <c r="CY719" s="407">
        <v>0</v>
      </c>
      <c r="CZ719" s="407">
        <v>-27.762677222886623</v>
      </c>
      <c r="DA719" s="407">
        <v>0</v>
      </c>
      <c r="DB719" s="407">
        <v>0</v>
      </c>
      <c r="DC719" s="407">
        <v>-161.12489321241571</v>
      </c>
      <c r="DD719" s="407">
        <v>0</v>
      </c>
      <c r="DE719" s="407">
        <v>0</v>
      </c>
      <c r="DF719" s="407">
        <v>0</v>
      </c>
      <c r="DG719" s="407">
        <v>-11.777715183855122</v>
      </c>
      <c r="DH719" s="407">
        <v>0</v>
      </c>
      <c r="DI719" s="407">
        <v>22.87019253358028</v>
      </c>
      <c r="DJ719" s="407"/>
      <c r="DK719" s="407">
        <v>0</v>
      </c>
      <c r="DL719" s="407">
        <v>0</v>
      </c>
      <c r="DM719" s="407">
        <v>0</v>
      </c>
      <c r="DN719" s="407">
        <v>0</v>
      </c>
      <c r="DO719" s="407">
        <v>3.078404410542241</v>
      </c>
      <c r="DP719" s="407">
        <v>0.69666762527918458</v>
      </c>
      <c r="DQ719" s="407">
        <v>0</v>
      </c>
      <c r="DR719" s="407">
        <v>83.108600125251741</v>
      </c>
      <c r="DS719" s="407"/>
      <c r="DT719" s="407"/>
      <c r="DU719" s="407"/>
      <c r="DV719" s="407">
        <v>-2200.0498254571089</v>
      </c>
      <c r="DW719" s="407">
        <v>0</v>
      </c>
      <c r="DX719" s="407">
        <v>0</v>
      </c>
      <c r="DY719" s="407">
        <v>1177.6215000000007</v>
      </c>
      <c r="DZ719" s="407">
        <v>-144.73942999999997</v>
      </c>
      <c r="EA719" s="407">
        <v>0</v>
      </c>
      <c r="EB719" s="407">
        <v>0</v>
      </c>
      <c r="EC719" s="407">
        <v>1123.7905607305984</v>
      </c>
      <c r="ED719" s="407">
        <v>0</v>
      </c>
      <c r="EE719" s="407">
        <v>0</v>
      </c>
      <c r="EF719" s="407">
        <v>0</v>
      </c>
      <c r="EG719" s="407">
        <v>0</v>
      </c>
      <c r="EH719" s="407">
        <v>0</v>
      </c>
      <c r="EI719" s="407">
        <v>0</v>
      </c>
      <c r="EJ719" s="407">
        <v>0</v>
      </c>
      <c r="EK719" s="407">
        <v>0</v>
      </c>
      <c r="EL719" s="407">
        <v>0</v>
      </c>
      <c r="EM719" s="407">
        <v>0</v>
      </c>
      <c r="EN719" s="407">
        <v>0</v>
      </c>
      <c r="EO719" s="407">
        <v>0</v>
      </c>
      <c r="EP719" s="407">
        <v>-154.6672783280153</v>
      </c>
      <c r="EQ719" s="407">
        <v>0</v>
      </c>
      <c r="ER719" s="407">
        <v>0</v>
      </c>
      <c r="ES719" s="407">
        <v>0</v>
      </c>
      <c r="ET719" s="407">
        <v>0</v>
      </c>
      <c r="EU719" s="407">
        <v>0</v>
      </c>
      <c r="EV719" s="407">
        <v>246</v>
      </c>
      <c r="EW719" s="407">
        <v>0</v>
      </c>
      <c r="EX719" s="407">
        <v>0</v>
      </c>
      <c r="EY719" s="407">
        <v>0</v>
      </c>
      <c r="EZ719" s="407"/>
      <c r="FA719" s="407">
        <v>0</v>
      </c>
      <c r="FB719" s="407"/>
      <c r="FC719" s="407"/>
      <c r="FD719" s="407"/>
      <c r="FE719" s="407"/>
      <c r="FF719" s="407">
        <v>0</v>
      </c>
      <c r="FG719" s="407">
        <v>0</v>
      </c>
      <c r="FH719" s="407">
        <v>0</v>
      </c>
      <c r="FI719" s="407">
        <v>0</v>
      </c>
    </row>
    <row r="720" spans="1:165">
      <c r="A720" s="407">
        <v>747</v>
      </c>
      <c r="B720" s="407" t="s">
        <v>2309</v>
      </c>
      <c r="C720" s="407" t="s">
        <v>2306</v>
      </c>
      <c r="D720" s="407" t="s">
        <v>1219</v>
      </c>
      <c r="E720" s="407" t="s">
        <v>1049</v>
      </c>
      <c r="F720" s="407" t="s">
        <v>97</v>
      </c>
      <c r="G720" s="407" t="s">
        <v>97</v>
      </c>
      <c r="H720" s="407" t="s">
        <v>97</v>
      </c>
      <c r="I720" s="407" t="s">
        <v>97</v>
      </c>
      <c r="J720" s="407" t="s">
        <v>2307</v>
      </c>
      <c r="K720" s="818">
        <v>44713</v>
      </c>
      <c r="L720" s="407">
        <v>0</v>
      </c>
      <c r="M720" s="407">
        <v>0</v>
      </c>
      <c r="N720" s="407">
        <v>119.923</v>
      </c>
      <c r="O720" s="407">
        <v>119.923</v>
      </c>
      <c r="P720" s="407">
        <v>119.923</v>
      </c>
      <c r="Q720" s="407">
        <v>119.923</v>
      </c>
      <c r="R720" s="407"/>
      <c r="S720" s="407">
        <v>648.44000000000005</v>
      </c>
      <c r="T720" s="407">
        <v>159.41</v>
      </c>
      <c r="U720" s="407"/>
      <c r="V720" s="407">
        <v>96879.79555000001</v>
      </c>
      <c r="W720" s="407">
        <v>96879.79555000001</v>
      </c>
      <c r="X720" s="407">
        <v>73371.289860000004</v>
      </c>
      <c r="Y720" s="407">
        <v>0</v>
      </c>
      <c r="Z720" s="407">
        <v>7431.6583663022939</v>
      </c>
      <c r="AA720" s="407">
        <v>0</v>
      </c>
      <c r="AB720" s="407">
        <v>0</v>
      </c>
      <c r="AC720" s="407">
        <v>0</v>
      </c>
      <c r="AD720" s="407">
        <v>13988.349524611602</v>
      </c>
      <c r="AE720" s="407">
        <v>50073.367853158641</v>
      </c>
      <c r="AF720" s="407">
        <v>18495.81024038617</v>
      </c>
      <c r="AG720" s="407">
        <v>621.41067403595071</v>
      </c>
      <c r="AH720" s="407">
        <v>0</v>
      </c>
      <c r="AI720" s="407">
        <v>0</v>
      </c>
      <c r="AJ720" s="407">
        <v>0</v>
      </c>
      <c r="AK720" s="407">
        <v>0</v>
      </c>
      <c r="AL720" s="407">
        <v>1148.3892858270485</v>
      </c>
      <c r="AM720" s="407"/>
      <c r="AN720" s="407">
        <v>248.85169449308634</v>
      </c>
      <c r="AO720" s="407">
        <v>0</v>
      </c>
      <c r="AP720" s="407">
        <v>0</v>
      </c>
      <c r="AQ720" s="407">
        <v>0</v>
      </c>
      <c r="AR720" s="407">
        <v>0</v>
      </c>
      <c r="AS720" s="407">
        <v>0</v>
      </c>
      <c r="AT720" s="407">
        <v>0</v>
      </c>
      <c r="AU720" s="407">
        <v>0</v>
      </c>
      <c r="AV720" s="407">
        <v>0</v>
      </c>
      <c r="AW720" s="407">
        <v>0</v>
      </c>
      <c r="AX720" s="407">
        <v>0</v>
      </c>
      <c r="AY720" s="407">
        <v>0</v>
      </c>
      <c r="AZ720" s="407">
        <v>0</v>
      </c>
      <c r="BA720" s="407"/>
      <c r="BB720" s="407">
        <v>0</v>
      </c>
      <c r="BC720" s="407">
        <v>0</v>
      </c>
      <c r="BD720" s="407">
        <v>0</v>
      </c>
      <c r="BE720" s="407">
        <v>0</v>
      </c>
      <c r="BF720" s="407">
        <v>0</v>
      </c>
      <c r="BG720" s="407">
        <v>1351.984667066406</v>
      </c>
      <c r="BH720" s="407">
        <v>0</v>
      </c>
      <c r="BI720" s="407">
        <v>185.92</v>
      </c>
      <c r="BJ720" s="407">
        <v>858.85</v>
      </c>
      <c r="BK720" s="407">
        <v>39969.81</v>
      </c>
      <c r="BL720" s="407">
        <v>153</v>
      </c>
      <c r="BM720" s="407"/>
      <c r="BN720" s="407"/>
      <c r="BO720" s="407"/>
      <c r="BP720" s="407"/>
      <c r="BQ720" s="407"/>
      <c r="BR720" s="407"/>
      <c r="BS720" s="407"/>
      <c r="BT720" s="407"/>
      <c r="BU720" s="407"/>
      <c r="BV720" s="407">
        <v>19847.794907452575</v>
      </c>
      <c r="BW720" s="407"/>
      <c r="BX720" s="407"/>
      <c r="BY720" s="407"/>
      <c r="BZ720" s="407"/>
      <c r="CA720" s="407"/>
      <c r="CB720" s="407"/>
      <c r="CC720" s="407"/>
      <c r="CD720" s="407"/>
      <c r="CE720" s="407"/>
      <c r="CF720" s="407"/>
      <c r="CG720" s="407"/>
      <c r="CH720" s="407"/>
      <c r="CI720" s="407">
        <v>73369.454400000002</v>
      </c>
      <c r="CJ720" s="407">
        <v>-23510.371149999992</v>
      </c>
      <c r="CK720" s="407"/>
      <c r="CL720" s="407"/>
      <c r="CM720" s="407"/>
      <c r="CN720" s="407"/>
      <c r="CO720" s="407">
        <v>-26802.790500000006</v>
      </c>
      <c r="CP720" s="407">
        <v>3294.2848100000001</v>
      </c>
      <c r="CQ720" s="407">
        <v>30</v>
      </c>
      <c r="CR720" s="407">
        <v>2069.1536024917878</v>
      </c>
      <c r="CS720" s="407">
        <v>0</v>
      </c>
      <c r="CT720" s="407">
        <v>0</v>
      </c>
      <c r="CU720" s="407">
        <v>0</v>
      </c>
      <c r="CV720" s="407">
        <v>0</v>
      </c>
      <c r="CW720" s="407">
        <v>0</v>
      </c>
      <c r="CX720" s="407">
        <v>0</v>
      </c>
      <c r="CY720" s="407">
        <v>0</v>
      </c>
      <c r="CZ720" s="407">
        <v>631.88148426650878</v>
      </c>
      <c r="DA720" s="407">
        <v>0</v>
      </c>
      <c r="DB720" s="407">
        <v>0</v>
      </c>
      <c r="DC720" s="407">
        <v>3667.2196941948241</v>
      </c>
      <c r="DD720" s="407">
        <v>0</v>
      </c>
      <c r="DE720" s="407">
        <v>0</v>
      </c>
      <c r="DF720" s="407">
        <v>0</v>
      </c>
      <c r="DG720" s="407">
        <v>268.06204934398488</v>
      </c>
      <c r="DH720" s="407">
        <v>0</v>
      </c>
      <c r="DI720" s="407">
        <v>-520.52801275470665</v>
      </c>
      <c r="DJ720" s="407"/>
      <c r="DK720" s="407">
        <v>0</v>
      </c>
      <c r="DL720" s="407">
        <v>0</v>
      </c>
      <c r="DM720" s="407">
        <v>0</v>
      </c>
      <c r="DN720" s="407">
        <v>0</v>
      </c>
      <c r="DO720" s="407">
        <v>-70.06481156300174</v>
      </c>
      <c r="DP720" s="407">
        <v>-15.856229194601553</v>
      </c>
      <c r="DQ720" s="407">
        <v>0</v>
      </c>
      <c r="DR720" s="407">
        <v>-1891.560571801208</v>
      </c>
      <c r="DS720" s="407"/>
      <c r="DT720" s="407"/>
      <c r="DU720" s="407"/>
      <c r="DV720" s="407">
        <v>50073.367853158641</v>
      </c>
      <c r="DW720" s="407">
        <v>0</v>
      </c>
      <c r="DX720" s="407">
        <v>0</v>
      </c>
      <c r="DY720" s="407">
        <v>-26802.790500000003</v>
      </c>
      <c r="DZ720" s="407">
        <v>3294.284810000001</v>
      </c>
      <c r="EA720" s="407">
        <v>0</v>
      </c>
      <c r="EB720" s="407">
        <v>0</v>
      </c>
      <c r="EC720" s="407">
        <v>-25577.592600967084</v>
      </c>
      <c r="ED720" s="407">
        <v>0</v>
      </c>
      <c r="EE720" s="407">
        <v>0</v>
      </c>
      <c r="EF720" s="407">
        <v>0</v>
      </c>
      <c r="EG720" s="407">
        <v>0</v>
      </c>
      <c r="EH720" s="407">
        <v>0</v>
      </c>
      <c r="EI720" s="407">
        <v>0</v>
      </c>
      <c r="EJ720" s="407">
        <v>0</v>
      </c>
      <c r="EK720" s="407">
        <v>0</v>
      </c>
      <c r="EL720" s="407">
        <v>0</v>
      </c>
      <c r="EM720" s="407">
        <v>0</v>
      </c>
      <c r="EN720" s="407">
        <v>0</v>
      </c>
      <c r="EO720" s="407">
        <v>0</v>
      </c>
      <c r="EP720" s="407">
        <v>3520.2436930974714</v>
      </c>
      <c r="EQ720" s="407">
        <v>0</v>
      </c>
      <c r="ER720" s="407">
        <v>0</v>
      </c>
      <c r="ES720" s="407">
        <v>0</v>
      </c>
      <c r="ET720" s="407">
        <v>0</v>
      </c>
      <c r="EU720" s="407">
        <v>0</v>
      </c>
      <c r="EV720" s="407">
        <v>246</v>
      </c>
      <c r="EW720" s="407">
        <v>0</v>
      </c>
      <c r="EX720" s="407">
        <v>0</v>
      </c>
      <c r="EY720" s="407">
        <v>0</v>
      </c>
      <c r="EZ720" s="407"/>
      <c r="FA720" s="407">
        <v>0</v>
      </c>
      <c r="FB720" s="407"/>
      <c r="FC720" s="407"/>
      <c r="FD720" s="407"/>
      <c r="FE720" s="407"/>
      <c r="FF720" s="407">
        <v>0</v>
      </c>
      <c r="FG720" s="407">
        <v>0</v>
      </c>
      <c r="FH720" s="407">
        <v>0</v>
      </c>
      <c r="FI720" s="407">
        <v>0</v>
      </c>
    </row>
    <row r="721" spans="1:165">
      <c r="A721" s="407">
        <v>748</v>
      </c>
      <c r="B721" s="407" t="s">
        <v>1090</v>
      </c>
      <c r="C721" s="407" t="s">
        <v>2314</v>
      </c>
      <c r="D721" s="407" t="s">
        <v>650</v>
      </c>
      <c r="E721" s="407" t="s">
        <v>1049</v>
      </c>
      <c r="F721" s="407" t="s">
        <v>97</v>
      </c>
      <c r="G721" s="407" t="s">
        <v>97</v>
      </c>
      <c r="H721" s="407" t="s">
        <v>97</v>
      </c>
      <c r="I721" s="407" t="s">
        <v>1025</v>
      </c>
      <c r="J721" s="407" t="s">
        <v>2307</v>
      </c>
      <c r="K721" s="818">
        <v>44713</v>
      </c>
      <c r="L721" s="407">
        <v>0</v>
      </c>
      <c r="M721" s="407">
        <v>0</v>
      </c>
      <c r="N721" s="407">
        <v>10.268000000000001</v>
      </c>
      <c r="O721" s="407">
        <v>10.268000000000001</v>
      </c>
      <c r="P721" s="407">
        <v>10.268000000000001</v>
      </c>
      <c r="Q721" s="407">
        <v>10.268000000000001</v>
      </c>
      <c r="R721" s="407"/>
      <c r="S721" s="407">
        <v>2810.7</v>
      </c>
      <c r="T721" s="407">
        <v>159.41</v>
      </c>
      <c r="U721" s="407"/>
      <c r="V721" s="407">
        <v>30497.089479999999</v>
      </c>
      <c r="W721" s="407">
        <v>30497.089479999999</v>
      </c>
      <c r="X721" s="407">
        <v>19423.872919999998</v>
      </c>
      <c r="Y721" s="407">
        <v>0</v>
      </c>
      <c r="Z721" s="407">
        <v>553.59016411795039</v>
      </c>
      <c r="AA721" s="407">
        <v>0</v>
      </c>
      <c r="AB721" s="407">
        <v>0</v>
      </c>
      <c r="AC721" s="407">
        <v>0</v>
      </c>
      <c r="AD721" s="407">
        <v>6268.7741128944617</v>
      </c>
      <c r="AE721" s="407">
        <v>21612.999267205669</v>
      </c>
      <c r="AF721" s="407">
        <v>1583.6409992102033</v>
      </c>
      <c r="AG721" s="407">
        <v>53.206180640920778</v>
      </c>
      <c r="AH721" s="407">
        <v>0</v>
      </c>
      <c r="AI721" s="407">
        <v>0</v>
      </c>
      <c r="AJ721" s="407">
        <v>0</v>
      </c>
      <c r="AK721" s="407">
        <v>0</v>
      </c>
      <c r="AL721" s="407">
        <v>98.326936341420208</v>
      </c>
      <c r="AM721" s="407"/>
      <c r="AN721" s="407">
        <v>11.025094384970219</v>
      </c>
      <c r="AO721" s="407">
        <v>0</v>
      </c>
      <c r="AP721" s="407">
        <v>0</v>
      </c>
      <c r="AQ721" s="407">
        <v>0</v>
      </c>
      <c r="AR721" s="407">
        <v>0</v>
      </c>
      <c r="AS721" s="407">
        <v>0</v>
      </c>
      <c r="AT721" s="407">
        <v>0</v>
      </c>
      <c r="AU721" s="407">
        <v>0</v>
      </c>
      <c r="AV721" s="407">
        <v>0</v>
      </c>
      <c r="AW721" s="407">
        <v>0</v>
      </c>
      <c r="AX721" s="407">
        <v>0</v>
      </c>
      <c r="AY721" s="407">
        <v>0</v>
      </c>
      <c r="AZ721" s="407">
        <v>0</v>
      </c>
      <c r="BA721" s="407"/>
      <c r="BB721" s="407">
        <v>0</v>
      </c>
      <c r="BC721" s="407">
        <v>0</v>
      </c>
      <c r="BD721" s="407">
        <v>0</v>
      </c>
      <c r="BE721" s="407">
        <v>0</v>
      </c>
      <c r="BF721" s="407">
        <v>0</v>
      </c>
      <c r="BG721" s="407">
        <v>53.289629917594183</v>
      </c>
      <c r="BH721" s="407">
        <v>0</v>
      </c>
      <c r="BI721" s="407">
        <v>0</v>
      </c>
      <c r="BJ721" s="407">
        <v>0</v>
      </c>
      <c r="BK721" s="407">
        <v>0</v>
      </c>
      <c r="BL721" s="407">
        <v>0</v>
      </c>
      <c r="BM721" s="407"/>
      <c r="BN721" s="407"/>
      <c r="BO721" s="407"/>
      <c r="BP721" s="407"/>
      <c r="BQ721" s="407"/>
      <c r="BR721" s="407"/>
      <c r="BS721" s="407"/>
      <c r="BT721" s="407"/>
      <c r="BU721" s="407"/>
      <c r="BV721" s="407">
        <v>1636.9306291277974</v>
      </c>
      <c r="BW721" s="407"/>
      <c r="BX721" s="407"/>
      <c r="BY721" s="407"/>
      <c r="BZ721" s="407"/>
      <c r="CA721" s="407"/>
      <c r="CB721" s="407"/>
      <c r="CC721" s="407"/>
      <c r="CD721" s="407"/>
      <c r="CE721" s="407"/>
      <c r="CF721" s="407"/>
      <c r="CG721" s="407"/>
      <c r="CH721" s="407"/>
      <c r="CI721" s="407">
        <v>19427.656299999999</v>
      </c>
      <c r="CJ721" s="407">
        <v>-11069.463179999995</v>
      </c>
      <c r="CK721" s="407"/>
      <c r="CL721" s="407"/>
      <c r="CM721" s="407"/>
      <c r="CN721" s="407"/>
      <c r="CO721" s="407">
        <v>-11355.27852</v>
      </c>
      <c r="CP721" s="407">
        <v>282.06196</v>
      </c>
      <c r="CQ721" s="407">
        <v>30</v>
      </c>
      <c r="CR721" s="407">
        <v>-33.192305944055988</v>
      </c>
      <c r="CS721" s="407">
        <v>0</v>
      </c>
      <c r="CT721" s="407">
        <v>0</v>
      </c>
      <c r="CU721" s="407">
        <v>0</v>
      </c>
      <c r="CV721" s="407">
        <v>0</v>
      </c>
      <c r="CW721" s="407">
        <v>0</v>
      </c>
      <c r="CX721" s="407">
        <v>0</v>
      </c>
      <c r="CY721" s="407">
        <v>0</v>
      </c>
      <c r="CZ721" s="407">
        <v>283.17295646765433</v>
      </c>
      <c r="DA721" s="407">
        <v>0</v>
      </c>
      <c r="DB721" s="407">
        <v>0</v>
      </c>
      <c r="DC721" s="407">
        <v>313.99324416494301</v>
      </c>
      <c r="DD721" s="407">
        <v>0</v>
      </c>
      <c r="DE721" s="407">
        <v>0</v>
      </c>
      <c r="DF721" s="407">
        <v>0</v>
      </c>
      <c r="DG721" s="407">
        <v>10.565894534505958</v>
      </c>
      <c r="DH721" s="407">
        <v>0</v>
      </c>
      <c r="DI721" s="407">
        <v>-38.774547187944563</v>
      </c>
      <c r="DJ721" s="407"/>
      <c r="DK721" s="407">
        <v>0</v>
      </c>
      <c r="DL721" s="407">
        <v>0</v>
      </c>
      <c r="DM721" s="407">
        <v>0</v>
      </c>
      <c r="DN721" s="407">
        <v>0</v>
      </c>
      <c r="DO721" s="407">
        <v>-5.9990617740458703</v>
      </c>
      <c r="DP721" s="407">
        <v>-0.70249239739473701</v>
      </c>
      <c r="DQ721" s="407">
        <v>0</v>
      </c>
      <c r="DR721" s="407">
        <v>-595.4482997517739</v>
      </c>
      <c r="DS721" s="407"/>
      <c r="DT721" s="407"/>
      <c r="DU721" s="407"/>
      <c r="DV721" s="407">
        <v>21612.999267205669</v>
      </c>
      <c r="DW721" s="407">
        <v>0</v>
      </c>
      <c r="DX721" s="407">
        <v>0</v>
      </c>
      <c r="DY721" s="407">
        <v>-11355.27852</v>
      </c>
      <c r="DZ721" s="407">
        <v>282.06196000000023</v>
      </c>
      <c r="EA721" s="407">
        <v>0</v>
      </c>
      <c r="EB721" s="407">
        <v>0</v>
      </c>
      <c r="EC721" s="407">
        <v>-11039.970224545468</v>
      </c>
      <c r="ED721" s="407">
        <v>0</v>
      </c>
      <c r="EE721" s="407">
        <v>0</v>
      </c>
      <c r="EF721" s="407">
        <v>0</v>
      </c>
      <c r="EG721" s="407">
        <v>0</v>
      </c>
      <c r="EH721" s="407">
        <v>0</v>
      </c>
      <c r="EI721" s="407">
        <v>0</v>
      </c>
      <c r="EJ721" s="407">
        <v>0</v>
      </c>
      <c r="EK721" s="407">
        <v>0</v>
      </c>
      <c r="EL721" s="407">
        <v>0</v>
      </c>
      <c r="EM721" s="407">
        <v>0</v>
      </c>
      <c r="EN721" s="407">
        <v>0</v>
      </c>
      <c r="EO721" s="407">
        <v>0</v>
      </c>
      <c r="EP721" s="407">
        <v>262.22576277636978</v>
      </c>
      <c r="EQ721" s="407">
        <v>0</v>
      </c>
      <c r="ER721" s="407">
        <v>0</v>
      </c>
      <c r="ES721" s="407">
        <v>0</v>
      </c>
      <c r="ET721" s="407">
        <v>0</v>
      </c>
      <c r="EU721" s="407">
        <v>0</v>
      </c>
      <c r="EV721" s="407">
        <v>246</v>
      </c>
      <c r="EW721" s="407">
        <v>0</v>
      </c>
      <c r="EX721" s="407">
        <v>0</v>
      </c>
      <c r="EY721" s="407">
        <v>0</v>
      </c>
      <c r="EZ721" s="407"/>
      <c r="FA721" s="407">
        <v>0</v>
      </c>
      <c r="FB721" s="407"/>
      <c r="FC721" s="407"/>
      <c r="FD721" s="407"/>
      <c r="FE721" s="407"/>
      <c r="FF721" s="407">
        <v>0</v>
      </c>
      <c r="FG721" s="407">
        <v>0</v>
      </c>
      <c r="FH721" s="407">
        <v>0</v>
      </c>
      <c r="FI721" s="407">
        <v>0</v>
      </c>
    </row>
    <row r="722" spans="1:165">
      <c r="A722" s="407">
        <v>749</v>
      </c>
      <c r="B722" s="407" t="s">
        <v>2309</v>
      </c>
      <c r="C722" s="407" t="s">
        <v>2314</v>
      </c>
      <c r="D722" s="407" t="s">
        <v>650</v>
      </c>
      <c r="E722" s="407" t="s">
        <v>1049</v>
      </c>
      <c r="F722" s="407" t="s">
        <v>97</v>
      </c>
      <c r="G722" s="407" t="s">
        <v>97</v>
      </c>
      <c r="H722" s="407" t="s">
        <v>97</v>
      </c>
      <c r="I722" s="407" t="s">
        <v>1025</v>
      </c>
      <c r="J722" s="407" t="s">
        <v>2307</v>
      </c>
      <c r="K722" s="818">
        <v>44713</v>
      </c>
      <c r="L722" s="407">
        <v>0</v>
      </c>
      <c r="M722" s="407">
        <v>0</v>
      </c>
      <c r="N722" s="407">
        <v>6.3159999999999998</v>
      </c>
      <c r="O722" s="407">
        <v>6.3159999999999998</v>
      </c>
      <c r="P722" s="407">
        <v>6.3159999999999998</v>
      </c>
      <c r="Q722" s="407">
        <v>6.3159999999999998</v>
      </c>
      <c r="R722" s="407"/>
      <c r="S722" s="407">
        <v>2810.7</v>
      </c>
      <c r="T722" s="407">
        <v>159.41</v>
      </c>
      <c r="U722" s="407"/>
      <c r="V722" s="407">
        <v>18759.214759999999</v>
      </c>
      <c r="W722" s="407">
        <v>18759.214759999999</v>
      </c>
      <c r="X722" s="407">
        <v>11947.91404</v>
      </c>
      <c r="Y722" s="407">
        <v>0</v>
      </c>
      <c r="Z722" s="407">
        <v>340.52156959183623</v>
      </c>
      <c r="AA722" s="407">
        <v>0</v>
      </c>
      <c r="AB722" s="407">
        <v>0</v>
      </c>
      <c r="AC722" s="407">
        <v>0</v>
      </c>
      <c r="AD722" s="407">
        <v>3856.0164878302899</v>
      </c>
      <c r="AE722" s="407">
        <v>13294.478318238313</v>
      </c>
      <c r="AF722" s="407">
        <v>974.12120675999631</v>
      </c>
      <c r="AG722" s="407">
        <v>32.727915555907245</v>
      </c>
      <c r="AH722" s="407">
        <v>0</v>
      </c>
      <c r="AI722" s="407">
        <v>0</v>
      </c>
      <c r="AJ722" s="407">
        <v>0</v>
      </c>
      <c r="AK722" s="407">
        <v>0</v>
      </c>
      <c r="AL722" s="407">
        <v>60.482365595287298</v>
      </c>
      <c r="AM722" s="407"/>
      <c r="AN722" s="407">
        <v>6.7817000521495814</v>
      </c>
      <c r="AO722" s="407">
        <v>0</v>
      </c>
      <c r="AP722" s="407">
        <v>0</v>
      </c>
      <c r="AQ722" s="407">
        <v>0</v>
      </c>
      <c r="AR722" s="407">
        <v>0</v>
      </c>
      <c r="AS722" s="407">
        <v>0</v>
      </c>
      <c r="AT722" s="407">
        <v>0</v>
      </c>
      <c r="AU722" s="407">
        <v>0</v>
      </c>
      <c r="AV722" s="407">
        <v>0</v>
      </c>
      <c r="AW722" s="407">
        <v>0</v>
      </c>
      <c r="AX722" s="407">
        <v>0</v>
      </c>
      <c r="AY722" s="407">
        <v>0</v>
      </c>
      <c r="AZ722" s="407">
        <v>0</v>
      </c>
      <c r="BA722" s="407"/>
      <c r="BB722" s="407">
        <v>0</v>
      </c>
      <c r="BC722" s="407">
        <v>0</v>
      </c>
      <c r="BD722" s="407">
        <v>0</v>
      </c>
      <c r="BE722" s="407">
        <v>0</v>
      </c>
      <c r="BF722" s="407">
        <v>0</v>
      </c>
      <c r="BG722" s="407">
        <v>32.779246451063969</v>
      </c>
      <c r="BH722" s="407">
        <v>0</v>
      </c>
      <c r="BI722" s="407">
        <v>0</v>
      </c>
      <c r="BJ722" s="407">
        <v>0</v>
      </c>
      <c r="BK722" s="407">
        <v>0</v>
      </c>
      <c r="BL722" s="407">
        <v>0</v>
      </c>
      <c r="BM722" s="407"/>
      <c r="BN722" s="407"/>
      <c r="BO722" s="407"/>
      <c r="BP722" s="407"/>
      <c r="BQ722" s="407"/>
      <c r="BR722" s="407"/>
      <c r="BS722" s="407"/>
      <c r="BT722" s="407"/>
      <c r="BU722" s="407"/>
      <c r="BV722" s="407">
        <v>1006.9004532110603</v>
      </c>
      <c r="BW722" s="407"/>
      <c r="BX722" s="407"/>
      <c r="BY722" s="407"/>
      <c r="BZ722" s="407"/>
      <c r="CA722" s="407"/>
      <c r="CB722" s="407"/>
      <c r="CC722" s="407"/>
      <c r="CD722" s="407"/>
      <c r="CE722" s="407"/>
      <c r="CF722" s="407"/>
      <c r="CG722" s="407"/>
      <c r="CH722" s="407"/>
      <c r="CI722" s="407">
        <v>11955.480799999999</v>
      </c>
      <c r="CJ722" s="407">
        <v>-6803.7639599999948</v>
      </c>
      <c r="CK722" s="407"/>
      <c r="CL722" s="407"/>
      <c r="CM722" s="407"/>
      <c r="CN722" s="407"/>
      <c r="CO722" s="407">
        <v>-6984.8012399999989</v>
      </c>
      <c r="CP722" s="407">
        <v>173.50051999999999</v>
      </c>
      <c r="CQ722" s="407">
        <v>30</v>
      </c>
      <c r="CR722" s="407">
        <v>-20.41708262004704</v>
      </c>
      <c r="CS722" s="407">
        <v>0</v>
      </c>
      <c r="CT722" s="407">
        <v>0</v>
      </c>
      <c r="CU722" s="407">
        <v>0</v>
      </c>
      <c r="CV722" s="407">
        <v>0</v>
      </c>
      <c r="CW722" s="407">
        <v>0</v>
      </c>
      <c r="CX722" s="407">
        <v>0</v>
      </c>
      <c r="CY722" s="407">
        <v>0</v>
      </c>
      <c r="CZ722" s="407">
        <v>174.18391050347736</v>
      </c>
      <c r="DA722" s="407">
        <v>0</v>
      </c>
      <c r="DB722" s="407">
        <v>0</v>
      </c>
      <c r="DC722" s="407">
        <v>193.14192930909439</v>
      </c>
      <c r="DD722" s="407">
        <v>0</v>
      </c>
      <c r="DE722" s="407">
        <v>0</v>
      </c>
      <c r="DF722" s="407">
        <v>0</v>
      </c>
      <c r="DG722" s="407">
        <v>6.4992393728028475</v>
      </c>
      <c r="DH722" s="407">
        <v>0</v>
      </c>
      <c r="DI722" s="407">
        <v>-23.850802496986546</v>
      </c>
      <c r="DJ722" s="407"/>
      <c r="DK722" s="407">
        <v>0</v>
      </c>
      <c r="DL722" s="407">
        <v>0</v>
      </c>
      <c r="DM722" s="407">
        <v>0</v>
      </c>
      <c r="DN722" s="407">
        <v>0</v>
      </c>
      <c r="DO722" s="407">
        <v>-3.6901124040586026</v>
      </c>
      <c r="DP722" s="407">
        <v>-0.43211355492259074</v>
      </c>
      <c r="DQ722" s="407">
        <v>0</v>
      </c>
      <c r="DR722" s="407">
        <v>-366.26913334945499</v>
      </c>
      <c r="DS722" s="407"/>
      <c r="DT722" s="407"/>
      <c r="DU722" s="407"/>
      <c r="DV722" s="407">
        <v>13294.478318238313</v>
      </c>
      <c r="DW722" s="407">
        <v>0</v>
      </c>
      <c r="DX722" s="407">
        <v>0</v>
      </c>
      <c r="DY722" s="407">
        <v>-6984.8012400000007</v>
      </c>
      <c r="DZ722" s="407">
        <v>173.50051999999994</v>
      </c>
      <c r="EA722" s="407">
        <v>0</v>
      </c>
      <c r="EB722" s="407">
        <v>0</v>
      </c>
      <c r="EC722" s="407">
        <v>-6790.8504030219301</v>
      </c>
      <c r="ED722" s="407">
        <v>0</v>
      </c>
      <c r="EE722" s="407">
        <v>0</v>
      </c>
      <c r="EF722" s="407">
        <v>0</v>
      </c>
      <c r="EG722" s="407">
        <v>0</v>
      </c>
      <c r="EH722" s="407">
        <v>0</v>
      </c>
      <c r="EI722" s="407">
        <v>0</v>
      </c>
      <c r="EJ722" s="407">
        <v>0</v>
      </c>
      <c r="EK722" s="407">
        <v>0</v>
      </c>
      <c r="EL722" s="407">
        <v>0</v>
      </c>
      <c r="EM722" s="407">
        <v>0</v>
      </c>
      <c r="EN722" s="407">
        <v>0</v>
      </c>
      <c r="EO722" s="407">
        <v>0</v>
      </c>
      <c r="EP722" s="407">
        <v>161.29897912890061</v>
      </c>
      <c r="EQ722" s="407">
        <v>0</v>
      </c>
      <c r="ER722" s="407">
        <v>0</v>
      </c>
      <c r="ES722" s="407">
        <v>0</v>
      </c>
      <c r="ET722" s="407">
        <v>0</v>
      </c>
      <c r="EU722" s="407">
        <v>0</v>
      </c>
      <c r="EV722" s="407">
        <v>246</v>
      </c>
      <c r="EW722" s="407">
        <v>0</v>
      </c>
      <c r="EX722" s="407">
        <v>0</v>
      </c>
      <c r="EY722" s="407">
        <v>0</v>
      </c>
      <c r="EZ722" s="407"/>
      <c r="FA722" s="407">
        <v>0</v>
      </c>
      <c r="FB722" s="407"/>
      <c r="FC722" s="407"/>
      <c r="FD722" s="407"/>
      <c r="FE722" s="407"/>
      <c r="FF722" s="407">
        <v>0</v>
      </c>
      <c r="FG722" s="407">
        <v>0</v>
      </c>
      <c r="FH722" s="407">
        <v>0</v>
      </c>
      <c r="FI722" s="407">
        <v>0</v>
      </c>
    </row>
    <row r="723" spans="1:165">
      <c r="A723" s="407">
        <v>750</v>
      </c>
      <c r="B723" s="407" t="s">
        <v>1090</v>
      </c>
      <c r="C723" s="407" t="s">
        <v>2314</v>
      </c>
      <c r="D723" s="407" t="s">
        <v>650</v>
      </c>
      <c r="E723" s="407" t="s">
        <v>1049</v>
      </c>
      <c r="F723" s="407" t="s">
        <v>97</v>
      </c>
      <c r="G723" s="407" t="s">
        <v>97</v>
      </c>
      <c r="H723" s="407" t="s">
        <v>97</v>
      </c>
      <c r="I723" s="407" t="s">
        <v>2290</v>
      </c>
      <c r="J723" s="407" t="s">
        <v>2307</v>
      </c>
      <c r="K723" s="818">
        <v>44713</v>
      </c>
      <c r="L723" s="407">
        <v>0</v>
      </c>
      <c r="M723" s="407">
        <v>0</v>
      </c>
      <c r="N723" s="407">
        <v>136.65299999999999</v>
      </c>
      <c r="O723" s="407">
        <v>136.65299999999999</v>
      </c>
      <c r="P723" s="407">
        <v>136.65299999999999</v>
      </c>
      <c r="Q723" s="407">
        <v>136.65299999999999</v>
      </c>
      <c r="R723" s="407"/>
      <c r="S723" s="407">
        <v>95.29</v>
      </c>
      <c r="T723" s="407">
        <v>159.41</v>
      </c>
      <c r="U723" s="407"/>
      <c r="V723" s="407">
        <v>34805.519099999998</v>
      </c>
      <c r="W723" s="407">
        <v>34805.519099999998</v>
      </c>
      <c r="X723" s="407">
        <v>37840.58223</v>
      </c>
      <c r="Y723" s="407">
        <v>0</v>
      </c>
      <c r="Z723" s="407">
        <v>7367.5259736278012</v>
      </c>
      <c r="AA723" s="407">
        <v>0</v>
      </c>
      <c r="AB723" s="407">
        <v>0</v>
      </c>
      <c r="AC723" s="407">
        <v>0</v>
      </c>
      <c r="AD723" s="407">
        <v>0</v>
      </c>
      <c r="AE723" s="407">
        <v>0</v>
      </c>
      <c r="AF723" s="407">
        <v>21076.090130996483</v>
      </c>
      <c r="AG723" s="407">
        <v>708.10130532954281</v>
      </c>
      <c r="AH723" s="407">
        <v>0</v>
      </c>
      <c r="AI723" s="407">
        <v>0</v>
      </c>
      <c r="AJ723" s="407">
        <v>0</v>
      </c>
      <c r="AK723" s="407">
        <v>0</v>
      </c>
      <c r="AL723" s="407">
        <v>1308.5966918449642</v>
      </c>
      <c r="AM723" s="407"/>
      <c r="AN723" s="407">
        <v>146.72888809790953</v>
      </c>
      <c r="AO723" s="407">
        <v>0</v>
      </c>
      <c r="AP723" s="407">
        <v>0</v>
      </c>
      <c r="AQ723" s="407">
        <v>0</v>
      </c>
      <c r="AR723" s="407">
        <v>0</v>
      </c>
      <c r="AS723" s="407">
        <v>0</v>
      </c>
      <c r="AT723" s="407">
        <v>0</v>
      </c>
      <c r="AU723" s="407">
        <v>0</v>
      </c>
      <c r="AV723" s="407">
        <v>0</v>
      </c>
      <c r="AW723" s="407">
        <v>0</v>
      </c>
      <c r="AX723" s="407">
        <v>0</v>
      </c>
      <c r="AY723" s="407">
        <v>0</v>
      </c>
      <c r="AZ723" s="407">
        <v>0</v>
      </c>
      <c r="BA723" s="407"/>
      <c r="BB723" s="407">
        <v>0</v>
      </c>
      <c r="BC723" s="407">
        <v>0</v>
      </c>
      <c r="BD723" s="407">
        <v>0</v>
      </c>
      <c r="BE723" s="407">
        <v>0</v>
      </c>
      <c r="BF723" s="407">
        <v>0</v>
      </c>
      <c r="BG723" s="407">
        <v>709.21190077220456</v>
      </c>
      <c r="BH723" s="407">
        <v>0</v>
      </c>
      <c r="BI723" s="407">
        <v>0</v>
      </c>
      <c r="BJ723" s="407">
        <v>0</v>
      </c>
      <c r="BK723" s="407">
        <v>0</v>
      </c>
      <c r="BL723" s="407">
        <v>0</v>
      </c>
      <c r="BM723" s="407"/>
      <c r="BN723" s="407"/>
      <c r="BO723" s="407"/>
      <c r="BP723" s="407"/>
      <c r="BQ723" s="407"/>
      <c r="BR723" s="407"/>
      <c r="BS723" s="407"/>
      <c r="BT723" s="407"/>
      <c r="BU723" s="407"/>
      <c r="BV723" s="407">
        <v>21785.302031768686</v>
      </c>
      <c r="BW723" s="407"/>
      <c r="BX723" s="407"/>
      <c r="BY723" s="407"/>
      <c r="BZ723" s="407"/>
      <c r="CA723" s="407"/>
      <c r="CB723" s="407"/>
      <c r="CC723" s="407"/>
      <c r="CD723" s="407"/>
      <c r="CE723" s="407"/>
      <c r="CF723" s="407"/>
      <c r="CG723" s="407"/>
      <c r="CH723" s="407"/>
      <c r="CI723" s="407">
        <v>37839.751499999998</v>
      </c>
      <c r="CJ723" s="407">
        <v>3034.2023999999947</v>
      </c>
      <c r="CK723" s="407"/>
      <c r="CL723" s="407"/>
      <c r="CM723" s="407"/>
      <c r="CN723" s="407"/>
      <c r="CO723" s="407">
        <v>-718.79478000000063</v>
      </c>
      <c r="CP723" s="407">
        <v>3753.8579099999997</v>
      </c>
      <c r="CQ723" s="407">
        <v>30</v>
      </c>
      <c r="CR723" s="407">
        <v>3034.6311985071879</v>
      </c>
      <c r="CS723" s="407">
        <v>0</v>
      </c>
      <c r="CT723" s="407">
        <v>0</v>
      </c>
      <c r="CU723" s="407">
        <v>0</v>
      </c>
      <c r="CV723" s="407">
        <v>0</v>
      </c>
      <c r="CW723" s="407">
        <v>0</v>
      </c>
      <c r="CX723" s="407">
        <v>0</v>
      </c>
      <c r="CY723" s="407">
        <v>0</v>
      </c>
      <c r="CZ723" s="407">
        <v>0</v>
      </c>
      <c r="DA723" s="407">
        <v>0</v>
      </c>
      <c r="DB723" s="407">
        <v>0</v>
      </c>
      <c r="DC723" s="407">
        <v>4178.8195164464305</v>
      </c>
      <c r="DD723" s="407">
        <v>0</v>
      </c>
      <c r="DE723" s="407">
        <v>0</v>
      </c>
      <c r="DF723" s="407">
        <v>0</v>
      </c>
      <c r="DG723" s="407">
        <v>140.61756776624884</v>
      </c>
      <c r="DH723" s="407">
        <v>0</v>
      </c>
      <c r="DI723" s="407">
        <v>-516.03605345482902</v>
      </c>
      <c r="DJ723" s="407"/>
      <c r="DK723" s="407">
        <v>0</v>
      </c>
      <c r="DL723" s="407">
        <v>0</v>
      </c>
      <c r="DM723" s="407">
        <v>0</v>
      </c>
      <c r="DN723" s="407">
        <v>0</v>
      </c>
      <c r="DO723" s="407">
        <v>-79.839285996171611</v>
      </c>
      <c r="DP723" s="407">
        <v>-9.3492105162819428</v>
      </c>
      <c r="DQ723" s="407">
        <v>0</v>
      </c>
      <c r="DR723" s="407">
        <v>-679.58133573820783</v>
      </c>
      <c r="DS723" s="407"/>
      <c r="DT723" s="407"/>
      <c r="DU723" s="407"/>
      <c r="DV723" s="407">
        <v>0</v>
      </c>
      <c r="DW723" s="407">
        <v>0</v>
      </c>
      <c r="DX723" s="407">
        <v>0</v>
      </c>
      <c r="DY723" s="407">
        <v>-718.79478000000017</v>
      </c>
      <c r="DZ723" s="407">
        <v>3753.8579099999988</v>
      </c>
      <c r="EA723" s="407">
        <v>0</v>
      </c>
      <c r="EB723" s="407">
        <v>0</v>
      </c>
      <c r="EC723" s="407">
        <v>0</v>
      </c>
      <c r="ED723" s="407">
        <v>0</v>
      </c>
      <c r="EE723" s="407">
        <v>0</v>
      </c>
      <c r="EF723" s="407">
        <v>0</v>
      </c>
      <c r="EG723" s="407">
        <v>0</v>
      </c>
      <c r="EH723" s="407">
        <v>0</v>
      </c>
      <c r="EI723" s="407">
        <v>0</v>
      </c>
      <c r="EJ723" s="407">
        <v>0</v>
      </c>
      <c r="EK723" s="407">
        <v>0</v>
      </c>
      <c r="EL723" s="407">
        <v>0</v>
      </c>
      <c r="EM723" s="407">
        <v>0</v>
      </c>
      <c r="EN723" s="407">
        <v>0</v>
      </c>
      <c r="EO723" s="407">
        <v>0</v>
      </c>
      <c r="EP723" s="407">
        <v>3489.8653253485836</v>
      </c>
      <c r="EQ723" s="407">
        <v>0</v>
      </c>
      <c r="ER723" s="407">
        <v>0</v>
      </c>
      <c r="ES723" s="407">
        <v>0</v>
      </c>
      <c r="ET723" s="407">
        <v>0</v>
      </c>
      <c r="EU723" s="407">
        <v>0</v>
      </c>
      <c r="EV723" s="407">
        <v>246</v>
      </c>
      <c r="EW723" s="407">
        <v>0</v>
      </c>
      <c r="EX723" s="407">
        <v>0</v>
      </c>
      <c r="EY723" s="407">
        <v>0</v>
      </c>
      <c r="EZ723" s="407"/>
      <c r="FA723" s="407">
        <v>0</v>
      </c>
      <c r="FB723" s="407"/>
      <c r="FC723" s="407"/>
      <c r="FD723" s="407"/>
      <c r="FE723" s="407"/>
      <c r="FF723" s="407">
        <v>0</v>
      </c>
      <c r="FG723" s="407">
        <v>0</v>
      </c>
      <c r="FH723" s="407">
        <v>0</v>
      </c>
      <c r="FI723" s="407">
        <v>0</v>
      </c>
    </row>
    <row r="724" spans="1:165">
      <c r="A724" s="407">
        <v>751</v>
      </c>
      <c r="B724" s="407" t="s">
        <v>2309</v>
      </c>
      <c r="C724" s="407" t="s">
        <v>2314</v>
      </c>
      <c r="D724" s="407" t="s">
        <v>650</v>
      </c>
      <c r="E724" s="407" t="s">
        <v>1049</v>
      </c>
      <c r="F724" s="407" t="s">
        <v>97</v>
      </c>
      <c r="G724" s="407" t="s">
        <v>97</v>
      </c>
      <c r="H724" s="407" t="s">
        <v>97</v>
      </c>
      <c r="I724" s="407" t="s">
        <v>2290</v>
      </c>
      <c r="J724" s="407" t="s">
        <v>2307</v>
      </c>
      <c r="K724" s="818">
        <v>44713</v>
      </c>
      <c r="L724" s="407">
        <v>0</v>
      </c>
      <c r="M724" s="407">
        <v>0</v>
      </c>
      <c r="N724" s="407">
        <v>62.353000000000002</v>
      </c>
      <c r="O724" s="407">
        <v>62.353000000000002</v>
      </c>
      <c r="P724" s="407">
        <v>62.353000000000002</v>
      </c>
      <c r="Q724" s="407">
        <v>62.353000000000002</v>
      </c>
      <c r="R724" s="407"/>
      <c r="S724" s="407">
        <v>95.29</v>
      </c>
      <c r="T724" s="407">
        <v>159.41</v>
      </c>
      <c r="U724" s="407"/>
      <c r="V724" s="407">
        <v>15881.309100000002</v>
      </c>
      <c r="W724" s="407">
        <v>15881.309100000002</v>
      </c>
      <c r="X724" s="407">
        <v>17266.16923</v>
      </c>
      <c r="Y724" s="407">
        <v>0</v>
      </c>
      <c r="Z724" s="407">
        <v>3361.7070026535412</v>
      </c>
      <c r="AA724" s="407">
        <v>0</v>
      </c>
      <c r="AB724" s="407">
        <v>0</v>
      </c>
      <c r="AC724" s="407">
        <v>0</v>
      </c>
      <c r="AD724" s="407">
        <v>0</v>
      </c>
      <c r="AE724" s="407">
        <v>0</v>
      </c>
      <c r="AF724" s="407">
        <v>9616.7478792124857</v>
      </c>
      <c r="AG724" s="407">
        <v>323.09748553791712</v>
      </c>
      <c r="AH724" s="407">
        <v>0</v>
      </c>
      <c r="AI724" s="407">
        <v>0</v>
      </c>
      <c r="AJ724" s="407">
        <v>0</v>
      </c>
      <c r="AK724" s="407">
        <v>0</v>
      </c>
      <c r="AL724" s="407">
        <v>597.09577928482406</v>
      </c>
      <c r="AM724" s="407"/>
      <c r="AN724" s="407">
        <v>66.950497680760421</v>
      </c>
      <c r="AO724" s="407">
        <v>0</v>
      </c>
      <c r="AP724" s="407">
        <v>0</v>
      </c>
      <c r="AQ724" s="407">
        <v>0</v>
      </c>
      <c r="AR724" s="407">
        <v>0</v>
      </c>
      <c r="AS724" s="407">
        <v>0</v>
      </c>
      <c r="AT724" s="407">
        <v>0</v>
      </c>
      <c r="AU724" s="407">
        <v>0</v>
      </c>
      <c r="AV724" s="407">
        <v>0</v>
      </c>
      <c r="AW724" s="407">
        <v>0</v>
      </c>
      <c r="AX724" s="407">
        <v>0</v>
      </c>
      <c r="AY724" s="407">
        <v>0</v>
      </c>
      <c r="AZ724" s="407">
        <v>0</v>
      </c>
      <c r="BA724" s="407"/>
      <c r="BB724" s="407">
        <v>0</v>
      </c>
      <c r="BC724" s="407">
        <v>0</v>
      </c>
      <c r="BD724" s="407">
        <v>0</v>
      </c>
      <c r="BE724" s="407">
        <v>0</v>
      </c>
      <c r="BF724" s="407">
        <v>0</v>
      </c>
      <c r="BG724" s="407">
        <v>323.60423590297523</v>
      </c>
      <c r="BH724" s="407">
        <v>0</v>
      </c>
      <c r="BI724" s="407">
        <v>0</v>
      </c>
      <c r="BJ724" s="407">
        <v>0</v>
      </c>
      <c r="BK724" s="407">
        <v>0</v>
      </c>
      <c r="BL724" s="407">
        <v>0</v>
      </c>
      <c r="BM724" s="407"/>
      <c r="BN724" s="407"/>
      <c r="BO724" s="407"/>
      <c r="BP724" s="407"/>
      <c r="BQ724" s="407"/>
      <c r="BR724" s="407"/>
      <c r="BS724" s="407"/>
      <c r="BT724" s="407"/>
      <c r="BU724" s="407"/>
      <c r="BV724" s="407">
        <v>9940.35211511546</v>
      </c>
      <c r="BW724" s="407"/>
      <c r="BX724" s="407"/>
      <c r="BY724" s="407"/>
      <c r="BZ724" s="407"/>
      <c r="CA724" s="407"/>
      <c r="CB724" s="407"/>
      <c r="CC724" s="407"/>
      <c r="CD724" s="407"/>
      <c r="CE724" s="407"/>
      <c r="CF724" s="407"/>
      <c r="CG724" s="407"/>
      <c r="CH724" s="407"/>
      <c r="CI724" s="407">
        <v>17265.338500000002</v>
      </c>
      <c r="CJ724" s="407">
        <v>1383.9993999999988</v>
      </c>
      <c r="CK724" s="407"/>
      <c r="CL724" s="407"/>
      <c r="CM724" s="407"/>
      <c r="CN724" s="407"/>
      <c r="CO724" s="407">
        <v>-327.9767800000003</v>
      </c>
      <c r="CP724" s="407">
        <v>1712.83691</v>
      </c>
      <c r="CQ724" s="407">
        <v>30</v>
      </c>
      <c r="CR724" s="407">
        <v>1384.6630452351492</v>
      </c>
      <c r="CS724" s="407">
        <v>0</v>
      </c>
      <c r="CT724" s="407">
        <v>0</v>
      </c>
      <c r="CU724" s="407">
        <v>0</v>
      </c>
      <c r="CV724" s="407">
        <v>0</v>
      </c>
      <c r="CW724" s="407">
        <v>0</v>
      </c>
      <c r="CX724" s="407">
        <v>0</v>
      </c>
      <c r="CY724" s="407">
        <v>0</v>
      </c>
      <c r="CZ724" s="407">
        <v>0</v>
      </c>
      <c r="DA724" s="407">
        <v>0</v>
      </c>
      <c r="DB724" s="407">
        <v>0</v>
      </c>
      <c r="DC724" s="407">
        <v>1906.7414056697198</v>
      </c>
      <c r="DD724" s="407">
        <v>0</v>
      </c>
      <c r="DE724" s="407">
        <v>0</v>
      </c>
      <c r="DF724" s="407">
        <v>0</v>
      </c>
      <c r="DG724" s="407">
        <v>64.16198109758966</v>
      </c>
      <c r="DH724" s="407">
        <v>0</v>
      </c>
      <c r="DI724" s="407">
        <v>-235.46059026197008</v>
      </c>
      <c r="DJ724" s="407"/>
      <c r="DK724" s="407">
        <v>0</v>
      </c>
      <c r="DL724" s="407">
        <v>0</v>
      </c>
      <c r="DM724" s="407">
        <v>0</v>
      </c>
      <c r="DN724" s="407">
        <v>0</v>
      </c>
      <c r="DO724" s="407">
        <v>-36.429635644437326</v>
      </c>
      <c r="DP724" s="407">
        <v>-4.2659240801279736</v>
      </c>
      <c r="DQ724" s="407">
        <v>0</v>
      </c>
      <c r="DR724" s="407">
        <v>-310.08419154562631</v>
      </c>
      <c r="DS724" s="407"/>
      <c r="DT724" s="407"/>
      <c r="DU724" s="407"/>
      <c r="DV724" s="407">
        <v>0</v>
      </c>
      <c r="DW724" s="407">
        <v>0</v>
      </c>
      <c r="DX724" s="407">
        <v>0</v>
      </c>
      <c r="DY724" s="407">
        <v>-327.97678000000087</v>
      </c>
      <c r="DZ724" s="407">
        <v>1712.83691</v>
      </c>
      <c r="EA724" s="407">
        <v>0</v>
      </c>
      <c r="EB724" s="407">
        <v>0</v>
      </c>
      <c r="EC724" s="407">
        <v>0</v>
      </c>
      <c r="ED724" s="407">
        <v>0</v>
      </c>
      <c r="EE724" s="407">
        <v>0</v>
      </c>
      <c r="EF724" s="407">
        <v>0</v>
      </c>
      <c r="EG724" s="407">
        <v>0</v>
      </c>
      <c r="EH724" s="407">
        <v>0</v>
      </c>
      <c r="EI724" s="407">
        <v>0</v>
      </c>
      <c r="EJ724" s="407">
        <v>0</v>
      </c>
      <c r="EK724" s="407">
        <v>0</v>
      </c>
      <c r="EL724" s="407">
        <v>0</v>
      </c>
      <c r="EM724" s="407">
        <v>0</v>
      </c>
      <c r="EN724" s="407">
        <v>0</v>
      </c>
      <c r="EO724" s="407">
        <v>0</v>
      </c>
      <c r="EP724" s="407">
        <v>1592.3805012071471</v>
      </c>
      <c r="EQ724" s="407">
        <v>0</v>
      </c>
      <c r="ER724" s="407">
        <v>0</v>
      </c>
      <c r="ES724" s="407">
        <v>0</v>
      </c>
      <c r="ET724" s="407">
        <v>0</v>
      </c>
      <c r="EU724" s="407">
        <v>0</v>
      </c>
      <c r="EV724" s="407">
        <v>246</v>
      </c>
      <c r="EW724" s="407">
        <v>0</v>
      </c>
      <c r="EX724" s="407">
        <v>0</v>
      </c>
      <c r="EY724" s="407">
        <v>0</v>
      </c>
      <c r="EZ724" s="407"/>
      <c r="FA724" s="407">
        <v>0</v>
      </c>
      <c r="FB724" s="407"/>
      <c r="FC724" s="407"/>
      <c r="FD724" s="407"/>
      <c r="FE724" s="407"/>
      <c r="FF724" s="407">
        <v>0</v>
      </c>
      <c r="FG724" s="407">
        <v>0</v>
      </c>
      <c r="FH724" s="407">
        <v>0</v>
      </c>
      <c r="FI724" s="407">
        <v>0</v>
      </c>
    </row>
    <row r="725" spans="1:165">
      <c r="A725" s="407">
        <v>752</v>
      </c>
      <c r="B725" s="407" t="s">
        <v>1090</v>
      </c>
      <c r="C725" s="407" t="s">
        <v>2314</v>
      </c>
      <c r="D725" s="407" t="s">
        <v>650</v>
      </c>
      <c r="E725" s="407" t="s">
        <v>1049</v>
      </c>
      <c r="F725" s="407" t="s">
        <v>97</v>
      </c>
      <c r="G725" s="407" t="s">
        <v>97</v>
      </c>
      <c r="H725" s="407" t="s">
        <v>97</v>
      </c>
      <c r="I725" s="407" t="s">
        <v>97</v>
      </c>
      <c r="J725" s="407" t="s">
        <v>2307</v>
      </c>
      <c r="K725" s="818">
        <v>44713</v>
      </c>
      <c r="L725" s="407">
        <v>1436</v>
      </c>
      <c r="M725" s="407">
        <v>1436</v>
      </c>
      <c r="N725" s="407">
        <v>0</v>
      </c>
      <c r="O725" s="407">
        <v>0</v>
      </c>
      <c r="P725" s="407">
        <v>0</v>
      </c>
      <c r="Q725" s="407">
        <v>0</v>
      </c>
      <c r="R725" s="407">
        <v>43.29</v>
      </c>
      <c r="S725" s="407"/>
      <c r="T725" s="407"/>
      <c r="U725" s="407">
        <v>62164.44</v>
      </c>
      <c r="V725" s="407"/>
      <c r="W725" s="407">
        <v>62164.44</v>
      </c>
      <c r="X725" s="407">
        <v>48091.64</v>
      </c>
      <c r="Y725" s="407">
        <v>0</v>
      </c>
      <c r="Z725" s="407">
        <v>0</v>
      </c>
      <c r="AA725" s="407">
        <v>0</v>
      </c>
      <c r="AB725" s="407">
        <v>0</v>
      </c>
      <c r="AC725" s="407">
        <v>0</v>
      </c>
      <c r="AD725" s="407">
        <v>33981.485559516972</v>
      </c>
      <c r="AE725" s="407">
        <v>28187.512681877615</v>
      </c>
      <c r="AF725" s="407"/>
      <c r="AG725" s="407"/>
      <c r="AH725" s="407"/>
      <c r="AI725" s="407">
        <v>0</v>
      </c>
      <c r="AJ725" s="407">
        <v>0</v>
      </c>
      <c r="AK725" s="407">
        <v>0</v>
      </c>
      <c r="AL725" s="407">
        <v>0</v>
      </c>
      <c r="AM725" s="407"/>
      <c r="AN725" s="407">
        <v>0</v>
      </c>
      <c r="AO725" s="407">
        <v>0</v>
      </c>
      <c r="AP725" s="407">
        <v>0</v>
      </c>
      <c r="AQ725" s="407">
        <v>0</v>
      </c>
      <c r="AR725" s="407">
        <v>0</v>
      </c>
      <c r="AS725" s="407"/>
      <c r="AT725" s="407"/>
      <c r="AU725" s="407">
        <v>0</v>
      </c>
      <c r="AV725" s="407">
        <v>0</v>
      </c>
      <c r="AW725" s="407">
        <v>0</v>
      </c>
      <c r="AX725" s="407"/>
      <c r="AY725" s="407"/>
      <c r="AZ725" s="407">
        <v>0</v>
      </c>
      <c r="BA725" s="407"/>
      <c r="BB725" s="407">
        <v>0</v>
      </c>
      <c r="BC725" s="407">
        <v>0</v>
      </c>
      <c r="BD725" s="407">
        <v>0</v>
      </c>
      <c r="BE725" s="407">
        <v>0</v>
      </c>
      <c r="BF725" s="407"/>
      <c r="BG725" s="407">
        <v>0</v>
      </c>
      <c r="BH725" s="407">
        <v>0</v>
      </c>
      <c r="BI725" s="407">
        <v>267.12</v>
      </c>
      <c r="BJ725" s="407">
        <v>1228.8</v>
      </c>
      <c r="BK725" s="407">
        <v>20626.18</v>
      </c>
      <c r="BL725" s="407">
        <v>13</v>
      </c>
      <c r="BM725" s="407"/>
      <c r="BN725" s="407"/>
      <c r="BO725" s="407"/>
      <c r="BP725" s="407"/>
      <c r="BQ725" s="407"/>
      <c r="BR725" s="407"/>
      <c r="BS725" s="407"/>
      <c r="BT725" s="407"/>
      <c r="BU725" s="407"/>
      <c r="BV725" s="407">
        <v>0</v>
      </c>
      <c r="BW725" s="407"/>
      <c r="BX725" s="407"/>
      <c r="BY725" s="407"/>
      <c r="BZ725" s="407"/>
      <c r="CA725" s="407"/>
      <c r="CB725" s="407"/>
      <c r="CC725" s="407"/>
      <c r="CD725" s="407"/>
      <c r="CE725" s="407"/>
      <c r="CF725" s="407"/>
      <c r="CG725" s="407"/>
      <c r="CH725" s="407"/>
      <c r="CI725" s="407">
        <v>48091.64</v>
      </c>
      <c r="CJ725" s="407">
        <v>-14072.830000000009</v>
      </c>
      <c r="CK725" s="407"/>
      <c r="CL725" s="407"/>
      <c r="CM725" s="407"/>
      <c r="CN725" s="407"/>
      <c r="CO725" s="407">
        <v>-14072.799999999996</v>
      </c>
      <c r="CP725" s="407">
        <v>0</v>
      </c>
      <c r="CQ725" s="407">
        <v>30</v>
      </c>
      <c r="CR725" s="407">
        <v>321.17596852825227</v>
      </c>
      <c r="CS725" s="407">
        <v>0</v>
      </c>
      <c r="CT725" s="407">
        <v>0</v>
      </c>
      <c r="CU725" s="407">
        <v>0</v>
      </c>
      <c r="CV725" s="407">
        <v>0</v>
      </c>
      <c r="CW725" s="407"/>
      <c r="CX725" s="407"/>
      <c r="CY725" s="407"/>
      <c r="CZ725" s="407">
        <v>1535.0110815538792</v>
      </c>
      <c r="DA725" s="407">
        <v>0</v>
      </c>
      <c r="DB725" s="407">
        <v>0</v>
      </c>
      <c r="DC725" s="407"/>
      <c r="DD725" s="407"/>
      <c r="DE725" s="407">
        <v>0</v>
      </c>
      <c r="DF725" s="407">
        <v>0</v>
      </c>
      <c r="DG725" s="407">
        <v>0</v>
      </c>
      <c r="DH725" s="407">
        <v>0</v>
      </c>
      <c r="DI725" s="407">
        <v>0</v>
      </c>
      <c r="DJ725" s="407"/>
      <c r="DK725" s="407">
        <v>0</v>
      </c>
      <c r="DL725" s="407">
        <v>0</v>
      </c>
      <c r="DM725" s="407"/>
      <c r="DN725" s="407">
        <v>0</v>
      </c>
      <c r="DO725" s="407">
        <v>0</v>
      </c>
      <c r="DP725" s="407">
        <v>0</v>
      </c>
      <c r="DQ725" s="407">
        <v>0</v>
      </c>
      <c r="DR725" s="407">
        <v>-1213.835113025626</v>
      </c>
      <c r="DS725" s="407"/>
      <c r="DT725" s="407"/>
      <c r="DU725" s="407">
        <v>28187.512681877615</v>
      </c>
      <c r="DV725" s="407"/>
      <c r="DW725" s="407">
        <v>0</v>
      </c>
      <c r="DX725" s="407">
        <v>0</v>
      </c>
      <c r="DY725" s="407">
        <v>-14072.800000000003</v>
      </c>
      <c r="DZ725" s="407"/>
      <c r="EA725" s="407">
        <v>0</v>
      </c>
      <c r="EB725" s="407"/>
      <c r="EC725" s="407">
        <v>-14398.246946878387</v>
      </c>
      <c r="ED725" s="407"/>
      <c r="EE725" s="407">
        <v>0</v>
      </c>
      <c r="EF725" s="407">
        <v>0</v>
      </c>
      <c r="EG725" s="407"/>
      <c r="EH725" s="407">
        <v>0</v>
      </c>
      <c r="EI725" s="407">
        <v>0</v>
      </c>
      <c r="EJ725" s="407">
        <v>0</v>
      </c>
      <c r="EK725" s="407">
        <v>0</v>
      </c>
      <c r="EL725" s="407">
        <v>0</v>
      </c>
      <c r="EM725" s="407"/>
      <c r="EN725" s="407"/>
      <c r="EO725" s="407">
        <v>0</v>
      </c>
      <c r="EP725" s="407">
        <v>0</v>
      </c>
      <c r="EQ725" s="407"/>
      <c r="ER725" s="407">
        <v>0</v>
      </c>
      <c r="ES725" s="407"/>
      <c r="ET725" s="407">
        <v>0</v>
      </c>
      <c r="EU725" s="407"/>
      <c r="EV725" s="407">
        <v>246</v>
      </c>
      <c r="EW725" s="407"/>
      <c r="EX725" s="407"/>
      <c r="EY725" s="407"/>
      <c r="EZ725" s="407"/>
      <c r="FA725" s="407">
        <v>0</v>
      </c>
      <c r="FB725" s="407"/>
      <c r="FC725" s="407"/>
      <c r="FD725" s="407"/>
      <c r="FE725" s="407"/>
      <c r="FF725" s="407">
        <v>0</v>
      </c>
      <c r="FG725" s="407">
        <v>0</v>
      </c>
      <c r="FH725" s="407">
        <v>0</v>
      </c>
      <c r="FI725" s="407">
        <v>0</v>
      </c>
    </row>
    <row r="726" spans="1:165">
      <c r="A726" s="407">
        <v>753</v>
      </c>
      <c r="B726" s="407" t="s">
        <v>2309</v>
      </c>
      <c r="C726" s="407" t="s">
        <v>2314</v>
      </c>
      <c r="D726" s="407" t="s">
        <v>650</v>
      </c>
      <c r="E726" s="407" t="s">
        <v>1049</v>
      </c>
      <c r="F726" s="407" t="s">
        <v>97</v>
      </c>
      <c r="G726" s="407" t="s">
        <v>97</v>
      </c>
      <c r="H726" s="407" t="s">
        <v>97</v>
      </c>
      <c r="I726" s="407" t="s">
        <v>97</v>
      </c>
      <c r="J726" s="407" t="s">
        <v>2307</v>
      </c>
      <c r="K726" s="818">
        <v>44713</v>
      </c>
      <c r="L726" s="407">
        <v>949</v>
      </c>
      <c r="M726" s="407">
        <v>949</v>
      </c>
      <c r="N726" s="407">
        <v>0</v>
      </c>
      <c r="O726" s="407">
        <v>0</v>
      </c>
      <c r="P726" s="407">
        <v>0</v>
      </c>
      <c r="Q726" s="407">
        <v>0</v>
      </c>
      <c r="R726" s="407">
        <v>43.29</v>
      </c>
      <c r="S726" s="407"/>
      <c r="T726" s="407"/>
      <c r="U726" s="407">
        <v>41082.21</v>
      </c>
      <c r="V726" s="407"/>
      <c r="W726" s="407">
        <v>41082.21</v>
      </c>
      <c r="X726" s="407">
        <v>31782.010000000002</v>
      </c>
      <c r="Y726" s="407">
        <v>0</v>
      </c>
      <c r="Z726" s="407">
        <v>0</v>
      </c>
      <c r="AA726" s="407">
        <v>0</v>
      </c>
      <c r="AB726" s="407">
        <v>0</v>
      </c>
      <c r="AC726" s="407">
        <v>0</v>
      </c>
      <c r="AD726" s="407">
        <v>22457.123813357663</v>
      </c>
      <c r="AE726" s="407">
        <v>18628.098562048646</v>
      </c>
      <c r="AF726" s="407"/>
      <c r="AG726" s="407"/>
      <c r="AH726" s="407"/>
      <c r="AI726" s="407">
        <v>0</v>
      </c>
      <c r="AJ726" s="407">
        <v>0</v>
      </c>
      <c r="AK726" s="407">
        <v>0</v>
      </c>
      <c r="AL726" s="407">
        <v>0</v>
      </c>
      <c r="AM726" s="407"/>
      <c r="AN726" s="407">
        <v>0</v>
      </c>
      <c r="AO726" s="407">
        <v>0</v>
      </c>
      <c r="AP726" s="407">
        <v>0</v>
      </c>
      <c r="AQ726" s="407">
        <v>0</v>
      </c>
      <c r="AR726" s="407">
        <v>0</v>
      </c>
      <c r="AS726" s="407"/>
      <c r="AT726" s="407"/>
      <c r="AU726" s="407">
        <v>0</v>
      </c>
      <c r="AV726" s="407">
        <v>0</v>
      </c>
      <c r="AW726" s="407">
        <v>0</v>
      </c>
      <c r="AX726" s="407"/>
      <c r="AY726" s="407"/>
      <c r="AZ726" s="407">
        <v>0</v>
      </c>
      <c r="BA726" s="407"/>
      <c r="BB726" s="407">
        <v>0</v>
      </c>
      <c r="BC726" s="407">
        <v>0</v>
      </c>
      <c r="BD726" s="407">
        <v>0</v>
      </c>
      <c r="BE726" s="407">
        <v>0</v>
      </c>
      <c r="BF726" s="407"/>
      <c r="BG726" s="407">
        <v>0</v>
      </c>
      <c r="BH726" s="407">
        <v>0</v>
      </c>
      <c r="BI726" s="407">
        <v>174.45</v>
      </c>
      <c r="BJ726" s="407">
        <v>802.38</v>
      </c>
      <c r="BK726" s="407">
        <v>14411.38</v>
      </c>
      <c r="BL726" s="407">
        <v>6</v>
      </c>
      <c r="BM726" s="407"/>
      <c r="BN726" s="407"/>
      <c r="BO726" s="407"/>
      <c r="BP726" s="407"/>
      <c r="BQ726" s="407"/>
      <c r="BR726" s="407"/>
      <c r="BS726" s="407"/>
      <c r="BT726" s="407"/>
      <c r="BU726" s="407"/>
      <c r="BV726" s="407">
        <v>0</v>
      </c>
      <c r="BW726" s="407"/>
      <c r="BX726" s="407"/>
      <c r="BY726" s="407"/>
      <c r="BZ726" s="407"/>
      <c r="CA726" s="407"/>
      <c r="CB726" s="407"/>
      <c r="CC726" s="407"/>
      <c r="CD726" s="407"/>
      <c r="CE726" s="407"/>
      <c r="CF726" s="407"/>
      <c r="CG726" s="407"/>
      <c r="CH726" s="407"/>
      <c r="CI726" s="407">
        <v>31782.010000000002</v>
      </c>
      <c r="CJ726" s="407">
        <v>-9300.2300000000032</v>
      </c>
      <c r="CK726" s="407"/>
      <c r="CL726" s="407"/>
      <c r="CM726" s="407"/>
      <c r="CN726" s="407"/>
      <c r="CO726" s="407">
        <v>-9300.1999999999971</v>
      </c>
      <c r="CP726" s="407">
        <v>0</v>
      </c>
      <c r="CQ726" s="407">
        <v>30</v>
      </c>
      <c r="CR726" s="407">
        <v>212.2534778087138</v>
      </c>
      <c r="CS726" s="407">
        <v>0</v>
      </c>
      <c r="CT726" s="407">
        <v>0</v>
      </c>
      <c r="CU726" s="407">
        <v>0</v>
      </c>
      <c r="CV726" s="407">
        <v>0</v>
      </c>
      <c r="CW726" s="407"/>
      <c r="CX726" s="407"/>
      <c r="CY726" s="407"/>
      <c r="CZ726" s="407">
        <v>1014.4328108597729</v>
      </c>
      <c r="DA726" s="407">
        <v>0</v>
      </c>
      <c r="DB726" s="407">
        <v>0</v>
      </c>
      <c r="DC726" s="407"/>
      <c r="DD726" s="407"/>
      <c r="DE726" s="407">
        <v>0</v>
      </c>
      <c r="DF726" s="407">
        <v>0</v>
      </c>
      <c r="DG726" s="407">
        <v>0</v>
      </c>
      <c r="DH726" s="407">
        <v>0</v>
      </c>
      <c r="DI726" s="407">
        <v>0</v>
      </c>
      <c r="DJ726" s="407"/>
      <c r="DK726" s="407">
        <v>0</v>
      </c>
      <c r="DL726" s="407">
        <v>0</v>
      </c>
      <c r="DM726" s="407"/>
      <c r="DN726" s="407">
        <v>0</v>
      </c>
      <c r="DO726" s="407">
        <v>0</v>
      </c>
      <c r="DP726" s="407">
        <v>0</v>
      </c>
      <c r="DQ726" s="407">
        <v>0</v>
      </c>
      <c r="DR726" s="407">
        <v>-802.17933305105794</v>
      </c>
      <c r="DS726" s="407"/>
      <c r="DT726" s="407"/>
      <c r="DU726" s="407">
        <v>18628.098562048646</v>
      </c>
      <c r="DV726" s="407"/>
      <c r="DW726" s="407">
        <v>0</v>
      </c>
      <c r="DX726" s="407">
        <v>0</v>
      </c>
      <c r="DY726" s="407">
        <v>-9300.1999999999971</v>
      </c>
      <c r="DZ726" s="407"/>
      <c r="EA726" s="407">
        <v>0</v>
      </c>
      <c r="EB726" s="407"/>
      <c r="EC726" s="407">
        <v>-9515.2760115512447</v>
      </c>
      <c r="ED726" s="407"/>
      <c r="EE726" s="407">
        <v>0</v>
      </c>
      <c r="EF726" s="407">
        <v>0</v>
      </c>
      <c r="EG726" s="407"/>
      <c r="EH726" s="407">
        <v>0</v>
      </c>
      <c r="EI726" s="407">
        <v>0</v>
      </c>
      <c r="EJ726" s="407">
        <v>0</v>
      </c>
      <c r="EK726" s="407">
        <v>0</v>
      </c>
      <c r="EL726" s="407">
        <v>0</v>
      </c>
      <c r="EM726" s="407"/>
      <c r="EN726" s="407"/>
      <c r="EO726" s="407">
        <v>0</v>
      </c>
      <c r="EP726" s="407">
        <v>0</v>
      </c>
      <c r="EQ726" s="407"/>
      <c r="ER726" s="407">
        <v>0</v>
      </c>
      <c r="ES726" s="407"/>
      <c r="ET726" s="407">
        <v>0</v>
      </c>
      <c r="EU726" s="407"/>
      <c r="EV726" s="407">
        <v>246</v>
      </c>
      <c r="EW726" s="407"/>
      <c r="EX726" s="407"/>
      <c r="EY726" s="407"/>
      <c r="EZ726" s="407"/>
      <c r="FA726" s="407">
        <v>0</v>
      </c>
      <c r="FB726" s="407"/>
      <c r="FC726" s="407"/>
      <c r="FD726" s="407"/>
      <c r="FE726" s="407"/>
      <c r="FF726" s="407">
        <v>0</v>
      </c>
      <c r="FG726" s="407">
        <v>0</v>
      </c>
      <c r="FH726" s="407">
        <v>0</v>
      </c>
      <c r="FI726" s="407">
        <v>0</v>
      </c>
    </row>
    <row r="727" spans="1:165">
      <c r="A727" s="407">
        <v>754</v>
      </c>
      <c r="B727" s="407" t="s">
        <v>1090</v>
      </c>
      <c r="C727" s="407" t="s">
        <v>2306</v>
      </c>
      <c r="D727" s="407" t="s">
        <v>2315</v>
      </c>
      <c r="E727" s="407" t="s">
        <v>1026</v>
      </c>
      <c r="F727" s="407" t="s">
        <v>97</v>
      </c>
      <c r="G727" s="407" t="s">
        <v>97</v>
      </c>
      <c r="H727" s="407" t="s">
        <v>97</v>
      </c>
      <c r="I727" s="407" t="s">
        <v>97</v>
      </c>
      <c r="J727" s="407" t="s">
        <v>2307</v>
      </c>
      <c r="K727" s="818">
        <v>44713</v>
      </c>
      <c r="L727" s="407">
        <v>0</v>
      </c>
      <c r="M727" s="407">
        <v>0</v>
      </c>
      <c r="N727" s="407">
        <v>3547.14</v>
      </c>
      <c r="O727" s="407">
        <v>3547.14</v>
      </c>
      <c r="P727" s="407">
        <v>3547.14</v>
      </c>
      <c r="Q727" s="407">
        <v>3547.14</v>
      </c>
      <c r="R727" s="407"/>
      <c r="S727" s="407">
        <v>648.44000000000005</v>
      </c>
      <c r="T727" s="407">
        <v>159.41</v>
      </c>
      <c r="U727" s="407"/>
      <c r="V727" s="407">
        <v>2865557.0490000001</v>
      </c>
      <c r="W727" s="407">
        <v>2865557.0490000001</v>
      </c>
      <c r="X727" s="407">
        <v>2170211.1947999997</v>
      </c>
      <c r="Y727" s="407">
        <v>0</v>
      </c>
      <c r="Z727" s="407">
        <v>219817.15481972197</v>
      </c>
      <c r="AA727" s="407">
        <v>0</v>
      </c>
      <c r="AB727" s="407">
        <v>0</v>
      </c>
      <c r="AC727" s="407">
        <v>0</v>
      </c>
      <c r="AD727" s="407">
        <v>413754.10999333567</v>
      </c>
      <c r="AE727" s="407">
        <v>1481094.0857604723</v>
      </c>
      <c r="AF727" s="407">
        <v>547077.94448173745</v>
      </c>
      <c r="AG727" s="407">
        <v>18380.382898192023</v>
      </c>
      <c r="AH727" s="407">
        <v>0</v>
      </c>
      <c r="AI727" s="407">
        <v>0</v>
      </c>
      <c r="AJ727" s="407">
        <v>0</v>
      </c>
      <c r="AK727" s="407">
        <v>0</v>
      </c>
      <c r="AL727" s="407">
        <v>33967.608976831441</v>
      </c>
      <c r="AM727" s="407"/>
      <c r="AN727" s="407">
        <v>7360.654750166409</v>
      </c>
      <c r="AO727" s="407">
        <v>0</v>
      </c>
      <c r="AP727" s="407">
        <v>0</v>
      </c>
      <c r="AQ727" s="407">
        <v>0</v>
      </c>
      <c r="AR727" s="407">
        <v>0</v>
      </c>
      <c r="AS727" s="407">
        <v>0</v>
      </c>
      <c r="AT727" s="407">
        <v>0</v>
      </c>
      <c r="AU727" s="407">
        <v>0</v>
      </c>
      <c r="AV727" s="407">
        <v>0</v>
      </c>
      <c r="AW727" s="407">
        <v>0</v>
      </c>
      <c r="AX727" s="407">
        <v>0</v>
      </c>
      <c r="AY727" s="407">
        <v>0</v>
      </c>
      <c r="AZ727" s="407">
        <v>0</v>
      </c>
      <c r="BA727" s="407"/>
      <c r="BB727" s="407">
        <v>0</v>
      </c>
      <c r="BC727" s="407">
        <v>0</v>
      </c>
      <c r="BD727" s="407">
        <v>0</v>
      </c>
      <c r="BE727" s="407">
        <v>0</v>
      </c>
      <c r="BF727" s="407">
        <v>0</v>
      </c>
      <c r="BG727" s="407">
        <v>39989.650792074339</v>
      </c>
      <c r="BH727" s="407">
        <v>0</v>
      </c>
      <c r="BI727" s="407">
        <v>4780.99</v>
      </c>
      <c r="BJ727" s="407">
        <v>22257.75</v>
      </c>
      <c r="BK727" s="407">
        <v>144047.85999999999</v>
      </c>
      <c r="BL727" s="407">
        <v>13034</v>
      </c>
      <c r="BM727" s="407"/>
      <c r="BN727" s="407"/>
      <c r="BO727" s="407"/>
      <c r="BP727" s="407"/>
      <c r="BQ727" s="407"/>
      <c r="BR727" s="407">
        <v>260431.01880000005</v>
      </c>
      <c r="BS727" s="407"/>
      <c r="BT727" s="407"/>
      <c r="BU727" s="407"/>
      <c r="BV727" s="407">
        <v>587067.59527381184</v>
      </c>
      <c r="BW727" s="407"/>
      <c r="BX727" s="407"/>
      <c r="BY727" s="407"/>
      <c r="BZ727" s="407"/>
      <c r="CA727" s="407"/>
      <c r="CB727" s="407"/>
      <c r="CC727" s="407"/>
      <c r="CD727" s="407"/>
      <c r="CE727" s="407"/>
      <c r="CF727" s="407"/>
      <c r="CG727" s="407"/>
      <c r="CH727" s="407"/>
      <c r="CI727" s="407">
        <v>1909780.176</v>
      </c>
      <c r="CJ727" s="407">
        <v>-611917.15139999986</v>
      </c>
      <c r="CK727" s="407"/>
      <c r="CL727" s="407"/>
      <c r="CM727" s="407"/>
      <c r="CN727" s="407"/>
      <c r="CO727" s="407">
        <v>-792785.79000000015</v>
      </c>
      <c r="CP727" s="407">
        <v>97439.935799999992</v>
      </c>
      <c r="CQ727" s="407">
        <v>30</v>
      </c>
      <c r="CR727" s="407">
        <v>61202.417464062339</v>
      </c>
      <c r="CS727" s="407">
        <v>0</v>
      </c>
      <c r="CT727" s="407">
        <v>0</v>
      </c>
      <c r="CU727" s="407">
        <v>0</v>
      </c>
      <c r="CV727" s="407">
        <v>0</v>
      </c>
      <c r="CW727" s="407">
        <v>0</v>
      </c>
      <c r="CX727" s="407">
        <v>0</v>
      </c>
      <c r="CY727" s="407">
        <v>0</v>
      </c>
      <c r="CZ727" s="407">
        <v>18690.093544200063</v>
      </c>
      <c r="DA727" s="407">
        <v>0</v>
      </c>
      <c r="DB727" s="407">
        <v>0</v>
      </c>
      <c r="DC727" s="407">
        <v>108470.78263607668</v>
      </c>
      <c r="DD727" s="407">
        <v>0</v>
      </c>
      <c r="DE727" s="407">
        <v>0</v>
      </c>
      <c r="DF727" s="407">
        <v>0</v>
      </c>
      <c r="DG727" s="407">
        <v>7928.8678377794349</v>
      </c>
      <c r="DH727" s="407">
        <v>0</v>
      </c>
      <c r="DI727" s="407">
        <v>-15396.42716712167</v>
      </c>
      <c r="DJ727" s="407"/>
      <c r="DK727" s="407">
        <v>0</v>
      </c>
      <c r="DL727" s="407">
        <v>0</v>
      </c>
      <c r="DM727" s="407">
        <v>0</v>
      </c>
      <c r="DN727" s="407">
        <v>0</v>
      </c>
      <c r="DO727" s="407">
        <v>-2072.4105941944981</v>
      </c>
      <c r="DP727" s="407">
        <v>-469.00315056610543</v>
      </c>
      <c r="DQ727" s="407">
        <v>0</v>
      </c>
      <c r="DR727" s="407">
        <v>-55949.485642111489</v>
      </c>
      <c r="DS727" s="407"/>
      <c r="DT727" s="407"/>
      <c r="DU727" s="407"/>
      <c r="DV727" s="407">
        <v>1481094.0857604723</v>
      </c>
      <c r="DW727" s="407">
        <v>0</v>
      </c>
      <c r="DX727" s="407">
        <v>0</v>
      </c>
      <c r="DY727" s="407">
        <v>-792785.79</v>
      </c>
      <c r="DZ727" s="407">
        <v>97439.935799999977</v>
      </c>
      <c r="EA727" s="407">
        <v>0</v>
      </c>
      <c r="EB727" s="407">
        <v>0</v>
      </c>
      <c r="EC727" s="407">
        <v>-756546.29903016414</v>
      </c>
      <c r="ED727" s="407">
        <v>0</v>
      </c>
      <c r="EE727" s="407">
        <v>0</v>
      </c>
      <c r="EF727" s="407">
        <v>0</v>
      </c>
      <c r="EG727" s="407">
        <v>0</v>
      </c>
      <c r="EH727" s="407">
        <v>0</v>
      </c>
      <c r="EI727" s="407">
        <v>0</v>
      </c>
      <c r="EJ727" s="407">
        <v>0</v>
      </c>
      <c r="EK727" s="407">
        <v>0</v>
      </c>
      <c r="EL727" s="407">
        <v>0</v>
      </c>
      <c r="EM727" s="407">
        <v>0</v>
      </c>
      <c r="EN727" s="407">
        <v>0</v>
      </c>
      <c r="EO727" s="407">
        <v>0</v>
      </c>
      <c r="EP727" s="407">
        <v>104123.45599704614</v>
      </c>
      <c r="EQ727" s="407">
        <v>0</v>
      </c>
      <c r="ER727" s="407">
        <v>0</v>
      </c>
      <c r="ES727" s="407">
        <v>0</v>
      </c>
      <c r="ET727" s="407">
        <v>0</v>
      </c>
      <c r="EU727" s="407">
        <v>0</v>
      </c>
      <c r="EV727" s="407">
        <v>246</v>
      </c>
      <c r="EW727" s="407">
        <v>0</v>
      </c>
      <c r="EX727" s="407">
        <v>0</v>
      </c>
      <c r="EY727" s="407">
        <v>0</v>
      </c>
      <c r="EZ727" s="407"/>
      <c r="FA727" s="407">
        <v>0</v>
      </c>
      <c r="FB727" s="407"/>
      <c r="FC727" s="407"/>
      <c r="FD727" s="407"/>
      <c r="FE727" s="407"/>
      <c r="FF727" s="407">
        <v>0</v>
      </c>
      <c r="FG727" s="407">
        <v>0</v>
      </c>
      <c r="FH727" s="407">
        <v>0</v>
      </c>
      <c r="FI727" s="407">
        <v>0</v>
      </c>
    </row>
    <row r="728" spans="1:165">
      <c r="A728" s="407">
        <v>755</v>
      </c>
      <c r="B728" s="407" t="s">
        <v>2308</v>
      </c>
      <c r="C728" s="407" t="s">
        <v>2306</v>
      </c>
      <c r="D728" s="407" t="s">
        <v>2315</v>
      </c>
      <c r="E728" s="407" t="s">
        <v>1026</v>
      </c>
      <c r="F728" s="407" t="s">
        <v>97</v>
      </c>
      <c r="G728" s="407" t="s">
        <v>97</v>
      </c>
      <c r="H728" s="407" t="s">
        <v>97</v>
      </c>
      <c r="I728" s="407" t="s">
        <v>97</v>
      </c>
      <c r="J728" s="407" t="s">
        <v>2307</v>
      </c>
      <c r="K728" s="818">
        <v>44713</v>
      </c>
      <c r="L728" s="407">
        <v>0</v>
      </c>
      <c r="M728" s="407">
        <v>0</v>
      </c>
      <c r="N728" s="407">
        <v>-3.14</v>
      </c>
      <c r="O728" s="407">
        <v>-3.14</v>
      </c>
      <c r="P728" s="407">
        <v>-3.14</v>
      </c>
      <c r="Q728" s="407">
        <v>-3.14</v>
      </c>
      <c r="R728" s="407"/>
      <c r="S728" s="407">
        <v>648.44000000000005</v>
      </c>
      <c r="T728" s="407">
        <v>159.41</v>
      </c>
      <c r="U728" s="407"/>
      <c r="V728" s="407">
        <v>-2536.6490000000003</v>
      </c>
      <c r="W728" s="407">
        <v>-2536.6490000000003</v>
      </c>
      <c r="X728" s="407">
        <v>-1921.1148000000001</v>
      </c>
      <c r="Y728" s="407">
        <v>0</v>
      </c>
      <c r="Z728" s="407">
        <v>-194.58658697822105</v>
      </c>
      <c r="AA728" s="407">
        <v>0</v>
      </c>
      <c r="AB728" s="407">
        <v>0</v>
      </c>
      <c r="AC728" s="407">
        <v>0</v>
      </c>
      <c r="AD728" s="407">
        <v>-366.26349830541625</v>
      </c>
      <c r="AE728" s="407">
        <v>-1311.094411071422</v>
      </c>
      <c r="AF728" s="407">
        <v>-484.28445047916227</v>
      </c>
      <c r="AG728" s="407">
        <v>-16.270686327667629</v>
      </c>
      <c r="AH728" s="407">
        <v>0</v>
      </c>
      <c r="AI728" s="407">
        <v>0</v>
      </c>
      <c r="AJ728" s="407">
        <v>0</v>
      </c>
      <c r="AK728" s="407">
        <v>0</v>
      </c>
      <c r="AL728" s="407">
        <v>-30.06881380133029</v>
      </c>
      <c r="AM728" s="407"/>
      <c r="AN728" s="407">
        <v>-6.5158003111020504</v>
      </c>
      <c r="AO728" s="407">
        <v>0</v>
      </c>
      <c r="AP728" s="407">
        <v>0</v>
      </c>
      <c r="AQ728" s="407">
        <v>0</v>
      </c>
      <c r="AR728" s="407">
        <v>0</v>
      </c>
      <c r="AS728" s="407">
        <v>0</v>
      </c>
      <c r="AT728" s="407">
        <v>0</v>
      </c>
      <c r="AU728" s="407">
        <v>0</v>
      </c>
      <c r="AV728" s="407">
        <v>0</v>
      </c>
      <c r="AW728" s="407">
        <v>0</v>
      </c>
      <c r="AX728" s="407">
        <v>0</v>
      </c>
      <c r="AY728" s="407">
        <v>0</v>
      </c>
      <c r="AZ728" s="407">
        <v>0</v>
      </c>
      <c r="BA728" s="407"/>
      <c r="BB728" s="407">
        <v>0</v>
      </c>
      <c r="BC728" s="407">
        <v>0</v>
      </c>
      <c r="BD728" s="407">
        <v>0</v>
      </c>
      <c r="BE728" s="407">
        <v>0</v>
      </c>
      <c r="BF728" s="407">
        <v>0</v>
      </c>
      <c r="BG728" s="407">
        <v>-35.399646894995243</v>
      </c>
      <c r="BH728" s="407">
        <v>0</v>
      </c>
      <c r="BI728" s="407">
        <v>-4.22</v>
      </c>
      <c r="BJ728" s="407">
        <v>-20.86</v>
      </c>
      <c r="BK728" s="407">
        <v>0</v>
      </c>
      <c r="BL728" s="407">
        <v>0</v>
      </c>
      <c r="BM728" s="407"/>
      <c r="BN728" s="407"/>
      <c r="BO728" s="407"/>
      <c r="BP728" s="407"/>
      <c r="BQ728" s="407"/>
      <c r="BR728" s="407">
        <v>-230.53880000000004</v>
      </c>
      <c r="BS728" s="407"/>
      <c r="BT728" s="407"/>
      <c r="BU728" s="407"/>
      <c r="BV728" s="407">
        <v>-519.68409737415755</v>
      </c>
      <c r="BW728" s="407"/>
      <c r="BX728" s="407"/>
      <c r="BY728" s="407"/>
      <c r="BZ728" s="407"/>
      <c r="CA728" s="407"/>
      <c r="CB728" s="407"/>
      <c r="CC728" s="407"/>
      <c r="CD728" s="407"/>
      <c r="CE728" s="407"/>
      <c r="CF728" s="407"/>
      <c r="CG728" s="407"/>
      <c r="CH728" s="407"/>
      <c r="CI728" s="407">
        <v>-1690.576</v>
      </c>
      <c r="CJ728" s="407">
        <v>541.65139999999974</v>
      </c>
      <c r="CK728" s="407"/>
      <c r="CL728" s="407"/>
      <c r="CM728" s="407"/>
      <c r="CN728" s="407"/>
      <c r="CO728" s="407">
        <v>701.79000000000019</v>
      </c>
      <c r="CP728" s="407">
        <v>-86.255799999999994</v>
      </c>
      <c r="CQ728" s="407">
        <v>30</v>
      </c>
      <c r="CR728" s="407">
        <v>-54.177616569167412</v>
      </c>
      <c r="CS728" s="407">
        <v>0</v>
      </c>
      <c r="CT728" s="407">
        <v>0</v>
      </c>
      <c r="CU728" s="407">
        <v>0</v>
      </c>
      <c r="CV728" s="407">
        <v>0</v>
      </c>
      <c r="CW728" s="407">
        <v>0</v>
      </c>
      <c r="CX728" s="407">
        <v>0</v>
      </c>
      <c r="CY728" s="407">
        <v>0</v>
      </c>
      <c r="CZ728" s="407">
        <v>-16.544848449395317</v>
      </c>
      <c r="DA728" s="407">
        <v>0</v>
      </c>
      <c r="DB728" s="407">
        <v>0</v>
      </c>
      <c r="DC728" s="407">
        <v>-96.020528503887931</v>
      </c>
      <c r="DD728" s="407">
        <v>0</v>
      </c>
      <c r="DE728" s="407">
        <v>0</v>
      </c>
      <c r="DF728" s="407">
        <v>0</v>
      </c>
      <c r="DG728" s="407">
        <v>-7.0187940173287302</v>
      </c>
      <c r="DH728" s="407">
        <v>0</v>
      </c>
      <c r="DI728" s="407">
        <v>13.629228421985601</v>
      </c>
      <c r="DJ728" s="407"/>
      <c r="DK728" s="407">
        <v>0</v>
      </c>
      <c r="DL728" s="407">
        <v>0</v>
      </c>
      <c r="DM728" s="407">
        <v>0</v>
      </c>
      <c r="DN728" s="407">
        <v>0</v>
      </c>
      <c r="DO728" s="407">
        <v>1.8345397322267267</v>
      </c>
      <c r="DP728" s="407">
        <v>0.41517106535901327</v>
      </c>
      <c r="DQ728" s="407">
        <v>0</v>
      </c>
      <c r="DR728" s="407">
        <v>49.527615181873315</v>
      </c>
      <c r="DS728" s="407"/>
      <c r="DT728" s="407"/>
      <c r="DU728" s="407"/>
      <c r="DV728" s="407">
        <v>-1311.094411071422</v>
      </c>
      <c r="DW728" s="407">
        <v>0</v>
      </c>
      <c r="DX728" s="407">
        <v>0</v>
      </c>
      <c r="DY728" s="407">
        <v>701.79000000000019</v>
      </c>
      <c r="DZ728" s="407">
        <v>-86.255800000000079</v>
      </c>
      <c r="EA728" s="407">
        <v>0</v>
      </c>
      <c r="EB728" s="407">
        <v>0</v>
      </c>
      <c r="EC728" s="407">
        <v>669.71007035378238</v>
      </c>
      <c r="ED728" s="407">
        <v>0</v>
      </c>
      <c r="EE728" s="407">
        <v>0</v>
      </c>
      <c r="EF728" s="407">
        <v>0</v>
      </c>
      <c r="EG728" s="407">
        <v>0</v>
      </c>
      <c r="EH728" s="407">
        <v>0</v>
      </c>
      <c r="EI728" s="407">
        <v>0</v>
      </c>
      <c r="EJ728" s="407">
        <v>0</v>
      </c>
      <c r="EK728" s="407">
        <v>0</v>
      </c>
      <c r="EL728" s="407">
        <v>0</v>
      </c>
      <c r="EM728" s="407">
        <v>0</v>
      </c>
      <c r="EN728" s="407">
        <v>0</v>
      </c>
      <c r="EO728" s="407">
        <v>0</v>
      </c>
      <c r="EP728" s="407">
        <v>-92.172187122787633</v>
      </c>
      <c r="EQ728" s="407">
        <v>0</v>
      </c>
      <c r="ER728" s="407">
        <v>0</v>
      </c>
      <c r="ES728" s="407">
        <v>0</v>
      </c>
      <c r="ET728" s="407">
        <v>0</v>
      </c>
      <c r="EU728" s="407">
        <v>0</v>
      </c>
      <c r="EV728" s="407">
        <v>246</v>
      </c>
      <c r="EW728" s="407">
        <v>0</v>
      </c>
      <c r="EX728" s="407">
        <v>0</v>
      </c>
      <c r="EY728" s="407">
        <v>0</v>
      </c>
      <c r="EZ728" s="407"/>
      <c r="FA728" s="407">
        <v>0</v>
      </c>
      <c r="FB728" s="407"/>
      <c r="FC728" s="407"/>
      <c r="FD728" s="407"/>
      <c r="FE728" s="407"/>
      <c r="FF728" s="407">
        <v>0</v>
      </c>
      <c r="FG728" s="407">
        <v>0</v>
      </c>
      <c r="FH728" s="407">
        <v>0</v>
      </c>
      <c r="FI728" s="407">
        <v>0</v>
      </c>
    </row>
    <row r="729" spans="1:165">
      <c r="A729" s="407">
        <v>756</v>
      </c>
      <c r="B729" s="407" t="s">
        <v>2309</v>
      </c>
      <c r="C729" s="407" t="s">
        <v>2306</v>
      </c>
      <c r="D729" s="407" t="s">
        <v>2315</v>
      </c>
      <c r="E729" s="407" t="s">
        <v>1026</v>
      </c>
      <c r="F729" s="407" t="s">
        <v>97</v>
      </c>
      <c r="G729" s="407" t="s">
        <v>97</v>
      </c>
      <c r="H729" s="407" t="s">
        <v>97</v>
      </c>
      <c r="I729" s="407" t="s">
        <v>97</v>
      </c>
      <c r="J729" s="407" t="s">
        <v>2307</v>
      </c>
      <c r="K729" s="818">
        <v>44713</v>
      </c>
      <c r="L729" s="407">
        <v>0</v>
      </c>
      <c r="M729" s="407">
        <v>0</v>
      </c>
      <c r="N729" s="407">
        <v>184.93899999999999</v>
      </c>
      <c r="O729" s="407">
        <v>184.93899999999999</v>
      </c>
      <c r="P729" s="407">
        <v>184.93899999999999</v>
      </c>
      <c r="Q729" s="407">
        <v>184.93899999999999</v>
      </c>
      <c r="R729" s="407"/>
      <c r="S729" s="407">
        <v>648.44000000000005</v>
      </c>
      <c r="T729" s="407">
        <v>159.41</v>
      </c>
      <c r="U729" s="407"/>
      <c r="V729" s="407">
        <v>149402.97115</v>
      </c>
      <c r="W729" s="407">
        <v>149402.97115</v>
      </c>
      <c r="X729" s="407">
        <v>113149.37897999999</v>
      </c>
      <c r="Y729" s="407">
        <v>0</v>
      </c>
      <c r="Z729" s="407">
        <v>11460.716181262809</v>
      </c>
      <c r="AA729" s="407">
        <v>0</v>
      </c>
      <c r="AB729" s="407">
        <v>0</v>
      </c>
      <c r="AC729" s="407">
        <v>0</v>
      </c>
      <c r="AD729" s="407">
        <v>21572.103539205531</v>
      </c>
      <c r="AE729" s="407">
        <v>77220.537990171229</v>
      </c>
      <c r="AF729" s="407">
        <v>28523.274518205661</v>
      </c>
      <c r="AG729" s="407">
        <v>958.30715246895659</v>
      </c>
      <c r="AH729" s="407">
        <v>0</v>
      </c>
      <c r="AI729" s="407">
        <v>0</v>
      </c>
      <c r="AJ729" s="407">
        <v>0</v>
      </c>
      <c r="AK729" s="407">
        <v>0</v>
      </c>
      <c r="AL729" s="407">
        <v>1770.9861005108987</v>
      </c>
      <c r="AM729" s="407"/>
      <c r="AN729" s="407">
        <v>383.76611265442739</v>
      </c>
      <c r="AO729" s="407">
        <v>0</v>
      </c>
      <c r="AP729" s="407">
        <v>0</v>
      </c>
      <c r="AQ729" s="407">
        <v>0</v>
      </c>
      <c r="AR729" s="407">
        <v>0</v>
      </c>
      <c r="AS729" s="407">
        <v>0</v>
      </c>
      <c r="AT729" s="407">
        <v>0</v>
      </c>
      <c r="AU729" s="407">
        <v>0</v>
      </c>
      <c r="AV729" s="407">
        <v>0</v>
      </c>
      <c r="AW729" s="407">
        <v>0</v>
      </c>
      <c r="AX729" s="407">
        <v>0</v>
      </c>
      <c r="AY729" s="407">
        <v>0</v>
      </c>
      <c r="AZ729" s="407">
        <v>0</v>
      </c>
      <c r="BA729" s="407"/>
      <c r="BB729" s="407">
        <v>0</v>
      </c>
      <c r="BC729" s="407">
        <v>0</v>
      </c>
      <c r="BD729" s="407">
        <v>0</v>
      </c>
      <c r="BE729" s="407">
        <v>0</v>
      </c>
      <c r="BF729" s="407">
        <v>0</v>
      </c>
      <c r="BG729" s="407">
        <v>2084.9602857049445</v>
      </c>
      <c r="BH729" s="407">
        <v>0</v>
      </c>
      <c r="BI729" s="407">
        <v>253.97</v>
      </c>
      <c r="BJ729" s="407">
        <v>1181.03</v>
      </c>
      <c r="BK729" s="407">
        <v>6527.67</v>
      </c>
      <c r="BL729" s="407">
        <v>552</v>
      </c>
      <c r="BM729" s="407"/>
      <c r="BN729" s="407"/>
      <c r="BO729" s="407"/>
      <c r="BP729" s="407"/>
      <c r="BQ729" s="407"/>
      <c r="BR729" s="407">
        <v>13578.221380000003</v>
      </c>
      <c r="BS729" s="407"/>
      <c r="BT729" s="407"/>
      <c r="BU729" s="407"/>
      <c r="BV729" s="407">
        <v>30608.234803910604</v>
      </c>
      <c r="BW729" s="407"/>
      <c r="BX729" s="407"/>
      <c r="BY729" s="407"/>
      <c r="BZ729" s="407"/>
      <c r="CA729" s="407"/>
      <c r="CB729" s="407"/>
      <c r="CC729" s="407"/>
      <c r="CD729" s="407"/>
      <c r="CE729" s="407"/>
      <c r="CF729" s="407"/>
      <c r="CG729" s="407"/>
      <c r="CH729" s="407"/>
      <c r="CI729" s="407">
        <v>99571.695999999996</v>
      </c>
      <c r="CJ729" s="407">
        <v>-31903.318490000005</v>
      </c>
      <c r="CK729" s="407"/>
      <c r="CL729" s="407"/>
      <c r="CM729" s="407"/>
      <c r="CN729" s="407"/>
      <c r="CO729" s="407">
        <v>-41333.866500000011</v>
      </c>
      <c r="CP729" s="407">
        <v>5080.2743299999993</v>
      </c>
      <c r="CQ729" s="407">
        <v>30</v>
      </c>
      <c r="CR729" s="407">
        <v>3190.9408377978398</v>
      </c>
      <c r="CS729" s="407">
        <v>0</v>
      </c>
      <c r="CT729" s="407">
        <v>0</v>
      </c>
      <c r="CU729" s="407">
        <v>0</v>
      </c>
      <c r="CV729" s="407">
        <v>0</v>
      </c>
      <c r="CW729" s="407">
        <v>0</v>
      </c>
      <c r="CX729" s="407">
        <v>0</v>
      </c>
      <c r="CY729" s="407">
        <v>0</v>
      </c>
      <c r="CZ729" s="407">
        <v>974.45469024927661</v>
      </c>
      <c r="DA729" s="407">
        <v>0</v>
      </c>
      <c r="DB729" s="407">
        <v>0</v>
      </c>
      <c r="DC729" s="407">
        <v>5655.3950703759692</v>
      </c>
      <c r="DD729" s="407">
        <v>0</v>
      </c>
      <c r="DE729" s="407">
        <v>0</v>
      </c>
      <c r="DF729" s="407">
        <v>0</v>
      </c>
      <c r="DG729" s="407">
        <v>413.39132062762974</v>
      </c>
      <c r="DH729" s="407">
        <v>0</v>
      </c>
      <c r="DI729" s="407">
        <v>-802.73117042471313</v>
      </c>
      <c r="DJ729" s="407"/>
      <c r="DK729" s="407">
        <v>0</v>
      </c>
      <c r="DL729" s="407">
        <v>0</v>
      </c>
      <c r="DM729" s="407">
        <v>0</v>
      </c>
      <c r="DN729" s="407">
        <v>0</v>
      </c>
      <c r="DO729" s="407">
        <v>-108.05030048989761</v>
      </c>
      <c r="DP729" s="407">
        <v>-24.452650209054298</v>
      </c>
      <c r="DQ729" s="407">
        <v>0</v>
      </c>
      <c r="DR729" s="407">
        <v>-2917.0661223313591</v>
      </c>
      <c r="DS729" s="407"/>
      <c r="DT729" s="407"/>
      <c r="DU729" s="407"/>
      <c r="DV729" s="407">
        <v>77220.537990171229</v>
      </c>
      <c r="DW729" s="407">
        <v>0</v>
      </c>
      <c r="DX729" s="407">
        <v>0</v>
      </c>
      <c r="DY729" s="407">
        <v>-41333.866500000018</v>
      </c>
      <c r="DZ729" s="407">
        <v>5080.2743300000038</v>
      </c>
      <c r="EA729" s="407">
        <v>0</v>
      </c>
      <c r="EB729" s="407">
        <v>0</v>
      </c>
      <c r="EC729" s="407">
        <v>-39444.430159604497</v>
      </c>
      <c r="ED729" s="407">
        <v>0</v>
      </c>
      <c r="EE729" s="407">
        <v>0</v>
      </c>
      <c r="EF729" s="407">
        <v>0</v>
      </c>
      <c r="EG729" s="407">
        <v>0</v>
      </c>
      <c r="EH729" s="407">
        <v>0</v>
      </c>
      <c r="EI729" s="407">
        <v>0</v>
      </c>
      <c r="EJ729" s="407">
        <v>0</v>
      </c>
      <c r="EK729" s="407">
        <v>0</v>
      </c>
      <c r="EL729" s="407">
        <v>0</v>
      </c>
      <c r="EM729" s="407">
        <v>0</v>
      </c>
      <c r="EN729" s="407">
        <v>0</v>
      </c>
      <c r="EO729" s="407">
        <v>0</v>
      </c>
      <c r="EP729" s="407">
        <v>5428.7363421341461</v>
      </c>
      <c r="EQ729" s="407">
        <v>0</v>
      </c>
      <c r="ER729" s="407">
        <v>0</v>
      </c>
      <c r="ES729" s="407">
        <v>0</v>
      </c>
      <c r="ET729" s="407">
        <v>0</v>
      </c>
      <c r="EU729" s="407">
        <v>0</v>
      </c>
      <c r="EV729" s="407">
        <v>246</v>
      </c>
      <c r="EW729" s="407">
        <v>0</v>
      </c>
      <c r="EX729" s="407">
        <v>0</v>
      </c>
      <c r="EY729" s="407">
        <v>0</v>
      </c>
      <c r="EZ729" s="407"/>
      <c r="FA729" s="407">
        <v>0</v>
      </c>
      <c r="FB729" s="407"/>
      <c r="FC729" s="407"/>
      <c r="FD729" s="407"/>
      <c r="FE729" s="407"/>
      <c r="FF729" s="407">
        <v>0</v>
      </c>
      <c r="FG729" s="407">
        <v>0</v>
      </c>
      <c r="FH729" s="407">
        <v>0</v>
      </c>
      <c r="FI729" s="407">
        <v>0</v>
      </c>
    </row>
    <row r="730" spans="1:165">
      <c r="A730" s="407">
        <v>757</v>
      </c>
      <c r="B730" s="407" t="s">
        <v>1090</v>
      </c>
      <c r="C730" s="407" t="s">
        <v>2314</v>
      </c>
      <c r="D730" s="407" t="s">
        <v>650</v>
      </c>
      <c r="E730" s="407" t="s">
        <v>1026</v>
      </c>
      <c r="F730" s="407" t="s">
        <v>97</v>
      </c>
      <c r="G730" s="407" t="s">
        <v>97</v>
      </c>
      <c r="H730" s="407" t="s">
        <v>97</v>
      </c>
      <c r="I730" s="407" t="s">
        <v>1025</v>
      </c>
      <c r="J730" s="407" t="s">
        <v>2307</v>
      </c>
      <c r="K730" s="818">
        <v>44713</v>
      </c>
      <c r="L730" s="407">
        <v>0</v>
      </c>
      <c r="M730" s="407">
        <v>0</v>
      </c>
      <c r="N730" s="407">
        <v>38.225999999999999</v>
      </c>
      <c r="O730" s="407">
        <v>36.696959999999997</v>
      </c>
      <c r="P730" s="407">
        <v>38.225999999999999</v>
      </c>
      <c r="Q730" s="407">
        <v>36.696959999999997</v>
      </c>
      <c r="R730" s="407"/>
      <c r="S730" s="407">
        <v>2810.7</v>
      </c>
      <c r="T730" s="407">
        <v>159.41</v>
      </c>
      <c r="U730" s="407"/>
      <c r="V730" s="407">
        <v>113535.42486</v>
      </c>
      <c r="W730" s="407">
        <v>113535.42486</v>
      </c>
      <c r="X730" s="407">
        <v>72311.741939999993</v>
      </c>
      <c r="Y730" s="407">
        <v>0</v>
      </c>
      <c r="Z730" s="407">
        <v>2060.9210765068924</v>
      </c>
      <c r="AA730" s="407">
        <v>0</v>
      </c>
      <c r="AB730" s="407">
        <v>0</v>
      </c>
      <c r="AC730" s="407">
        <v>0</v>
      </c>
      <c r="AD730" s="407">
        <v>23337.569072799342</v>
      </c>
      <c r="AE730" s="407">
        <v>80461.483247779877</v>
      </c>
      <c r="AF730" s="407">
        <v>5895.6233770753042</v>
      </c>
      <c r="AG730" s="407">
        <v>198.07746992402002</v>
      </c>
      <c r="AH730" s="407">
        <v>0</v>
      </c>
      <c r="AI730" s="407">
        <v>0</v>
      </c>
      <c r="AJ730" s="407">
        <v>0</v>
      </c>
      <c r="AK730" s="407">
        <v>0</v>
      </c>
      <c r="AL730" s="407">
        <v>366.05429183746867</v>
      </c>
      <c r="AM730" s="407"/>
      <c r="AN730" s="407">
        <v>41.044532329555082</v>
      </c>
      <c r="AO730" s="407">
        <v>0</v>
      </c>
      <c r="AP730" s="407">
        <v>0</v>
      </c>
      <c r="AQ730" s="407">
        <v>0</v>
      </c>
      <c r="AR730" s="407">
        <v>0</v>
      </c>
      <c r="AS730" s="407">
        <v>0</v>
      </c>
      <c r="AT730" s="407">
        <v>0</v>
      </c>
      <c r="AU730" s="407">
        <v>0</v>
      </c>
      <c r="AV730" s="407">
        <v>0</v>
      </c>
      <c r="AW730" s="407">
        <v>0</v>
      </c>
      <c r="AX730" s="407">
        <v>0</v>
      </c>
      <c r="AY730" s="407">
        <v>0</v>
      </c>
      <c r="AZ730" s="407">
        <v>0</v>
      </c>
      <c r="BA730" s="407"/>
      <c r="BB730" s="407">
        <v>0</v>
      </c>
      <c r="BC730" s="407">
        <v>0</v>
      </c>
      <c r="BD730" s="407">
        <v>0</v>
      </c>
      <c r="BE730" s="407">
        <v>0</v>
      </c>
      <c r="BF730" s="407">
        <v>0</v>
      </c>
      <c r="BG730" s="407">
        <v>198.38813724483396</v>
      </c>
      <c r="BH730" s="407">
        <v>0</v>
      </c>
      <c r="BI730" s="407">
        <v>0</v>
      </c>
      <c r="BJ730" s="407">
        <v>0</v>
      </c>
      <c r="BK730" s="407">
        <v>0</v>
      </c>
      <c r="BL730" s="407">
        <v>0</v>
      </c>
      <c r="BM730" s="407"/>
      <c r="BN730" s="407"/>
      <c r="BO730" s="407"/>
      <c r="BP730" s="407"/>
      <c r="BQ730" s="407"/>
      <c r="BR730" s="407">
        <v>2892.4696776000037</v>
      </c>
      <c r="BS730" s="407"/>
      <c r="BT730" s="407"/>
      <c r="BU730" s="407"/>
      <c r="BV730" s="407">
        <v>6094.0115143201383</v>
      </c>
      <c r="BW730" s="407"/>
      <c r="BX730" s="407"/>
      <c r="BY730" s="407"/>
      <c r="BZ730" s="407"/>
      <c r="CA730" s="407"/>
      <c r="CB730" s="407"/>
      <c r="CC730" s="407"/>
      <c r="CD730" s="407"/>
      <c r="CE730" s="407"/>
      <c r="CF730" s="407"/>
      <c r="CG730" s="407"/>
      <c r="CH730" s="407"/>
      <c r="CI730" s="407">
        <v>69425.023000000001</v>
      </c>
      <c r="CJ730" s="407">
        <v>-39569.014865599966</v>
      </c>
      <c r="CK730" s="407"/>
      <c r="CL730" s="407"/>
      <c r="CM730" s="407"/>
      <c r="CN730" s="407"/>
      <c r="CO730" s="407">
        <v>-42273.751139999993</v>
      </c>
      <c r="CP730" s="407">
        <v>1050.0682199999999</v>
      </c>
      <c r="CQ730" s="407">
        <v>30</v>
      </c>
      <c r="CR730" s="407">
        <v>-123.56925272861554</v>
      </c>
      <c r="CS730" s="407">
        <v>0</v>
      </c>
      <c r="CT730" s="407">
        <v>0</v>
      </c>
      <c r="CU730" s="407">
        <v>0</v>
      </c>
      <c r="CV730" s="407">
        <v>0</v>
      </c>
      <c r="CW730" s="407">
        <v>0</v>
      </c>
      <c r="CX730" s="407">
        <v>0</v>
      </c>
      <c r="CY730" s="407">
        <v>0</v>
      </c>
      <c r="CZ730" s="407">
        <v>1054.2042689844748</v>
      </c>
      <c r="DA730" s="407">
        <v>0</v>
      </c>
      <c r="DB730" s="407">
        <v>0</v>
      </c>
      <c r="DC730" s="407">
        <v>1168.9429052833184</v>
      </c>
      <c r="DD730" s="407">
        <v>0</v>
      </c>
      <c r="DE730" s="407">
        <v>0</v>
      </c>
      <c r="DF730" s="407">
        <v>0</v>
      </c>
      <c r="DG730" s="407">
        <v>39.335010174914771</v>
      </c>
      <c r="DH730" s="407">
        <v>0</v>
      </c>
      <c r="DI730" s="407">
        <v>-144.35097787362383</v>
      </c>
      <c r="DJ730" s="407"/>
      <c r="DK730" s="407">
        <v>0</v>
      </c>
      <c r="DL730" s="407">
        <v>0</v>
      </c>
      <c r="DM730" s="407">
        <v>0</v>
      </c>
      <c r="DN730" s="407">
        <v>0</v>
      </c>
      <c r="DO730" s="407">
        <v>-22.333476370732114</v>
      </c>
      <c r="DP730" s="407">
        <v>-2.6152585102075605</v>
      </c>
      <c r="DQ730" s="407">
        <v>0</v>
      </c>
      <c r="DR730" s="407">
        <v>-2216.7517244167616</v>
      </c>
      <c r="DS730" s="407"/>
      <c r="DT730" s="407"/>
      <c r="DU730" s="407"/>
      <c r="DV730" s="407">
        <v>80461.483247779877</v>
      </c>
      <c r="DW730" s="407">
        <v>0</v>
      </c>
      <c r="DX730" s="407">
        <v>0</v>
      </c>
      <c r="DY730" s="407">
        <v>-42273.75114</v>
      </c>
      <c r="DZ730" s="407">
        <v>1050.0682200000001</v>
      </c>
      <c r="EA730" s="407">
        <v>0</v>
      </c>
      <c r="EB730" s="407">
        <v>0</v>
      </c>
      <c r="EC730" s="407">
        <v>-41099.912524685918</v>
      </c>
      <c r="ED730" s="407">
        <v>0</v>
      </c>
      <c r="EE730" s="407">
        <v>0</v>
      </c>
      <c r="EF730" s="407">
        <v>0</v>
      </c>
      <c r="EG730" s="407">
        <v>0</v>
      </c>
      <c r="EH730" s="407">
        <v>0</v>
      </c>
      <c r="EI730" s="407">
        <v>0</v>
      </c>
      <c r="EJ730" s="407">
        <v>0</v>
      </c>
      <c r="EK730" s="407">
        <v>0</v>
      </c>
      <c r="EL730" s="407">
        <v>0</v>
      </c>
      <c r="EM730" s="407">
        <v>0</v>
      </c>
      <c r="EN730" s="407">
        <v>0</v>
      </c>
      <c r="EO730" s="407">
        <v>0</v>
      </c>
      <c r="EP730" s="407">
        <v>976.22146551319736</v>
      </c>
      <c r="EQ730" s="407">
        <v>0</v>
      </c>
      <c r="ER730" s="407">
        <v>0</v>
      </c>
      <c r="ES730" s="407">
        <v>0</v>
      </c>
      <c r="ET730" s="407">
        <v>0</v>
      </c>
      <c r="EU730" s="407">
        <v>0</v>
      </c>
      <c r="EV730" s="407">
        <v>246</v>
      </c>
      <c r="EW730" s="407">
        <v>0</v>
      </c>
      <c r="EX730" s="407">
        <v>0</v>
      </c>
      <c r="EY730" s="407">
        <v>0</v>
      </c>
      <c r="EZ730" s="407"/>
      <c r="FA730" s="407">
        <v>0</v>
      </c>
      <c r="FB730" s="407"/>
      <c r="FC730" s="407"/>
      <c r="FD730" s="407"/>
      <c r="FE730" s="407"/>
      <c r="FF730" s="407">
        <v>0</v>
      </c>
      <c r="FG730" s="407">
        <v>0</v>
      </c>
      <c r="FH730" s="407">
        <v>0</v>
      </c>
      <c r="FI730" s="407">
        <v>0</v>
      </c>
    </row>
    <row r="731" spans="1:165">
      <c r="A731" s="407">
        <v>758</v>
      </c>
      <c r="B731" s="407" t="s">
        <v>2309</v>
      </c>
      <c r="C731" s="407" t="s">
        <v>2314</v>
      </c>
      <c r="D731" s="407" t="s">
        <v>650</v>
      </c>
      <c r="E731" s="407" t="s">
        <v>1026</v>
      </c>
      <c r="F731" s="407" t="s">
        <v>97</v>
      </c>
      <c r="G731" s="407" t="s">
        <v>97</v>
      </c>
      <c r="H731" s="407" t="s">
        <v>97</v>
      </c>
      <c r="I731" s="407" t="s">
        <v>1025</v>
      </c>
      <c r="J731" s="407" t="s">
        <v>2307</v>
      </c>
      <c r="K731" s="818">
        <v>44713</v>
      </c>
      <c r="L731" s="407">
        <v>0</v>
      </c>
      <c r="M731" s="407">
        <v>0</v>
      </c>
      <c r="N731" s="407">
        <v>2.1110000000000002</v>
      </c>
      <c r="O731" s="407">
        <v>2.0265599999999999</v>
      </c>
      <c r="P731" s="407">
        <v>2.1110000000000002</v>
      </c>
      <c r="Q731" s="407">
        <v>2.0265599999999999</v>
      </c>
      <c r="R731" s="407"/>
      <c r="S731" s="407">
        <v>2810.7</v>
      </c>
      <c r="T731" s="407">
        <v>159.41</v>
      </c>
      <c r="U731" s="407"/>
      <c r="V731" s="407">
        <v>6269.9022100000002</v>
      </c>
      <c r="W731" s="407">
        <v>6269.9022100000002</v>
      </c>
      <c r="X731" s="407">
        <v>3993.3575900000005</v>
      </c>
      <c r="Y731" s="407">
        <v>0</v>
      </c>
      <c r="Z731" s="407">
        <v>113.81270319955135</v>
      </c>
      <c r="AA731" s="407">
        <v>0</v>
      </c>
      <c r="AB731" s="407">
        <v>0</v>
      </c>
      <c r="AC731" s="407">
        <v>0</v>
      </c>
      <c r="AD731" s="407">
        <v>1288.7984176392879</v>
      </c>
      <c r="AE731" s="407">
        <v>4443.4204765359536</v>
      </c>
      <c r="AF731" s="407">
        <v>325.58104298137312</v>
      </c>
      <c r="AG731" s="407">
        <v>10.938668419651711</v>
      </c>
      <c r="AH731" s="407">
        <v>0</v>
      </c>
      <c r="AI731" s="407">
        <v>0</v>
      </c>
      <c r="AJ731" s="407">
        <v>0</v>
      </c>
      <c r="AK731" s="407">
        <v>0</v>
      </c>
      <c r="AL731" s="407">
        <v>20.21505284541664</v>
      </c>
      <c r="AM731" s="407"/>
      <c r="AN731" s="407">
        <v>2.2666511732247892</v>
      </c>
      <c r="AO731" s="407">
        <v>0</v>
      </c>
      <c r="AP731" s="407">
        <v>0</v>
      </c>
      <c r="AQ731" s="407">
        <v>0</v>
      </c>
      <c r="AR731" s="407">
        <v>0</v>
      </c>
      <c r="AS731" s="407">
        <v>0</v>
      </c>
      <c r="AT731" s="407">
        <v>0</v>
      </c>
      <c r="AU731" s="407">
        <v>0</v>
      </c>
      <c r="AV731" s="407">
        <v>0</v>
      </c>
      <c r="AW731" s="407">
        <v>0</v>
      </c>
      <c r="AX731" s="407">
        <v>0</v>
      </c>
      <c r="AY731" s="407">
        <v>0</v>
      </c>
      <c r="AZ731" s="407">
        <v>0</v>
      </c>
      <c r="BA731" s="407"/>
      <c r="BB731" s="407">
        <v>0</v>
      </c>
      <c r="BC731" s="407">
        <v>0</v>
      </c>
      <c r="BD731" s="407">
        <v>0</v>
      </c>
      <c r="BE731" s="407">
        <v>0</v>
      </c>
      <c r="BF731" s="407">
        <v>0</v>
      </c>
      <c r="BG731" s="407">
        <v>10.955824771721984</v>
      </c>
      <c r="BH731" s="407">
        <v>0</v>
      </c>
      <c r="BI731" s="407">
        <v>0</v>
      </c>
      <c r="BJ731" s="407">
        <v>0</v>
      </c>
      <c r="BK731" s="407">
        <v>0</v>
      </c>
      <c r="BL731" s="407">
        <v>0</v>
      </c>
      <c r="BM731" s="407"/>
      <c r="BN731" s="407"/>
      <c r="BO731" s="407"/>
      <c r="BP731" s="407"/>
      <c r="BQ731" s="407"/>
      <c r="BR731" s="407">
        <v>159.73430360000054</v>
      </c>
      <c r="BS731" s="407"/>
      <c r="BT731" s="407"/>
      <c r="BU731" s="407"/>
      <c r="BV731" s="407">
        <v>336.53686775309512</v>
      </c>
      <c r="BW731" s="407"/>
      <c r="BX731" s="407"/>
      <c r="BY731" s="407"/>
      <c r="BZ731" s="407"/>
      <c r="CA731" s="407"/>
      <c r="CB731" s="407"/>
      <c r="CC731" s="407"/>
      <c r="CD731" s="407"/>
      <c r="CE731" s="407"/>
      <c r="CF731" s="407"/>
      <c r="CG731" s="407"/>
      <c r="CH731" s="407"/>
      <c r="CI731" s="407">
        <v>3840.1306999999993</v>
      </c>
      <c r="CJ731" s="407">
        <v>-2179.0054216000003</v>
      </c>
      <c r="CK731" s="407"/>
      <c r="CL731" s="407"/>
      <c r="CM731" s="407"/>
      <c r="CN731" s="407"/>
      <c r="CO731" s="407">
        <v>-2334.53379</v>
      </c>
      <c r="CP731" s="407">
        <v>57.989170000000001</v>
      </c>
      <c r="CQ731" s="407">
        <v>30</v>
      </c>
      <c r="CR731" s="407">
        <v>-6.8240122563204295</v>
      </c>
      <c r="CS731" s="407">
        <v>0</v>
      </c>
      <c r="CT731" s="407">
        <v>0</v>
      </c>
      <c r="CU731" s="407">
        <v>0</v>
      </c>
      <c r="CV731" s="407">
        <v>0</v>
      </c>
      <c r="CW731" s="407">
        <v>0</v>
      </c>
      <c r="CX731" s="407">
        <v>0</v>
      </c>
      <c r="CY731" s="407">
        <v>0</v>
      </c>
      <c r="CZ731" s="407">
        <v>58.217579967201118</v>
      </c>
      <c r="DA731" s="407">
        <v>0</v>
      </c>
      <c r="DB731" s="407">
        <v>0</v>
      </c>
      <c r="DC731" s="407">
        <v>64.553928557868574</v>
      </c>
      <c r="DD731" s="407">
        <v>0</v>
      </c>
      <c r="DE731" s="407">
        <v>0</v>
      </c>
      <c r="DF731" s="407">
        <v>0</v>
      </c>
      <c r="DG731" s="407">
        <v>2.1722441918915152</v>
      </c>
      <c r="DH731" s="407">
        <v>0</v>
      </c>
      <c r="DI731" s="407">
        <v>-7.9716662557217433</v>
      </c>
      <c r="DJ731" s="407"/>
      <c r="DK731" s="407">
        <v>0</v>
      </c>
      <c r="DL731" s="407">
        <v>0</v>
      </c>
      <c r="DM731" s="407">
        <v>0</v>
      </c>
      <c r="DN731" s="407">
        <v>0</v>
      </c>
      <c r="DO731" s="407">
        <v>-1.2333482085129361</v>
      </c>
      <c r="DP731" s="407">
        <v>-0.14442554060189838</v>
      </c>
      <c r="DQ731" s="407">
        <v>0</v>
      </c>
      <c r="DR731" s="407">
        <v>-122.41832496844515</v>
      </c>
      <c r="DS731" s="407"/>
      <c r="DT731" s="407"/>
      <c r="DU731" s="407"/>
      <c r="DV731" s="407">
        <v>4443.4204765359536</v>
      </c>
      <c r="DW731" s="407">
        <v>0</v>
      </c>
      <c r="DX731" s="407">
        <v>0</v>
      </c>
      <c r="DY731" s="407">
        <v>-2334.53379</v>
      </c>
      <c r="DZ731" s="407">
        <v>57.989170000000001</v>
      </c>
      <c r="EA731" s="407">
        <v>0</v>
      </c>
      <c r="EB731" s="407">
        <v>0</v>
      </c>
      <c r="EC731" s="407">
        <v>-2269.7094998067287</v>
      </c>
      <c r="ED731" s="407">
        <v>0</v>
      </c>
      <c r="EE731" s="407">
        <v>0</v>
      </c>
      <c r="EF731" s="407">
        <v>0</v>
      </c>
      <c r="EG731" s="407">
        <v>0</v>
      </c>
      <c r="EH731" s="407">
        <v>0</v>
      </c>
      <c r="EI731" s="407">
        <v>0</v>
      </c>
      <c r="EJ731" s="407">
        <v>0</v>
      </c>
      <c r="EK731" s="407">
        <v>0</v>
      </c>
      <c r="EL731" s="407">
        <v>0</v>
      </c>
      <c r="EM731" s="407">
        <v>0</v>
      </c>
      <c r="EN731" s="407">
        <v>0</v>
      </c>
      <c r="EO731" s="407">
        <v>0</v>
      </c>
      <c r="EP731" s="407">
        <v>53.911042580922931</v>
      </c>
      <c r="EQ731" s="407">
        <v>0</v>
      </c>
      <c r="ER731" s="407">
        <v>0</v>
      </c>
      <c r="ES731" s="407">
        <v>0</v>
      </c>
      <c r="ET731" s="407">
        <v>0</v>
      </c>
      <c r="EU731" s="407">
        <v>0</v>
      </c>
      <c r="EV731" s="407">
        <v>246</v>
      </c>
      <c r="EW731" s="407">
        <v>0</v>
      </c>
      <c r="EX731" s="407">
        <v>0</v>
      </c>
      <c r="EY731" s="407">
        <v>0</v>
      </c>
      <c r="EZ731" s="407"/>
      <c r="FA731" s="407">
        <v>0</v>
      </c>
      <c r="FB731" s="407"/>
      <c r="FC731" s="407"/>
      <c r="FD731" s="407"/>
      <c r="FE731" s="407"/>
      <c r="FF731" s="407">
        <v>0</v>
      </c>
      <c r="FG731" s="407">
        <v>0</v>
      </c>
      <c r="FH731" s="407">
        <v>0</v>
      </c>
      <c r="FI731" s="407">
        <v>0</v>
      </c>
    </row>
    <row r="732" spans="1:165">
      <c r="A732" s="407">
        <v>759</v>
      </c>
      <c r="B732" s="407" t="s">
        <v>1090</v>
      </c>
      <c r="C732" s="407" t="s">
        <v>2314</v>
      </c>
      <c r="D732" s="407" t="s">
        <v>650</v>
      </c>
      <c r="E732" s="407" t="s">
        <v>1026</v>
      </c>
      <c r="F732" s="407" t="s">
        <v>97</v>
      </c>
      <c r="G732" s="407" t="s">
        <v>97</v>
      </c>
      <c r="H732" s="407" t="s">
        <v>97</v>
      </c>
      <c r="I732" s="407" t="s">
        <v>2290</v>
      </c>
      <c r="J732" s="407" t="s">
        <v>2307</v>
      </c>
      <c r="K732" s="818">
        <v>44713</v>
      </c>
      <c r="L732" s="407">
        <v>0</v>
      </c>
      <c r="M732" s="407">
        <v>0</v>
      </c>
      <c r="N732" s="407">
        <v>815.87199999999996</v>
      </c>
      <c r="O732" s="407">
        <v>783.23712</v>
      </c>
      <c r="P732" s="407">
        <v>815.87199999999996</v>
      </c>
      <c r="Q732" s="407">
        <v>783.23712</v>
      </c>
      <c r="R732" s="407"/>
      <c r="S732" s="407">
        <v>95.29</v>
      </c>
      <c r="T732" s="407">
        <v>159.41</v>
      </c>
      <c r="U732" s="407"/>
      <c r="V732" s="407">
        <v>207802.59839999999</v>
      </c>
      <c r="W732" s="407">
        <v>207802.59839999999</v>
      </c>
      <c r="X732" s="407">
        <v>225923.11551999999</v>
      </c>
      <c r="Y732" s="407">
        <v>0</v>
      </c>
      <c r="Z732" s="407">
        <v>43987.019320144173</v>
      </c>
      <c r="AA732" s="407">
        <v>0</v>
      </c>
      <c r="AB732" s="407">
        <v>0</v>
      </c>
      <c r="AC732" s="407">
        <v>0</v>
      </c>
      <c r="AD732" s="407">
        <v>0</v>
      </c>
      <c r="AE732" s="407">
        <v>0</v>
      </c>
      <c r="AF732" s="407">
        <v>125832.52330615766</v>
      </c>
      <c r="AG732" s="407">
        <v>4227.6424826518614</v>
      </c>
      <c r="AH732" s="407">
        <v>0</v>
      </c>
      <c r="AI732" s="407">
        <v>0</v>
      </c>
      <c r="AJ732" s="407">
        <v>0</v>
      </c>
      <c r="AK732" s="407">
        <v>0</v>
      </c>
      <c r="AL732" s="407">
        <v>7812.8354311206831</v>
      </c>
      <c r="AM732" s="407"/>
      <c r="AN732" s="407">
        <v>876.02900331655837</v>
      </c>
      <c r="AO732" s="407">
        <v>0</v>
      </c>
      <c r="AP732" s="407">
        <v>0</v>
      </c>
      <c r="AQ732" s="407">
        <v>0</v>
      </c>
      <c r="AR732" s="407">
        <v>0</v>
      </c>
      <c r="AS732" s="407">
        <v>0</v>
      </c>
      <c r="AT732" s="407">
        <v>0</v>
      </c>
      <c r="AU732" s="407">
        <v>0</v>
      </c>
      <c r="AV732" s="407">
        <v>0</v>
      </c>
      <c r="AW732" s="407">
        <v>0</v>
      </c>
      <c r="AX732" s="407">
        <v>0</v>
      </c>
      <c r="AY732" s="407">
        <v>0</v>
      </c>
      <c r="AZ732" s="407">
        <v>0</v>
      </c>
      <c r="BA732" s="407"/>
      <c r="BB732" s="407">
        <v>0</v>
      </c>
      <c r="BC732" s="407">
        <v>0</v>
      </c>
      <c r="BD732" s="407">
        <v>0</v>
      </c>
      <c r="BE732" s="407">
        <v>0</v>
      </c>
      <c r="BF732" s="407">
        <v>0</v>
      </c>
      <c r="BG732" s="407">
        <v>4234.2731729769575</v>
      </c>
      <c r="BH732" s="407">
        <v>0</v>
      </c>
      <c r="BI732" s="407">
        <v>0</v>
      </c>
      <c r="BJ732" s="407">
        <v>0</v>
      </c>
      <c r="BK732" s="407">
        <v>0</v>
      </c>
      <c r="BL732" s="407">
        <v>0</v>
      </c>
      <c r="BM732" s="407"/>
      <c r="BN732" s="407"/>
      <c r="BO732" s="407"/>
      <c r="BP732" s="407"/>
      <c r="BQ732" s="407"/>
      <c r="BR732" s="407">
        <v>9036.9246207999859</v>
      </c>
      <c r="BS732" s="407"/>
      <c r="BT732" s="407"/>
      <c r="BU732" s="407"/>
      <c r="BV732" s="407">
        <v>130066.79647913462</v>
      </c>
      <c r="BW732" s="407"/>
      <c r="BX732" s="407"/>
      <c r="BY732" s="407"/>
      <c r="BZ732" s="407"/>
      <c r="CA732" s="407"/>
      <c r="CB732" s="407"/>
      <c r="CC732" s="407"/>
      <c r="CD732" s="407"/>
      <c r="CE732" s="407"/>
      <c r="CF732" s="407"/>
      <c r="CG732" s="407"/>
      <c r="CH732" s="407"/>
      <c r="CI732" s="407">
        <v>216886.98839999997</v>
      </c>
      <c r="CJ732" s="407">
        <v>17396.463935999956</v>
      </c>
      <c r="CK732" s="407"/>
      <c r="CL732" s="407"/>
      <c r="CM732" s="407"/>
      <c r="CN732" s="407"/>
      <c r="CO732" s="407">
        <v>-4291.4867200000035</v>
      </c>
      <c r="CP732" s="407">
        <v>22412.003839999998</v>
      </c>
      <c r="CQ732" s="407">
        <v>30</v>
      </c>
      <c r="CR732" s="407">
        <v>18117.938319601177</v>
      </c>
      <c r="CS732" s="407">
        <v>0</v>
      </c>
      <c r="CT732" s="407">
        <v>0</v>
      </c>
      <c r="CU732" s="407">
        <v>0</v>
      </c>
      <c r="CV732" s="407">
        <v>0</v>
      </c>
      <c r="CW732" s="407">
        <v>0</v>
      </c>
      <c r="CX732" s="407">
        <v>0</v>
      </c>
      <c r="CY732" s="407">
        <v>0</v>
      </c>
      <c r="CZ732" s="407">
        <v>0</v>
      </c>
      <c r="DA732" s="407">
        <v>0</v>
      </c>
      <c r="DB732" s="407">
        <v>0</v>
      </c>
      <c r="DC732" s="407">
        <v>24949.19128392484</v>
      </c>
      <c r="DD732" s="407">
        <v>0</v>
      </c>
      <c r="DE732" s="407">
        <v>0</v>
      </c>
      <c r="DF732" s="407">
        <v>0</v>
      </c>
      <c r="DG732" s="407">
        <v>839.54202431402791</v>
      </c>
      <c r="DH732" s="407">
        <v>0</v>
      </c>
      <c r="DI732" s="407">
        <v>-3080.9376084264441</v>
      </c>
      <c r="DJ732" s="407"/>
      <c r="DK732" s="407">
        <v>0</v>
      </c>
      <c r="DL732" s="407">
        <v>0</v>
      </c>
      <c r="DM732" s="407">
        <v>0</v>
      </c>
      <c r="DN732" s="407">
        <v>0</v>
      </c>
      <c r="DO732" s="407">
        <v>-476.67184726473988</v>
      </c>
      <c r="DP732" s="407">
        <v>-55.818453179512971</v>
      </c>
      <c r="DQ732" s="407">
        <v>0</v>
      </c>
      <c r="DR732" s="407">
        <v>-4057.3670797670238</v>
      </c>
      <c r="DS732" s="407"/>
      <c r="DT732" s="407"/>
      <c r="DU732" s="407"/>
      <c r="DV732" s="407">
        <v>0</v>
      </c>
      <c r="DW732" s="407">
        <v>0</v>
      </c>
      <c r="DX732" s="407">
        <v>0</v>
      </c>
      <c r="DY732" s="407">
        <v>-4291.4867200000008</v>
      </c>
      <c r="DZ732" s="407">
        <v>22412.003840000005</v>
      </c>
      <c r="EA732" s="407">
        <v>0</v>
      </c>
      <c r="EB732" s="407">
        <v>0</v>
      </c>
      <c r="EC732" s="407">
        <v>0</v>
      </c>
      <c r="ED732" s="407">
        <v>0</v>
      </c>
      <c r="EE732" s="407">
        <v>0</v>
      </c>
      <c r="EF732" s="407">
        <v>0</v>
      </c>
      <c r="EG732" s="407">
        <v>0</v>
      </c>
      <c r="EH732" s="407">
        <v>0</v>
      </c>
      <c r="EI732" s="407">
        <v>0</v>
      </c>
      <c r="EJ732" s="407">
        <v>0</v>
      </c>
      <c r="EK732" s="407">
        <v>0</v>
      </c>
      <c r="EL732" s="407">
        <v>0</v>
      </c>
      <c r="EM732" s="407">
        <v>0</v>
      </c>
      <c r="EN732" s="407">
        <v>0</v>
      </c>
      <c r="EO732" s="407">
        <v>0</v>
      </c>
      <c r="EP732" s="407">
        <v>20835.864581990878</v>
      </c>
      <c r="EQ732" s="407">
        <v>0</v>
      </c>
      <c r="ER732" s="407">
        <v>0</v>
      </c>
      <c r="ES732" s="407">
        <v>0</v>
      </c>
      <c r="ET732" s="407">
        <v>0</v>
      </c>
      <c r="EU732" s="407">
        <v>0</v>
      </c>
      <c r="EV732" s="407">
        <v>246</v>
      </c>
      <c r="EW732" s="407">
        <v>0</v>
      </c>
      <c r="EX732" s="407">
        <v>0</v>
      </c>
      <c r="EY732" s="407">
        <v>0</v>
      </c>
      <c r="EZ732" s="407"/>
      <c r="FA732" s="407">
        <v>0</v>
      </c>
      <c r="FB732" s="407"/>
      <c r="FC732" s="407"/>
      <c r="FD732" s="407"/>
      <c r="FE732" s="407"/>
      <c r="FF732" s="407">
        <v>0</v>
      </c>
      <c r="FG732" s="407">
        <v>0</v>
      </c>
      <c r="FH732" s="407">
        <v>0</v>
      </c>
      <c r="FI732" s="407">
        <v>0</v>
      </c>
    </row>
    <row r="733" spans="1:165">
      <c r="A733" s="407">
        <v>760</v>
      </c>
      <c r="B733" s="407" t="s">
        <v>2309</v>
      </c>
      <c r="C733" s="407" t="s">
        <v>2314</v>
      </c>
      <c r="D733" s="407" t="s">
        <v>650</v>
      </c>
      <c r="E733" s="407" t="s">
        <v>1026</v>
      </c>
      <c r="F733" s="407" t="s">
        <v>97</v>
      </c>
      <c r="G733" s="407" t="s">
        <v>97</v>
      </c>
      <c r="H733" s="407" t="s">
        <v>97</v>
      </c>
      <c r="I733" s="407" t="s">
        <v>2290</v>
      </c>
      <c r="J733" s="407" t="s">
        <v>2307</v>
      </c>
      <c r="K733" s="818">
        <v>44713</v>
      </c>
      <c r="L733" s="407">
        <v>0</v>
      </c>
      <c r="M733" s="407">
        <v>0</v>
      </c>
      <c r="N733" s="407">
        <v>29.731999999999999</v>
      </c>
      <c r="O733" s="407">
        <v>28.542719999999999</v>
      </c>
      <c r="P733" s="407">
        <v>29.731999999999999</v>
      </c>
      <c r="Q733" s="407">
        <v>28.542719999999999</v>
      </c>
      <c r="R733" s="407"/>
      <c r="S733" s="407">
        <v>95.29</v>
      </c>
      <c r="T733" s="407">
        <v>159.41</v>
      </c>
      <c r="U733" s="407"/>
      <c r="V733" s="407">
        <v>7572.7404000000006</v>
      </c>
      <c r="W733" s="407">
        <v>7572.7404000000006</v>
      </c>
      <c r="X733" s="407">
        <v>8233.0881200000003</v>
      </c>
      <c r="Y733" s="407">
        <v>0</v>
      </c>
      <c r="Z733" s="407">
        <v>1602.9745578062816</v>
      </c>
      <c r="AA733" s="407">
        <v>0</v>
      </c>
      <c r="AB733" s="407">
        <v>0</v>
      </c>
      <c r="AC733" s="407">
        <v>0</v>
      </c>
      <c r="AD733" s="407">
        <v>0</v>
      </c>
      <c r="AE733" s="407">
        <v>0</v>
      </c>
      <c r="AF733" s="407">
        <v>4585.5876693141563</v>
      </c>
      <c r="AG733" s="407">
        <v>154.06370888350764</v>
      </c>
      <c r="AH733" s="407">
        <v>0</v>
      </c>
      <c r="AI733" s="407">
        <v>0</v>
      </c>
      <c r="AJ733" s="407">
        <v>0</v>
      </c>
      <c r="AK733" s="407">
        <v>0</v>
      </c>
      <c r="AL733" s="407">
        <v>284.71527768826502</v>
      </c>
      <c r="AM733" s="407"/>
      <c r="AN733" s="407">
        <v>31.92424096746538</v>
      </c>
      <c r="AO733" s="407">
        <v>0</v>
      </c>
      <c r="AP733" s="407">
        <v>0</v>
      </c>
      <c r="AQ733" s="407">
        <v>0</v>
      </c>
      <c r="AR733" s="407">
        <v>0</v>
      </c>
      <c r="AS733" s="407">
        <v>0</v>
      </c>
      <c r="AT733" s="407">
        <v>0</v>
      </c>
      <c r="AU733" s="407">
        <v>0</v>
      </c>
      <c r="AV733" s="407">
        <v>0</v>
      </c>
      <c r="AW733" s="407">
        <v>0</v>
      </c>
      <c r="AX733" s="407">
        <v>0</v>
      </c>
      <c r="AY733" s="407">
        <v>0</v>
      </c>
      <c r="AZ733" s="407">
        <v>0</v>
      </c>
      <c r="BA733" s="407"/>
      <c r="BB733" s="407">
        <v>0</v>
      </c>
      <c r="BC733" s="407">
        <v>0</v>
      </c>
      <c r="BD733" s="407">
        <v>0</v>
      </c>
      <c r="BE733" s="407">
        <v>0</v>
      </c>
      <c r="BF733" s="407">
        <v>0</v>
      </c>
      <c r="BG733" s="407">
        <v>154.30534443999903</v>
      </c>
      <c r="BH733" s="407">
        <v>0</v>
      </c>
      <c r="BI733" s="407">
        <v>0</v>
      </c>
      <c r="BJ733" s="407">
        <v>0</v>
      </c>
      <c r="BK733" s="407">
        <v>0</v>
      </c>
      <c r="BL733" s="407">
        <v>0</v>
      </c>
      <c r="BM733" s="407"/>
      <c r="BN733" s="407"/>
      <c r="BO733" s="407"/>
      <c r="BP733" s="407"/>
      <c r="BQ733" s="407"/>
      <c r="BR733" s="407">
        <v>329.32352480000003</v>
      </c>
      <c r="BS733" s="407"/>
      <c r="BT733" s="407"/>
      <c r="BU733" s="407"/>
      <c r="BV733" s="407">
        <v>4739.8930137541556</v>
      </c>
      <c r="BW733" s="407"/>
      <c r="BX733" s="407"/>
      <c r="BY733" s="407"/>
      <c r="BZ733" s="407"/>
      <c r="CA733" s="407"/>
      <c r="CB733" s="407"/>
      <c r="CC733" s="407"/>
      <c r="CD733" s="407"/>
      <c r="CE733" s="407"/>
      <c r="CF733" s="407"/>
      <c r="CG733" s="407"/>
      <c r="CH733" s="407"/>
      <c r="CI733" s="407">
        <v>7903.0113999999994</v>
      </c>
      <c r="CJ733" s="407">
        <v>633.15061599999899</v>
      </c>
      <c r="CK733" s="407"/>
      <c r="CL733" s="407"/>
      <c r="CM733" s="407"/>
      <c r="CN733" s="407"/>
      <c r="CO733" s="407">
        <v>-156.39032000000014</v>
      </c>
      <c r="CP733" s="407">
        <v>816.73803999999996</v>
      </c>
      <c r="CQ733" s="407">
        <v>30</v>
      </c>
      <c r="CR733" s="407">
        <v>660.25374337933135</v>
      </c>
      <c r="CS733" s="407">
        <v>0</v>
      </c>
      <c r="CT733" s="407">
        <v>0</v>
      </c>
      <c r="CU733" s="407">
        <v>0</v>
      </c>
      <c r="CV733" s="407">
        <v>0</v>
      </c>
      <c r="CW733" s="407">
        <v>0</v>
      </c>
      <c r="CX733" s="407">
        <v>0</v>
      </c>
      <c r="CY733" s="407">
        <v>0</v>
      </c>
      <c r="CZ733" s="407">
        <v>0</v>
      </c>
      <c r="DA733" s="407">
        <v>0</v>
      </c>
      <c r="DB733" s="407">
        <v>0</v>
      </c>
      <c r="DC733" s="407">
        <v>909.19820174445704</v>
      </c>
      <c r="DD733" s="407">
        <v>0</v>
      </c>
      <c r="DE733" s="407">
        <v>0</v>
      </c>
      <c r="DF733" s="407">
        <v>0</v>
      </c>
      <c r="DG733" s="407">
        <v>30.594582810667248</v>
      </c>
      <c r="DH733" s="407">
        <v>0</v>
      </c>
      <c r="DI733" s="407">
        <v>-112.27550029138752</v>
      </c>
      <c r="DJ733" s="407"/>
      <c r="DK733" s="407">
        <v>0</v>
      </c>
      <c r="DL733" s="407">
        <v>0</v>
      </c>
      <c r="DM733" s="407">
        <v>0</v>
      </c>
      <c r="DN733" s="407">
        <v>0</v>
      </c>
      <c r="DO733" s="407">
        <v>-17.370871120562128</v>
      </c>
      <c r="DP733" s="407">
        <v>-2.0341355628496629</v>
      </c>
      <c r="DQ733" s="407">
        <v>0</v>
      </c>
      <c r="DR733" s="407">
        <v>-147.85853420099374</v>
      </c>
      <c r="DS733" s="407"/>
      <c r="DT733" s="407"/>
      <c r="DU733" s="407"/>
      <c r="DV733" s="407">
        <v>0</v>
      </c>
      <c r="DW733" s="407">
        <v>0</v>
      </c>
      <c r="DX733" s="407">
        <v>0</v>
      </c>
      <c r="DY733" s="407">
        <v>-156.39031999999997</v>
      </c>
      <c r="DZ733" s="407">
        <v>816.73803999999927</v>
      </c>
      <c r="EA733" s="407">
        <v>0</v>
      </c>
      <c r="EB733" s="407">
        <v>0</v>
      </c>
      <c r="EC733" s="407">
        <v>0</v>
      </c>
      <c r="ED733" s="407">
        <v>0</v>
      </c>
      <c r="EE733" s="407">
        <v>0</v>
      </c>
      <c r="EF733" s="407">
        <v>0</v>
      </c>
      <c r="EG733" s="407">
        <v>0</v>
      </c>
      <c r="EH733" s="407">
        <v>0</v>
      </c>
      <c r="EI733" s="407">
        <v>0</v>
      </c>
      <c r="EJ733" s="407">
        <v>0</v>
      </c>
      <c r="EK733" s="407">
        <v>0</v>
      </c>
      <c r="EL733" s="407">
        <v>0</v>
      </c>
      <c r="EM733" s="407">
        <v>0</v>
      </c>
      <c r="EN733" s="407">
        <v>0</v>
      </c>
      <c r="EO733" s="407">
        <v>0</v>
      </c>
      <c r="EP733" s="407">
        <v>759.30038750165818</v>
      </c>
      <c r="EQ733" s="407">
        <v>0</v>
      </c>
      <c r="ER733" s="407">
        <v>0</v>
      </c>
      <c r="ES733" s="407">
        <v>0</v>
      </c>
      <c r="ET733" s="407">
        <v>0</v>
      </c>
      <c r="EU733" s="407">
        <v>0</v>
      </c>
      <c r="EV733" s="407">
        <v>246</v>
      </c>
      <c r="EW733" s="407">
        <v>0</v>
      </c>
      <c r="EX733" s="407">
        <v>0</v>
      </c>
      <c r="EY733" s="407">
        <v>0</v>
      </c>
      <c r="EZ733" s="407"/>
      <c r="FA733" s="407">
        <v>0</v>
      </c>
      <c r="FB733" s="407"/>
      <c r="FC733" s="407"/>
      <c r="FD733" s="407"/>
      <c r="FE733" s="407"/>
      <c r="FF733" s="407">
        <v>0</v>
      </c>
      <c r="FG733" s="407">
        <v>0</v>
      </c>
      <c r="FH733" s="407">
        <v>0</v>
      </c>
      <c r="FI733" s="407">
        <v>0</v>
      </c>
    </row>
    <row r="734" spans="1:165">
      <c r="A734" s="407">
        <v>761</v>
      </c>
      <c r="B734" s="407" t="s">
        <v>1090</v>
      </c>
      <c r="C734" s="407" t="s">
        <v>2314</v>
      </c>
      <c r="D734" s="407" t="s">
        <v>650</v>
      </c>
      <c r="E734" s="407" t="s">
        <v>1026</v>
      </c>
      <c r="F734" s="407" t="s">
        <v>97</v>
      </c>
      <c r="G734" s="407" t="s">
        <v>97</v>
      </c>
      <c r="H734" s="407" t="s">
        <v>97</v>
      </c>
      <c r="I734" s="407" t="s">
        <v>97</v>
      </c>
      <c r="J734" s="407" t="s">
        <v>2307</v>
      </c>
      <c r="K734" s="818">
        <v>44713</v>
      </c>
      <c r="L734" s="407">
        <v>3578</v>
      </c>
      <c r="M734" s="407">
        <v>3434.88</v>
      </c>
      <c r="N734" s="407">
        <v>0</v>
      </c>
      <c r="O734" s="407">
        <v>0</v>
      </c>
      <c r="P734" s="407">
        <v>0</v>
      </c>
      <c r="Q734" s="407">
        <v>0</v>
      </c>
      <c r="R734" s="407">
        <v>43.29</v>
      </c>
      <c r="S734" s="407"/>
      <c r="T734" s="407"/>
      <c r="U734" s="407">
        <v>154891.62</v>
      </c>
      <c r="V734" s="407"/>
      <c r="W734" s="407">
        <v>154891.62</v>
      </c>
      <c r="X734" s="407">
        <v>119827.22</v>
      </c>
      <c r="Y734" s="407">
        <v>0</v>
      </c>
      <c r="Z734" s="407">
        <v>0</v>
      </c>
      <c r="AA734" s="407">
        <v>0</v>
      </c>
      <c r="AB734" s="407">
        <v>0</v>
      </c>
      <c r="AC734" s="407">
        <v>0</v>
      </c>
      <c r="AD734" s="407">
        <v>84669.746052891162</v>
      </c>
      <c r="AE734" s="407">
        <v>70233.23145944158</v>
      </c>
      <c r="AF734" s="407"/>
      <c r="AG734" s="407"/>
      <c r="AH734" s="407"/>
      <c r="AI734" s="407">
        <v>0</v>
      </c>
      <c r="AJ734" s="407">
        <v>0</v>
      </c>
      <c r="AK734" s="407">
        <v>0</v>
      </c>
      <c r="AL734" s="407">
        <v>0</v>
      </c>
      <c r="AM734" s="407"/>
      <c r="AN734" s="407">
        <v>0</v>
      </c>
      <c r="AO734" s="407">
        <v>0</v>
      </c>
      <c r="AP734" s="407">
        <v>0</v>
      </c>
      <c r="AQ734" s="407">
        <v>0</v>
      </c>
      <c r="AR734" s="407">
        <v>0</v>
      </c>
      <c r="AS734" s="407"/>
      <c r="AT734" s="407"/>
      <c r="AU734" s="407">
        <v>0</v>
      </c>
      <c r="AV734" s="407">
        <v>0</v>
      </c>
      <c r="AW734" s="407">
        <v>0</v>
      </c>
      <c r="AX734" s="407"/>
      <c r="AY734" s="407"/>
      <c r="AZ734" s="407">
        <v>0</v>
      </c>
      <c r="BA734" s="407"/>
      <c r="BB734" s="407">
        <v>0</v>
      </c>
      <c r="BC734" s="407">
        <v>0</v>
      </c>
      <c r="BD734" s="407">
        <v>0</v>
      </c>
      <c r="BE734" s="407">
        <v>0</v>
      </c>
      <c r="BF734" s="407"/>
      <c r="BG734" s="407">
        <v>0</v>
      </c>
      <c r="BH734" s="407">
        <v>0</v>
      </c>
      <c r="BI734" s="407">
        <v>1017.59</v>
      </c>
      <c r="BJ734" s="407">
        <v>4680.88</v>
      </c>
      <c r="BK734" s="407">
        <v>108.84</v>
      </c>
      <c r="BL734" s="407">
        <v>22</v>
      </c>
      <c r="BM734" s="407"/>
      <c r="BN734" s="407"/>
      <c r="BO734" s="407"/>
      <c r="BP734" s="407"/>
      <c r="BQ734" s="407"/>
      <c r="BR734" s="407">
        <v>4793.0887999999968</v>
      </c>
      <c r="BS734" s="407"/>
      <c r="BT734" s="407"/>
      <c r="BU734" s="407"/>
      <c r="BV734" s="407">
        <v>0</v>
      </c>
      <c r="BW734" s="407"/>
      <c r="BX734" s="407"/>
      <c r="BY734" s="407"/>
      <c r="BZ734" s="407"/>
      <c r="CA734" s="407"/>
      <c r="CB734" s="407"/>
      <c r="CC734" s="407"/>
      <c r="CD734" s="407"/>
      <c r="CE734" s="407"/>
      <c r="CF734" s="407"/>
      <c r="CG734" s="407"/>
      <c r="CH734" s="407"/>
      <c r="CI734" s="407">
        <v>115034.1312</v>
      </c>
      <c r="CJ734" s="407">
        <v>-33661.854000000021</v>
      </c>
      <c r="CK734" s="407"/>
      <c r="CL734" s="407"/>
      <c r="CM734" s="407"/>
      <c r="CN734" s="407"/>
      <c r="CO734" s="407">
        <v>-35064.399999999987</v>
      </c>
      <c r="CP734" s="407">
        <v>0</v>
      </c>
      <c r="CQ734" s="407">
        <v>30</v>
      </c>
      <c r="CR734" s="407">
        <v>800.25599957806116</v>
      </c>
      <c r="CS734" s="407">
        <v>0</v>
      </c>
      <c r="CT734" s="407">
        <v>0</v>
      </c>
      <c r="CU734" s="407">
        <v>0</v>
      </c>
      <c r="CV734" s="407">
        <v>0</v>
      </c>
      <c r="CW734" s="407"/>
      <c r="CX734" s="407"/>
      <c r="CY734" s="407"/>
      <c r="CZ734" s="407">
        <v>3824.7003132310492</v>
      </c>
      <c r="DA734" s="407">
        <v>0</v>
      </c>
      <c r="DB734" s="407">
        <v>0</v>
      </c>
      <c r="DC734" s="407"/>
      <c r="DD734" s="407"/>
      <c r="DE734" s="407">
        <v>0</v>
      </c>
      <c r="DF734" s="407">
        <v>0</v>
      </c>
      <c r="DG734" s="407">
        <v>0</v>
      </c>
      <c r="DH734" s="407">
        <v>0</v>
      </c>
      <c r="DI734" s="407">
        <v>0</v>
      </c>
      <c r="DJ734" s="407"/>
      <c r="DK734" s="407">
        <v>0</v>
      </c>
      <c r="DL734" s="407">
        <v>0</v>
      </c>
      <c r="DM734" s="407"/>
      <c r="DN734" s="407">
        <v>0</v>
      </c>
      <c r="DO734" s="407">
        <v>0</v>
      </c>
      <c r="DP734" s="407">
        <v>0</v>
      </c>
      <c r="DQ734" s="407">
        <v>0</v>
      </c>
      <c r="DR734" s="407">
        <v>-3024.4443136529876</v>
      </c>
      <c r="DS734" s="407"/>
      <c r="DT734" s="407"/>
      <c r="DU734" s="407">
        <v>70233.23145944158</v>
      </c>
      <c r="DV734" s="407"/>
      <c r="DW734" s="407">
        <v>0</v>
      </c>
      <c r="DX734" s="407">
        <v>0</v>
      </c>
      <c r="DY734" s="407">
        <v>-35064.399999999994</v>
      </c>
      <c r="DZ734" s="407"/>
      <c r="EA734" s="407">
        <v>0</v>
      </c>
      <c r="EB734" s="407"/>
      <c r="EC734" s="407">
        <v>-35875.297754826512</v>
      </c>
      <c r="ED734" s="407"/>
      <c r="EE734" s="407">
        <v>0</v>
      </c>
      <c r="EF734" s="407">
        <v>0</v>
      </c>
      <c r="EG734" s="407"/>
      <c r="EH734" s="407">
        <v>0</v>
      </c>
      <c r="EI734" s="407">
        <v>0</v>
      </c>
      <c r="EJ734" s="407">
        <v>0</v>
      </c>
      <c r="EK734" s="407">
        <v>0</v>
      </c>
      <c r="EL734" s="407">
        <v>0</v>
      </c>
      <c r="EM734" s="407"/>
      <c r="EN734" s="407"/>
      <c r="EO734" s="407">
        <v>0</v>
      </c>
      <c r="EP734" s="407">
        <v>0</v>
      </c>
      <c r="EQ734" s="407"/>
      <c r="ER734" s="407">
        <v>0</v>
      </c>
      <c r="ES734" s="407"/>
      <c r="ET734" s="407">
        <v>0</v>
      </c>
      <c r="EU734" s="407"/>
      <c r="EV734" s="407">
        <v>246</v>
      </c>
      <c r="EW734" s="407"/>
      <c r="EX734" s="407"/>
      <c r="EY734" s="407"/>
      <c r="EZ734" s="407"/>
      <c r="FA734" s="407">
        <v>0</v>
      </c>
      <c r="FB734" s="407"/>
      <c r="FC734" s="407"/>
      <c r="FD734" s="407"/>
      <c r="FE734" s="407"/>
      <c r="FF734" s="407">
        <v>0</v>
      </c>
      <c r="FG734" s="407">
        <v>0</v>
      </c>
      <c r="FH734" s="407">
        <v>0</v>
      </c>
      <c r="FI734" s="407">
        <v>0</v>
      </c>
    </row>
    <row r="735" spans="1:165">
      <c r="A735" s="407">
        <v>762</v>
      </c>
      <c r="B735" s="407" t="s">
        <v>2309</v>
      </c>
      <c r="C735" s="407" t="s">
        <v>2314</v>
      </c>
      <c r="D735" s="407" t="s">
        <v>650</v>
      </c>
      <c r="E735" s="407" t="s">
        <v>1026</v>
      </c>
      <c r="F735" s="407" t="s">
        <v>97</v>
      </c>
      <c r="G735" s="407" t="s">
        <v>97</v>
      </c>
      <c r="H735" s="407" t="s">
        <v>97</v>
      </c>
      <c r="I735" s="407" t="s">
        <v>97</v>
      </c>
      <c r="J735" s="407" t="s">
        <v>2307</v>
      </c>
      <c r="K735" s="818">
        <v>44713</v>
      </c>
      <c r="L735" s="407">
        <v>364</v>
      </c>
      <c r="M735" s="407">
        <v>349.44</v>
      </c>
      <c r="N735" s="407">
        <v>0</v>
      </c>
      <c r="O735" s="407">
        <v>0</v>
      </c>
      <c r="P735" s="407">
        <v>0</v>
      </c>
      <c r="Q735" s="407">
        <v>0</v>
      </c>
      <c r="R735" s="407">
        <v>43.29</v>
      </c>
      <c r="S735" s="407"/>
      <c r="T735" s="407"/>
      <c r="U735" s="407">
        <v>15757.56</v>
      </c>
      <c r="V735" s="407"/>
      <c r="W735" s="407">
        <v>15757.56</v>
      </c>
      <c r="X735" s="407">
        <v>12190.36</v>
      </c>
      <c r="Y735" s="407">
        <v>0</v>
      </c>
      <c r="Z735" s="407">
        <v>0</v>
      </c>
      <c r="AA735" s="407">
        <v>0</v>
      </c>
      <c r="AB735" s="407">
        <v>0</v>
      </c>
      <c r="AC735" s="407">
        <v>0</v>
      </c>
      <c r="AD735" s="407">
        <v>8613.6913256714324</v>
      </c>
      <c r="AE735" s="407">
        <v>7145.0241059912623</v>
      </c>
      <c r="AF735" s="407"/>
      <c r="AG735" s="407"/>
      <c r="AH735" s="407"/>
      <c r="AI735" s="407">
        <v>0</v>
      </c>
      <c r="AJ735" s="407">
        <v>0</v>
      </c>
      <c r="AK735" s="407">
        <v>0</v>
      </c>
      <c r="AL735" s="407">
        <v>0</v>
      </c>
      <c r="AM735" s="407"/>
      <c r="AN735" s="407">
        <v>0</v>
      </c>
      <c r="AO735" s="407">
        <v>0</v>
      </c>
      <c r="AP735" s="407">
        <v>0</v>
      </c>
      <c r="AQ735" s="407">
        <v>0</v>
      </c>
      <c r="AR735" s="407">
        <v>0</v>
      </c>
      <c r="AS735" s="407"/>
      <c r="AT735" s="407"/>
      <c r="AU735" s="407">
        <v>0</v>
      </c>
      <c r="AV735" s="407">
        <v>0</v>
      </c>
      <c r="AW735" s="407">
        <v>0</v>
      </c>
      <c r="AX735" s="407"/>
      <c r="AY735" s="407"/>
      <c r="AZ735" s="407">
        <v>0</v>
      </c>
      <c r="BA735" s="407"/>
      <c r="BB735" s="407">
        <v>0</v>
      </c>
      <c r="BC735" s="407">
        <v>0</v>
      </c>
      <c r="BD735" s="407">
        <v>0</v>
      </c>
      <c r="BE735" s="407">
        <v>0</v>
      </c>
      <c r="BF735" s="407"/>
      <c r="BG735" s="407">
        <v>0</v>
      </c>
      <c r="BH735" s="407">
        <v>0</v>
      </c>
      <c r="BI735" s="407">
        <v>59.86</v>
      </c>
      <c r="BJ735" s="407">
        <v>275.39</v>
      </c>
      <c r="BK735" s="407">
        <v>16.239999999999998</v>
      </c>
      <c r="BL735" s="407">
        <v>3</v>
      </c>
      <c r="BM735" s="407"/>
      <c r="BN735" s="407"/>
      <c r="BO735" s="407"/>
      <c r="BP735" s="407"/>
      <c r="BQ735" s="407"/>
      <c r="BR735" s="407">
        <v>487.6144000000001</v>
      </c>
      <c r="BS735" s="407"/>
      <c r="BT735" s="407"/>
      <c r="BU735" s="407"/>
      <c r="BV735" s="407">
        <v>0</v>
      </c>
      <c r="BW735" s="407"/>
      <c r="BX735" s="407"/>
      <c r="BY735" s="407"/>
      <c r="BZ735" s="407"/>
      <c r="CA735" s="407"/>
      <c r="CB735" s="407"/>
      <c r="CC735" s="407"/>
      <c r="CD735" s="407"/>
      <c r="CE735" s="407"/>
      <c r="CF735" s="407"/>
      <c r="CG735" s="407"/>
      <c r="CH735" s="407"/>
      <c r="CI735" s="407">
        <v>11702.7456</v>
      </c>
      <c r="CJ735" s="407">
        <v>-3424.5419999999995</v>
      </c>
      <c r="CK735" s="407"/>
      <c r="CL735" s="407"/>
      <c r="CM735" s="407"/>
      <c r="CN735" s="407"/>
      <c r="CO735" s="407">
        <v>-3567.1999999999989</v>
      </c>
      <c r="CP735" s="407">
        <v>0</v>
      </c>
      <c r="CQ735" s="407">
        <v>30</v>
      </c>
      <c r="CR735" s="407">
        <v>81.412292858136425</v>
      </c>
      <c r="CS735" s="407">
        <v>0</v>
      </c>
      <c r="CT735" s="407">
        <v>0</v>
      </c>
      <c r="CU735" s="407">
        <v>0</v>
      </c>
      <c r="CV735" s="407">
        <v>0</v>
      </c>
      <c r="CW735" s="407"/>
      <c r="CX735" s="407"/>
      <c r="CY735" s="407"/>
      <c r="CZ735" s="407">
        <v>389.09751649415921</v>
      </c>
      <c r="DA735" s="407">
        <v>0</v>
      </c>
      <c r="DB735" s="407">
        <v>0</v>
      </c>
      <c r="DC735" s="407"/>
      <c r="DD735" s="407"/>
      <c r="DE735" s="407">
        <v>0</v>
      </c>
      <c r="DF735" s="407">
        <v>0</v>
      </c>
      <c r="DG735" s="407">
        <v>0</v>
      </c>
      <c r="DH735" s="407">
        <v>0</v>
      </c>
      <c r="DI735" s="407">
        <v>0</v>
      </c>
      <c r="DJ735" s="407"/>
      <c r="DK735" s="407">
        <v>0</v>
      </c>
      <c r="DL735" s="407">
        <v>0</v>
      </c>
      <c r="DM735" s="407"/>
      <c r="DN735" s="407">
        <v>0</v>
      </c>
      <c r="DO735" s="407">
        <v>0</v>
      </c>
      <c r="DP735" s="407">
        <v>0</v>
      </c>
      <c r="DQ735" s="407">
        <v>0</v>
      </c>
      <c r="DR735" s="407">
        <v>-307.68522363602222</v>
      </c>
      <c r="DS735" s="407"/>
      <c r="DT735" s="407"/>
      <c r="DU735" s="407">
        <v>7145.0241059912623</v>
      </c>
      <c r="DV735" s="407"/>
      <c r="DW735" s="407">
        <v>0</v>
      </c>
      <c r="DX735" s="407">
        <v>0</v>
      </c>
      <c r="DY735" s="407">
        <v>-3567.1999999999989</v>
      </c>
      <c r="DZ735" s="407"/>
      <c r="EA735" s="407">
        <v>0</v>
      </c>
      <c r="EB735" s="407"/>
      <c r="EC735" s="407">
        <v>-3649.6949085402043</v>
      </c>
      <c r="ED735" s="407"/>
      <c r="EE735" s="407">
        <v>0</v>
      </c>
      <c r="EF735" s="407">
        <v>0</v>
      </c>
      <c r="EG735" s="407"/>
      <c r="EH735" s="407">
        <v>0</v>
      </c>
      <c r="EI735" s="407">
        <v>0</v>
      </c>
      <c r="EJ735" s="407">
        <v>0</v>
      </c>
      <c r="EK735" s="407">
        <v>0</v>
      </c>
      <c r="EL735" s="407">
        <v>0</v>
      </c>
      <c r="EM735" s="407"/>
      <c r="EN735" s="407"/>
      <c r="EO735" s="407">
        <v>0</v>
      </c>
      <c r="EP735" s="407">
        <v>0</v>
      </c>
      <c r="EQ735" s="407"/>
      <c r="ER735" s="407">
        <v>0</v>
      </c>
      <c r="ES735" s="407"/>
      <c r="ET735" s="407">
        <v>0</v>
      </c>
      <c r="EU735" s="407"/>
      <c r="EV735" s="407">
        <v>246</v>
      </c>
      <c r="EW735" s="407"/>
      <c r="EX735" s="407"/>
      <c r="EY735" s="407"/>
      <c r="EZ735" s="407"/>
      <c r="FA735" s="407">
        <v>0</v>
      </c>
      <c r="FB735" s="407"/>
      <c r="FC735" s="407"/>
      <c r="FD735" s="407"/>
      <c r="FE735" s="407"/>
      <c r="FF735" s="407">
        <v>0</v>
      </c>
      <c r="FG735" s="407">
        <v>0</v>
      </c>
      <c r="FH735" s="407">
        <v>0</v>
      </c>
      <c r="FI735" s="407">
        <v>0</v>
      </c>
    </row>
    <row r="736" spans="1:165">
      <c r="A736" s="407">
        <v>763</v>
      </c>
      <c r="B736" s="407" t="s">
        <v>1090</v>
      </c>
      <c r="C736" s="407" t="s">
        <v>2306</v>
      </c>
      <c r="D736" s="407" t="s">
        <v>1219</v>
      </c>
      <c r="E736" s="407" t="s">
        <v>2316</v>
      </c>
      <c r="F736" s="407" t="s">
        <v>97</v>
      </c>
      <c r="G736" s="407" t="s">
        <v>97</v>
      </c>
      <c r="H736" s="407" t="s">
        <v>97</v>
      </c>
      <c r="I736" s="407" t="s">
        <v>97</v>
      </c>
      <c r="J736" s="407" t="s">
        <v>2307</v>
      </c>
      <c r="K736" s="818">
        <v>44713</v>
      </c>
      <c r="L736" s="407">
        <v>0</v>
      </c>
      <c r="M736" s="407">
        <v>0</v>
      </c>
      <c r="N736" s="407">
        <v>289.82100000000003</v>
      </c>
      <c r="O736" s="407">
        <v>289.82100000000003</v>
      </c>
      <c r="P736" s="407">
        <v>289.82100000000003</v>
      </c>
      <c r="Q736" s="407">
        <v>289.82100000000003</v>
      </c>
      <c r="R736" s="407"/>
      <c r="S736" s="407">
        <v>648.44000000000005</v>
      </c>
      <c r="T736" s="407">
        <v>159.41</v>
      </c>
      <c r="U736" s="407"/>
      <c r="V736" s="407">
        <v>234131.89485000004</v>
      </c>
      <c r="W736" s="407">
        <v>234131.89485000004</v>
      </c>
      <c r="X736" s="407">
        <v>177318.28422</v>
      </c>
      <c r="Y736" s="407">
        <v>0</v>
      </c>
      <c r="Z736" s="407">
        <v>17960.280007839174</v>
      </c>
      <c r="AA736" s="407">
        <v>0</v>
      </c>
      <c r="AB736" s="407">
        <v>0</v>
      </c>
      <c r="AC736" s="407">
        <v>0</v>
      </c>
      <c r="AD736" s="407">
        <v>33806.004249163707</v>
      </c>
      <c r="AE736" s="407">
        <v>121013.59659590146</v>
      </c>
      <c r="AF736" s="407">
        <v>44699.300548509964</v>
      </c>
      <c r="AG736" s="407">
        <v>1501.7791662964844</v>
      </c>
      <c r="AH736" s="407">
        <v>0</v>
      </c>
      <c r="AI736" s="407">
        <v>0</v>
      </c>
      <c r="AJ736" s="407">
        <v>0</v>
      </c>
      <c r="AK736" s="407">
        <v>0</v>
      </c>
      <c r="AL736" s="407">
        <v>2775.3419378074354</v>
      </c>
      <c r="AM736" s="407"/>
      <c r="AN736" s="407">
        <v>601.40629361907872</v>
      </c>
      <c r="AO736" s="407">
        <v>0</v>
      </c>
      <c r="AP736" s="407">
        <v>0</v>
      </c>
      <c r="AQ736" s="407">
        <v>0</v>
      </c>
      <c r="AR736" s="407">
        <v>0</v>
      </c>
      <c r="AS736" s="407">
        <v>0</v>
      </c>
      <c r="AT736" s="407">
        <v>0</v>
      </c>
      <c r="AU736" s="407">
        <v>0</v>
      </c>
      <c r="AV736" s="407">
        <v>0</v>
      </c>
      <c r="AW736" s="407">
        <v>0</v>
      </c>
      <c r="AX736" s="407">
        <v>0</v>
      </c>
      <c r="AY736" s="407">
        <v>0</v>
      </c>
      <c r="AZ736" s="407">
        <v>0</v>
      </c>
      <c r="BA736" s="407"/>
      <c r="BB736" s="407">
        <v>0</v>
      </c>
      <c r="BC736" s="407">
        <v>0</v>
      </c>
      <c r="BD736" s="407">
        <v>0</v>
      </c>
      <c r="BE736" s="407">
        <v>0</v>
      </c>
      <c r="BF736" s="407">
        <v>0</v>
      </c>
      <c r="BG736" s="407">
        <v>3267.3761346351648</v>
      </c>
      <c r="BH736" s="407">
        <v>0</v>
      </c>
      <c r="BI736" s="407">
        <v>447.68</v>
      </c>
      <c r="BJ736" s="407">
        <v>2068.23</v>
      </c>
      <c r="BK736" s="407">
        <v>55548.9</v>
      </c>
      <c r="BL736" s="407">
        <v>362</v>
      </c>
      <c r="BM736" s="407"/>
      <c r="BN736" s="407"/>
      <c r="BO736" s="407"/>
      <c r="BP736" s="407"/>
      <c r="BQ736" s="407"/>
      <c r="BR736" s="407"/>
      <c r="BS736" s="407"/>
      <c r="BT736" s="407"/>
      <c r="BU736" s="407"/>
      <c r="BV736" s="407">
        <v>47966.676683145131</v>
      </c>
      <c r="BW736" s="407"/>
      <c r="BX736" s="407"/>
      <c r="BY736" s="407"/>
      <c r="BZ736" s="407"/>
      <c r="CA736" s="407"/>
      <c r="CB736" s="407"/>
      <c r="CC736" s="407"/>
      <c r="CD736" s="407"/>
      <c r="CE736" s="407"/>
      <c r="CF736" s="407"/>
      <c r="CG736" s="407"/>
      <c r="CH736" s="407"/>
      <c r="CI736" s="407">
        <v>177317.67239999998</v>
      </c>
      <c r="CJ736" s="407">
        <v>-56814.252450000087</v>
      </c>
      <c r="CK736" s="407"/>
      <c r="CL736" s="407"/>
      <c r="CM736" s="407"/>
      <c r="CN736" s="407"/>
      <c r="CO736" s="407">
        <v>-64774.993500000026</v>
      </c>
      <c r="CP736" s="407">
        <v>7961.3828700000004</v>
      </c>
      <c r="CQ736" s="407">
        <v>30</v>
      </c>
      <c r="CR736" s="407">
        <v>5000.5767553161277</v>
      </c>
      <c r="CS736" s="407">
        <v>0</v>
      </c>
      <c r="CT736" s="407">
        <v>0</v>
      </c>
      <c r="CU736" s="407">
        <v>0</v>
      </c>
      <c r="CV736" s="407">
        <v>0</v>
      </c>
      <c r="CW736" s="407">
        <v>0</v>
      </c>
      <c r="CX736" s="407">
        <v>0</v>
      </c>
      <c r="CY736" s="407">
        <v>0</v>
      </c>
      <c r="CZ736" s="407">
        <v>1527.0842428191754</v>
      </c>
      <c r="DA736" s="407">
        <v>0</v>
      </c>
      <c r="DB736" s="407">
        <v>0</v>
      </c>
      <c r="DC736" s="407">
        <v>8862.6642011227086</v>
      </c>
      <c r="DD736" s="407">
        <v>0</v>
      </c>
      <c r="DE736" s="407">
        <v>0</v>
      </c>
      <c r="DF736" s="407">
        <v>0</v>
      </c>
      <c r="DG736" s="407">
        <v>647.83245251472272</v>
      </c>
      <c r="DH736" s="407">
        <v>0</v>
      </c>
      <c r="DI736" s="407">
        <v>-1257.9734428306656</v>
      </c>
      <c r="DJ736" s="407"/>
      <c r="DK736" s="407">
        <v>0</v>
      </c>
      <c r="DL736" s="407">
        <v>0</v>
      </c>
      <c r="DM736" s="407">
        <v>0</v>
      </c>
      <c r="DN736" s="407">
        <v>0</v>
      </c>
      <c r="DO736" s="407">
        <v>-169.32743303620464</v>
      </c>
      <c r="DP736" s="407">
        <v>-38.320157112552351</v>
      </c>
      <c r="DQ736" s="407">
        <v>0</v>
      </c>
      <c r="DR736" s="407">
        <v>-4571.3831081610524</v>
      </c>
      <c r="DS736" s="407"/>
      <c r="DT736" s="407"/>
      <c r="DU736" s="407"/>
      <c r="DV736" s="407">
        <v>121013.59659590146</v>
      </c>
      <c r="DW736" s="407">
        <v>0</v>
      </c>
      <c r="DX736" s="407">
        <v>0</v>
      </c>
      <c r="DY736" s="407">
        <v>-64774.993500000026</v>
      </c>
      <c r="DZ736" s="407">
        <v>7961.3828700000013</v>
      </c>
      <c r="EA736" s="407">
        <v>0</v>
      </c>
      <c r="EB736" s="407">
        <v>0</v>
      </c>
      <c r="EC736" s="407">
        <v>-61814.026210192213</v>
      </c>
      <c r="ED736" s="407">
        <v>0</v>
      </c>
      <c r="EE736" s="407">
        <v>0</v>
      </c>
      <c r="EF736" s="407">
        <v>0</v>
      </c>
      <c r="EG736" s="407">
        <v>0</v>
      </c>
      <c r="EH736" s="407">
        <v>0</v>
      </c>
      <c r="EI736" s="407">
        <v>0</v>
      </c>
      <c r="EJ736" s="407">
        <v>0</v>
      </c>
      <c r="EK736" s="407">
        <v>0</v>
      </c>
      <c r="EL736" s="407">
        <v>0</v>
      </c>
      <c r="EM736" s="407">
        <v>0</v>
      </c>
      <c r="EN736" s="407">
        <v>0</v>
      </c>
      <c r="EO736" s="407">
        <v>0</v>
      </c>
      <c r="EP736" s="407">
        <v>8507.4635172335784</v>
      </c>
      <c r="EQ736" s="407">
        <v>0</v>
      </c>
      <c r="ER736" s="407">
        <v>0</v>
      </c>
      <c r="ES736" s="407">
        <v>0</v>
      </c>
      <c r="ET736" s="407">
        <v>0</v>
      </c>
      <c r="EU736" s="407">
        <v>0</v>
      </c>
      <c r="EV736" s="407">
        <v>246</v>
      </c>
      <c r="EW736" s="407">
        <v>0</v>
      </c>
      <c r="EX736" s="407">
        <v>0</v>
      </c>
      <c r="EY736" s="407">
        <v>0</v>
      </c>
      <c r="EZ736" s="407"/>
      <c r="FA736" s="407">
        <v>0</v>
      </c>
      <c r="FB736" s="407"/>
      <c r="FC736" s="407"/>
      <c r="FD736" s="407"/>
      <c r="FE736" s="407"/>
      <c r="FF736" s="407">
        <v>0</v>
      </c>
      <c r="FG736" s="407">
        <v>0</v>
      </c>
      <c r="FH736" s="407">
        <v>0</v>
      </c>
      <c r="FI736" s="407">
        <v>0</v>
      </c>
    </row>
    <row r="737" spans="1:165">
      <c r="A737" s="407">
        <v>764</v>
      </c>
      <c r="B737" s="407" t="s">
        <v>1090</v>
      </c>
      <c r="C737" s="407" t="s">
        <v>2317</v>
      </c>
      <c r="D737" s="407" t="s">
        <v>650</v>
      </c>
      <c r="E737" s="407" t="s">
        <v>2316</v>
      </c>
      <c r="F737" s="407" t="s">
        <v>97</v>
      </c>
      <c r="G737" s="407" t="s">
        <v>97</v>
      </c>
      <c r="H737" s="407" t="s">
        <v>97</v>
      </c>
      <c r="I737" s="407" t="s">
        <v>1025</v>
      </c>
      <c r="J737" s="407" t="s">
        <v>2307</v>
      </c>
      <c r="K737" s="818">
        <v>44713</v>
      </c>
      <c r="L737" s="407">
        <v>200</v>
      </c>
      <c r="M737" s="407">
        <v>200</v>
      </c>
      <c r="N737" s="407">
        <v>4.492</v>
      </c>
      <c r="O737" s="407">
        <v>4.492</v>
      </c>
      <c r="P737" s="407">
        <v>4.492</v>
      </c>
      <c r="Q737" s="407">
        <v>4.492</v>
      </c>
      <c r="R737" s="407">
        <v>112.91</v>
      </c>
      <c r="S737" s="407">
        <v>95.29</v>
      </c>
      <c r="T737" s="407">
        <v>159.41</v>
      </c>
      <c r="U737" s="407">
        <v>22582</v>
      </c>
      <c r="V737" s="407">
        <v>1144.1124</v>
      </c>
      <c r="W737" s="407">
        <v>23726.112399999998</v>
      </c>
      <c r="X737" s="407">
        <v>14671.879719999999</v>
      </c>
      <c r="Y737" s="407">
        <v>0</v>
      </c>
      <c r="Z737" s="407">
        <v>242.18221827209123</v>
      </c>
      <c r="AA737" s="407">
        <v>0</v>
      </c>
      <c r="AB737" s="407">
        <v>0</v>
      </c>
      <c r="AC737" s="407">
        <v>0</v>
      </c>
      <c r="AD737" s="407">
        <v>5077.0827132346003</v>
      </c>
      <c r="AE737" s="407">
        <v>17504.269107723037</v>
      </c>
      <c r="AF737" s="407">
        <v>692.8043794752856</v>
      </c>
      <c r="AG737" s="407">
        <v>23.27640859359331</v>
      </c>
      <c r="AH737" s="407">
        <v>0</v>
      </c>
      <c r="AI737" s="407">
        <v>0</v>
      </c>
      <c r="AJ737" s="407">
        <v>0</v>
      </c>
      <c r="AK737" s="407">
        <v>0</v>
      </c>
      <c r="AL737" s="407">
        <v>43.01564063553365</v>
      </c>
      <c r="AM737" s="407"/>
      <c r="AN737" s="407">
        <v>4.8232103600785177</v>
      </c>
      <c r="AO737" s="407">
        <v>0</v>
      </c>
      <c r="AP737" s="407">
        <v>0</v>
      </c>
      <c r="AQ737" s="407">
        <v>0</v>
      </c>
      <c r="AR737" s="407">
        <v>0</v>
      </c>
      <c r="AS737" s="407">
        <v>0</v>
      </c>
      <c r="AT737" s="407">
        <v>0</v>
      </c>
      <c r="AU737" s="407">
        <v>0</v>
      </c>
      <c r="AV737" s="407">
        <v>0</v>
      </c>
      <c r="AW737" s="407">
        <v>0</v>
      </c>
      <c r="AX737" s="407">
        <v>0</v>
      </c>
      <c r="AY737" s="407">
        <v>0</v>
      </c>
      <c r="AZ737" s="407">
        <v>0</v>
      </c>
      <c r="BA737" s="407"/>
      <c r="BB737" s="407">
        <v>0</v>
      </c>
      <c r="BC737" s="407">
        <v>0</v>
      </c>
      <c r="BD737" s="407">
        <v>0</v>
      </c>
      <c r="BE737" s="407">
        <v>0</v>
      </c>
      <c r="BF737" s="407">
        <v>0</v>
      </c>
      <c r="BG737" s="407">
        <v>23.312915620357717</v>
      </c>
      <c r="BH737" s="407">
        <v>0</v>
      </c>
      <c r="BI737" s="407">
        <v>0</v>
      </c>
      <c r="BJ737" s="407">
        <v>0</v>
      </c>
      <c r="BK737" s="407">
        <v>0</v>
      </c>
      <c r="BL737" s="407">
        <v>0</v>
      </c>
      <c r="BM737" s="407"/>
      <c r="BN737" s="407"/>
      <c r="BO737" s="407"/>
      <c r="BP737" s="407"/>
      <c r="BQ737" s="407"/>
      <c r="BR737" s="407"/>
      <c r="BS737" s="407"/>
      <c r="BT737" s="407"/>
      <c r="BU737" s="407"/>
      <c r="BV737" s="407">
        <v>716.11729509564327</v>
      </c>
      <c r="BW737" s="407"/>
      <c r="BX737" s="407"/>
      <c r="BY737" s="407"/>
      <c r="BZ737" s="407"/>
      <c r="CA737" s="407"/>
      <c r="CB737" s="407"/>
      <c r="CC737" s="407"/>
      <c r="CD737" s="407"/>
      <c r="CE737" s="407"/>
      <c r="CF737" s="407"/>
      <c r="CG737" s="407"/>
      <c r="CH737" s="407"/>
      <c r="CI737" s="407">
        <v>14671.325900000002</v>
      </c>
      <c r="CJ737" s="407">
        <v>-9054.8164999999917</v>
      </c>
      <c r="CK737" s="407"/>
      <c r="CL737" s="407"/>
      <c r="CM737" s="407"/>
      <c r="CN737" s="407"/>
      <c r="CO737" s="407">
        <v>-9177.6279200000008</v>
      </c>
      <c r="CP737" s="407">
        <v>123.39524</v>
      </c>
      <c r="CQ737" s="407">
        <v>30</v>
      </c>
      <c r="CR737" s="407">
        <v>-111.80058456088409</v>
      </c>
      <c r="CS737" s="407">
        <v>0</v>
      </c>
      <c r="CT737" s="407">
        <v>0</v>
      </c>
      <c r="CU737" s="407">
        <v>0</v>
      </c>
      <c r="CV737" s="407">
        <v>0</v>
      </c>
      <c r="CW737" s="407">
        <v>0</v>
      </c>
      <c r="CX737" s="407">
        <v>0</v>
      </c>
      <c r="CY737" s="407">
        <v>0</v>
      </c>
      <c r="CZ737" s="407">
        <v>229.34189304735992</v>
      </c>
      <c r="DA737" s="407">
        <v>0</v>
      </c>
      <c r="DB737" s="407">
        <v>0</v>
      </c>
      <c r="DC737" s="407">
        <v>137.36439937562568</v>
      </c>
      <c r="DD737" s="407">
        <v>0</v>
      </c>
      <c r="DE737" s="407">
        <v>0</v>
      </c>
      <c r="DF737" s="407">
        <v>0</v>
      </c>
      <c r="DG737" s="407">
        <v>4.6223216058629504</v>
      </c>
      <c r="DH737" s="407">
        <v>0</v>
      </c>
      <c r="DI737" s="407">
        <v>-16.962920331928984</v>
      </c>
      <c r="DJ737" s="407"/>
      <c r="DK737" s="407">
        <v>0</v>
      </c>
      <c r="DL737" s="407">
        <v>0</v>
      </c>
      <c r="DM737" s="407">
        <v>0</v>
      </c>
      <c r="DN737" s="407">
        <v>0</v>
      </c>
      <c r="DO737" s="407">
        <v>-2.6244434640644769</v>
      </c>
      <c r="DP737" s="407">
        <v>-0.30732331993544548</v>
      </c>
      <c r="DQ737" s="407">
        <v>0</v>
      </c>
      <c r="DR737" s="407">
        <v>-463.23451147380337</v>
      </c>
      <c r="DS737" s="407"/>
      <c r="DT737" s="407"/>
      <c r="DU737" s="407">
        <v>17504.269107723037</v>
      </c>
      <c r="DV737" s="407">
        <v>0</v>
      </c>
      <c r="DW737" s="407">
        <v>0</v>
      </c>
      <c r="DX737" s="407">
        <v>0</v>
      </c>
      <c r="DY737" s="407">
        <v>-9177.627919999999</v>
      </c>
      <c r="DZ737" s="407">
        <v>123.39524000000006</v>
      </c>
      <c r="EA737" s="407">
        <v>0</v>
      </c>
      <c r="EB737" s="407">
        <v>0</v>
      </c>
      <c r="EC737" s="407">
        <v>-8941.2213160491574</v>
      </c>
      <c r="ED737" s="407">
        <v>0</v>
      </c>
      <c r="EE737" s="407">
        <v>0</v>
      </c>
      <c r="EF737" s="407">
        <v>0</v>
      </c>
      <c r="EG737" s="407">
        <v>0</v>
      </c>
      <c r="EH737" s="407">
        <v>0</v>
      </c>
      <c r="EI737" s="407">
        <v>0</v>
      </c>
      <c r="EJ737" s="407">
        <v>0</v>
      </c>
      <c r="EK737" s="407">
        <v>0</v>
      </c>
      <c r="EL737" s="407">
        <v>0</v>
      </c>
      <c r="EM737" s="407">
        <v>0</v>
      </c>
      <c r="EN737" s="407">
        <v>0</v>
      </c>
      <c r="EO737" s="407">
        <v>0</v>
      </c>
      <c r="EP737" s="407">
        <v>114.71738667622255</v>
      </c>
      <c r="EQ737" s="407">
        <v>0</v>
      </c>
      <c r="ER737" s="407">
        <v>0</v>
      </c>
      <c r="ES737" s="407">
        <v>0</v>
      </c>
      <c r="ET737" s="407">
        <v>0</v>
      </c>
      <c r="EU737" s="407">
        <v>0</v>
      </c>
      <c r="EV737" s="407">
        <v>246</v>
      </c>
      <c r="EW737" s="407">
        <v>0</v>
      </c>
      <c r="EX737" s="407">
        <v>0</v>
      </c>
      <c r="EY737" s="407">
        <v>0</v>
      </c>
      <c r="EZ737" s="407"/>
      <c r="FA737" s="407">
        <v>0</v>
      </c>
      <c r="FB737" s="407"/>
      <c r="FC737" s="407"/>
      <c r="FD737" s="407"/>
      <c r="FE737" s="407"/>
      <c r="FF737" s="407">
        <v>0</v>
      </c>
      <c r="FG737" s="407">
        <v>0</v>
      </c>
      <c r="FH737" s="407">
        <v>0</v>
      </c>
      <c r="FI737" s="407">
        <v>0</v>
      </c>
    </row>
    <row r="738" spans="1:165">
      <c r="A738" s="407">
        <v>765</v>
      </c>
      <c r="B738" s="407" t="s">
        <v>1090</v>
      </c>
      <c r="C738" s="407" t="s">
        <v>2317</v>
      </c>
      <c r="D738" s="407" t="s">
        <v>650</v>
      </c>
      <c r="E738" s="407" t="s">
        <v>2316</v>
      </c>
      <c r="F738" s="407" t="s">
        <v>97</v>
      </c>
      <c r="G738" s="407" t="s">
        <v>97</v>
      </c>
      <c r="H738" s="407" t="s">
        <v>97</v>
      </c>
      <c r="I738" s="407" t="s">
        <v>2290</v>
      </c>
      <c r="J738" s="407" t="s">
        <v>2307</v>
      </c>
      <c r="K738" s="818">
        <v>44713</v>
      </c>
      <c r="L738" s="407">
        <v>230</v>
      </c>
      <c r="M738" s="407">
        <v>230</v>
      </c>
      <c r="N738" s="407">
        <v>27.428999999999998</v>
      </c>
      <c r="O738" s="407">
        <v>27.428999999999998</v>
      </c>
      <c r="P738" s="407">
        <v>27.428999999999998</v>
      </c>
      <c r="Q738" s="407">
        <v>27.428999999999998</v>
      </c>
      <c r="R738" s="407">
        <v>43.29</v>
      </c>
      <c r="S738" s="407">
        <v>95.29</v>
      </c>
      <c r="T738" s="407">
        <v>159.41</v>
      </c>
      <c r="U738" s="407">
        <v>9956.6999999999989</v>
      </c>
      <c r="V738" s="407">
        <v>6986.166299999999</v>
      </c>
      <c r="W738" s="407">
        <v>16942.866299999998</v>
      </c>
      <c r="X738" s="407">
        <v>15298.06439</v>
      </c>
      <c r="Y738" s="407">
        <v>0</v>
      </c>
      <c r="Z738" s="407">
        <v>1478.8103439414938</v>
      </c>
      <c r="AA738" s="407">
        <v>0</v>
      </c>
      <c r="AB738" s="407">
        <v>0</v>
      </c>
      <c r="AC738" s="407">
        <v>0</v>
      </c>
      <c r="AD738" s="407">
        <v>5442.71704644074</v>
      </c>
      <c r="AE738" s="407">
        <v>4514.7130340054682</v>
      </c>
      <c r="AF738" s="407">
        <v>4230.3943287238662</v>
      </c>
      <c r="AG738" s="407">
        <v>142.13014499413867</v>
      </c>
      <c r="AH738" s="407">
        <v>0</v>
      </c>
      <c r="AI738" s="407">
        <v>0</v>
      </c>
      <c r="AJ738" s="407">
        <v>0</v>
      </c>
      <c r="AK738" s="407">
        <v>0</v>
      </c>
      <c r="AL738" s="407">
        <v>262.66162221550587</v>
      </c>
      <c r="AM738" s="407"/>
      <c r="AN738" s="407">
        <v>29.451432984548902</v>
      </c>
      <c r="AO738" s="407">
        <v>0</v>
      </c>
      <c r="AP738" s="407">
        <v>0</v>
      </c>
      <c r="AQ738" s="407">
        <v>0</v>
      </c>
      <c r="AR738" s="407">
        <v>0</v>
      </c>
      <c r="AS738" s="407">
        <v>0</v>
      </c>
      <c r="AT738" s="407">
        <v>0</v>
      </c>
      <c r="AU738" s="407">
        <v>0</v>
      </c>
      <c r="AV738" s="407">
        <v>0</v>
      </c>
      <c r="AW738" s="407">
        <v>0</v>
      </c>
      <c r="AX738" s="407">
        <v>0</v>
      </c>
      <c r="AY738" s="407">
        <v>0</v>
      </c>
      <c r="AZ738" s="407">
        <v>0</v>
      </c>
      <c r="BA738" s="407"/>
      <c r="BB738" s="407">
        <v>0</v>
      </c>
      <c r="BC738" s="407">
        <v>0</v>
      </c>
      <c r="BD738" s="407">
        <v>0</v>
      </c>
      <c r="BE738" s="407">
        <v>0</v>
      </c>
      <c r="BF738" s="407">
        <v>0</v>
      </c>
      <c r="BG738" s="407">
        <v>142.3530637913606</v>
      </c>
      <c r="BH738" s="407">
        <v>0</v>
      </c>
      <c r="BI738" s="407">
        <v>0</v>
      </c>
      <c r="BJ738" s="407">
        <v>0</v>
      </c>
      <c r="BK738" s="407">
        <v>0</v>
      </c>
      <c r="BL738" s="407">
        <v>0</v>
      </c>
      <c r="BM738" s="407"/>
      <c r="BN738" s="407"/>
      <c r="BO738" s="407"/>
      <c r="BP738" s="407"/>
      <c r="BQ738" s="407"/>
      <c r="BR738" s="407"/>
      <c r="BS738" s="407"/>
      <c r="BT738" s="407"/>
      <c r="BU738" s="407"/>
      <c r="BV738" s="407">
        <v>4372.7473925152271</v>
      </c>
      <c r="BW738" s="407"/>
      <c r="BX738" s="407"/>
      <c r="BY738" s="407"/>
      <c r="BZ738" s="407"/>
      <c r="CA738" s="407"/>
      <c r="CB738" s="407"/>
      <c r="CC738" s="407"/>
      <c r="CD738" s="407"/>
      <c r="CE738" s="407"/>
      <c r="CF738" s="407"/>
      <c r="CG738" s="407"/>
      <c r="CH738" s="407"/>
      <c r="CI738" s="407">
        <v>15298.3413</v>
      </c>
      <c r="CJ738" s="407">
        <v>-1644.5549999999967</v>
      </c>
      <c r="CK738" s="407"/>
      <c r="CL738" s="407"/>
      <c r="CM738" s="407"/>
      <c r="CN738" s="407"/>
      <c r="CO738" s="407">
        <v>-2398.2765399999998</v>
      </c>
      <c r="CP738" s="407">
        <v>753.47462999999993</v>
      </c>
      <c r="CQ738" s="407">
        <v>30</v>
      </c>
      <c r="CR738" s="407">
        <v>660.55322607903145</v>
      </c>
      <c r="CS738" s="407">
        <v>0</v>
      </c>
      <c r="CT738" s="407">
        <v>0</v>
      </c>
      <c r="CU738" s="407">
        <v>0</v>
      </c>
      <c r="CV738" s="407">
        <v>0</v>
      </c>
      <c r="CW738" s="407">
        <v>0</v>
      </c>
      <c r="CX738" s="407">
        <v>0</v>
      </c>
      <c r="CY738" s="407">
        <v>0</v>
      </c>
      <c r="CZ738" s="407">
        <v>245.85832086169376</v>
      </c>
      <c r="DA738" s="407">
        <v>0</v>
      </c>
      <c r="DB738" s="407">
        <v>0</v>
      </c>
      <c r="DC738" s="407">
        <v>838.77295424622389</v>
      </c>
      <c r="DD738" s="407">
        <v>0</v>
      </c>
      <c r="DE738" s="407">
        <v>0</v>
      </c>
      <c r="DF738" s="407">
        <v>0</v>
      </c>
      <c r="DG738" s="407">
        <v>28.224768327518888</v>
      </c>
      <c r="DH738" s="407">
        <v>0</v>
      </c>
      <c r="DI738" s="407">
        <v>-103.5787938077649</v>
      </c>
      <c r="DJ738" s="407"/>
      <c r="DK738" s="407">
        <v>0</v>
      </c>
      <c r="DL738" s="407">
        <v>0</v>
      </c>
      <c r="DM738" s="407">
        <v>0</v>
      </c>
      <c r="DN738" s="407">
        <v>0</v>
      </c>
      <c r="DO738" s="407">
        <v>-16.025347234155049</v>
      </c>
      <c r="DP738" s="407">
        <v>-1.8765742080385905</v>
      </c>
      <c r="DQ738" s="407">
        <v>0</v>
      </c>
      <c r="DR738" s="407">
        <v>-330.82210210644445</v>
      </c>
      <c r="DS738" s="407"/>
      <c r="DT738" s="407"/>
      <c r="DU738" s="407">
        <v>4514.7130340054682</v>
      </c>
      <c r="DV738" s="407">
        <v>0</v>
      </c>
      <c r="DW738" s="407">
        <v>0</v>
      </c>
      <c r="DX738" s="407">
        <v>0</v>
      </c>
      <c r="DY738" s="407">
        <v>-2398.2765399999971</v>
      </c>
      <c r="DZ738" s="407">
        <v>753.47462999999971</v>
      </c>
      <c r="EA738" s="407">
        <v>0</v>
      </c>
      <c r="EB738" s="407">
        <v>0</v>
      </c>
      <c r="EC738" s="407">
        <v>-2306.1259037479317</v>
      </c>
      <c r="ED738" s="407">
        <v>0</v>
      </c>
      <c r="EE738" s="407">
        <v>0</v>
      </c>
      <c r="EF738" s="407">
        <v>0</v>
      </c>
      <c r="EG738" s="407">
        <v>0</v>
      </c>
      <c r="EH738" s="407">
        <v>0</v>
      </c>
      <c r="EI738" s="407">
        <v>0</v>
      </c>
      <c r="EJ738" s="407">
        <v>0</v>
      </c>
      <c r="EK738" s="407">
        <v>0</v>
      </c>
      <c r="EL738" s="407">
        <v>0</v>
      </c>
      <c r="EM738" s="407">
        <v>0</v>
      </c>
      <c r="EN738" s="407">
        <v>0</v>
      </c>
      <c r="EO738" s="407">
        <v>0</v>
      </c>
      <c r="EP738" s="407">
        <v>700.48601939940067</v>
      </c>
      <c r="EQ738" s="407">
        <v>0</v>
      </c>
      <c r="ER738" s="407">
        <v>0</v>
      </c>
      <c r="ES738" s="407">
        <v>0</v>
      </c>
      <c r="ET738" s="407">
        <v>0</v>
      </c>
      <c r="EU738" s="407">
        <v>0</v>
      </c>
      <c r="EV738" s="407">
        <v>246</v>
      </c>
      <c r="EW738" s="407">
        <v>0</v>
      </c>
      <c r="EX738" s="407">
        <v>0</v>
      </c>
      <c r="EY738" s="407">
        <v>0</v>
      </c>
      <c r="EZ738" s="407"/>
      <c r="FA738" s="407">
        <v>0</v>
      </c>
      <c r="FB738" s="407"/>
      <c r="FC738" s="407"/>
      <c r="FD738" s="407"/>
      <c r="FE738" s="407"/>
      <c r="FF738" s="407">
        <v>0</v>
      </c>
      <c r="FG738" s="407">
        <v>0</v>
      </c>
      <c r="FH738" s="407">
        <v>0</v>
      </c>
      <c r="FI738" s="407">
        <v>0</v>
      </c>
    </row>
    <row r="739" spans="1:165">
      <c r="A739" s="407">
        <v>766</v>
      </c>
      <c r="B739" s="407" t="s">
        <v>1090</v>
      </c>
      <c r="C739" s="407" t="s">
        <v>2317</v>
      </c>
      <c r="D739" s="407" t="s">
        <v>650</v>
      </c>
      <c r="E739" s="407" t="s">
        <v>2316</v>
      </c>
      <c r="F739" s="407" t="s">
        <v>97</v>
      </c>
      <c r="G739" s="407" t="s">
        <v>97</v>
      </c>
      <c r="H739" s="407" t="s">
        <v>97</v>
      </c>
      <c r="I739" s="407" t="s">
        <v>97</v>
      </c>
      <c r="J739" s="407" t="s">
        <v>2307</v>
      </c>
      <c r="K739" s="818">
        <v>44713</v>
      </c>
      <c r="L739" s="407">
        <v>0</v>
      </c>
      <c r="M739" s="407">
        <v>0</v>
      </c>
      <c r="N739" s="407">
        <v>0</v>
      </c>
      <c r="O739" s="407">
        <v>0</v>
      </c>
      <c r="P739" s="407">
        <v>0</v>
      </c>
      <c r="Q739" s="407">
        <v>0</v>
      </c>
      <c r="R739" s="407"/>
      <c r="S739" s="407"/>
      <c r="T739" s="407"/>
      <c r="U739" s="407"/>
      <c r="V739" s="407"/>
      <c r="W739" s="407"/>
      <c r="X739" s="407"/>
      <c r="Y739" s="407"/>
      <c r="Z739" s="407"/>
      <c r="AA739" s="407">
        <v>0</v>
      </c>
      <c r="AB739" s="407"/>
      <c r="AC739" s="407"/>
      <c r="AD739" s="407"/>
      <c r="AE739" s="407"/>
      <c r="AF739" s="407"/>
      <c r="AG739" s="407"/>
      <c r="AH739" s="407"/>
      <c r="AI739" s="407"/>
      <c r="AJ739" s="407"/>
      <c r="AK739" s="407"/>
      <c r="AL739" s="407"/>
      <c r="AM739" s="407"/>
      <c r="AN739" s="407"/>
      <c r="AO739" s="407"/>
      <c r="AP739" s="407"/>
      <c r="AQ739" s="407"/>
      <c r="AR739" s="407"/>
      <c r="AS739" s="407"/>
      <c r="AT739" s="407"/>
      <c r="AU739" s="407"/>
      <c r="AV739" s="407"/>
      <c r="AW739" s="407"/>
      <c r="AX739" s="407"/>
      <c r="AY739" s="407"/>
      <c r="AZ739" s="407">
        <v>0</v>
      </c>
      <c r="BA739" s="407"/>
      <c r="BB739" s="407"/>
      <c r="BC739" s="407"/>
      <c r="BD739" s="407"/>
      <c r="BE739" s="407"/>
      <c r="BF739" s="407"/>
      <c r="BG739" s="407"/>
      <c r="BH739" s="407"/>
      <c r="BI739" s="407">
        <v>75.989999999999995</v>
      </c>
      <c r="BJ739" s="407">
        <v>349.55</v>
      </c>
      <c r="BK739" s="407">
        <v>5174.01</v>
      </c>
      <c r="BL739" s="407">
        <v>1</v>
      </c>
      <c r="BM739" s="407"/>
      <c r="BN739" s="407"/>
      <c r="BO739" s="407"/>
      <c r="BP739" s="407"/>
      <c r="BQ739" s="407"/>
      <c r="BR739" s="407"/>
      <c r="BS739" s="407"/>
      <c r="BT739" s="407"/>
      <c r="BU739" s="407"/>
      <c r="BV739" s="407"/>
      <c r="BW739" s="407"/>
      <c r="BX739" s="407"/>
      <c r="BY739" s="407"/>
      <c r="BZ739" s="407"/>
      <c r="CA739" s="407"/>
      <c r="CB739" s="407"/>
      <c r="CC739" s="407"/>
      <c r="CD739" s="407"/>
      <c r="CE739" s="407"/>
      <c r="CF739" s="407"/>
      <c r="CG739" s="407"/>
      <c r="CH739" s="407"/>
      <c r="CI739" s="407"/>
      <c r="CJ739" s="407">
        <v>-0.03</v>
      </c>
      <c r="CK739" s="407"/>
      <c r="CL739" s="407"/>
      <c r="CM739" s="407"/>
      <c r="CN739" s="407"/>
      <c r="CO739" s="407">
        <v>0</v>
      </c>
      <c r="CP739" s="407">
        <v>0</v>
      </c>
      <c r="CQ739" s="407">
        <v>30</v>
      </c>
      <c r="CR739" s="407"/>
      <c r="CS739" s="407"/>
      <c r="CT739" s="407"/>
      <c r="CU739" s="407"/>
      <c r="CV739" s="407"/>
      <c r="CW739" s="407"/>
      <c r="CX739" s="407"/>
      <c r="CY739" s="407"/>
      <c r="CZ739" s="407"/>
      <c r="DA739" s="407"/>
      <c r="DB739" s="407"/>
      <c r="DC739" s="407"/>
      <c r="DD739" s="407"/>
      <c r="DE739" s="407"/>
      <c r="DF739" s="407"/>
      <c r="DG739" s="407"/>
      <c r="DH739" s="407"/>
      <c r="DI739" s="407"/>
      <c r="DJ739" s="407"/>
      <c r="DK739" s="407">
        <v>0</v>
      </c>
      <c r="DL739" s="407"/>
      <c r="DM739" s="407"/>
      <c r="DN739" s="407"/>
      <c r="DO739" s="407"/>
      <c r="DP739" s="407"/>
      <c r="DQ739" s="407"/>
      <c r="DR739" s="407"/>
      <c r="DS739" s="407"/>
      <c r="DT739" s="407"/>
      <c r="DU739" s="407"/>
      <c r="DV739" s="407"/>
      <c r="DW739" s="407"/>
      <c r="DX739" s="407"/>
      <c r="DY739" s="407"/>
      <c r="DZ739" s="407"/>
      <c r="EA739" s="407"/>
      <c r="EB739" s="407"/>
      <c r="EC739" s="407"/>
      <c r="ED739" s="407"/>
      <c r="EE739" s="407"/>
      <c r="EF739" s="407"/>
      <c r="EG739" s="407"/>
      <c r="EH739" s="407"/>
      <c r="EI739" s="407"/>
      <c r="EJ739" s="407"/>
      <c r="EK739" s="407"/>
      <c r="EL739" s="407"/>
      <c r="EM739" s="407"/>
      <c r="EN739" s="407"/>
      <c r="EO739" s="407"/>
      <c r="EP739" s="407"/>
      <c r="EQ739" s="407"/>
      <c r="ER739" s="407"/>
      <c r="ES739" s="407"/>
      <c r="ET739" s="407"/>
      <c r="EU739" s="407"/>
      <c r="EV739" s="407">
        <v>246</v>
      </c>
      <c r="EW739" s="407"/>
      <c r="EX739" s="407"/>
      <c r="EY739" s="407"/>
      <c r="EZ739" s="407"/>
      <c r="FA739" s="407">
        <v>0</v>
      </c>
      <c r="FB739" s="407"/>
      <c r="FC739" s="407"/>
      <c r="FD739" s="407"/>
      <c r="FE739" s="407"/>
      <c r="FF739" s="407">
        <v>0</v>
      </c>
      <c r="FG739" s="407">
        <v>0</v>
      </c>
      <c r="FH739" s="407">
        <v>0</v>
      </c>
      <c r="FI739" s="407">
        <v>0</v>
      </c>
    </row>
    <row r="740" spans="1:165">
      <c r="A740" s="407">
        <v>767</v>
      </c>
      <c r="B740" s="407" t="s">
        <v>1090</v>
      </c>
      <c r="C740" s="407" t="s">
        <v>2314</v>
      </c>
      <c r="D740" s="407" t="s">
        <v>650</v>
      </c>
      <c r="E740" s="407" t="s">
        <v>2316</v>
      </c>
      <c r="F740" s="407" t="s">
        <v>97</v>
      </c>
      <c r="G740" s="407" t="s">
        <v>97</v>
      </c>
      <c r="H740" s="407" t="s">
        <v>97</v>
      </c>
      <c r="I740" s="407" t="s">
        <v>1025</v>
      </c>
      <c r="J740" s="407" t="s">
        <v>2307</v>
      </c>
      <c r="K740" s="818">
        <v>44713</v>
      </c>
      <c r="L740" s="407">
        <v>0</v>
      </c>
      <c r="M740" s="407">
        <v>0</v>
      </c>
      <c r="N740" s="407">
        <v>0.42299999999999999</v>
      </c>
      <c r="O740" s="407">
        <v>0.42299999999999999</v>
      </c>
      <c r="P740" s="407">
        <v>0.42299999999999999</v>
      </c>
      <c r="Q740" s="407">
        <v>0.42299999999999999</v>
      </c>
      <c r="R740" s="407"/>
      <c r="S740" s="407">
        <v>2810.7</v>
      </c>
      <c r="T740" s="407">
        <v>159.41</v>
      </c>
      <c r="U740" s="407"/>
      <c r="V740" s="407">
        <v>1256.35653</v>
      </c>
      <c r="W740" s="407">
        <v>1256.35653</v>
      </c>
      <c r="X740" s="407">
        <v>800.18486999999993</v>
      </c>
      <c r="Y740" s="407">
        <v>0</v>
      </c>
      <c r="Z740" s="407">
        <v>22.805671934348752</v>
      </c>
      <c r="AA740" s="407">
        <v>0</v>
      </c>
      <c r="AB740" s="407">
        <v>0</v>
      </c>
      <c r="AC740" s="407">
        <v>0</v>
      </c>
      <c r="AD740" s="407">
        <v>258.24809600256691</v>
      </c>
      <c r="AE740" s="407">
        <v>890.36800643046331</v>
      </c>
      <c r="AF740" s="407">
        <v>65.239593169645104</v>
      </c>
      <c r="AG740" s="407">
        <v>2.1918790817208302</v>
      </c>
      <c r="AH740" s="407">
        <v>0</v>
      </c>
      <c r="AI740" s="407">
        <v>0</v>
      </c>
      <c r="AJ740" s="407">
        <v>0</v>
      </c>
      <c r="AK740" s="407">
        <v>0</v>
      </c>
      <c r="AL740" s="407">
        <v>4.0506714133639212</v>
      </c>
      <c r="AM740" s="407"/>
      <c r="AN740" s="407">
        <v>0.45418922135200646</v>
      </c>
      <c r="AO740" s="407">
        <v>0</v>
      </c>
      <c r="AP740" s="407">
        <v>0</v>
      </c>
      <c r="AQ740" s="407">
        <v>0</v>
      </c>
      <c r="AR740" s="407">
        <v>0</v>
      </c>
      <c r="AS740" s="407">
        <v>0</v>
      </c>
      <c r="AT740" s="407">
        <v>0</v>
      </c>
      <c r="AU740" s="407">
        <v>0</v>
      </c>
      <c r="AV740" s="407">
        <v>0</v>
      </c>
      <c r="AW740" s="407">
        <v>0</v>
      </c>
      <c r="AX740" s="407">
        <v>0</v>
      </c>
      <c r="AY740" s="407">
        <v>0</v>
      </c>
      <c r="AZ740" s="407">
        <v>0</v>
      </c>
      <c r="BA740" s="407"/>
      <c r="BB740" s="407">
        <v>0</v>
      </c>
      <c r="BC740" s="407">
        <v>0</v>
      </c>
      <c r="BD740" s="407">
        <v>0</v>
      </c>
      <c r="BE740" s="407">
        <v>0</v>
      </c>
      <c r="BF740" s="407">
        <v>0</v>
      </c>
      <c r="BG740" s="407">
        <v>2.1953168538315482</v>
      </c>
      <c r="BH740" s="407">
        <v>0</v>
      </c>
      <c r="BI740" s="407">
        <v>0</v>
      </c>
      <c r="BJ740" s="407">
        <v>0</v>
      </c>
      <c r="BK740" s="407">
        <v>0</v>
      </c>
      <c r="BL740" s="407">
        <v>0</v>
      </c>
      <c r="BM740" s="407"/>
      <c r="BN740" s="407"/>
      <c r="BO740" s="407"/>
      <c r="BP740" s="407"/>
      <c r="BQ740" s="407"/>
      <c r="BR740" s="407"/>
      <c r="BS740" s="407"/>
      <c r="BT740" s="407"/>
      <c r="BU740" s="407"/>
      <c r="BV740" s="407">
        <v>67.434910023476647</v>
      </c>
      <c r="BW740" s="407"/>
      <c r="BX740" s="407"/>
      <c r="BY740" s="407"/>
      <c r="BZ740" s="407"/>
      <c r="CA740" s="407"/>
      <c r="CB740" s="407"/>
      <c r="CC740" s="407"/>
      <c r="CD740" s="407"/>
      <c r="CE740" s="407"/>
      <c r="CF740" s="407"/>
      <c r="CG740" s="407"/>
      <c r="CH740" s="407"/>
      <c r="CI740" s="407">
        <v>794.50979999999993</v>
      </c>
      <c r="CJ740" s="407">
        <v>-461.87673000000007</v>
      </c>
      <c r="CK740" s="407"/>
      <c r="CL740" s="407"/>
      <c r="CM740" s="407"/>
      <c r="CN740" s="407"/>
      <c r="CO740" s="407">
        <v>-467.79146999999995</v>
      </c>
      <c r="CP740" s="407">
        <v>11.619809999999999</v>
      </c>
      <c r="CQ740" s="407">
        <v>30</v>
      </c>
      <c r="CR740" s="407">
        <v>-1.36738852886009</v>
      </c>
      <c r="CS740" s="407">
        <v>0</v>
      </c>
      <c r="CT740" s="407">
        <v>0</v>
      </c>
      <c r="CU740" s="407">
        <v>0</v>
      </c>
      <c r="CV740" s="407">
        <v>0</v>
      </c>
      <c r="CW740" s="407">
        <v>0</v>
      </c>
      <c r="CX740" s="407">
        <v>0</v>
      </c>
      <c r="CY740" s="407">
        <v>0</v>
      </c>
      <c r="CZ740" s="407">
        <v>11.665578553351963</v>
      </c>
      <c r="DA740" s="407">
        <v>0</v>
      </c>
      <c r="DB740" s="407">
        <v>0</v>
      </c>
      <c r="DC740" s="407">
        <v>12.93524954049191</v>
      </c>
      <c r="DD740" s="407">
        <v>0</v>
      </c>
      <c r="DE740" s="407">
        <v>0</v>
      </c>
      <c r="DF740" s="407">
        <v>0</v>
      </c>
      <c r="DG740" s="407">
        <v>0.4352720479252068</v>
      </c>
      <c r="DH740" s="407">
        <v>0</v>
      </c>
      <c r="DI740" s="407">
        <v>-1.5973542520939361</v>
      </c>
      <c r="DJ740" s="407"/>
      <c r="DK740" s="407">
        <v>0</v>
      </c>
      <c r="DL740" s="407">
        <v>0</v>
      </c>
      <c r="DM740" s="407">
        <v>0</v>
      </c>
      <c r="DN740" s="407">
        <v>0</v>
      </c>
      <c r="DO740" s="407">
        <v>-0.24713704036047979</v>
      </c>
      <c r="DP740" s="407">
        <v>-2.893984067958455E-2</v>
      </c>
      <c r="DQ740" s="407">
        <v>0</v>
      </c>
      <c r="DR740" s="407">
        <v>-24.530057537495164</v>
      </c>
      <c r="DS740" s="407"/>
      <c r="DT740" s="407"/>
      <c r="DU740" s="407"/>
      <c r="DV740" s="407">
        <v>890.36800643046331</v>
      </c>
      <c r="DW740" s="407">
        <v>0</v>
      </c>
      <c r="DX740" s="407">
        <v>0</v>
      </c>
      <c r="DY740" s="407">
        <v>-467.79147</v>
      </c>
      <c r="DZ740" s="407">
        <v>11.619810000000001</v>
      </c>
      <c r="EA740" s="407">
        <v>0</v>
      </c>
      <c r="EB740" s="407">
        <v>0</v>
      </c>
      <c r="EC740" s="407">
        <v>-454.80204567420463</v>
      </c>
      <c r="ED740" s="407">
        <v>0</v>
      </c>
      <c r="EE740" s="407">
        <v>0</v>
      </c>
      <c r="EF740" s="407">
        <v>0</v>
      </c>
      <c r="EG740" s="407">
        <v>0</v>
      </c>
      <c r="EH740" s="407">
        <v>0</v>
      </c>
      <c r="EI740" s="407">
        <v>0</v>
      </c>
      <c r="EJ740" s="407">
        <v>0</v>
      </c>
      <c r="EK740" s="407">
        <v>0</v>
      </c>
      <c r="EL740" s="407">
        <v>0</v>
      </c>
      <c r="EM740" s="407">
        <v>0</v>
      </c>
      <c r="EN740" s="407">
        <v>0</v>
      </c>
      <c r="EO740" s="407">
        <v>0</v>
      </c>
      <c r="EP740" s="407">
        <v>10.802639039190145</v>
      </c>
      <c r="EQ740" s="407">
        <v>0</v>
      </c>
      <c r="ER740" s="407">
        <v>0</v>
      </c>
      <c r="ES740" s="407">
        <v>0</v>
      </c>
      <c r="ET740" s="407">
        <v>0</v>
      </c>
      <c r="EU740" s="407">
        <v>0</v>
      </c>
      <c r="EV740" s="407">
        <v>246</v>
      </c>
      <c r="EW740" s="407">
        <v>0</v>
      </c>
      <c r="EX740" s="407">
        <v>0</v>
      </c>
      <c r="EY740" s="407">
        <v>0</v>
      </c>
      <c r="EZ740" s="407"/>
      <c r="FA740" s="407">
        <v>0</v>
      </c>
      <c r="FB740" s="407"/>
      <c r="FC740" s="407"/>
      <c r="FD740" s="407"/>
      <c r="FE740" s="407"/>
      <c r="FF740" s="407">
        <v>0</v>
      </c>
      <c r="FG740" s="407">
        <v>0</v>
      </c>
      <c r="FH740" s="407">
        <v>0</v>
      </c>
      <c r="FI740" s="407">
        <v>0</v>
      </c>
    </row>
    <row r="741" spans="1:165">
      <c r="A741" s="407">
        <v>768</v>
      </c>
      <c r="B741" s="407" t="s">
        <v>1090</v>
      </c>
      <c r="C741" s="407" t="s">
        <v>2314</v>
      </c>
      <c r="D741" s="407" t="s">
        <v>650</v>
      </c>
      <c r="E741" s="407" t="s">
        <v>2316</v>
      </c>
      <c r="F741" s="407" t="s">
        <v>97</v>
      </c>
      <c r="G741" s="407" t="s">
        <v>97</v>
      </c>
      <c r="H741" s="407" t="s">
        <v>97</v>
      </c>
      <c r="I741" s="407" t="s">
        <v>2290</v>
      </c>
      <c r="J741" s="407" t="s">
        <v>2307</v>
      </c>
      <c r="K741" s="818">
        <v>44713</v>
      </c>
      <c r="L741" s="407">
        <v>0</v>
      </c>
      <c r="M741" s="407">
        <v>0</v>
      </c>
      <c r="N741" s="407">
        <v>3.7530000000000001</v>
      </c>
      <c r="O741" s="407">
        <v>3.7530000000000001</v>
      </c>
      <c r="P741" s="407">
        <v>3.7530000000000001</v>
      </c>
      <c r="Q741" s="407">
        <v>3.7530000000000001</v>
      </c>
      <c r="R741" s="407"/>
      <c r="S741" s="407">
        <v>95.29</v>
      </c>
      <c r="T741" s="407">
        <v>159.41</v>
      </c>
      <c r="U741" s="407"/>
      <c r="V741" s="407">
        <v>955.88909999999998</v>
      </c>
      <c r="W741" s="407">
        <v>955.88909999999998</v>
      </c>
      <c r="X741" s="407">
        <v>1039.24323</v>
      </c>
      <c r="Y741" s="407">
        <v>0</v>
      </c>
      <c r="Z741" s="407">
        <v>202.33968503454108</v>
      </c>
      <c r="AA741" s="407">
        <v>0</v>
      </c>
      <c r="AB741" s="407">
        <v>0</v>
      </c>
      <c r="AC741" s="407">
        <v>0</v>
      </c>
      <c r="AD741" s="407">
        <v>0</v>
      </c>
      <c r="AE741" s="407">
        <v>0</v>
      </c>
      <c r="AF741" s="407">
        <v>578.82787982429807</v>
      </c>
      <c r="AG741" s="407">
        <v>19.447097384629497</v>
      </c>
      <c r="AH741" s="407">
        <v>0</v>
      </c>
      <c r="AI741" s="407">
        <v>0</v>
      </c>
      <c r="AJ741" s="407">
        <v>0</v>
      </c>
      <c r="AK741" s="407">
        <v>0</v>
      </c>
      <c r="AL741" s="407">
        <v>35.938935731335221</v>
      </c>
      <c r="AM741" s="407"/>
      <c r="AN741" s="407">
        <v>4.0297213894422708</v>
      </c>
      <c r="AO741" s="407">
        <v>0</v>
      </c>
      <c r="AP741" s="407">
        <v>0</v>
      </c>
      <c r="AQ741" s="407">
        <v>0</v>
      </c>
      <c r="AR741" s="407">
        <v>0</v>
      </c>
      <c r="AS741" s="407">
        <v>0</v>
      </c>
      <c r="AT741" s="407">
        <v>0</v>
      </c>
      <c r="AU741" s="407">
        <v>0</v>
      </c>
      <c r="AV741" s="407">
        <v>0</v>
      </c>
      <c r="AW741" s="407">
        <v>0</v>
      </c>
      <c r="AX741" s="407">
        <v>0</v>
      </c>
      <c r="AY741" s="407">
        <v>0</v>
      </c>
      <c r="AZ741" s="407">
        <v>0</v>
      </c>
      <c r="BA741" s="407"/>
      <c r="BB741" s="407">
        <v>0</v>
      </c>
      <c r="BC741" s="407">
        <v>0</v>
      </c>
      <c r="BD741" s="407">
        <v>0</v>
      </c>
      <c r="BE741" s="407">
        <v>0</v>
      </c>
      <c r="BF741" s="407">
        <v>0</v>
      </c>
      <c r="BG741" s="407">
        <v>19.477598469101185</v>
      </c>
      <c r="BH741" s="407">
        <v>0</v>
      </c>
      <c r="BI741" s="407">
        <v>0</v>
      </c>
      <c r="BJ741" s="407">
        <v>0</v>
      </c>
      <c r="BK741" s="407">
        <v>0</v>
      </c>
      <c r="BL741" s="407">
        <v>0</v>
      </c>
      <c r="BM741" s="407"/>
      <c r="BN741" s="407"/>
      <c r="BO741" s="407"/>
      <c r="BP741" s="407"/>
      <c r="BQ741" s="407"/>
      <c r="BR741" s="407"/>
      <c r="BS741" s="407"/>
      <c r="BT741" s="407"/>
      <c r="BU741" s="407"/>
      <c r="BV741" s="407">
        <v>598.30547829339923</v>
      </c>
      <c r="BW741" s="407"/>
      <c r="BX741" s="407"/>
      <c r="BY741" s="407"/>
      <c r="BZ741" s="407"/>
      <c r="CA741" s="407"/>
      <c r="CB741" s="407"/>
      <c r="CC741" s="407"/>
      <c r="CD741" s="407"/>
      <c r="CE741" s="407"/>
      <c r="CF741" s="407"/>
      <c r="CG741" s="407"/>
      <c r="CH741" s="407"/>
      <c r="CI741" s="407">
        <v>1038.4124999999999</v>
      </c>
      <c r="CJ741" s="407">
        <v>82.493399999999951</v>
      </c>
      <c r="CK741" s="407"/>
      <c r="CL741" s="407"/>
      <c r="CM741" s="407"/>
      <c r="CN741" s="407"/>
      <c r="CO741" s="407">
        <v>-19.740780000000019</v>
      </c>
      <c r="CP741" s="407">
        <v>103.09491</v>
      </c>
      <c r="CQ741" s="407">
        <v>30</v>
      </c>
      <c r="CR741" s="407">
        <v>83.34226755356633</v>
      </c>
      <c r="CS741" s="407">
        <v>0</v>
      </c>
      <c r="CT741" s="407">
        <v>0</v>
      </c>
      <c r="CU741" s="407">
        <v>0</v>
      </c>
      <c r="CV741" s="407">
        <v>0</v>
      </c>
      <c r="CW741" s="407">
        <v>0</v>
      </c>
      <c r="CX741" s="407">
        <v>0</v>
      </c>
      <c r="CY741" s="407">
        <v>0</v>
      </c>
      <c r="CZ741" s="407">
        <v>0</v>
      </c>
      <c r="DA741" s="407">
        <v>0</v>
      </c>
      <c r="DB741" s="407">
        <v>0</v>
      </c>
      <c r="DC741" s="407">
        <v>114.76593741244949</v>
      </c>
      <c r="DD741" s="407">
        <v>0</v>
      </c>
      <c r="DE741" s="407">
        <v>0</v>
      </c>
      <c r="DF741" s="407">
        <v>0</v>
      </c>
      <c r="DG741" s="407">
        <v>3.8618817869108746</v>
      </c>
      <c r="DH741" s="407">
        <v>0</v>
      </c>
      <c r="DI741" s="407">
        <v>-14.172270704748342</v>
      </c>
      <c r="DJ741" s="407"/>
      <c r="DK741" s="407">
        <v>0</v>
      </c>
      <c r="DL741" s="407">
        <v>0</v>
      </c>
      <c r="DM741" s="407">
        <v>0</v>
      </c>
      <c r="DN741" s="407">
        <v>0</v>
      </c>
      <c r="DO741" s="407">
        <v>-2.1926839538365996</v>
      </c>
      <c r="DP741" s="407">
        <v>-0.25676411836993118</v>
      </c>
      <c r="DQ741" s="407">
        <v>0</v>
      </c>
      <c r="DR741" s="407">
        <v>-18.663832868839279</v>
      </c>
      <c r="DS741" s="407"/>
      <c r="DT741" s="407"/>
      <c r="DU741" s="407"/>
      <c r="DV741" s="407">
        <v>0</v>
      </c>
      <c r="DW741" s="407">
        <v>0</v>
      </c>
      <c r="DX741" s="407">
        <v>0</v>
      </c>
      <c r="DY741" s="407">
        <v>-19.740780000000029</v>
      </c>
      <c r="DZ741" s="407">
        <v>103.09491000000003</v>
      </c>
      <c r="EA741" s="407">
        <v>0</v>
      </c>
      <c r="EB741" s="407">
        <v>0</v>
      </c>
      <c r="EC741" s="407">
        <v>0</v>
      </c>
      <c r="ED741" s="407">
        <v>0</v>
      </c>
      <c r="EE741" s="407">
        <v>0</v>
      </c>
      <c r="EF741" s="407">
        <v>0</v>
      </c>
      <c r="EG741" s="407">
        <v>0</v>
      </c>
      <c r="EH741" s="407">
        <v>0</v>
      </c>
      <c r="EI741" s="407">
        <v>0</v>
      </c>
      <c r="EJ741" s="407">
        <v>0</v>
      </c>
      <c r="EK741" s="407">
        <v>0</v>
      </c>
      <c r="EL741" s="407">
        <v>0</v>
      </c>
      <c r="EM741" s="407">
        <v>0</v>
      </c>
      <c r="EN741" s="407">
        <v>0</v>
      </c>
      <c r="EO741" s="407">
        <v>0</v>
      </c>
      <c r="EP741" s="407">
        <v>95.844691049835973</v>
      </c>
      <c r="EQ741" s="407">
        <v>0</v>
      </c>
      <c r="ER741" s="407">
        <v>0</v>
      </c>
      <c r="ES741" s="407">
        <v>0</v>
      </c>
      <c r="ET741" s="407">
        <v>0</v>
      </c>
      <c r="EU741" s="407">
        <v>0</v>
      </c>
      <c r="EV741" s="407">
        <v>246</v>
      </c>
      <c r="EW741" s="407">
        <v>0</v>
      </c>
      <c r="EX741" s="407">
        <v>0</v>
      </c>
      <c r="EY741" s="407">
        <v>0</v>
      </c>
      <c r="EZ741" s="407"/>
      <c r="FA741" s="407">
        <v>0</v>
      </c>
      <c r="FB741" s="407"/>
      <c r="FC741" s="407"/>
      <c r="FD741" s="407"/>
      <c r="FE741" s="407"/>
      <c r="FF741" s="407">
        <v>0</v>
      </c>
      <c r="FG741" s="407">
        <v>0</v>
      </c>
      <c r="FH741" s="407">
        <v>0</v>
      </c>
      <c r="FI741" s="407">
        <v>0</v>
      </c>
    </row>
    <row r="742" spans="1:165">
      <c r="A742" s="407">
        <v>769</v>
      </c>
      <c r="B742" s="407" t="s">
        <v>1090</v>
      </c>
      <c r="C742" s="407" t="s">
        <v>2314</v>
      </c>
      <c r="D742" s="407" t="s">
        <v>650</v>
      </c>
      <c r="E742" s="407" t="s">
        <v>2316</v>
      </c>
      <c r="F742" s="407" t="s">
        <v>97</v>
      </c>
      <c r="G742" s="407" t="s">
        <v>97</v>
      </c>
      <c r="H742" s="407" t="s">
        <v>97</v>
      </c>
      <c r="I742" s="407" t="s">
        <v>97</v>
      </c>
      <c r="J742" s="407" t="s">
        <v>2307</v>
      </c>
      <c r="K742" s="818">
        <v>44713</v>
      </c>
      <c r="L742" s="407">
        <v>45</v>
      </c>
      <c r="M742" s="407">
        <v>45</v>
      </c>
      <c r="N742" s="407">
        <v>0</v>
      </c>
      <c r="O742" s="407">
        <v>0</v>
      </c>
      <c r="P742" s="407">
        <v>0</v>
      </c>
      <c r="Q742" s="407">
        <v>0</v>
      </c>
      <c r="R742" s="407">
        <v>43.29</v>
      </c>
      <c r="S742" s="407"/>
      <c r="T742" s="407"/>
      <c r="U742" s="407">
        <v>1948.05</v>
      </c>
      <c r="V742" s="407"/>
      <c r="W742" s="407">
        <v>1948.05</v>
      </c>
      <c r="X742" s="407">
        <v>1507.0500000000002</v>
      </c>
      <c r="Y742" s="407">
        <v>0</v>
      </c>
      <c r="Z742" s="407">
        <v>0</v>
      </c>
      <c r="AA742" s="407">
        <v>0</v>
      </c>
      <c r="AB742" s="407">
        <v>0</v>
      </c>
      <c r="AC742" s="407">
        <v>0</v>
      </c>
      <c r="AD742" s="407">
        <v>1064.8794221297101</v>
      </c>
      <c r="AE742" s="407">
        <v>883.31341969672201</v>
      </c>
      <c r="AF742" s="407"/>
      <c r="AG742" s="407"/>
      <c r="AH742" s="407"/>
      <c r="AI742" s="407">
        <v>0</v>
      </c>
      <c r="AJ742" s="407">
        <v>0</v>
      </c>
      <c r="AK742" s="407">
        <v>0</v>
      </c>
      <c r="AL742" s="407">
        <v>0</v>
      </c>
      <c r="AM742" s="407"/>
      <c r="AN742" s="407">
        <v>0</v>
      </c>
      <c r="AO742" s="407">
        <v>0</v>
      </c>
      <c r="AP742" s="407">
        <v>0</v>
      </c>
      <c r="AQ742" s="407">
        <v>0</v>
      </c>
      <c r="AR742" s="407">
        <v>0</v>
      </c>
      <c r="AS742" s="407"/>
      <c r="AT742" s="407"/>
      <c r="AU742" s="407">
        <v>0</v>
      </c>
      <c r="AV742" s="407">
        <v>0</v>
      </c>
      <c r="AW742" s="407">
        <v>0</v>
      </c>
      <c r="AX742" s="407"/>
      <c r="AY742" s="407"/>
      <c r="AZ742" s="407">
        <v>0</v>
      </c>
      <c r="BA742" s="407"/>
      <c r="BB742" s="407">
        <v>0</v>
      </c>
      <c r="BC742" s="407">
        <v>0</v>
      </c>
      <c r="BD742" s="407">
        <v>0</v>
      </c>
      <c r="BE742" s="407">
        <v>0</v>
      </c>
      <c r="BF742" s="407"/>
      <c r="BG742" s="407">
        <v>0</v>
      </c>
      <c r="BH742" s="407">
        <v>0</v>
      </c>
      <c r="BI742" s="407">
        <v>8.49</v>
      </c>
      <c r="BJ742" s="407">
        <v>39.03</v>
      </c>
      <c r="BK742" s="407">
        <v>0</v>
      </c>
      <c r="BL742" s="407">
        <v>1</v>
      </c>
      <c r="BM742" s="407"/>
      <c r="BN742" s="407"/>
      <c r="BO742" s="407"/>
      <c r="BP742" s="407"/>
      <c r="BQ742" s="407"/>
      <c r="BR742" s="407"/>
      <c r="BS742" s="407"/>
      <c r="BT742" s="407"/>
      <c r="BU742" s="407"/>
      <c r="BV742" s="407">
        <v>0</v>
      </c>
      <c r="BW742" s="407"/>
      <c r="BX742" s="407"/>
      <c r="BY742" s="407"/>
      <c r="BZ742" s="407"/>
      <c r="CA742" s="407"/>
      <c r="CB742" s="407"/>
      <c r="CC742" s="407"/>
      <c r="CD742" s="407"/>
      <c r="CE742" s="407"/>
      <c r="CF742" s="407"/>
      <c r="CG742" s="407"/>
      <c r="CH742" s="407"/>
      <c r="CI742" s="407">
        <v>1507.0500000000002</v>
      </c>
      <c r="CJ742" s="407">
        <v>-441.02999999999975</v>
      </c>
      <c r="CK742" s="407"/>
      <c r="CL742" s="407"/>
      <c r="CM742" s="407"/>
      <c r="CN742" s="407"/>
      <c r="CO742" s="407">
        <v>-440.99999999999989</v>
      </c>
      <c r="CP742" s="407">
        <v>0</v>
      </c>
      <c r="CQ742" s="407">
        <v>30</v>
      </c>
      <c r="CR742" s="407">
        <v>10.064706534659763</v>
      </c>
      <c r="CS742" s="407">
        <v>0</v>
      </c>
      <c r="CT742" s="407">
        <v>0</v>
      </c>
      <c r="CU742" s="407">
        <v>0</v>
      </c>
      <c r="CV742" s="407">
        <v>0</v>
      </c>
      <c r="CW742" s="407"/>
      <c r="CX742" s="407"/>
      <c r="CY742" s="407"/>
      <c r="CZ742" s="407">
        <v>48.102714951201051</v>
      </c>
      <c r="DA742" s="407">
        <v>0</v>
      </c>
      <c r="DB742" s="407">
        <v>0</v>
      </c>
      <c r="DC742" s="407"/>
      <c r="DD742" s="407"/>
      <c r="DE742" s="407">
        <v>0</v>
      </c>
      <c r="DF742" s="407">
        <v>0</v>
      </c>
      <c r="DG742" s="407">
        <v>0</v>
      </c>
      <c r="DH742" s="407">
        <v>0</v>
      </c>
      <c r="DI742" s="407">
        <v>0</v>
      </c>
      <c r="DJ742" s="407"/>
      <c r="DK742" s="407">
        <v>0</v>
      </c>
      <c r="DL742" s="407">
        <v>0</v>
      </c>
      <c r="DM742" s="407"/>
      <c r="DN742" s="407">
        <v>0</v>
      </c>
      <c r="DO742" s="407">
        <v>0</v>
      </c>
      <c r="DP742" s="407">
        <v>0</v>
      </c>
      <c r="DQ742" s="407">
        <v>0</v>
      </c>
      <c r="DR742" s="407">
        <v>-38.03800841654121</v>
      </c>
      <c r="DS742" s="407"/>
      <c r="DT742" s="407"/>
      <c r="DU742" s="407">
        <v>883.31341969672201</v>
      </c>
      <c r="DV742" s="407"/>
      <c r="DW742" s="407">
        <v>0</v>
      </c>
      <c r="DX742" s="407">
        <v>0</v>
      </c>
      <c r="DY742" s="407">
        <v>-440.99999999999977</v>
      </c>
      <c r="DZ742" s="407"/>
      <c r="EA742" s="407">
        <v>0</v>
      </c>
      <c r="EB742" s="407"/>
      <c r="EC742" s="407">
        <v>-451.19854638546485</v>
      </c>
      <c r="ED742" s="407"/>
      <c r="EE742" s="407">
        <v>0</v>
      </c>
      <c r="EF742" s="407">
        <v>0</v>
      </c>
      <c r="EG742" s="407"/>
      <c r="EH742" s="407">
        <v>0</v>
      </c>
      <c r="EI742" s="407">
        <v>0</v>
      </c>
      <c r="EJ742" s="407">
        <v>0</v>
      </c>
      <c r="EK742" s="407">
        <v>0</v>
      </c>
      <c r="EL742" s="407">
        <v>0</v>
      </c>
      <c r="EM742" s="407"/>
      <c r="EN742" s="407"/>
      <c r="EO742" s="407">
        <v>0</v>
      </c>
      <c r="EP742" s="407">
        <v>0</v>
      </c>
      <c r="EQ742" s="407"/>
      <c r="ER742" s="407">
        <v>0</v>
      </c>
      <c r="ES742" s="407"/>
      <c r="ET742" s="407">
        <v>0</v>
      </c>
      <c r="EU742" s="407"/>
      <c r="EV742" s="407">
        <v>246</v>
      </c>
      <c r="EW742" s="407"/>
      <c r="EX742" s="407"/>
      <c r="EY742" s="407"/>
      <c r="EZ742" s="407"/>
      <c r="FA742" s="407">
        <v>0</v>
      </c>
      <c r="FB742" s="407"/>
      <c r="FC742" s="407"/>
      <c r="FD742" s="407"/>
      <c r="FE742" s="407"/>
      <c r="FF742" s="407">
        <v>0</v>
      </c>
      <c r="FG742" s="407">
        <v>0</v>
      </c>
      <c r="FH742" s="407">
        <v>0</v>
      </c>
      <c r="FI742" s="407">
        <v>0</v>
      </c>
    </row>
    <row r="743" spans="1:165">
      <c r="A743" s="407">
        <v>770</v>
      </c>
      <c r="B743" s="407" t="s">
        <v>1090</v>
      </c>
      <c r="C743" s="407" t="s">
        <v>2306</v>
      </c>
      <c r="D743" s="407" t="s">
        <v>2318</v>
      </c>
      <c r="E743" s="407" t="s">
        <v>2319</v>
      </c>
      <c r="F743" s="407" t="s">
        <v>2320</v>
      </c>
      <c r="G743" s="407" t="s">
        <v>97</v>
      </c>
      <c r="H743" s="407" t="s">
        <v>97</v>
      </c>
      <c r="I743" s="407" t="s">
        <v>97</v>
      </c>
      <c r="J743" s="407" t="s">
        <v>2307</v>
      </c>
      <c r="K743" s="818">
        <v>44713</v>
      </c>
      <c r="L743" s="407">
        <v>0</v>
      </c>
      <c r="M743" s="407">
        <v>0</v>
      </c>
      <c r="N743" s="407">
        <v>511.149</v>
      </c>
      <c r="O743" s="407">
        <v>511.149</v>
      </c>
      <c r="P743" s="407">
        <v>511.149</v>
      </c>
      <c r="Q743" s="407">
        <v>511.149</v>
      </c>
      <c r="R743" s="407"/>
      <c r="S743" s="407">
        <v>356.64</v>
      </c>
      <c r="T743" s="407">
        <v>87.68</v>
      </c>
      <c r="U743" s="407"/>
      <c r="V743" s="407">
        <v>227113.72368</v>
      </c>
      <c r="W743" s="407">
        <v>227113.72368</v>
      </c>
      <c r="X743" s="407">
        <v>172001.6385</v>
      </c>
      <c r="Y743" s="407">
        <v>0</v>
      </c>
      <c r="Z743" s="407">
        <v>17421.817401602519</v>
      </c>
      <c r="AA743" s="407">
        <v>0</v>
      </c>
      <c r="AB743" s="407">
        <v>0</v>
      </c>
      <c r="AC743" s="407">
        <v>0</v>
      </c>
      <c r="AD743" s="407">
        <v>32792.474997587007</v>
      </c>
      <c r="AE743" s="407">
        <v>117385.51860465281</v>
      </c>
      <c r="AF743" s="407">
        <v>43359.182139453849</v>
      </c>
      <c r="AG743" s="407">
        <v>1456.754705457178</v>
      </c>
      <c r="AH743" s="407">
        <v>0</v>
      </c>
      <c r="AI743" s="407">
        <v>0</v>
      </c>
      <c r="AJ743" s="407">
        <v>0</v>
      </c>
      <c r="AK743" s="407">
        <v>0</v>
      </c>
      <c r="AL743" s="407">
        <v>2692.1351140620682</v>
      </c>
      <c r="AM743" s="407"/>
      <c r="AN743" s="407">
        <v>583.37568384418137</v>
      </c>
      <c r="AO743" s="407">
        <v>0</v>
      </c>
      <c r="AP743" s="407">
        <v>0</v>
      </c>
      <c r="AQ743" s="407">
        <v>0</v>
      </c>
      <c r="AR743" s="407">
        <v>0</v>
      </c>
      <c r="AS743" s="407">
        <v>0</v>
      </c>
      <c r="AT743" s="407">
        <v>0</v>
      </c>
      <c r="AU743" s="407">
        <v>0</v>
      </c>
      <c r="AV743" s="407">
        <v>0</v>
      </c>
      <c r="AW743" s="407">
        <v>0</v>
      </c>
      <c r="AX743" s="407">
        <v>0</v>
      </c>
      <c r="AY743" s="407">
        <v>0</v>
      </c>
      <c r="AZ743" s="407">
        <v>0</v>
      </c>
      <c r="BA743" s="407"/>
      <c r="BB743" s="407">
        <v>0</v>
      </c>
      <c r="BC743" s="407">
        <v>0</v>
      </c>
      <c r="BD743" s="407">
        <v>0</v>
      </c>
      <c r="BE743" s="407">
        <v>0</v>
      </c>
      <c r="BF743" s="407">
        <v>0</v>
      </c>
      <c r="BG743" s="407">
        <v>3169.4177582488796</v>
      </c>
      <c r="BH743" s="407">
        <v>0</v>
      </c>
      <c r="BI743" s="407">
        <v>435.91</v>
      </c>
      <c r="BJ743" s="407">
        <v>2006.12</v>
      </c>
      <c r="BK743" s="407">
        <v>43610.78</v>
      </c>
      <c r="BL743" s="407">
        <v>62</v>
      </c>
      <c r="BM743" s="407"/>
      <c r="BN743" s="407"/>
      <c r="BO743" s="407"/>
      <c r="BP743" s="407"/>
      <c r="BQ743" s="407"/>
      <c r="BR743" s="407"/>
      <c r="BS743" s="407"/>
      <c r="BT743" s="407"/>
      <c r="BU743" s="407"/>
      <c r="BV743" s="407">
        <v>46528.599897702727</v>
      </c>
      <c r="BW743" s="407"/>
      <c r="BX743" s="407"/>
      <c r="BY743" s="407"/>
      <c r="BZ743" s="407"/>
      <c r="CA743" s="407"/>
      <c r="CB743" s="407"/>
      <c r="CC743" s="407"/>
      <c r="CD743" s="407"/>
      <c r="CE743" s="407"/>
      <c r="CF743" s="407"/>
      <c r="CG743" s="407"/>
      <c r="CH743" s="407"/>
      <c r="CI743" s="407">
        <v>172001.97499999998</v>
      </c>
      <c r="CJ743" s="407">
        <v>-55111.778680000047</v>
      </c>
      <c r="CK743" s="407"/>
      <c r="CL743" s="407"/>
      <c r="CM743" s="407"/>
      <c r="CN743" s="407"/>
      <c r="CO743" s="407">
        <v>-62830.435079999996</v>
      </c>
      <c r="CP743" s="407">
        <v>7718.3498999999974</v>
      </c>
      <c r="CQ743" s="407">
        <v>30</v>
      </c>
      <c r="CR743" s="407">
        <v>4850.6557300771383</v>
      </c>
      <c r="CS743" s="407">
        <v>0</v>
      </c>
      <c r="CT743" s="407">
        <v>0</v>
      </c>
      <c r="CU743" s="407">
        <v>0</v>
      </c>
      <c r="CV743" s="407">
        <v>0</v>
      </c>
      <c r="CW743" s="407">
        <v>0</v>
      </c>
      <c r="CX743" s="407">
        <v>0</v>
      </c>
      <c r="CY743" s="407">
        <v>0</v>
      </c>
      <c r="CZ743" s="407">
        <v>1481.3011168895173</v>
      </c>
      <c r="DA743" s="407">
        <v>0</v>
      </c>
      <c r="DB743" s="407">
        <v>0</v>
      </c>
      <c r="DC743" s="407">
        <v>8596.9549102957026</v>
      </c>
      <c r="DD743" s="407">
        <v>0</v>
      </c>
      <c r="DE743" s="407">
        <v>0</v>
      </c>
      <c r="DF743" s="407">
        <v>0</v>
      </c>
      <c r="DG743" s="407">
        <v>628.40995182800998</v>
      </c>
      <c r="DH743" s="407">
        <v>0</v>
      </c>
      <c r="DI743" s="407">
        <v>-1220.2584596395918</v>
      </c>
      <c r="DJ743" s="407"/>
      <c r="DK743" s="407">
        <v>0</v>
      </c>
      <c r="DL743" s="407">
        <v>0</v>
      </c>
      <c r="DM743" s="407">
        <v>0</v>
      </c>
      <c r="DN743" s="407">
        <v>0</v>
      </c>
      <c r="DO743" s="407">
        <v>-164.25087015075724</v>
      </c>
      <c r="DP743" s="407">
        <v>-37.171290187251543</v>
      </c>
      <c r="DQ743" s="407">
        <v>0</v>
      </c>
      <c r="DR743" s="407">
        <v>-4434.3296289584823</v>
      </c>
      <c r="DS743" s="407"/>
      <c r="DT743" s="407"/>
      <c r="DU743" s="407"/>
      <c r="DV743" s="407">
        <v>117385.51860465281</v>
      </c>
      <c r="DW743" s="407">
        <v>0</v>
      </c>
      <c r="DX743" s="407">
        <v>0</v>
      </c>
      <c r="DY743" s="407">
        <v>-62830.435079999981</v>
      </c>
      <c r="DZ743" s="407">
        <v>7718.3499000000011</v>
      </c>
      <c r="EA743" s="407">
        <v>0</v>
      </c>
      <c r="EB743" s="407">
        <v>0</v>
      </c>
      <c r="EC743" s="407">
        <v>-59960.795545603331</v>
      </c>
      <c r="ED743" s="407">
        <v>0</v>
      </c>
      <c r="EE743" s="407">
        <v>0</v>
      </c>
      <c r="EF743" s="407">
        <v>0</v>
      </c>
      <c r="EG743" s="407">
        <v>0</v>
      </c>
      <c r="EH743" s="407">
        <v>0</v>
      </c>
      <c r="EI743" s="407">
        <v>0</v>
      </c>
      <c r="EJ743" s="407">
        <v>0</v>
      </c>
      <c r="EK743" s="407">
        <v>0</v>
      </c>
      <c r="EL743" s="407">
        <v>0</v>
      </c>
      <c r="EM743" s="407">
        <v>0</v>
      </c>
      <c r="EN743" s="407">
        <v>0</v>
      </c>
      <c r="EO743" s="407">
        <v>0</v>
      </c>
      <c r="EP743" s="407">
        <v>8252.4034081509853</v>
      </c>
      <c r="EQ743" s="407">
        <v>0</v>
      </c>
      <c r="ER743" s="407">
        <v>0</v>
      </c>
      <c r="ES743" s="407">
        <v>0</v>
      </c>
      <c r="ET743" s="407">
        <v>0</v>
      </c>
      <c r="EU743" s="407">
        <v>0</v>
      </c>
      <c r="EV743" s="407">
        <v>246</v>
      </c>
      <c r="EW743" s="407">
        <v>0</v>
      </c>
      <c r="EX743" s="407">
        <v>0</v>
      </c>
      <c r="EY743" s="407">
        <v>0</v>
      </c>
      <c r="EZ743" s="407"/>
      <c r="FA743" s="407">
        <v>0</v>
      </c>
      <c r="FB743" s="407"/>
      <c r="FC743" s="407"/>
      <c r="FD743" s="407"/>
      <c r="FE743" s="407"/>
      <c r="FF743" s="407">
        <v>0</v>
      </c>
      <c r="FG743" s="407">
        <v>0</v>
      </c>
      <c r="FH743" s="407">
        <v>0</v>
      </c>
      <c r="FI743" s="407">
        <v>0</v>
      </c>
    </row>
    <row r="744" spans="1:165">
      <c r="A744" s="407">
        <v>771</v>
      </c>
      <c r="B744" s="407" t="s">
        <v>1090</v>
      </c>
      <c r="C744" s="407" t="s">
        <v>2306</v>
      </c>
      <c r="D744" s="407" t="s">
        <v>1219</v>
      </c>
      <c r="E744" s="407" t="s">
        <v>1052</v>
      </c>
      <c r="F744" s="407" t="s">
        <v>2321</v>
      </c>
      <c r="G744" s="407" t="s">
        <v>97</v>
      </c>
      <c r="H744" s="407" t="s">
        <v>97</v>
      </c>
      <c r="I744" s="407" t="s">
        <v>97</v>
      </c>
      <c r="J744" s="407" t="s">
        <v>2307</v>
      </c>
      <c r="K744" s="818">
        <v>44713</v>
      </c>
      <c r="L744" s="407">
        <v>0</v>
      </c>
      <c r="M744" s="407">
        <v>0</v>
      </c>
      <c r="N744" s="407">
        <v>40.664999999999999</v>
      </c>
      <c r="O744" s="407">
        <v>38.225099999999998</v>
      </c>
      <c r="P744" s="407">
        <v>40.664999999999999</v>
      </c>
      <c r="Q744" s="407">
        <v>38.225099999999998</v>
      </c>
      <c r="R744" s="407"/>
      <c r="S744" s="407">
        <v>648.44000000000005</v>
      </c>
      <c r="T744" s="407">
        <v>159.41</v>
      </c>
      <c r="U744" s="407"/>
      <c r="V744" s="407">
        <v>32851.220249999998</v>
      </c>
      <c r="W744" s="407">
        <v>32851.220249999998</v>
      </c>
      <c r="X744" s="407">
        <v>24879.6603</v>
      </c>
      <c r="Y744" s="407">
        <v>0</v>
      </c>
      <c r="Z744" s="407">
        <v>2520.0202418692224</v>
      </c>
      <c r="AA744" s="407">
        <v>0</v>
      </c>
      <c r="AB744" s="407">
        <v>0</v>
      </c>
      <c r="AC744" s="407">
        <v>0</v>
      </c>
      <c r="AD744" s="407">
        <v>4743.3455919075641</v>
      </c>
      <c r="AE744" s="407">
        <v>16979.507715356485</v>
      </c>
      <c r="AF744" s="407">
        <v>6271.7920951385768</v>
      </c>
      <c r="AG744" s="407">
        <v>210.71575143777204</v>
      </c>
      <c r="AH744" s="407">
        <v>0</v>
      </c>
      <c r="AI744" s="407">
        <v>0</v>
      </c>
      <c r="AJ744" s="407">
        <v>0</v>
      </c>
      <c r="AK744" s="407">
        <v>0</v>
      </c>
      <c r="AL744" s="407">
        <v>389.41029083792876</v>
      </c>
      <c r="AM744" s="407"/>
      <c r="AN744" s="407">
        <v>84.383764220052498</v>
      </c>
      <c r="AO744" s="407">
        <v>0</v>
      </c>
      <c r="AP744" s="407">
        <v>0</v>
      </c>
      <c r="AQ744" s="407">
        <v>0</v>
      </c>
      <c r="AR744" s="407">
        <v>0</v>
      </c>
      <c r="AS744" s="407">
        <v>0</v>
      </c>
      <c r="AT744" s="407">
        <v>0</v>
      </c>
      <c r="AU744" s="407">
        <v>0</v>
      </c>
      <c r="AV744" s="407">
        <v>0</v>
      </c>
      <c r="AW744" s="407">
        <v>0</v>
      </c>
      <c r="AX744" s="407">
        <v>0</v>
      </c>
      <c r="AY744" s="407">
        <v>0</v>
      </c>
      <c r="AZ744" s="407">
        <v>0</v>
      </c>
      <c r="BA744" s="407"/>
      <c r="BB744" s="407">
        <v>0</v>
      </c>
      <c r="BC744" s="407">
        <v>0</v>
      </c>
      <c r="BD744" s="407">
        <v>0</v>
      </c>
      <c r="BE744" s="407">
        <v>0</v>
      </c>
      <c r="BF744" s="407">
        <v>0</v>
      </c>
      <c r="BG744" s="407">
        <v>458.44797483598137</v>
      </c>
      <c r="BH744" s="407">
        <v>0</v>
      </c>
      <c r="BI744" s="407">
        <v>59.22</v>
      </c>
      <c r="BJ744" s="407">
        <v>272.77999999999997</v>
      </c>
      <c r="BK744" s="407">
        <v>8410.8799999999992</v>
      </c>
      <c r="BL744" s="407">
        <v>13</v>
      </c>
      <c r="BM744" s="407"/>
      <c r="BN744" s="407"/>
      <c r="BO744" s="407"/>
      <c r="BP744" s="407"/>
      <c r="BQ744" s="407">
        <v>1492.7796180000009</v>
      </c>
      <c r="BR744" s="407"/>
      <c r="BS744" s="407"/>
      <c r="BT744" s="407"/>
      <c r="BU744" s="407"/>
      <c r="BV744" s="407">
        <v>6730.2400699745585</v>
      </c>
      <c r="BW744" s="407"/>
      <c r="BX744" s="407"/>
      <c r="BY744" s="407"/>
      <c r="BZ744" s="407"/>
      <c r="CA744" s="407"/>
      <c r="CB744" s="407"/>
      <c r="CC744" s="407"/>
      <c r="CD744" s="407"/>
      <c r="CE744" s="407"/>
      <c r="CF744" s="407"/>
      <c r="CG744" s="407"/>
      <c r="CH744" s="407"/>
      <c r="CI744" s="407">
        <v>23389.878599999996</v>
      </c>
      <c r="CJ744" s="407">
        <v>-7490.298434999997</v>
      </c>
      <c r="CK744" s="407"/>
      <c r="CL744" s="407"/>
      <c r="CM744" s="407"/>
      <c r="CN744" s="407"/>
      <c r="CO744" s="407">
        <v>-9088.6275000000023</v>
      </c>
      <c r="CP744" s="407">
        <v>1117.06755</v>
      </c>
      <c r="CQ744" s="407">
        <v>30</v>
      </c>
      <c r="CR744" s="407">
        <v>701.63464260674664</v>
      </c>
      <c r="CS744" s="407">
        <v>0</v>
      </c>
      <c r="CT744" s="407">
        <v>0</v>
      </c>
      <c r="CU744" s="407">
        <v>0</v>
      </c>
      <c r="CV744" s="407">
        <v>0</v>
      </c>
      <c r="CW744" s="407">
        <v>0</v>
      </c>
      <c r="CX744" s="407">
        <v>0</v>
      </c>
      <c r="CY744" s="407">
        <v>0</v>
      </c>
      <c r="CZ744" s="407">
        <v>214.26632553970103</v>
      </c>
      <c r="DA744" s="407">
        <v>0</v>
      </c>
      <c r="DB744" s="407">
        <v>0</v>
      </c>
      <c r="DC744" s="407">
        <v>1243.5270036976444</v>
      </c>
      <c r="DD744" s="407">
        <v>0</v>
      </c>
      <c r="DE744" s="407">
        <v>0</v>
      </c>
      <c r="DF744" s="407">
        <v>0</v>
      </c>
      <c r="DG744" s="407">
        <v>90.897853093844844</v>
      </c>
      <c r="DH744" s="407">
        <v>0</v>
      </c>
      <c r="DI744" s="407">
        <v>-176.50718910192518</v>
      </c>
      <c r="DJ744" s="407"/>
      <c r="DK744" s="407">
        <v>0</v>
      </c>
      <c r="DL744" s="407">
        <v>0</v>
      </c>
      <c r="DM744" s="407">
        <v>0</v>
      </c>
      <c r="DN744" s="407">
        <v>0</v>
      </c>
      <c r="DO744" s="407">
        <v>-23.758458028980897</v>
      </c>
      <c r="DP744" s="407">
        <v>-5.3767297365682367</v>
      </c>
      <c r="DQ744" s="407">
        <v>0</v>
      </c>
      <c r="DR744" s="407">
        <v>-641.41416285696755</v>
      </c>
      <c r="DS744" s="407"/>
      <c r="DT744" s="407"/>
      <c r="DU744" s="407"/>
      <c r="DV744" s="407">
        <v>16979.507715356485</v>
      </c>
      <c r="DW744" s="407">
        <v>0</v>
      </c>
      <c r="DX744" s="407">
        <v>0</v>
      </c>
      <c r="DY744" s="407">
        <v>-9088.6275000000023</v>
      </c>
      <c r="DZ744" s="407">
        <v>1117.0675499999998</v>
      </c>
      <c r="EA744" s="407">
        <v>0</v>
      </c>
      <c r="EB744" s="407">
        <v>0</v>
      </c>
      <c r="EC744" s="407">
        <v>-8673.1719780052717</v>
      </c>
      <c r="ED744" s="407">
        <v>0</v>
      </c>
      <c r="EE744" s="407">
        <v>0</v>
      </c>
      <c r="EF744" s="407">
        <v>0</v>
      </c>
      <c r="EG744" s="407">
        <v>0</v>
      </c>
      <c r="EH744" s="407">
        <v>0</v>
      </c>
      <c r="EI744" s="407">
        <v>0</v>
      </c>
      <c r="EJ744" s="407">
        <v>0</v>
      </c>
      <c r="EK744" s="407">
        <v>0</v>
      </c>
      <c r="EL744" s="407">
        <v>0</v>
      </c>
      <c r="EM744" s="407">
        <v>0</v>
      </c>
      <c r="EN744" s="407">
        <v>0</v>
      </c>
      <c r="EO744" s="407">
        <v>0</v>
      </c>
      <c r="EP744" s="407">
        <v>1193.688531639541</v>
      </c>
      <c r="EQ744" s="407">
        <v>0</v>
      </c>
      <c r="ER744" s="407">
        <v>0</v>
      </c>
      <c r="ES744" s="407">
        <v>0</v>
      </c>
      <c r="ET744" s="407">
        <v>0</v>
      </c>
      <c r="EU744" s="407">
        <v>0</v>
      </c>
      <c r="EV744" s="407">
        <v>246</v>
      </c>
      <c r="EW744" s="407">
        <v>0</v>
      </c>
      <c r="EX744" s="407">
        <v>0</v>
      </c>
      <c r="EY744" s="407">
        <v>0</v>
      </c>
      <c r="EZ744" s="407"/>
      <c r="FA744" s="407">
        <v>0</v>
      </c>
      <c r="FB744" s="407"/>
      <c r="FC744" s="407"/>
      <c r="FD744" s="407"/>
      <c r="FE744" s="407"/>
      <c r="FF744" s="407">
        <v>0</v>
      </c>
      <c r="FG744" s="407">
        <v>0</v>
      </c>
      <c r="FH744" s="407">
        <v>0</v>
      </c>
      <c r="FI744" s="407">
        <v>0</v>
      </c>
    </row>
    <row r="745" spans="1:165">
      <c r="A745" s="407">
        <v>772</v>
      </c>
      <c r="B745" s="407" t="s">
        <v>1090</v>
      </c>
      <c r="C745" s="407" t="s">
        <v>2317</v>
      </c>
      <c r="D745" s="407" t="s">
        <v>650</v>
      </c>
      <c r="E745" s="407" t="s">
        <v>1052</v>
      </c>
      <c r="F745" s="407" t="s">
        <v>2321</v>
      </c>
      <c r="G745" s="407" t="s">
        <v>97</v>
      </c>
      <c r="H745" s="407" t="s">
        <v>97</v>
      </c>
      <c r="I745" s="407" t="s">
        <v>1025</v>
      </c>
      <c r="J745" s="407" t="s">
        <v>2307</v>
      </c>
      <c r="K745" s="818">
        <v>44713</v>
      </c>
      <c r="L745" s="407">
        <v>708</v>
      </c>
      <c r="M745" s="407">
        <v>665.52</v>
      </c>
      <c r="N745" s="407">
        <v>36.845999999999997</v>
      </c>
      <c r="O745" s="407">
        <v>34.635240000000003</v>
      </c>
      <c r="P745" s="407">
        <v>36.845999999999997</v>
      </c>
      <c r="Q745" s="407">
        <v>34.635240000000003</v>
      </c>
      <c r="R745" s="407">
        <v>112.91</v>
      </c>
      <c r="S745" s="407">
        <v>95.29</v>
      </c>
      <c r="T745" s="407">
        <v>159.41</v>
      </c>
      <c r="U745" s="407">
        <v>79940.28</v>
      </c>
      <c r="V745" s="407">
        <v>9384.6761999999981</v>
      </c>
      <c r="W745" s="407">
        <v>89324.956200000001</v>
      </c>
      <c r="X745" s="407">
        <v>57738.145860000004</v>
      </c>
      <c r="Y745" s="407">
        <v>0</v>
      </c>
      <c r="Z745" s="407">
        <v>1986.5195936005061</v>
      </c>
      <c r="AA745" s="407">
        <v>0</v>
      </c>
      <c r="AB745" s="407">
        <v>0</v>
      </c>
      <c r="AC745" s="407">
        <v>0</v>
      </c>
      <c r="AD745" s="407">
        <v>17972.872804850485</v>
      </c>
      <c r="AE745" s="407">
        <v>61965.112641339554</v>
      </c>
      <c r="AF745" s="407">
        <v>5682.7849880112135</v>
      </c>
      <c r="AG745" s="407">
        <v>190.92665873542722</v>
      </c>
      <c r="AH745" s="407">
        <v>0</v>
      </c>
      <c r="AI745" s="407">
        <v>0</v>
      </c>
      <c r="AJ745" s="407">
        <v>0</v>
      </c>
      <c r="AK745" s="407">
        <v>0</v>
      </c>
      <c r="AL745" s="407">
        <v>352.83933545344451</v>
      </c>
      <c r="AM745" s="407"/>
      <c r="AN745" s="407">
        <v>39.562780259896051</v>
      </c>
      <c r="AO745" s="407">
        <v>0</v>
      </c>
      <c r="AP745" s="407">
        <v>0</v>
      </c>
      <c r="AQ745" s="407">
        <v>0</v>
      </c>
      <c r="AR745" s="407">
        <v>0</v>
      </c>
      <c r="AS745" s="407">
        <v>0</v>
      </c>
      <c r="AT745" s="407">
        <v>0</v>
      </c>
      <c r="AU745" s="407">
        <v>0</v>
      </c>
      <c r="AV745" s="407">
        <v>0</v>
      </c>
      <c r="AW745" s="407">
        <v>0</v>
      </c>
      <c r="AX745" s="407">
        <v>0</v>
      </c>
      <c r="AY745" s="407">
        <v>0</v>
      </c>
      <c r="AZ745" s="407">
        <v>0</v>
      </c>
      <c r="BA745" s="407"/>
      <c r="BB745" s="407">
        <v>0</v>
      </c>
      <c r="BC745" s="407">
        <v>0</v>
      </c>
      <c r="BD745" s="407">
        <v>0</v>
      </c>
      <c r="BE745" s="407">
        <v>0</v>
      </c>
      <c r="BF745" s="407">
        <v>0</v>
      </c>
      <c r="BG745" s="407">
        <v>191.22611062949699</v>
      </c>
      <c r="BH745" s="407">
        <v>0</v>
      </c>
      <c r="BI745" s="407">
        <v>0</v>
      </c>
      <c r="BJ745" s="407">
        <v>0</v>
      </c>
      <c r="BK745" s="407">
        <v>0</v>
      </c>
      <c r="BL745" s="407">
        <v>0</v>
      </c>
      <c r="BM745" s="407"/>
      <c r="BN745" s="407"/>
      <c r="BO745" s="407"/>
      <c r="BP745" s="407"/>
      <c r="BQ745" s="407">
        <v>3464.2887515999996</v>
      </c>
      <c r="BR745" s="407"/>
      <c r="BS745" s="407"/>
      <c r="BT745" s="407"/>
      <c r="BU745" s="407"/>
      <c r="BV745" s="407">
        <v>5874.0110986407108</v>
      </c>
      <c r="BW745" s="407"/>
      <c r="BX745" s="407"/>
      <c r="BY745" s="407"/>
      <c r="BZ745" s="407"/>
      <c r="CA745" s="407"/>
      <c r="CB745" s="407"/>
      <c r="CC745" s="407"/>
      <c r="CD745" s="407"/>
      <c r="CE745" s="407"/>
      <c r="CF745" s="407"/>
      <c r="CG745" s="407"/>
      <c r="CH745" s="407"/>
      <c r="CI745" s="407">
        <v>54275.175199999998</v>
      </c>
      <c r="CJ745" s="407">
        <v>-29690.313627999974</v>
      </c>
      <c r="CK745" s="407"/>
      <c r="CL745" s="407"/>
      <c r="CM745" s="407"/>
      <c r="CN745" s="407"/>
      <c r="CO745" s="407">
        <v>-32598.969959999995</v>
      </c>
      <c r="CP745" s="407">
        <v>1012.1596199999999</v>
      </c>
      <c r="CQ745" s="407">
        <v>30</v>
      </c>
      <c r="CR745" s="407">
        <v>69.333077248527843</v>
      </c>
      <c r="CS745" s="407">
        <v>0</v>
      </c>
      <c r="CT745" s="407">
        <v>0</v>
      </c>
      <c r="CU745" s="407">
        <v>0</v>
      </c>
      <c r="CV745" s="407">
        <v>0</v>
      </c>
      <c r="CW745" s="407">
        <v>0</v>
      </c>
      <c r="CX745" s="407">
        <v>0</v>
      </c>
      <c r="CY745" s="407">
        <v>0</v>
      </c>
      <c r="CZ745" s="407">
        <v>811.87030138765112</v>
      </c>
      <c r="DA745" s="407">
        <v>0</v>
      </c>
      <c r="DB745" s="407">
        <v>0</v>
      </c>
      <c r="DC745" s="407">
        <v>1126.7428003994437</v>
      </c>
      <c r="DD745" s="407">
        <v>0</v>
      </c>
      <c r="DE745" s="407">
        <v>0</v>
      </c>
      <c r="DF745" s="407">
        <v>0</v>
      </c>
      <c r="DG745" s="407">
        <v>37.914973706506288</v>
      </c>
      <c r="DH745" s="407">
        <v>0</v>
      </c>
      <c r="DI745" s="407">
        <v>-139.1397512355868</v>
      </c>
      <c r="DJ745" s="407"/>
      <c r="DK745" s="407">
        <v>0</v>
      </c>
      <c r="DL745" s="407">
        <v>0</v>
      </c>
      <c r="DM745" s="407">
        <v>0</v>
      </c>
      <c r="DN745" s="407">
        <v>0</v>
      </c>
      <c r="DO745" s="407">
        <v>-21.527213685868162</v>
      </c>
      <c r="DP745" s="407">
        <v>-2.5208448455791341</v>
      </c>
      <c r="DQ745" s="407">
        <v>0</v>
      </c>
      <c r="DR745" s="407">
        <v>-1744.0071884780386</v>
      </c>
      <c r="DS745" s="407"/>
      <c r="DT745" s="407"/>
      <c r="DU745" s="407">
        <v>61965.112641339554</v>
      </c>
      <c r="DV745" s="407">
        <v>0</v>
      </c>
      <c r="DW745" s="407">
        <v>0</v>
      </c>
      <c r="DX745" s="407">
        <v>0</v>
      </c>
      <c r="DY745" s="407">
        <v>-32598.969960000002</v>
      </c>
      <c r="DZ745" s="407">
        <v>1012.1596200000004</v>
      </c>
      <c r="EA745" s="407">
        <v>0</v>
      </c>
      <c r="EB745" s="407">
        <v>0</v>
      </c>
      <c r="EC745" s="407">
        <v>-31651.923458814021</v>
      </c>
      <c r="ED745" s="407">
        <v>0</v>
      </c>
      <c r="EE745" s="407">
        <v>0</v>
      </c>
      <c r="EF745" s="407">
        <v>0</v>
      </c>
      <c r="EG745" s="407">
        <v>0</v>
      </c>
      <c r="EH745" s="407">
        <v>0</v>
      </c>
      <c r="EI745" s="407">
        <v>0</v>
      </c>
      <c r="EJ745" s="407">
        <v>0</v>
      </c>
      <c r="EK745" s="407">
        <v>0</v>
      </c>
      <c r="EL745" s="407">
        <v>0</v>
      </c>
      <c r="EM745" s="407">
        <v>0</v>
      </c>
      <c r="EN745" s="407">
        <v>0</v>
      </c>
      <c r="EO745" s="407">
        <v>0</v>
      </c>
      <c r="EP745" s="407">
        <v>940.97881332860538</v>
      </c>
      <c r="EQ745" s="407">
        <v>0</v>
      </c>
      <c r="ER745" s="407">
        <v>0</v>
      </c>
      <c r="ES745" s="407">
        <v>0</v>
      </c>
      <c r="ET745" s="407">
        <v>0</v>
      </c>
      <c r="EU745" s="407">
        <v>0</v>
      </c>
      <c r="EV745" s="407">
        <v>246</v>
      </c>
      <c r="EW745" s="407">
        <v>0</v>
      </c>
      <c r="EX745" s="407">
        <v>0</v>
      </c>
      <c r="EY745" s="407">
        <v>0</v>
      </c>
      <c r="EZ745" s="407"/>
      <c r="FA745" s="407">
        <v>0</v>
      </c>
      <c r="FB745" s="407"/>
      <c r="FC745" s="407"/>
      <c r="FD745" s="407"/>
      <c r="FE745" s="407"/>
      <c r="FF745" s="407">
        <v>0</v>
      </c>
      <c r="FG745" s="407">
        <v>0</v>
      </c>
      <c r="FH745" s="407">
        <v>0</v>
      </c>
      <c r="FI745" s="407">
        <v>0</v>
      </c>
    </row>
    <row r="746" spans="1:165">
      <c r="A746" s="407">
        <v>773</v>
      </c>
      <c r="B746" s="407" t="s">
        <v>1090</v>
      </c>
      <c r="C746" s="407" t="s">
        <v>2317</v>
      </c>
      <c r="D746" s="407" t="s">
        <v>650</v>
      </c>
      <c r="E746" s="407" t="s">
        <v>1052</v>
      </c>
      <c r="F746" s="407" t="s">
        <v>2321</v>
      </c>
      <c r="G746" s="407" t="s">
        <v>97</v>
      </c>
      <c r="H746" s="407" t="s">
        <v>97</v>
      </c>
      <c r="I746" s="407" t="s">
        <v>2290</v>
      </c>
      <c r="J746" s="407" t="s">
        <v>2307</v>
      </c>
      <c r="K746" s="818">
        <v>44713</v>
      </c>
      <c r="L746" s="407">
        <v>718</v>
      </c>
      <c r="M746" s="407">
        <v>674.92</v>
      </c>
      <c r="N746" s="407">
        <v>356.12299999999999</v>
      </c>
      <c r="O746" s="407">
        <v>334.75562000000002</v>
      </c>
      <c r="P746" s="407">
        <v>356.12299999999999</v>
      </c>
      <c r="Q746" s="407">
        <v>334.75562000000002</v>
      </c>
      <c r="R746" s="407">
        <v>43.29</v>
      </c>
      <c r="S746" s="407">
        <v>95.29</v>
      </c>
      <c r="T746" s="407">
        <v>159.41</v>
      </c>
      <c r="U746" s="407">
        <v>31082.22</v>
      </c>
      <c r="V746" s="407">
        <v>90704.528099999996</v>
      </c>
      <c r="W746" s="407">
        <v>121786.7481</v>
      </c>
      <c r="X746" s="407">
        <v>122659.83992999999</v>
      </c>
      <c r="Y746" s="407">
        <v>0</v>
      </c>
      <c r="Z746" s="407">
        <v>19200.057461645581</v>
      </c>
      <c r="AA746" s="407">
        <v>0</v>
      </c>
      <c r="AB746" s="407">
        <v>0</v>
      </c>
      <c r="AC746" s="407">
        <v>0</v>
      </c>
      <c r="AD746" s="407">
        <v>16990.742779758486</v>
      </c>
      <c r="AE746" s="407">
        <v>14093.756340938808</v>
      </c>
      <c r="AF746" s="407">
        <v>54925.105528022512</v>
      </c>
      <c r="AG746" s="407">
        <v>1845.3393716777005</v>
      </c>
      <c r="AH746" s="407">
        <v>0</v>
      </c>
      <c r="AI746" s="407">
        <v>0</v>
      </c>
      <c r="AJ746" s="407">
        <v>0</v>
      </c>
      <c r="AK746" s="407">
        <v>0</v>
      </c>
      <c r="AL746" s="407">
        <v>3410.2535596723396</v>
      </c>
      <c r="AM746" s="407"/>
      <c r="AN746" s="407">
        <v>382.38115384288557</v>
      </c>
      <c r="AO746" s="407">
        <v>0</v>
      </c>
      <c r="AP746" s="407">
        <v>0</v>
      </c>
      <c r="AQ746" s="407">
        <v>0</v>
      </c>
      <c r="AR746" s="407">
        <v>0</v>
      </c>
      <c r="AS746" s="407">
        <v>0</v>
      </c>
      <c r="AT746" s="407">
        <v>0</v>
      </c>
      <c r="AU746" s="407">
        <v>0</v>
      </c>
      <c r="AV746" s="407">
        <v>0</v>
      </c>
      <c r="AW746" s="407">
        <v>0</v>
      </c>
      <c r="AX746" s="407">
        <v>0</v>
      </c>
      <c r="AY746" s="407">
        <v>0</v>
      </c>
      <c r="AZ746" s="407">
        <v>0</v>
      </c>
      <c r="BA746" s="407"/>
      <c r="BB746" s="407">
        <v>0</v>
      </c>
      <c r="BC746" s="407">
        <v>0</v>
      </c>
      <c r="BD746" s="407">
        <v>0</v>
      </c>
      <c r="BE746" s="407">
        <v>0</v>
      </c>
      <c r="BF746" s="407">
        <v>0</v>
      </c>
      <c r="BG746" s="407">
        <v>1848.2336263287291</v>
      </c>
      <c r="BH746" s="407">
        <v>0</v>
      </c>
      <c r="BI746" s="407">
        <v>0</v>
      </c>
      <c r="BJ746" s="407">
        <v>0</v>
      </c>
      <c r="BK746" s="407">
        <v>0</v>
      </c>
      <c r="BL746" s="407">
        <v>0</v>
      </c>
      <c r="BM746" s="407"/>
      <c r="BN746" s="407"/>
      <c r="BO746" s="407"/>
      <c r="BP746" s="407"/>
      <c r="BQ746" s="407">
        <v>7359.5903957999926</v>
      </c>
      <c r="BR746" s="407"/>
      <c r="BS746" s="407"/>
      <c r="BT746" s="407"/>
      <c r="BU746" s="407"/>
      <c r="BV746" s="407">
        <v>56773.339154351241</v>
      </c>
      <c r="BW746" s="407"/>
      <c r="BX746" s="407"/>
      <c r="BY746" s="407"/>
      <c r="BZ746" s="407"/>
      <c r="CA746" s="407"/>
      <c r="CB746" s="407"/>
      <c r="CC746" s="407"/>
      <c r="CD746" s="407"/>
      <c r="CE746" s="407"/>
      <c r="CF746" s="407"/>
      <c r="CG746" s="407"/>
      <c r="CH746" s="407"/>
      <c r="CI746" s="407">
        <v>115301.4624</v>
      </c>
      <c r="CJ746" s="407">
        <v>821.88918600000034</v>
      </c>
      <c r="CK746" s="407"/>
      <c r="CL746" s="407"/>
      <c r="CM746" s="407"/>
      <c r="CN746" s="407"/>
      <c r="CO746" s="407">
        <v>-8909.6069800000005</v>
      </c>
      <c r="CP746" s="407">
        <v>9782.6988099999999</v>
      </c>
      <c r="CQ746" s="407">
        <v>30</v>
      </c>
      <c r="CR746" s="407">
        <v>8068.9541840985621</v>
      </c>
      <c r="CS746" s="407">
        <v>0</v>
      </c>
      <c r="CT746" s="407">
        <v>0</v>
      </c>
      <c r="CU746" s="407">
        <v>0</v>
      </c>
      <c r="CV746" s="407">
        <v>0</v>
      </c>
      <c r="CW746" s="407">
        <v>0</v>
      </c>
      <c r="CX746" s="407">
        <v>0</v>
      </c>
      <c r="CY746" s="407">
        <v>0</v>
      </c>
      <c r="CZ746" s="407">
        <v>767.5055407769396</v>
      </c>
      <c r="DA746" s="407">
        <v>0</v>
      </c>
      <c r="DB746" s="407">
        <v>0</v>
      </c>
      <c r="DC746" s="407">
        <v>10890.165182289827</v>
      </c>
      <c r="DD746" s="407">
        <v>0</v>
      </c>
      <c r="DE746" s="407">
        <v>0</v>
      </c>
      <c r="DF746" s="407">
        <v>0</v>
      </c>
      <c r="DG746" s="407">
        <v>366.45481683987805</v>
      </c>
      <c r="DH746" s="407">
        <v>0</v>
      </c>
      <c r="DI746" s="407">
        <v>-1344.8099014620566</v>
      </c>
      <c r="DJ746" s="407"/>
      <c r="DK746" s="407">
        <v>0</v>
      </c>
      <c r="DL746" s="407">
        <v>0</v>
      </c>
      <c r="DM746" s="407">
        <v>0</v>
      </c>
      <c r="DN746" s="407">
        <v>0</v>
      </c>
      <c r="DO746" s="407">
        <v>-208.06426530566205</v>
      </c>
      <c r="DP746" s="407">
        <v>-24.364403977152904</v>
      </c>
      <c r="DQ746" s="407">
        <v>0</v>
      </c>
      <c r="DR746" s="407">
        <v>-2377.932785063213</v>
      </c>
      <c r="DS746" s="407"/>
      <c r="DT746" s="407"/>
      <c r="DU746" s="407">
        <v>14093.756340938808</v>
      </c>
      <c r="DV746" s="407">
        <v>0</v>
      </c>
      <c r="DW746" s="407">
        <v>0</v>
      </c>
      <c r="DX746" s="407">
        <v>0</v>
      </c>
      <c r="DY746" s="407">
        <v>-8909.6069800000041</v>
      </c>
      <c r="DZ746" s="407">
        <v>9782.6988100000017</v>
      </c>
      <c r="EA746" s="407">
        <v>0</v>
      </c>
      <c r="EB746" s="407">
        <v>0</v>
      </c>
      <c r="EC746" s="407">
        <v>-7199.1234734391937</v>
      </c>
      <c r="ED746" s="407">
        <v>0</v>
      </c>
      <c r="EE746" s="407">
        <v>0</v>
      </c>
      <c r="EF746" s="407">
        <v>0</v>
      </c>
      <c r="EG746" s="407">
        <v>0</v>
      </c>
      <c r="EH746" s="407">
        <v>0</v>
      </c>
      <c r="EI746" s="407">
        <v>0</v>
      </c>
      <c r="EJ746" s="407">
        <v>0</v>
      </c>
      <c r="EK746" s="407">
        <v>0</v>
      </c>
      <c r="EL746" s="407">
        <v>0</v>
      </c>
      <c r="EM746" s="407">
        <v>0</v>
      </c>
      <c r="EN746" s="407">
        <v>0</v>
      </c>
      <c r="EO746" s="407">
        <v>0</v>
      </c>
      <c r="EP746" s="407">
        <v>9094.7239303865535</v>
      </c>
      <c r="EQ746" s="407">
        <v>0</v>
      </c>
      <c r="ER746" s="407">
        <v>0</v>
      </c>
      <c r="ES746" s="407">
        <v>0</v>
      </c>
      <c r="ET746" s="407">
        <v>0</v>
      </c>
      <c r="EU746" s="407">
        <v>0</v>
      </c>
      <c r="EV746" s="407">
        <v>246</v>
      </c>
      <c r="EW746" s="407">
        <v>0</v>
      </c>
      <c r="EX746" s="407">
        <v>0</v>
      </c>
      <c r="EY746" s="407">
        <v>0</v>
      </c>
      <c r="EZ746" s="407"/>
      <c r="FA746" s="407">
        <v>0</v>
      </c>
      <c r="FB746" s="407"/>
      <c r="FC746" s="407"/>
      <c r="FD746" s="407"/>
      <c r="FE746" s="407"/>
      <c r="FF746" s="407">
        <v>0</v>
      </c>
      <c r="FG746" s="407">
        <v>0</v>
      </c>
      <c r="FH746" s="407">
        <v>0</v>
      </c>
      <c r="FI746" s="407">
        <v>0</v>
      </c>
    </row>
    <row r="747" spans="1:165">
      <c r="A747" s="407">
        <v>774</v>
      </c>
      <c r="B747" s="407" t="s">
        <v>1090</v>
      </c>
      <c r="C747" s="407" t="s">
        <v>2317</v>
      </c>
      <c r="D747" s="407" t="s">
        <v>650</v>
      </c>
      <c r="E747" s="407" t="s">
        <v>1052</v>
      </c>
      <c r="F747" s="407" t="s">
        <v>2321</v>
      </c>
      <c r="G747" s="407" t="s">
        <v>97</v>
      </c>
      <c r="H747" s="407" t="s">
        <v>97</v>
      </c>
      <c r="I747" s="407" t="s">
        <v>97</v>
      </c>
      <c r="J747" s="407" t="s">
        <v>2307</v>
      </c>
      <c r="K747" s="818">
        <v>44713</v>
      </c>
      <c r="L747" s="407">
        <v>0</v>
      </c>
      <c r="M747" s="407">
        <v>0</v>
      </c>
      <c r="N747" s="407">
        <v>0</v>
      </c>
      <c r="O747" s="407">
        <v>0</v>
      </c>
      <c r="P747" s="407">
        <v>0</v>
      </c>
      <c r="Q747" s="407">
        <v>0</v>
      </c>
      <c r="R747" s="407"/>
      <c r="S747" s="407"/>
      <c r="T747" s="407"/>
      <c r="U747" s="407"/>
      <c r="V747" s="407"/>
      <c r="W747" s="407"/>
      <c r="X747" s="407"/>
      <c r="Y747" s="407"/>
      <c r="Z747" s="407"/>
      <c r="AA747" s="407">
        <v>0</v>
      </c>
      <c r="AB747" s="407"/>
      <c r="AC747" s="407"/>
      <c r="AD747" s="407"/>
      <c r="AE747" s="407"/>
      <c r="AF747" s="407"/>
      <c r="AG747" s="407"/>
      <c r="AH747" s="407"/>
      <c r="AI747" s="407"/>
      <c r="AJ747" s="407"/>
      <c r="AK747" s="407"/>
      <c r="AL747" s="407"/>
      <c r="AM747" s="407"/>
      <c r="AN747" s="407"/>
      <c r="AO747" s="407"/>
      <c r="AP747" s="407"/>
      <c r="AQ747" s="407"/>
      <c r="AR747" s="407"/>
      <c r="AS747" s="407"/>
      <c r="AT747" s="407"/>
      <c r="AU747" s="407"/>
      <c r="AV747" s="407"/>
      <c r="AW747" s="407"/>
      <c r="AX747" s="407"/>
      <c r="AY747" s="407"/>
      <c r="AZ747" s="407">
        <v>0</v>
      </c>
      <c r="BA747" s="407"/>
      <c r="BB747" s="407"/>
      <c r="BC747" s="407"/>
      <c r="BD747" s="407"/>
      <c r="BE747" s="407"/>
      <c r="BF747" s="407"/>
      <c r="BG747" s="407"/>
      <c r="BH747" s="407"/>
      <c r="BI747" s="407">
        <v>429.96</v>
      </c>
      <c r="BJ747" s="407">
        <v>1977.81</v>
      </c>
      <c r="BK747" s="407">
        <v>37006.82</v>
      </c>
      <c r="BL747" s="407">
        <v>3</v>
      </c>
      <c r="BM747" s="407"/>
      <c r="BN747" s="407"/>
      <c r="BO747" s="407"/>
      <c r="BP747" s="407"/>
      <c r="BQ747" s="407"/>
      <c r="BR747" s="407"/>
      <c r="BS747" s="407"/>
      <c r="BT747" s="407"/>
      <c r="BU747" s="407"/>
      <c r="BV747" s="407"/>
      <c r="BW747" s="407"/>
      <c r="BX747" s="407"/>
      <c r="BY747" s="407"/>
      <c r="BZ747" s="407"/>
      <c r="CA747" s="407"/>
      <c r="CB747" s="407"/>
      <c r="CC747" s="407"/>
      <c r="CD747" s="407"/>
      <c r="CE747" s="407"/>
      <c r="CF747" s="407"/>
      <c r="CG747" s="407"/>
      <c r="CH747" s="407"/>
      <c r="CI747" s="407"/>
      <c r="CJ747" s="407">
        <v>-0.03</v>
      </c>
      <c r="CK747" s="407"/>
      <c r="CL747" s="407"/>
      <c r="CM747" s="407"/>
      <c r="CN747" s="407"/>
      <c r="CO747" s="407">
        <v>0</v>
      </c>
      <c r="CP747" s="407">
        <v>0</v>
      </c>
      <c r="CQ747" s="407">
        <v>30</v>
      </c>
      <c r="CR747" s="407"/>
      <c r="CS747" s="407"/>
      <c r="CT747" s="407"/>
      <c r="CU747" s="407"/>
      <c r="CV747" s="407"/>
      <c r="CW747" s="407"/>
      <c r="CX747" s="407"/>
      <c r="CY747" s="407"/>
      <c r="CZ747" s="407"/>
      <c r="DA747" s="407"/>
      <c r="DB747" s="407"/>
      <c r="DC747" s="407"/>
      <c r="DD747" s="407"/>
      <c r="DE747" s="407"/>
      <c r="DF747" s="407"/>
      <c r="DG747" s="407"/>
      <c r="DH747" s="407"/>
      <c r="DI747" s="407"/>
      <c r="DJ747" s="407"/>
      <c r="DK747" s="407">
        <v>0</v>
      </c>
      <c r="DL747" s="407"/>
      <c r="DM747" s="407"/>
      <c r="DN747" s="407"/>
      <c r="DO747" s="407"/>
      <c r="DP747" s="407"/>
      <c r="DQ747" s="407"/>
      <c r="DR747" s="407"/>
      <c r="DS747" s="407"/>
      <c r="DT747" s="407"/>
      <c r="DU747" s="407"/>
      <c r="DV747" s="407"/>
      <c r="DW747" s="407"/>
      <c r="DX747" s="407"/>
      <c r="DY747" s="407"/>
      <c r="DZ747" s="407"/>
      <c r="EA747" s="407"/>
      <c r="EB747" s="407"/>
      <c r="EC747" s="407"/>
      <c r="ED747" s="407"/>
      <c r="EE747" s="407"/>
      <c r="EF747" s="407"/>
      <c r="EG747" s="407"/>
      <c r="EH747" s="407"/>
      <c r="EI747" s="407"/>
      <c r="EJ747" s="407"/>
      <c r="EK747" s="407"/>
      <c r="EL747" s="407"/>
      <c r="EM747" s="407"/>
      <c r="EN747" s="407"/>
      <c r="EO747" s="407"/>
      <c r="EP747" s="407"/>
      <c r="EQ747" s="407"/>
      <c r="ER747" s="407"/>
      <c r="ES747" s="407"/>
      <c r="ET747" s="407"/>
      <c r="EU747" s="407"/>
      <c r="EV747" s="407">
        <v>246</v>
      </c>
      <c r="EW747" s="407"/>
      <c r="EX747" s="407"/>
      <c r="EY747" s="407"/>
      <c r="EZ747" s="407"/>
      <c r="FA747" s="407">
        <v>0</v>
      </c>
      <c r="FB747" s="407"/>
      <c r="FC747" s="407"/>
      <c r="FD747" s="407"/>
      <c r="FE747" s="407"/>
      <c r="FF747" s="407">
        <v>0</v>
      </c>
      <c r="FG747" s="407">
        <v>0</v>
      </c>
      <c r="FH747" s="407">
        <v>0</v>
      </c>
      <c r="FI747" s="407">
        <v>0</v>
      </c>
    </row>
    <row r="748" spans="1:165">
      <c r="A748" s="407">
        <v>775</v>
      </c>
      <c r="B748" s="407" t="s">
        <v>1090</v>
      </c>
      <c r="C748" s="407" t="s">
        <v>2306</v>
      </c>
      <c r="D748" s="407" t="s">
        <v>1219</v>
      </c>
      <c r="E748" s="407" t="s">
        <v>2322</v>
      </c>
      <c r="F748" s="407" t="s">
        <v>97</v>
      </c>
      <c r="G748" s="407" t="s">
        <v>97</v>
      </c>
      <c r="H748" s="407" t="s">
        <v>97</v>
      </c>
      <c r="I748" s="407" t="s">
        <v>97</v>
      </c>
      <c r="J748" s="407" t="s">
        <v>2307</v>
      </c>
      <c r="K748" s="818">
        <v>44713</v>
      </c>
      <c r="L748" s="407">
        <v>0</v>
      </c>
      <c r="M748" s="407">
        <v>0</v>
      </c>
      <c r="N748" s="407">
        <v>4.9539999999999997</v>
      </c>
      <c r="O748" s="407">
        <v>4.9539999999999997</v>
      </c>
      <c r="P748" s="407">
        <v>4.9539999999999997</v>
      </c>
      <c r="Q748" s="407">
        <v>4.9539999999999997</v>
      </c>
      <c r="R748" s="407"/>
      <c r="S748" s="407">
        <v>648.44000000000005</v>
      </c>
      <c r="T748" s="407">
        <v>159.41</v>
      </c>
      <c r="U748" s="407"/>
      <c r="V748" s="407">
        <v>4002.0888999999997</v>
      </c>
      <c r="W748" s="407">
        <v>4002.0888999999997</v>
      </c>
      <c r="X748" s="407">
        <v>3030.9562799999999</v>
      </c>
      <c r="Y748" s="407">
        <v>0</v>
      </c>
      <c r="Z748" s="407">
        <v>307.0006216210532</v>
      </c>
      <c r="AA748" s="407">
        <v>0</v>
      </c>
      <c r="AB748" s="407">
        <v>0</v>
      </c>
      <c r="AC748" s="407">
        <v>0</v>
      </c>
      <c r="AD748" s="407">
        <v>577.85648745383185</v>
      </c>
      <c r="AE748" s="407">
        <v>2068.5228383591793</v>
      </c>
      <c r="AF748" s="407">
        <v>764.05897059674191</v>
      </c>
      <c r="AG748" s="407">
        <v>25.670375817600458</v>
      </c>
      <c r="AH748" s="407">
        <v>0</v>
      </c>
      <c r="AI748" s="407">
        <v>0</v>
      </c>
      <c r="AJ748" s="407">
        <v>0</v>
      </c>
      <c r="AK748" s="407">
        <v>0</v>
      </c>
      <c r="AL748" s="407">
        <v>47.439778207576509</v>
      </c>
      <c r="AM748" s="407"/>
      <c r="AN748" s="407">
        <v>10.280023802929794</v>
      </c>
      <c r="AO748" s="407">
        <v>0</v>
      </c>
      <c r="AP748" s="407">
        <v>0</v>
      </c>
      <c r="AQ748" s="407">
        <v>0</v>
      </c>
      <c r="AR748" s="407">
        <v>0</v>
      </c>
      <c r="AS748" s="407">
        <v>0</v>
      </c>
      <c r="AT748" s="407">
        <v>0</v>
      </c>
      <c r="AU748" s="407">
        <v>0</v>
      </c>
      <c r="AV748" s="407">
        <v>0</v>
      </c>
      <c r="AW748" s="407">
        <v>0</v>
      </c>
      <c r="AX748" s="407">
        <v>0</v>
      </c>
      <c r="AY748" s="407">
        <v>0</v>
      </c>
      <c r="AZ748" s="407">
        <v>0</v>
      </c>
      <c r="BA748" s="407"/>
      <c r="BB748" s="407">
        <v>0</v>
      </c>
      <c r="BC748" s="407">
        <v>0</v>
      </c>
      <c r="BD748" s="407">
        <v>0</v>
      </c>
      <c r="BE748" s="407">
        <v>0</v>
      </c>
      <c r="BF748" s="407">
        <v>0</v>
      </c>
      <c r="BG748" s="407">
        <v>55.850270929237716</v>
      </c>
      <c r="BH748" s="407">
        <v>0</v>
      </c>
      <c r="BI748" s="407">
        <v>7.67</v>
      </c>
      <c r="BJ748" s="407">
        <v>35.35</v>
      </c>
      <c r="BK748" s="407">
        <v>1024.6500000000001</v>
      </c>
      <c r="BL748" s="407">
        <v>5</v>
      </c>
      <c r="BM748" s="407"/>
      <c r="BN748" s="407"/>
      <c r="BO748" s="407"/>
      <c r="BP748" s="407"/>
      <c r="BQ748" s="407"/>
      <c r="BR748" s="407"/>
      <c r="BS748" s="407"/>
      <c r="BT748" s="407"/>
      <c r="BU748" s="407"/>
      <c r="BV748" s="407">
        <v>819.90924152597961</v>
      </c>
      <c r="BW748" s="407"/>
      <c r="BX748" s="407"/>
      <c r="BY748" s="407"/>
      <c r="BZ748" s="407"/>
      <c r="CA748" s="407"/>
      <c r="CB748" s="407"/>
      <c r="CC748" s="407"/>
      <c r="CD748" s="407"/>
      <c r="CE748" s="407"/>
      <c r="CF748" s="407"/>
      <c r="CG748" s="407"/>
      <c r="CH748" s="407"/>
      <c r="CI748" s="407">
        <v>3028.509</v>
      </c>
      <c r="CJ748" s="407">
        <v>-973.60990000000038</v>
      </c>
      <c r="CK748" s="407"/>
      <c r="CL748" s="407"/>
      <c r="CM748" s="407"/>
      <c r="CN748" s="407"/>
      <c r="CO748" s="407">
        <v>-1107.2190000000003</v>
      </c>
      <c r="CP748" s="407">
        <v>136.08637999999999</v>
      </c>
      <c r="CQ748" s="407">
        <v>30</v>
      </c>
      <c r="CR748" s="407">
        <v>85.476405249571599</v>
      </c>
      <c r="CS748" s="407">
        <v>0</v>
      </c>
      <c r="CT748" s="407">
        <v>0</v>
      </c>
      <c r="CU748" s="407">
        <v>0</v>
      </c>
      <c r="CV748" s="407">
        <v>0</v>
      </c>
      <c r="CW748" s="407">
        <v>0</v>
      </c>
      <c r="CX748" s="407">
        <v>0</v>
      </c>
      <c r="CY748" s="407">
        <v>0</v>
      </c>
      <c r="CZ748" s="407">
        <v>26.1029233179313</v>
      </c>
      <c r="DA748" s="407">
        <v>0</v>
      </c>
      <c r="DB748" s="407">
        <v>0</v>
      </c>
      <c r="DC748" s="407">
        <v>151.49226057587919</v>
      </c>
      <c r="DD748" s="407">
        <v>0</v>
      </c>
      <c r="DE748" s="407">
        <v>0</v>
      </c>
      <c r="DF748" s="407">
        <v>0</v>
      </c>
      <c r="DG748" s="407">
        <v>11.073600497403355</v>
      </c>
      <c r="DH748" s="407">
        <v>0</v>
      </c>
      <c r="DI748" s="407">
        <v>-21.502929172776021</v>
      </c>
      <c r="DJ748" s="407"/>
      <c r="DK748" s="407">
        <v>0</v>
      </c>
      <c r="DL748" s="407">
        <v>0</v>
      </c>
      <c r="DM748" s="407">
        <v>0</v>
      </c>
      <c r="DN748" s="407">
        <v>0</v>
      </c>
      <c r="DO748" s="407">
        <v>-2.8943661889971963</v>
      </c>
      <c r="DP748" s="407">
        <v>-0.65501829865877426</v>
      </c>
      <c r="DQ748" s="407">
        <v>0</v>
      </c>
      <c r="DR748" s="407">
        <v>-78.1400654812103</v>
      </c>
      <c r="DS748" s="407"/>
      <c r="DT748" s="407"/>
      <c r="DU748" s="407"/>
      <c r="DV748" s="407">
        <v>2068.5228383591793</v>
      </c>
      <c r="DW748" s="407">
        <v>0</v>
      </c>
      <c r="DX748" s="407">
        <v>0</v>
      </c>
      <c r="DY748" s="407">
        <v>-1107.2190000000001</v>
      </c>
      <c r="DZ748" s="407">
        <v>136.08637999999996</v>
      </c>
      <c r="EA748" s="407">
        <v>0</v>
      </c>
      <c r="EB748" s="407">
        <v>0</v>
      </c>
      <c r="EC748" s="407">
        <v>-1056.6062702333238</v>
      </c>
      <c r="ED748" s="407">
        <v>0</v>
      </c>
      <c r="EE748" s="407">
        <v>0</v>
      </c>
      <c r="EF748" s="407">
        <v>0</v>
      </c>
      <c r="EG748" s="407">
        <v>0</v>
      </c>
      <c r="EH748" s="407">
        <v>0</v>
      </c>
      <c r="EI748" s="407">
        <v>0</v>
      </c>
      <c r="EJ748" s="407">
        <v>0</v>
      </c>
      <c r="EK748" s="407">
        <v>0</v>
      </c>
      <c r="EL748" s="407">
        <v>0</v>
      </c>
      <c r="EM748" s="407">
        <v>0</v>
      </c>
      <c r="EN748" s="407">
        <v>0</v>
      </c>
      <c r="EO748" s="407">
        <v>0</v>
      </c>
      <c r="EP748" s="407">
        <v>145.42070541601589</v>
      </c>
      <c r="EQ748" s="407">
        <v>0</v>
      </c>
      <c r="ER748" s="407">
        <v>0</v>
      </c>
      <c r="ES748" s="407">
        <v>0</v>
      </c>
      <c r="ET748" s="407">
        <v>0</v>
      </c>
      <c r="EU748" s="407">
        <v>0</v>
      </c>
      <c r="EV748" s="407">
        <v>246</v>
      </c>
      <c r="EW748" s="407">
        <v>0</v>
      </c>
      <c r="EX748" s="407">
        <v>0</v>
      </c>
      <c r="EY748" s="407">
        <v>0</v>
      </c>
      <c r="EZ748" s="407"/>
      <c r="FA748" s="407">
        <v>0</v>
      </c>
      <c r="FB748" s="407"/>
      <c r="FC748" s="407"/>
      <c r="FD748" s="407"/>
      <c r="FE748" s="407"/>
      <c r="FF748" s="407">
        <v>0</v>
      </c>
      <c r="FG748" s="407">
        <v>0</v>
      </c>
      <c r="FH748" s="407">
        <v>0</v>
      </c>
      <c r="FI748" s="407">
        <v>0</v>
      </c>
    </row>
    <row r="749" spans="1:165">
      <c r="A749" s="407">
        <v>776</v>
      </c>
      <c r="B749" s="407" t="s">
        <v>1090</v>
      </c>
      <c r="C749" s="407" t="s">
        <v>2306</v>
      </c>
      <c r="D749" s="407" t="s">
        <v>2315</v>
      </c>
      <c r="E749" s="407" t="s">
        <v>1026</v>
      </c>
      <c r="F749" s="407" t="s">
        <v>2323</v>
      </c>
      <c r="G749" s="407" t="s">
        <v>2324</v>
      </c>
      <c r="H749" s="407" t="s">
        <v>97</v>
      </c>
      <c r="I749" s="407" t="s">
        <v>97</v>
      </c>
      <c r="J749" s="407" t="s">
        <v>2307</v>
      </c>
      <c r="K749" s="818">
        <v>44713</v>
      </c>
      <c r="L749" s="407">
        <v>0</v>
      </c>
      <c r="M749" s="407">
        <v>0</v>
      </c>
      <c r="N749" s="407">
        <v>0</v>
      </c>
      <c r="O749" s="407">
        <v>0</v>
      </c>
      <c r="P749" s="407">
        <v>0</v>
      </c>
      <c r="Q749" s="407">
        <v>0</v>
      </c>
      <c r="R749" s="407"/>
      <c r="S749" s="407"/>
      <c r="T749" s="407"/>
      <c r="U749" s="407"/>
      <c r="V749" s="407"/>
      <c r="W749" s="407"/>
      <c r="X749" s="407"/>
      <c r="Y749" s="407"/>
      <c r="Z749" s="407"/>
      <c r="AA749" s="407">
        <v>0</v>
      </c>
      <c r="AB749" s="407"/>
      <c r="AC749" s="407"/>
      <c r="AD749" s="407"/>
      <c r="AE749" s="407"/>
      <c r="AF749" s="407"/>
      <c r="AG749" s="407"/>
      <c r="AH749" s="407"/>
      <c r="AI749" s="407"/>
      <c r="AJ749" s="407"/>
      <c r="AK749" s="407"/>
      <c r="AL749" s="407"/>
      <c r="AM749" s="407"/>
      <c r="AN749" s="407"/>
      <c r="AO749" s="407"/>
      <c r="AP749" s="407"/>
      <c r="AQ749" s="407"/>
      <c r="AR749" s="407"/>
      <c r="AS749" s="407"/>
      <c r="AT749" s="407"/>
      <c r="AU749" s="407"/>
      <c r="AV749" s="407"/>
      <c r="AW749" s="407"/>
      <c r="AX749" s="407"/>
      <c r="AY749" s="407"/>
      <c r="AZ749" s="407">
        <v>0</v>
      </c>
      <c r="BA749" s="407"/>
      <c r="BB749" s="407"/>
      <c r="BC749" s="407"/>
      <c r="BD749" s="407"/>
      <c r="BE749" s="407"/>
      <c r="BF749" s="407"/>
      <c r="BG749" s="407"/>
      <c r="BH749" s="407"/>
      <c r="BI749" s="407">
        <v>5.38</v>
      </c>
      <c r="BJ749" s="407">
        <v>25.75</v>
      </c>
      <c r="BK749" s="407">
        <v>298.45999999999998</v>
      </c>
      <c r="BL749" s="407">
        <v>38</v>
      </c>
      <c r="BM749" s="407"/>
      <c r="BN749" s="407"/>
      <c r="BO749" s="407"/>
      <c r="BP749" s="407"/>
      <c r="BQ749" s="407"/>
      <c r="BR749" s="407"/>
      <c r="BS749" s="407"/>
      <c r="BT749" s="407"/>
      <c r="BU749" s="407"/>
      <c r="BV749" s="407"/>
      <c r="BW749" s="407"/>
      <c r="BX749" s="407"/>
      <c r="BY749" s="407"/>
      <c r="BZ749" s="407"/>
      <c r="CA749" s="407"/>
      <c r="CB749" s="407"/>
      <c r="CC749" s="407"/>
      <c r="CD749" s="407"/>
      <c r="CE749" s="407"/>
      <c r="CF749" s="407"/>
      <c r="CG749" s="407"/>
      <c r="CH749" s="407"/>
      <c r="CI749" s="407"/>
      <c r="CJ749" s="407">
        <v>-0.03</v>
      </c>
      <c r="CK749" s="407"/>
      <c r="CL749" s="407"/>
      <c r="CM749" s="407"/>
      <c r="CN749" s="407"/>
      <c r="CO749" s="407">
        <v>0</v>
      </c>
      <c r="CP749" s="407">
        <v>0</v>
      </c>
      <c r="CQ749" s="407">
        <v>30</v>
      </c>
      <c r="CR749" s="407"/>
      <c r="CS749" s="407"/>
      <c r="CT749" s="407"/>
      <c r="CU749" s="407"/>
      <c r="CV749" s="407"/>
      <c r="CW749" s="407"/>
      <c r="CX749" s="407"/>
      <c r="CY749" s="407"/>
      <c r="CZ749" s="407"/>
      <c r="DA749" s="407"/>
      <c r="DB749" s="407"/>
      <c r="DC749" s="407"/>
      <c r="DD749" s="407"/>
      <c r="DE749" s="407"/>
      <c r="DF749" s="407"/>
      <c r="DG749" s="407"/>
      <c r="DH749" s="407"/>
      <c r="DI749" s="407"/>
      <c r="DJ749" s="407"/>
      <c r="DK749" s="407">
        <v>0</v>
      </c>
      <c r="DL749" s="407"/>
      <c r="DM749" s="407"/>
      <c r="DN749" s="407"/>
      <c r="DO749" s="407"/>
      <c r="DP749" s="407"/>
      <c r="DQ749" s="407"/>
      <c r="DR749" s="407"/>
      <c r="DS749" s="407"/>
      <c r="DT749" s="407"/>
      <c r="DU749" s="407"/>
      <c r="DV749" s="407"/>
      <c r="DW749" s="407"/>
      <c r="DX749" s="407"/>
      <c r="DY749" s="407"/>
      <c r="DZ749" s="407"/>
      <c r="EA749" s="407"/>
      <c r="EB749" s="407"/>
      <c r="EC749" s="407"/>
      <c r="ED749" s="407"/>
      <c r="EE749" s="407"/>
      <c r="EF749" s="407"/>
      <c r="EG749" s="407"/>
      <c r="EH749" s="407"/>
      <c r="EI749" s="407"/>
      <c r="EJ749" s="407"/>
      <c r="EK749" s="407"/>
      <c r="EL749" s="407"/>
      <c r="EM749" s="407"/>
      <c r="EN749" s="407"/>
      <c r="EO749" s="407"/>
      <c r="EP749" s="407"/>
      <c r="EQ749" s="407"/>
      <c r="ER749" s="407"/>
      <c r="ES749" s="407"/>
      <c r="ET749" s="407"/>
      <c r="EU749" s="407"/>
      <c r="EV749" s="407">
        <v>246</v>
      </c>
      <c r="EW749" s="407"/>
      <c r="EX749" s="407"/>
      <c r="EY749" s="407"/>
      <c r="EZ749" s="407"/>
      <c r="FA749" s="407">
        <v>0</v>
      </c>
      <c r="FB749" s="407"/>
      <c r="FC749" s="407"/>
      <c r="FD749" s="407"/>
      <c r="FE749" s="407"/>
      <c r="FF749" s="407">
        <v>0</v>
      </c>
      <c r="FG749" s="407">
        <v>0</v>
      </c>
      <c r="FH749" s="407">
        <v>0</v>
      </c>
      <c r="FI749" s="407">
        <v>0</v>
      </c>
    </row>
    <row r="750" spans="1:165">
      <c r="A750" s="407">
        <v>777</v>
      </c>
      <c r="B750" s="407" t="s">
        <v>2309</v>
      </c>
      <c r="C750" s="407" t="s">
        <v>2306</v>
      </c>
      <c r="D750" s="407" t="s">
        <v>2315</v>
      </c>
      <c r="E750" s="407" t="s">
        <v>1026</v>
      </c>
      <c r="F750" s="407" t="s">
        <v>2323</v>
      </c>
      <c r="G750" s="407" t="s">
        <v>2324</v>
      </c>
      <c r="H750" s="407" t="s">
        <v>97</v>
      </c>
      <c r="I750" s="407" t="s">
        <v>97</v>
      </c>
      <c r="J750" s="407" t="s">
        <v>2307</v>
      </c>
      <c r="K750" s="818">
        <v>44713</v>
      </c>
      <c r="L750" s="407">
        <v>0</v>
      </c>
      <c r="M750" s="407">
        <v>0</v>
      </c>
      <c r="N750" s="407">
        <v>0</v>
      </c>
      <c r="O750" s="407">
        <v>0</v>
      </c>
      <c r="P750" s="407">
        <v>0</v>
      </c>
      <c r="Q750" s="407">
        <v>0</v>
      </c>
      <c r="R750" s="407"/>
      <c r="S750" s="407"/>
      <c r="T750" s="407"/>
      <c r="U750" s="407"/>
      <c r="V750" s="407"/>
      <c r="W750" s="407"/>
      <c r="X750" s="407"/>
      <c r="Y750" s="407"/>
      <c r="Z750" s="407"/>
      <c r="AA750" s="407">
        <v>0</v>
      </c>
      <c r="AB750" s="407"/>
      <c r="AC750" s="407"/>
      <c r="AD750" s="407"/>
      <c r="AE750" s="407"/>
      <c r="AF750" s="407"/>
      <c r="AG750" s="407"/>
      <c r="AH750" s="407"/>
      <c r="AI750" s="407"/>
      <c r="AJ750" s="407"/>
      <c r="AK750" s="407"/>
      <c r="AL750" s="407"/>
      <c r="AM750" s="407"/>
      <c r="AN750" s="407"/>
      <c r="AO750" s="407"/>
      <c r="AP750" s="407"/>
      <c r="AQ750" s="407"/>
      <c r="AR750" s="407"/>
      <c r="AS750" s="407"/>
      <c r="AT750" s="407"/>
      <c r="AU750" s="407"/>
      <c r="AV750" s="407"/>
      <c r="AW750" s="407"/>
      <c r="AX750" s="407"/>
      <c r="AY750" s="407"/>
      <c r="AZ750" s="407">
        <v>0</v>
      </c>
      <c r="BA750" s="407"/>
      <c r="BB750" s="407"/>
      <c r="BC750" s="407"/>
      <c r="BD750" s="407"/>
      <c r="BE750" s="407"/>
      <c r="BF750" s="407"/>
      <c r="BG750" s="407"/>
      <c r="BH750" s="407"/>
      <c r="BI750" s="407">
        <v>0.69</v>
      </c>
      <c r="BJ750" s="407">
        <v>3.37</v>
      </c>
      <c r="BK750" s="407">
        <v>45.11</v>
      </c>
      <c r="BL750" s="407">
        <v>6</v>
      </c>
      <c r="BM750" s="407"/>
      <c r="BN750" s="407"/>
      <c r="BO750" s="407"/>
      <c r="BP750" s="407"/>
      <c r="BQ750" s="407"/>
      <c r="BR750" s="407"/>
      <c r="BS750" s="407"/>
      <c r="BT750" s="407"/>
      <c r="BU750" s="407"/>
      <c r="BV750" s="407"/>
      <c r="BW750" s="407"/>
      <c r="BX750" s="407"/>
      <c r="BY750" s="407"/>
      <c r="BZ750" s="407"/>
      <c r="CA750" s="407"/>
      <c r="CB750" s="407"/>
      <c r="CC750" s="407"/>
      <c r="CD750" s="407"/>
      <c r="CE750" s="407"/>
      <c r="CF750" s="407"/>
      <c r="CG750" s="407"/>
      <c r="CH750" s="407"/>
      <c r="CI750" s="407"/>
      <c r="CJ750" s="407">
        <v>-0.03</v>
      </c>
      <c r="CK750" s="407"/>
      <c r="CL750" s="407"/>
      <c r="CM750" s="407"/>
      <c r="CN750" s="407"/>
      <c r="CO750" s="407">
        <v>0</v>
      </c>
      <c r="CP750" s="407">
        <v>0</v>
      </c>
      <c r="CQ750" s="407">
        <v>30</v>
      </c>
      <c r="CR750" s="407"/>
      <c r="CS750" s="407"/>
      <c r="CT750" s="407"/>
      <c r="CU750" s="407"/>
      <c r="CV750" s="407"/>
      <c r="CW750" s="407"/>
      <c r="CX750" s="407"/>
      <c r="CY750" s="407"/>
      <c r="CZ750" s="407"/>
      <c r="DA750" s="407"/>
      <c r="DB750" s="407"/>
      <c r="DC750" s="407"/>
      <c r="DD750" s="407"/>
      <c r="DE750" s="407"/>
      <c r="DF750" s="407"/>
      <c r="DG750" s="407"/>
      <c r="DH750" s="407"/>
      <c r="DI750" s="407"/>
      <c r="DJ750" s="407"/>
      <c r="DK750" s="407">
        <v>0</v>
      </c>
      <c r="DL750" s="407"/>
      <c r="DM750" s="407"/>
      <c r="DN750" s="407"/>
      <c r="DO750" s="407"/>
      <c r="DP750" s="407"/>
      <c r="DQ750" s="407"/>
      <c r="DR750" s="407"/>
      <c r="DS750" s="407"/>
      <c r="DT750" s="407"/>
      <c r="DU750" s="407"/>
      <c r="DV750" s="407"/>
      <c r="DW750" s="407"/>
      <c r="DX750" s="407"/>
      <c r="DY750" s="407"/>
      <c r="DZ750" s="407"/>
      <c r="EA750" s="407"/>
      <c r="EB750" s="407"/>
      <c r="EC750" s="407"/>
      <c r="ED750" s="407"/>
      <c r="EE750" s="407"/>
      <c r="EF750" s="407"/>
      <c r="EG750" s="407"/>
      <c r="EH750" s="407"/>
      <c r="EI750" s="407"/>
      <c r="EJ750" s="407"/>
      <c r="EK750" s="407"/>
      <c r="EL750" s="407"/>
      <c r="EM750" s="407"/>
      <c r="EN750" s="407"/>
      <c r="EO750" s="407"/>
      <c r="EP750" s="407"/>
      <c r="EQ750" s="407"/>
      <c r="ER750" s="407"/>
      <c r="ES750" s="407"/>
      <c r="ET750" s="407"/>
      <c r="EU750" s="407"/>
      <c r="EV750" s="407">
        <v>246</v>
      </c>
      <c r="EW750" s="407"/>
      <c r="EX750" s="407"/>
      <c r="EY750" s="407"/>
      <c r="EZ750" s="407"/>
      <c r="FA750" s="407">
        <v>0</v>
      </c>
      <c r="FB750" s="407"/>
      <c r="FC750" s="407"/>
      <c r="FD750" s="407"/>
      <c r="FE750" s="407"/>
      <c r="FF750" s="407">
        <v>0</v>
      </c>
      <c r="FG750" s="407">
        <v>0</v>
      </c>
      <c r="FH750" s="407">
        <v>0</v>
      </c>
      <c r="FI750" s="407">
        <v>0</v>
      </c>
    </row>
    <row r="751" spans="1:165">
      <c r="A751" s="407">
        <v>778</v>
      </c>
      <c r="B751" s="407" t="s">
        <v>1090</v>
      </c>
      <c r="C751" s="407" t="s">
        <v>2306</v>
      </c>
      <c r="D751" s="407" t="s">
        <v>2315</v>
      </c>
      <c r="E751" s="407" t="s">
        <v>1026</v>
      </c>
      <c r="F751" s="407" t="s">
        <v>2323</v>
      </c>
      <c r="G751" s="407" t="s">
        <v>2324</v>
      </c>
      <c r="H751" s="407" t="s">
        <v>97</v>
      </c>
      <c r="I751" s="407" t="s">
        <v>97</v>
      </c>
      <c r="J751" s="407" t="s">
        <v>2307</v>
      </c>
      <c r="K751" s="818">
        <v>44713</v>
      </c>
      <c r="L751" s="407">
        <v>0</v>
      </c>
      <c r="M751" s="407">
        <v>0</v>
      </c>
      <c r="N751" s="407">
        <v>3.6669999999999998</v>
      </c>
      <c r="O751" s="407">
        <v>3.6669999999999998</v>
      </c>
      <c r="P751" s="407">
        <v>3.6669999999999998</v>
      </c>
      <c r="Q751" s="407">
        <v>3.6669999999999998</v>
      </c>
      <c r="R751" s="407"/>
      <c r="S751" s="407">
        <v>648.44000000000005</v>
      </c>
      <c r="T751" s="407">
        <v>159.41</v>
      </c>
      <c r="U751" s="407"/>
      <c r="V751" s="407">
        <v>2962.3859499999999</v>
      </c>
      <c r="W751" s="407">
        <v>2962.3859499999999</v>
      </c>
      <c r="X751" s="407">
        <v>2243.54394</v>
      </c>
      <c r="Y751" s="407">
        <v>0</v>
      </c>
      <c r="Z751" s="407">
        <v>227.24490906023456</v>
      </c>
      <c r="AA751" s="407">
        <v>0</v>
      </c>
      <c r="AB751" s="407">
        <v>0</v>
      </c>
      <c r="AC751" s="407">
        <v>0</v>
      </c>
      <c r="AD751" s="407">
        <v>427.73511091909597</v>
      </c>
      <c r="AE751" s="407">
        <v>1531.1411482162114</v>
      </c>
      <c r="AF751" s="407">
        <v>565.56403818697061</v>
      </c>
      <c r="AG751" s="407">
        <v>19.001467122151976</v>
      </c>
      <c r="AH751" s="407">
        <v>0</v>
      </c>
      <c r="AI751" s="407">
        <v>0</v>
      </c>
      <c r="AJ751" s="407">
        <v>0</v>
      </c>
      <c r="AK751" s="407">
        <v>0</v>
      </c>
      <c r="AL751" s="407">
        <v>35.115394971171391</v>
      </c>
      <c r="AM751" s="407"/>
      <c r="AN751" s="407">
        <v>7.6093757136341447</v>
      </c>
      <c r="AO751" s="407">
        <v>0</v>
      </c>
      <c r="AP751" s="407">
        <v>0</v>
      </c>
      <c r="AQ751" s="407">
        <v>0</v>
      </c>
      <c r="AR751" s="407">
        <v>0</v>
      </c>
      <c r="AS751" s="407">
        <v>0</v>
      </c>
      <c r="AT751" s="407">
        <v>0</v>
      </c>
      <c r="AU751" s="407">
        <v>0</v>
      </c>
      <c r="AV751" s="407">
        <v>0</v>
      </c>
      <c r="AW751" s="407">
        <v>0</v>
      </c>
      <c r="AX751" s="407">
        <v>0</v>
      </c>
      <c r="AY751" s="407">
        <v>0</v>
      </c>
      <c r="AZ751" s="407">
        <v>0</v>
      </c>
      <c r="BA751" s="407"/>
      <c r="BB751" s="407">
        <v>0</v>
      </c>
      <c r="BC751" s="407">
        <v>0</v>
      </c>
      <c r="BD751" s="407">
        <v>0</v>
      </c>
      <c r="BE751" s="407">
        <v>0</v>
      </c>
      <c r="BF751" s="407">
        <v>0</v>
      </c>
      <c r="BG751" s="407">
        <v>41.340925211448265</v>
      </c>
      <c r="BH751" s="407">
        <v>0</v>
      </c>
      <c r="BI751" s="407">
        <v>0</v>
      </c>
      <c r="BJ751" s="407">
        <v>0</v>
      </c>
      <c r="BK751" s="407">
        <v>0</v>
      </c>
      <c r="BL751" s="407">
        <v>0</v>
      </c>
      <c r="BM751" s="407"/>
      <c r="BN751" s="407"/>
      <c r="BO751" s="407"/>
      <c r="BP751" s="407"/>
      <c r="BQ751" s="407"/>
      <c r="BR751" s="407">
        <v>269.23114000000004</v>
      </c>
      <c r="BS751" s="407"/>
      <c r="BT751" s="407"/>
      <c r="BU751" s="407"/>
      <c r="BV751" s="407">
        <v>606.90496339841889</v>
      </c>
      <c r="BW751" s="407"/>
      <c r="BX751" s="407"/>
      <c r="BY751" s="407"/>
      <c r="BZ751" s="407"/>
      <c r="CA751" s="407"/>
      <c r="CB751" s="407"/>
      <c r="CC751" s="407"/>
      <c r="CD751" s="407"/>
      <c r="CE751" s="407"/>
      <c r="CF751" s="407"/>
      <c r="CG751" s="407"/>
      <c r="CH751" s="407"/>
      <c r="CI751" s="407">
        <v>1975.9279999999999</v>
      </c>
      <c r="CJ751" s="407">
        <v>-631.00897000000032</v>
      </c>
      <c r="CK751" s="407"/>
      <c r="CL751" s="407"/>
      <c r="CM751" s="407"/>
      <c r="CN751" s="407"/>
      <c r="CO751" s="407">
        <v>-819.57450000000017</v>
      </c>
      <c r="CP751" s="407">
        <v>100.73248999999998</v>
      </c>
      <c r="CQ751" s="407">
        <v>30</v>
      </c>
      <c r="CR751" s="407">
        <v>63.270484063419417</v>
      </c>
      <c r="CS751" s="407">
        <v>0</v>
      </c>
      <c r="CT751" s="407">
        <v>0</v>
      </c>
      <c r="CU751" s="407">
        <v>0</v>
      </c>
      <c r="CV751" s="407">
        <v>0</v>
      </c>
      <c r="CW751" s="407">
        <v>0</v>
      </c>
      <c r="CX751" s="407">
        <v>0</v>
      </c>
      <c r="CY751" s="407">
        <v>0</v>
      </c>
      <c r="CZ751" s="407">
        <v>19.321643077685565</v>
      </c>
      <c r="DA751" s="407">
        <v>0</v>
      </c>
      <c r="DB751" s="407">
        <v>0</v>
      </c>
      <c r="DC751" s="407">
        <v>112.13607580374435</v>
      </c>
      <c r="DD751" s="407">
        <v>0</v>
      </c>
      <c r="DE751" s="407">
        <v>0</v>
      </c>
      <c r="DF751" s="407">
        <v>0</v>
      </c>
      <c r="DG751" s="407">
        <v>8.1967890641861274</v>
      </c>
      <c r="DH751" s="407">
        <v>0</v>
      </c>
      <c r="DI751" s="407">
        <v>-15.916681727204207</v>
      </c>
      <c r="DJ751" s="407"/>
      <c r="DK751" s="407">
        <v>0</v>
      </c>
      <c r="DL751" s="407">
        <v>0</v>
      </c>
      <c r="DM751" s="407">
        <v>0</v>
      </c>
      <c r="DN751" s="407">
        <v>0</v>
      </c>
      <c r="DO751" s="407">
        <v>-2.1424385981131877</v>
      </c>
      <c r="DP751" s="407">
        <v>-0.48485104989538197</v>
      </c>
      <c r="DQ751" s="407">
        <v>0</v>
      </c>
      <c r="DR751" s="407">
        <v>-57.840052506983895</v>
      </c>
      <c r="DS751" s="407"/>
      <c r="DT751" s="407"/>
      <c r="DU751" s="407"/>
      <c r="DV751" s="407">
        <v>1531.1411482162114</v>
      </c>
      <c r="DW751" s="407">
        <v>0</v>
      </c>
      <c r="DX751" s="407">
        <v>0</v>
      </c>
      <c r="DY751" s="407">
        <v>-819.57449999999994</v>
      </c>
      <c r="DZ751" s="407">
        <v>100.73248999999998</v>
      </c>
      <c r="EA751" s="407">
        <v>0</v>
      </c>
      <c r="EB751" s="407">
        <v>0</v>
      </c>
      <c r="EC751" s="407">
        <v>-782.11045477303173</v>
      </c>
      <c r="ED751" s="407">
        <v>0</v>
      </c>
      <c r="EE751" s="407">
        <v>0</v>
      </c>
      <c r="EF751" s="407">
        <v>0</v>
      </c>
      <c r="EG751" s="407">
        <v>0</v>
      </c>
      <c r="EH751" s="407">
        <v>0</v>
      </c>
      <c r="EI751" s="407">
        <v>0</v>
      </c>
      <c r="EJ751" s="407">
        <v>0</v>
      </c>
      <c r="EK751" s="407">
        <v>0</v>
      </c>
      <c r="EL751" s="407">
        <v>0</v>
      </c>
      <c r="EM751" s="407">
        <v>0</v>
      </c>
      <c r="EN751" s="407">
        <v>0</v>
      </c>
      <c r="EO751" s="407">
        <v>0</v>
      </c>
      <c r="EP751" s="407">
        <v>107.64185037556121</v>
      </c>
      <c r="EQ751" s="407">
        <v>0</v>
      </c>
      <c r="ER751" s="407">
        <v>0</v>
      </c>
      <c r="ES751" s="407">
        <v>0</v>
      </c>
      <c r="ET751" s="407">
        <v>0</v>
      </c>
      <c r="EU751" s="407">
        <v>0</v>
      </c>
      <c r="EV751" s="407">
        <v>246</v>
      </c>
      <c r="EW751" s="407">
        <v>0</v>
      </c>
      <c r="EX751" s="407">
        <v>0</v>
      </c>
      <c r="EY751" s="407">
        <v>0</v>
      </c>
      <c r="EZ751" s="407"/>
      <c r="FA751" s="407">
        <v>0</v>
      </c>
      <c r="FB751" s="407"/>
      <c r="FC751" s="407"/>
      <c r="FD751" s="407"/>
      <c r="FE751" s="407"/>
      <c r="FF751" s="407">
        <v>0</v>
      </c>
      <c r="FG751" s="407">
        <v>0</v>
      </c>
      <c r="FH751" s="407">
        <v>0</v>
      </c>
      <c r="FI751" s="407">
        <v>0</v>
      </c>
    </row>
    <row r="752" spans="1:165">
      <c r="A752" s="407">
        <v>779</v>
      </c>
      <c r="B752" s="407" t="s">
        <v>2309</v>
      </c>
      <c r="C752" s="407" t="s">
        <v>2306</v>
      </c>
      <c r="D752" s="407" t="s">
        <v>2315</v>
      </c>
      <c r="E752" s="407" t="s">
        <v>1026</v>
      </c>
      <c r="F752" s="407" t="s">
        <v>2323</v>
      </c>
      <c r="G752" s="407" t="s">
        <v>2324</v>
      </c>
      <c r="H752" s="407" t="s">
        <v>97</v>
      </c>
      <c r="I752" s="407" t="s">
        <v>97</v>
      </c>
      <c r="J752" s="407" t="s">
        <v>2307</v>
      </c>
      <c r="K752" s="818">
        <v>44713</v>
      </c>
      <c r="L752" s="407">
        <v>0</v>
      </c>
      <c r="M752" s="407">
        <v>0</v>
      </c>
      <c r="N752" s="407">
        <v>0.5</v>
      </c>
      <c r="O752" s="407">
        <v>0.5</v>
      </c>
      <c r="P752" s="407">
        <v>0.5</v>
      </c>
      <c r="Q752" s="407">
        <v>0.5</v>
      </c>
      <c r="R752" s="407"/>
      <c r="S752" s="407">
        <v>648.44000000000005</v>
      </c>
      <c r="T752" s="407">
        <v>159.41</v>
      </c>
      <c r="U752" s="407"/>
      <c r="V752" s="407">
        <v>403.92500000000001</v>
      </c>
      <c r="W752" s="407">
        <v>403.92500000000001</v>
      </c>
      <c r="X752" s="407">
        <v>305.90999999999997</v>
      </c>
      <c r="Y752" s="407">
        <v>0</v>
      </c>
      <c r="Z752" s="407">
        <v>30.985125315003351</v>
      </c>
      <c r="AA752" s="407">
        <v>0</v>
      </c>
      <c r="AB752" s="407">
        <v>0</v>
      </c>
      <c r="AC752" s="407">
        <v>0</v>
      </c>
      <c r="AD752" s="407">
        <v>58.322213105957999</v>
      </c>
      <c r="AE752" s="407">
        <v>208.77299539353851</v>
      </c>
      <c r="AF752" s="407">
        <v>77.115358356554495</v>
      </c>
      <c r="AG752" s="407">
        <v>2.5908736190553552</v>
      </c>
      <c r="AH752" s="407">
        <v>0</v>
      </c>
      <c r="AI752" s="407">
        <v>0</v>
      </c>
      <c r="AJ752" s="407">
        <v>0</v>
      </c>
      <c r="AK752" s="407">
        <v>0</v>
      </c>
      <c r="AL752" s="407">
        <v>4.7880276753710653</v>
      </c>
      <c r="AM752" s="407"/>
      <c r="AN752" s="407">
        <v>1.0375478202391799</v>
      </c>
      <c r="AO752" s="407">
        <v>0</v>
      </c>
      <c r="AP752" s="407">
        <v>0</v>
      </c>
      <c r="AQ752" s="407">
        <v>0</v>
      </c>
      <c r="AR752" s="407">
        <v>0</v>
      </c>
      <c r="AS752" s="407">
        <v>0</v>
      </c>
      <c r="AT752" s="407">
        <v>0</v>
      </c>
      <c r="AU752" s="407">
        <v>0</v>
      </c>
      <c r="AV752" s="407">
        <v>0</v>
      </c>
      <c r="AW752" s="407">
        <v>0</v>
      </c>
      <c r="AX752" s="407">
        <v>0</v>
      </c>
      <c r="AY752" s="407">
        <v>0</v>
      </c>
      <c r="AZ752" s="407">
        <v>0</v>
      </c>
      <c r="BA752" s="407"/>
      <c r="BB752" s="407">
        <v>0</v>
      </c>
      <c r="BC752" s="407">
        <v>0</v>
      </c>
      <c r="BD752" s="407">
        <v>0</v>
      </c>
      <c r="BE752" s="407">
        <v>0</v>
      </c>
      <c r="BF752" s="407">
        <v>0</v>
      </c>
      <c r="BG752" s="407">
        <v>5.6368864482476502</v>
      </c>
      <c r="BH752" s="407">
        <v>0</v>
      </c>
      <c r="BI752" s="407">
        <v>0</v>
      </c>
      <c r="BJ752" s="407">
        <v>0</v>
      </c>
      <c r="BK752" s="407">
        <v>0</v>
      </c>
      <c r="BL752" s="407">
        <v>0</v>
      </c>
      <c r="BM752" s="407"/>
      <c r="BN752" s="407"/>
      <c r="BO752" s="407"/>
      <c r="BP752" s="407"/>
      <c r="BQ752" s="407"/>
      <c r="BR752" s="407">
        <v>36.710000000000008</v>
      </c>
      <c r="BS752" s="407"/>
      <c r="BT752" s="407"/>
      <c r="BU752" s="407"/>
      <c r="BV752" s="407">
        <v>82.752244804802146</v>
      </c>
      <c r="BW752" s="407"/>
      <c r="BX752" s="407"/>
      <c r="BY752" s="407"/>
      <c r="BZ752" s="407"/>
      <c r="CA752" s="407"/>
      <c r="CB752" s="407"/>
      <c r="CC752" s="407"/>
      <c r="CD752" s="407"/>
      <c r="CE752" s="407"/>
      <c r="CF752" s="407"/>
      <c r="CG752" s="407"/>
      <c r="CH752" s="407"/>
      <c r="CI752" s="407">
        <v>269.2</v>
      </c>
      <c r="CJ752" s="407">
        <v>-86.284999999999968</v>
      </c>
      <c r="CK752" s="407"/>
      <c r="CL752" s="407"/>
      <c r="CM752" s="407"/>
      <c r="CN752" s="407"/>
      <c r="CO752" s="407">
        <v>-111.75000000000003</v>
      </c>
      <c r="CP752" s="407">
        <v>13.734999999999999</v>
      </c>
      <c r="CQ752" s="407">
        <v>30</v>
      </c>
      <c r="CR752" s="407">
        <v>8.627009007829173</v>
      </c>
      <c r="CS752" s="407">
        <v>0</v>
      </c>
      <c r="CT752" s="407">
        <v>0</v>
      </c>
      <c r="CU752" s="407">
        <v>0</v>
      </c>
      <c r="CV752" s="407">
        <v>0</v>
      </c>
      <c r="CW752" s="407">
        <v>0</v>
      </c>
      <c r="CX752" s="407">
        <v>0</v>
      </c>
      <c r="CY752" s="407">
        <v>0</v>
      </c>
      <c r="CZ752" s="407">
        <v>2.6345300078655001</v>
      </c>
      <c r="DA752" s="407">
        <v>0</v>
      </c>
      <c r="DB752" s="407">
        <v>0</v>
      </c>
      <c r="DC752" s="407">
        <v>15.289893073867503</v>
      </c>
      <c r="DD752" s="407">
        <v>0</v>
      </c>
      <c r="DE752" s="407">
        <v>0</v>
      </c>
      <c r="DF752" s="407">
        <v>0</v>
      </c>
      <c r="DG752" s="407">
        <v>1.1176423594472498</v>
      </c>
      <c r="DH752" s="407">
        <v>0</v>
      </c>
      <c r="DI752" s="407">
        <v>-2.1702593028639505</v>
      </c>
      <c r="DJ752" s="407"/>
      <c r="DK752" s="407">
        <v>0</v>
      </c>
      <c r="DL752" s="407">
        <v>0</v>
      </c>
      <c r="DM752" s="407">
        <v>0</v>
      </c>
      <c r="DN752" s="407">
        <v>0</v>
      </c>
      <c r="DO752" s="407">
        <v>-0.29212416118259998</v>
      </c>
      <c r="DP752" s="407">
        <v>-6.6110042254619916E-2</v>
      </c>
      <c r="DQ752" s="407">
        <v>0</v>
      </c>
      <c r="DR752" s="407">
        <v>-7.8865629270498898</v>
      </c>
      <c r="DS752" s="407"/>
      <c r="DT752" s="407"/>
      <c r="DU752" s="407"/>
      <c r="DV752" s="407">
        <v>208.77299539353851</v>
      </c>
      <c r="DW752" s="407">
        <v>0</v>
      </c>
      <c r="DX752" s="407">
        <v>0</v>
      </c>
      <c r="DY752" s="407">
        <v>-111.75000000000003</v>
      </c>
      <c r="DZ752" s="407">
        <v>13.734999999999999</v>
      </c>
      <c r="EA752" s="407">
        <v>0</v>
      </c>
      <c r="EB752" s="407">
        <v>0</v>
      </c>
      <c r="EC752" s="407">
        <v>-106.6417309480545</v>
      </c>
      <c r="ED752" s="407">
        <v>0</v>
      </c>
      <c r="EE752" s="407">
        <v>0</v>
      </c>
      <c r="EF752" s="407">
        <v>0</v>
      </c>
      <c r="EG752" s="407">
        <v>0</v>
      </c>
      <c r="EH752" s="407">
        <v>0</v>
      </c>
      <c r="EI752" s="407">
        <v>0</v>
      </c>
      <c r="EJ752" s="407">
        <v>0</v>
      </c>
      <c r="EK752" s="407">
        <v>0</v>
      </c>
      <c r="EL752" s="407">
        <v>0</v>
      </c>
      <c r="EM752" s="407">
        <v>0</v>
      </c>
      <c r="EN752" s="407">
        <v>0</v>
      </c>
      <c r="EO752" s="407">
        <v>0</v>
      </c>
      <c r="EP752" s="407">
        <v>14.677099860316501</v>
      </c>
      <c r="EQ752" s="407">
        <v>0</v>
      </c>
      <c r="ER752" s="407">
        <v>0</v>
      </c>
      <c r="ES752" s="407">
        <v>0</v>
      </c>
      <c r="ET752" s="407">
        <v>0</v>
      </c>
      <c r="EU752" s="407">
        <v>0</v>
      </c>
      <c r="EV752" s="407">
        <v>246</v>
      </c>
      <c r="EW752" s="407">
        <v>0</v>
      </c>
      <c r="EX752" s="407">
        <v>0</v>
      </c>
      <c r="EY752" s="407">
        <v>0</v>
      </c>
      <c r="EZ752" s="407"/>
      <c r="FA752" s="407">
        <v>0</v>
      </c>
      <c r="FB752" s="407"/>
      <c r="FC752" s="407"/>
      <c r="FD752" s="407"/>
      <c r="FE752" s="407"/>
      <c r="FF752" s="407">
        <v>0</v>
      </c>
      <c r="FG752" s="407">
        <v>0</v>
      </c>
      <c r="FH752" s="407">
        <v>0</v>
      </c>
      <c r="FI752" s="407">
        <v>0</v>
      </c>
    </row>
    <row r="753" spans="1:165">
      <c r="A753" s="407">
        <v>780</v>
      </c>
      <c r="B753" s="407" t="s">
        <v>1090</v>
      </c>
      <c r="C753" s="407" t="s">
        <v>2306</v>
      </c>
      <c r="D753" s="407" t="s">
        <v>2315</v>
      </c>
      <c r="E753" s="407" t="s">
        <v>1026</v>
      </c>
      <c r="F753" s="407" t="s">
        <v>2323</v>
      </c>
      <c r="G753" s="407" t="s">
        <v>2325</v>
      </c>
      <c r="H753" s="407" t="s">
        <v>97</v>
      </c>
      <c r="I753" s="407" t="s">
        <v>97</v>
      </c>
      <c r="J753" s="407" t="s">
        <v>2307</v>
      </c>
      <c r="K753" s="818">
        <v>44713</v>
      </c>
      <c r="L753" s="407">
        <v>0</v>
      </c>
      <c r="M753" s="407">
        <v>0</v>
      </c>
      <c r="N753" s="407">
        <v>1.07</v>
      </c>
      <c r="O753" s="407">
        <v>0.42799999999999999</v>
      </c>
      <c r="P753" s="407">
        <v>1.07</v>
      </c>
      <c r="Q753" s="407">
        <v>0.42799999999999999</v>
      </c>
      <c r="R753" s="407"/>
      <c r="S753" s="407">
        <v>648.44000000000005</v>
      </c>
      <c r="T753" s="407">
        <v>159.41</v>
      </c>
      <c r="U753" s="407"/>
      <c r="V753" s="407">
        <v>864.3995000000001</v>
      </c>
      <c r="W753" s="407">
        <v>864.3995000000001</v>
      </c>
      <c r="X753" s="407">
        <v>654.64740000000006</v>
      </c>
      <c r="Y753" s="407">
        <v>0</v>
      </c>
      <c r="Z753" s="407">
        <v>66.30816817410718</v>
      </c>
      <c r="AA753" s="407">
        <v>0</v>
      </c>
      <c r="AB753" s="407">
        <v>0</v>
      </c>
      <c r="AC753" s="407">
        <v>0</v>
      </c>
      <c r="AD753" s="407">
        <v>124.80953604675013</v>
      </c>
      <c r="AE753" s="407">
        <v>446.77421014217242</v>
      </c>
      <c r="AF753" s="407">
        <v>165.02686688302663</v>
      </c>
      <c r="AG753" s="407">
        <v>5.54446954477846</v>
      </c>
      <c r="AH753" s="407">
        <v>0</v>
      </c>
      <c r="AI753" s="407">
        <v>0</v>
      </c>
      <c r="AJ753" s="407">
        <v>0</v>
      </c>
      <c r="AK753" s="407">
        <v>0</v>
      </c>
      <c r="AL753" s="407">
        <v>10.24637922529408</v>
      </c>
      <c r="AM753" s="407"/>
      <c r="AN753" s="407">
        <v>2.2203523353118451</v>
      </c>
      <c r="AO753" s="407">
        <v>0</v>
      </c>
      <c r="AP753" s="407">
        <v>0</v>
      </c>
      <c r="AQ753" s="407">
        <v>0</v>
      </c>
      <c r="AR753" s="407">
        <v>0</v>
      </c>
      <c r="AS753" s="407">
        <v>0</v>
      </c>
      <c r="AT753" s="407">
        <v>0</v>
      </c>
      <c r="AU753" s="407">
        <v>0</v>
      </c>
      <c r="AV753" s="407">
        <v>0</v>
      </c>
      <c r="AW753" s="407">
        <v>0</v>
      </c>
      <c r="AX753" s="407">
        <v>0</v>
      </c>
      <c r="AY753" s="407">
        <v>0</v>
      </c>
      <c r="AZ753" s="407">
        <v>0</v>
      </c>
      <c r="BA753" s="407"/>
      <c r="BB753" s="407">
        <v>0</v>
      </c>
      <c r="BC753" s="407">
        <v>0</v>
      </c>
      <c r="BD753" s="407">
        <v>0</v>
      </c>
      <c r="BE753" s="407">
        <v>0</v>
      </c>
      <c r="BF753" s="407">
        <v>0</v>
      </c>
      <c r="BG753" s="407">
        <v>12.062936999249972</v>
      </c>
      <c r="BH753" s="407">
        <v>0</v>
      </c>
      <c r="BI753" s="407">
        <v>0</v>
      </c>
      <c r="BJ753" s="407">
        <v>0</v>
      </c>
      <c r="BK753" s="407">
        <v>0</v>
      </c>
      <c r="BL753" s="407">
        <v>0</v>
      </c>
      <c r="BM753" s="407"/>
      <c r="BN753" s="407"/>
      <c r="BO753" s="407"/>
      <c r="BP753" s="407"/>
      <c r="BQ753" s="407"/>
      <c r="BR753" s="407"/>
      <c r="BS753" s="407">
        <v>424.21220000000011</v>
      </c>
      <c r="BT753" s="407"/>
      <c r="BU753" s="407"/>
      <c r="BV753" s="407">
        <v>177.08980388227661</v>
      </c>
      <c r="BW753" s="407"/>
      <c r="BX753" s="407"/>
      <c r="BY753" s="407"/>
      <c r="BZ753" s="407"/>
      <c r="CA753" s="407"/>
      <c r="CB753" s="407"/>
      <c r="CC753" s="407"/>
      <c r="CD753" s="407"/>
      <c r="CE753" s="407"/>
      <c r="CF753" s="407"/>
      <c r="CG753" s="407"/>
      <c r="CH753" s="407"/>
      <c r="CI753" s="407">
        <v>231.512</v>
      </c>
      <c r="CJ753" s="407">
        <v>-72.78747999999996</v>
      </c>
      <c r="CK753" s="407"/>
      <c r="CL753" s="407"/>
      <c r="CM753" s="407"/>
      <c r="CN753" s="407"/>
      <c r="CO753" s="407">
        <v>-239.14500000000007</v>
      </c>
      <c r="CP753" s="407">
        <v>29.392900000000001</v>
      </c>
      <c r="CQ753" s="407">
        <v>30</v>
      </c>
      <c r="CR753" s="407">
        <v>18.461799276754391</v>
      </c>
      <c r="CS753" s="407">
        <v>0</v>
      </c>
      <c r="CT753" s="407">
        <v>0</v>
      </c>
      <c r="CU753" s="407">
        <v>0</v>
      </c>
      <c r="CV753" s="407">
        <v>0</v>
      </c>
      <c r="CW753" s="407">
        <v>0</v>
      </c>
      <c r="CX753" s="407">
        <v>0</v>
      </c>
      <c r="CY753" s="407">
        <v>0</v>
      </c>
      <c r="CZ753" s="407">
        <v>5.6378942168321799</v>
      </c>
      <c r="DA753" s="407">
        <v>0</v>
      </c>
      <c r="DB753" s="407">
        <v>0</v>
      </c>
      <c r="DC753" s="407">
        <v>32.720371178076448</v>
      </c>
      <c r="DD753" s="407">
        <v>0</v>
      </c>
      <c r="DE753" s="407">
        <v>0</v>
      </c>
      <c r="DF753" s="407">
        <v>0</v>
      </c>
      <c r="DG753" s="407">
        <v>2.3917546492171144</v>
      </c>
      <c r="DH753" s="407">
        <v>0</v>
      </c>
      <c r="DI753" s="407">
        <v>-4.6443549081288609</v>
      </c>
      <c r="DJ753" s="407"/>
      <c r="DK753" s="407">
        <v>0</v>
      </c>
      <c r="DL753" s="407">
        <v>0</v>
      </c>
      <c r="DM753" s="407">
        <v>0</v>
      </c>
      <c r="DN753" s="407">
        <v>0</v>
      </c>
      <c r="DO753" s="407">
        <v>-0.62514570493076249</v>
      </c>
      <c r="DP753" s="407">
        <v>-0.14147549042488672</v>
      </c>
      <c r="DQ753" s="407">
        <v>0</v>
      </c>
      <c r="DR753" s="407">
        <v>-16.877244663886763</v>
      </c>
      <c r="DS753" s="407"/>
      <c r="DT753" s="407"/>
      <c r="DU753" s="407"/>
      <c r="DV753" s="407">
        <v>446.77421014217242</v>
      </c>
      <c r="DW753" s="407">
        <v>0</v>
      </c>
      <c r="DX753" s="407">
        <v>0</v>
      </c>
      <c r="DY753" s="407">
        <v>-239.14500000000004</v>
      </c>
      <c r="DZ753" s="407">
        <v>29.392899999999997</v>
      </c>
      <c r="EA753" s="407">
        <v>0</v>
      </c>
      <c r="EB753" s="407">
        <v>0</v>
      </c>
      <c r="EC753" s="407">
        <v>-228.21330422883665</v>
      </c>
      <c r="ED753" s="407">
        <v>0</v>
      </c>
      <c r="EE753" s="407">
        <v>0</v>
      </c>
      <c r="EF753" s="407">
        <v>0</v>
      </c>
      <c r="EG753" s="407">
        <v>0</v>
      </c>
      <c r="EH753" s="407">
        <v>0</v>
      </c>
      <c r="EI753" s="407">
        <v>0</v>
      </c>
      <c r="EJ753" s="407">
        <v>0</v>
      </c>
      <c r="EK753" s="407">
        <v>0</v>
      </c>
      <c r="EL753" s="407">
        <v>0</v>
      </c>
      <c r="EM753" s="407">
        <v>0</v>
      </c>
      <c r="EN753" s="407">
        <v>0</v>
      </c>
      <c r="EO753" s="407">
        <v>0</v>
      </c>
      <c r="EP753" s="407">
        <v>31.408993701077314</v>
      </c>
      <c r="EQ753" s="407">
        <v>0</v>
      </c>
      <c r="ER753" s="407">
        <v>0</v>
      </c>
      <c r="ES753" s="407">
        <v>0</v>
      </c>
      <c r="ET753" s="407">
        <v>0</v>
      </c>
      <c r="EU753" s="407">
        <v>0</v>
      </c>
      <c r="EV753" s="407">
        <v>246</v>
      </c>
      <c r="EW753" s="407">
        <v>0</v>
      </c>
      <c r="EX753" s="407">
        <v>0</v>
      </c>
      <c r="EY753" s="407">
        <v>0</v>
      </c>
      <c r="EZ753" s="407"/>
      <c r="FA753" s="407">
        <v>0</v>
      </c>
      <c r="FB753" s="407"/>
      <c r="FC753" s="407"/>
      <c r="FD753" s="407"/>
      <c r="FE753" s="407"/>
      <c r="FF753" s="407">
        <v>0</v>
      </c>
      <c r="FG753" s="407">
        <v>0</v>
      </c>
      <c r="FH753" s="407">
        <v>0</v>
      </c>
      <c r="FI753" s="407">
        <v>0</v>
      </c>
    </row>
    <row r="754" spans="1:165">
      <c r="A754" s="407">
        <v>782</v>
      </c>
      <c r="B754" s="407" t="s">
        <v>1090</v>
      </c>
      <c r="C754" s="407" t="s">
        <v>2314</v>
      </c>
      <c r="D754" s="407" t="s">
        <v>650</v>
      </c>
      <c r="E754" s="407" t="s">
        <v>1026</v>
      </c>
      <c r="F754" s="407" t="s">
        <v>2323</v>
      </c>
      <c r="G754" s="407" t="s">
        <v>97</v>
      </c>
      <c r="H754" s="407" t="s">
        <v>97</v>
      </c>
      <c r="I754" s="407" t="s">
        <v>1025</v>
      </c>
      <c r="J754" s="407" t="s">
        <v>2307</v>
      </c>
      <c r="K754" s="818">
        <v>44713</v>
      </c>
      <c r="L754" s="407">
        <v>0</v>
      </c>
      <c r="M754" s="407">
        <v>0</v>
      </c>
      <c r="N754" s="407">
        <v>1.1890000000000001</v>
      </c>
      <c r="O754" s="407">
        <v>1.14144</v>
      </c>
      <c r="P754" s="407">
        <v>1.1890000000000001</v>
      </c>
      <c r="Q754" s="407">
        <v>1.14144</v>
      </c>
      <c r="R754" s="407"/>
      <c r="S754" s="407">
        <v>2810.7</v>
      </c>
      <c r="T754" s="407">
        <v>159.41</v>
      </c>
      <c r="U754" s="407"/>
      <c r="V754" s="407">
        <v>3531.4607899999996</v>
      </c>
      <c r="W754" s="407">
        <v>3531.4607899999996</v>
      </c>
      <c r="X754" s="407">
        <v>2249.2194100000002</v>
      </c>
      <c r="Y754" s="407">
        <v>0</v>
      </c>
      <c r="Z754" s="407">
        <v>64.103886359197801</v>
      </c>
      <c r="AA754" s="407">
        <v>0</v>
      </c>
      <c r="AB754" s="407">
        <v>0</v>
      </c>
      <c r="AC754" s="407">
        <v>0</v>
      </c>
      <c r="AD754" s="407">
        <v>725.90304053676618</v>
      </c>
      <c r="AE754" s="407">
        <v>2502.7129069641155</v>
      </c>
      <c r="AF754" s="407">
        <v>183.3803221718866</v>
      </c>
      <c r="AG754" s="407">
        <v>6.1610974661136346</v>
      </c>
      <c r="AH754" s="407">
        <v>0</v>
      </c>
      <c r="AI754" s="407">
        <v>0</v>
      </c>
      <c r="AJ754" s="407">
        <v>0</v>
      </c>
      <c r="AK754" s="407">
        <v>0</v>
      </c>
      <c r="AL754" s="407">
        <v>11.385929812032394</v>
      </c>
      <c r="AM754" s="407"/>
      <c r="AN754" s="407">
        <v>1.2766689933511484</v>
      </c>
      <c r="AO754" s="407">
        <v>0</v>
      </c>
      <c r="AP754" s="407">
        <v>0</v>
      </c>
      <c r="AQ754" s="407">
        <v>0</v>
      </c>
      <c r="AR754" s="407">
        <v>0</v>
      </c>
      <c r="AS754" s="407">
        <v>0</v>
      </c>
      <c r="AT754" s="407">
        <v>0</v>
      </c>
      <c r="AU754" s="407">
        <v>0</v>
      </c>
      <c r="AV754" s="407">
        <v>0</v>
      </c>
      <c r="AW754" s="407">
        <v>0</v>
      </c>
      <c r="AX754" s="407">
        <v>0</v>
      </c>
      <c r="AY754" s="407">
        <v>0</v>
      </c>
      <c r="AZ754" s="407">
        <v>0</v>
      </c>
      <c r="BA754" s="407"/>
      <c r="BB754" s="407">
        <v>0</v>
      </c>
      <c r="BC754" s="407">
        <v>0</v>
      </c>
      <c r="BD754" s="407">
        <v>0</v>
      </c>
      <c r="BE754" s="407">
        <v>0</v>
      </c>
      <c r="BF754" s="407">
        <v>0</v>
      </c>
      <c r="BG754" s="407">
        <v>6.1707606127794588</v>
      </c>
      <c r="BH754" s="407">
        <v>0</v>
      </c>
      <c r="BI754" s="407">
        <v>0</v>
      </c>
      <c r="BJ754" s="407">
        <v>0</v>
      </c>
      <c r="BK754" s="407">
        <v>0</v>
      </c>
      <c r="BL754" s="407">
        <v>0</v>
      </c>
      <c r="BM754" s="407"/>
      <c r="BN754" s="407"/>
      <c r="BO754" s="407"/>
      <c r="BP754" s="407"/>
      <c r="BQ754" s="407"/>
      <c r="BR754" s="407">
        <v>89.968776400000095</v>
      </c>
      <c r="BS754" s="407"/>
      <c r="BT754" s="407"/>
      <c r="BU754" s="407"/>
      <c r="BV754" s="407">
        <v>189.55108278466605</v>
      </c>
      <c r="BW754" s="407"/>
      <c r="BX754" s="407"/>
      <c r="BY754" s="407"/>
      <c r="BZ754" s="407"/>
      <c r="CA754" s="407"/>
      <c r="CB754" s="407"/>
      <c r="CC754" s="407"/>
      <c r="CD754" s="407"/>
      <c r="CE754" s="407"/>
      <c r="CF754" s="407"/>
      <c r="CG754" s="407"/>
      <c r="CH754" s="407"/>
      <c r="CI754" s="407">
        <v>2156.5265999999997</v>
      </c>
      <c r="CJ754" s="407">
        <v>-1233.7057584000008</v>
      </c>
      <c r="CK754" s="407"/>
      <c r="CL754" s="407"/>
      <c r="CM754" s="407"/>
      <c r="CN754" s="407"/>
      <c r="CO754" s="407">
        <v>-1314.9032099999999</v>
      </c>
      <c r="CP754" s="407">
        <v>32.661830000000002</v>
      </c>
      <c r="CQ754" s="407">
        <v>30</v>
      </c>
      <c r="CR754" s="407">
        <v>-3.8435578269848065</v>
      </c>
      <c r="CS754" s="407">
        <v>0</v>
      </c>
      <c r="CT754" s="407">
        <v>0</v>
      </c>
      <c r="CU754" s="407">
        <v>0</v>
      </c>
      <c r="CV754" s="407">
        <v>0</v>
      </c>
      <c r="CW754" s="407">
        <v>0</v>
      </c>
      <c r="CX754" s="407">
        <v>0</v>
      </c>
      <c r="CY754" s="407">
        <v>0</v>
      </c>
      <c r="CZ754" s="407">
        <v>32.79047966887822</v>
      </c>
      <c r="DA754" s="407">
        <v>0</v>
      </c>
      <c r="DB754" s="407">
        <v>0</v>
      </c>
      <c r="DC754" s="407">
        <v>36.359365729656929</v>
      </c>
      <c r="DD754" s="407">
        <v>0</v>
      </c>
      <c r="DE754" s="407">
        <v>0</v>
      </c>
      <c r="DF754" s="407">
        <v>0</v>
      </c>
      <c r="DG754" s="407">
        <v>1.2234951890852734</v>
      </c>
      <c r="DH754" s="407">
        <v>0</v>
      </c>
      <c r="DI754" s="407">
        <v>-4.4899626613231476</v>
      </c>
      <c r="DJ754" s="407"/>
      <c r="DK754" s="407">
        <v>0</v>
      </c>
      <c r="DL754" s="407">
        <v>0</v>
      </c>
      <c r="DM754" s="407">
        <v>0</v>
      </c>
      <c r="DN754" s="407">
        <v>0</v>
      </c>
      <c r="DO754" s="407">
        <v>-0.69467125529222251</v>
      </c>
      <c r="DP754" s="407">
        <v>-8.1346266118264898E-2</v>
      </c>
      <c r="DQ754" s="407">
        <v>0</v>
      </c>
      <c r="DR754" s="407">
        <v>-68.950918231871754</v>
      </c>
      <c r="DS754" s="407"/>
      <c r="DT754" s="407"/>
      <c r="DU754" s="407"/>
      <c r="DV754" s="407">
        <v>2502.7129069641155</v>
      </c>
      <c r="DW754" s="407">
        <v>0</v>
      </c>
      <c r="DX754" s="407">
        <v>0</v>
      </c>
      <c r="DY754" s="407">
        <v>-1314.9032099999997</v>
      </c>
      <c r="DZ754" s="407">
        <v>32.661830000000009</v>
      </c>
      <c r="EA754" s="407">
        <v>0</v>
      </c>
      <c r="EB754" s="407">
        <v>0</v>
      </c>
      <c r="EC754" s="407">
        <v>-1278.3915657367122</v>
      </c>
      <c r="ED754" s="407">
        <v>0</v>
      </c>
      <c r="EE754" s="407">
        <v>0</v>
      </c>
      <c r="EF754" s="407">
        <v>0</v>
      </c>
      <c r="EG754" s="407">
        <v>0</v>
      </c>
      <c r="EH754" s="407">
        <v>0</v>
      </c>
      <c r="EI754" s="407">
        <v>0</v>
      </c>
      <c r="EJ754" s="407">
        <v>0</v>
      </c>
      <c r="EK754" s="407">
        <v>0</v>
      </c>
      <c r="EL754" s="407">
        <v>0</v>
      </c>
      <c r="EM754" s="407">
        <v>0</v>
      </c>
      <c r="EN754" s="407">
        <v>0</v>
      </c>
      <c r="EO754" s="407">
        <v>0</v>
      </c>
      <c r="EP754" s="407">
        <v>30.364864817014382</v>
      </c>
      <c r="EQ754" s="407">
        <v>0</v>
      </c>
      <c r="ER754" s="407">
        <v>0</v>
      </c>
      <c r="ES754" s="407">
        <v>0</v>
      </c>
      <c r="ET754" s="407">
        <v>0</v>
      </c>
      <c r="EU754" s="407">
        <v>0</v>
      </c>
      <c r="EV754" s="407">
        <v>246</v>
      </c>
      <c r="EW754" s="407">
        <v>0</v>
      </c>
      <c r="EX754" s="407">
        <v>0</v>
      </c>
      <c r="EY754" s="407">
        <v>0</v>
      </c>
      <c r="EZ754" s="407"/>
      <c r="FA754" s="407">
        <v>0</v>
      </c>
      <c r="FB754" s="407"/>
      <c r="FC754" s="407"/>
      <c r="FD754" s="407"/>
      <c r="FE754" s="407"/>
      <c r="FF754" s="407">
        <v>0</v>
      </c>
      <c r="FG754" s="407">
        <v>0</v>
      </c>
      <c r="FH754" s="407">
        <v>0</v>
      </c>
      <c r="FI754" s="407">
        <v>0</v>
      </c>
    </row>
    <row r="755" spans="1:165">
      <c r="A755" s="407">
        <v>783</v>
      </c>
      <c r="B755" s="407" t="s">
        <v>2308</v>
      </c>
      <c r="C755" s="407" t="s">
        <v>2314</v>
      </c>
      <c r="D755" s="407" t="s">
        <v>650</v>
      </c>
      <c r="E755" s="407" t="s">
        <v>1026</v>
      </c>
      <c r="F755" s="407" t="s">
        <v>2323</v>
      </c>
      <c r="G755" s="407" t="s">
        <v>97</v>
      </c>
      <c r="H755" s="407" t="s">
        <v>97</v>
      </c>
      <c r="I755" s="407" t="s">
        <v>1025</v>
      </c>
      <c r="J755" s="407" t="s">
        <v>2307</v>
      </c>
      <c r="K755" s="818">
        <v>44713</v>
      </c>
      <c r="L755" s="407">
        <v>0</v>
      </c>
      <c r="M755" s="407">
        <v>0</v>
      </c>
      <c r="N755" s="407">
        <v>-21.582000000000001</v>
      </c>
      <c r="O755" s="407">
        <v>-20.718720000000001</v>
      </c>
      <c r="P755" s="407">
        <v>-21.582000000000001</v>
      </c>
      <c r="Q755" s="407">
        <v>-20.718720000000001</v>
      </c>
      <c r="R755" s="407"/>
      <c r="S755" s="407">
        <v>2810.7</v>
      </c>
      <c r="T755" s="407">
        <v>159.41</v>
      </c>
      <c r="U755" s="407"/>
      <c r="V755" s="407">
        <v>-64100.914019999997</v>
      </c>
      <c r="W755" s="407">
        <v>-64100.914019999997</v>
      </c>
      <c r="X755" s="407">
        <v>-40826.453580000001</v>
      </c>
      <c r="Y755" s="407">
        <v>0</v>
      </c>
      <c r="Z755" s="407">
        <v>-1163.5744957142194</v>
      </c>
      <c r="AA755" s="407">
        <v>0</v>
      </c>
      <c r="AB755" s="407">
        <v>0</v>
      </c>
      <c r="AC755" s="407">
        <v>0</v>
      </c>
      <c r="AD755" s="407">
        <v>-13176.147536471393</v>
      </c>
      <c r="AE755" s="407">
        <v>-45427.712328090449</v>
      </c>
      <c r="AF755" s="407">
        <v>-3328.6073281023182</v>
      </c>
      <c r="AG755" s="407">
        <v>-111.83246889290535</v>
      </c>
      <c r="AH755" s="407">
        <v>0</v>
      </c>
      <c r="AI755" s="407">
        <v>0</v>
      </c>
      <c r="AJ755" s="407">
        <v>0</v>
      </c>
      <c r="AK755" s="407">
        <v>0</v>
      </c>
      <c r="AL755" s="407">
        <v>-206.67042657971666</v>
      </c>
      <c r="AM755" s="407"/>
      <c r="AN755" s="407">
        <v>-23.173313889406629</v>
      </c>
      <c r="AO755" s="407">
        <v>0</v>
      </c>
      <c r="AP755" s="407">
        <v>0</v>
      </c>
      <c r="AQ755" s="407">
        <v>0</v>
      </c>
      <c r="AR755" s="407">
        <v>0</v>
      </c>
      <c r="AS755" s="407">
        <v>0</v>
      </c>
      <c r="AT755" s="407">
        <v>0</v>
      </c>
      <c r="AU755" s="407">
        <v>0</v>
      </c>
      <c r="AV755" s="407">
        <v>0</v>
      </c>
      <c r="AW755" s="407">
        <v>0</v>
      </c>
      <c r="AX755" s="407">
        <v>0</v>
      </c>
      <c r="AY755" s="407">
        <v>0</v>
      </c>
      <c r="AZ755" s="407">
        <v>0</v>
      </c>
      <c r="BA755" s="407"/>
      <c r="BB755" s="407">
        <v>0</v>
      </c>
      <c r="BC755" s="407">
        <v>0</v>
      </c>
      <c r="BD755" s="407">
        <v>0</v>
      </c>
      <c r="BE755" s="407">
        <v>0</v>
      </c>
      <c r="BF755" s="407">
        <v>0</v>
      </c>
      <c r="BG755" s="407">
        <v>-112.00786841463942</v>
      </c>
      <c r="BH755" s="407">
        <v>0</v>
      </c>
      <c r="BI755" s="407">
        <v>0</v>
      </c>
      <c r="BJ755" s="407">
        <v>0</v>
      </c>
      <c r="BK755" s="407">
        <v>0</v>
      </c>
      <c r="BL755" s="407">
        <v>0</v>
      </c>
      <c r="BM755" s="407"/>
      <c r="BN755" s="407"/>
      <c r="BO755" s="407"/>
      <c r="BP755" s="407"/>
      <c r="BQ755" s="407"/>
      <c r="BR755" s="407">
        <v>-1633.0581431999992</v>
      </c>
      <c r="BS755" s="407"/>
      <c r="BT755" s="407"/>
      <c r="BU755" s="407"/>
      <c r="BV755" s="407">
        <v>-3440.6151965169574</v>
      </c>
      <c r="BW755" s="407"/>
      <c r="BX755" s="407"/>
      <c r="BY755" s="407"/>
      <c r="BZ755" s="407"/>
      <c r="CA755" s="407"/>
      <c r="CB755" s="407"/>
      <c r="CC755" s="407"/>
      <c r="CD755" s="407"/>
      <c r="CE755" s="407"/>
      <c r="CF755" s="407"/>
      <c r="CG755" s="407"/>
      <c r="CH755" s="407"/>
      <c r="CI755" s="407">
        <v>-39195.816799999993</v>
      </c>
      <c r="CJ755" s="407">
        <v>22341.030659199998</v>
      </c>
      <c r="CK755" s="407"/>
      <c r="CL755" s="407"/>
      <c r="CM755" s="407"/>
      <c r="CN755" s="407"/>
      <c r="CO755" s="407">
        <v>23867.31798</v>
      </c>
      <c r="CP755" s="407">
        <v>-592.85753999999997</v>
      </c>
      <c r="CQ755" s="407">
        <v>30</v>
      </c>
      <c r="CR755" s="407">
        <v>69.765908344819763</v>
      </c>
      <c r="CS755" s="407">
        <v>0</v>
      </c>
      <c r="CT755" s="407">
        <v>0</v>
      </c>
      <c r="CU755" s="407">
        <v>0</v>
      </c>
      <c r="CV755" s="407">
        <v>0</v>
      </c>
      <c r="CW755" s="407">
        <v>0</v>
      </c>
      <c r="CX755" s="407">
        <v>0</v>
      </c>
      <c r="CY755" s="407">
        <v>0</v>
      </c>
      <c r="CZ755" s="407">
        <v>-595.1927100199573</v>
      </c>
      <c r="DA755" s="407">
        <v>0</v>
      </c>
      <c r="DB755" s="407">
        <v>0</v>
      </c>
      <c r="DC755" s="407">
        <v>-659.97294464041715</v>
      </c>
      <c r="DD755" s="407">
        <v>0</v>
      </c>
      <c r="DE755" s="407">
        <v>0</v>
      </c>
      <c r="DF755" s="407">
        <v>0</v>
      </c>
      <c r="DG755" s="407">
        <v>-22.2081355515882</v>
      </c>
      <c r="DH755" s="407">
        <v>0</v>
      </c>
      <c r="DI755" s="407">
        <v>81.49905311747375</v>
      </c>
      <c r="DJ755" s="407"/>
      <c r="DK755" s="407">
        <v>0</v>
      </c>
      <c r="DL755" s="407">
        <v>0</v>
      </c>
      <c r="DM755" s="407">
        <v>0</v>
      </c>
      <c r="DN755" s="407">
        <v>0</v>
      </c>
      <c r="DO755" s="407">
        <v>12.609247293285733</v>
      </c>
      <c r="DP755" s="407">
        <v>1.4765476159498654</v>
      </c>
      <c r="DQ755" s="407">
        <v>0</v>
      </c>
      <c r="DR755" s="407">
        <v>1251.5548505300726</v>
      </c>
      <c r="DS755" s="407"/>
      <c r="DT755" s="407"/>
      <c r="DU755" s="407"/>
      <c r="DV755" s="407">
        <v>-45427.712328090449</v>
      </c>
      <c r="DW755" s="407">
        <v>0</v>
      </c>
      <c r="DX755" s="407">
        <v>0</v>
      </c>
      <c r="DY755" s="407">
        <v>23867.31798</v>
      </c>
      <c r="DZ755" s="407">
        <v>-592.85753999999997</v>
      </c>
      <c r="EA755" s="407">
        <v>0</v>
      </c>
      <c r="EB755" s="407">
        <v>0</v>
      </c>
      <c r="EC755" s="407">
        <v>23204.5809686541</v>
      </c>
      <c r="ED755" s="407">
        <v>0</v>
      </c>
      <c r="EE755" s="407">
        <v>0</v>
      </c>
      <c r="EF755" s="407">
        <v>0</v>
      </c>
      <c r="EG755" s="407">
        <v>0</v>
      </c>
      <c r="EH755" s="407">
        <v>0</v>
      </c>
      <c r="EI755" s="407">
        <v>0</v>
      </c>
      <c r="EJ755" s="407">
        <v>0</v>
      </c>
      <c r="EK755" s="407">
        <v>0</v>
      </c>
      <c r="EL755" s="407">
        <v>0</v>
      </c>
      <c r="EM755" s="407">
        <v>0</v>
      </c>
      <c r="EN755" s="407">
        <v>0</v>
      </c>
      <c r="EO755" s="407">
        <v>0</v>
      </c>
      <c r="EP755" s="407">
        <v>-551.16443438250997</v>
      </c>
      <c r="EQ755" s="407">
        <v>0</v>
      </c>
      <c r="ER755" s="407">
        <v>0</v>
      </c>
      <c r="ES755" s="407">
        <v>0</v>
      </c>
      <c r="ET755" s="407">
        <v>0</v>
      </c>
      <c r="EU755" s="407">
        <v>0</v>
      </c>
      <c r="EV755" s="407">
        <v>246</v>
      </c>
      <c r="EW755" s="407">
        <v>0</v>
      </c>
      <c r="EX755" s="407">
        <v>0</v>
      </c>
      <c r="EY755" s="407">
        <v>0</v>
      </c>
      <c r="EZ755" s="407"/>
      <c r="FA755" s="407">
        <v>0</v>
      </c>
      <c r="FB755" s="407"/>
      <c r="FC755" s="407"/>
      <c r="FD755" s="407"/>
      <c r="FE755" s="407"/>
      <c r="FF755" s="407">
        <v>0</v>
      </c>
      <c r="FG755" s="407">
        <v>0</v>
      </c>
      <c r="FH755" s="407">
        <v>0</v>
      </c>
      <c r="FI755" s="407">
        <v>0</v>
      </c>
    </row>
    <row r="756" spans="1:165">
      <c r="A756" s="407">
        <v>785</v>
      </c>
      <c r="B756" s="407" t="s">
        <v>1090</v>
      </c>
      <c r="C756" s="407" t="s">
        <v>2314</v>
      </c>
      <c r="D756" s="407" t="s">
        <v>650</v>
      </c>
      <c r="E756" s="407" t="s">
        <v>1026</v>
      </c>
      <c r="F756" s="407" t="s">
        <v>2323</v>
      </c>
      <c r="G756" s="407" t="s">
        <v>97</v>
      </c>
      <c r="H756" s="407" t="s">
        <v>97</v>
      </c>
      <c r="I756" s="407" t="s">
        <v>2290</v>
      </c>
      <c r="J756" s="407" t="s">
        <v>2307</v>
      </c>
      <c r="K756" s="818">
        <v>44713</v>
      </c>
      <c r="L756" s="407">
        <v>0</v>
      </c>
      <c r="M756" s="407">
        <v>0</v>
      </c>
      <c r="N756" s="407">
        <v>7.4710000000000001</v>
      </c>
      <c r="O756" s="407">
        <v>7.1721599999999999</v>
      </c>
      <c r="P756" s="407">
        <v>7.4710000000000001</v>
      </c>
      <c r="Q756" s="407">
        <v>7.1721599999999999</v>
      </c>
      <c r="R756" s="407"/>
      <c r="S756" s="407">
        <v>95.29</v>
      </c>
      <c r="T756" s="407">
        <v>159.41</v>
      </c>
      <c r="U756" s="407"/>
      <c r="V756" s="407">
        <v>1902.8636999999999</v>
      </c>
      <c r="W756" s="407">
        <v>1902.8636999999999</v>
      </c>
      <c r="X756" s="407">
        <v>2068.7946099999999</v>
      </c>
      <c r="Y756" s="407">
        <v>0</v>
      </c>
      <c r="Z756" s="407">
        <v>402.79237593739845</v>
      </c>
      <c r="AA756" s="407">
        <v>0</v>
      </c>
      <c r="AB756" s="407">
        <v>0</v>
      </c>
      <c r="AC756" s="407">
        <v>0</v>
      </c>
      <c r="AD756" s="407">
        <v>0</v>
      </c>
      <c r="AE756" s="407">
        <v>0</v>
      </c>
      <c r="AF756" s="407">
        <v>1152.2576845636372</v>
      </c>
      <c r="AG756" s="407">
        <v>38.712833615925121</v>
      </c>
      <c r="AH756" s="407">
        <v>0</v>
      </c>
      <c r="AI756" s="407">
        <v>0</v>
      </c>
      <c r="AJ756" s="407">
        <v>0</v>
      </c>
      <c r="AK756" s="407">
        <v>0</v>
      </c>
      <c r="AL756" s="407">
        <v>71.542709525394457</v>
      </c>
      <c r="AM756" s="407"/>
      <c r="AN756" s="407">
        <v>8.0218621104511598</v>
      </c>
      <c r="AO756" s="407">
        <v>0</v>
      </c>
      <c r="AP756" s="407">
        <v>0</v>
      </c>
      <c r="AQ756" s="407">
        <v>0</v>
      </c>
      <c r="AR756" s="407">
        <v>0</v>
      </c>
      <c r="AS756" s="407">
        <v>0</v>
      </c>
      <c r="AT756" s="407">
        <v>0</v>
      </c>
      <c r="AU756" s="407">
        <v>0</v>
      </c>
      <c r="AV756" s="407">
        <v>0</v>
      </c>
      <c r="AW756" s="407">
        <v>0</v>
      </c>
      <c r="AX756" s="407">
        <v>0</v>
      </c>
      <c r="AY756" s="407">
        <v>0</v>
      </c>
      <c r="AZ756" s="407">
        <v>0</v>
      </c>
      <c r="BA756" s="407"/>
      <c r="BB756" s="407">
        <v>0</v>
      </c>
      <c r="BC756" s="407">
        <v>0</v>
      </c>
      <c r="BD756" s="407">
        <v>0</v>
      </c>
      <c r="BE756" s="407">
        <v>0</v>
      </c>
      <c r="BF756" s="407">
        <v>0</v>
      </c>
      <c r="BG756" s="407">
        <v>38.773551335639475</v>
      </c>
      <c r="BH756" s="407">
        <v>0</v>
      </c>
      <c r="BI756" s="407">
        <v>0</v>
      </c>
      <c r="BJ756" s="407">
        <v>0</v>
      </c>
      <c r="BK756" s="407">
        <v>0</v>
      </c>
      <c r="BL756" s="407">
        <v>0</v>
      </c>
      <c r="BM756" s="407"/>
      <c r="BN756" s="407"/>
      <c r="BO756" s="407"/>
      <c r="BP756" s="407"/>
      <c r="BQ756" s="407"/>
      <c r="BR756" s="407">
        <v>82.751784400000062</v>
      </c>
      <c r="BS756" s="407"/>
      <c r="BT756" s="407"/>
      <c r="BU756" s="407"/>
      <c r="BV756" s="407">
        <v>1191.0312358992767</v>
      </c>
      <c r="BW756" s="407"/>
      <c r="BX756" s="407"/>
      <c r="BY756" s="407"/>
      <c r="BZ756" s="407"/>
      <c r="CA756" s="407"/>
      <c r="CB756" s="407"/>
      <c r="CC756" s="407"/>
      <c r="CD756" s="407"/>
      <c r="CE756" s="407"/>
      <c r="CF756" s="407"/>
      <c r="CG756" s="407"/>
      <c r="CH756" s="407"/>
      <c r="CI756" s="407">
        <v>1985.4447</v>
      </c>
      <c r="CJ756" s="407">
        <v>158.66554800000017</v>
      </c>
      <c r="CK756" s="407"/>
      <c r="CL756" s="407"/>
      <c r="CM756" s="407"/>
      <c r="CN756" s="407"/>
      <c r="CO756" s="407">
        <v>-39.297460000000036</v>
      </c>
      <c r="CP756" s="407">
        <v>205.22836999999998</v>
      </c>
      <c r="CQ756" s="407">
        <v>30</v>
      </c>
      <c r="CR756" s="407">
        <v>165.90729573479734</v>
      </c>
      <c r="CS756" s="407">
        <v>0</v>
      </c>
      <c r="CT756" s="407">
        <v>0</v>
      </c>
      <c r="CU756" s="407">
        <v>0</v>
      </c>
      <c r="CV756" s="407">
        <v>0</v>
      </c>
      <c r="CW756" s="407">
        <v>0</v>
      </c>
      <c r="CX756" s="407">
        <v>0</v>
      </c>
      <c r="CY756" s="407">
        <v>0</v>
      </c>
      <c r="CZ756" s="407">
        <v>0</v>
      </c>
      <c r="DA756" s="407">
        <v>0</v>
      </c>
      <c r="DB756" s="407">
        <v>0</v>
      </c>
      <c r="DC756" s="407">
        <v>228.46158230972833</v>
      </c>
      <c r="DD756" s="407">
        <v>0</v>
      </c>
      <c r="DE756" s="407">
        <v>0</v>
      </c>
      <c r="DF756" s="407">
        <v>0</v>
      </c>
      <c r="DG756" s="407">
        <v>7.6877481561447212</v>
      </c>
      <c r="DH756" s="407">
        <v>0</v>
      </c>
      <c r="DI756" s="407">
        <v>-28.212372617952269</v>
      </c>
      <c r="DJ756" s="407"/>
      <c r="DK756" s="407">
        <v>0</v>
      </c>
      <c r="DL756" s="407">
        <v>0</v>
      </c>
      <c r="DM756" s="407">
        <v>0</v>
      </c>
      <c r="DN756" s="407">
        <v>0</v>
      </c>
      <c r="DO756" s="407">
        <v>-4.3649192163904047</v>
      </c>
      <c r="DP756" s="407">
        <v>-0.51113368727464792</v>
      </c>
      <c r="DQ756" s="407">
        <v>0</v>
      </c>
      <c r="DR756" s="407">
        <v>-37.153609209458637</v>
      </c>
      <c r="DS756" s="407"/>
      <c r="DT756" s="407"/>
      <c r="DU756" s="407"/>
      <c r="DV756" s="407">
        <v>0</v>
      </c>
      <c r="DW756" s="407">
        <v>0</v>
      </c>
      <c r="DX756" s="407">
        <v>0</v>
      </c>
      <c r="DY756" s="407">
        <v>-39.297460000000001</v>
      </c>
      <c r="DZ756" s="407">
        <v>205.22837000000004</v>
      </c>
      <c r="EA756" s="407">
        <v>0</v>
      </c>
      <c r="EB756" s="407">
        <v>0</v>
      </c>
      <c r="EC756" s="407">
        <v>0</v>
      </c>
      <c r="ED756" s="407">
        <v>0</v>
      </c>
      <c r="EE756" s="407">
        <v>0</v>
      </c>
      <c r="EF756" s="407">
        <v>0</v>
      </c>
      <c r="EG756" s="407">
        <v>0</v>
      </c>
      <c r="EH756" s="407">
        <v>0</v>
      </c>
      <c r="EI756" s="407">
        <v>0</v>
      </c>
      <c r="EJ756" s="407">
        <v>0</v>
      </c>
      <c r="EK756" s="407">
        <v>0</v>
      </c>
      <c r="EL756" s="407">
        <v>0</v>
      </c>
      <c r="EM756" s="407">
        <v>0</v>
      </c>
      <c r="EN756" s="407">
        <v>0</v>
      </c>
      <c r="EO756" s="407">
        <v>0</v>
      </c>
      <c r="EP756" s="407">
        <v>190.79554671817868</v>
      </c>
      <c r="EQ756" s="407">
        <v>0</v>
      </c>
      <c r="ER756" s="407">
        <v>0</v>
      </c>
      <c r="ES756" s="407">
        <v>0</v>
      </c>
      <c r="ET756" s="407">
        <v>0</v>
      </c>
      <c r="EU756" s="407">
        <v>0</v>
      </c>
      <c r="EV756" s="407">
        <v>246</v>
      </c>
      <c r="EW756" s="407">
        <v>0</v>
      </c>
      <c r="EX756" s="407">
        <v>0</v>
      </c>
      <c r="EY756" s="407">
        <v>0</v>
      </c>
      <c r="EZ756" s="407"/>
      <c r="FA756" s="407">
        <v>0</v>
      </c>
      <c r="FB756" s="407"/>
      <c r="FC756" s="407"/>
      <c r="FD756" s="407"/>
      <c r="FE756" s="407"/>
      <c r="FF756" s="407">
        <v>0</v>
      </c>
      <c r="FG756" s="407">
        <v>0</v>
      </c>
      <c r="FH756" s="407">
        <v>0</v>
      </c>
      <c r="FI756" s="407">
        <v>0</v>
      </c>
    </row>
    <row r="757" spans="1:165">
      <c r="A757" s="407">
        <v>786</v>
      </c>
      <c r="B757" s="407" t="s">
        <v>2308</v>
      </c>
      <c r="C757" s="407" t="s">
        <v>2314</v>
      </c>
      <c r="D757" s="407" t="s">
        <v>650</v>
      </c>
      <c r="E757" s="407" t="s">
        <v>1026</v>
      </c>
      <c r="F757" s="407" t="s">
        <v>2323</v>
      </c>
      <c r="G757" s="407" t="s">
        <v>97</v>
      </c>
      <c r="H757" s="407" t="s">
        <v>97</v>
      </c>
      <c r="I757" s="407" t="s">
        <v>2290</v>
      </c>
      <c r="J757" s="407" t="s">
        <v>2307</v>
      </c>
      <c r="K757" s="818">
        <v>44713</v>
      </c>
      <c r="L757" s="407">
        <v>0</v>
      </c>
      <c r="M757" s="407">
        <v>0</v>
      </c>
      <c r="N757" s="407">
        <v>21.582000000000001</v>
      </c>
      <c r="O757" s="407">
        <v>20.718720000000001</v>
      </c>
      <c r="P757" s="407">
        <v>21.582000000000001</v>
      </c>
      <c r="Q757" s="407">
        <v>20.718720000000001</v>
      </c>
      <c r="R757" s="407"/>
      <c r="S757" s="407">
        <v>95.29</v>
      </c>
      <c r="T757" s="407">
        <v>159.41</v>
      </c>
      <c r="U757" s="407"/>
      <c r="V757" s="407">
        <v>5496.9354000000003</v>
      </c>
      <c r="W757" s="407">
        <v>5496.9354000000003</v>
      </c>
      <c r="X757" s="407">
        <v>5976.2716200000004</v>
      </c>
      <c r="Y757" s="407">
        <v>0</v>
      </c>
      <c r="Z757" s="407">
        <v>1163.5744957142194</v>
      </c>
      <c r="AA757" s="407">
        <v>0</v>
      </c>
      <c r="AB757" s="407">
        <v>0</v>
      </c>
      <c r="AC757" s="407">
        <v>0</v>
      </c>
      <c r="AD757" s="407">
        <v>0</v>
      </c>
      <c r="AE757" s="407">
        <v>0</v>
      </c>
      <c r="AF757" s="407">
        <v>3328.6073281023182</v>
      </c>
      <c r="AG757" s="407">
        <v>111.83246889290535</v>
      </c>
      <c r="AH757" s="407">
        <v>0</v>
      </c>
      <c r="AI757" s="407">
        <v>0</v>
      </c>
      <c r="AJ757" s="407">
        <v>0</v>
      </c>
      <c r="AK757" s="407">
        <v>0</v>
      </c>
      <c r="AL757" s="407">
        <v>206.67042657971666</v>
      </c>
      <c r="AM757" s="407"/>
      <c r="AN757" s="407">
        <v>23.173313889406629</v>
      </c>
      <c r="AO757" s="407">
        <v>0</v>
      </c>
      <c r="AP757" s="407">
        <v>0</v>
      </c>
      <c r="AQ757" s="407">
        <v>0</v>
      </c>
      <c r="AR757" s="407">
        <v>0</v>
      </c>
      <c r="AS757" s="407">
        <v>0</v>
      </c>
      <c r="AT757" s="407">
        <v>0</v>
      </c>
      <c r="AU757" s="407">
        <v>0</v>
      </c>
      <c r="AV757" s="407">
        <v>0</v>
      </c>
      <c r="AW757" s="407">
        <v>0</v>
      </c>
      <c r="AX757" s="407">
        <v>0</v>
      </c>
      <c r="AY757" s="407">
        <v>0</v>
      </c>
      <c r="AZ757" s="407">
        <v>0</v>
      </c>
      <c r="BA757" s="407"/>
      <c r="BB757" s="407">
        <v>0</v>
      </c>
      <c r="BC757" s="407">
        <v>0</v>
      </c>
      <c r="BD757" s="407">
        <v>0</v>
      </c>
      <c r="BE757" s="407">
        <v>0</v>
      </c>
      <c r="BF757" s="407">
        <v>0</v>
      </c>
      <c r="BG757" s="407">
        <v>112.00786841463942</v>
      </c>
      <c r="BH757" s="407">
        <v>0</v>
      </c>
      <c r="BI757" s="407">
        <v>0</v>
      </c>
      <c r="BJ757" s="407">
        <v>0</v>
      </c>
      <c r="BK757" s="407">
        <v>0</v>
      </c>
      <c r="BL757" s="407">
        <v>0</v>
      </c>
      <c r="BM757" s="407"/>
      <c r="BN757" s="407"/>
      <c r="BO757" s="407"/>
      <c r="BP757" s="407"/>
      <c r="BQ757" s="407"/>
      <c r="BR757" s="407">
        <v>239.05086479999989</v>
      </c>
      <c r="BS757" s="407"/>
      <c r="BT757" s="407"/>
      <c r="BU757" s="407"/>
      <c r="BV757" s="407">
        <v>3440.6151965169574</v>
      </c>
      <c r="BW757" s="407"/>
      <c r="BX757" s="407"/>
      <c r="BY757" s="407"/>
      <c r="BZ757" s="407"/>
      <c r="CA757" s="407"/>
      <c r="CB757" s="407"/>
      <c r="CC757" s="407"/>
      <c r="CD757" s="407"/>
      <c r="CE757" s="407"/>
      <c r="CF757" s="407"/>
      <c r="CG757" s="407"/>
      <c r="CH757" s="407"/>
      <c r="CI757" s="407">
        <v>5737.5751999999993</v>
      </c>
      <c r="CJ757" s="407">
        <v>460.48721599999863</v>
      </c>
      <c r="CK757" s="407"/>
      <c r="CL757" s="407"/>
      <c r="CM757" s="407"/>
      <c r="CN757" s="407"/>
      <c r="CO757" s="407">
        <v>-113.52132000000012</v>
      </c>
      <c r="CP757" s="407">
        <v>592.85753999999997</v>
      </c>
      <c r="CQ757" s="407">
        <v>30</v>
      </c>
      <c r="CR757" s="407">
        <v>479.26800382122656</v>
      </c>
      <c r="CS757" s="407">
        <v>0</v>
      </c>
      <c r="CT757" s="407">
        <v>0</v>
      </c>
      <c r="CU757" s="407">
        <v>0</v>
      </c>
      <c r="CV757" s="407">
        <v>0</v>
      </c>
      <c r="CW757" s="407">
        <v>0</v>
      </c>
      <c r="CX757" s="407">
        <v>0</v>
      </c>
      <c r="CY757" s="407">
        <v>0</v>
      </c>
      <c r="CZ757" s="407">
        <v>0</v>
      </c>
      <c r="DA757" s="407">
        <v>0</v>
      </c>
      <c r="DB757" s="407">
        <v>0</v>
      </c>
      <c r="DC757" s="407">
        <v>659.97294464041715</v>
      </c>
      <c r="DD757" s="407">
        <v>0</v>
      </c>
      <c r="DE757" s="407">
        <v>0</v>
      </c>
      <c r="DF757" s="407">
        <v>0</v>
      </c>
      <c r="DG757" s="407">
        <v>22.2081355515882</v>
      </c>
      <c r="DH757" s="407">
        <v>0</v>
      </c>
      <c r="DI757" s="407">
        <v>-81.49905311747375</v>
      </c>
      <c r="DJ757" s="407"/>
      <c r="DK757" s="407">
        <v>0</v>
      </c>
      <c r="DL757" s="407">
        <v>0</v>
      </c>
      <c r="DM757" s="407">
        <v>0</v>
      </c>
      <c r="DN757" s="407">
        <v>0</v>
      </c>
      <c r="DO757" s="407">
        <v>-12.609247293285733</v>
      </c>
      <c r="DP757" s="407">
        <v>-1.4765476159498654</v>
      </c>
      <c r="DQ757" s="407">
        <v>0</v>
      </c>
      <c r="DR757" s="407">
        <v>-107.32822834406858</v>
      </c>
      <c r="DS757" s="407"/>
      <c r="DT757" s="407"/>
      <c r="DU757" s="407"/>
      <c r="DV757" s="407">
        <v>0</v>
      </c>
      <c r="DW757" s="407">
        <v>0</v>
      </c>
      <c r="DX757" s="407">
        <v>0</v>
      </c>
      <c r="DY757" s="407">
        <v>-113.52132000000006</v>
      </c>
      <c r="DZ757" s="407">
        <v>592.85753999999997</v>
      </c>
      <c r="EA757" s="407">
        <v>0</v>
      </c>
      <c r="EB757" s="407">
        <v>0</v>
      </c>
      <c r="EC757" s="407">
        <v>0</v>
      </c>
      <c r="ED757" s="407">
        <v>0</v>
      </c>
      <c r="EE757" s="407">
        <v>0</v>
      </c>
      <c r="EF757" s="407">
        <v>0</v>
      </c>
      <c r="EG757" s="407">
        <v>0</v>
      </c>
      <c r="EH757" s="407">
        <v>0</v>
      </c>
      <c r="EI757" s="407">
        <v>0</v>
      </c>
      <c r="EJ757" s="407">
        <v>0</v>
      </c>
      <c r="EK757" s="407">
        <v>0</v>
      </c>
      <c r="EL757" s="407">
        <v>0</v>
      </c>
      <c r="EM757" s="407">
        <v>0</v>
      </c>
      <c r="EN757" s="407">
        <v>0</v>
      </c>
      <c r="EO757" s="407">
        <v>0</v>
      </c>
      <c r="EP757" s="407">
        <v>551.16443438250997</v>
      </c>
      <c r="EQ757" s="407">
        <v>0</v>
      </c>
      <c r="ER757" s="407">
        <v>0</v>
      </c>
      <c r="ES757" s="407">
        <v>0</v>
      </c>
      <c r="ET757" s="407">
        <v>0</v>
      </c>
      <c r="EU757" s="407">
        <v>0</v>
      </c>
      <c r="EV757" s="407">
        <v>246</v>
      </c>
      <c r="EW757" s="407">
        <v>0</v>
      </c>
      <c r="EX757" s="407">
        <v>0</v>
      </c>
      <c r="EY757" s="407">
        <v>0</v>
      </c>
      <c r="EZ757" s="407"/>
      <c r="FA757" s="407">
        <v>0</v>
      </c>
      <c r="FB757" s="407"/>
      <c r="FC757" s="407"/>
      <c r="FD757" s="407"/>
      <c r="FE757" s="407"/>
      <c r="FF757" s="407">
        <v>0</v>
      </c>
      <c r="FG757" s="407">
        <v>0</v>
      </c>
      <c r="FH757" s="407">
        <v>0</v>
      </c>
      <c r="FI757" s="407">
        <v>0</v>
      </c>
    </row>
    <row r="758" spans="1:165">
      <c r="A758" s="407">
        <v>788</v>
      </c>
      <c r="B758" s="407" t="s">
        <v>1090</v>
      </c>
      <c r="C758" s="407" t="s">
        <v>2314</v>
      </c>
      <c r="D758" s="407" t="s">
        <v>650</v>
      </c>
      <c r="E758" s="407" t="s">
        <v>1026</v>
      </c>
      <c r="F758" s="407" t="s">
        <v>2323</v>
      </c>
      <c r="G758" s="407" t="s">
        <v>97</v>
      </c>
      <c r="H758" s="407" t="s">
        <v>97</v>
      </c>
      <c r="I758" s="407" t="s">
        <v>97</v>
      </c>
      <c r="J758" s="407" t="s">
        <v>2307</v>
      </c>
      <c r="K758" s="818">
        <v>44713</v>
      </c>
      <c r="L758" s="407">
        <v>813</v>
      </c>
      <c r="M758" s="407">
        <v>780.48</v>
      </c>
      <c r="N758" s="407">
        <v>0</v>
      </c>
      <c r="O758" s="407">
        <v>0</v>
      </c>
      <c r="P758" s="407">
        <v>0</v>
      </c>
      <c r="Q758" s="407">
        <v>0</v>
      </c>
      <c r="R758" s="407">
        <v>43.29</v>
      </c>
      <c r="S758" s="407"/>
      <c r="T758" s="407"/>
      <c r="U758" s="407">
        <v>35194.769999999997</v>
      </c>
      <c r="V758" s="407"/>
      <c r="W758" s="407">
        <v>35194.769999999997</v>
      </c>
      <c r="X758" s="407">
        <v>27227.370000000003</v>
      </c>
      <c r="Y758" s="407">
        <v>0</v>
      </c>
      <c r="Z758" s="407">
        <v>0</v>
      </c>
      <c r="AA758" s="407">
        <v>0</v>
      </c>
      <c r="AB758" s="407">
        <v>0</v>
      </c>
      <c r="AC758" s="407">
        <v>0</v>
      </c>
      <c r="AD758" s="407">
        <v>19238.821559810094</v>
      </c>
      <c r="AE758" s="407">
        <v>15958.529115854109</v>
      </c>
      <c r="AF758" s="407"/>
      <c r="AG758" s="407"/>
      <c r="AH758" s="407"/>
      <c r="AI758" s="407">
        <v>0</v>
      </c>
      <c r="AJ758" s="407">
        <v>0</v>
      </c>
      <c r="AK758" s="407">
        <v>0</v>
      </c>
      <c r="AL758" s="407">
        <v>0</v>
      </c>
      <c r="AM758" s="407"/>
      <c r="AN758" s="407">
        <v>0</v>
      </c>
      <c r="AO758" s="407">
        <v>0</v>
      </c>
      <c r="AP758" s="407">
        <v>0</v>
      </c>
      <c r="AQ758" s="407">
        <v>0</v>
      </c>
      <c r="AR758" s="407">
        <v>0</v>
      </c>
      <c r="AS758" s="407"/>
      <c r="AT758" s="407"/>
      <c r="AU758" s="407">
        <v>0</v>
      </c>
      <c r="AV758" s="407">
        <v>0</v>
      </c>
      <c r="AW758" s="407">
        <v>0</v>
      </c>
      <c r="AX758" s="407"/>
      <c r="AY758" s="407"/>
      <c r="AZ758" s="407">
        <v>0</v>
      </c>
      <c r="BA758" s="407"/>
      <c r="BB758" s="407">
        <v>0</v>
      </c>
      <c r="BC758" s="407">
        <v>0</v>
      </c>
      <c r="BD758" s="407">
        <v>0</v>
      </c>
      <c r="BE758" s="407">
        <v>0</v>
      </c>
      <c r="BF758" s="407"/>
      <c r="BG758" s="407">
        <v>0</v>
      </c>
      <c r="BH758" s="407">
        <v>0</v>
      </c>
      <c r="BI758" s="407">
        <v>77.709999999999994</v>
      </c>
      <c r="BJ758" s="407">
        <v>357.95</v>
      </c>
      <c r="BK758" s="407">
        <v>194.76</v>
      </c>
      <c r="BL758" s="407">
        <v>42</v>
      </c>
      <c r="BM758" s="407"/>
      <c r="BN758" s="407"/>
      <c r="BO758" s="407"/>
      <c r="BP758" s="407"/>
      <c r="BQ758" s="407"/>
      <c r="BR758" s="407">
        <v>1089.0947999999994</v>
      </c>
      <c r="BS758" s="407"/>
      <c r="BT758" s="407"/>
      <c r="BU758" s="407"/>
      <c r="BV758" s="407">
        <v>0</v>
      </c>
      <c r="BW758" s="407"/>
      <c r="BX758" s="407"/>
      <c r="BY758" s="407"/>
      <c r="BZ758" s="407"/>
      <c r="CA758" s="407"/>
      <c r="CB758" s="407"/>
      <c r="CC758" s="407"/>
      <c r="CD758" s="407"/>
      <c r="CE758" s="407"/>
      <c r="CF758" s="407"/>
      <c r="CG758" s="407"/>
      <c r="CH758" s="407"/>
      <c r="CI758" s="407">
        <v>26138.275200000004</v>
      </c>
      <c r="CJ758" s="407">
        <v>-7648.734000000004</v>
      </c>
      <c r="CK758" s="407"/>
      <c r="CL758" s="407"/>
      <c r="CM758" s="407"/>
      <c r="CN758" s="407"/>
      <c r="CO758" s="407">
        <v>-7967.3999999999978</v>
      </c>
      <c r="CP758" s="407">
        <v>0</v>
      </c>
      <c r="CQ758" s="407">
        <v>30</v>
      </c>
      <c r="CR758" s="407">
        <v>181.83569805951993</v>
      </c>
      <c r="CS758" s="407">
        <v>0</v>
      </c>
      <c r="CT758" s="407">
        <v>0</v>
      </c>
      <c r="CU758" s="407">
        <v>0</v>
      </c>
      <c r="CV758" s="407">
        <v>0</v>
      </c>
      <c r="CW758" s="407"/>
      <c r="CX758" s="407"/>
      <c r="CY758" s="407"/>
      <c r="CZ758" s="407">
        <v>869.05571678503111</v>
      </c>
      <c r="DA758" s="407">
        <v>0</v>
      </c>
      <c r="DB758" s="407">
        <v>0</v>
      </c>
      <c r="DC758" s="407"/>
      <c r="DD758" s="407"/>
      <c r="DE758" s="407">
        <v>0</v>
      </c>
      <c r="DF758" s="407">
        <v>0</v>
      </c>
      <c r="DG758" s="407">
        <v>0</v>
      </c>
      <c r="DH758" s="407">
        <v>0</v>
      </c>
      <c r="DI758" s="407">
        <v>0</v>
      </c>
      <c r="DJ758" s="407"/>
      <c r="DK758" s="407">
        <v>0</v>
      </c>
      <c r="DL758" s="407">
        <v>0</v>
      </c>
      <c r="DM758" s="407"/>
      <c r="DN758" s="407">
        <v>0</v>
      </c>
      <c r="DO758" s="407">
        <v>0</v>
      </c>
      <c r="DP758" s="407">
        <v>0</v>
      </c>
      <c r="DQ758" s="407">
        <v>0</v>
      </c>
      <c r="DR758" s="407">
        <v>-687.22001872551118</v>
      </c>
      <c r="DS758" s="407"/>
      <c r="DT758" s="407"/>
      <c r="DU758" s="407">
        <v>15958.529115854109</v>
      </c>
      <c r="DV758" s="407"/>
      <c r="DW758" s="407">
        <v>0</v>
      </c>
      <c r="DX758" s="407">
        <v>0</v>
      </c>
      <c r="DY758" s="407">
        <v>-7967.3999999999942</v>
      </c>
      <c r="DZ758" s="407"/>
      <c r="EA758" s="407">
        <v>0</v>
      </c>
      <c r="EB758" s="407"/>
      <c r="EC758" s="407">
        <v>-8151.65373803073</v>
      </c>
      <c r="ED758" s="407"/>
      <c r="EE758" s="407">
        <v>0</v>
      </c>
      <c r="EF758" s="407">
        <v>0</v>
      </c>
      <c r="EG758" s="407"/>
      <c r="EH758" s="407">
        <v>0</v>
      </c>
      <c r="EI758" s="407">
        <v>0</v>
      </c>
      <c r="EJ758" s="407">
        <v>0</v>
      </c>
      <c r="EK758" s="407">
        <v>0</v>
      </c>
      <c r="EL758" s="407">
        <v>0</v>
      </c>
      <c r="EM758" s="407"/>
      <c r="EN758" s="407"/>
      <c r="EO758" s="407">
        <v>0</v>
      </c>
      <c r="EP758" s="407">
        <v>0</v>
      </c>
      <c r="EQ758" s="407"/>
      <c r="ER758" s="407">
        <v>0</v>
      </c>
      <c r="ES758" s="407"/>
      <c r="ET758" s="407">
        <v>0</v>
      </c>
      <c r="EU758" s="407"/>
      <c r="EV758" s="407">
        <v>246</v>
      </c>
      <c r="EW758" s="407"/>
      <c r="EX758" s="407"/>
      <c r="EY758" s="407"/>
      <c r="EZ758" s="407"/>
      <c r="FA758" s="407">
        <v>0</v>
      </c>
      <c r="FB758" s="407"/>
      <c r="FC758" s="407"/>
      <c r="FD758" s="407"/>
      <c r="FE758" s="407"/>
      <c r="FF758" s="407">
        <v>0</v>
      </c>
      <c r="FG758" s="407">
        <v>0</v>
      </c>
      <c r="FH758" s="407">
        <v>0</v>
      </c>
      <c r="FI758" s="407">
        <v>0</v>
      </c>
    </row>
    <row r="759" spans="1:165">
      <c r="A759" s="407">
        <v>789</v>
      </c>
      <c r="B759" s="407" t="s">
        <v>2308</v>
      </c>
      <c r="C759" s="407" t="s">
        <v>2314</v>
      </c>
      <c r="D759" s="407" t="s">
        <v>650</v>
      </c>
      <c r="E759" s="407" t="s">
        <v>1026</v>
      </c>
      <c r="F759" s="407" t="s">
        <v>2323</v>
      </c>
      <c r="G759" s="407" t="s">
        <v>2324</v>
      </c>
      <c r="H759" s="407" t="s">
        <v>97</v>
      </c>
      <c r="I759" s="407" t="s">
        <v>97</v>
      </c>
      <c r="J759" s="407" t="s">
        <v>2307</v>
      </c>
      <c r="K759" s="818">
        <v>44713</v>
      </c>
      <c r="L759" s="407">
        <v>0</v>
      </c>
      <c r="M759" s="407">
        <v>0</v>
      </c>
      <c r="N759" s="407">
        <v>0</v>
      </c>
      <c r="O759" s="407">
        <v>0</v>
      </c>
      <c r="P759" s="407">
        <v>0</v>
      </c>
      <c r="Q759" s="407">
        <v>0</v>
      </c>
      <c r="R759" s="407"/>
      <c r="S759" s="407"/>
      <c r="T759" s="407"/>
      <c r="U759" s="407"/>
      <c r="V759" s="407"/>
      <c r="W759" s="407"/>
      <c r="X759" s="407"/>
      <c r="Y759" s="407"/>
      <c r="Z759" s="407"/>
      <c r="AA759" s="407">
        <v>0</v>
      </c>
      <c r="AB759" s="407"/>
      <c r="AC759" s="407"/>
      <c r="AD759" s="407"/>
      <c r="AE759" s="407"/>
      <c r="AF759" s="407"/>
      <c r="AG759" s="407"/>
      <c r="AH759" s="407"/>
      <c r="AI759" s="407"/>
      <c r="AJ759" s="407"/>
      <c r="AK759" s="407"/>
      <c r="AL759" s="407"/>
      <c r="AM759" s="407"/>
      <c r="AN759" s="407"/>
      <c r="AO759" s="407"/>
      <c r="AP759" s="407"/>
      <c r="AQ759" s="407"/>
      <c r="AR759" s="407"/>
      <c r="AS759" s="407"/>
      <c r="AT759" s="407"/>
      <c r="AU759" s="407"/>
      <c r="AV759" s="407"/>
      <c r="AW759" s="407"/>
      <c r="AX759" s="407"/>
      <c r="AY759" s="407"/>
      <c r="AZ759" s="407">
        <v>0</v>
      </c>
      <c r="BA759" s="407"/>
      <c r="BB759" s="407"/>
      <c r="BC759" s="407"/>
      <c r="BD759" s="407"/>
      <c r="BE759" s="407"/>
      <c r="BF759" s="407"/>
      <c r="BG759" s="407"/>
      <c r="BH759" s="407"/>
      <c r="BI759" s="407">
        <v>-74.540000000000006</v>
      </c>
      <c r="BJ759" s="407">
        <v>-352.44</v>
      </c>
      <c r="BK759" s="407">
        <v>-6.04</v>
      </c>
      <c r="BL759" s="407">
        <v>0</v>
      </c>
      <c r="BM759" s="407"/>
      <c r="BN759" s="407"/>
      <c r="BO759" s="407"/>
      <c r="BP759" s="407"/>
      <c r="BQ759" s="407"/>
      <c r="BR759" s="407"/>
      <c r="BS759" s="407"/>
      <c r="BT759" s="407"/>
      <c r="BU759" s="407"/>
      <c r="BV759" s="407"/>
      <c r="BW759" s="407"/>
      <c r="BX759" s="407"/>
      <c r="BY759" s="407"/>
      <c r="BZ759" s="407"/>
      <c r="CA759" s="407"/>
      <c r="CB759" s="407"/>
      <c r="CC759" s="407"/>
      <c r="CD759" s="407"/>
      <c r="CE759" s="407"/>
      <c r="CF759" s="407"/>
      <c r="CG759" s="407"/>
      <c r="CH759" s="407"/>
      <c r="CI759" s="407"/>
      <c r="CJ759" s="407">
        <v>-0.03</v>
      </c>
      <c r="CK759" s="407"/>
      <c r="CL759" s="407"/>
      <c r="CM759" s="407"/>
      <c r="CN759" s="407"/>
      <c r="CO759" s="407">
        <v>0</v>
      </c>
      <c r="CP759" s="407">
        <v>0</v>
      </c>
      <c r="CQ759" s="407">
        <v>30</v>
      </c>
      <c r="CR759" s="407"/>
      <c r="CS759" s="407"/>
      <c r="CT759" s="407"/>
      <c r="CU759" s="407"/>
      <c r="CV759" s="407"/>
      <c r="CW759" s="407"/>
      <c r="CX759" s="407"/>
      <c r="CY759" s="407"/>
      <c r="CZ759" s="407"/>
      <c r="DA759" s="407"/>
      <c r="DB759" s="407"/>
      <c r="DC759" s="407"/>
      <c r="DD759" s="407"/>
      <c r="DE759" s="407"/>
      <c r="DF759" s="407"/>
      <c r="DG759" s="407"/>
      <c r="DH759" s="407"/>
      <c r="DI759" s="407"/>
      <c r="DJ759" s="407"/>
      <c r="DK759" s="407">
        <v>0</v>
      </c>
      <c r="DL759" s="407"/>
      <c r="DM759" s="407"/>
      <c r="DN759" s="407"/>
      <c r="DO759" s="407"/>
      <c r="DP759" s="407"/>
      <c r="DQ759" s="407"/>
      <c r="DR759" s="407"/>
      <c r="DS759" s="407"/>
      <c r="DT759" s="407"/>
      <c r="DU759" s="407"/>
      <c r="DV759" s="407"/>
      <c r="DW759" s="407"/>
      <c r="DX759" s="407"/>
      <c r="DY759" s="407"/>
      <c r="DZ759" s="407"/>
      <c r="EA759" s="407"/>
      <c r="EB759" s="407"/>
      <c r="EC759" s="407"/>
      <c r="ED759" s="407"/>
      <c r="EE759" s="407"/>
      <c r="EF759" s="407"/>
      <c r="EG759" s="407"/>
      <c r="EH759" s="407"/>
      <c r="EI759" s="407"/>
      <c r="EJ759" s="407"/>
      <c r="EK759" s="407"/>
      <c r="EL759" s="407"/>
      <c r="EM759" s="407"/>
      <c r="EN759" s="407"/>
      <c r="EO759" s="407"/>
      <c r="EP759" s="407"/>
      <c r="EQ759" s="407"/>
      <c r="ER759" s="407"/>
      <c r="ES759" s="407"/>
      <c r="ET759" s="407"/>
      <c r="EU759" s="407"/>
      <c r="EV759" s="407">
        <v>246</v>
      </c>
      <c r="EW759" s="407"/>
      <c r="EX759" s="407"/>
      <c r="EY759" s="407"/>
      <c r="EZ759" s="407"/>
      <c r="FA759" s="407">
        <v>0</v>
      </c>
      <c r="FB759" s="407"/>
      <c r="FC759" s="407"/>
      <c r="FD759" s="407"/>
      <c r="FE759" s="407"/>
      <c r="FF759" s="407">
        <v>0</v>
      </c>
      <c r="FG759" s="407">
        <v>0</v>
      </c>
      <c r="FH759" s="407">
        <v>0</v>
      </c>
      <c r="FI759" s="407">
        <v>0</v>
      </c>
    </row>
    <row r="760" spans="1:165">
      <c r="A760" s="407">
        <v>790</v>
      </c>
      <c r="B760" s="407" t="s">
        <v>2309</v>
      </c>
      <c r="C760" s="407" t="s">
        <v>2314</v>
      </c>
      <c r="D760" s="407" t="s">
        <v>650</v>
      </c>
      <c r="E760" s="407" t="s">
        <v>1026</v>
      </c>
      <c r="F760" s="407" t="s">
        <v>2323</v>
      </c>
      <c r="G760" s="407" t="s">
        <v>97</v>
      </c>
      <c r="H760" s="407" t="s">
        <v>97</v>
      </c>
      <c r="I760" s="407" t="s">
        <v>97</v>
      </c>
      <c r="J760" s="407" t="s">
        <v>2307</v>
      </c>
      <c r="K760" s="818">
        <v>44713</v>
      </c>
      <c r="L760" s="407">
        <v>77</v>
      </c>
      <c r="M760" s="407">
        <v>73.92</v>
      </c>
      <c r="N760" s="407">
        <v>0</v>
      </c>
      <c r="O760" s="407">
        <v>0</v>
      </c>
      <c r="P760" s="407">
        <v>0</v>
      </c>
      <c r="Q760" s="407">
        <v>0</v>
      </c>
      <c r="R760" s="407">
        <v>43.29</v>
      </c>
      <c r="S760" s="407"/>
      <c r="T760" s="407"/>
      <c r="U760" s="407">
        <v>3333.33</v>
      </c>
      <c r="V760" s="407"/>
      <c r="W760" s="407">
        <v>3333.33</v>
      </c>
      <c r="X760" s="407">
        <v>2578.73</v>
      </c>
      <c r="Y760" s="407">
        <v>0</v>
      </c>
      <c r="Z760" s="407">
        <v>0</v>
      </c>
      <c r="AA760" s="407">
        <v>0</v>
      </c>
      <c r="AB760" s="407">
        <v>0</v>
      </c>
      <c r="AC760" s="407">
        <v>0</v>
      </c>
      <c r="AD760" s="407">
        <v>1822.127011199726</v>
      </c>
      <c r="AE760" s="407">
        <v>1511.4474070366132</v>
      </c>
      <c r="AF760" s="407"/>
      <c r="AG760" s="407"/>
      <c r="AH760" s="407"/>
      <c r="AI760" s="407">
        <v>0</v>
      </c>
      <c r="AJ760" s="407">
        <v>0</v>
      </c>
      <c r="AK760" s="407">
        <v>0</v>
      </c>
      <c r="AL760" s="407">
        <v>0</v>
      </c>
      <c r="AM760" s="407"/>
      <c r="AN760" s="407">
        <v>0</v>
      </c>
      <c r="AO760" s="407">
        <v>0</v>
      </c>
      <c r="AP760" s="407">
        <v>0</v>
      </c>
      <c r="AQ760" s="407">
        <v>0</v>
      </c>
      <c r="AR760" s="407">
        <v>0</v>
      </c>
      <c r="AS760" s="407"/>
      <c r="AT760" s="407"/>
      <c r="AU760" s="407">
        <v>0</v>
      </c>
      <c r="AV760" s="407">
        <v>0</v>
      </c>
      <c r="AW760" s="407">
        <v>0</v>
      </c>
      <c r="AX760" s="407"/>
      <c r="AY760" s="407"/>
      <c r="AZ760" s="407">
        <v>0</v>
      </c>
      <c r="BA760" s="407"/>
      <c r="BB760" s="407">
        <v>0</v>
      </c>
      <c r="BC760" s="407">
        <v>0</v>
      </c>
      <c r="BD760" s="407">
        <v>0</v>
      </c>
      <c r="BE760" s="407">
        <v>0</v>
      </c>
      <c r="BF760" s="407"/>
      <c r="BG760" s="407">
        <v>0</v>
      </c>
      <c r="BH760" s="407">
        <v>0</v>
      </c>
      <c r="BI760" s="407">
        <v>30.34</v>
      </c>
      <c r="BJ760" s="407">
        <v>139.55000000000001</v>
      </c>
      <c r="BK760" s="407">
        <v>10.77</v>
      </c>
      <c r="BL760" s="407">
        <v>4</v>
      </c>
      <c r="BM760" s="407"/>
      <c r="BN760" s="407"/>
      <c r="BO760" s="407"/>
      <c r="BP760" s="407"/>
      <c r="BQ760" s="407"/>
      <c r="BR760" s="407">
        <v>103.14919999999995</v>
      </c>
      <c r="BS760" s="407"/>
      <c r="BT760" s="407"/>
      <c r="BU760" s="407"/>
      <c r="BV760" s="407">
        <v>0</v>
      </c>
      <c r="BW760" s="407"/>
      <c r="BX760" s="407"/>
      <c r="BY760" s="407"/>
      <c r="BZ760" s="407"/>
      <c r="CA760" s="407"/>
      <c r="CB760" s="407"/>
      <c r="CC760" s="407"/>
      <c r="CD760" s="407"/>
      <c r="CE760" s="407"/>
      <c r="CF760" s="407"/>
      <c r="CG760" s="407"/>
      <c r="CH760" s="407"/>
      <c r="CI760" s="407">
        <v>2475.5808000000002</v>
      </c>
      <c r="CJ760" s="407">
        <v>-724.44600000000037</v>
      </c>
      <c r="CK760" s="407"/>
      <c r="CL760" s="407"/>
      <c r="CM760" s="407"/>
      <c r="CN760" s="407"/>
      <c r="CO760" s="407">
        <v>-754.5999999999998</v>
      </c>
      <c r="CP760" s="407">
        <v>0</v>
      </c>
      <c r="CQ760" s="407">
        <v>30</v>
      </c>
      <c r="CR760" s="407">
        <v>17.221831181529069</v>
      </c>
      <c r="CS760" s="407">
        <v>0</v>
      </c>
      <c r="CT760" s="407">
        <v>0</v>
      </c>
      <c r="CU760" s="407">
        <v>0</v>
      </c>
      <c r="CV760" s="407">
        <v>0</v>
      </c>
      <c r="CW760" s="407"/>
      <c r="CX760" s="407"/>
      <c r="CY760" s="407"/>
      <c r="CZ760" s="407">
        <v>82.309090027610637</v>
      </c>
      <c r="DA760" s="407">
        <v>0</v>
      </c>
      <c r="DB760" s="407">
        <v>0</v>
      </c>
      <c r="DC760" s="407"/>
      <c r="DD760" s="407"/>
      <c r="DE760" s="407">
        <v>0</v>
      </c>
      <c r="DF760" s="407">
        <v>0</v>
      </c>
      <c r="DG760" s="407">
        <v>0</v>
      </c>
      <c r="DH760" s="407">
        <v>0</v>
      </c>
      <c r="DI760" s="407">
        <v>0</v>
      </c>
      <c r="DJ760" s="407"/>
      <c r="DK760" s="407">
        <v>0</v>
      </c>
      <c r="DL760" s="407">
        <v>0</v>
      </c>
      <c r="DM760" s="407"/>
      <c r="DN760" s="407">
        <v>0</v>
      </c>
      <c r="DO760" s="407">
        <v>0</v>
      </c>
      <c r="DP760" s="407">
        <v>0</v>
      </c>
      <c r="DQ760" s="407">
        <v>0</v>
      </c>
      <c r="DR760" s="407">
        <v>-65.087258846081625</v>
      </c>
      <c r="DS760" s="407"/>
      <c r="DT760" s="407"/>
      <c r="DU760" s="407">
        <v>1511.4474070366132</v>
      </c>
      <c r="DV760" s="407"/>
      <c r="DW760" s="407">
        <v>0</v>
      </c>
      <c r="DX760" s="407">
        <v>0</v>
      </c>
      <c r="DY760" s="407">
        <v>-754.59999999999991</v>
      </c>
      <c r="DZ760" s="407"/>
      <c r="EA760" s="407">
        <v>0</v>
      </c>
      <c r="EB760" s="407"/>
      <c r="EC760" s="407">
        <v>-772.05084603735088</v>
      </c>
      <c r="ED760" s="407"/>
      <c r="EE760" s="407">
        <v>0</v>
      </c>
      <c r="EF760" s="407">
        <v>0</v>
      </c>
      <c r="EG760" s="407"/>
      <c r="EH760" s="407">
        <v>0</v>
      </c>
      <c r="EI760" s="407">
        <v>0</v>
      </c>
      <c r="EJ760" s="407">
        <v>0</v>
      </c>
      <c r="EK760" s="407">
        <v>0</v>
      </c>
      <c r="EL760" s="407">
        <v>0</v>
      </c>
      <c r="EM760" s="407"/>
      <c r="EN760" s="407"/>
      <c r="EO760" s="407">
        <v>0</v>
      </c>
      <c r="EP760" s="407">
        <v>0</v>
      </c>
      <c r="EQ760" s="407"/>
      <c r="ER760" s="407">
        <v>0</v>
      </c>
      <c r="ES760" s="407"/>
      <c r="ET760" s="407">
        <v>0</v>
      </c>
      <c r="EU760" s="407"/>
      <c r="EV760" s="407">
        <v>246</v>
      </c>
      <c r="EW760" s="407"/>
      <c r="EX760" s="407"/>
      <c r="EY760" s="407"/>
      <c r="EZ760" s="407"/>
      <c r="FA760" s="407">
        <v>0</v>
      </c>
      <c r="FB760" s="407"/>
      <c r="FC760" s="407"/>
      <c r="FD760" s="407"/>
      <c r="FE760" s="407"/>
      <c r="FF760" s="407">
        <v>0</v>
      </c>
      <c r="FG760" s="407">
        <v>0</v>
      </c>
      <c r="FH760" s="407">
        <v>0</v>
      </c>
      <c r="FI760" s="407">
        <v>0</v>
      </c>
    </row>
    <row r="761" spans="1:165">
      <c r="A761" s="407">
        <v>791</v>
      </c>
      <c r="B761" s="407" t="s">
        <v>1090</v>
      </c>
      <c r="C761" s="407" t="s">
        <v>2314</v>
      </c>
      <c r="D761" s="407" t="s">
        <v>650</v>
      </c>
      <c r="E761" s="407" t="s">
        <v>1026</v>
      </c>
      <c r="F761" s="407" t="s">
        <v>2323</v>
      </c>
      <c r="G761" s="407" t="s">
        <v>2325</v>
      </c>
      <c r="H761" s="407" t="s">
        <v>97</v>
      </c>
      <c r="I761" s="407" t="s">
        <v>2290</v>
      </c>
      <c r="J761" s="407" t="s">
        <v>2307</v>
      </c>
      <c r="K761" s="818">
        <v>44713</v>
      </c>
      <c r="L761" s="407">
        <v>0</v>
      </c>
      <c r="M761" s="407">
        <v>0</v>
      </c>
      <c r="N761" s="407">
        <v>4.7949999999999999</v>
      </c>
      <c r="O761" s="407">
        <v>1.4384999999999999</v>
      </c>
      <c r="P761" s="407">
        <v>4.7949999999999999</v>
      </c>
      <c r="Q761" s="407">
        <v>1.4384999999999999</v>
      </c>
      <c r="R761" s="407"/>
      <c r="S761" s="407">
        <v>95.29</v>
      </c>
      <c r="T761" s="407">
        <v>159.41</v>
      </c>
      <c r="U761" s="407"/>
      <c r="V761" s="407">
        <v>1221.2864999999999</v>
      </c>
      <c r="W761" s="407">
        <v>1221.2864999999999</v>
      </c>
      <c r="X761" s="407">
        <v>1327.7834499999999</v>
      </c>
      <c r="Y761" s="407">
        <v>0</v>
      </c>
      <c r="Z761" s="407">
        <v>258.51819604066731</v>
      </c>
      <c r="AA761" s="407">
        <v>0</v>
      </c>
      <c r="AB761" s="407">
        <v>0</v>
      </c>
      <c r="AC761" s="407">
        <v>0</v>
      </c>
      <c r="AD761" s="407">
        <v>0</v>
      </c>
      <c r="AE761" s="407">
        <v>0</v>
      </c>
      <c r="AF761" s="407">
        <v>739.53628663935763</v>
      </c>
      <c r="AG761" s="407">
        <v>24.846478006740856</v>
      </c>
      <c r="AH761" s="407">
        <v>0</v>
      </c>
      <c r="AI761" s="407">
        <v>0</v>
      </c>
      <c r="AJ761" s="407">
        <v>0</v>
      </c>
      <c r="AK761" s="407">
        <v>0</v>
      </c>
      <c r="AL761" s="407">
        <v>45.917185406808514</v>
      </c>
      <c r="AM761" s="407"/>
      <c r="AN761" s="407">
        <v>5.1485515753732178</v>
      </c>
      <c r="AO761" s="407">
        <v>0</v>
      </c>
      <c r="AP761" s="407">
        <v>0</v>
      </c>
      <c r="AQ761" s="407">
        <v>0</v>
      </c>
      <c r="AR761" s="407">
        <v>0</v>
      </c>
      <c r="AS761" s="407">
        <v>0</v>
      </c>
      <c r="AT761" s="407">
        <v>0</v>
      </c>
      <c r="AU761" s="407">
        <v>0</v>
      </c>
      <c r="AV761" s="407">
        <v>0</v>
      </c>
      <c r="AW761" s="407">
        <v>0</v>
      </c>
      <c r="AX761" s="407">
        <v>0</v>
      </c>
      <c r="AY761" s="407">
        <v>0</v>
      </c>
      <c r="AZ761" s="407">
        <v>0</v>
      </c>
      <c r="BA761" s="407"/>
      <c r="BB761" s="407">
        <v>0</v>
      </c>
      <c r="BC761" s="407">
        <v>0</v>
      </c>
      <c r="BD761" s="407">
        <v>0</v>
      </c>
      <c r="BE761" s="407">
        <v>0</v>
      </c>
      <c r="BF761" s="407">
        <v>0</v>
      </c>
      <c r="BG761" s="407">
        <v>24.885447551116485</v>
      </c>
      <c r="BH761" s="407">
        <v>0</v>
      </c>
      <c r="BI761" s="407">
        <v>0</v>
      </c>
      <c r="BJ761" s="407">
        <v>0</v>
      </c>
      <c r="BK761" s="407">
        <v>0</v>
      </c>
      <c r="BL761" s="407">
        <v>0</v>
      </c>
      <c r="BM761" s="407"/>
      <c r="BN761" s="407"/>
      <c r="BO761" s="407"/>
      <c r="BP761" s="407"/>
      <c r="BQ761" s="407"/>
      <c r="BR761" s="407"/>
      <c r="BS761" s="407">
        <v>929.44841499999995</v>
      </c>
      <c r="BT761" s="407"/>
      <c r="BU761" s="407"/>
      <c r="BV761" s="407">
        <v>764.42173419047413</v>
      </c>
      <c r="BW761" s="407"/>
      <c r="BX761" s="407"/>
      <c r="BY761" s="407"/>
      <c r="BZ761" s="407"/>
      <c r="CA761" s="407"/>
      <c r="CB761" s="407"/>
      <c r="CC761" s="407"/>
      <c r="CD761" s="407"/>
      <c r="CE761" s="407"/>
      <c r="CF761" s="407"/>
      <c r="CG761" s="407"/>
      <c r="CH761" s="407"/>
      <c r="CI761" s="407">
        <v>398.75040000000001</v>
      </c>
      <c r="CJ761" s="407">
        <v>32.334450000000061</v>
      </c>
      <c r="CK761" s="407"/>
      <c r="CL761" s="407"/>
      <c r="CM761" s="407"/>
      <c r="CN761" s="407"/>
      <c r="CO761" s="407">
        <v>-25.221700000000023</v>
      </c>
      <c r="CP761" s="407">
        <v>131.71865</v>
      </c>
      <c r="CQ761" s="407">
        <v>30</v>
      </c>
      <c r="CR761" s="407">
        <v>106.48179400995218</v>
      </c>
      <c r="CS761" s="407">
        <v>0</v>
      </c>
      <c r="CT761" s="407">
        <v>0</v>
      </c>
      <c r="CU761" s="407">
        <v>0</v>
      </c>
      <c r="CV761" s="407">
        <v>0</v>
      </c>
      <c r="CW761" s="407">
        <v>0</v>
      </c>
      <c r="CX761" s="407">
        <v>0</v>
      </c>
      <c r="CY761" s="407">
        <v>0</v>
      </c>
      <c r="CZ761" s="407">
        <v>0</v>
      </c>
      <c r="DA761" s="407">
        <v>0</v>
      </c>
      <c r="DB761" s="407">
        <v>0</v>
      </c>
      <c r="DC761" s="407">
        <v>146.63007457838933</v>
      </c>
      <c r="DD761" s="407">
        <v>0</v>
      </c>
      <c r="DE761" s="407">
        <v>0</v>
      </c>
      <c r="DF761" s="407">
        <v>0</v>
      </c>
      <c r="DG761" s="407">
        <v>4.9341122217526383</v>
      </c>
      <c r="DH761" s="407">
        <v>0</v>
      </c>
      <c r="DI761" s="407">
        <v>-18.107124441584943</v>
      </c>
      <c r="DJ761" s="407"/>
      <c r="DK761" s="407">
        <v>0</v>
      </c>
      <c r="DL761" s="407">
        <v>0</v>
      </c>
      <c r="DM761" s="407">
        <v>0</v>
      </c>
      <c r="DN761" s="407">
        <v>0</v>
      </c>
      <c r="DO761" s="407">
        <v>-2.8014707057411314</v>
      </c>
      <c r="DP761" s="407">
        <v>-0.32805327673429741</v>
      </c>
      <c r="DQ761" s="407">
        <v>0</v>
      </c>
      <c r="DR761" s="407">
        <v>-23.845744366129587</v>
      </c>
      <c r="DS761" s="407"/>
      <c r="DT761" s="407"/>
      <c r="DU761" s="407"/>
      <c r="DV761" s="407">
        <v>0</v>
      </c>
      <c r="DW761" s="407">
        <v>0</v>
      </c>
      <c r="DX761" s="407">
        <v>0</v>
      </c>
      <c r="DY761" s="407">
        <v>-25.221699999999998</v>
      </c>
      <c r="DZ761" s="407">
        <v>131.71865000000003</v>
      </c>
      <c r="EA761" s="407">
        <v>0</v>
      </c>
      <c r="EB761" s="407">
        <v>0</v>
      </c>
      <c r="EC761" s="407">
        <v>0</v>
      </c>
      <c r="ED761" s="407">
        <v>0</v>
      </c>
      <c r="EE761" s="407">
        <v>0</v>
      </c>
      <c r="EF761" s="407">
        <v>0</v>
      </c>
      <c r="EG761" s="407">
        <v>0</v>
      </c>
      <c r="EH761" s="407">
        <v>0</v>
      </c>
      <c r="EI761" s="407">
        <v>0</v>
      </c>
      <c r="EJ761" s="407">
        <v>0</v>
      </c>
      <c r="EK761" s="407">
        <v>0</v>
      </c>
      <c r="EL761" s="407">
        <v>0</v>
      </c>
      <c r="EM761" s="407">
        <v>0</v>
      </c>
      <c r="EN761" s="407">
        <v>0</v>
      </c>
      <c r="EO761" s="407">
        <v>0</v>
      </c>
      <c r="EP761" s="407">
        <v>122.45544726457859</v>
      </c>
      <c r="EQ761" s="407">
        <v>0</v>
      </c>
      <c r="ER761" s="407">
        <v>0</v>
      </c>
      <c r="ES761" s="407">
        <v>0</v>
      </c>
      <c r="ET761" s="407">
        <v>0</v>
      </c>
      <c r="EU761" s="407">
        <v>0</v>
      </c>
      <c r="EV761" s="407">
        <v>246</v>
      </c>
      <c r="EW761" s="407">
        <v>0</v>
      </c>
      <c r="EX761" s="407">
        <v>0</v>
      </c>
      <c r="EY761" s="407">
        <v>0</v>
      </c>
      <c r="EZ761" s="407"/>
      <c r="FA761" s="407">
        <v>0</v>
      </c>
      <c r="FB761" s="407"/>
      <c r="FC761" s="407"/>
      <c r="FD761" s="407"/>
      <c r="FE761" s="407"/>
      <c r="FF761" s="407">
        <v>0</v>
      </c>
      <c r="FG761" s="407">
        <v>0</v>
      </c>
      <c r="FH761" s="407">
        <v>0</v>
      </c>
      <c r="FI761" s="407">
        <v>0</v>
      </c>
    </row>
    <row r="762" spans="1:165">
      <c r="A762" s="407">
        <v>793</v>
      </c>
      <c r="B762" s="407" t="s">
        <v>1090</v>
      </c>
      <c r="C762" s="407" t="s">
        <v>2306</v>
      </c>
      <c r="D762" s="407" t="s">
        <v>2315</v>
      </c>
      <c r="E762" s="407" t="s">
        <v>1026</v>
      </c>
      <c r="F762" s="407" t="s">
        <v>2326</v>
      </c>
      <c r="G762" s="407" t="s">
        <v>2324</v>
      </c>
      <c r="H762" s="407" t="s">
        <v>97</v>
      </c>
      <c r="I762" s="407" t="s">
        <v>97</v>
      </c>
      <c r="J762" s="407" t="s">
        <v>2307</v>
      </c>
      <c r="K762" s="818">
        <v>44713</v>
      </c>
      <c r="L762" s="407">
        <v>0</v>
      </c>
      <c r="M762" s="407">
        <v>0</v>
      </c>
      <c r="N762" s="407">
        <v>0</v>
      </c>
      <c r="O762" s="407">
        <v>0</v>
      </c>
      <c r="P762" s="407">
        <v>0</v>
      </c>
      <c r="Q762" s="407">
        <v>0</v>
      </c>
      <c r="R762" s="407"/>
      <c r="S762" s="407"/>
      <c r="T762" s="407"/>
      <c r="U762" s="407"/>
      <c r="V762" s="407"/>
      <c r="W762" s="407"/>
      <c r="X762" s="407"/>
      <c r="Y762" s="407"/>
      <c r="Z762" s="407"/>
      <c r="AA762" s="407">
        <v>0</v>
      </c>
      <c r="AB762" s="407"/>
      <c r="AC762" s="407"/>
      <c r="AD762" s="407"/>
      <c r="AE762" s="407"/>
      <c r="AF762" s="407"/>
      <c r="AG762" s="407"/>
      <c r="AH762" s="407"/>
      <c r="AI762" s="407"/>
      <c r="AJ762" s="407"/>
      <c r="AK762" s="407"/>
      <c r="AL762" s="407"/>
      <c r="AM762" s="407"/>
      <c r="AN762" s="407"/>
      <c r="AO762" s="407"/>
      <c r="AP762" s="407"/>
      <c r="AQ762" s="407"/>
      <c r="AR762" s="407"/>
      <c r="AS762" s="407"/>
      <c r="AT762" s="407"/>
      <c r="AU762" s="407"/>
      <c r="AV762" s="407"/>
      <c r="AW762" s="407"/>
      <c r="AX762" s="407"/>
      <c r="AY762" s="407"/>
      <c r="AZ762" s="407">
        <v>0</v>
      </c>
      <c r="BA762" s="407"/>
      <c r="BB762" s="407"/>
      <c r="BC762" s="407"/>
      <c r="BD762" s="407"/>
      <c r="BE762" s="407"/>
      <c r="BF762" s="407"/>
      <c r="BG762" s="407"/>
      <c r="BH762" s="407"/>
      <c r="BI762" s="407">
        <v>5.34</v>
      </c>
      <c r="BJ762" s="407">
        <v>24.73</v>
      </c>
      <c r="BK762" s="407">
        <v>38.03</v>
      </c>
      <c r="BL762" s="407">
        <v>5</v>
      </c>
      <c r="BM762" s="407"/>
      <c r="BN762" s="407"/>
      <c r="BO762" s="407"/>
      <c r="BP762" s="407"/>
      <c r="BQ762" s="407"/>
      <c r="BR762" s="407"/>
      <c r="BS762" s="407"/>
      <c r="BT762" s="407"/>
      <c r="BU762" s="407"/>
      <c r="BV762" s="407"/>
      <c r="BW762" s="407"/>
      <c r="BX762" s="407"/>
      <c r="BY762" s="407"/>
      <c r="BZ762" s="407"/>
      <c r="CA762" s="407"/>
      <c r="CB762" s="407"/>
      <c r="CC762" s="407"/>
      <c r="CD762" s="407"/>
      <c r="CE762" s="407"/>
      <c r="CF762" s="407"/>
      <c r="CG762" s="407"/>
      <c r="CH762" s="407"/>
      <c r="CI762" s="407"/>
      <c r="CJ762" s="407">
        <v>-0.03</v>
      </c>
      <c r="CK762" s="407"/>
      <c r="CL762" s="407"/>
      <c r="CM762" s="407"/>
      <c r="CN762" s="407"/>
      <c r="CO762" s="407">
        <v>0</v>
      </c>
      <c r="CP762" s="407">
        <v>0</v>
      </c>
      <c r="CQ762" s="407">
        <v>30</v>
      </c>
      <c r="CR762" s="407"/>
      <c r="CS762" s="407"/>
      <c r="CT762" s="407"/>
      <c r="CU762" s="407"/>
      <c r="CV762" s="407"/>
      <c r="CW762" s="407"/>
      <c r="CX762" s="407"/>
      <c r="CY762" s="407"/>
      <c r="CZ762" s="407"/>
      <c r="DA762" s="407"/>
      <c r="DB762" s="407"/>
      <c r="DC762" s="407"/>
      <c r="DD762" s="407"/>
      <c r="DE762" s="407"/>
      <c r="DF762" s="407"/>
      <c r="DG762" s="407"/>
      <c r="DH762" s="407"/>
      <c r="DI762" s="407"/>
      <c r="DJ762" s="407"/>
      <c r="DK762" s="407">
        <v>0</v>
      </c>
      <c r="DL762" s="407"/>
      <c r="DM762" s="407"/>
      <c r="DN762" s="407"/>
      <c r="DO762" s="407"/>
      <c r="DP762" s="407"/>
      <c r="DQ762" s="407"/>
      <c r="DR762" s="407"/>
      <c r="DS762" s="407"/>
      <c r="DT762" s="407"/>
      <c r="DU762" s="407"/>
      <c r="DV762" s="407"/>
      <c r="DW762" s="407"/>
      <c r="DX762" s="407"/>
      <c r="DY762" s="407"/>
      <c r="DZ762" s="407"/>
      <c r="EA762" s="407"/>
      <c r="EB762" s="407"/>
      <c r="EC762" s="407"/>
      <c r="ED762" s="407"/>
      <c r="EE762" s="407"/>
      <c r="EF762" s="407"/>
      <c r="EG762" s="407"/>
      <c r="EH762" s="407"/>
      <c r="EI762" s="407"/>
      <c r="EJ762" s="407"/>
      <c r="EK762" s="407"/>
      <c r="EL762" s="407"/>
      <c r="EM762" s="407"/>
      <c r="EN762" s="407"/>
      <c r="EO762" s="407"/>
      <c r="EP762" s="407"/>
      <c r="EQ762" s="407"/>
      <c r="ER762" s="407"/>
      <c r="ES762" s="407"/>
      <c r="ET762" s="407"/>
      <c r="EU762" s="407"/>
      <c r="EV762" s="407">
        <v>246</v>
      </c>
      <c r="EW762" s="407"/>
      <c r="EX762" s="407"/>
      <c r="EY762" s="407"/>
      <c r="EZ762" s="407"/>
      <c r="FA762" s="407">
        <v>0</v>
      </c>
      <c r="FB762" s="407"/>
      <c r="FC762" s="407"/>
      <c r="FD762" s="407"/>
      <c r="FE762" s="407"/>
      <c r="FF762" s="407">
        <v>0</v>
      </c>
      <c r="FG762" s="407">
        <v>0</v>
      </c>
      <c r="FH762" s="407">
        <v>0</v>
      </c>
      <c r="FI762" s="407">
        <v>0</v>
      </c>
    </row>
    <row r="763" spans="1:165">
      <c r="A763" s="407">
        <v>794</v>
      </c>
      <c r="B763" s="407" t="s">
        <v>1090</v>
      </c>
      <c r="C763" s="407" t="s">
        <v>2306</v>
      </c>
      <c r="D763" s="407" t="s">
        <v>2315</v>
      </c>
      <c r="E763" s="407" t="s">
        <v>1026</v>
      </c>
      <c r="F763" s="407" t="s">
        <v>2326</v>
      </c>
      <c r="G763" s="407" t="s">
        <v>2324</v>
      </c>
      <c r="H763" s="407" t="s">
        <v>97</v>
      </c>
      <c r="I763" s="407" t="s">
        <v>97</v>
      </c>
      <c r="J763" s="407" t="s">
        <v>2307</v>
      </c>
      <c r="K763" s="818">
        <v>44713</v>
      </c>
      <c r="L763" s="407">
        <v>0</v>
      </c>
      <c r="M763" s="407">
        <v>0</v>
      </c>
      <c r="N763" s="407">
        <v>2.7290000000000001</v>
      </c>
      <c r="O763" s="407">
        <v>2.7290000000000001</v>
      </c>
      <c r="P763" s="407">
        <v>2.7290000000000001</v>
      </c>
      <c r="Q763" s="407">
        <v>2.7290000000000001</v>
      </c>
      <c r="R763" s="407"/>
      <c r="S763" s="407">
        <v>648.44000000000005</v>
      </c>
      <c r="T763" s="407">
        <v>159.41</v>
      </c>
      <c r="U763" s="407"/>
      <c r="V763" s="407">
        <v>2204.6226500000002</v>
      </c>
      <c r="W763" s="407">
        <v>2204.6226500000002</v>
      </c>
      <c r="X763" s="407">
        <v>1669.65678</v>
      </c>
      <c r="Y763" s="407">
        <v>0</v>
      </c>
      <c r="Z763" s="407">
        <v>169.1168139692883</v>
      </c>
      <c r="AA763" s="407">
        <v>0</v>
      </c>
      <c r="AB763" s="407">
        <v>0</v>
      </c>
      <c r="AC763" s="407">
        <v>0</v>
      </c>
      <c r="AD763" s="407">
        <v>318.32263913231878</v>
      </c>
      <c r="AE763" s="407">
        <v>1139.4830088579333</v>
      </c>
      <c r="AF763" s="407">
        <v>420.89562591007444</v>
      </c>
      <c r="AG763" s="407">
        <v>14.140988212804128</v>
      </c>
      <c r="AH763" s="407">
        <v>0</v>
      </c>
      <c r="AI763" s="407">
        <v>0</v>
      </c>
      <c r="AJ763" s="407">
        <v>0</v>
      </c>
      <c r="AK763" s="407">
        <v>0</v>
      </c>
      <c r="AL763" s="407">
        <v>26.133055052175276</v>
      </c>
      <c r="AM763" s="407"/>
      <c r="AN763" s="407">
        <v>5.6629360028654441</v>
      </c>
      <c r="AO763" s="407">
        <v>0</v>
      </c>
      <c r="AP763" s="407">
        <v>0</v>
      </c>
      <c r="AQ763" s="407">
        <v>0</v>
      </c>
      <c r="AR763" s="407">
        <v>0</v>
      </c>
      <c r="AS763" s="407">
        <v>0</v>
      </c>
      <c r="AT763" s="407">
        <v>0</v>
      </c>
      <c r="AU763" s="407">
        <v>0</v>
      </c>
      <c r="AV763" s="407">
        <v>0</v>
      </c>
      <c r="AW763" s="407">
        <v>0</v>
      </c>
      <c r="AX763" s="407">
        <v>0</v>
      </c>
      <c r="AY763" s="407">
        <v>0</v>
      </c>
      <c r="AZ763" s="407">
        <v>0</v>
      </c>
      <c r="BA763" s="407"/>
      <c r="BB763" s="407">
        <v>0</v>
      </c>
      <c r="BC763" s="407">
        <v>0</v>
      </c>
      <c r="BD763" s="407">
        <v>0</v>
      </c>
      <c r="BE763" s="407">
        <v>0</v>
      </c>
      <c r="BF763" s="407">
        <v>0</v>
      </c>
      <c r="BG763" s="407">
        <v>30.766126234535676</v>
      </c>
      <c r="BH763" s="407">
        <v>0</v>
      </c>
      <c r="BI763" s="407">
        <v>0</v>
      </c>
      <c r="BJ763" s="407">
        <v>0</v>
      </c>
      <c r="BK763" s="407">
        <v>0</v>
      </c>
      <c r="BL763" s="407">
        <v>0</v>
      </c>
      <c r="BM763" s="407"/>
      <c r="BN763" s="407"/>
      <c r="BO763" s="407"/>
      <c r="BP763" s="407"/>
      <c r="BQ763" s="407"/>
      <c r="BR763" s="407">
        <v>200.36318000000006</v>
      </c>
      <c r="BS763" s="407"/>
      <c r="BT763" s="407"/>
      <c r="BU763" s="407"/>
      <c r="BV763" s="407">
        <v>451.66175214461009</v>
      </c>
      <c r="BW763" s="407"/>
      <c r="BX763" s="407"/>
      <c r="BY763" s="407"/>
      <c r="BZ763" s="407"/>
      <c r="CA763" s="407"/>
      <c r="CB763" s="407"/>
      <c r="CC763" s="407"/>
      <c r="CD763" s="407"/>
      <c r="CE763" s="407"/>
      <c r="CF763" s="407"/>
      <c r="CG763" s="407"/>
      <c r="CH763" s="407"/>
      <c r="CI763" s="407">
        <v>1469.8319999999999</v>
      </c>
      <c r="CJ763" s="407">
        <v>-470.27139000000011</v>
      </c>
      <c r="CK763" s="407"/>
      <c r="CL763" s="407"/>
      <c r="CM763" s="407"/>
      <c r="CN763" s="407"/>
      <c r="CO763" s="407">
        <v>-609.93150000000014</v>
      </c>
      <c r="CP763" s="407">
        <v>74.965630000000004</v>
      </c>
      <c r="CQ763" s="407">
        <v>30</v>
      </c>
      <c r="CR763" s="407">
        <v>47.086215164732039</v>
      </c>
      <c r="CS763" s="407">
        <v>0</v>
      </c>
      <c r="CT763" s="407">
        <v>0</v>
      </c>
      <c r="CU763" s="407">
        <v>0</v>
      </c>
      <c r="CV763" s="407">
        <v>0</v>
      </c>
      <c r="CW763" s="407">
        <v>0</v>
      </c>
      <c r="CX763" s="407">
        <v>0</v>
      </c>
      <c r="CY763" s="407">
        <v>0</v>
      </c>
      <c r="CZ763" s="407">
        <v>14.379264782929909</v>
      </c>
      <c r="DA763" s="407">
        <v>0</v>
      </c>
      <c r="DB763" s="407">
        <v>0</v>
      </c>
      <c r="DC763" s="407">
        <v>83.452236397168861</v>
      </c>
      <c r="DD763" s="407">
        <v>0</v>
      </c>
      <c r="DE763" s="407">
        <v>0</v>
      </c>
      <c r="DF763" s="407">
        <v>0</v>
      </c>
      <c r="DG763" s="407">
        <v>6.100091997863089</v>
      </c>
      <c r="DH763" s="407">
        <v>0</v>
      </c>
      <c r="DI763" s="407">
        <v>-11.84527527503144</v>
      </c>
      <c r="DJ763" s="407"/>
      <c r="DK763" s="407">
        <v>0</v>
      </c>
      <c r="DL763" s="407">
        <v>0</v>
      </c>
      <c r="DM763" s="407">
        <v>0</v>
      </c>
      <c r="DN763" s="407">
        <v>0</v>
      </c>
      <c r="DO763" s="407">
        <v>-1.5944136717346318</v>
      </c>
      <c r="DP763" s="407">
        <v>-0.36082861062571503</v>
      </c>
      <c r="DQ763" s="407">
        <v>0</v>
      </c>
      <c r="DR763" s="407">
        <v>-43.044860455838297</v>
      </c>
      <c r="DS763" s="407"/>
      <c r="DT763" s="407"/>
      <c r="DU763" s="407"/>
      <c r="DV763" s="407">
        <v>1139.4830088579333</v>
      </c>
      <c r="DW763" s="407">
        <v>0</v>
      </c>
      <c r="DX763" s="407">
        <v>0</v>
      </c>
      <c r="DY763" s="407">
        <v>-609.93150000000014</v>
      </c>
      <c r="DZ763" s="407">
        <v>74.965629999999976</v>
      </c>
      <c r="EA763" s="407">
        <v>0</v>
      </c>
      <c r="EB763" s="407">
        <v>0</v>
      </c>
      <c r="EC763" s="407">
        <v>-582.0505675144816</v>
      </c>
      <c r="ED763" s="407">
        <v>0</v>
      </c>
      <c r="EE763" s="407">
        <v>0</v>
      </c>
      <c r="EF763" s="407">
        <v>0</v>
      </c>
      <c r="EG763" s="407">
        <v>0</v>
      </c>
      <c r="EH763" s="407">
        <v>0</v>
      </c>
      <c r="EI763" s="407">
        <v>0</v>
      </c>
      <c r="EJ763" s="407">
        <v>0</v>
      </c>
      <c r="EK763" s="407">
        <v>0</v>
      </c>
      <c r="EL763" s="407">
        <v>0</v>
      </c>
      <c r="EM763" s="407">
        <v>0</v>
      </c>
      <c r="EN763" s="407">
        <v>0</v>
      </c>
      <c r="EO763" s="407">
        <v>0</v>
      </c>
      <c r="EP763" s="407">
        <v>80.107611037607469</v>
      </c>
      <c r="EQ763" s="407">
        <v>0</v>
      </c>
      <c r="ER763" s="407">
        <v>0</v>
      </c>
      <c r="ES763" s="407">
        <v>0</v>
      </c>
      <c r="ET763" s="407">
        <v>0</v>
      </c>
      <c r="EU763" s="407">
        <v>0</v>
      </c>
      <c r="EV763" s="407">
        <v>246</v>
      </c>
      <c r="EW763" s="407">
        <v>0</v>
      </c>
      <c r="EX763" s="407">
        <v>0</v>
      </c>
      <c r="EY763" s="407">
        <v>0</v>
      </c>
      <c r="EZ763" s="407"/>
      <c r="FA763" s="407">
        <v>0</v>
      </c>
      <c r="FB763" s="407"/>
      <c r="FC763" s="407"/>
      <c r="FD763" s="407"/>
      <c r="FE763" s="407"/>
      <c r="FF763" s="407">
        <v>0</v>
      </c>
      <c r="FG763" s="407">
        <v>0</v>
      </c>
      <c r="FH763" s="407">
        <v>0</v>
      </c>
      <c r="FI763" s="407">
        <v>0</v>
      </c>
    </row>
    <row r="764" spans="1:165">
      <c r="A764" s="407">
        <v>795</v>
      </c>
      <c r="B764" s="407" t="s">
        <v>1090</v>
      </c>
      <c r="C764" s="407" t="s">
        <v>2306</v>
      </c>
      <c r="D764" s="407" t="s">
        <v>2315</v>
      </c>
      <c r="E764" s="407" t="s">
        <v>1026</v>
      </c>
      <c r="F764" s="407" t="s">
        <v>2326</v>
      </c>
      <c r="G764" s="407" t="s">
        <v>2325</v>
      </c>
      <c r="H764" s="407" t="s">
        <v>97</v>
      </c>
      <c r="I764" s="407" t="s">
        <v>97</v>
      </c>
      <c r="J764" s="407" t="s">
        <v>2307</v>
      </c>
      <c r="K764" s="818">
        <v>44713</v>
      </c>
      <c r="L764" s="407">
        <v>0</v>
      </c>
      <c r="M764" s="407">
        <v>0</v>
      </c>
      <c r="N764" s="407">
        <v>3.0169999999999999</v>
      </c>
      <c r="O764" s="407">
        <v>1.2068000000000001</v>
      </c>
      <c r="P764" s="407">
        <v>3.0169999999999999</v>
      </c>
      <c r="Q764" s="407">
        <v>1.2068000000000001</v>
      </c>
      <c r="R764" s="407"/>
      <c r="S764" s="407">
        <v>648.44000000000005</v>
      </c>
      <c r="T764" s="407">
        <v>159.41</v>
      </c>
      <c r="U764" s="407"/>
      <c r="V764" s="407">
        <v>2437.2834499999999</v>
      </c>
      <c r="W764" s="407">
        <v>2437.2834499999999</v>
      </c>
      <c r="X764" s="407">
        <v>1845.86094</v>
      </c>
      <c r="Y764" s="407">
        <v>0</v>
      </c>
      <c r="Z764" s="407">
        <v>186.96424615073022</v>
      </c>
      <c r="AA764" s="407">
        <v>0</v>
      </c>
      <c r="AB764" s="407">
        <v>0</v>
      </c>
      <c r="AC764" s="407">
        <v>0</v>
      </c>
      <c r="AD764" s="407">
        <v>351.91623388135054</v>
      </c>
      <c r="AE764" s="407">
        <v>1259.7362542046112</v>
      </c>
      <c r="AF764" s="407">
        <v>465.31407232344981</v>
      </c>
      <c r="AG764" s="407">
        <v>15.633331417380013</v>
      </c>
      <c r="AH764" s="407">
        <v>0</v>
      </c>
      <c r="AI764" s="407">
        <v>0</v>
      </c>
      <c r="AJ764" s="407">
        <v>0</v>
      </c>
      <c r="AK764" s="407">
        <v>0</v>
      </c>
      <c r="AL764" s="407">
        <v>28.890958993189006</v>
      </c>
      <c r="AM764" s="407"/>
      <c r="AN764" s="407">
        <v>6.2605635473232111</v>
      </c>
      <c r="AO764" s="407">
        <v>0</v>
      </c>
      <c r="AP764" s="407">
        <v>0</v>
      </c>
      <c r="AQ764" s="407">
        <v>0</v>
      </c>
      <c r="AR764" s="407">
        <v>0</v>
      </c>
      <c r="AS764" s="407">
        <v>0</v>
      </c>
      <c r="AT764" s="407">
        <v>0</v>
      </c>
      <c r="AU764" s="407">
        <v>0</v>
      </c>
      <c r="AV764" s="407">
        <v>0</v>
      </c>
      <c r="AW764" s="407">
        <v>0</v>
      </c>
      <c r="AX764" s="407">
        <v>0</v>
      </c>
      <c r="AY764" s="407">
        <v>0</v>
      </c>
      <c r="AZ764" s="407">
        <v>0</v>
      </c>
      <c r="BA764" s="407"/>
      <c r="BB764" s="407">
        <v>0</v>
      </c>
      <c r="BC764" s="407">
        <v>0</v>
      </c>
      <c r="BD764" s="407">
        <v>0</v>
      </c>
      <c r="BE764" s="407">
        <v>0</v>
      </c>
      <c r="BF764" s="407">
        <v>0</v>
      </c>
      <c r="BG764" s="407">
        <v>34.012972828726319</v>
      </c>
      <c r="BH764" s="407">
        <v>0</v>
      </c>
      <c r="BI764" s="407">
        <v>0</v>
      </c>
      <c r="BJ764" s="407">
        <v>0</v>
      </c>
      <c r="BK764" s="407">
        <v>0</v>
      </c>
      <c r="BL764" s="407">
        <v>0</v>
      </c>
      <c r="BM764" s="407"/>
      <c r="BN764" s="407"/>
      <c r="BO764" s="407"/>
      <c r="BP764" s="407"/>
      <c r="BQ764" s="407"/>
      <c r="BR764" s="407"/>
      <c r="BS764" s="407">
        <v>1196.1198199999999</v>
      </c>
      <c r="BT764" s="407"/>
      <c r="BU764" s="407"/>
      <c r="BV764" s="407">
        <v>499.32704515217614</v>
      </c>
      <c r="BW764" s="407"/>
      <c r="BX764" s="407"/>
      <c r="BY764" s="407"/>
      <c r="BZ764" s="407"/>
      <c r="CA764" s="407"/>
      <c r="CB764" s="407"/>
      <c r="CC764" s="407"/>
      <c r="CD764" s="407"/>
      <c r="CE764" s="407"/>
      <c r="CF764" s="407"/>
      <c r="CG764" s="407"/>
      <c r="CH764" s="407"/>
      <c r="CI764" s="407">
        <v>651.46399999999994</v>
      </c>
      <c r="CJ764" s="407">
        <v>-206.49218800000006</v>
      </c>
      <c r="CK764" s="407"/>
      <c r="CL764" s="407"/>
      <c r="CM764" s="407"/>
      <c r="CN764" s="407"/>
      <c r="CO764" s="407">
        <v>-674.29950000000019</v>
      </c>
      <c r="CP764" s="407">
        <v>82.876989999999992</v>
      </c>
      <c r="CQ764" s="407">
        <v>30</v>
      </c>
      <c r="CR764" s="407">
        <v>52.055372353241182</v>
      </c>
      <c r="CS764" s="407">
        <v>0</v>
      </c>
      <c r="CT764" s="407">
        <v>0</v>
      </c>
      <c r="CU764" s="407">
        <v>0</v>
      </c>
      <c r="CV764" s="407">
        <v>0</v>
      </c>
      <c r="CW764" s="407">
        <v>0</v>
      </c>
      <c r="CX764" s="407">
        <v>0</v>
      </c>
      <c r="CY764" s="407">
        <v>0</v>
      </c>
      <c r="CZ764" s="407">
        <v>15.896754067460449</v>
      </c>
      <c r="DA764" s="407">
        <v>0</v>
      </c>
      <c r="DB764" s="407">
        <v>0</v>
      </c>
      <c r="DC764" s="407">
        <v>92.259214807716546</v>
      </c>
      <c r="DD764" s="407">
        <v>0</v>
      </c>
      <c r="DE764" s="407">
        <v>0</v>
      </c>
      <c r="DF764" s="407">
        <v>0</v>
      </c>
      <c r="DG764" s="407">
        <v>6.7438539969047042</v>
      </c>
      <c r="DH764" s="407">
        <v>0</v>
      </c>
      <c r="DI764" s="407">
        <v>-13.095344633481091</v>
      </c>
      <c r="DJ764" s="407"/>
      <c r="DK764" s="407">
        <v>0</v>
      </c>
      <c r="DL764" s="407">
        <v>0</v>
      </c>
      <c r="DM764" s="407">
        <v>0</v>
      </c>
      <c r="DN764" s="407">
        <v>0</v>
      </c>
      <c r="DO764" s="407">
        <v>-1.7626771885758075</v>
      </c>
      <c r="DP764" s="407">
        <v>-0.39890799496437612</v>
      </c>
      <c r="DQ764" s="407">
        <v>0</v>
      </c>
      <c r="DR764" s="407">
        <v>-47.587520701819031</v>
      </c>
      <c r="DS764" s="407"/>
      <c r="DT764" s="407"/>
      <c r="DU764" s="407"/>
      <c r="DV764" s="407">
        <v>1259.7362542046112</v>
      </c>
      <c r="DW764" s="407">
        <v>0</v>
      </c>
      <c r="DX764" s="407">
        <v>0</v>
      </c>
      <c r="DY764" s="407">
        <v>-674.29950000000008</v>
      </c>
      <c r="DZ764" s="407">
        <v>82.876990000000035</v>
      </c>
      <c r="EA764" s="407">
        <v>0</v>
      </c>
      <c r="EB764" s="407">
        <v>0</v>
      </c>
      <c r="EC764" s="407">
        <v>-643.47620454056073</v>
      </c>
      <c r="ED764" s="407">
        <v>0</v>
      </c>
      <c r="EE764" s="407">
        <v>0</v>
      </c>
      <c r="EF764" s="407">
        <v>0</v>
      </c>
      <c r="EG764" s="407">
        <v>0</v>
      </c>
      <c r="EH764" s="407">
        <v>0</v>
      </c>
      <c r="EI764" s="407">
        <v>0</v>
      </c>
      <c r="EJ764" s="407">
        <v>0</v>
      </c>
      <c r="EK764" s="407">
        <v>0</v>
      </c>
      <c r="EL764" s="407">
        <v>0</v>
      </c>
      <c r="EM764" s="407">
        <v>0</v>
      </c>
      <c r="EN764" s="407">
        <v>0</v>
      </c>
      <c r="EO764" s="407">
        <v>0</v>
      </c>
      <c r="EP764" s="407">
        <v>88.561620557149766</v>
      </c>
      <c r="EQ764" s="407">
        <v>0</v>
      </c>
      <c r="ER764" s="407">
        <v>0</v>
      </c>
      <c r="ES764" s="407">
        <v>0</v>
      </c>
      <c r="ET764" s="407">
        <v>0</v>
      </c>
      <c r="EU764" s="407">
        <v>0</v>
      </c>
      <c r="EV764" s="407">
        <v>246</v>
      </c>
      <c r="EW764" s="407">
        <v>0</v>
      </c>
      <c r="EX764" s="407">
        <v>0</v>
      </c>
      <c r="EY764" s="407">
        <v>0</v>
      </c>
      <c r="EZ764" s="407"/>
      <c r="FA764" s="407">
        <v>0</v>
      </c>
      <c r="FB764" s="407"/>
      <c r="FC764" s="407"/>
      <c r="FD764" s="407"/>
      <c r="FE764" s="407"/>
      <c r="FF764" s="407">
        <v>0</v>
      </c>
      <c r="FG764" s="407">
        <v>0</v>
      </c>
      <c r="FH764" s="407">
        <v>0</v>
      </c>
      <c r="FI764" s="407">
        <v>0</v>
      </c>
    </row>
    <row r="765" spans="1:165">
      <c r="A765" s="407">
        <v>796</v>
      </c>
      <c r="B765" s="407" t="s">
        <v>1090</v>
      </c>
      <c r="C765" s="407" t="s">
        <v>1044</v>
      </c>
      <c r="D765" s="407" t="s">
        <v>650</v>
      </c>
      <c r="E765" s="407" t="s">
        <v>97</v>
      </c>
      <c r="F765" s="407" t="s">
        <v>97</v>
      </c>
      <c r="G765" s="407" t="s">
        <v>97</v>
      </c>
      <c r="H765" s="407" t="s">
        <v>2328</v>
      </c>
      <c r="I765" s="407" t="s">
        <v>97</v>
      </c>
      <c r="J765" s="407" t="s">
        <v>2329</v>
      </c>
      <c r="K765" s="818">
        <v>44378</v>
      </c>
      <c r="L765" s="407">
        <v>880</v>
      </c>
      <c r="M765" s="407">
        <v>440</v>
      </c>
      <c r="N765" s="407">
        <v>0</v>
      </c>
      <c r="O765" s="407">
        <v>0</v>
      </c>
      <c r="P765" s="407">
        <v>0</v>
      </c>
      <c r="Q765" s="407">
        <v>0</v>
      </c>
      <c r="R765" s="407">
        <v>13.8</v>
      </c>
      <c r="S765" s="407"/>
      <c r="T765" s="407"/>
      <c r="U765" s="407">
        <v>12144</v>
      </c>
      <c r="V765" s="407"/>
      <c r="W765" s="407">
        <v>12144</v>
      </c>
      <c r="X765" s="407">
        <v>5711.2</v>
      </c>
      <c r="Y765" s="407">
        <v>0</v>
      </c>
      <c r="Z765" s="407">
        <v>0</v>
      </c>
      <c r="AA765" s="407">
        <v>0</v>
      </c>
      <c r="AB765" s="407">
        <v>0</v>
      </c>
      <c r="AC765" s="407">
        <v>0</v>
      </c>
      <c r="AD765" s="407">
        <v>0</v>
      </c>
      <c r="AE765" s="407">
        <v>12126.683914216695</v>
      </c>
      <c r="AF765" s="407"/>
      <c r="AG765" s="407"/>
      <c r="AH765" s="407"/>
      <c r="AI765" s="407">
        <v>0</v>
      </c>
      <c r="AJ765" s="407">
        <v>0</v>
      </c>
      <c r="AK765" s="407">
        <v>0</v>
      </c>
      <c r="AL765" s="407">
        <v>0</v>
      </c>
      <c r="AM765" s="407"/>
      <c r="AN765" s="407">
        <v>19.887297426469704</v>
      </c>
      <c r="AO765" s="407">
        <v>0</v>
      </c>
      <c r="AP765" s="407">
        <v>0</v>
      </c>
      <c r="AQ765" s="407">
        <v>0</v>
      </c>
      <c r="AR765" s="407">
        <v>0</v>
      </c>
      <c r="AS765" s="407"/>
      <c r="AT765" s="407"/>
      <c r="AU765" s="407">
        <v>0</v>
      </c>
      <c r="AV765" s="407">
        <v>0</v>
      </c>
      <c r="AW765" s="407">
        <v>0</v>
      </c>
      <c r="AX765" s="407"/>
      <c r="AY765" s="407"/>
      <c r="AZ765" s="407">
        <v>0</v>
      </c>
      <c r="BA765" s="407"/>
      <c r="BB765" s="407">
        <v>0</v>
      </c>
      <c r="BC765" s="407">
        <v>0</v>
      </c>
      <c r="BD765" s="407">
        <v>0</v>
      </c>
      <c r="BE765" s="407">
        <v>0</v>
      </c>
      <c r="BF765" s="407"/>
      <c r="BG765" s="407">
        <v>0</v>
      </c>
      <c r="BH765" s="407">
        <v>0</v>
      </c>
      <c r="BI765" s="407">
        <v>47.79</v>
      </c>
      <c r="BJ765" s="407">
        <v>0</v>
      </c>
      <c r="BK765" s="407">
        <v>0</v>
      </c>
      <c r="BL765" s="407">
        <v>0</v>
      </c>
      <c r="BM765" s="407"/>
      <c r="BN765" s="407"/>
      <c r="BO765" s="407">
        <v>2855.6</v>
      </c>
      <c r="BP765" s="407"/>
      <c r="BQ765" s="407"/>
      <c r="BR765" s="407"/>
      <c r="BS765" s="407"/>
      <c r="BT765" s="407"/>
      <c r="BU765" s="407"/>
      <c r="BV765" s="407">
        <v>0</v>
      </c>
      <c r="BW765" s="407"/>
      <c r="BX765" s="407"/>
      <c r="BY765" s="407"/>
      <c r="BZ765" s="407"/>
      <c r="CA765" s="407"/>
      <c r="CB765" s="407"/>
      <c r="CC765" s="407"/>
      <c r="CD765" s="407"/>
      <c r="CE765" s="407"/>
      <c r="CF765" s="407"/>
      <c r="CG765" s="407"/>
      <c r="CH765" s="407"/>
      <c r="CI765" s="407">
        <v>2855.6</v>
      </c>
      <c r="CJ765" s="407">
        <v>-3216.4300000000007</v>
      </c>
      <c r="CK765" s="407"/>
      <c r="CL765" s="407"/>
      <c r="CM765" s="407"/>
      <c r="CN765" s="407"/>
      <c r="CO765" s="407">
        <v>-6432.8</v>
      </c>
      <c r="CP765" s="407">
        <v>0</v>
      </c>
      <c r="CQ765" s="407">
        <v>31</v>
      </c>
      <c r="CR765" s="407">
        <v>-238.42612531033737</v>
      </c>
      <c r="CS765" s="407">
        <v>0</v>
      </c>
      <c r="CT765" s="407">
        <v>0</v>
      </c>
      <c r="CU765" s="407">
        <v>0</v>
      </c>
      <c r="CV765" s="407">
        <v>0</v>
      </c>
      <c r="CW765" s="407"/>
      <c r="CX765" s="407"/>
      <c r="CY765" s="407"/>
      <c r="CZ765" s="407">
        <v>0</v>
      </c>
      <c r="DA765" s="407">
        <v>0</v>
      </c>
      <c r="DB765" s="407">
        <v>0</v>
      </c>
      <c r="DC765" s="407"/>
      <c r="DD765" s="407"/>
      <c r="DE765" s="407">
        <v>0</v>
      </c>
      <c r="DF765" s="407">
        <v>0</v>
      </c>
      <c r="DG765" s="407">
        <v>0</v>
      </c>
      <c r="DH765" s="407">
        <v>0</v>
      </c>
      <c r="DI765" s="407">
        <v>0</v>
      </c>
      <c r="DJ765" s="407"/>
      <c r="DK765" s="407">
        <v>0</v>
      </c>
      <c r="DL765" s="407">
        <v>0</v>
      </c>
      <c r="DM765" s="407"/>
      <c r="DN765" s="407">
        <v>0</v>
      </c>
      <c r="DO765" s="407">
        <v>0</v>
      </c>
      <c r="DP765" s="407">
        <v>-1.2671705800424</v>
      </c>
      <c r="DQ765" s="407">
        <v>0</v>
      </c>
      <c r="DR765" s="407">
        <v>-237.15895473029497</v>
      </c>
      <c r="DS765" s="407"/>
      <c r="DT765" s="407"/>
      <c r="DU765" s="407">
        <v>12126.683914216695</v>
      </c>
      <c r="DV765" s="407"/>
      <c r="DW765" s="407">
        <v>0</v>
      </c>
      <c r="DX765" s="407">
        <v>0</v>
      </c>
      <c r="DY765" s="407">
        <v>-6432.8</v>
      </c>
      <c r="DZ765" s="407"/>
      <c r="EA765" s="407">
        <v>0</v>
      </c>
      <c r="EB765" s="407"/>
      <c r="EC765" s="407">
        <v>-6194.3383091011747</v>
      </c>
      <c r="ED765" s="407"/>
      <c r="EE765" s="407">
        <v>0</v>
      </c>
      <c r="EF765" s="407">
        <v>0</v>
      </c>
      <c r="EG765" s="407"/>
      <c r="EH765" s="407">
        <v>0</v>
      </c>
      <c r="EI765" s="407">
        <v>0</v>
      </c>
      <c r="EJ765" s="407">
        <v>0</v>
      </c>
      <c r="EK765" s="407">
        <v>0</v>
      </c>
      <c r="EL765" s="407">
        <v>0</v>
      </c>
      <c r="EM765" s="407"/>
      <c r="EN765" s="407"/>
      <c r="EO765" s="407">
        <v>0</v>
      </c>
      <c r="EP765" s="407">
        <v>0</v>
      </c>
      <c r="EQ765" s="407"/>
      <c r="ER765" s="407">
        <v>0</v>
      </c>
      <c r="ES765" s="407"/>
      <c r="ET765" s="407">
        <v>0</v>
      </c>
      <c r="EU765" s="407"/>
      <c r="EV765" s="407">
        <v>246</v>
      </c>
      <c r="EW765" s="407"/>
      <c r="EX765" s="407"/>
      <c r="EY765" s="407"/>
      <c r="EZ765" s="407"/>
      <c r="FA765" s="407">
        <v>0</v>
      </c>
      <c r="FB765" s="407"/>
      <c r="FC765" s="407"/>
      <c r="FD765" s="407"/>
      <c r="FE765" s="407"/>
      <c r="FF765" s="407">
        <v>0</v>
      </c>
      <c r="FG765" s="407">
        <v>0</v>
      </c>
      <c r="FH765" s="407">
        <v>0</v>
      </c>
      <c r="FI765" s="407">
        <v>0</v>
      </c>
    </row>
    <row r="766" spans="1:165">
      <c r="A766" s="407">
        <v>797</v>
      </c>
      <c r="B766" s="407" t="s">
        <v>1090</v>
      </c>
      <c r="C766" s="407" t="s">
        <v>1044</v>
      </c>
      <c r="D766" s="407" t="s">
        <v>650</v>
      </c>
      <c r="E766" s="407" t="s">
        <v>97</v>
      </c>
      <c r="F766" s="407" t="s">
        <v>97</v>
      </c>
      <c r="G766" s="407" t="s">
        <v>97</v>
      </c>
      <c r="H766" s="407" t="s">
        <v>2330</v>
      </c>
      <c r="I766" s="407" t="s">
        <v>97</v>
      </c>
      <c r="J766" s="407" t="s">
        <v>2329</v>
      </c>
      <c r="K766" s="818">
        <v>44378</v>
      </c>
      <c r="L766" s="407">
        <v>520</v>
      </c>
      <c r="M766" s="407">
        <v>260</v>
      </c>
      <c r="N766" s="407">
        <v>0</v>
      </c>
      <c r="O766" s="407">
        <v>0</v>
      </c>
      <c r="P766" s="407">
        <v>0</v>
      </c>
      <c r="Q766" s="407">
        <v>0</v>
      </c>
      <c r="R766" s="407">
        <v>13.8</v>
      </c>
      <c r="S766" s="407"/>
      <c r="T766" s="407"/>
      <c r="U766" s="407">
        <v>7176</v>
      </c>
      <c r="V766" s="407"/>
      <c r="W766" s="407">
        <v>7176</v>
      </c>
      <c r="X766" s="407">
        <v>3374.8</v>
      </c>
      <c r="Y766" s="407">
        <v>0</v>
      </c>
      <c r="Z766" s="407">
        <v>0</v>
      </c>
      <c r="AA766" s="407">
        <v>0</v>
      </c>
      <c r="AB766" s="407">
        <v>0</v>
      </c>
      <c r="AC766" s="407">
        <v>0</v>
      </c>
      <c r="AD766" s="407">
        <v>0</v>
      </c>
      <c r="AE766" s="407">
        <v>7165.767767491684</v>
      </c>
      <c r="AF766" s="407"/>
      <c r="AG766" s="407"/>
      <c r="AH766" s="407"/>
      <c r="AI766" s="407">
        <v>0</v>
      </c>
      <c r="AJ766" s="407">
        <v>0</v>
      </c>
      <c r="AK766" s="407">
        <v>0</v>
      </c>
      <c r="AL766" s="407">
        <v>0</v>
      </c>
      <c r="AM766" s="407"/>
      <c r="AN766" s="407">
        <v>11.751584842913916</v>
      </c>
      <c r="AO766" s="407">
        <v>0</v>
      </c>
      <c r="AP766" s="407">
        <v>0</v>
      </c>
      <c r="AQ766" s="407">
        <v>0</v>
      </c>
      <c r="AR766" s="407">
        <v>0</v>
      </c>
      <c r="AS766" s="407"/>
      <c r="AT766" s="407"/>
      <c r="AU766" s="407">
        <v>0</v>
      </c>
      <c r="AV766" s="407">
        <v>0</v>
      </c>
      <c r="AW766" s="407">
        <v>0</v>
      </c>
      <c r="AX766" s="407"/>
      <c r="AY766" s="407"/>
      <c r="AZ766" s="407">
        <v>0</v>
      </c>
      <c r="BA766" s="407"/>
      <c r="BB766" s="407">
        <v>0</v>
      </c>
      <c r="BC766" s="407">
        <v>0</v>
      </c>
      <c r="BD766" s="407">
        <v>0</v>
      </c>
      <c r="BE766" s="407">
        <v>0</v>
      </c>
      <c r="BF766" s="407"/>
      <c r="BG766" s="407">
        <v>0</v>
      </c>
      <c r="BH766" s="407">
        <v>0</v>
      </c>
      <c r="BI766" s="407">
        <v>28.24</v>
      </c>
      <c r="BJ766" s="407">
        <v>0</v>
      </c>
      <c r="BK766" s="407">
        <v>0</v>
      </c>
      <c r="BL766" s="407">
        <v>0</v>
      </c>
      <c r="BM766" s="407"/>
      <c r="BN766" s="407"/>
      <c r="BO766" s="407">
        <v>1687.4</v>
      </c>
      <c r="BP766" s="407"/>
      <c r="BQ766" s="407"/>
      <c r="BR766" s="407"/>
      <c r="BS766" s="407"/>
      <c r="BT766" s="407"/>
      <c r="BU766" s="407"/>
      <c r="BV766" s="407">
        <v>0</v>
      </c>
      <c r="BW766" s="407"/>
      <c r="BX766" s="407"/>
      <c r="BY766" s="407"/>
      <c r="BZ766" s="407"/>
      <c r="CA766" s="407"/>
      <c r="CB766" s="407"/>
      <c r="CC766" s="407"/>
      <c r="CD766" s="407"/>
      <c r="CE766" s="407"/>
      <c r="CF766" s="407"/>
      <c r="CG766" s="407"/>
      <c r="CH766" s="407"/>
      <c r="CI766" s="407">
        <v>1687.4</v>
      </c>
      <c r="CJ766" s="407">
        <v>-1900.6300000000006</v>
      </c>
      <c r="CK766" s="407"/>
      <c r="CL766" s="407"/>
      <c r="CM766" s="407"/>
      <c r="CN766" s="407"/>
      <c r="CO766" s="407">
        <v>-3801.2000000000003</v>
      </c>
      <c r="CP766" s="407">
        <v>0</v>
      </c>
      <c r="CQ766" s="407">
        <v>31</v>
      </c>
      <c r="CR766" s="407">
        <v>-140.88816495610848</v>
      </c>
      <c r="CS766" s="407">
        <v>0</v>
      </c>
      <c r="CT766" s="407">
        <v>0</v>
      </c>
      <c r="CU766" s="407">
        <v>0</v>
      </c>
      <c r="CV766" s="407">
        <v>0</v>
      </c>
      <c r="CW766" s="407"/>
      <c r="CX766" s="407"/>
      <c r="CY766" s="407"/>
      <c r="CZ766" s="407">
        <v>0</v>
      </c>
      <c r="DA766" s="407">
        <v>0</v>
      </c>
      <c r="DB766" s="407">
        <v>0</v>
      </c>
      <c r="DC766" s="407"/>
      <c r="DD766" s="407"/>
      <c r="DE766" s="407">
        <v>0</v>
      </c>
      <c r="DF766" s="407">
        <v>0</v>
      </c>
      <c r="DG766" s="407">
        <v>0</v>
      </c>
      <c r="DH766" s="407">
        <v>0</v>
      </c>
      <c r="DI766" s="407">
        <v>0</v>
      </c>
      <c r="DJ766" s="407"/>
      <c r="DK766" s="407">
        <v>0</v>
      </c>
      <c r="DL766" s="407">
        <v>0</v>
      </c>
      <c r="DM766" s="407"/>
      <c r="DN766" s="407">
        <v>0</v>
      </c>
      <c r="DO766" s="407">
        <v>0</v>
      </c>
      <c r="DP766" s="407">
        <v>-0.74878261547960001</v>
      </c>
      <c r="DQ766" s="407">
        <v>0</v>
      </c>
      <c r="DR766" s="407">
        <v>-140.13938234062886</v>
      </c>
      <c r="DS766" s="407"/>
      <c r="DT766" s="407"/>
      <c r="DU766" s="407">
        <v>7165.767767491684</v>
      </c>
      <c r="DV766" s="407"/>
      <c r="DW766" s="407">
        <v>0</v>
      </c>
      <c r="DX766" s="407">
        <v>0</v>
      </c>
      <c r="DY766" s="407">
        <v>-3801.2</v>
      </c>
      <c r="DZ766" s="407"/>
      <c r="EA766" s="407">
        <v>0</v>
      </c>
      <c r="EB766" s="407"/>
      <c r="EC766" s="407">
        <v>-3660.2908190143312</v>
      </c>
      <c r="ED766" s="407"/>
      <c r="EE766" s="407">
        <v>0</v>
      </c>
      <c r="EF766" s="407">
        <v>0</v>
      </c>
      <c r="EG766" s="407"/>
      <c r="EH766" s="407">
        <v>0</v>
      </c>
      <c r="EI766" s="407">
        <v>0</v>
      </c>
      <c r="EJ766" s="407">
        <v>0</v>
      </c>
      <c r="EK766" s="407">
        <v>0</v>
      </c>
      <c r="EL766" s="407">
        <v>0</v>
      </c>
      <c r="EM766" s="407"/>
      <c r="EN766" s="407"/>
      <c r="EO766" s="407">
        <v>0</v>
      </c>
      <c r="EP766" s="407">
        <v>0</v>
      </c>
      <c r="EQ766" s="407"/>
      <c r="ER766" s="407">
        <v>0</v>
      </c>
      <c r="ES766" s="407"/>
      <c r="ET766" s="407">
        <v>0</v>
      </c>
      <c r="EU766" s="407"/>
      <c r="EV766" s="407">
        <v>246</v>
      </c>
      <c r="EW766" s="407"/>
      <c r="EX766" s="407"/>
      <c r="EY766" s="407"/>
      <c r="EZ766" s="407"/>
      <c r="FA766" s="407">
        <v>0</v>
      </c>
      <c r="FB766" s="407"/>
      <c r="FC766" s="407"/>
      <c r="FD766" s="407"/>
      <c r="FE766" s="407"/>
      <c r="FF766" s="407">
        <v>0</v>
      </c>
      <c r="FG766" s="407">
        <v>0</v>
      </c>
      <c r="FH766" s="407">
        <v>0</v>
      </c>
      <c r="FI766" s="407">
        <v>0</v>
      </c>
    </row>
    <row r="767" spans="1:165">
      <c r="A767" s="407">
        <v>798</v>
      </c>
      <c r="B767" s="407" t="s">
        <v>1090</v>
      </c>
      <c r="C767" s="407" t="s">
        <v>1044</v>
      </c>
      <c r="D767" s="407" t="s">
        <v>650</v>
      </c>
      <c r="E767" s="407" t="s">
        <v>97</v>
      </c>
      <c r="F767" s="407" t="s">
        <v>97</v>
      </c>
      <c r="G767" s="407" t="s">
        <v>97</v>
      </c>
      <c r="H767" s="407" t="s">
        <v>2331</v>
      </c>
      <c r="I767" s="407" t="s">
        <v>97</v>
      </c>
      <c r="J767" s="407" t="s">
        <v>2329</v>
      </c>
      <c r="K767" s="818">
        <v>44378</v>
      </c>
      <c r="L767" s="407">
        <v>1000</v>
      </c>
      <c r="M767" s="407">
        <v>500</v>
      </c>
      <c r="N767" s="407">
        <v>0</v>
      </c>
      <c r="O767" s="407">
        <v>0</v>
      </c>
      <c r="P767" s="407">
        <v>0</v>
      </c>
      <c r="Q767" s="407">
        <v>0</v>
      </c>
      <c r="R767" s="407">
        <v>13.8</v>
      </c>
      <c r="S767" s="407"/>
      <c r="T767" s="407"/>
      <c r="U767" s="407">
        <v>13800</v>
      </c>
      <c r="V767" s="407"/>
      <c r="W767" s="407">
        <v>13800</v>
      </c>
      <c r="X767" s="407">
        <v>6490</v>
      </c>
      <c r="Y767" s="407">
        <v>0</v>
      </c>
      <c r="Z767" s="407">
        <v>0</v>
      </c>
      <c r="AA767" s="407">
        <v>0</v>
      </c>
      <c r="AB767" s="407">
        <v>0</v>
      </c>
      <c r="AC767" s="407">
        <v>0</v>
      </c>
      <c r="AD767" s="407">
        <v>0</v>
      </c>
      <c r="AE767" s="407">
        <v>13780.322629791699</v>
      </c>
      <c r="AF767" s="407"/>
      <c r="AG767" s="407"/>
      <c r="AH767" s="407"/>
      <c r="AI767" s="407">
        <v>0</v>
      </c>
      <c r="AJ767" s="407">
        <v>0</v>
      </c>
      <c r="AK767" s="407">
        <v>0</v>
      </c>
      <c r="AL767" s="407">
        <v>0</v>
      </c>
      <c r="AM767" s="407"/>
      <c r="AN767" s="407">
        <v>22.5992016209883</v>
      </c>
      <c r="AO767" s="407">
        <v>0</v>
      </c>
      <c r="AP767" s="407">
        <v>0</v>
      </c>
      <c r="AQ767" s="407">
        <v>0</v>
      </c>
      <c r="AR767" s="407">
        <v>0</v>
      </c>
      <c r="AS767" s="407"/>
      <c r="AT767" s="407"/>
      <c r="AU767" s="407">
        <v>0</v>
      </c>
      <c r="AV767" s="407">
        <v>0</v>
      </c>
      <c r="AW767" s="407">
        <v>0</v>
      </c>
      <c r="AX767" s="407"/>
      <c r="AY767" s="407"/>
      <c r="AZ767" s="407">
        <v>0</v>
      </c>
      <c r="BA767" s="407"/>
      <c r="BB767" s="407">
        <v>0</v>
      </c>
      <c r="BC767" s="407">
        <v>0</v>
      </c>
      <c r="BD767" s="407">
        <v>0</v>
      </c>
      <c r="BE767" s="407">
        <v>0</v>
      </c>
      <c r="BF767" s="407"/>
      <c r="BG767" s="407">
        <v>0</v>
      </c>
      <c r="BH767" s="407">
        <v>0</v>
      </c>
      <c r="BI767" s="407">
        <v>54.31</v>
      </c>
      <c r="BJ767" s="407">
        <v>0</v>
      </c>
      <c r="BK767" s="407">
        <v>0</v>
      </c>
      <c r="BL767" s="407">
        <v>0</v>
      </c>
      <c r="BM767" s="407"/>
      <c r="BN767" s="407"/>
      <c r="BO767" s="407">
        <v>3245</v>
      </c>
      <c r="BP767" s="407"/>
      <c r="BQ767" s="407"/>
      <c r="BR767" s="407"/>
      <c r="BS767" s="407"/>
      <c r="BT767" s="407"/>
      <c r="BU767" s="407"/>
      <c r="BV767" s="407">
        <v>0</v>
      </c>
      <c r="BW767" s="407"/>
      <c r="BX767" s="407"/>
      <c r="BY767" s="407"/>
      <c r="BZ767" s="407"/>
      <c r="CA767" s="407"/>
      <c r="CB767" s="407"/>
      <c r="CC767" s="407"/>
      <c r="CD767" s="407"/>
      <c r="CE767" s="407"/>
      <c r="CF767" s="407"/>
      <c r="CG767" s="407"/>
      <c r="CH767" s="407"/>
      <c r="CI767" s="407">
        <v>3245</v>
      </c>
      <c r="CJ767" s="407">
        <v>-3655.0300000000007</v>
      </c>
      <c r="CK767" s="407"/>
      <c r="CL767" s="407"/>
      <c r="CM767" s="407"/>
      <c r="CN767" s="407"/>
      <c r="CO767" s="407">
        <v>-7310.0000000000009</v>
      </c>
      <c r="CP767" s="407">
        <v>0</v>
      </c>
      <c r="CQ767" s="407">
        <v>31</v>
      </c>
      <c r="CR767" s="407">
        <v>-270.93877876174702</v>
      </c>
      <c r="CS767" s="407">
        <v>0</v>
      </c>
      <c r="CT767" s="407">
        <v>0</v>
      </c>
      <c r="CU767" s="407">
        <v>0</v>
      </c>
      <c r="CV767" s="407">
        <v>0</v>
      </c>
      <c r="CW767" s="407"/>
      <c r="CX767" s="407"/>
      <c r="CY767" s="407"/>
      <c r="CZ767" s="407">
        <v>0</v>
      </c>
      <c r="DA767" s="407">
        <v>0</v>
      </c>
      <c r="DB767" s="407">
        <v>0</v>
      </c>
      <c r="DC767" s="407"/>
      <c r="DD767" s="407"/>
      <c r="DE767" s="407">
        <v>0</v>
      </c>
      <c r="DF767" s="407">
        <v>0</v>
      </c>
      <c r="DG767" s="407">
        <v>0</v>
      </c>
      <c r="DH767" s="407">
        <v>0</v>
      </c>
      <c r="DI767" s="407">
        <v>0</v>
      </c>
      <c r="DJ767" s="407"/>
      <c r="DK767" s="407">
        <v>0</v>
      </c>
      <c r="DL767" s="407">
        <v>0</v>
      </c>
      <c r="DM767" s="407"/>
      <c r="DN767" s="407">
        <v>0</v>
      </c>
      <c r="DO767" s="407">
        <v>0</v>
      </c>
      <c r="DP767" s="407">
        <v>-1.4399665682300018</v>
      </c>
      <c r="DQ767" s="407">
        <v>0</v>
      </c>
      <c r="DR767" s="407">
        <v>-269.49881219351704</v>
      </c>
      <c r="DS767" s="407"/>
      <c r="DT767" s="407"/>
      <c r="DU767" s="407">
        <v>13780.322629791699</v>
      </c>
      <c r="DV767" s="407"/>
      <c r="DW767" s="407">
        <v>0</v>
      </c>
      <c r="DX767" s="407">
        <v>0</v>
      </c>
      <c r="DY767" s="407">
        <v>-7310</v>
      </c>
      <c r="DZ767" s="407"/>
      <c r="EA767" s="407">
        <v>0</v>
      </c>
      <c r="EB767" s="407"/>
      <c r="EC767" s="407">
        <v>-7039.0208057967893</v>
      </c>
      <c r="ED767" s="407"/>
      <c r="EE767" s="407">
        <v>0</v>
      </c>
      <c r="EF767" s="407">
        <v>0</v>
      </c>
      <c r="EG767" s="407"/>
      <c r="EH767" s="407">
        <v>0</v>
      </c>
      <c r="EI767" s="407">
        <v>0</v>
      </c>
      <c r="EJ767" s="407">
        <v>0</v>
      </c>
      <c r="EK767" s="407">
        <v>0</v>
      </c>
      <c r="EL767" s="407">
        <v>0</v>
      </c>
      <c r="EM767" s="407"/>
      <c r="EN767" s="407"/>
      <c r="EO767" s="407">
        <v>0</v>
      </c>
      <c r="EP767" s="407">
        <v>0</v>
      </c>
      <c r="EQ767" s="407"/>
      <c r="ER767" s="407">
        <v>0</v>
      </c>
      <c r="ES767" s="407"/>
      <c r="ET767" s="407">
        <v>0</v>
      </c>
      <c r="EU767" s="407"/>
      <c r="EV767" s="407">
        <v>246</v>
      </c>
      <c r="EW767" s="407"/>
      <c r="EX767" s="407"/>
      <c r="EY767" s="407"/>
      <c r="EZ767" s="407"/>
      <c r="FA767" s="407">
        <v>0</v>
      </c>
      <c r="FB767" s="407"/>
      <c r="FC767" s="407"/>
      <c r="FD767" s="407"/>
      <c r="FE767" s="407"/>
      <c r="FF767" s="407">
        <v>0</v>
      </c>
      <c r="FG767" s="407">
        <v>0</v>
      </c>
      <c r="FH767" s="407">
        <v>0</v>
      </c>
      <c r="FI767" s="407">
        <v>0</v>
      </c>
    </row>
    <row r="768" spans="1:165">
      <c r="A768" s="407">
        <v>799</v>
      </c>
      <c r="B768" s="407" t="s">
        <v>1090</v>
      </c>
      <c r="C768" s="407" t="s">
        <v>1044</v>
      </c>
      <c r="D768" s="407" t="s">
        <v>650</v>
      </c>
      <c r="E768" s="407" t="s">
        <v>97</v>
      </c>
      <c r="F768" s="407" t="s">
        <v>97</v>
      </c>
      <c r="G768" s="407" t="s">
        <v>97</v>
      </c>
      <c r="H768" s="407" t="s">
        <v>2332</v>
      </c>
      <c r="I768" s="407" t="s">
        <v>97</v>
      </c>
      <c r="J768" s="407" t="s">
        <v>2329</v>
      </c>
      <c r="K768" s="818">
        <v>44378</v>
      </c>
      <c r="L768" s="407">
        <v>800</v>
      </c>
      <c r="M768" s="407">
        <v>400</v>
      </c>
      <c r="N768" s="407">
        <v>0</v>
      </c>
      <c r="O768" s="407">
        <v>0</v>
      </c>
      <c r="P768" s="407">
        <v>0</v>
      </c>
      <c r="Q768" s="407">
        <v>0</v>
      </c>
      <c r="R768" s="407">
        <v>13.8</v>
      </c>
      <c r="S768" s="407"/>
      <c r="T768" s="407"/>
      <c r="U768" s="407">
        <v>11040</v>
      </c>
      <c r="V768" s="407"/>
      <c r="W768" s="407">
        <v>11040</v>
      </c>
      <c r="X768" s="407">
        <v>5192</v>
      </c>
      <c r="Y768" s="407">
        <v>0</v>
      </c>
      <c r="Z768" s="407">
        <v>0</v>
      </c>
      <c r="AA768" s="407">
        <v>0</v>
      </c>
      <c r="AB768" s="407">
        <v>0</v>
      </c>
      <c r="AC768" s="407">
        <v>0</v>
      </c>
      <c r="AD768" s="407">
        <v>0</v>
      </c>
      <c r="AE768" s="407">
        <v>11024.258103833359</v>
      </c>
      <c r="AF768" s="407"/>
      <c r="AG768" s="407"/>
      <c r="AH768" s="407"/>
      <c r="AI768" s="407">
        <v>0</v>
      </c>
      <c r="AJ768" s="407">
        <v>0</v>
      </c>
      <c r="AK768" s="407">
        <v>0</v>
      </c>
      <c r="AL768" s="407">
        <v>0</v>
      </c>
      <c r="AM768" s="407"/>
      <c r="AN768" s="407">
        <v>18.079361296790637</v>
      </c>
      <c r="AO768" s="407">
        <v>0</v>
      </c>
      <c r="AP768" s="407">
        <v>0</v>
      </c>
      <c r="AQ768" s="407">
        <v>0</v>
      </c>
      <c r="AR768" s="407">
        <v>0</v>
      </c>
      <c r="AS768" s="407"/>
      <c r="AT768" s="407"/>
      <c r="AU768" s="407">
        <v>0</v>
      </c>
      <c r="AV768" s="407">
        <v>0</v>
      </c>
      <c r="AW768" s="407">
        <v>0</v>
      </c>
      <c r="AX768" s="407"/>
      <c r="AY768" s="407"/>
      <c r="AZ768" s="407">
        <v>0</v>
      </c>
      <c r="BA768" s="407"/>
      <c r="BB768" s="407">
        <v>0</v>
      </c>
      <c r="BC768" s="407">
        <v>0</v>
      </c>
      <c r="BD768" s="407">
        <v>0</v>
      </c>
      <c r="BE768" s="407">
        <v>0</v>
      </c>
      <c r="BF768" s="407"/>
      <c r="BG768" s="407">
        <v>0</v>
      </c>
      <c r="BH768" s="407">
        <v>0</v>
      </c>
      <c r="BI768" s="407">
        <v>43.45</v>
      </c>
      <c r="BJ768" s="407">
        <v>0</v>
      </c>
      <c r="BK768" s="407">
        <v>0</v>
      </c>
      <c r="BL768" s="407">
        <v>0</v>
      </c>
      <c r="BM768" s="407"/>
      <c r="BN768" s="407"/>
      <c r="BO768" s="407">
        <v>2596</v>
      </c>
      <c r="BP768" s="407"/>
      <c r="BQ768" s="407"/>
      <c r="BR768" s="407"/>
      <c r="BS768" s="407"/>
      <c r="BT768" s="407"/>
      <c r="BU768" s="407"/>
      <c r="BV768" s="407">
        <v>0</v>
      </c>
      <c r="BW768" s="407"/>
      <c r="BX768" s="407"/>
      <c r="BY768" s="407"/>
      <c r="BZ768" s="407"/>
      <c r="CA768" s="407"/>
      <c r="CB768" s="407"/>
      <c r="CC768" s="407"/>
      <c r="CD768" s="407"/>
      <c r="CE768" s="407"/>
      <c r="CF768" s="407"/>
      <c r="CG768" s="407"/>
      <c r="CH768" s="407"/>
      <c r="CI768" s="407">
        <v>2596</v>
      </c>
      <c r="CJ768" s="407">
        <v>-2924.0300000000007</v>
      </c>
      <c r="CK768" s="407"/>
      <c r="CL768" s="407"/>
      <c r="CM768" s="407"/>
      <c r="CN768" s="407"/>
      <c r="CO768" s="407">
        <v>-5848</v>
      </c>
      <c r="CP768" s="407">
        <v>0</v>
      </c>
      <c r="CQ768" s="407">
        <v>31</v>
      </c>
      <c r="CR768" s="407">
        <v>-216.75102300939761</v>
      </c>
      <c r="CS768" s="407">
        <v>0</v>
      </c>
      <c r="CT768" s="407">
        <v>0</v>
      </c>
      <c r="CU768" s="407">
        <v>0</v>
      </c>
      <c r="CV768" s="407">
        <v>0</v>
      </c>
      <c r="CW768" s="407"/>
      <c r="CX768" s="407"/>
      <c r="CY768" s="407"/>
      <c r="CZ768" s="407">
        <v>0</v>
      </c>
      <c r="DA768" s="407">
        <v>0</v>
      </c>
      <c r="DB768" s="407">
        <v>0</v>
      </c>
      <c r="DC768" s="407"/>
      <c r="DD768" s="407"/>
      <c r="DE768" s="407">
        <v>0</v>
      </c>
      <c r="DF768" s="407">
        <v>0</v>
      </c>
      <c r="DG768" s="407">
        <v>0</v>
      </c>
      <c r="DH768" s="407">
        <v>0</v>
      </c>
      <c r="DI768" s="407">
        <v>0</v>
      </c>
      <c r="DJ768" s="407"/>
      <c r="DK768" s="407">
        <v>0</v>
      </c>
      <c r="DL768" s="407">
        <v>0</v>
      </c>
      <c r="DM768" s="407"/>
      <c r="DN768" s="407">
        <v>0</v>
      </c>
      <c r="DO768" s="407">
        <v>0</v>
      </c>
      <c r="DP768" s="407">
        <v>-1.1519732545839965</v>
      </c>
      <c r="DQ768" s="407">
        <v>0</v>
      </c>
      <c r="DR768" s="407">
        <v>-215.59904975481362</v>
      </c>
      <c r="DS768" s="407"/>
      <c r="DT768" s="407"/>
      <c r="DU768" s="407">
        <v>11024.258103833359</v>
      </c>
      <c r="DV768" s="407"/>
      <c r="DW768" s="407">
        <v>0</v>
      </c>
      <c r="DX768" s="407">
        <v>0</v>
      </c>
      <c r="DY768" s="407">
        <v>-5848</v>
      </c>
      <c r="DZ768" s="407"/>
      <c r="EA768" s="407">
        <v>0</v>
      </c>
      <c r="EB768" s="407"/>
      <c r="EC768" s="407">
        <v>-5631.2166446374313</v>
      </c>
      <c r="ED768" s="407"/>
      <c r="EE768" s="407">
        <v>0</v>
      </c>
      <c r="EF768" s="407">
        <v>0</v>
      </c>
      <c r="EG768" s="407"/>
      <c r="EH768" s="407">
        <v>0</v>
      </c>
      <c r="EI768" s="407">
        <v>0</v>
      </c>
      <c r="EJ768" s="407">
        <v>0</v>
      </c>
      <c r="EK768" s="407">
        <v>0</v>
      </c>
      <c r="EL768" s="407">
        <v>0</v>
      </c>
      <c r="EM768" s="407"/>
      <c r="EN768" s="407"/>
      <c r="EO768" s="407">
        <v>0</v>
      </c>
      <c r="EP768" s="407">
        <v>0</v>
      </c>
      <c r="EQ768" s="407"/>
      <c r="ER768" s="407">
        <v>0</v>
      </c>
      <c r="ES768" s="407"/>
      <c r="ET768" s="407">
        <v>0</v>
      </c>
      <c r="EU768" s="407"/>
      <c r="EV768" s="407">
        <v>246</v>
      </c>
      <c r="EW768" s="407"/>
      <c r="EX768" s="407"/>
      <c r="EY768" s="407"/>
      <c r="EZ768" s="407"/>
      <c r="FA768" s="407">
        <v>0</v>
      </c>
      <c r="FB768" s="407"/>
      <c r="FC768" s="407"/>
      <c r="FD768" s="407"/>
      <c r="FE768" s="407"/>
      <c r="FF768" s="407">
        <v>0</v>
      </c>
      <c r="FG768" s="407">
        <v>0</v>
      </c>
      <c r="FH768" s="407">
        <v>0</v>
      </c>
      <c r="FI768" s="407">
        <v>0</v>
      </c>
    </row>
    <row r="769" spans="1:165">
      <c r="A769" s="407">
        <v>800</v>
      </c>
      <c r="B769" s="407" t="s">
        <v>1090</v>
      </c>
      <c r="C769" s="407" t="s">
        <v>1044</v>
      </c>
      <c r="D769" s="407" t="s">
        <v>650</v>
      </c>
      <c r="E769" s="407" t="s">
        <v>97</v>
      </c>
      <c r="F769" s="407" t="s">
        <v>97</v>
      </c>
      <c r="G769" s="407" t="s">
        <v>97</v>
      </c>
      <c r="H769" s="407" t="s">
        <v>2333</v>
      </c>
      <c r="I769" s="407" t="s">
        <v>97</v>
      </c>
      <c r="J769" s="407" t="s">
        <v>2329</v>
      </c>
      <c r="K769" s="818">
        <v>44378</v>
      </c>
      <c r="L769" s="407">
        <v>270</v>
      </c>
      <c r="M769" s="407">
        <v>135</v>
      </c>
      <c r="N769" s="407">
        <v>0</v>
      </c>
      <c r="O769" s="407">
        <v>0</v>
      </c>
      <c r="P769" s="407">
        <v>0</v>
      </c>
      <c r="Q769" s="407">
        <v>0</v>
      </c>
      <c r="R769" s="407">
        <v>13.8</v>
      </c>
      <c r="S769" s="407"/>
      <c r="T769" s="407"/>
      <c r="U769" s="407">
        <v>3726</v>
      </c>
      <c r="V769" s="407"/>
      <c r="W769" s="407">
        <v>3726</v>
      </c>
      <c r="X769" s="407">
        <v>1752.3</v>
      </c>
      <c r="Y769" s="407">
        <v>0</v>
      </c>
      <c r="Z769" s="407">
        <v>0</v>
      </c>
      <c r="AA769" s="407">
        <v>0</v>
      </c>
      <c r="AB769" s="407">
        <v>0</v>
      </c>
      <c r="AC769" s="407">
        <v>0</v>
      </c>
      <c r="AD769" s="407">
        <v>0</v>
      </c>
      <c r="AE769" s="407">
        <v>3720.6871100437588</v>
      </c>
      <c r="AF769" s="407"/>
      <c r="AG769" s="407"/>
      <c r="AH769" s="407"/>
      <c r="AI769" s="407">
        <v>0</v>
      </c>
      <c r="AJ769" s="407">
        <v>0</v>
      </c>
      <c r="AK769" s="407">
        <v>0</v>
      </c>
      <c r="AL769" s="407">
        <v>0</v>
      </c>
      <c r="AM769" s="407"/>
      <c r="AN769" s="407">
        <v>6.1017844376668409</v>
      </c>
      <c r="AO769" s="407">
        <v>0</v>
      </c>
      <c r="AP769" s="407">
        <v>0</v>
      </c>
      <c r="AQ769" s="407">
        <v>0</v>
      </c>
      <c r="AR769" s="407">
        <v>0</v>
      </c>
      <c r="AS769" s="407"/>
      <c r="AT769" s="407"/>
      <c r="AU769" s="407">
        <v>0</v>
      </c>
      <c r="AV769" s="407">
        <v>0</v>
      </c>
      <c r="AW769" s="407">
        <v>0</v>
      </c>
      <c r="AX769" s="407"/>
      <c r="AY769" s="407"/>
      <c r="AZ769" s="407">
        <v>0</v>
      </c>
      <c r="BA769" s="407"/>
      <c r="BB769" s="407">
        <v>0</v>
      </c>
      <c r="BC769" s="407">
        <v>0</v>
      </c>
      <c r="BD769" s="407">
        <v>0</v>
      </c>
      <c r="BE769" s="407">
        <v>0</v>
      </c>
      <c r="BF769" s="407"/>
      <c r="BG769" s="407">
        <v>0</v>
      </c>
      <c r="BH769" s="407">
        <v>0</v>
      </c>
      <c r="BI769" s="407">
        <v>14.66</v>
      </c>
      <c r="BJ769" s="407">
        <v>0</v>
      </c>
      <c r="BK769" s="407">
        <v>0</v>
      </c>
      <c r="BL769" s="407">
        <v>0</v>
      </c>
      <c r="BM769" s="407"/>
      <c r="BN769" s="407"/>
      <c r="BO769" s="407">
        <v>876.15</v>
      </c>
      <c r="BP769" s="407"/>
      <c r="BQ769" s="407"/>
      <c r="BR769" s="407"/>
      <c r="BS769" s="407"/>
      <c r="BT769" s="407"/>
      <c r="BU769" s="407"/>
      <c r="BV769" s="407">
        <v>0</v>
      </c>
      <c r="BW769" s="407"/>
      <c r="BX769" s="407"/>
      <c r="BY769" s="407"/>
      <c r="BZ769" s="407"/>
      <c r="CA769" s="407"/>
      <c r="CB769" s="407"/>
      <c r="CC769" s="407"/>
      <c r="CD769" s="407"/>
      <c r="CE769" s="407"/>
      <c r="CF769" s="407"/>
      <c r="CG769" s="407"/>
      <c r="CH769" s="407"/>
      <c r="CI769" s="407">
        <v>876.15</v>
      </c>
      <c r="CJ769" s="407">
        <v>-986.88</v>
      </c>
      <c r="CK769" s="407"/>
      <c r="CL769" s="407"/>
      <c r="CM769" s="407"/>
      <c r="CN769" s="407"/>
      <c r="CO769" s="407">
        <v>-1973.7</v>
      </c>
      <c r="CP769" s="407">
        <v>0</v>
      </c>
      <c r="CQ769" s="407">
        <v>31</v>
      </c>
      <c r="CR769" s="407">
        <v>-73.153470265671686</v>
      </c>
      <c r="CS769" s="407">
        <v>0</v>
      </c>
      <c r="CT769" s="407">
        <v>0</v>
      </c>
      <c r="CU769" s="407">
        <v>0</v>
      </c>
      <c r="CV769" s="407">
        <v>0</v>
      </c>
      <c r="CW769" s="407"/>
      <c r="CX769" s="407"/>
      <c r="CY769" s="407"/>
      <c r="CZ769" s="407">
        <v>0</v>
      </c>
      <c r="DA769" s="407">
        <v>0</v>
      </c>
      <c r="DB769" s="407">
        <v>0</v>
      </c>
      <c r="DC769" s="407"/>
      <c r="DD769" s="407"/>
      <c r="DE769" s="407">
        <v>0</v>
      </c>
      <c r="DF769" s="407">
        <v>0</v>
      </c>
      <c r="DG769" s="407">
        <v>0</v>
      </c>
      <c r="DH769" s="407">
        <v>0</v>
      </c>
      <c r="DI769" s="407">
        <v>0</v>
      </c>
      <c r="DJ769" s="407"/>
      <c r="DK769" s="407">
        <v>0</v>
      </c>
      <c r="DL769" s="407">
        <v>0</v>
      </c>
      <c r="DM769" s="407"/>
      <c r="DN769" s="407">
        <v>0</v>
      </c>
      <c r="DO769" s="407">
        <v>0</v>
      </c>
      <c r="DP769" s="407">
        <v>-0.38879097342209956</v>
      </c>
      <c r="DQ769" s="407">
        <v>0</v>
      </c>
      <c r="DR769" s="407">
        <v>-72.764679292249596</v>
      </c>
      <c r="DS769" s="407"/>
      <c r="DT769" s="407"/>
      <c r="DU769" s="407">
        <v>3720.6871100437588</v>
      </c>
      <c r="DV769" s="407"/>
      <c r="DW769" s="407">
        <v>0</v>
      </c>
      <c r="DX769" s="407">
        <v>0</v>
      </c>
      <c r="DY769" s="407">
        <v>-1973.7</v>
      </c>
      <c r="DZ769" s="407"/>
      <c r="EA769" s="407">
        <v>0</v>
      </c>
      <c r="EB769" s="407"/>
      <c r="EC769" s="407">
        <v>-1900.5356175651332</v>
      </c>
      <c r="ED769" s="407"/>
      <c r="EE769" s="407">
        <v>0</v>
      </c>
      <c r="EF769" s="407">
        <v>0</v>
      </c>
      <c r="EG769" s="407"/>
      <c r="EH769" s="407">
        <v>0</v>
      </c>
      <c r="EI769" s="407">
        <v>0</v>
      </c>
      <c r="EJ769" s="407">
        <v>0</v>
      </c>
      <c r="EK769" s="407">
        <v>0</v>
      </c>
      <c r="EL769" s="407">
        <v>0</v>
      </c>
      <c r="EM769" s="407"/>
      <c r="EN769" s="407"/>
      <c r="EO769" s="407">
        <v>0</v>
      </c>
      <c r="EP769" s="407">
        <v>0</v>
      </c>
      <c r="EQ769" s="407"/>
      <c r="ER769" s="407">
        <v>0</v>
      </c>
      <c r="ES769" s="407"/>
      <c r="ET769" s="407">
        <v>0</v>
      </c>
      <c r="EU769" s="407"/>
      <c r="EV769" s="407">
        <v>246</v>
      </c>
      <c r="EW769" s="407"/>
      <c r="EX769" s="407"/>
      <c r="EY769" s="407"/>
      <c r="EZ769" s="407"/>
      <c r="FA769" s="407">
        <v>0</v>
      </c>
      <c r="FB769" s="407"/>
      <c r="FC769" s="407"/>
      <c r="FD769" s="407"/>
      <c r="FE769" s="407"/>
      <c r="FF769" s="407">
        <v>0</v>
      </c>
      <c r="FG769" s="407">
        <v>0</v>
      </c>
      <c r="FH769" s="407">
        <v>0</v>
      </c>
      <c r="FI769" s="407">
        <v>0</v>
      </c>
    </row>
    <row r="770" spans="1:165">
      <c r="A770" s="407">
        <v>801</v>
      </c>
      <c r="B770" s="407" t="s">
        <v>1090</v>
      </c>
      <c r="C770" s="407" t="s">
        <v>1044</v>
      </c>
      <c r="D770" s="407" t="s">
        <v>650</v>
      </c>
      <c r="E770" s="407" t="s">
        <v>97</v>
      </c>
      <c r="F770" s="407" t="s">
        <v>97</v>
      </c>
      <c r="G770" s="407" t="s">
        <v>97</v>
      </c>
      <c r="H770" s="407" t="s">
        <v>2334</v>
      </c>
      <c r="I770" s="407" t="s">
        <v>97</v>
      </c>
      <c r="J770" s="407" t="s">
        <v>2329</v>
      </c>
      <c r="K770" s="818">
        <v>44378</v>
      </c>
      <c r="L770" s="407">
        <v>280</v>
      </c>
      <c r="M770" s="407">
        <v>140</v>
      </c>
      <c r="N770" s="407">
        <v>0</v>
      </c>
      <c r="O770" s="407">
        <v>0</v>
      </c>
      <c r="P770" s="407">
        <v>0</v>
      </c>
      <c r="Q770" s="407">
        <v>0</v>
      </c>
      <c r="R770" s="407">
        <v>13.8</v>
      </c>
      <c r="S770" s="407"/>
      <c r="T770" s="407"/>
      <c r="U770" s="407">
        <v>3864</v>
      </c>
      <c r="V770" s="407"/>
      <c r="W770" s="407">
        <v>3864</v>
      </c>
      <c r="X770" s="407">
        <v>1817.2</v>
      </c>
      <c r="Y770" s="407">
        <v>0</v>
      </c>
      <c r="Z770" s="407">
        <v>0</v>
      </c>
      <c r="AA770" s="407">
        <v>0</v>
      </c>
      <c r="AB770" s="407">
        <v>0</v>
      </c>
      <c r="AC770" s="407">
        <v>0</v>
      </c>
      <c r="AD770" s="407">
        <v>0</v>
      </c>
      <c r="AE770" s="407">
        <v>3858.4903363416761</v>
      </c>
      <c r="AF770" s="407"/>
      <c r="AG770" s="407"/>
      <c r="AH770" s="407"/>
      <c r="AI770" s="407">
        <v>0</v>
      </c>
      <c r="AJ770" s="407">
        <v>0</v>
      </c>
      <c r="AK770" s="407">
        <v>0</v>
      </c>
      <c r="AL770" s="407">
        <v>0</v>
      </c>
      <c r="AM770" s="407"/>
      <c r="AN770" s="407">
        <v>6.3277764538767238</v>
      </c>
      <c r="AO770" s="407">
        <v>0</v>
      </c>
      <c r="AP770" s="407">
        <v>0</v>
      </c>
      <c r="AQ770" s="407">
        <v>0</v>
      </c>
      <c r="AR770" s="407">
        <v>0</v>
      </c>
      <c r="AS770" s="407"/>
      <c r="AT770" s="407"/>
      <c r="AU770" s="407">
        <v>0</v>
      </c>
      <c r="AV770" s="407">
        <v>0</v>
      </c>
      <c r="AW770" s="407">
        <v>0</v>
      </c>
      <c r="AX770" s="407"/>
      <c r="AY770" s="407"/>
      <c r="AZ770" s="407">
        <v>0</v>
      </c>
      <c r="BA770" s="407"/>
      <c r="BB770" s="407">
        <v>0</v>
      </c>
      <c r="BC770" s="407">
        <v>0</v>
      </c>
      <c r="BD770" s="407">
        <v>0</v>
      </c>
      <c r="BE770" s="407">
        <v>0</v>
      </c>
      <c r="BF770" s="407"/>
      <c r="BG770" s="407">
        <v>0</v>
      </c>
      <c r="BH770" s="407">
        <v>0</v>
      </c>
      <c r="BI770" s="407">
        <v>15.2</v>
      </c>
      <c r="BJ770" s="407">
        <v>0</v>
      </c>
      <c r="BK770" s="407">
        <v>0</v>
      </c>
      <c r="BL770" s="407">
        <v>0</v>
      </c>
      <c r="BM770" s="407"/>
      <c r="BN770" s="407"/>
      <c r="BO770" s="407">
        <v>908.6</v>
      </c>
      <c r="BP770" s="407"/>
      <c r="BQ770" s="407"/>
      <c r="BR770" s="407"/>
      <c r="BS770" s="407"/>
      <c r="BT770" s="407"/>
      <c r="BU770" s="407"/>
      <c r="BV770" s="407">
        <v>0</v>
      </c>
      <c r="BW770" s="407"/>
      <c r="BX770" s="407"/>
      <c r="BY770" s="407"/>
      <c r="BZ770" s="407"/>
      <c r="CA770" s="407"/>
      <c r="CB770" s="407"/>
      <c r="CC770" s="407"/>
      <c r="CD770" s="407"/>
      <c r="CE770" s="407"/>
      <c r="CF770" s="407"/>
      <c r="CG770" s="407"/>
      <c r="CH770" s="407"/>
      <c r="CI770" s="407">
        <v>908.6</v>
      </c>
      <c r="CJ770" s="407">
        <v>-1023.43</v>
      </c>
      <c r="CK770" s="407"/>
      <c r="CL770" s="407"/>
      <c r="CM770" s="407"/>
      <c r="CN770" s="407"/>
      <c r="CO770" s="407">
        <v>-2046.8000000000002</v>
      </c>
      <c r="CP770" s="407">
        <v>0</v>
      </c>
      <c r="CQ770" s="407">
        <v>31</v>
      </c>
      <c r="CR770" s="407">
        <v>-75.862858053289159</v>
      </c>
      <c r="CS770" s="407">
        <v>0</v>
      </c>
      <c r="CT770" s="407">
        <v>0</v>
      </c>
      <c r="CU770" s="407">
        <v>0</v>
      </c>
      <c r="CV770" s="407">
        <v>0</v>
      </c>
      <c r="CW770" s="407"/>
      <c r="CX770" s="407"/>
      <c r="CY770" s="407"/>
      <c r="CZ770" s="407">
        <v>0</v>
      </c>
      <c r="DA770" s="407">
        <v>0</v>
      </c>
      <c r="DB770" s="407">
        <v>0</v>
      </c>
      <c r="DC770" s="407"/>
      <c r="DD770" s="407"/>
      <c r="DE770" s="407">
        <v>0</v>
      </c>
      <c r="DF770" s="407">
        <v>0</v>
      </c>
      <c r="DG770" s="407">
        <v>0</v>
      </c>
      <c r="DH770" s="407">
        <v>0</v>
      </c>
      <c r="DI770" s="407">
        <v>0</v>
      </c>
      <c r="DJ770" s="407"/>
      <c r="DK770" s="407">
        <v>0</v>
      </c>
      <c r="DL770" s="407">
        <v>0</v>
      </c>
      <c r="DM770" s="407"/>
      <c r="DN770" s="407">
        <v>0</v>
      </c>
      <c r="DO770" s="407">
        <v>0</v>
      </c>
      <c r="DP770" s="407">
        <v>-0.40319063910440001</v>
      </c>
      <c r="DQ770" s="407">
        <v>0</v>
      </c>
      <c r="DR770" s="407">
        <v>-75.459667414184764</v>
      </c>
      <c r="DS770" s="407"/>
      <c r="DT770" s="407"/>
      <c r="DU770" s="407">
        <v>3858.4903363416761</v>
      </c>
      <c r="DV770" s="407"/>
      <c r="DW770" s="407">
        <v>0</v>
      </c>
      <c r="DX770" s="407">
        <v>0</v>
      </c>
      <c r="DY770" s="407">
        <v>-2046.8</v>
      </c>
      <c r="DZ770" s="407"/>
      <c r="EA770" s="407">
        <v>0</v>
      </c>
      <c r="EB770" s="407"/>
      <c r="EC770" s="407">
        <v>-1970.9258256231014</v>
      </c>
      <c r="ED770" s="407"/>
      <c r="EE770" s="407">
        <v>0</v>
      </c>
      <c r="EF770" s="407">
        <v>0</v>
      </c>
      <c r="EG770" s="407"/>
      <c r="EH770" s="407">
        <v>0</v>
      </c>
      <c r="EI770" s="407">
        <v>0</v>
      </c>
      <c r="EJ770" s="407">
        <v>0</v>
      </c>
      <c r="EK770" s="407">
        <v>0</v>
      </c>
      <c r="EL770" s="407">
        <v>0</v>
      </c>
      <c r="EM770" s="407"/>
      <c r="EN770" s="407"/>
      <c r="EO770" s="407">
        <v>0</v>
      </c>
      <c r="EP770" s="407">
        <v>0</v>
      </c>
      <c r="EQ770" s="407"/>
      <c r="ER770" s="407">
        <v>0</v>
      </c>
      <c r="ES770" s="407"/>
      <c r="ET770" s="407">
        <v>0</v>
      </c>
      <c r="EU770" s="407"/>
      <c r="EV770" s="407">
        <v>246</v>
      </c>
      <c r="EW770" s="407"/>
      <c r="EX770" s="407"/>
      <c r="EY770" s="407"/>
      <c r="EZ770" s="407"/>
      <c r="FA770" s="407">
        <v>0</v>
      </c>
      <c r="FB770" s="407"/>
      <c r="FC770" s="407"/>
      <c r="FD770" s="407"/>
      <c r="FE770" s="407"/>
      <c r="FF770" s="407">
        <v>0</v>
      </c>
      <c r="FG770" s="407">
        <v>0</v>
      </c>
      <c r="FH770" s="407">
        <v>0</v>
      </c>
      <c r="FI770" s="407">
        <v>0</v>
      </c>
    </row>
    <row r="771" spans="1:165">
      <c r="A771" s="407">
        <v>802</v>
      </c>
      <c r="B771" s="407" t="s">
        <v>1090</v>
      </c>
      <c r="C771" s="407" t="s">
        <v>1044</v>
      </c>
      <c r="D771" s="407" t="s">
        <v>650</v>
      </c>
      <c r="E771" s="407" t="s">
        <v>97</v>
      </c>
      <c r="F771" s="407" t="s">
        <v>97</v>
      </c>
      <c r="G771" s="407" t="s">
        <v>97</v>
      </c>
      <c r="H771" s="407" t="s">
        <v>2335</v>
      </c>
      <c r="I771" s="407" t="s">
        <v>97</v>
      </c>
      <c r="J771" s="407" t="s">
        <v>2329</v>
      </c>
      <c r="K771" s="818">
        <v>44378</v>
      </c>
      <c r="L771" s="407">
        <v>730</v>
      </c>
      <c r="M771" s="407">
        <v>365</v>
      </c>
      <c r="N771" s="407">
        <v>0</v>
      </c>
      <c r="O771" s="407">
        <v>0</v>
      </c>
      <c r="P771" s="407">
        <v>0</v>
      </c>
      <c r="Q771" s="407">
        <v>0</v>
      </c>
      <c r="R771" s="407">
        <v>13.8</v>
      </c>
      <c r="S771" s="407"/>
      <c r="T771" s="407"/>
      <c r="U771" s="407">
        <v>10074</v>
      </c>
      <c r="V771" s="407"/>
      <c r="W771" s="407">
        <v>10074</v>
      </c>
      <c r="X771" s="407">
        <v>4737.7</v>
      </c>
      <c r="Y771" s="407">
        <v>0</v>
      </c>
      <c r="Z771" s="407">
        <v>0</v>
      </c>
      <c r="AA771" s="407">
        <v>0</v>
      </c>
      <c r="AB771" s="407">
        <v>0</v>
      </c>
      <c r="AC771" s="407">
        <v>0</v>
      </c>
      <c r="AD771" s="407">
        <v>0</v>
      </c>
      <c r="AE771" s="407">
        <v>10059.635519747941</v>
      </c>
      <c r="AF771" s="407"/>
      <c r="AG771" s="407"/>
      <c r="AH771" s="407"/>
      <c r="AI771" s="407">
        <v>0</v>
      </c>
      <c r="AJ771" s="407">
        <v>0</v>
      </c>
      <c r="AK771" s="407">
        <v>0</v>
      </c>
      <c r="AL771" s="407">
        <v>0</v>
      </c>
      <c r="AM771" s="407"/>
      <c r="AN771" s="407">
        <v>16.497417183321456</v>
      </c>
      <c r="AO771" s="407">
        <v>0</v>
      </c>
      <c r="AP771" s="407">
        <v>0</v>
      </c>
      <c r="AQ771" s="407">
        <v>0</v>
      </c>
      <c r="AR771" s="407">
        <v>0</v>
      </c>
      <c r="AS771" s="407"/>
      <c r="AT771" s="407"/>
      <c r="AU771" s="407">
        <v>0</v>
      </c>
      <c r="AV771" s="407">
        <v>0</v>
      </c>
      <c r="AW771" s="407">
        <v>0</v>
      </c>
      <c r="AX771" s="407"/>
      <c r="AY771" s="407"/>
      <c r="AZ771" s="407">
        <v>0</v>
      </c>
      <c r="BA771" s="407"/>
      <c r="BB771" s="407">
        <v>0</v>
      </c>
      <c r="BC771" s="407">
        <v>0</v>
      </c>
      <c r="BD771" s="407">
        <v>0</v>
      </c>
      <c r="BE771" s="407">
        <v>0</v>
      </c>
      <c r="BF771" s="407"/>
      <c r="BG771" s="407">
        <v>0</v>
      </c>
      <c r="BH771" s="407">
        <v>0</v>
      </c>
      <c r="BI771" s="407">
        <v>39.65</v>
      </c>
      <c r="BJ771" s="407">
        <v>0</v>
      </c>
      <c r="BK771" s="407">
        <v>0</v>
      </c>
      <c r="BL771" s="407">
        <v>0</v>
      </c>
      <c r="BM771" s="407"/>
      <c r="BN771" s="407"/>
      <c r="BO771" s="407">
        <v>2368.85</v>
      </c>
      <c r="BP771" s="407"/>
      <c r="BQ771" s="407"/>
      <c r="BR771" s="407"/>
      <c r="BS771" s="407"/>
      <c r="BT771" s="407"/>
      <c r="BU771" s="407"/>
      <c r="BV771" s="407">
        <v>0</v>
      </c>
      <c r="BW771" s="407"/>
      <c r="BX771" s="407"/>
      <c r="BY771" s="407"/>
      <c r="BZ771" s="407"/>
      <c r="CA771" s="407"/>
      <c r="CB771" s="407"/>
      <c r="CC771" s="407"/>
      <c r="CD771" s="407"/>
      <c r="CE771" s="407"/>
      <c r="CF771" s="407"/>
      <c r="CG771" s="407"/>
      <c r="CH771" s="407"/>
      <c r="CI771" s="407">
        <v>2368.85</v>
      </c>
      <c r="CJ771" s="407">
        <v>-2668.1800000000007</v>
      </c>
      <c r="CK771" s="407"/>
      <c r="CL771" s="407"/>
      <c r="CM771" s="407"/>
      <c r="CN771" s="407"/>
      <c r="CO771" s="407">
        <v>-5336.3</v>
      </c>
      <c r="CP771" s="407">
        <v>0</v>
      </c>
      <c r="CQ771" s="407">
        <v>31</v>
      </c>
      <c r="CR771" s="407">
        <v>-197.78530849607532</v>
      </c>
      <c r="CS771" s="407">
        <v>0</v>
      </c>
      <c r="CT771" s="407">
        <v>0</v>
      </c>
      <c r="CU771" s="407">
        <v>0</v>
      </c>
      <c r="CV771" s="407">
        <v>0</v>
      </c>
      <c r="CW771" s="407"/>
      <c r="CX771" s="407"/>
      <c r="CY771" s="407"/>
      <c r="CZ771" s="407">
        <v>0</v>
      </c>
      <c r="DA771" s="407">
        <v>0</v>
      </c>
      <c r="DB771" s="407">
        <v>0</v>
      </c>
      <c r="DC771" s="407"/>
      <c r="DD771" s="407"/>
      <c r="DE771" s="407">
        <v>0</v>
      </c>
      <c r="DF771" s="407">
        <v>0</v>
      </c>
      <c r="DG771" s="407">
        <v>0</v>
      </c>
      <c r="DH771" s="407">
        <v>0</v>
      </c>
      <c r="DI771" s="407">
        <v>0</v>
      </c>
      <c r="DJ771" s="407"/>
      <c r="DK771" s="407">
        <v>0</v>
      </c>
      <c r="DL771" s="407">
        <v>0</v>
      </c>
      <c r="DM771" s="407"/>
      <c r="DN771" s="407">
        <v>0</v>
      </c>
      <c r="DO771" s="407">
        <v>0</v>
      </c>
      <c r="DP771" s="407">
        <v>-1.0511755948078978</v>
      </c>
      <c r="DQ771" s="407">
        <v>0</v>
      </c>
      <c r="DR771" s="407">
        <v>-196.73413290126743</v>
      </c>
      <c r="DS771" s="407"/>
      <c r="DT771" s="407"/>
      <c r="DU771" s="407">
        <v>10059.635519747941</v>
      </c>
      <c r="DV771" s="407"/>
      <c r="DW771" s="407">
        <v>0</v>
      </c>
      <c r="DX771" s="407">
        <v>0</v>
      </c>
      <c r="DY771" s="407">
        <v>-5336.3</v>
      </c>
      <c r="DZ771" s="407"/>
      <c r="EA771" s="407">
        <v>0</v>
      </c>
      <c r="EB771" s="407"/>
      <c r="EC771" s="407">
        <v>-5138.485188231657</v>
      </c>
      <c r="ED771" s="407"/>
      <c r="EE771" s="407">
        <v>0</v>
      </c>
      <c r="EF771" s="407">
        <v>0</v>
      </c>
      <c r="EG771" s="407"/>
      <c r="EH771" s="407">
        <v>0</v>
      </c>
      <c r="EI771" s="407">
        <v>0</v>
      </c>
      <c r="EJ771" s="407">
        <v>0</v>
      </c>
      <c r="EK771" s="407">
        <v>0</v>
      </c>
      <c r="EL771" s="407">
        <v>0</v>
      </c>
      <c r="EM771" s="407"/>
      <c r="EN771" s="407"/>
      <c r="EO771" s="407">
        <v>0</v>
      </c>
      <c r="EP771" s="407">
        <v>0</v>
      </c>
      <c r="EQ771" s="407"/>
      <c r="ER771" s="407">
        <v>0</v>
      </c>
      <c r="ES771" s="407"/>
      <c r="ET771" s="407">
        <v>0</v>
      </c>
      <c r="EU771" s="407"/>
      <c r="EV771" s="407">
        <v>246</v>
      </c>
      <c r="EW771" s="407"/>
      <c r="EX771" s="407"/>
      <c r="EY771" s="407"/>
      <c r="EZ771" s="407"/>
      <c r="FA771" s="407">
        <v>0</v>
      </c>
      <c r="FB771" s="407"/>
      <c r="FC771" s="407"/>
      <c r="FD771" s="407"/>
      <c r="FE771" s="407"/>
      <c r="FF771" s="407">
        <v>0</v>
      </c>
      <c r="FG771" s="407">
        <v>0</v>
      </c>
      <c r="FH771" s="407">
        <v>0</v>
      </c>
      <c r="FI771" s="407">
        <v>0</v>
      </c>
    </row>
    <row r="772" spans="1:165">
      <c r="A772" s="407">
        <v>803</v>
      </c>
      <c r="B772" s="407" t="s">
        <v>1090</v>
      </c>
      <c r="C772" s="407" t="s">
        <v>1044</v>
      </c>
      <c r="D772" s="407" t="s">
        <v>650</v>
      </c>
      <c r="E772" s="407" t="s">
        <v>97</v>
      </c>
      <c r="F772" s="407" t="s">
        <v>97</v>
      </c>
      <c r="G772" s="407" t="s">
        <v>97</v>
      </c>
      <c r="H772" s="407" t="s">
        <v>2336</v>
      </c>
      <c r="I772" s="407" t="s">
        <v>97</v>
      </c>
      <c r="J772" s="407" t="s">
        <v>2329</v>
      </c>
      <c r="K772" s="818">
        <v>44378</v>
      </c>
      <c r="L772" s="407">
        <v>561</v>
      </c>
      <c r="M772" s="407">
        <v>280.5</v>
      </c>
      <c r="N772" s="407">
        <v>0</v>
      </c>
      <c r="O772" s="407">
        <v>0</v>
      </c>
      <c r="P772" s="407">
        <v>0</v>
      </c>
      <c r="Q772" s="407">
        <v>0</v>
      </c>
      <c r="R772" s="407">
        <v>13.8</v>
      </c>
      <c r="S772" s="407"/>
      <c r="T772" s="407"/>
      <c r="U772" s="407">
        <v>7741.8</v>
      </c>
      <c r="V772" s="407"/>
      <c r="W772" s="407">
        <v>7741.8</v>
      </c>
      <c r="X772" s="407">
        <v>3640.8900000000003</v>
      </c>
      <c r="Y772" s="407">
        <v>0</v>
      </c>
      <c r="Z772" s="407">
        <v>0</v>
      </c>
      <c r="AA772" s="407">
        <v>0</v>
      </c>
      <c r="AB772" s="407">
        <v>0</v>
      </c>
      <c r="AC772" s="407">
        <v>0</v>
      </c>
      <c r="AD772" s="407">
        <v>0</v>
      </c>
      <c r="AE772" s="407">
        <v>7730.7609953131432</v>
      </c>
      <c r="AF772" s="407"/>
      <c r="AG772" s="407"/>
      <c r="AH772" s="407"/>
      <c r="AI772" s="407">
        <v>0</v>
      </c>
      <c r="AJ772" s="407">
        <v>0</v>
      </c>
      <c r="AK772" s="407">
        <v>0</v>
      </c>
      <c r="AL772" s="407">
        <v>0</v>
      </c>
      <c r="AM772" s="407"/>
      <c r="AN772" s="407">
        <v>12.678152109374436</v>
      </c>
      <c r="AO772" s="407">
        <v>0</v>
      </c>
      <c r="AP772" s="407">
        <v>0</v>
      </c>
      <c r="AQ772" s="407">
        <v>0</v>
      </c>
      <c r="AR772" s="407">
        <v>0</v>
      </c>
      <c r="AS772" s="407"/>
      <c r="AT772" s="407"/>
      <c r="AU772" s="407">
        <v>0</v>
      </c>
      <c r="AV772" s="407">
        <v>0</v>
      </c>
      <c r="AW772" s="407">
        <v>0</v>
      </c>
      <c r="AX772" s="407"/>
      <c r="AY772" s="407"/>
      <c r="AZ772" s="407">
        <v>0</v>
      </c>
      <c r="BA772" s="407"/>
      <c r="BB772" s="407">
        <v>0</v>
      </c>
      <c r="BC772" s="407">
        <v>0</v>
      </c>
      <c r="BD772" s="407">
        <v>0</v>
      </c>
      <c r="BE772" s="407">
        <v>0</v>
      </c>
      <c r="BF772" s="407"/>
      <c r="BG772" s="407">
        <v>0</v>
      </c>
      <c r="BH772" s="407">
        <v>0</v>
      </c>
      <c r="BI772" s="407">
        <v>30.46</v>
      </c>
      <c r="BJ772" s="407">
        <v>0</v>
      </c>
      <c r="BK772" s="407">
        <v>0</v>
      </c>
      <c r="BL772" s="407">
        <v>0</v>
      </c>
      <c r="BM772" s="407"/>
      <c r="BN772" s="407"/>
      <c r="BO772" s="407">
        <v>1820.4450000000002</v>
      </c>
      <c r="BP772" s="407"/>
      <c r="BQ772" s="407"/>
      <c r="BR772" s="407"/>
      <c r="BS772" s="407"/>
      <c r="BT772" s="407"/>
      <c r="BU772" s="407"/>
      <c r="BV772" s="407">
        <v>0</v>
      </c>
      <c r="BW772" s="407"/>
      <c r="BX772" s="407"/>
      <c r="BY772" s="407"/>
      <c r="BZ772" s="407"/>
      <c r="CA772" s="407"/>
      <c r="CB772" s="407"/>
      <c r="CC772" s="407"/>
      <c r="CD772" s="407"/>
      <c r="CE772" s="407"/>
      <c r="CF772" s="407"/>
      <c r="CG772" s="407"/>
      <c r="CH772" s="407"/>
      <c r="CI772" s="407">
        <v>1820.4450000000002</v>
      </c>
      <c r="CJ772" s="407">
        <v>-2050.4850000000006</v>
      </c>
      <c r="CK772" s="407"/>
      <c r="CL772" s="407"/>
      <c r="CM772" s="407"/>
      <c r="CN772" s="407"/>
      <c r="CO772" s="407">
        <v>-4100.91</v>
      </c>
      <c r="CP772" s="407">
        <v>0</v>
      </c>
      <c r="CQ772" s="407">
        <v>31</v>
      </c>
      <c r="CR772" s="407">
        <v>-151.99665488534006</v>
      </c>
      <c r="CS772" s="407">
        <v>0</v>
      </c>
      <c r="CT772" s="407">
        <v>0</v>
      </c>
      <c r="CU772" s="407">
        <v>0</v>
      </c>
      <c r="CV772" s="407">
        <v>0</v>
      </c>
      <c r="CW772" s="407"/>
      <c r="CX772" s="407"/>
      <c r="CY772" s="407"/>
      <c r="CZ772" s="407">
        <v>0</v>
      </c>
      <c r="DA772" s="407">
        <v>0</v>
      </c>
      <c r="DB772" s="407">
        <v>0</v>
      </c>
      <c r="DC772" s="407"/>
      <c r="DD772" s="407"/>
      <c r="DE772" s="407">
        <v>0</v>
      </c>
      <c r="DF772" s="407">
        <v>0</v>
      </c>
      <c r="DG772" s="407">
        <v>0</v>
      </c>
      <c r="DH772" s="407">
        <v>0</v>
      </c>
      <c r="DI772" s="407">
        <v>0</v>
      </c>
      <c r="DJ772" s="407"/>
      <c r="DK772" s="407">
        <v>0</v>
      </c>
      <c r="DL772" s="407">
        <v>0</v>
      </c>
      <c r="DM772" s="407"/>
      <c r="DN772" s="407">
        <v>0</v>
      </c>
      <c r="DO772" s="407">
        <v>0</v>
      </c>
      <c r="DP772" s="407">
        <v>-0.80782124477702943</v>
      </c>
      <c r="DQ772" s="407">
        <v>0</v>
      </c>
      <c r="DR772" s="407">
        <v>-151.18883364056305</v>
      </c>
      <c r="DS772" s="407"/>
      <c r="DT772" s="407"/>
      <c r="DU772" s="407">
        <v>7730.7609953131432</v>
      </c>
      <c r="DV772" s="407"/>
      <c r="DW772" s="407">
        <v>0</v>
      </c>
      <c r="DX772" s="407">
        <v>0</v>
      </c>
      <c r="DY772" s="407">
        <v>-4100.91</v>
      </c>
      <c r="DZ772" s="407"/>
      <c r="EA772" s="407">
        <v>0</v>
      </c>
      <c r="EB772" s="407"/>
      <c r="EC772" s="407">
        <v>-3948.890672051999</v>
      </c>
      <c r="ED772" s="407"/>
      <c r="EE772" s="407">
        <v>0</v>
      </c>
      <c r="EF772" s="407">
        <v>0</v>
      </c>
      <c r="EG772" s="407"/>
      <c r="EH772" s="407">
        <v>0</v>
      </c>
      <c r="EI772" s="407">
        <v>0</v>
      </c>
      <c r="EJ772" s="407">
        <v>0</v>
      </c>
      <c r="EK772" s="407">
        <v>0</v>
      </c>
      <c r="EL772" s="407">
        <v>0</v>
      </c>
      <c r="EM772" s="407"/>
      <c r="EN772" s="407"/>
      <c r="EO772" s="407">
        <v>0</v>
      </c>
      <c r="EP772" s="407">
        <v>0</v>
      </c>
      <c r="EQ772" s="407"/>
      <c r="ER772" s="407">
        <v>0</v>
      </c>
      <c r="ES772" s="407"/>
      <c r="ET772" s="407">
        <v>0</v>
      </c>
      <c r="EU772" s="407"/>
      <c r="EV772" s="407">
        <v>246</v>
      </c>
      <c r="EW772" s="407"/>
      <c r="EX772" s="407"/>
      <c r="EY772" s="407"/>
      <c r="EZ772" s="407"/>
      <c r="FA772" s="407">
        <v>0</v>
      </c>
      <c r="FB772" s="407"/>
      <c r="FC772" s="407"/>
      <c r="FD772" s="407"/>
      <c r="FE772" s="407"/>
      <c r="FF772" s="407">
        <v>0</v>
      </c>
      <c r="FG772" s="407">
        <v>0</v>
      </c>
      <c r="FH772" s="407">
        <v>0</v>
      </c>
      <c r="FI772" s="407">
        <v>0</v>
      </c>
    </row>
    <row r="773" spans="1:165">
      <c r="A773" s="407">
        <v>804</v>
      </c>
      <c r="B773" s="407" t="s">
        <v>1090</v>
      </c>
      <c r="C773" s="407" t="s">
        <v>1044</v>
      </c>
      <c r="D773" s="407" t="s">
        <v>650</v>
      </c>
      <c r="E773" s="407" t="s">
        <v>97</v>
      </c>
      <c r="F773" s="407" t="s">
        <v>97</v>
      </c>
      <c r="G773" s="407" t="s">
        <v>97</v>
      </c>
      <c r="H773" s="407" t="s">
        <v>2337</v>
      </c>
      <c r="I773" s="407" t="s">
        <v>97</v>
      </c>
      <c r="J773" s="407" t="s">
        <v>2329</v>
      </c>
      <c r="K773" s="818">
        <v>44378</v>
      </c>
      <c r="L773" s="407">
        <v>379</v>
      </c>
      <c r="M773" s="407">
        <v>189.5</v>
      </c>
      <c r="N773" s="407">
        <v>0</v>
      </c>
      <c r="O773" s="407">
        <v>0</v>
      </c>
      <c r="P773" s="407">
        <v>0</v>
      </c>
      <c r="Q773" s="407">
        <v>0</v>
      </c>
      <c r="R773" s="407">
        <v>13.8</v>
      </c>
      <c r="S773" s="407"/>
      <c r="T773" s="407"/>
      <c r="U773" s="407">
        <v>5230.2</v>
      </c>
      <c r="V773" s="407"/>
      <c r="W773" s="407">
        <v>5230.2</v>
      </c>
      <c r="X773" s="407">
        <v>2459.71</v>
      </c>
      <c r="Y773" s="407">
        <v>0</v>
      </c>
      <c r="Z773" s="407">
        <v>0</v>
      </c>
      <c r="AA773" s="407">
        <v>0</v>
      </c>
      <c r="AB773" s="407">
        <v>0</v>
      </c>
      <c r="AC773" s="407">
        <v>0</v>
      </c>
      <c r="AD773" s="407">
        <v>0</v>
      </c>
      <c r="AE773" s="407">
        <v>5222.742276691054</v>
      </c>
      <c r="AF773" s="407"/>
      <c r="AG773" s="407"/>
      <c r="AH773" s="407"/>
      <c r="AI773" s="407">
        <v>0</v>
      </c>
      <c r="AJ773" s="407">
        <v>0</v>
      </c>
      <c r="AK773" s="407">
        <v>0</v>
      </c>
      <c r="AL773" s="407">
        <v>0</v>
      </c>
      <c r="AM773" s="407"/>
      <c r="AN773" s="407">
        <v>8.5650974143545646</v>
      </c>
      <c r="AO773" s="407">
        <v>0</v>
      </c>
      <c r="AP773" s="407">
        <v>0</v>
      </c>
      <c r="AQ773" s="407">
        <v>0</v>
      </c>
      <c r="AR773" s="407">
        <v>0</v>
      </c>
      <c r="AS773" s="407"/>
      <c r="AT773" s="407"/>
      <c r="AU773" s="407">
        <v>0</v>
      </c>
      <c r="AV773" s="407">
        <v>0</v>
      </c>
      <c r="AW773" s="407">
        <v>0</v>
      </c>
      <c r="AX773" s="407"/>
      <c r="AY773" s="407"/>
      <c r="AZ773" s="407">
        <v>0</v>
      </c>
      <c r="BA773" s="407"/>
      <c r="BB773" s="407">
        <v>0</v>
      </c>
      <c r="BC773" s="407">
        <v>0</v>
      </c>
      <c r="BD773" s="407">
        <v>0</v>
      </c>
      <c r="BE773" s="407">
        <v>0</v>
      </c>
      <c r="BF773" s="407"/>
      <c r="BG773" s="407">
        <v>0</v>
      </c>
      <c r="BH773" s="407">
        <v>0</v>
      </c>
      <c r="BI773" s="407">
        <v>20.58</v>
      </c>
      <c r="BJ773" s="407">
        <v>0</v>
      </c>
      <c r="BK773" s="407">
        <v>0</v>
      </c>
      <c r="BL773" s="407">
        <v>0</v>
      </c>
      <c r="BM773" s="407"/>
      <c r="BN773" s="407"/>
      <c r="BO773" s="407">
        <v>1229.855</v>
      </c>
      <c r="BP773" s="407"/>
      <c r="BQ773" s="407"/>
      <c r="BR773" s="407"/>
      <c r="BS773" s="407"/>
      <c r="BT773" s="407"/>
      <c r="BU773" s="407"/>
      <c r="BV773" s="407">
        <v>0</v>
      </c>
      <c r="BW773" s="407"/>
      <c r="BX773" s="407"/>
      <c r="BY773" s="407"/>
      <c r="BZ773" s="407"/>
      <c r="CA773" s="407"/>
      <c r="CB773" s="407"/>
      <c r="CC773" s="407"/>
      <c r="CD773" s="407"/>
      <c r="CE773" s="407"/>
      <c r="CF773" s="407"/>
      <c r="CG773" s="407"/>
      <c r="CH773" s="407"/>
      <c r="CI773" s="407">
        <v>1229.855</v>
      </c>
      <c r="CJ773" s="407">
        <v>-1385.2750000000005</v>
      </c>
      <c r="CK773" s="407"/>
      <c r="CL773" s="407"/>
      <c r="CM773" s="407"/>
      <c r="CN773" s="407"/>
      <c r="CO773" s="407">
        <v>-2770.4900000000002</v>
      </c>
      <c r="CP773" s="407">
        <v>0</v>
      </c>
      <c r="CQ773" s="407">
        <v>31</v>
      </c>
      <c r="CR773" s="407">
        <v>-102.68579715070211</v>
      </c>
      <c r="CS773" s="407">
        <v>0</v>
      </c>
      <c r="CT773" s="407">
        <v>0</v>
      </c>
      <c r="CU773" s="407">
        <v>0</v>
      </c>
      <c r="CV773" s="407">
        <v>0</v>
      </c>
      <c r="CW773" s="407"/>
      <c r="CX773" s="407"/>
      <c r="CY773" s="407"/>
      <c r="CZ773" s="407">
        <v>0</v>
      </c>
      <c r="DA773" s="407">
        <v>0</v>
      </c>
      <c r="DB773" s="407">
        <v>0</v>
      </c>
      <c r="DC773" s="407"/>
      <c r="DD773" s="407"/>
      <c r="DE773" s="407">
        <v>0</v>
      </c>
      <c r="DF773" s="407">
        <v>0</v>
      </c>
      <c r="DG773" s="407">
        <v>0</v>
      </c>
      <c r="DH773" s="407">
        <v>0</v>
      </c>
      <c r="DI773" s="407">
        <v>0</v>
      </c>
      <c r="DJ773" s="407"/>
      <c r="DK773" s="407">
        <v>0</v>
      </c>
      <c r="DL773" s="407">
        <v>0</v>
      </c>
      <c r="DM773" s="407"/>
      <c r="DN773" s="407">
        <v>0</v>
      </c>
      <c r="DO773" s="407">
        <v>0</v>
      </c>
      <c r="DP773" s="407">
        <v>-0.5457473293591697</v>
      </c>
      <c r="DQ773" s="407">
        <v>0</v>
      </c>
      <c r="DR773" s="407">
        <v>-102.14004982134294</v>
      </c>
      <c r="DS773" s="407"/>
      <c r="DT773" s="407"/>
      <c r="DU773" s="407">
        <v>5222.742276691054</v>
      </c>
      <c r="DV773" s="407"/>
      <c r="DW773" s="407">
        <v>0</v>
      </c>
      <c r="DX773" s="407">
        <v>0</v>
      </c>
      <c r="DY773" s="407">
        <v>-2770.49</v>
      </c>
      <c r="DZ773" s="407"/>
      <c r="EA773" s="407">
        <v>0</v>
      </c>
      <c r="EB773" s="407"/>
      <c r="EC773" s="407">
        <v>-2667.7888853969835</v>
      </c>
      <c r="ED773" s="407"/>
      <c r="EE773" s="407">
        <v>0</v>
      </c>
      <c r="EF773" s="407">
        <v>0</v>
      </c>
      <c r="EG773" s="407"/>
      <c r="EH773" s="407">
        <v>0</v>
      </c>
      <c r="EI773" s="407">
        <v>0</v>
      </c>
      <c r="EJ773" s="407">
        <v>0</v>
      </c>
      <c r="EK773" s="407">
        <v>0</v>
      </c>
      <c r="EL773" s="407">
        <v>0</v>
      </c>
      <c r="EM773" s="407"/>
      <c r="EN773" s="407"/>
      <c r="EO773" s="407">
        <v>0</v>
      </c>
      <c r="EP773" s="407">
        <v>0</v>
      </c>
      <c r="EQ773" s="407"/>
      <c r="ER773" s="407">
        <v>0</v>
      </c>
      <c r="ES773" s="407"/>
      <c r="ET773" s="407">
        <v>0</v>
      </c>
      <c r="EU773" s="407"/>
      <c r="EV773" s="407">
        <v>246</v>
      </c>
      <c r="EW773" s="407"/>
      <c r="EX773" s="407"/>
      <c r="EY773" s="407"/>
      <c r="EZ773" s="407"/>
      <c r="FA773" s="407">
        <v>0</v>
      </c>
      <c r="FB773" s="407"/>
      <c r="FC773" s="407"/>
      <c r="FD773" s="407"/>
      <c r="FE773" s="407"/>
      <c r="FF773" s="407">
        <v>0</v>
      </c>
      <c r="FG773" s="407">
        <v>0</v>
      </c>
      <c r="FH773" s="407">
        <v>0</v>
      </c>
      <c r="FI773" s="407">
        <v>0</v>
      </c>
    </row>
    <row r="774" spans="1:165">
      <c r="A774" s="407">
        <v>805</v>
      </c>
      <c r="B774" s="407" t="s">
        <v>1090</v>
      </c>
      <c r="C774" s="407" t="s">
        <v>1044</v>
      </c>
      <c r="D774" s="407" t="s">
        <v>650</v>
      </c>
      <c r="E774" s="407" t="s">
        <v>97</v>
      </c>
      <c r="F774" s="407" t="s">
        <v>97</v>
      </c>
      <c r="G774" s="407" t="s">
        <v>97</v>
      </c>
      <c r="H774" s="407" t="s">
        <v>2338</v>
      </c>
      <c r="I774" s="407" t="s">
        <v>97</v>
      </c>
      <c r="J774" s="407" t="s">
        <v>2329</v>
      </c>
      <c r="K774" s="818">
        <v>44378</v>
      </c>
      <c r="L774" s="407">
        <v>718</v>
      </c>
      <c r="M774" s="407">
        <v>359</v>
      </c>
      <c r="N774" s="407">
        <v>0</v>
      </c>
      <c r="O774" s="407">
        <v>0</v>
      </c>
      <c r="P774" s="407">
        <v>0</v>
      </c>
      <c r="Q774" s="407">
        <v>0</v>
      </c>
      <c r="R774" s="407">
        <v>13.8</v>
      </c>
      <c r="S774" s="407"/>
      <c r="T774" s="407"/>
      <c r="U774" s="407">
        <v>9908.4</v>
      </c>
      <c r="V774" s="407"/>
      <c r="W774" s="407">
        <v>9908.4</v>
      </c>
      <c r="X774" s="407">
        <v>4659.82</v>
      </c>
      <c r="Y774" s="407">
        <v>0</v>
      </c>
      <c r="Z774" s="407">
        <v>0</v>
      </c>
      <c r="AA774" s="407">
        <v>0</v>
      </c>
      <c r="AB774" s="407">
        <v>0</v>
      </c>
      <c r="AC774" s="407">
        <v>0</v>
      </c>
      <c r="AD774" s="407">
        <v>0</v>
      </c>
      <c r="AE774" s="407">
        <v>9894.2716481904408</v>
      </c>
      <c r="AF774" s="407"/>
      <c r="AG774" s="407"/>
      <c r="AH774" s="407"/>
      <c r="AI774" s="407">
        <v>0</v>
      </c>
      <c r="AJ774" s="407">
        <v>0</v>
      </c>
      <c r="AK774" s="407">
        <v>0</v>
      </c>
      <c r="AL774" s="407">
        <v>0</v>
      </c>
      <c r="AM774" s="407"/>
      <c r="AN774" s="407">
        <v>16.226226763869597</v>
      </c>
      <c r="AO774" s="407">
        <v>0</v>
      </c>
      <c r="AP774" s="407">
        <v>0</v>
      </c>
      <c r="AQ774" s="407">
        <v>0</v>
      </c>
      <c r="AR774" s="407">
        <v>0</v>
      </c>
      <c r="AS774" s="407"/>
      <c r="AT774" s="407"/>
      <c r="AU774" s="407">
        <v>0</v>
      </c>
      <c r="AV774" s="407">
        <v>0</v>
      </c>
      <c r="AW774" s="407">
        <v>0</v>
      </c>
      <c r="AX774" s="407"/>
      <c r="AY774" s="407"/>
      <c r="AZ774" s="407">
        <v>0</v>
      </c>
      <c r="BA774" s="407"/>
      <c r="BB774" s="407">
        <v>0</v>
      </c>
      <c r="BC774" s="407">
        <v>0</v>
      </c>
      <c r="BD774" s="407">
        <v>0</v>
      </c>
      <c r="BE774" s="407">
        <v>0</v>
      </c>
      <c r="BF774" s="407"/>
      <c r="BG774" s="407">
        <v>0</v>
      </c>
      <c r="BH774" s="407">
        <v>0</v>
      </c>
      <c r="BI774" s="407">
        <v>38.99</v>
      </c>
      <c r="BJ774" s="407">
        <v>0</v>
      </c>
      <c r="BK774" s="407">
        <v>0</v>
      </c>
      <c r="BL774" s="407">
        <v>0</v>
      </c>
      <c r="BM774" s="407"/>
      <c r="BN774" s="407"/>
      <c r="BO774" s="407">
        <v>2329.91</v>
      </c>
      <c r="BP774" s="407"/>
      <c r="BQ774" s="407"/>
      <c r="BR774" s="407"/>
      <c r="BS774" s="407"/>
      <c r="BT774" s="407"/>
      <c r="BU774" s="407"/>
      <c r="BV774" s="407">
        <v>0</v>
      </c>
      <c r="BW774" s="407"/>
      <c r="BX774" s="407"/>
      <c r="BY774" s="407"/>
      <c r="BZ774" s="407"/>
      <c r="CA774" s="407"/>
      <c r="CB774" s="407"/>
      <c r="CC774" s="407"/>
      <c r="CD774" s="407"/>
      <c r="CE774" s="407"/>
      <c r="CF774" s="407"/>
      <c r="CG774" s="407"/>
      <c r="CH774" s="407"/>
      <c r="CI774" s="407">
        <v>2329.91</v>
      </c>
      <c r="CJ774" s="407">
        <v>-2624.3200000000006</v>
      </c>
      <c r="CK774" s="407"/>
      <c r="CL774" s="407"/>
      <c r="CM774" s="407"/>
      <c r="CN774" s="407"/>
      <c r="CO774" s="407">
        <v>-5248.58</v>
      </c>
      <c r="CP774" s="407">
        <v>0</v>
      </c>
      <c r="CQ774" s="407">
        <v>31</v>
      </c>
      <c r="CR774" s="407">
        <v>-194.53404315093434</v>
      </c>
      <c r="CS774" s="407">
        <v>0</v>
      </c>
      <c r="CT774" s="407">
        <v>0</v>
      </c>
      <c r="CU774" s="407">
        <v>0</v>
      </c>
      <c r="CV774" s="407">
        <v>0</v>
      </c>
      <c r="CW774" s="407"/>
      <c r="CX774" s="407"/>
      <c r="CY774" s="407"/>
      <c r="CZ774" s="407">
        <v>0</v>
      </c>
      <c r="DA774" s="407">
        <v>0</v>
      </c>
      <c r="DB774" s="407">
        <v>0</v>
      </c>
      <c r="DC774" s="407"/>
      <c r="DD774" s="407"/>
      <c r="DE774" s="407">
        <v>0</v>
      </c>
      <c r="DF774" s="407">
        <v>0</v>
      </c>
      <c r="DG774" s="407">
        <v>0</v>
      </c>
      <c r="DH774" s="407">
        <v>0</v>
      </c>
      <c r="DI774" s="407">
        <v>0</v>
      </c>
      <c r="DJ774" s="407"/>
      <c r="DK774" s="407">
        <v>0</v>
      </c>
      <c r="DL774" s="407">
        <v>0</v>
      </c>
      <c r="DM774" s="407"/>
      <c r="DN774" s="407">
        <v>0</v>
      </c>
      <c r="DO774" s="407">
        <v>0</v>
      </c>
      <c r="DP774" s="407">
        <v>-1.0338959959891376</v>
      </c>
      <c r="DQ774" s="407">
        <v>0</v>
      </c>
      <c r="DR774" s="407">
        <v>-193.50014715494521</v>
      </c>
      <c r="DS774" s="407"/>
      <c r="DT774" s="407"/>
      <c r="DU774" s="407">
        <v>9894.2716481904408</v>
      </c>
      <c r="DV774" s="407"/>
      <c r="DW774" s="407">
        <v>0</v>
      </c>
      <c r="DX774" s="407">
        <v>0</v>
      </c>
      <c r="DY774" s="407">
        <v>-5248.58</v>
      </c>
      <c r="DZ774" s="407"/>
      <c r="EA774" s="407">
        <v>0</v>
      </c>
      <c r="EB774" s="407"/>
      <c r="EC774" s="407">
        <v>-5054.0169385620957</v>
      </c>
      <c r="ED774" s="407"/>
      <c r="EE774" s="407">
        <v>0</v>
      </c>
      <c r="EF774" s="407">
        <v>0</v>
      </c>
      <c r="EG774" s="407"/>
      <c r="EH774" s="407">
        <v>0</v>
      </c>
      <c r="EI774" s="407">
        <v>0</v>
      </c>
      <c r="EJ774" s="407">
        <v>0</v>
      </c>
      <c r="EK774" s="407">
        <v>0</v>
      </c>
      <c r="EL774" s="407">
        <v>0</v>
      </c>
      <c r="EM774" s="407"/>
      <c r="EN774" s="407"/>
      <c r="EO774" s="407">
        <v>0</v>
      </c>
      <c r="EP774" s="407">
        <v>0</v>
      </c>
      <c r="EQ774" s="407"/>
      <c r="ER774" s="407">
        <v>0</v>
      </c>
      <c r="ES774" s="407"/>
      <c r="ET774" s="407">
        <v>0</v>
      </c>
      <c r="EU774" s="407"/>
      <c r="EV774" s="407">
        <v>246</v>
      </c>
      <c r="EW774" s="407"/>
      <c r="EX774" s="407"/>
      <c r="EY774" s="407"/>
      <c r="EZ774" s="407"/>
      <c r="FA774" s="407">
        <v>0</v>
      </c>
      <c r="FB774" s="407"/>
      <c r="FC774" s="407"/>
      <c r="FD774" s="407"/>
      <c r="FE774" s="407"/>
      <c r="FF774" s="407">
        <v>0</v>
      </c>
      <c r="FG774" s="407">
        <v>0</v>
      </c>
      <c r="FH774" s="407">
        <v>0</v>
      </c>
      <c r="FI774" s="407">
        <v>0</v>
      </c>
    </row>
    <row r="775" spans="1:165">
      <c r="A775" s="407">
        <v>806</v>
      </c>
      <c r="B775" s="407" t="s">
        <v>1090</v>
      </c>
      <c r="C775" s="407" t="s">
        <v>1044</v>
      </c>
      <c r="D775" s="407" t="s">
        <v>650</v>
      </c>
      <c r="E775" s="407" t="s">
        <v>97</v>
      </c>
      <c r="F775" s="407" t="s">
        <v>97</v>
      </c>
      <c r="G775" s="407" t="s">
        <v>97</v>
      </c>
      <c r="H775" s="407" t="s">
        <v>2328</v>
      </c>
      <c r="I775" s="407" t="s">
        <v>97</v>
      </c>
      <c r="J775" s="407" t="s">
        <v>2329</v>
      </c>
      <c r="K775" s="818">
        <v>44409</v>
      </c>
      <c r="L775" s="407">
        <v>880</v>
      </c>
      <c r="M775" s="407">
        <v>440</v>
      </c>
      <c r="N775" s="407">
        <v>0</v>
      </c>
      <c r="O775" s="407">
        <v>0</v>
      </c>
      <c r="P775" s="407">
        <v>0</v>
      </c>
      <c r="Q775" s="407">
        <v>0</v>
      </c>
      <c r="R775" s="407">
        <v>13.8</v>
      </c>
      <c r="S775" s="407"/>
      <c r="T775" s="407"/>
      <c r="U775" s="407">
        <v>12144</v>
      </c>
      <c r="V775" s="407"/>
      <c r="W775" s="407">
        <v>12144</v>
      </c>
      <c r="X775" s="407">
        <v>5711.2</v>
      </c>
      <c r="Y775" s="407">
        <v>0</v>
      </c>
      <c r="Z775" s="407">
        <v>0</v>
      </c>
      <c r="AA775" s="407">
        <v>0</v>
      </c>
      <c r="AB775" s="407">
        <v>0</v>
      </c>
      <c r="AC775" s="407">
        <v>0</v>
      </c>
      <c r="AD775" s="407">
        <v>0</v>
      </c>
      <c r="AE775" s="407">
        <v>12126.683914216695</v>
      </c>
      <c r="AF775" s="407"/>
      <c r="AG775" s="407"/>
      <c r="AH775" s="407"/>
      <c r="AI775" s="407">
        <v>0</v>
      </c>
      <c r="AJ775" s="407">
        <v>0</v>
      </c>
      <c r="AK775" s="407">
        <v>0</v>
      </c>
      <c r="AL775" s="407">
        <v>0</v>
      </c>
      <c r="AM775" s="407"/>
      <c r="AN775" s="407">
        <v>19.887297426469704</v>
      </c>
      <c r="AO775" s="407">
        <v>0</v>
      </c>
      <c r="AP775" s="407">
        <v>0</v>
      </c>
      <c r="AQ775" s="407">
        <v>0</v>
      </c>
      <c r="AR775" s="407">
        <v>0</v>
      </c>
      <c r="AS775" s="407"/>
      <c r="AT775" s="407"/>
      <c r="AU775" s="407">
        <v>0</v>
      </c>
      <c r="AV775" s="407">
        <v>0</v>
      </c>
      <c r="AW775" s="407">
        <v>0</v>
      </c>
      <c r="AX775" s="407"/>
      <c r="AY775" s="407"/>
      <c r="AZ775" s="407">
        <v>0</v>
      </c>
      <c r="BA775" s="407"/>
      <c r="BB775" s="407">
        <v>0</v>
      </c>
      <c r="BC775" s="407">
        <v>0</v>
      </c>
      <c r="BD775" s="407">
        <v>0</v>
      </c>
      <c r="BE775" s="407">
        <v>0</v>
      </c>
      <c r="BF775" s="407"/>
      <c r="BG775" s="407">
        <v>0</v>
      </c>
      <c r="BH775" s="407">
        <v>0</v>
      </c>
      <c r="BI775" s="407">
        <v>60.36</v>
      </c>
      <c r="BJ775" s="407">
        <v>0</v>
      </c>
      <c r="BK775" s="407">
        <v>0</v>
      </c>
      <c r="BL775" s="407">
        <v>0</v>
      </c>
      <c r="BM775" s="407"/>
      <c r="BN775" s="407"/>
      <c r="BO775" s="407">
        <v>2855.6</v>
      </c>
      <c r="BP775" s="407"/>
      <c r="BQ775" s="407"/>
      <c r="BR775" s="407"/>
      <c r="BS775" s="407"/>
      <c r="BT775" s="407"/>
      <c r="BU775" s="407"/>
      <c r="BV775" s="407">
        <v>0</v>
      </c>
      <c r="BW775" s="407"/>
      <c r="BX775" s="407"/>
      <c r="BY775" s="407"/>
      <c r="BZ775" s="407"/>
      <c r="CA775" s="407"/>
      <c r="CB775" s="407"/>
      <c r="CC775" s="407"/>
      <c r="CD775" s="407"/>
      <c r="CE775" s="407"/>
      <c r="CF775" s="407"/>
      <c r="CG775" s="407"/>
      <c r="CH775" s="407"/>
      <c r="CI775" s="407">
        <v>2855.6</v>
      </c>
      <c r="CJ775" s="407">
        <v>-3216.4300000000007</v>
      </c>
      <c r="CK775" s="407"/>
      <c r="CL775" s="407"/>
      <c r="CM775" s="407"/>
      <c r="CN775" s="407"/>
      <c r="CO775" s="407">
        <v>-6432.8</v>
      </c>
      <c r="CP775" s="407">
        <v>0</v>
      </c>
      <c r="CQ775" s="407">
        <v>31</v>
      </c>
      <c r="CR775" s="407">
        <v>-238.42612531033737</v>
      </c>
      <c r="CS775" s="407">
        <v>0</v>
      </c>
      <c r="CT775" s="407">
        <v>0</v>
      </c>
      <c r="CU775" s="407">
        <v>0</v>
      </c>
      <c r="CV775" s="407">
        <v>0</v>
      </c>
      <c r="CW775" s="407"/>
      <c r="CX775" s="407"/>
      <c r="CY775" s="407"/>
      <c r="CZ775" s="407">
        <v>0</v>
      </c>
      <c r="DA775" s="407">
        <v>0</v>
      </c>
      <c r="DB775" s="407">
        <v>0</v>
      </c>
      <c r="DC775" s="407"/>
      <c r="DD775" s="407"/>
      <c r="DE775" s="407">
        <v>0</v>
      </c>
      <c r="DF775" s="407">
        <v>0</v>
      </c>
      <c r="DG775" s="407">
        <v>0</v>
      </c>
      <c r="DH775" s="407">
        <v>0</v>
      </c>
      <c r="DI775" s="407">
        <v>0</v>
      </c>
      <c r="DJ775" s="407"/>
      <c r="DK775" s="407">
        <v>0</v>
      </c>
      <c r="DL775" s="407">
        <v>0</v>
      </c>
      <c r="DM775" s="407"/>
      <c r="DN775" s="407">
        <v>0</v>
      </c>
      <c r="DO775" s="407">
        <v>0</v>
      </c>
      <c r="DP775" s="407">
        <v>-1.2671705800424</v>
      </c>
      <c r="DQ775" s="407">
        <v>0</v>
      </c>
      <c r="DR775" s="407">
        <v>-237.15895473029497</v>
      </c>
      <c r="DS775" s="407"/>
      <c r="DT775" s="407"/>
      <c r="DU775" s="407">
        <v>12126.683914216695</v>
      </c>
      <c r="DV775" s="407"/>
      <c r="DW775" s="407">
        <v>0</v>
      </c>
      <c r="DX775" s="407">
        <v>0</v>
      </c>
      <c r="DY775" s="407">
        <v>-6432.8</v>
      </c>
      <c r="DZ775" s="407"/>
      <c r="EA775" s="407">
        <v>0</v>
      </c>
      <c r="EB775" s="407"/>
      <c r="EC775" s="407">
        <v>-6194.3383091011747</v>
      </c>
      <c r="ED775" s="407"/>
      <c r="EE775" s="407">
        <v>0</v>
      </c>
      <c r="EF775" s="407">
        <v>0</v>
      </c>
      <c r="EG775" s="407"/>
      <c r="EH775" s="407">
        <v>0</v>
      </c>
      <c r="EI775" s="407">
        <v>0</v>
      </c>
      <c r="EJ775" s="407">
        <v>0</v>
      </c>
      <c r="EK775" s="407">
        <v>0</v>
      </c>
      <c r="EL775" s="407">
        <v>0</v>
      </c>
      <c r="EM775" s="407"/>
      <c r="EN775" s="407"/>
      <c r="EO775" s="407">
        <v>0</v>
      </c>
      <c r="EP775" s="407">
        <v>0</v>
      </c>
      <c r="EQ775" s="407"/>
      <c r="ER775" s="407">
        <v>0</v>
      </c>
      <c r="ES775" s="407"/>
      <c r="ET775" s="407">
        <v>0</v>
      </c>
      <c r="EU775" s="407"/>
      <c r="EV775" s="407">
        <v>246</v>
      </c>
      <c r="EW775" s="407"/>
      <c r="EX775" s="407"/>
      <c r="EY775" s="407"/>
      <c r="EZ775" s="407"/>
      <c r="FA775" s="407">
        <v>0</v>
      </c>
      <c r="FB775" s="407"/>
      <c r="FC775" s="407"/>
      <c r="FD775" s="407"/>
      <c r="FE775" s="407"/>
      <c r="FF775" s="407">
        <v>0</v>
      </c>
      <c r="FG775" s="407">
        <v>0</v>
      </c>
      <c r="FH775" s="407">
        <v>0</v>
      </c>
      <c r="FI775" s="407">
        <v>0</v>
      </c>
    </row>
    <row r="776" spans="1:165">
      <c r="A776" s="407">
        <v>807</v>
      </c>
      <c r="B776" s="407" t="s">
        <v>1090</v>
      </c>
      <c r="C776" s="407" t="s">
        <v>1044</v>
      </c>
      <c r="D776" s="407" t="s">
        <v>650</v>
      </c>
      <c r="E776" s="407" t="s">
        <v>97</v>
      </c>
      <c r="F776" s="407" t="s">
        <v>97</v>
      </c>
      <c r="G776" s="407" t="s">
        <v>97</v>
      </c>
      <c r="H776" s="407" t="s">
        <v>2330</v>
      </c>
      <c r="I776" s="407" t="s">
        <v>97</v>
      </c>
      <c r="J776" s="407" t="s">
        <v>2329</v>
      </c>
      <c r="K776" s="818">
        <v>44409</v>
      </c>
      <c r="L776" s="407">
        <v>520</v>
      </c>
      <c r="M776" s="407">
        <v>260</v>
      </c>
      <c r="N776" s="407">
        <v>0</v>
      </c>
      <c r="O776" s="407">
        <v>0</v>
      </c>
      <c r="P776" s="407">
        <v>0</v>
      </c>
      <c r="Q776" s="407">
        <v>0</v>
      </c>
      <c r="R776" s="407">
        <v>13.8</v>
      </c>
      <c r="S776" s="407"/>
      <c r="T776" s="407"/>
      <c r="U776" s="407">
        <v>7176</v>
      </c>
      <c r="V776" s="407"/>
      <c r="W776" s="407">
        <v>7176</v>
      </c>
      <c r="X776" s="407">
        <v>3374.8</v>
      </c>
      <c r="Y776" s="407">
        <v>0</v>
      </c>
      <c r="Z776" s="407">
        <v>0</v>
      </c>
      <c r="AA776" s="407">
        <v>0</v>
      </c>
      <c r="AB776" s="407">
        <v>0</v>
      </c>
      <c r="AC776" s="407">
        <v>0</v>
      </c>
      <c r="AD776" s="407">
        <v>0</v>
      </c>
      <c r="AE776" s="407">
        <v>7165.767767491684</v>
      </c>
      <c r="AF776" s="407"/>
      <c r="AG776" s="407"/>
      <c r="AH776" s="407"/>
      <c r="AI776" s="407">
        <v>0</v>
      </c>
      <c r="AJ776" s="407">
        <v>0</v>
      </c>
      <c r="AK776" s="407">
        <v>0</v>
      </c>
      <c r="AL776" s="407">
        <v>0</v>
      </c>
      <c r="AM776" s="407"/>
      <c r="AN776" s="407">
        <v>11.751584842913916</v>
      </c>
      <c r="AO776" s="407">
        <v>0</v>
      </c>
      <c r="AP776" s="407">
        <v>0</v>
      </c>
      <c r="AQ776" s="407">
        <v>0</v>
      </c>
      <c r="AR776" s="407">
        <v>0</v>
      </c>
      <c r="AS776" s="407"/>
      <c r="AT776" s="407"/>
      <c r="AU776" s="407">
        <v>0</v>
      </c>
      <c r="AV776" s="407">
        <v>0</v>
      </c>
      <c r="AW776" s="407">
        <v>0</v>
      </c>
      <c r="AX776" s="407"/>
      <c r="AY776" s="407"/>
      <c r="AZ776" s="407">
        <v>0</v>
      </c>
      <c r="BA776" s="407"/>
      <c r="BB776" s="407">
        <v>0</v>
      </c>
      <c r="BC776" s="407">
        <v>0</v>
      </c>
      <c r="BD776" s="407">
        <v>0</v>
      </c>
      <c r="BE776" s="407">
        <v>0</v>
      </c>
      <c r="BF776" s="407"/>
      <c r="BG776" s="407">
        <v>0</v>
      </c>
      <c r="BH776" s="407">
        <v>0</v>
      </c>
      <c r="BI776" s="407">
        <v>35.659999999999997</v>
      </c>
      <c r="BJ776" s="407">
        <v>0</v>
      </c>
      <c r="BK776" s="407">
        <v>0</v>
      </c>
      <c r="BL776" s="407">
        <v>0</v>
      </c>
      <c r="BM776" s="407"/>
      <c r="BN776" s="407"/>
      <c r="BO776" s="407">
        <v>1687.4</v>
      </c>
      <c r="BP776" s="407"/>
      <c r="BQ776" s="407"/>
      <c r="BR776" s="407"/>
      <c r="BS776" s="407"/>
      <c r="BT776" s="407"/>
      <c r="BU776" s="407"/>
      <c r="BV776" s="407">
        <v>0</v>
      </c>
      <c r="BW776" s="407"/>
      <c r="BX776" s="407"/>
      <c r="BY776" s="407"/>
      <c r="BZ776" s="407"/>
      <c r="CA776" s="407"/>
      <c r="CB776" s="407"/>
      <c r="CC776" s="407"/>
      <c r="CD776" s="407"/>
      <c r="CE776" s="407"/>
      <c r="CF776" s="407"/>
      <c r="CG776" s="407"/>
      <c r="CH776" s="407"/>
      <c r="CI776" s="407">
        <v>1687.4</v>
      </c>
      <c r="CJ776" s="407">
        <v>-1900.6300000000006</v>
      </c>
      <c r="CK776" s="407"/>
      <c r="CL776" s="407"/>
      <c r="CM776" s="407"/>
      <c r="CN776" s="407"/>
      <c r="CO776" s="407">
        <v>-3801.2000000000003</v>
      </c>
      <c r="CP776" s="407">
        <v>0</v>
      </c>
      <c r="CQ776" s="407">
        <v>31</v>
      </c>
      <c r="CR776" s="407">
        <v>-140.88816495610848</v>
      </c>
      <c r="CS776" s="407">
        <v>0</v>
      </c>
      <c r="CT776" s="407">
        <v>0</v>
      </c>
      <c r="CU776" s="407">
        <v>0</v>
      </c>
      <c r="CV776" s="407">
        <v>0</v>
      </c>
      <c r="CW776" s="407"/>
      <c r="CX776" s="407"/>
      <c r="CY776" s="407"/>
      <c r="CZ776" s="407">
        <v>0</v>
      </c>
      <c r="DA776" s="407">
        <v>0</v>
      </c>
      <c r="DB776" s="407">
        <v>0</v>
      </c>
      <c r="DC776" s="407"/>
      <c r="DD776" s="407"/>
      <c r="DE776" s="407">
        <v>0</v>
      </c>
      <c r="DF776" s="407">
        <v>0</v>
      </c>
      <c r="DG776" s="407">
        <v>0</v>
      </c>
      <c r="DH776" s="407">
        <v>0</v>
      </c>
      <c r="DI776" s="407">
        <v>0</v>
      </c>
      <c r="DJ776" s="407"/>
      <c r="DK776" s="407">
        <v>0</v>
      </c>
      <c r="DL776" s="407">
        <v>0</v>
      </c>
      <c r="DM776" s="407"/>
      <c r="DN776" s="407">
        <v>0</v>
      </c>
      <c r="DO776" s="407">
        <v>0</v>
      </c>
      <c r="DP776" s="407">
        <v>-0.74878261547960001</v>
      </c>
      <c r="DQ776" s="407">
        <v>0</v>
      </c>
      <c r="DR776" s="407">
        <v>-140.13938234062886</v>
      </c>
      <c r="DS776" s="407"/>
      <c r="DT776" s="407"/>
      <c r="DU776" s="407">
        <v>7165.767767491684</v>
      </c>
      <c r="DV776" s="407"/>
      <c r="DW776" s="407">
        <v>0</v>
      </c>
      <c r="DX776" s="407">
        <v>0</v>
      </c>
      <c r="DY776" s="407">
        <v>-3801.2</v>
      </c>
      <c r="DZ776" s="407"/>
      <c r="EA776" s="407">
        <v>0</v>
      </c>
      <c r="EB776" s="407"/>
      <c r="EC776" s="407">
        <v>-3660.2908190143312</v>
      </c>
      <c r="ED776" s="407"/>
      <c r="EE776" s="407">
        <v>0</v>
      </c>
      <c r="EF776" s="407">
        <v>0</v>
      </c>
      <c r="EG776" s="407"/>
      <c r="EH776" s="407">
        <v>0</v>
      </c>
      <c r="EI776" s="407">
        <v>0</v>
      </c>
      <c r="EJ776" s="407">
        <v>0</v>
      </c>
      <c r="EK776" s="407">
        <v>0</v>
      </c>
      <c r="EL776" s="407">
        <v>0</v>
      </c>
      <c r="EM776" s="407"/>
      <c r="EN776" s="407"/>
      <c r="EO776" s="407">
        <v>0</v>
      </c>
      <c r="EP776" s="407">
        <v>0</v>
      </c>
      <c r="EQ776" s="407"/>
      <c r="ER776" s="407">
        <v>0</v>
      </c>
      <c r="ES776" s="407"/>
      <c r="ET776" s="407">
        <v>0</v>
      </c>
      <c r="EU776" s="407"/>
      <c r="EV776" s="407">
        <v>246</v>
      </c>
      <c r="EW776" s="407"/>
      <c r="EX776" s="407"/>
      <c r="EY776" s="407"/>
      <c r="EZ776" s="407"/>
      <c r="FA776" s="407">
        <v>0</v>
      </c>
      <c r="FB776" s="407"/>
      <c r="FC776" s="407"/>
      <c r="FD776" s="407"/>
      <c r="FE776" s="407"/>
      <c r="FF776" s="407">
        <v>0</v>
      </c>
      <c r="FG776" s="407">
        <v>0</v>
      </c>
      <c r="FH776" s="407">
        <v>0</v>
      </c>
      <c r="FI776" s="407">
        <v>0</v>
      </c>
    </row>
    <row r="777" spans="1:165">
      <c r="A777" s="407">
        <v>808</v>
      </c>
      <c r="B777" s="407" t="s">
        <v>1090</v>
      </c>
      <c r="C777" s="407" t="s">
        <v>1044</v>
      </c>
      <c r="D777" s="407" t="s">
        <v>650</v>
      </c>
      <c r="E777" s="407" t="s">
        <v>97</v>
      </c>
      <c r="F777" s="407" t="s">
        <v>97</v>
      </c>
      <c r="G777" s="407" t="s">
        <v>97</v>
      </c>
      <c r="H777" s="407" t="s">
        <v>2331</v>
      </c>
      <c r="I777" s="407" t="s">
        <v>97</v>
      </c>
      <c r="J777" s="407" t="s">
        <v>2329</v>
      </c>
      <c r="K777" s="818">
        <v>44409</v>
      </c>
      <c r="L777" s="407">
        <v>1000</v>
      </c>
      <c r="M777" s="407">
        <v>500</v>
      </c>
      <c r="N777" s="407">
        <v>0</v>
      </c>
      <c r="O777" s="407">
        <v>0</v>
      </c>
      <c r="P777" s="407">
        <v>0</v>
      </c>
      <c r="Q777" s="407">
        <v>0</v>
      </c>
      <c r="R777" s="407">
        <v>13.8</v>
      </c>
      <c r="S777" s="407"/>
      <c r="T777" s="407"/>
      <c r="U777" s="407">
        <v>13800</v>
      </c>
      <c r="V777" s="407"/>
      <c r="W777" s="407">
        <v>13800</v>
      </c>
      <c r="X777" s="407">
        <v>6490</v>
      </c>
      <c r="Y777" s="407">
        <v>0</v>
      </c>
      <c r="Z777" s="407">
        <v>0</v>
      </c>
      <c r="AA777" s="407">
        <v>0</v>
      </c>
      <c r="AB777" s="407">
        <v>0</v>
      </c>
      <c r="AC777" s="407">
        <v>0</v>
      </c>
      <c r="AD777" s="407">
        <v>0</v>
      </c>
      <c r="AE777" s="407">
        <v>13780.322629791699</v>
      </c>
      <c r="AF777" s="407"/>
      <c r="AG777" s="407"/>
      <c r="AH777" s="407"/>
      <c r="AI777" s="407">
        <v>0</v>
      </c>
      <c r="AJ777" s="407">
        <v>0</v>
      </c>
      <c r="AK777" s="407">
        <v>0</v>
      </c>
      <c r="AL777" s="407">
        <v>0</v>
      </c>
      <c r="AM777" s="407"/>
      <c r="AN777" s="407">
        <v>22.5992016209883</v>
      </c>
      <c r="AO777" s="407">
        <v>0</v>
      </c>
      <c r="AP777" s="407">
        <v>0</v>
      </c>
      <c r="AQ777" s="407">
        <v>0</v>
      </c>
      <c r="AR777" s="407">
        <v>0</v>
      </c>
      <c r="AS777" s="407"/>
      <c r="AT777" s="407"/>
      <c r="AU777" s="407">
        <v>0</v>
      </c>
      <c r="AV777" s="407">
        <v>0</v>
      </c>
      <c r="AW777" s="407">
        <v>0</v>
      </c>
      <c r="AX777" s="407"/>
      <c r="AY777" s="407"/>
      <c r="AZ777" s="407">
        <v>0</v>
      </c>
      <c r="BA777" s="407"/>
      <c r="BB777" s="407">
        <v>0</v>
      </c>
      <c r="BC777" s="407">
        <v>0</v>
      </c>
      <c r="BD777" s="407">
        <v>0</v>
      </c>
      <c r="BE777" s="407">
        <v>0</v>
      </c>
      <c r="BF777" s="407"/>
      <c r="BG777" s="407">
        <v>0</v>
      </c>
      <c r="BH777" s="407">
        <v>0</v>
      </c>
      <c r="BI777" s="407">
        <v>68.58</v>
      </c>
      <c r="BJ777" s="407">
        <v>0</v>
      </c>
      <c r="BK777" s="407">
        <v>0</v>
      </c>
      <c r="BL777" s="407">
        <v>0</v>
      </c>
      <c r="BM777" s="407"/>
      <c r="BN777" s="407"/>
      <c r="BO777" s="407">
        <v>3245</v>
      </c>
      <c r="BP777" s="407"/>
      <c r="BQ777" s="407"/>
      <c r="BR777" s="407"/>
      <c r="BS777" s="407"/>
      <c r="BT777" s="407"/>
      <c r="BU777" s="407"/>
      <c r="BV777" s="407">
        <v>0</v>
      </c>
      <c r="BW777" s="407"/>
      <c r="BX777" s="407"/>
      <c r="BY777" s="407"/>
      <c r="BZ777" s="407"/>
      <c r="CA777" s="407"/>
      <c r="CB777" s="407"/>
      <c r="CC777" s="407"/>
      <c r="CD777" s="407"/>
      <c r="CE777" s="407"/>
      <c r="CF777" s="407"/>
      <c r="CG777" s="407"/>
      <c r="CH777" s="407"/>
      <c r="CI777" s="407">
        <v>3245</v>
      </c>
      <c r="CJ777" s="407">
        <v>-3655.0300000000007</v>
      </c>
      <c r="CK777" s="407"/>
      <c r="CL777" s="407"/>
      <c r="CM777" s="407"/>
      <c r="CN777" s="407"/>
      <c r="CO777" s="407">
        <v>-7310.0000000000009</v>
      </c>
      <c r="CP777" s="407">
        <v>0</v>
      </c>
      <c r="CQ777" s="407">
        <v>31</v>
      </c>
      <c r="CR777" s="407">
        <v>-270.93877876174702</v>
      </c>
      <c r="CS777" s="407">
        <v>0</v>
      </c>
      <c r="CT777" s="407">
        <v>0</v>
      </c>
      <c r="CU777" s="407">
        <v>0</v>
      </c>
      <c r="CV777" s="407">
        <v>0</v>
      </c>
      <c r="CW777" s="407"/>
      <c r="CX777" s="407"/>
      <c r="CY777" s="407"/>
      <c r="CZ777" s="407">
        <v>0</v>
      </c>
      <c r="DA777" s="407">
        <v>0</v>
      </c>
      <c r="DB777" s="407">
        <v>0</v>
      </c>
      <c r="DC777" s="407"/>
      <c r="DD777" s="407"/>
      <c r="DE777" s="407">
        <v>0</v>
      </c>
      <c r="DF777" s="407">
        <v>0</v>
      </c>
      <c r="DG777" s="407">
        <v>0</v>
      </c>
      <c r="DH777" s="407">
        <v>0</v>
      </c>
      <c r="DI777" s="407">
        <v>0</v>
      </c>
      <c r="DJ777" s="407"/>
      <c r="DK777" s="407">
        <v>0</v>
      </c>
      <c r="DL777" s="407">
        <v>0</v>
      </c>
      <c r="DM777" s="407"/>
      <c r="DN777" s="407">
        <v>0</v>
      </c>
      <c r="DO777" s="407">
        <v>0</v>
      </c>
      <c r="DP777" s="407">
        <v>-1.4399665682300018</v>
      </c>
      <c r="DQ777" s="407">
        <v>0</v>
      </c>
      <c r="DR777" s="407">
        <v>-269.49881219351704</v>
      </c>
      <c r="DS777" s="407"/>
      <c r="DT777" s="407"/>
      <c r="DU777" s="407">
        <v>13780.322629791699</v>
      </c>
      <c r="DV777" s="407"/>
      <c r="DW777" s="407">
        <v>0</v>
      </c>
      <c r="DX777" s="407">
        <v>0</v>
      </c>
      <c r="DY777" s="407">
        <v>-7310</v>
      </c>
      <c r="DZ777" s="407"/>
      <c r="EA777" s="407">
        <v>0</v>
      </c>
      <c r="EB777" s="407"/>
      <c r="EC777" s="407">
        <v>-7039.0208057967893</v>
      </c>
      <c r="ED777" s="407"/>
      <c r="EE777" s="407">
        <v>0</v>
      </c>
      <c r="EF777" s="407">
        <v>0</v>
      </c>
      <c r="EG777" s="407"/>
      <c r="EH777" s="407">
        <v>0</v>
      </c>
      <c r="EI777" s="407">
        <v>0</v>
      </c>
      <c r="EJ777" s="407">
        <v>0</v>
      </c>
      <c r="EK777" s="407">
        <v>0</v>
      </c>
      <c r="EL777" s="407">
        <v>0</v>
      </c>
      <c r="EM777" s="407"/>
      <c r="EN777" s="407"/>
      <c r="EO777" s="407">
        <v>0</v>
      </c>
      <c r="EP777" s="407">
        <v>0</v>
      </c>
      <c r="EQ777" s="407"/>
      <c r="ER777" s="407">
        <v>0</v>
      </c>
      <c r="ES777" s="407"/>
      <c r="ET777" s="407">
        <v>0</v>
      </c>
      <c r="EU777" s="407"/>
      <c r="EV777" s="407">
        <v>246</v>
      </c>
      <c r="EW777" s="407"/>
      <c r="EX777" s="407"/>
      <c r="EY777" s="407"/>
      <c r="EZ777" s="407"/>
      <c r="FA777" s="407">
        <v>0</v>
      </c>
      <c r="FB777" s="407"/>
      <c r="FC777" s="407"/>
      <c r="FD777" s="407"/>
      <c r="FE777" s="407"/>
      <c r="FF777" s="407">
        <v>0</v>
      </c>
      <c r="FG777" s="407">
        <v>0</v>
      </c>
      <c r="FH777" s="407">
        <v>0</v>
      </c>
      <c r="FI777" s="407">
        <v>0</v>
      </c>
    </row>
    <row r="778" spans="1:165">
      <c r="A778" s="407">
        <v>809</v>
      </c>
      <c r="B778" s="407" t="s">
        <v>1090</v>
      </c>
      <c r="C778" s="407" t="s">
        <v>1044</v>
      </c>
      <c r="D778" s="407" t="s">
        <v>650</v>
      </c>
      <c r="E778" s="407" t="s">
        <v>97</v>
      </c>
      <c r="F778" s="407" t="s">
        <v>97</v>
      </c>
      <c r="G778" s="407" t="s">
        <v>97</v>
      </c>
      <c r="H778" s="407" t="s">
        <v>2332</v>
      </c>
      <c r="I778" s="407" t="s">
        <v>97</v>
      </c>
      <c r="J778" s="407" t="s">
        <v>2329</v>
      </c>
      <c r="K778" s="818">
        <v>44409</v>
      </c>
      <c r="L778" s="407">
        <v>800</v>
      </c>
      <c r="M778" s="407">
        <v>400</v>
      </c>
      <c r="N778" s="407">
        <v>0</v>
      </c>
      <c r="O778" s="407">
        <v>0</v>
      </c>
      <c r="P778" s="407">
        <v>0</v>
      </c>
      <c r="Q778" s="407">
        <v>0</v>
      </c>
      <c r="R778" s="407">
        <v>13.8</v>
      </c>
      <c r="S778" s="407"/>
      <c r="T778" s="407"/>
      <c r="U778" s="407">
        <v>11040</v>
      </c>
      <c r="V778" s="407"/>
      <c r="W778" s="407">
        <v>11040</v>
      </c>
      <c r="X778" s="407">
        <v>5192</v>
      </c>
      <c r="Y778" s="407">
        <v>0</v>
      </c>
      <c r="Z778" s="407">
        <v>0</v>
      </c>
      <c r="AA778" s="407">
        <v>0</v>
      </c>
      <c r="AB778" s="407">
        <v>0</v>
      </c>
      <c r="AC778" s="407">
        <v>0</v>
      </c>
      <c r="AD778" s="407">
        <v>0</v>
      </c>
      <c r="AE778" s="407">
        <v>11024.258103833359</v>
      </c>
      <c r="AF778" s="407"/>
      <c r="AG778" s="407"/>
      <c r="AH778" s="407"/>
      <c r="AI778" s="407">
        <v>0</v>
      </c>
      <c r="AJ778" s="407">
        <v>0</v>
      </c>
      <c r="AK778" s="407">
        <v>0</v>
      </c>
      <c r="AL778" s="407">
        <v>0</v>
      </c>
      <c r="AM778" s="407"/>
      <c r="AN778" s="407">
        <v>18.079361296790637</v>
      </c>
      <c r="AO778" s="407">
        <v>0</v>
      </c>
      <c r="AP778" s="407">
        <v>0</v>
      </c>
      <c r="AQ778" s="407">
        <v>0</v>
      </c>
      <c r="AR778" s="407">
        <v>0</v>
      </c>
      <c r="AS778" s="407"/>
      <c r="AT778" s="407"/>
      <c r="AU778" s="407">
        <v>0</v>
      </c>
      <c r="AV778" s="407">
        <v>0</v>
      </c>
      <c r="AW778" s="407">
        <v>0</v>
      </c>
      <c r="AX778" s="407"/>
      <c r="AY778" s="407"/>
      <c r="AZ778" s="407">
        <v>0</v>
      </c>
      <c r="BA778" s="407"/>
      <c r="BB778" s="407">
        <v>0</v>
      </c>
      <c r="BC778" s="407">
        <v>0</v>
      </c>
      <c r="BD778" s="407">
        <v>0</v>
      </c>
      <c r="BE778" s="407">
        <v>0</v>
      </c>
      <c r="BF778" s="407"/>
      <c r="BG778" s="407">
        <v>0</v>
      </c>
      <c r="BH778" s="407">
        <v>0</v>
      </c>
      <c r="BI778" s="407">
        <v>54.86</v>
      </c>
      <c r="BJ778" s="407">
        <v>0</v>
      </c>
      <c r="BK778" s="407">
        <v>0</v>
      </c>
      <c r="BL778" s="407">
        <v>0</v>
      </c>
      <c r="BM778" s="407"/>
      <c r="BN778" s="407"/>
      <c r="BO778" s="407">
        <v>2596</v>
      </c>
      <c r="BP778" s="407"/>
      <c r="BQ778" s="407"/>
      <c r="BR778" s="407"/>
      <c r="BS778" s="407"/>
      <c r="BT778" s="407"/>
      <c r="BU778" s="407"/>
      <c r="BV778" s="407">
        <v>0</v>
      </c>
      <c r="BW778" s="407"/>
      <c r="BX778" s="407"/>
      <c r="BY778" s="407"/>
      <c r="BZ778" s="407"/>
      <c r="CA778" s="407"/>
      <c r="CB778" s="407"/>
      <c r="CC778" s="407"/>
      <c r="CD778" s="407"/>
      <c r="CE778" s="407"/>
      <c r="CF778" s="407"/>
      <c r="CG778" s="407"/>
      <c r="CH778" s="407"/>
      <c r="CI778" s="407">
        <v>2596</v>
      </c>
      <c r="CJ778" s="407">
        <v>-2924.0300000000007</v>
      </c>
      <c r="CK778" s="407"/>
      <c r="CL778" s="407"/>
      <c r="CM778" s="407"/>
      <c r="CN778" s="407"/>
      <c r="CO778" s="407">
        <v>-5848</v>
      </c>
      <c r="CP778" s="407">
        <v>0</v>
      </c>
      <c r="CQ778" s="407">
        <v>31</v>
      </c>
      <c r="CR778" s="407">
        <v>-216.75102300939761</v>
      </c>
      <c r="CS778" s="407">
        <v>0</v>
      </c>
      <c r="CT778" s="407">
        <v>0</v>
      </c>
      <c r="CU778" s="407">
        <v>0</v>
      </c>
      <c r="CV778" s="407">
        <v>0</v>
      </c>
      <c r="CW778" s="407"/>
      <c r="CX778" s="407"/>
      <c r="CY778" s="407"/>
      <c r="CZ778" s="407">
        <v>0</v>
      </c>
      <c r="DA778" s="407">
        <v>0</v>
      </c>
      <c r="DB778" s="407">
        <v>0</v>
      </c>
      <c r="DC778" s="407"/>
      <c r="DD778" s="407"/>
      <c r="DE778" s="407">
        <v>0</v>
      </c>
      <c r="DF778" s="407">
        <v>0</v>
      </c>
      <c r="DG778" s="407">
        <v>0</v>
      </c>
      <c r="DH778" s="407">
        <v>0</v>
      </c>
      <c r="DI778" s="407">
        <v>0</v>
      </c>
      <c r="DJ778" s="407"/>
      <c r="DK778" s="407">
        <v>0</v>
      </c>
      <c r="DL778" s="407">
        <v>0</v>
      </c>
      <c r="DM778" s="407"/>
      <c r="DN778" s="407">
        <v>0</v>
      </c>
      <c r="DO778" s="407">
        <v>0</v>
      </c>
      <c r="DP778" s="407">
        <v>-1.1519732545839965</v>
      </c>
      <c r="DQ778" s="407">
        <v>0</v>
      </c>
      <c r="DR778" s="407">
        <v>-215.59904975481362</v>
      </c>
      <c r="DS778" s="407"/>
      <c r="DT778" s="407"/>
      <c r="DU778" s="407">
        <v>11024.258103833359</v>
      </c>
      <c r="DV778" s="407"/>
      <c r="DW778" s="407">
        <v>0</v>
      </c>
      <c r="DX778" s="407">
        <v>0</v>
      </c>
      <c r="DY778" s="407">
        <v>-5848</v>
      </c>
      <c r="DZ778" s="407"/>
      <c r="EA778" s="407">
        <v>0</v>
      </c>
      <c r="EB778" s="407"/>
      <c r="EC778" s="407">
        <v>-5631.2166446374313</v>
      </c>
      <c r="ED778" s="407"/>
      <c r="EE778" s="407">
        <v>0</v>
      </c>
      <c r="EF778" s="407">
        <v>0</v>
      </c>
      <c r="EG778" s="407"/>
      <c r="EH778" s="407">
        <v>0</v>
      </c>
      <c r="EI778" s="407">
        <v>0</v>
      </c>
      <c r="EJ778" s="407">
        <v>0</v>
      </c>
      <c r="EK778" s="407">
        <v>0</v>
      </c>
      <c r="EL778" s="407">
        <v>0</v>
      </c>
      <c r="EM778" s="407"/>
      <c r="EN778" s="407"/>
      <c r="EO778" s="407">
        <v>0</v>
      </c>
      <c r="EP778" s="407">
        <v>0</v>
      </c>
      <c r="EQ778" s="407"/>
      <c r="ER778" s="407">
        <v>0</v>
      </c>
      <c r="ES778" s="407"/>
      <c r="ET778" s="407">
        <v>0</v>
      </c>
      <c r="EU778" s="407"/>
      <c r="EV778" s="407">
        <v>246</v>
      </c>
      <c r="EW778" s="407"/>
      <c r="EX778" s="407"/>
      <c r="EY778" s="407"/>
      <c r="EZ778" s="407"/>
      <c r="FA778" s="407">
        <v>0</v>
      </c>
      <c r="FB778" s="407"/>
      <c r="FC778" s="407"/>
      <c r="FD778" s="407"/>
      <c r="FE778" s="407"/>
      <c r="FF778" s="407">
        <v>0</v>
      </c>
      <c r="FG778" s="407">
        <v>0</v>
      </c>
      <c r="FH778" s="407">
        <v>0</v>
      </c>
      <c r="FI778" s="407">
        <v>0</v>
      </c>
    </row>
    <row r="779" spans="1:165">
      <c r="A779" s="407">
        <v>810</v>
      </c>
      <c r="B779" s="407" t="s">
        <v>1090</v>
      </c>
      <c r="C779" s="407" t="s">
        <v>1044</v>
      </c>
      <c r="D779" s="407" t="s">
        <v>650</v>
      </c>
      <c r="E779" s="407" t="s">
        <v>97</v>
      </c>
      <c r="F779" s="407" t="s">
        <v>97</v>
      </c>
      <c r="G779" s="407" t="s">
        <v>97</v>
      </c>
      <c r="H779" s="407" t="s">
        <v>2333</v>
      </c>
      <c r="I779" s="407" t="s">
        <v>97</v>
      </c>
      <c r="J779" s="407" t="s">
        <v>2329</v>
      </c>
      <c r="K779" s="818">
        <v>44409</v>
      </c>
      <c r="L779" s="407">
        <v>270</v>
      </c>
      <c r="M779" s="407">
        <v>135</v>
      </c>
      <c r="N779" s="407">
        <v>0</v>
      </c>
      <c r="O779" s="407">
        <v>0</v>
      </c>
      <c r="P779" s="407">
        <v>0</v>
      </c>
      <c r="Q779" s="407">
        <v>0</v>
      </c>
      <c r="R779" s="407">
        <v>13.8</v>
      </c>
      <c r="S779" s="407"/>
      <c r="T779" s="407"/>
      <c r="U779" s="407">
        <v>3726</v>
      </c>
      <c r="V779" s="407"/>
      <c r="W779" s="407">
        <v>3726</v>
      </c>
      <c r="X779" s="407">
        <v>1752.3</v>
      </c>
      <c r="Y779" s="407">
        <v>0</v>
      </c>
      <c r="Z779" s="407">
        <v>0</v>
      </c>
      <c r="AA779" s="407">
        <v>0</v>
      </c>
      <c r="AB779" s="407">
        <v>0</v>
      </c>
      <c r="AC779" s="407">
        <v>0</v>
      </c>
      <c r="AD779" s="407">
        <v>0</v>
      </c>
      <c r="AE779" s="407">
        <v>3720.6871100437588</v>
      </c>
      <c r="AF779" s="407"/>
      <c r="AG779" s="407"/>
      <c r="AH779" s="407"/>
      <c r="AI779" s="407">
        <v>0</v>
      </c>
      <c r="AJ779" s="407">
        <v>0</v>
      </c>
      <c r="AK779" s="407">
        <v>0</v>
      </c>
      <c r="AL779" s="407">
        <v>0</v>
      </c>
      <c r="AM779" s="407"/>
      <c r="AN779" s="407">
        <v>6.1017844376668409</v>
      </c>
      <c r="AO779" s="407">
        <v>0</v>
      </c>
      <c r="AP779" s="407">
        <v>0</v>
      </c>
      <c r="AQ779" s="407">
        <v>0</v>
      </c>
      <c r="AR779" s="407">
        <v>0</v>
      </c>
      <c r="AS779" s="407"/>
      <c r="AT779" s="407"/>
      <c r="AU779" s="407">
        <v>0</v>
      </c>
      <c r="AV779" s="407">
        <v>0</v>
      </c>
      <c r="AW779" s="407">
        <v>0</v>
      </c>
      <c r="AX779" s="407"/>
      <c r="AY779" s="407"/>
      <c r="AZ779" s="407">
        <v>0</v>
      </c>
      <c r="BA779" s="407"/>
      <c r="BB779" s="407">
        <v>0</v>
      </c>
      <c r="BC779" s="407">
        <v>0</v>
      </c>
      <c r="BD779" s="407">
        <v>0</v>
      </c>
      <c r="BE779" s="407">
        <v>0</v>
      </c>
      <c r="BF779" s="407"/>
      <c r="BG779" s="407">
        <v>0</v>
      </c>
      <c r="BH779" s="407">
        <v>0</v>
      </c>
      <c r="BI779" s="407">
        <v>18.510000000000002</v>
      </c>
      <c r="BJ779" s="407">
        <v>0</v>
      </c>
      <c r="BK779" s="407">
        <v>0</v>
      </c>
      <c r="BL779" s="407">
        <v>0</v>
      </c>
      <c r="BM779" s="407"/>
      <c r="BN779" s="407"/>
      <c r="BO779" s="407">
        <v>876.15</v>
      </c>
      <c r="BP779" s="407"/>
      <c r="BQ779" s="407"/>
      <c r="BR779" s="407"/>
      <c r="BS779" s="407"/>
      <c r="BT779" s="407"/>
      <c r="BU779" s="407"/>
      <c r="BV779" s="407">
        <v>0</v>
      </c>
      <c r="BW779" s="407"/>
      <c r="BX779" s="407"/>
      <c r="BY779" s="407"/>
      <c r="BZ779" s="407"/>
      <c r="CA779" s="407"/>
      <c r="CB779" s="407"/>
      <c r="CC779" s="407"/>
      <c r="CD779" s="407"/>
      <c r="CE779" s="407"/>
      <c r="CF779" s="407"/>
      <c r="CG779" s="407"/>
      <c r="CH779" s="407"/>
      <c r="CI779" s="407">
        <v>876.15</v>
      </c>
      <c r="CJ779" s="407">
        <v>-986.88</v>
      </c>
      <c r="CK779" s="407"/>
      <c r="CL779" s="407"/>
      <c r="CM779" s="407"/>
      <c r="CN779" s="407"/>
      <c r="CO779" s="407">
        <v>-1973.7</v>
      </c>
      <c r="CP779" s="407">
        <v>0</v>
      </c>
      <c r="CQ779" s="407">
        <v>31</v>
      </c>
      <c r="CR779" s="407">
        <v>-73.153470265671686</v>
      </c>
      <c r="CS779" s="407">
        <v>0</v>
      </c>
      <c r="CT779" s="407">
        <v>0</v>
      </c>
      <c r="CU779" s="407">
        <v>0</v>
      </c>
      <c r="CV779" s="407">
        <v>0</v>
      </c>
      <c r="CW779" s="407"/>
      <c r="CX779" s="407"/>
      <c r="CY779" s="407"/>
      <c r="CZ779" s="407">
        <v>0</v>
      </c>
      <c r="DA779" s="407">
        <v>0</v>
      </c>
      <c r="DB779" s="407">
        <v>0</v>
      </c>
      <c r="DC779" s="407"/>
      <c r="DD779" s="407"/>
      <c r="DE779" s="407">
        <v>0</v>
      </c>
      <c r="DF779" s="407">
        <v>0</v>
      </c>
      <c r="DG779" s="407">
        <v>0</v>
      </c>
      <c r="DH779" s="407">
        <v>0</v>
      </c>
      <c r="DI779" s="407">
        <v>0</v>
      </c>
      <c r="DJ779" s="407"/>
      <c r="DK779" s="407">
        <v>0</v>
      </c>
      <c r="DL779" s="407">
        <v>0</v>
      </c>
      <c r="DM779" s="407"/>
      <c r="DN779" s="407">
        <v>0</v>
      </c>
      <c r="DO779" s="407">
        <v>0</v>
      </c>
      <c r="DP779" s="407">
        <v>-0.38879097342209956</v>
      </c>
      <c r="DQ779" s="407">
        <v>0</v>
      </c>
      <c r="DR779" s="407">
        <v>-72.764679292249596</v>
      </c>
      <c r="DS779" s="407"/>
      <c r="DT779" s="407"/>
      <c r="DU779" s="407">
        <v>3720.6871100437588</v>
      </c>
      <c r="DV779" s="407"/>
      <c r="DW779" s="407">
        <v>0</v>
      </c>
      <c r="DX779" s="407">
        <v>0</v>
      </c>
      <c r="DY779" s="407">
        <v>-1973.7</v>
      </c>
      <c r="DZ779" s="407"/>
      <c r="EA779" s="407">
        <v>0</v>
      </c>
      <c r="EB779" s="407"/>
      <c r="EC779" s="407">
        <v>-1900.5356175651332</v>
      </c>
      <c r="ED779" s="407"/>
      <c r="EE779" s="407">
        <v>0</v>
      </c>
      <c r="EF779" s="407">
        <v>0</v>
      </c>
      <c r="EG779" s="407"/>
      <c r="EH779" s="407">
        <v>0</v>
      </c>
      <c r="EI779" s="407">
        <v>0</v>
      </c>
      <c r="EJ779" s="407">
        <v>0</v>
      </c>
      <c r="EK779" s="407">
        <v>0</v>
      </c>
      <c r="EL779" s="407">
        <v>0</v>
      </c>
      <c r="EM779" s="407"/>
      <c r="EN779" s="407"/>
      <c r="EO779" s="407">
        <v>0</v>
      </c>
      <c r="EP779" s="407">
        <v>0</v>
      </c>
      <c r="EQ779" s="407"/>
      <c r="ER779" s="407">
        <v>0</v>
      </c>
      <c r="ES779" s="407"/>
      <c r="ET779" s="407">
        <v>0</v>
      </c>
      <c r="EU779" s="407"/>
      <c r="EV779" s="407">
        <v>246</v>
      </c>
      <c r="EW779" s="407"/>
      <c r="EX779" s="407"/>
      <c r="EY779" s="407"/>
      <c r="EZ779" s="407"/>
      <c r="FA779" s="407">
        <v>0</v>
      </c>
      <c r="FB779" s="407"/>
      <c r="FC779" s="407"/>
      <c r="FD779" s="407"/>
      <c r="FE779" s="407"/>
      <c r="FF779" s="407">
        <v>0</v>
      </c>
      <c r="FG779" s="407">
        <v>0</v>
      </c>
      <c r="FH779" s="407">
        <v>0</v>
      </c>
      <c r="FI779" s="407">
        <v>0</v>
      </c>
    </row>
    <row r="780" spans="1:165">
      <c r="A780" s="407">
        <v>811</v>
      </c>
      <c r="B780" s="407" t="s">
        <v>1090</v>
      </c>
      <c r="C780" s="407" t="s">
        <v>1044</v>
      </c>
      <c r="D780" s="407" t="s">
        <v>650</v>
      </c>
      <c r="E780" s="407" t="s">
        <v>97</v>
      </c>
      <c r="F780" s="407" t="s">
        <v>97</v>
      </c>
      <c r="G780" s="407" t="s">
        <v>97</v>
      </c>
      <c r="H780" s="407" t="s">
        <v>2334</v>
      </c>
      <c r="I780" s="407" t="s">
        <v>97</v>
      </c>
      <c r="J780" s="407" t="s">
        <v>2329</v>
      </c>
      <c r="K780" s="818">
        <v>44409</v>
      </c>
      <c r="L780" s="407">
        <v>280</v>
      </c>
      <c r="M780" s="407">
        <v>140</v>
      </c>
      <c r="N780" s="407">
        <v>0</v>
      </c>
      <c r="O780" s="407">
        <v>0</v>
      </c>
      <c r="P780" s="407">
        <v>0</v>
      </c>
      <c r="Q780" s="407">
        <v>0</v>
      </c>
      <c r="R780" s="407">
        <v>13.8</v>
      </c>
      <c r="S780" s="407"/>
      <c r="T780" s="407"/>
      <c r="U780" s="407">
        <v>3864</v>
      </c>
      <c r="V780" s="407"/>
      <c r="W780" s="407">
        <v>3864</v>
      </c>
      <c r="X780" s="407">
        <v>1817.2</v>
      </c>
      <c r="Y780" s="407">
        <v>0</v>
      </c>
      <c r="Z780" s="407">
        <v>0</v>
      </c>
      <c r="AA780" s="407">
        <v>0</v>
      </c>
      <c r="AB780" s="407">
        <v>0</v>
      </c>
      <c r="AC780" s="407">
        <v>0</v>
      </c>
      <c r="AD780" s="407">
        <v>0</v>
      </c>
      <c r="AE780" s="407">
        <v>3858.4903363416761</v>
      </c>
      <c r="AF780" s="407"/>
      <c r="AG780" s="407"/>
      <c r="AH780" s="407"/>
      <c r="AI780" s="407">
        <v>0</v>
      </c>
      <c r="AJ780" s="407">
        <v>0</v>
      </c>
      <c r="AK780" s="407">
        <v>0</v>
      </c>
      <c r="AL780" s="407">
        <v>0</v>
      </c>
      <c r="AM780" s="407"/>
      <c r="AN780" s="407">
        <v>6.3277764538767238</v>
      </c>
      <c r="AO780" s="407">
        <v>0</v>
      </c>
      <c r="AP780" s="407">
        <v>0</v>
      </c>
      <c r="AQ780" s="407">
        <v>0</v>
      </c>
      <c r="AR780" s="407">
        <v>0</v>
      </c>
      <c r="AS780" s="407"/>
      <c r="AT780" s="407"/>
      <c r="AU780" s="407">
        <v>0</v>
      </c>
      <c r="AV780" s="407">
        <v>0</v>
      </c>
      <c r="AW780" s="407">
        <v>0</v>
      </c>
      <c r="AX780" s="407"/>
      <c r="AY780" s="407"/>
      <c r="AZ780" s="407">
        <v>0</v>
      </c>
      <c r="BA780" s="407"/>
      <c r="BB780" s="407">
        <v>0</v>
      </c>
      <c r="BC780" s="407">
        <v>0</v>
      </c>
      <c r="BD780" s="407">
        <v>0</v>
      </c>
      <c r="BE780" s="407">
        <v>0</v>
      </c>
      <c r="BF780" s="407"/>
      <c r="BG780" s="407">
        <v>0</v>
      </c>
      <c r="BH780" s="407">
        <v>0</v>
      </c>
      <c r="BI780" s="407">
        <v>19.2</v>
      </c>
      <c r="BJ780" s="407">
        <v>0</v>
      </c>
      <c r="BK780" s="407">
        <v>0</v>
      </c>
      <c r="BL780" s="407">
        <v>0</v>
      </c>
      <c r="BM780" s="407"/>
      <c r="BN780" s="407"/>
      <c r="BO780" s="407">
        <v>908.6</v>
      </c>
      <c r="BP780" s="407"/>
      <c r="BQ780" s="407"/>
      <c r="BR780" s="407"/>
      <c r="BS780" s="407"/>
      <c r="BT780" s="407"/>
      <c r="BU780" s="407"/>
      <c r="BV780" s="407">
        <v>0</v>
      </c>
      <c r="BW780" s="407"/>
      <c r="BX780" s="407"/>
      <c r="BY780" s="407"/>
      <c r="BZ780" s="407"/>
      <c r="CA780" s="407"/>
      <c r="CB780" s="407"/>
      <c r="CC780" s="407"/>
      <c r="CD780" s="407"/>
      <c r="CE780" s="407"/>
      <c r="CF780" s="407"/>
      <c r="CG780" s="407"/>
      <c r="CH780" s="407"/>
      <c r="CI780" s="407">
        <v>908.6</v>
      </c>
      <c r="CJ780" s="407">
        <v>-1023.43</v>
      </c>
      <c r="CK780" s="407"/>
      <c r="CL780" s="407"/>
      <c r="CM780" s="407"/>
      <c r="CN780" s="407"/>
      <c r="CO780" s="407">
        <v>-2046.8000000000002</v>
      </c>
      <c r="CP780" s="407">
        <v>0</v>
      </c>
      <c r="CQ780" s="407">
        <v>31</v>
      </c>
      <c r="CR780" s="407">
        <v>-75.862858053289159</v>
      </c>
      <c r="CS780" s="407">
        <v>0</v>
      </c>
      <c r="CT780" s="407">
        <v>0</v>
      </c>
      <c r="CU780" s="407">
        <v>0</v>
      </c>
      <c r="CV780" s="407">
        <v>0</v>
      </c>
      <c r="CW780" s="407"/>
      <c r="CX780" s="407"/>
      <c r="CY780" s="407"/>
      <c r="CZ780" s="407">
        <v>0</v>
      </c>
      <c r="DA780" s="407">
        <v>0</v>
      </c>
      <c r="DB780" s="407">
        <v>0</v>
      </c>
      <c r="DC780" s="407"/>
      <c r="DD780" s="407"/>
      <c r="DE780" s="407">
        <v>0</v>
      </c>
      <c r="DF780" s="407">
        <v>0</v>
      </c>
      <c r="DG780" s="407">
        <v>0</v>
      </c>
      <c r="DH780" s="407">
        <v>0</v>
      </c>
      <c r="DI780" s="407">
        <v>0</v>
      </c>
      <c r="DJ780" s="407"/>
      <c r="DK780" s="407">
        <v>0</v>
      </c>
      <c r="DL780" s="407">
        <v>0</v>
      </c>
      <c r="DM780" s="407"/>
      <c r="DN780" s="407">
        <v>0</v>
      </c>
      <c r="DO780" s="407">
        <v>0</v>
      </c>
      <c r="DP780" s="407">
        <v>-0.40319063910440001</v>
      </c>
      <c r="DQ780" s="407">
        <v>0</v>
      </c>
      <c r="DR780" s="407">
        <v>-75.459667414184764</v>
      </c>
      <c r="DS780" s="407"/>
      <c r="DT780" s="407"/>
      <c r="DU780" s="407">
        <v>3858.4903363416761</v>
      </c>
      <c r="DV780" s="407"/>
      <c r="DW780" s="407">
        <v>0</v>
      </c>
      <c r="DX780" s="407">
        <v>0</v>
      </c>
      <c r="DY780" s="407">
        <v>-2046.8</v>
      </c>
      <c r="DZ780" s="407"/>
      <c r="EA780" s="407">
        <v>0</v>
      </c>
      <c r="EB780" s="407"/>
      <c r="EC780" s="407">
        <v>-1970.9258256231014</v>
      </c>
      <c r="ED780" s="407"/>
      <c r="EE780" s="407">
        <v>0</v>
      </c>
      <c r="EF780" s="407">
        <v>0</v>
      </c>
      <c r="EG780" s="407"/>
      <c r="EH780" s="407">
        <v>0</v>
      </c>
      <c r="EI780" s="407">
        <v>0</v>
      </c>
      <c r="EJ780" s="407">
        <v>0</v>
      </c>
      <c r="EK780" s="407">
        <v>0</v>
      </c>
      <c r="EL780" s="407">
        <v>0</v>
      </c>
      <c r="EM780" s="407"/>
      <c r="EN780" s="407"/>
      <c r="EO780" s="407">
        <v>0</v>
      </c>
      <c r="EP780" s="407">
        <v>0</v>
      </c>
      <c r="EQ780" s="407"/>
      <c r="ER780" s="407">
        <v>0</v>
      </c>
      <c r="ES780" s="407"/>
      <c r="ET780" s="407">
        <v>0</v>
      </c>
      <c r="EU780" s="407"/>
      <c r="EV780" s="407">
        <v>246</v>
      </c>
      <c r="EW780" s="407"/>
      <c r="EX780" s="407"/>
      <c r="EY780" s="407"/>
      <c r="EZ780" s="407"/>
      <c r="FA780" s="407">
        <v>0</v>
      </c>
      <c r="FB780" s="407"/>
      <c r="FC780" s="407"/>
      <c r="FD780" s="407"/>
      <c r="FE780" s="407"/>
      <c r="FF780" s="407">
        <v>0</v>
      </c>
      <c r="FG780" s="407">
        <v>0</v>
      </c>
      <c r="FH780" s="407">
        <v>0</v>
      </c>
      <c r="FI780" s="407">
        <v>0</v>
      </c>
    </row>
    <row r="781" spans="1:165">
      <c r="A781" s="407">
        <v>812</v>
      </c>
      <c r="B781" s="407" t="s">
        <v>1090</v>
      </c>
      <c r="C781" s="407" t="s">
        <v>1044</v>
      </c>
      <c r="D781" s="407" t="s">
        <v>650</v>
      </c>
      <c r="E781" s="407" t="s">
        <v>97</v>
      </c>
      <c r="F781" s="407" t="s">
        <v>97</v>
      </c>
      <c r="G781" s="407" t="s">
        <v>97</v>
      </c>
      <c r="H781" s="407" t="s">
        <v>2335</v>
      </c>
      <c r="I781" s="407" t="s">
        <v>97</v>
      </c>
      <c r="J781" s="407" t="s">
        <v>2329</v>
      </c>
      <c r="K781" s="818">
        <v>44409</v>
      </c>
      <c r="L781" s="407">
        <v>730</v>
      </c>
      <c r="M781" s="407">
        <v>365</v>
      </c>
      <c r="N781" s="407">
        <v>0</v>
      </c>
      <c r="O781" s="407">
        <v>0</v>
      </c>
      <c r="P781" s="407">
        <v>0</v>
      </c>
      <c r="Q781" s="407">
        <v>0</v>
      </c>
      <c r="R781" s="407">
        <v>13.8</v>
      </c>
      <c r="S781" s="407"/>
      <c r="T781" s="407"/>
      <c r="U781" s="407">
        <v>10074</v>
      </c>
      <c r="V781" s="407"/>
      <c r="W781" s="407">
        <v>10074</v>
      </c>
      <c r="X781" s="407">
        <v>4737.7</v>
      </c>
      <c r="Y781" s="407">
        <v>0</v>
      </c>
      <c r="Z781" s="407">
        <v>0</v>
      </c>
      <c r="AA781" s="407">
        <v>0</v>
      </c>
      <c r="AB781" s="407">
        <v>0</v>
      </c>
      <c r="AC781" s="407">
        <v>0</v>
      </c>
      <c r="AD781" s="407">
        <v>0</v>
      </c>
      <c r="AE781" s="407">
        <v>10059.635519747941</v>
      </c>
      <c r="AF781" s="407"/>
      <c r="AG781" s="407"/>
      <c r="AH781" s="407"/>
      <c r="AI781" s="407">
        <v>0</v>
      </c>
      <c r="AJ781" s="407">
        <v>0</v>
      </c>
      <c r="AK781" s="407">
        <v>0</v>
      </c>
      <c r="AL781" s="407">
        <v>0</v>
      </c>
      <c r="AM781" s="407"/>
      <c r="AN781" s="407">
        <v>16.497417183321456</v>
      </c>
      <c r="AO781" s="407">
        <v>0</v>
      </c>
      <c r="AP781" s="407">
        <v>0</v>
      </c>
      <c r="AQ781" s="407">
        <v>0</v>
      </c>
      <c r="AR781" s="407">
        <v>0</v>
      </c>
      <c r="AS781" s="407"/>
      <c r="AT781" s="407"/>
      <c r="AU781" s="407">
        <v>0</v>
      </c>
      <c r="AV781" s="407">
        <v>0</v>
      </c>
      <c r="AW781" s="407">
        <v>0</v>
      </c>
      <c r="AX781" s="407"/>
      <c r="AY781" s="407"/>
      <c r="AZ781" s="407">
        <v>0</v>
      </c>
      <c r="BA781" s="407"/>
      <c r="BB781" s="407">
        <v>0</v>
      </c>
      <c r="BC781" s="407">
        <v>0</v>
      </c>
      <c r="BD781" s="407">
        <v>0</v>
      </c>
      <c r="BE781" s="407">
        <v>0</v>
      </c>
      <c r="BF781" s="407"/>
      <c r="BG781" s="407">
        <v>0</v>
      </c>
      <c r="BH781" s="407">
        <v>0</v>
      </c>
      <c r="BI781" s="407">
        <v>50.07</v>
      </c>
      <c r="BJ781" s="407">
        <v>0</v>
      </c>
      <c r="BK781" s="407">
        <v>0</v>
      </c>
      <c r="BL781" s="407">
        <v>0</v>
      </c>
      <c r="BM781" s="407"/>
      <c r="BN781" s="407"/>
      <c r="BO781" s="407">
        <v>2368.85</v>
      </c>
      <c r="BP781" s="407"/>
      <c r="BQ781" s="407"/>
      <c r="BR781" s="407"/>
      <c r="BS781" s="407"/>
      <c r="BT781" s="407"/>
      <c r="BU781" s="407"/>
      <c r="BV781" s="407">
        <v>0</v>
      </c>
      <c r="BW781" s="407"/>
      <c r="BX781" s="407"/>
      <c r="BY781" s="407"/>
      <c r="BZ781" s="407"/>
      <c r="CA781" s="407"/>
      <c r="CB781" s="407"/>
      <c r="CC781" s="407"/>
      <c r="CD781" s="407"/>
      <c r="CE781" s="407"/>
      <c r="CF781" s="407"/>
      <c r="CG781" s="407"/>
      <c r="CH781" s="407"/>
      <c r="CI781" s="407">
        <v>2368.85</v>
      </c>
      <c r="CJ781" s="407">
        <v>-2668.1800000000007</v>
      </c>
      <c r="CK781" s="407"/>
      <c r="CL781" s="407"/>
      <c r="CM781" s="407"/>
      <c r="CN781" s="407"/>
      <c r="CO781" s="407">
        <v>-5336.3</v>
      </c>
      <c r="CP781" s="407">
        <v>0</v>
      </c>
      <c r="CQ781" s="407">
        <v>31</v>
      </c>
      <c r="CR781" s="407">
        <v>-197.78530849607532</v>
      </c>
      <c r="CS781" s="407">
        <v>0</v>
      </c>
      <c r="CT781" s="407">
        <v>0</v>
      </c>
      <c r="CU781" s="407">
        <v>0</v>
      </c>
      <c r="CV781" s="407">
        <v>0</v>
      </c>
      <c r="CW781" s="407"/>
      <c r="CX781" s="407"/>
      <c r="CY781" s="407"/>
      <c r="CZ781" s="407">
        <v>0</v>
      </c>
      <c r="DA781" s="407">
        <v>0</v>
      </c>
      <c r="DB781" s="407">
        <v>0</v>
      </c>
      <c r="DC781" s="407"/>
      <c r="DD781" s="407"/>
      <c r="DE781" s="407">
        <v>0</v>
      </c>
      <c r="DF781" s="407">
        <v>0</v>
      </c>
      <c r="DG781" s="407">
        <v>0</v>
      </c>
      <c r="DH781" s="407">
        <v>0</v>
      </c>
      <c r="DI781" s="407">
        <v>0</v>
      </c>
      <c r="DJ781" s="407"/>
      <c r="DK781" s="407">
        <v>0</v>
      </c>
      <c r="DL781" s="407">
        <v>0</v>
      </c>
      <c r="DM781" s="407"/>
      <c r="DN781" s="407">
        <v>0</v>
      </c>
      <c r="DO781" s="407">
        <v>0</v>
      </c>
      <c r="DP781" s="407">
        <v>-1.0511755948078978</v>
      </c>
      <c r="DQ781" s="407">
        <v>0</v>
      </c>
      <c r="DR781" s="407">
        <v>-196.73413290126743</v>
      </c>
      <c r="DS781" s="407"/>
      <c r="DT781" s="407"/>
      <c r="DU781" s="407">
        <v>10059.635519747941</v>
      </c>
      <c r="DV781" s="407"/>
      <c r="DW781" s="407">
        <v>0</v>
      </c>
      <c r="DX781" s="407">
        <v>0</v>
      </c>
      <c r="DY781" s="407">
        <v>-5336.3</v>
      </c>
      <c r="DZ781" s="407"/>
      <c r="EA781" s="407">
        <v>0</v>
      </c>
      <c r="EB781" s="407"/>
      <c r="EC781" s="407">
        <v>-5138.485188231657</v>
      </c>
      <c r="ED781" s="407"/>
      <c r="EE781" s="407">
        <v>0</v>
      </c>
      <c r="EF781" s="407">
        <v>0</v>
      </c>
      <c r="EG781" s="407"/>
      <c r="EH781" s="407">
        <v>0</v>
      </c>
      <c r="EI781" s="407">
        <v>0</v>
      </c>
      <c r="EJ781" s="407">
        <v>0</v>
      </c>
      <c r="EK781" s="407">
        <v>0</v>
      </c>
      <c r="EL781" s="407">
        <v>0</v>
      </c>
      <c r="EM781" s="407"/>
      <c r="EN781" s="407"/>
      <c r="EO781" s="407">
        <v>0</v>
      </c>
      <c r="EP781" s="407">
        <v>0</v>
      </c>
      <c r="EQ781" s="407"/>
      <c r="ER781" s="407">
        <v>0</v>
      </c>
      <c r="ES781" s="407"/>
      <c r="ET781" s="407">
        <v>0</v>
      </c>
      <c r="EU781" s="407"/>
      <c r="EV781" s="407">
        <v>246</v>
      </c>
      <c r="EW781" s="407"/>
      <c r="EX781" s="407"/>
      <c r="EY781" s="407"/>
      <c r="EZ781" s="407"/>
      <c r="FA781" s="407">
        <v>0</v>
      </c>
      <c r="FB781" s="407"/>
      <c r="FC781" s="407"/>
      <c r="FD781" s="407"/>
      <c r="FE781" s="407"/>
      <c r="FF781" s="407">
        <v>0</v>
      </c>
      <c r="FG781" s="407">
        <v>0</v>
      </c>
      <c r="FH781" s="407">
        <v>0</v>
      </c>
      <c r="FI781" s="407">
        <v>0</v>
      </c>
    </row>
    <row r="782" spans="1:165">
      <c r="A782" s="407">
        <v>813</v>
      </c>
      <c r="B782" s="407" t="s">
        <v>1090</v>
      </c>
      <c r="C782" s="407" t="s">
        <v>1044</v>
      </c>
      <c r="D782" s="407" t="s">
        <v>650</v>
      </c>
      <c r="E782" s="407" t="s">
        <v>97</v>
      </c>
      <c r="F782" s="407" t="s">
        <v>97</v>
      </c>
      <c r="G782" s="407" t="s">
        <v>97</v>
      </c>
      <c r="H782" s="407" t="s">
        <v>2336</v>
      </c>
      <c r="I782" s="407" t="s">
        <v>97</v>
      </c>
      <c r="J782" s="407" t="s">
        <v>2329</v>
      </c>
      <c r="K782" s="818">
        <v>44409</v>
      </c>
      <c r="L782" s="407">
        <v>561</v>
      </c>
      <c r="M782" s="407">
        <v>280.5</v>
      </c>
      <c r="N782" s="407">
        <v>0</v>
      </c>
      <c r="O782" s="407">
        <v>0</v>
      </c>
      <c r="P782" s="407">
        <v>0</v>
      </c>
      <c r="Q782" s="407">
        <v>0</v>
      </c>
      <c r="R782" s="407">
        <v>13.8</v>
      </c>
      <c r="S782" s="407"/>
      <c r="T782" s="407"/>
      <c r="U782" s="407">
        <v>7741.8</v>
      </c>
      <c r="V782" s="407"/>
      <c r="W782" s="407">
        <v>7741.8</v>
      </c>
      <c r="X782" s="407">
        <v>3640.8900000000003</v>
      </c>
      <c r="Y782" s="407">
        <v>0</v>
      </c>
      <c r="Z782" s="407">
        <v>0</v>
      </c>
      <c r="AA782" s="407">
        <v>0</v>
      </c>
      <c r="AB782" s="407">
        <v>0</v>
      </c>
      <c r="AC782" s="407">
        <v>0</v>
      </c>
      <c r="AD782" s="407">
        <v>0</v>
      </c>
      <c r="AE782" s="407">
        <v>7730.7609953131432</v>
      </c>
      <c r="AF782" s="407"/>
      <c r="AG782" s="407"/>
      <c r="AH782" s="407"/>
      <c r="AI782" s="407">
        <v>0</v>
      </c>
      <c r="AJ782" s="407">
        <v>0</v>
      </c>
      <c r="AK782" s="407">
        <v>0</v>
      </c>
      <c r="AL782" s="407">
        <v>0</v>
      </c>
      <c r="AM782" s="407"/>
      <c r="AN782" s="407">
        <v>12.678152109374436</v>
      </c>
      <c r="AO782" s="407">
        <v>0</v>
      </c>
      <c r="AP782" s="407">
        <v>0</v>
      </c>
      <c r="AQ782" s="407">
        <v>0</v>
      </c>
      <c r="AR782" s="407">
        <v>0</v>
      </c>
      <c r="AS782" s="407"/>
      <c r="AT782" s="407"/>
      <c r="AU782" s="407">
        <v>0</v>
      </c>
      <c r="AV782" s="407">
        <v>0</v>
      </c>
      <c r="AW782" s="407">
        <v>0</v>
      </c>
      <c r="AX782" s="407"/>
      <c r="AY782" s="407"/>
      <c r="AZ782" s="407">
        <v>0</v>
      </c>
      <c r="BA782" s="407"/>
      <c r="BB782" s="407">
        <v>0</v>
      </c>
      <c r="BC782" s="407">
        <v>0</v>
      </c>
      <c r="BD782" s="407">
        <v>0</v>
      </c>
      <c r="BE782" s="407">
        <v>0</v>
      </c>
      <c r="BF782" s="407"/>
      <c r="BG782" s="407">
        <v>0</v>
      </c>
      <c r="BH782" s="407">
        <v>0</v>
      </c>
      <c r="BI782" s="407">
        <v>38.47</v>
      </c>
      <c r="BJ782" s="407">
        <v>0</v>
      </c>
      <c r="BK782" s="407">
        <v>0</v>
      </c>
      <c r="BL782" s="407">
        <v>0</v>
      </c>
      <c r="BM782" s="407"/>
      <c r="BN782" s="407"/>
      <c r="BO782" s="407">
        <v>1820.4450000000002</v>
      </c>
      <c r="BP782" s="407"/>
      <c r="BQ782" s="407"/>
      <c r="BR782" s="407"/>
      <c r="BS782" s="407"/>
      <c r="BT782" s="407"/>
      <c r="BU782" s="407"/>
      <c r="BV782" s="407">
        <v>0</v>
      </c>
      <c r="BW782" s="407"/>
      <c r="BX782" s="407"/>
      <c r="BY782" s="407"/>
      <c r="BZ782" s="407"/>
      <c r="CA782" s="407"/>
      <c r="CB782" s="407"/>
      <c r="CC782" s="407"/>
      <c r="CD782" s="407"/>
      <c r="CE782" s="407"/>
      <c r="CF782" s="407"/>
      <c r="CG782" s="407"/>
      <c r="CH782" s="407"/>
      <c r="CI782" s="407">
        <v>1820.4450000000002</v>
      </c>
      <c r="CJ782" s="407">
        <v>-2050.4850000000006</v>
      </c>
      <c r="CK782" s="407"/>
      <c r="CL782" s="407"/>
      <c r="CM782" s="407"/>
      <c r="CN782" s="407"/>
      <c r="CO782" s="407">
        <v>-4100.91</v>
      </c>
      <c r="CP782" s="407">
        <v>0</v>
      </c>
      <c r="CQ782" s="407">
        <v>31</v>
      </c>
      <c r="CR782" s="407">
        <v>-151.99665488534006</v>
      </c>
      <c r="CS782" s="407">
        <v>0</v>
      </c>
      <c r="CT782" s="407">
        <v>0</v>
      </c>
      <c r="CU782" s="407">
        <v>0</v>
      </c>
      <c r="CV782" s="407">
        <v>0</v>
      </c>
      <c r="CW782" s="407"/>
      <c r="CX782" s="407"/>
      <c r="CY782" s="407"/>
      <c r="CZ782" s="407">
        <v>0</v>
      </c>
      <c r="DA782" s="407">
        <v>0</v>
      </c>
      <c r="DB782" s="407">
        <v>0</v>
      </c>
      <c r="DC782" s="407"/>
      <c r="DD782" s="407"/>
      <c r="DE782" s="407">
        <v>0</v>
      </c>
      <c r="DF782" s="407">
        <v>0</v>
      </c>
      <c r="DG782" s="407">
        <v>0</v>
      </c>
      <c r="DH782" s="407">
        <v>0</v>
      </c>
      <c r="DI782" s="407">
        <v>0</v>
      </c>
      <c r="DJ782" s="407"/>
      <c r="DK782" s="407">
        <v>0</v>
      </c>
      <c r="DL782" s="407">
        <v>0</v>
      </c>
      <c r="DM782" s="407"/>
      <c r="DN782" s="407">
        <v>0</v>
      </c>
      <c r="DO782" s="407">
        <v>0</v>
      </c>
      <c r="DP782" s="407">
        <v>-0.80782124477702943</v>
      </c>
      <c r="DQ782" s="407">
        <v>0</v>
      </c>
      <c r="DR782" s="407">
        <v>-151.18883364056305</v>
      </c>
      <c r="DS782" s="407"/>
      <c r="DT782" s="407"/>
      <c r="DU782" s="407">
        <v>7730.7609953131432</v>
      </c>
      <c r="DV782" s="407"/>
      <c r="DW782" s="407">
        <v>0</v>
      </c>
      <c r="DX782" s="407">
        <v>0</v>
      </c>
      <c r="DY782" s="407">
        <v>-4100.91</v>
      </c>
      <c r="DZ782" s="407"/>
      <c r="EA782" s="407">
        <v>0</v>
      </c>
      <c r="EB782" s="407"/>
      <c r="EC782" s="407">
        <v>-3948.890672051999</v>
      </c>
      <c r="ED782" s="407"/>
      <c r="EE782" s="407">
        <v>0</v>
      </c>
      <c r="EF782" s="407">
        <v>0</v>
      </c>
      <c r="EG782" s="407"/>
      <c r="EH782" s="407">
        <v>0</v>
      </c>
      <c r="EI782" s="407">
        <v>0</v>
      </c>
      <c r="EJ782" s="407">
        <v>0</v>
      </c>
      <c r="EK782" s="407">
        <v>0</v>
      </c>
      <c r="EL782" s="407">
        <v>0</v>
      </c>
      <c r="EM782" s="407"/>
      <c r="EN782" s="407"/>
      <c r="EO782" s="407">
        <v>0</v>
      </c>
      <c r="EP782" s="407">
        <v>0</v>
      </c>
      <c r="EQ782" s="407"/>
      <c r="ER782" s="407">
        <v>0</v>
      </c>
      <c r="ES782" s="407"/>
      <c r="ET782" s="407">
        <v>0</v>
      </c>
      <c r="EU782" s="407"/>
      <c r="EV782" s="407">
        <v>246</v>
      </c>
      <c r="EW782" s="407"/>
      <c r="EX782" s="407"/>
      <c r="EY782" s="407"/>
      <c r="EZ782" s="407"/>
      <c r="FA782" s="407">
        <v>0</v>
      </c>
      <c r="FB782" s="407"/>
      <c r="FC782" s="407"/>
      <c r="FD782" s="407"/>
      <c r="FE782" s="407"/>
      <c r="FF782" s="407">
        <v>0</v>
      </c>
      <c r="FG782" s="407">
        <v>0</v>
      </c>
      <c r="FH782" s="407">
        <v>0</v>
      </c>
      <c r="FI782" s="407">
        <v>0</v>
      </c>
    </row>
    <row r="783" spans="1:165">
      <c r="A783" s="407">
        <v>814</v>
      </c>
      <c r="B783" s="407" t="s">
        <v>1090</v>
      </c>
      <c r="C783" s="407" t="s">
        <v>1044</v>
      </c>
      <c r="D783" s="407" t="s">
        <v>650</v>
      </c>
      <c r="E783" s="407" t="s">
        <v>97</v>
      </c>
      <c r="F783" s="407" t="s">
        <v>97</v>
      </c>
      <c r="G783" s="407" t="s">
        <v>97</v>
      </c>
      <c r="H783" s="407" t="s">
        <v>2337</v>
      </c>
      <c r="I783" s="407" t="s">
        <v>97</v>
      </c>
      <c r="J783" s="407" t="s">
        <v>2329</v>
      </c>
      <c r="K783" s="818">
        <v>44409</v>
      </c>
      <c r="L783" s="407">
        <v>379</v>
      </c>
      <c r="M783" s="407">
        <v>189.5</v>
      </c>
      <c r="N783" s="407">
        <v>0</v>
      </c>
      <c r="O783" s="407">
        <v>0</v>
      </c>
      <c r="P783" s="407">
        <v>0</v>
      </c>
      <c r="Q783" s="407">
        <v>0</v>
      </c>
      <c r="R783" s="407">
        <v>13.8</v>
      </c>
      <c r="S783" s="407"/>
      <c r="T783" s="407"/>
      <c r="U783" s="407">
        <v>5230.2</v>
      </c>
      <c r="V783" s="407"/>
      <c r="W783" s="407">
        <v>5230.2</v>
      </c>
      <c r="X783" s="407">
        <v>2459.71</v>
      </c>
      <c r="Y783" s="407">
        <v>0</v>
      </c>
      <c r="Z783" s="407">
        <v>0</v>
      </c>
      <c r="AA783" s="407">
        <v>0</v>
      </c>
      <c r="AB783" s="407">
        <v>0</v>
      </c>
      <c r="AC783" s="407">
        <v>0</v>
      </c>
      <c r="AD783" s="407">
        <v>0</v>
      </c>
      <c r="AE783" s="407">
        <v>5222.742276691054</v>
      </c>
      <c r="AF783" s="407"/>
      <c r="AG783" s="407"/>
      <c r="AH783" s="407"/>
      <c r="AI783" s="407">
        <v>0</v>
      </c>
      <c r="AJ783" s="407">
        <v>0</v>
      </c>
      <c r="AK783" s="407">
        <v>0</v>
      </c>
      <c r="AL783" s="407">
        <v>0</v>
      </c>
      <c r="AM783" s="407"/>
      <c r="AN783" s="407">
        <v>8.5650974143545646</v>
      </c>
      <c r="AO783" s="407">
        <v>0</v>
      </c>
      <c r="AP783" s="407">
        <v>0</v>
      </c>
      <c r="AQ783" s="407">
        <v>0</v>
      </c>
      <c r="AR783" s="407">
        <v>0</v>
      </c>
      <c r="AS783" s="407"/>
      <c r="AT783" s="407"/>
      <c r="AU783" s="407">
        <v>0</v>
      </c>
      <c r="AV783" s="407">
        <v>0</v>
      </c>
      <c r="AW783" s="407">
        <v>0</v>
      </c>
      <c r="AX783" s="407"/>
      <c r="AY783" s="407"/>
      <c r="AZ783" s="407">
        <v>0</v>
      </c>
      <c r="BA783" s="407"/>
      <c r="BB783" s="407">
        <v>0</v>
      </c>
      <c r="BC783" s="407">
        <v>0</v>
      </c>
      <c r="BD783" s="407">
        <v>0</v>
      </c>
      <c r="BE783" s="407">
        <v>0</v>
      </c>
      <c r="BF783" s="407"/>
      <c r="BG783" s="407">
        <v>0</v>
      </c>
      <c r="BH783" s="407">
        <v>0</v>
      </c>
      <c r="BI783" s="407">
        <v>25.99</v>
      </c>
      <c r="BJ783" s="407">
        <v>0</v>
      </c>
      <c r="BK783" s="407">
        <v>0</v>
      </c>
      <c r="BL783" s="407">
        <v>0</v>
      </c>
      <c r="BM783" s="407"/>
      <c r="BN783" s="407"/>
      <c r="BO783" s="407">
        <v>1229.855</v>
      </c>
      <c r="BP783" s="407"/>
      <c r="BQ783" s="407"/>
      <c r="BR783" s="407"/>
      <c r="BS783" s="407"/>
      <c r="BT783" s="407"/>
      <c r="BU783" s="407"/>
      <c r="BV783" s="407">
        <v>0</v>
      </c>
      <c r="BW783" s="407"/>
      <c r="BX783" s="407"/>
      <c r="BY783" s="407"/>
      <c r="BZ783" s="407"/>
      <c r="CA783" s="407"/>
      <c r="CB783" s="407"/>
      <c r="CC783" s="407"/>
      <c r="CD783" s="407"/>
      <c r="CE783" s="407"/>
      <c r="CF783" s="407"/>
      <c r="CG783" s="407"/>
      <c r="CH783" s="407"/>
      <c r="CI783" s="407">
        <v>1229.855</v>
      </c>
      <c r="CJ783" s="407">
        <v>-1385.2750000000005</v>
      </c>
      <c r="CK783" s="407"/>
      <c r="CL783" s="407"/>
      <c r="CM783" s="407"/>
      <c r="CN783" s="407"/>
      <c r="CO783" s="407">
        <v>-2770.4900000000002</v>
      </c>
      <c r="CP783" s="407">
        <v>0</v>
      </c>
      <c r="CQ783" s="407">
        <v>31</v>
      </c>
      <c r="CR783" s="407">
        <v>-102.68579715070211</v>
      </c>
      <c r="CS783" s="407">
        <v>0</v>
      </c>
      <c r="CT783" s="407">
        <v>0</v>
      </c>
      <c r="CU783" s="407">
        <v>0</v>
      </c>
      <c r="CV783" s="407">
        <v>0</v>
      </c>
      <c r="CW783" s="407"/>
      <c r="CX783" s="407"/>
      <c r="CY783" s="407"/>
      <c r="CZ783" s="407">
        <v>0</v>
      </c>
      <c r="DA783" s="407">
        <v>0</v>
      </c>
      <c r="DB783" s="407">
        <v>0</v>
      </c>
      <c r="DC783" s="407"/>
      <c r="DD783" s="407"/>
      <c r="DE783" s="407">
        <v>0</v>
      </c>
      <c r="DF783" s="407">
        <v>0</v>
      </c>
      <c r="DG783" s="407">
        <v>0</v>
      </c>
      <c r="DH783" s="407">
        <v>0</v>
      </c>
      <c r="DI783" s="407">
        <v>0</v>
      </c>
      <c r="DJ783" s="407"/>
      <c r="DK783" s="407">
        <v>0</v>
      </c>
      <c r="DL783" s="407">
        <v>0</v>
      </c>
      <c r="DM783" s="407"/>
      <c r="DN783" s="407">
        <v>0</v>
      </c>
      <c r="DO783" s="407">
        <v>0</v>
      </c>
      <c r="DP783" s="407">
        <v>-0.5457473293591697</v>
      </c>
      <c r="DQ783" s="407">
        <v>0</v>
      </c>
      <c r="DR783" s="407">
        <v>-102.14004982134294</v>
      </c>
      <c r="DS783" s="407"/>
      <c r="DT783" s="407"/>
      <c r="DU783" s="407">
        <v>5222.742276691054</v>
      </c>
      <c r="DV783" s="407"/>
      <c r="DW783" s="407">
        <v>0</v>
      </c>
      <c r="DX783" s="407">
        <v>0</v>
      </c>
      <c r="DY783" s="407">
        <v>-2770.49</v>
      </c>
      <c r="DZ783" s="407"/>
      <c r="EA783" s="407">
        <v>0</v>
      </c>
      <c r="EB783" s="407"/>
      <c r="EC783" s="407">
        <v>-2667.7888853969835</v>
      </c>
      <c r="ED783" s="407"/>
      <c r="EE783" s="407">
        <v>0</v>
      </c>
      <c r="EF783" s="407">
        <v>0</v>
      </c>
      <c r="EG783" s="407"/>
      <c r="EH783" s="407">
        <v>0</v>
      </c>
      <c r="EI783" s="407">
        <v>0</v>
      </c>
      <c r="EJ783" s="407">
        <v>0</v>
      </c>
      <c r="EK783" s="407">
        <v>0</v>
      </c>
      <c r="EL783" s="407">
        <v>0</v>
      </c>
      <c r="EM783" s="407"/>
      <c r="EN783" s="407"/>
      <c r="EO783" s="407">
        <v>0</v>
      </c>
      <c r="EP783" s="407">
        <v>0</v>
      </c>
      <c r="EQ783" s="407"/>
      <c r="ER783" s="407">
        <v>0</v>
      </c>
      <c r="ES783" s="407"/>
      <c r="ET783" s="407">
        <v>0</v>
      </c>
      <c r="EU783" s="407"/>
      <c r="EV783" s="407">
        <v>246</v>
      </c>
      <c r="EW783" s="407"/>
      <c r="EX783" s="407"/>
      <c r="EY783" s="407"/>
      <c r="EZ783" s="407"/>
      <c r="FA783" s="407">
        <v>0</v>
      </c>
      <c r="FB783" s="407"/>
      <c r="FC783" s="407"/>
      <c r="FD783" s="407"/>
      <c r="FE783" s="407"/>
      <c r="FF783" s="407">
        <v>0</v>
      </c>
      <c r="FG783" s="407">
        <v>0</v>
      </c>
      <c r="FH783" s="407">
        <v>0</v>
      </c>
      <c r="FI783" s="407">
        <v>0</v>
      </c>
    </row>
    <row r="784" spans="1:165">
      <c r="A784" s="407">
        <v>815</v>
      </c>
      <c r="B784" s="407" t="s">
        <v>1090</v>
      </c>
      <c r="C784" s="407" t="s">
        <v>1044</v>
      </c>
      <c r="D784" s="407" t="s">
        <v>650</v>
      </c>
      <c r="E784" s="407" t="s">
        <v>97</v>
      </c>
      <c r="F784" s="407" t="s">
        <v>97</v>
      </c>
      <c r="G784" s="407" t="s">
        <v>97</v>
      </c>
      <c r="H784" s="407" t="s">
        <v>2338</v>
      </c>
      <c r="I784" s="407" t="s">
        <v>97</v>
      </c>
      <c r="J784" s="407" t="s">
        <v>2329</v>
      </c>
      <c r="K784" s="818">
        <v>44409</v>
      </c>
      <c r="L784" s="407">
        <v>718</v>
      </c>
      <c r="M784" s="407">
        <v>359</v>
      </c>
      <c r="N784" s="407">
        <v>0</v>
      </c>
      <c r="O784" s="407">
        <v>0</v>
      </c>
      <c r="P784" s="407">
        <v>0</v>
      </c>
      <c r="Q784" s="407">
        <v>0</v>
      </c>
      <c r="R784" s="407">
        <v>13.8</v>
      </c>
      <c r="S784" s="407"/>
      <c r="T784" s="407"/>
      <c r="U784" s="407">
        <v>9908.4</v>
      </c>
      <c r="V784" s="407"/>
      <c r="W784" s="407">
        <v>9908.4</v>
      </c>
      <c r="X784" s="407">
        <v>4659.82</v>
      </c>
      <c r="Y784" s="407">
        <v>0</v>
      </c>
      <c r="Z784" s="407">
        <v>0</v>
      </c>
      <c r="AA784" s="407">
        <v>0</v>
      </c>
      <c r="AB784" s="407">
        <v>0</v>
      </c>
      <c r="AC784" s="407">
        <v>0</v>
      </c>
      <c r="AD784" s="407">
        <v>0</v>
      </c>
      <c r="AE784" s="407">
        <v>9894.2716481904408</v>
      </c>
      <c r="AF784" s="407"/>
      <c r="AG784" s="407"/>
      <c r="AH784" s="407"/>
      <c r="AI784" s="407">
        <v>0</v>
      </c>
      <c r="AJ784" s="407">
        <v>0</v>
      </c>
      <c r="AK784" s="407">
        <v>0</v>
      </c>
      <c r="AL784" s="407">
        <v>0</v>
      </c>
      <c r="AM784" s="407"/>
      <c r="AN784" s="407">
        <v>16.226226763869597</v>
      </c>
      <c r="AO784" s="407">
        <v>0</v>
      </c>
      <c r="AP784" s="407">
        <v>0</v>
      </c>
      <c r="AQ784" s="407">
        <v>0</v>
      </c>
      <c r="AR784" s="407">
        <v>0</v>
      </c>
      <c r="AS784" s="407"/>
      <c r="AT784" s="407"/>
      <c r="AU784" s="407">
        <v>0</v>
      </c>
      <c r="AV784" s="407">
        <v>0</v>
      </c>
      <c r="AW784" s="407">
        <v>0</v>
      </c>
      <c r="AX784" s="407"/>
      <c r="AY784" s="407"/>
      <c r="AZ784" s="407">
        <v>0</v>
      </c>
      <c r="BA784" s="407"/>
      <c r="BB784" s="407">
        <v>0</v>
      </c>
      <c r="BC784" s="407">
        <v>0</v>
      </c>
      <c r="BD784" s="407">
        <v>0</v>
      </c>
      <c r="BE784" s="407">
        <v>0</v>
      </c>
      <c r="BF784" s="407"/>
      <c r="BG784" s="407">
        <v>0</v>
      </c>
      <c r="BH784" s="407">
        <v>0</v>
      </c>
      <c r="BI784" s="407">
        <v>49.24</v>
      </c>
      <c r="BJ784" s="407">
        <v>0</v>
      </c>
      <c r="BK784" s="407">
        <v>0</v>
      </c>
      <c r="BL784" s="407">
        <v>0</v>
      </c>
      <c r="BM784" s="407"/>
      <c r="BN784" s="407"/>
      <c r="BO784" s="407">
        <v>2329.91</v>
      </c>
      <c r="BP784" s="407"/>
      <c r="BQ784" s="407"/>
      <c r="BR784" s="407"/>
      <c r="BS784" s="407"/>
      <c r="BT784" s="407"/>
      <c r="BU784" s="407"/>
      <c r="BV784" s="407">
        <v>0</v>
      </c>
      <c r="BW784" s="407"/>
      <c r="BX784" s="407"/>
      <c r="BY784" s="407"/>
      <c r="BZ784" s="407"/>
      <c r="CA784" s="407"/>
      <c r="CB784" s="407"/>
      <c r="CC784" s="407"/>
      <c r="CD784" s="407"/>
      <c r="CE784" s="407"/>
      <c r="CF784" s="407"/>
      <c r="CG784" s="407"/>
      <c r="CH784" s="407"/>
      <c r="CI784" s="407">
        <v>2329.91</v>
      </c>
      <c r="CJ784" s="407">
        <v>-2624.3200000000006</v>
      </c>
      <c r="CK784" s="407"/>
      <c r="CL784" s="407"/>
      <c r="CM784" s="407"/>
      <c r="CN784" s="407"/>
      <c r="CO784" s="407">
        <v>-5248.58</v>
      </c>
      <c r="CP784" s="407">
        <v>0</v>
      </c>
      <c r="CQ784" s="407">
        <v>31</v>
      </c>
      <c r="CR784" s="407">
        <v>-194.53404315093434</v>
      </c>
      <c r="CS784" s="407">
        <v>0</v>
      </c>
      <c r="CT784" s="407">
        <v>0</v>
      </c>
      <c r="CU784" s="407">
        <v>0</v>
      </c>
      <c r="CV784" s="407">
        <v>0</v>
      </c>
      <c r="CW784" s="407"/>
      <c r="CX784" s="407"/>
      <c r="CY784" s="407"/>
      <c r="CZ784" s="407">
        <v>0</v>
      </c>
      <c r="DA784" s="407">
        <v>0</v>
      </c>
      <c r="DB784" s="407">
        <v>0</v>
      </c>
      <c r="DC784" s="407"/>
      <c r="DD784" s="407"/>
      <c r="DE784" s="407">
        <v>0</v>
      </c>
      <c r="DF784" s="407">
        <v>0</v>
      </c>
      <c r="DG784" s="407">
        <v>0</v>
      </c>
      <c r="DH784" s="407">
        <v>0</v>
      </c>
      <c r="DI784" s="407">
        <v>0</v>
      </c>
      <c r="DJ784" s="407"/>
      <c r="DK784" s="407">
        <v>0</v>
      </c>
      <c r="DL784" s="407">
        <v>0</v>
      </c>
      <c r="DM784" s="407"/>
      <c r="DN784" s="407">
        <v>0</v>
      </c>
      <c r="DO784" s="407">
        <v>0</v>
      </c>
      <c r="DP784" s="407">
        <v>-1.0338959959891376</v>
      </c>
      <c r="DQ784" s="407">
        <v>0</v>
      </c>
      <c r="DR784" s="407">
        <v>-193.50014715494521</v>
      </c>
      <c r="DS784" s="407"/>
      <c r="DT784" s="407"/>
      <c r="DU784" s="407">
        <v>9894.2716481904408</v>
      </c>
      <c r="DV784" s="407"/>
      <c r="DW784" s="407">
        <v>0</v>
      </c>
      <c r="DX784" s="407">
        <v>0</v>
      </c>
      <c r="DY784" s="407">
        <v>-5248.58</v>
      </c>
      <c r="DZ784" s="407"/>
      <c r="EA784" s="407">
        <v>0</v>
      </c>
      <c r="EB784" s="407"/>
      <c r="EC784" s="407">
        <v>-5054.0169385620957</v>
      </c>
      <c r="ED784" s="407"/>
      <c r="EE784" s="407">
        <v>0</v>
      </c>
      <c r="EF784" s="407">
        <v>0</v>
      </c>
      <c r="EG784" s="407"/>
      <c r="EH784" s="407">
        <v>0</v>
      </c>
      <c r="EI784" s="407">
        <v>0</v>
      </c>
      <c r="EJ784" s="407">
        <v>0</v>
      </c>
      <c r="EK784" s="407">
        <v>0</v>
      </c>
      <c r="EL784" s="407">
        <v>0</v>
      </c>
      <c r="EM784" s="407"/>
      <c r="EN784" s="407"/>
      <c r="EO784" s="407">
        <v>0</v>
      </c>
      <c r="EP784" s="407">
        <v>0</v>
      </c>
      <c r="EQ784" s="407"/>
      <c r="ER784" s="407">
        <v>0</v>
      </c>
      <c r="ES784" s="407"/>
      <c r="ET784" s="407">
        <v>0</v>
      </c>
      <c r="EU784" s="407"/>
      <c r="EV784" s="407">
        <v>246</v>
      </c>
      <c r="EW784" s="407"/>
      <c r="EX784" s="407"/>
      <c r="EY784" s="407"/>
      <c r="EZ784" s="407"/>
      <c r="FA784" s="407">
        <v>0</v>
      </c>
      <c r="FB784" s="407"/>
      <c r="FC784" s="407"/>
      <c r="FD784" s="407"/>
      <c r="FE784" s="407"/>
      <c r="FF784" s="407">
        <v>0</v>
      </c>
      <c r="FG784" s="407">
        <v>0</v>
      </c>
      <c r="FH784" s="407">
        <v>0</v>
      </c>
      <c r="FI784" s="407">
        <v>0</v>
      </c>
    </row>
    <row r="785" spans="1:165">
      <c r="A785" s="407">
        <v>816</v>
      </c>
      <c r="B785" s="407" t="s">
        <v>1090</v>
      </c>
      <c r="C785" s="407" t="s">
        <v>1044</v>
      </c>
      <c r="D785" s="407" t="s">
        <v>650</v>
      </c>
      <c r="E785" s="407" t="s">
        <v>97</v>
      </c>
      <c r="F785" s="407" t="s">
        <v>97</v>
      </c>
      <c r="G785" s="407" t="s">
        <v>97</v>
      </c>
      <c r="H785" s="407" t="s">
        <v>2328</v>
      </c>
      <c r="I785" s="407" t="s">
        <v>97</v>
      </c>
      <c r="J785" s="407" t="s">
        <v>2329</v>
      </c>
      <c r="K785" s="818">
        <v>44440</v>
      </c>
      <c r="L785" s="407">
        <v>880</v>
      </c>
      <c r="M785" s="407">
        <v>440</v>
      </c>
      <c r="N785" s="407">
        <v>0</v>
      </c>
      <c r="O785" s="407">
        <v>0</v>
      </c>
      <c r="P785" s="407">
        <v>0</v>
      </c>
      <c r="Q785" s="407">
        <v>0</v>
      </c>
      <c r="R785" s="407">
        <v>13.8</v>
      </c>
      <c r="S785" s="407"/>
      <c r="T785" s="407"/>
      <c r="U785" s="407">
        <v>12144</v>
      </c>
      <c r="V785" s="407"/>
      <c r="W785" s="407">
        <v>12144</v>
      </c>
      <c r="X785" s="407">
        <v>5711.2</v>
      </c>
      <c r="Y785" s="407">
        <v>0</v>
      </c>
      <c r="Z785" s="407">
        <v>0</v>
      </c>
      <c r="AA785" s="407">
        <v>0</v>
      </c>
      <c r="AB785" s="407">
        <v>0</v>
      </c>
      <c r="AC785" s="407">
        <v>0</v>
      </c>
      <c r="AD785" s="407">
        <v>0</v>
      </c>
      <c r="AE785" s="407">
        <v>12126.683914216695</v>
      </c>
      <c r="AF785" s="407"/>
      <c r="AG785" s="407"/>
      <c r="AH785" s="407"/>
      <c r="AI785" s="407">
        <v>0</v>
      </c>
      <c r="AJ785" s="407">
        <v>0</v>
      </c>
      <c r="AK785" s="407">
        <v>0</v>
      </c>
      <c r="AL785" s="407">
        <v>0</v>
      </c>
      <c r="AM785" s="407"/>
      <c r="AN785" s="407">
        <v>19.887297426469704</v>
      </c>
      <c r="AO785" s="407">
        <v>0</v>
      </c>
      <c r="AP785" s="407">
        <v>0</v>
      </c>
      <c r="AQ785" s="407">
        <v>0</v>
      </c>
      <c r="AR785" s="407">
        <v>0</v>
      </c>
      <c r="AS785" s="407"/>
      <c r="AT785" s="407"/>
      <c r="AU785" s="407">
        <v>0</v>
      </c>
      <c r="AV785" s="407">
        <v>0</v>
      </c>
      <c r="AW785" s="407">
        <v>0</v>
      </c>
      <c r="AX785" s="407"/>
      <c r="AY785" s="407"/>
      <c r="AZ785" s="407">
        <v>0</v>
      </c>
      <c r="BA785" s="407"/>
      <c r="BB785" s="407">
        <v>0</v>
      </c>
      <c r="BC785" s="407">
        <v>0</v>
      </c>
      <c r="BD785" s="407">
        <v>0</v>
      </c>
      <c r="BE785" s="407">
        <v>0</v>
      </c>
      <c r="BF785" s="407"/>
      <c r="BG785" s="407">
        <v>0</v>
      </c>
      <c r="BH785" s="407">
        <v>0</v>
      </c>
      <c r="BI785" s="407">
        <v>57.67</v>
      </c>
      <c r="BJ785" s="407">
        <v>0</v>
      </c>
      <c r="BK785" s="407">
        <v>0</v>
      </c>
      <c r="BL785" s="407">
        <v>0</v>
      </c>
      <c r="BM785" s="407"/>
      <c r="BN785" s="407"/>
      <c r="BO785" s="407">
        <v>2855.6</v>
      </c>
      <c r="BP785" s="407"/>
      <c r="BQ785" s="407"/>
      <c r="BR785" s="407"/>
      <c r="BS785" s="407"/>
      <c r="BT785" s="407"/>
      <c r="BU785" s="407"/>
      <c r="BV785" s="407">
        <v>0</v>
      </c>
      <c r="BW785" s="407"/>
      <c r="BX785" s="407"/>
      <c r="BY785" s="407"/>
      <c r="BZ785" s="407"/>
      <c r="CA785" s="407"/>
      <c r="CB785" s="407"/>
      <c r="CC785" s="407"/>
      <c r="CD785" s="407"/>
      <c r="CE785" s="407"/>
      <c r="CF785" s="407"/>
      <c r="CG785" s="407"/>
      <c r="CH785" s="407"/>
      <c r="CI785" s="407">
        <v>2855.6</v>
      </c>
      <c r="CJ785" s="407">
        <v>-3216.4300000000007</v>
      </c>
      <c r="CK785" s="407"/>
      <c r="CL785" s="407"/>
      <c r="CM785" s="407"/>
      <c r="CN785" s="407"/>
      <c r="CO785" s="407">
        <v>-6432.8</v>
      </c>
      <c r="CP785" s="407">
        <v>0</v>
      </c>
      <c r="CQ785" s="407">
        <v>30</v>
      </c>
      <c r="CR785" s="407">
        <v>-238.42612531033737</v>
      </c>
      <c r="CS785" s="407">
        <v>0</v>
      </c>
      <c r="CT785" s="407">
        <v>0</v>
      </c>
      <c r="CU785" s="407">
        <v>0</v>
      </c>
      <c r="CV785" s="407">
        <v>0</v>
      </c>
      <c r="CW785" s="407"/>
      <c r="CX785" s="407"/>
      <c r="CY785" s="407"/>
      <c r="CZ785" s="407">
        <v>0</v>
      </c>
      <c r="DA785" s="407">
        <v>0</v>
      </c>
      <c r="DB785" s="407">
        <v>0</v>
      </c>
      <c r="DC785" s="407"/>
      <c r="DD785" s="407"/>
      <c r="DE785" s="407">
        <v>0</v>
      </c>
      <c r="DF785" s="407">
        <v>0</v>
      </c>
      <c r="DG785" s="407">
        <v>0</v>
      </c>
      <c r="DH785" s="407">
        <v>0</v>
      </c>
      <c r="DI785" s="407">
        <v>0</v>
      </c>
      <c r="DJ785" s="407"/>
      <c r="DK785" s="407">
        <v>0</v>
      </c>
      <c r="DL785" s="407">
        <v>0</v>
      </c>
      <c r="DM785" s="407"/>
      <c r="DN785" s="407">
        <v>0</v>
      </c>
      <c r="DO785" s="407">
        <v>0</v>
      </c>
      <c r="DP785" s="407">
        <v>-1.2671705800424</v>
      </c>
      <c r="DQ785" s="407">
        <v>0</v>
      </c>
      <c r="DR785" s="407">
        <v>-237.15895473029497</v>
      </c>
      <c r="DS785" s="407"/>
      <c r="DT785" s="407"/>
      <c r="DU785" s="407">
        <v>12126.683914216695</v>
      </c>
      <c r="DV785" s="407"/>
      <c r="DW785" s="407">
        <v>0</v>
      </c>
      <c r="DX785" s="407">
        <v>0</v>
      </c>
      <c r="DY785" s="407">
        <v>-6432.8</v>
      </c>
      <c r="DZ785" s="407"/>
      <c r="EA785" s="407">
        <v>0</v>
      </c>
      <c r="EB785" s="407"/>
      <c r="EC785" s="407">
        <v>-6194.3383091011747</v>
      </c>
      <c r="ED785" s="407"/>
      <c r="EE785" s="407">
        <v>0</v>
      </c>
      <c r="EF785" s="407">
        <v>0</v>
      </c>
      <c r="EG785" s="407"/>
      <c r="EH785" s="407">
        <v>0</v>
      </c>
      <c r="EI785" s="407">
        <v>0</v>
      </c>
      <c r="EJ785" s="407">
        <v>0</v>
      </c>
      <c r="EK785" s="407">
        <v>0</v>
      </c>
      <c r="EL785" s="407">
        <v>0</v>
      </c>
      <c r="EM785" s="407"/>
      <c r="EN785" s="407"/>
      <c r="EO785" s="407">
        <v>0</v>
      </c>
      <c r="EP785" s="407">
        <v>0</v>
      </c>
      <c r="EQ785" s="407"/>
      <c r="ER785" s="407">
        <v>0</v>
      </c>
      <c r="ES785" s="407"/>
      <c r="ET785" s="407">
        <v>0</v>
      </c>
      <c r="EU785" s="407"/>
      <c r="EV785" s="407">
        <v>246</v>
      </c>
      <c r="EW785" s="407"/>
      <c r="EX785" s="407"/>
      <c r="EY785" s="407"/>
      <c r="EZ785" s="407"/>
      <c r="FA785" s="407">
        <v>0</v>
      </c>
      <c r="FB785" s="407"/>
      <c r="FC785" s="407"/>
      <c r="FD785" s="407"/>
      <c r="FE785" s="407"/>
      <c r="FF785" s="407">
        <v>0</v>
      </c>
      <c r="FG785" s="407">
        <v>0</v>
      </c>
      <c r="FH785" s="407">
        <v>0</v>
      </c>
      <c r="FI785" s="407">
        <v>0</v>
      </c>
    </row>
    <row r="786" spans="1:165">
      <c r="A786" s="407">
        <v>817</v>
      </c>
      <c r="B786" s="407" t="s">
        <v>1090</v>
      </c>
      <c r="C786" s="407" t="s">
        <v>1044</v>
      </c>
      <c r="D786" s="407" t="s">
        <v>650</v>
      </c>
      <c r="E786" s="407" t="s">
        <v>97</v>
      </c>
      <c r="F786" s="407" t="s">
        <v>97</v>
      </c>
      <c r="G786" s="407" t="s">
        <v>97</v>
      </c>
      <c r="H786" s="407" t="s">
        <v>2330</v>
      </c>
      <c r="I786" s="407" t="s">
        <v>97</v>
      </c>
      <c r="J786" s="407" t="s">
        <v>2329</v>
      </c>
      <c r="K786" s="818">
        <v>44440</v>
      </c>
      <c r="L786" s="407">
        <v>520</v>
      </c>
      <c r="M786" s="407">
        <v>260</v>
      </c>
      <c r="N786" s="407">
        <v>0</v>
      </c>
      <c r="O786" s="407">
        <v>0</v>
      </c>
      <c r="P786" s="407">
        <v>0</v>
      </c>
      <c r="Q786" s="407">
        <v>0</v>
      </c>
      <c r="R786" s="407">
        <v>13.8</v>
      </c>
      <c r="S786" s="407"/>
      <c r="T786" s="407"/>
      <c r="U786" s="407">
        <v>7176</v>
      </c>
      <c r="V786" s="407"/>
      <c r="W786" s="407">
        <v>7176</v>
      </c>
      <c r="X786" s="407">
        <v>3374.8</v>
      </c>
      <c r="Y786" s="407">
        <v>0</v>
      </c>
      <c r="Z786" s="407">
        <v>0</v>
      </c>
      <c r="AA786" s="407">
        <v>0</v>
      </c>
      <c r="AB786" s="407">
        <v>0</v>
      </c>
      <c r="AC786" s="407">
        <v>0</v>
      </c>
      <c r="AD786" s="407">
        <v>0</v>
      </c>
      <c r="AE786" s="407">
        <v>7165.767767491684</v>
      </c>
      <c r="AF786" s="407"/>
      <c r="AG786" s="407"/>
      <c r="AH786" s="407"/>
      <c r="AI786" s="407">
        <v>0</v>
      </c>
      <c r="AJ786" s="407">
        <v>0</v>
      </c>
      <c r="AK786" s="407">
        <v>0</v>
      </c>
      <c r="AL786" s="407">
        <v>0</v>
      </c>
      <c r="AM786" s="407"/>
      <c r="AN786" s="407">
        <v>11.751584842913916</v>
      </c>
      <c r="AO786" s="407">
        <v>0</v>
      </c>
      <c r="AP786" s="407">
        <v>0</v>
      </c>
      <c r="AQ786" s="407">
        <v>0</v>
      </c>
      <c r="AR786" s="407">
        <v>0</v>
      </c>
      <c r="AS786" s="407"/>
      <c r="AT786" s="407"/>
      <c r="AU786" s="407">
        <v>0</v>
      </c>
      <c r="AV786" s="407">
        <v>0</v>
      </c>
      <c r="AW786" s="407">
        <v>0</v>
      </c>
      <c r="AX786" s="407"/>
      <c r="AY786" s="407"/>
      <c r="AZ786" s="407">
        <v>0</v>
      </c>
      <c r="BA786" s="407"/>
      <c r="BB786" s="407">
        <v>0</v>
      </c>
      <c r="BC786" s="407">
        <v>0</v>
      </c>
      <c r="BD786" s="407">
        <v>0</v>
      </c>
      <c r="BE786" s="407">
        <v>0</v>
      </c>
      <c r="BF786" s="407"/>
      <c r="BG786" s="407">
        <v>0</v>
      </c>
      <c r="BH786" s="407">
        <v>0</v>
      </c>
      <c r="BI786" s="407">
        <v>34.08</v>
      </c>
      <c r="BJ786" s="407">
        <v>0</v>
      </c>
      <c r="BK786" s="407">
        <v>0</v>
      </c>
      <c r="BL786" s="407">
        <v>0</v>
      </c>
      <c r="BM786" s="407"/>
      <c r="BN786" s="407"/>
      <c r="BO786" s="407">
        <v>1687.4</v>
      </c>
      <c r="BP786" s="407"/>
      <c r="BQ786" s="407"/>
      <c r="BR786" s="407"/>
      <c r="BS786" s="407"/>
      <c r="BT786" s="407"/>
      <c r="BU786" s="407"/>
      <c r="BV786" s="407">
        <v>0</v>
      </c>
      <c r="BW786" s="407"/>
      <c r="BX786" s="407"/>
      <c r="BY786" s="407"/>
      <c r="BZ786" s="407"/>
      <c r="CA786" s="407"/>
      <c r="CB786" s="407"/>
      <c r="CC786" s="407"/>
      <c r="CD786" s="407"/>
      <c r="CE786" s="407"/>
      <c r="CF786" s="407"/>
      <c r="CG786" s="407"/>
      <c r="CH786" s="407"/>
      <c r="CI786" s="407">
        <v>1687.4</v>
      </c>
      <c r="CJ786" s="407">
        <v>-1900.6300000000006</v>
      </c>
      <c r="CK786" s="407"/>
      <c r="CL786" s="407"/>
      <c r="CM786" s="407"/>
      <c r="CN786" s="407"/>
      <c r="CO786" s="407">
        <v>-3801.2000000000003</v>
      </c>
      <c r="CP786" s="407">
        <v>0</v>
      </c>
      <c r="CQ786" s="407">
        <v>30</v>
      </c>
      <c r="CR786" s="407">
        <v>-140.88816495610848</v>
      </c>
      <c r="CS786" s="407">
        <v>0</v>
      </c>
      <c r="CT786" s="407">
        <v>0</v>
      </c>
      <c r="CU786" s="407">
        <v>0</v>
      </c>
      <c r="CV786" s="407">
        <v>0</v>
      </c>
      <c r="CW786" s="407"/>
      <c r="CX786" s="407"/>
      <c r="CY786" s="407"/>
      <c r="CZ786" s="407">
        <v>0</v>
      </c>
      <c r="DA786" s="407">
        <v>0</v>
      </c>
      <c r="DB786" s="407">
        <v>0</v>
      </c>
      <c r="DC786" s="407"/>
      <c r="DD786" s="407"/>
      <c r="DE786" s="407">
        <v>0</v>
      </c>
      <c r="DF786" s="407">
        <v>0</v>
      </c>
      <c r="DG786" s="407">
        <v>0</v>
      </c>
      <c r="DH786" s="407">
        <v>0</v>
      </c>
      <c r="DI786" s="407">
        <v>0</v>
      </c>
      <c r="DJ786" s="407"/>
      <c r="DK786" s="407">
        <v>0</v>
      </c>
      <c r="DL786" s="407">
        <v>0</v>
      </c>
      <c r="DM786" s="407"/>
      <c r="DN786" s="407">
        <v>0</v>
      </c>
      <c r="DO786" s="407">
        <v>0</v>
      </c>
      <c r="DP786" s="407">
        <v>-0.74878261547960001</v>
      </c>
      <c r="DQ786" s="407">
        <v>0</v>
      </c>
      <c r="DR786" s="407">
        <v>-140.13938234062886</v>
      </c>
      <c r="DS786" s="407"/>
      <c r="DT786" s="407"/>
      <c r="DU786" s="407">
        <v>7165.767767491684</v>
      </c>
      <c r="DV786" s="407"/>
      <c r="DW786" s="407">
        <v>0</v>
      </c>
      <c r="DX786" s="407">
        <v>0</v>
      </c>
      <c r="DY786" s="407">
        <v>-3801.2</v>
      </c>
      <c r="DZ786" s="407"/>
      <c r="EA786" s="407">
        <v>0</v>
      </c>
      <c r="EB786" s="407"/>
      <c r="EC786" s="407">
        <v>-3660.2908190143312</v>
      </c>
      <c r="ED786" s="407"/>
      <c r="EE786" s="407">
        <v>0</v>
      </c>
      <c r="EF786" s="407">
        <v>0</v>
      </c>
      <c r="EG786" s="407"/>
      <c r="EH786" s="407">
        <v>0</v>
      </c>
      <c r="EI786" s="407">
        <v>0</v>
      </c>
      <c r="EJ786" s="407">
        <v>0</v>
      </c>
      <c r="EK786" s="407">
        <v>0</v>
      </c>
      <c r="EL786" s="407">
        <v>0</v>
      </c>
      <c r="EM786" s="407"/>
      <c r="EN786" s="407"/>
      <c r="EO786" s="407">
        <v>0</v>
      </c>
      <c r="EP786" s="407">
        <v>0</v>
      </c>
      <c r="EQ786" s="407"/>
      <c r="ER786" s="407">
        <v>0</v>
      </c>
      <c r="ES786" s="407"/>
      <c r="ET786" s="407">
        <v>0</v>
      </c>
      <c r="EU786" s="407"/>
      <c r="EV786" s="407">
        <v>246</v>
      </c>
      <c r="EW786" s="407"/>
      <c r="EX786" s="407"/>
      <c r="EY786" s="407"/>
      <c r="EZ786" s="407"/>
      <c r="FA786" s="407">
        <v>0</v>
      </c>
      <c r="FB786" s="407"/>
      <c r="FC786" s="407"/>
      <c r="FD786" s="407"/>
      <c r="FE786" s="407"/>
      <c r="FF786" s="407">
        <v>0</v>
      </c>
      <c r="FG786" s="407">
        <v>0</v>
      </c>
      <c r="FH786" s="407">
        <v>0</v>
      </c>
      <c r="FI786" s="407">
        <v>0</v>
      </c>
    </row>
    <row r="787" spans="1:165">
      <c r="A787" s="407">
        <v>818</v>
      </c>
      <c r="B787" s="407" t="s">
        <v>1090</v>
      </c>
      <c r="C787" s="407" t="s">
        <v>1044</v>
      </c>
      <c r="D787" s="407" t="s">
        <v>650</v>
      </c>
      <c r="E787" s="407" t="s">
        <v>97</v>
      </c>
      <c r="F787" s="407" t="s">
        <v>97</v>
      </c>
      <c r="G787" s="407" t="s">
        <v>97</v>
      </c>
      <c r="H787" s="407" t="s">
        <v>2331</v>
      </c>
      <c r="I787" s="407" t="s">
        <v>97</v>
      </c>
      <c r="J787" s="407" t="s">
        <v>2329</v>
      </c>
      <c r="K787" s="818">
        <v>44440</v>
      </c>
      <c r="L787" s="407">
        <v>1000</v>
      </c>
      <c r="M787" s="407">
        <v>500</v>
      </c>
      <c r="N787" s="407">
        <v>0</v>
      </c>
      <c r="O787" s="407">
        <v>0</v>
      </c>
      <c r="P787" s="407">
        <v>0</v>
      </c>
      <c r="Q787" s="407">
        <v>0</v>
      </c>
      <c r="R787" s="407">
        <v>13.8</v>
      </c>
      <c r="S787" s="407"/>
      <c r="T787" s="407"/>
      <c r="U787" s="407">
        <v>13800</v>
      </c>
      <c r="V787" s="407"/>
      <c r="W787" s="407">
        <v>13800</v>
      </c>
      <c r="X787" s="407">
        <v>6490</v>
      </c>
      <c r="Y787" s="407">
        <v>0</v>
      </c>
      <c r="Z787" s="407">
        <v>0</v>
      </c>
      <c r="AA787" s="407">
        <v>0</v>
      </c>
      <c r="AB787" s="407">
        <v>0</v>
      </c>
      <c r="AC787" s="407">
        <v>0</v>
      </c>
      <c r="AD787" s="407">
        <v>0</v>
      </c>
      <c r="AE787" s="407">
        <v>13780.322629791699</v>
      </c>
      <c r="AF787" s="407"/>
      <c r="AG787" s="407"/>
      <c r="AH787" s="407"/>
      <c r="AI787" s="407">
        <v>0</v>
      </c>
      <c r="AJ787" s="407">
        <v>0</v>
      </c>
      <c r="AK787" s="407">
        <v>0</v>
      </c>
      <c r="AL787" s="407">
        <v>0</v>
      </c>
      <c r="AM787" s="407"/>
      <c r="AN787" s="407">
        <v>22.5992016209883</v>
      </c>
      <c r="AO787" s="407">
        <v>0</v>
      </c>
      <c r="AP787" s="407">
        <v>0</v>
      </c>
      <c r="AQ787" s="407">
        <v>0</v>
      </c>
      <c r="AR787" s="407">
        <v>0</v>
      </c>
      <c r="AS787" s="407"/>
      <c r="AT787" s="407"/>
      <c r="AU787" s="407">
        <v>0</v>
      </c>
      <c r="AV787" s="407">
        <v>0</v>
      </c>
      <c r="AW787" s="407">
        <v>0</v>
      </c>
      <c r="AX787" s="407"/>
      <c r="AY787" s="407"/>
      <c r="AZ787" s="407">
        <v>0</v>
      </c>
      <c r="BA787" s="407"/>
      <c r="BB787" s="407">
        <v>0</v>
      </c>
      <c r="BC787" s="407">
        <v>0</v>
      </c>
      <c r="BD787" s="407">
        <v>0</v>
      </c>
      <c r="BE787" s="407">
        <v>0</v>
      </c>
      <c r="BF787" s="407"/>
      <c r="BG787" s="407">
        <v>0</v>
      </c>
      <c r="BH787" s="407">
        <v>0</v>
      </c>
      <c r="BI787" s="407">
        <v>65.540000000000006</v>
      </c>
      <c r="BJ787" s="407">
        <v>0</v>
      </c>
      <c r="BK787" s="407">
        <v>0</v>
      </c>
      <c r="BL787" s="407">
        <v>0</v>
      </c>
      <c r="BM787" s="407"/>
      <c r="BN787" s="407"/>
      <c r="BO787" s="407">
        <v>3245</v>
      </c>
      <c r="BP787" s="407"/>
      <c r="BQ787" s="407"/>
      <c r="BR787" s="407"/>
      <c r="BS787" s="407"/>
      <c r="BT787" s="407"/>
      <c r="BU787" s="407"/>
      <c r="BV787" s="407">
        <v>0</v>
      </c>
      <c r="BW787" s="407"/>
      <c r="BX787" s="407"/>
      <c r="BY787" s="407"/>
      <c r="BZ787" s="407"/>
      <c r="CA787" s="407"/>
      <c r="CB787" s="407"/>
      <c r="CC787" s="407"/>
      <c r="CD787" s="407"/>
      <c r="CE787" s="407"/>
      <c r="CF787" s="407"/>
      <c r="CG787" s="407"/>
      <c r="CH787" s="407"/>
      <c r="CI787" s="407">
        <v>3245</v>
      </c>
      <c r="CJ787" s="407">
        <v>-3655.0300000000007</v>
      </c>
      <c r="CK787" s="407"/>
      <c r="CL787" s="407"/>
      <c r="CM787" s="407"/>
      <c r="CN787" s="407"/>
      <c r="CO787" s="407">
        <v>-7310.0000000000009</v>
      </c>
      <c r="CP787" s="407">
        <v>0</v>
      </c>
      <c r="CQ787" s="407">
        <v>30</v>
      </c>
      <c r="CR787" s="407">
        <v>-270.93877876174702</v>
      </c>
      <c r="CS787" s="407">
        <v>0</v>
      </c>
      <c r="CT787" s="407">
        <v>0</v>
      </c>
      <c r="CU787" s="407">
        <v>0</v>
      </c>
      <c r="CV787" s="407">
        <v>0</v>
      </c>
      <c r="CW787" s="407"/>
      <c r="CX787" s="407"/>
      <c r="CY787" s="407"/>
      <c r="CZ787" s="407">
        <v>0</v>
      </c>
      <c r="DA787" s="407">
        <v>0</v>
      </c>
      <c r="DB787" s="407">
        <v>0</v>
      </c>
      <c r="DC787" s="407"/>
      <c r="DD787" s="407"/>
      <c r="DE787" s="407">
        <v>0</v>
      </c>
      <c r="DF787" s="407">
        <v>0</v>
      </c>
      <c r="DG787" s="407">
        <v>0</v>
      </c>
      <c r="DH787" s="407">
        <v>0</v>
      </c>
      <c r="DI787" s="407">
        <v>0</v>
      </c>
      <c r="DJ787" s="407"/>
      <c r="DK787" s="407">
        <v>0</v>
      </c>
      <c r="DL787" s="407">
        <v>0</v>
      </c>
      <c r="DM787" s="407"/>
      <c r="DN787" s="407">
        <v>0</v>
      </c>
      <c r="DO787" s="407">
        <v>0</v>
      </c>
      <c r="DP787" s="407">
        <v>-1.4399665682300018</v>
      </c>
      <c r="DQ787" s="407">
        <v>0</v>
      </c>
      <c r="DR787" s="407">
        <v>-269.49881219351704</v>
      </c>
      <c r="DS787" s="407"/>
      <c r="DT787" s="407"/>
      <c r="DU787" s="407">
        <v>13780.322629791699</v>
      </c>
      <c r="DV787" s="407"/>
      <c r="DW787" s="407">
        <v>0</v>
      </c>
      <c r="DX787" s="407">
        <v>0</v>
      </c>
      <c r="DY787" s="407">
        <v>-7310</v>
      </c>
      <c r="DZ787" s="407"/>
      <c r="EA787" s="407">
        <v>0</v>
      </c>
      <c r="EB787" s="407"/>
      <c r="EC787" s="407">
        <v>-7039.0208057967893</v>
      </c>
      <c r="ED787" s="407"/>
      <c r="EE787" s="407">
        <v>0</v>
      </c>
      <c r="EF787" s="407">
        <v>0</v>
      </c>
      <c r="EG787" s="407"/>
      <c r="EH787" s="407">
        <v>0</v>
      </c>
      <c r="EI787" s="407">
        <v>0</v>
      </c>
      <c r="EJ787" s="407">
        <v>0</v>
      </c>
      <c r="EK787" s="407">
        <v>0</v>
      </c>
      <c r="EL787" s="407">
        <v>0</v>
      </c>
      <c r="EM787" s="407"/>
      <c r="EN787" s="407"/>
      <c r="EO787" s="407">
        <v>0</v>
      </c>
      <c r="EP787" s="407">
        <v>0</v>
      </c>
      <c r="EQ787" s="407"/>
      <c r="ER787" s="407">
        <v>0</v>
      </c>
      <c r="ES787" s="407"/>
      <c r="ET787" s="407">
        <v>0</v>
      </c>
      <c r="EU787" s="407"/>
      <c r="EV787" s="407">
        <v>246</v>
      </c>
      <c r="EW787" s="407"/>
      <c r="EX787" s="407"/>
      <c r="EY787" s="407"/>
      <c r="EZ787" s="407"/>
      <c r="FA787" s="407">
        <v>0</v>
      </c>
      <c r="FB787" s="407"/>
      <c r="FC787" s="407"/>
      <c r="FD787" s="407"/>
      <c r="FE787" s="407"/>
      <c r="FF787" s="407">
        <v>0</v>
      </c>
      <c r="FG787" s="407">
        <v>0</v>
      </c>
      <c r="FH787" s="407">
        <v>0</v>
      </c>
      <c r="FI787" s="407">
        <v>0</v>
      </c>
    </row>
    <row r="788" spans="1:165">
      <c r="A788" s="407">
        <v>819</v>
      </c>
      <c r="B788" s="407" t="s">
        <v>1090</v>
      </c>
      <c r="C788" s="407" t="s">
        <v>1044</v>
      </c>
      <c r="D788" s="407" t="s">
        <v>650</v>
      </c>
      <c r="E788" s="407" t="s">
        <v>97</v>
      </c>
      <c r="F788" s="407" t="s">
        <v>97</v>
      </c>
      <c r="G788" s="407" t="s">
        <v>97</v>
      </c>
      <c r="H788" s="407" t="s">
        <v>2332</v>
      </c>
      <c r="I788" s="407" t="s">
        <v>97</v>
      </c>
      <c r="J788" s="407" t="s">
        <v>2329</v>
      </c>
      <c r="K788" s="818">
        <v>44440</v>
      </c>
      <c r="L788" s="407">
        <v>800</v>
      </c>
      <c r="M788" s="407">
        <v>400</v>
      </c>
      <c r="N788" s="407">
        <v>0</v>
      </c>
      <c r="O788" s="407">
        <v>0</v>
      </c>
      <c r="P788" s="407">
        <v>0</v>
      </c>
      <c r="Q788" s="407">
        <v>0</v>
      </c>
      <c r="R788" s="407">
        <v>13.8</v>
      </c>
      <c r="S788" s="407"/>
      <c r="T788" s="407"/>
      <c r="U788" s="407">
        <v>11040</v>
      </c>
      <c r="V788" s="407"/>
      <c r="W788" s="407">
        <v>11040</v>
      </c>
      <c r="X788" s="407">
        <v>5192</v>
      </c>
      <c r="Y788" s="407">
        <v>0</v>
      </c>
      <c r="Z788" s="407">
        <v>0</v>
      </c>
      <c r="AA788" s="407">
        <v>0</v>
      </c>
      <c r="AB788" s="407">
        <v>0</v>
      </c>
      <c r="AC788" s="407">
        <v>0</v>
      </c>
      <c r="AD788" s="407">
        <v>0</v>
      </c>
      <c r="AE788" s="407">
        <v>11024.258103833359</v>
      </c>
      <c r="AF788" s="407"/>
      <c r="AG788" s="407"/>
      <c r="AH788" s="407"/>
      <c r="AI788" s="407">
        <v>0</v>
      </c>
      <c r="AJ788" s="407">
        <v>0</v>
      </c>
      <c r="AK788" s="407">
        <v>0</v>
      </c>
      <c r="AL788" s="407">
        <v>0</v>
      </c>
      <c r="AM788" s="407"/>
      <c r="AN788" s="407">
        <v>18.079361296790637</v>
      </c>
      <c r="AO788" s="407">
        <v>0</v>
      </c>
      <c r="AP788" s="407">
        <v>0</v>
      </c>
      <c r="AQ788" s="407">
        <v>0</v>
      </c>
      <c r="AR788" s="407">
        <v>0</v>
      </c>
      <c r="AS788" s="407"/>
      <c r="AT788" s="407"/>
      <c r="AU788" s="407">
        <v>0</v>
      </c>
      <c r="AV788" s="407">
        <v>0</v>
      </c>
      <c r="AW788" s="407">
        <v>0</v>
      </c>
      <c r="AX788" s="407"/>
      <c r="AY788" s="407"/>
      <c r="AZ788" s="407">
        <v>0</v>
      </c>
      <c r="BA788" s="407"/>
      <c r="BB788" s="407">
        <v>0</v>
      </c>
      <c r="BC788" s="407">
        <v>0</v>
      </c>
      <c r="BD788" s="407">
        <v>0</v>
      </c>
      <c r="BE788" s="407">
        <v>0</v>
      </c>
      <c r="BF788" s="407"/>
      <c r="BG788" s="407">
        <v>0</v>
      </c>
      <c r="BH788" s="407">
        <v>0</v>
      </c>
      <c r="BI788" s="407">
        <v>52.43</v>
      </c>
      <c r="BJ788" s="407">
        <v>0</v>
      </c>
      <c r="BK788" s="407">
        <v>0</v>
      </c>
      <c r="BL788" s="407">
        <v>0</v>
      </c>
      <c r="BM788" s="407"/>
      <c r="BN788" s="407"/>
      <c r="BO788" s="407">
        <v>2596</v>
      </c>
      <c r="BP788" s="407"/>
      <c r="BQ788" s="407"/>
      <c r="BR788" s="407"/>
      <c r="BS788" s="407"/>
      <c r="BT788" s="407"/>
      <c r="BU788" s="407"/>
      <c r="BV788" s="407">
        <v>0</v>
      </c>
      <c r="BW788" s="407"/>
      <c r="BX788" s="407"/>
      <c r="BY788" s="407"/>
      <c r="BZ788" s="407"/>
      <c r="CA788" s="407"/>
      <c r="CB788" s="407"/>
      <c r="CC788" s="407"/>
      <c r="CD788" s="407"/>
      <c r="CE788" s="407"/>
      <c r="CF788" s="407"/>
      <c r="CG788" s="407"/>
      <c r="CH788" s="407"/>
      <c r="CI788" s="407">
        <v>2596</v>
      </c>
      <c r="CJ788" s="407">
        <v>-2924.0300000000007</v>
      </c>
      <c r="CK788" s="407"/>
      <c r="CL788" s="407"/>
      <c r="CM788" s="407"/>
      <c r="CN788" s="407"/>
      <c r="CO788" s="407">
        <v>-5848</v>
      </c>
      <c r="CP788" s="407">
        <v>0</v>
      </c>
      <c r="CQ788" s="407">
        <v>30</v>
      </c>
      <c r="CR788" s="407">
        <v>-216.75102300939761</v>
      </c>
      <c r="CS788" s="407">
        <v>0</v>
      </c>
      <c r="CT788" s="407">
        <v>0</v>
      </c>
      <c r="CU788" s="407">
        <v>0</v>
      </c>
      <c r="CV788" s="407">
        <v>0</v>
      </c>
      <c r="CW788" s="407"/>
      <c r="CX788" s="407"/>
      <c r="CY788" s="407"/>
      <c r="CZ788" s="407">
        <v>0</v>
      </c>
      <c r="DA788" s="407">
        <v>0</v>
      </c>
      <c r="DB788" s="407">
        <v>0</v>
      </c>
      <c r="DC788" s="407"/>
      <c r="DD788" s="407"/>
      <c r="DE788" s="407">
        <v>0</v>
      </c>
      <c r="DF788" s="407">
        <v>0</v>
      </c>
      <c r="DG788" s="407">
        <v>0</v>
      </c>
      <c r="DH788" s="407">
        <v>0</v>
      </c>
      <c r="DI788" s="407">
        <v>0</v>
      </c>
      <c r="DJ788" s="407"/>
      <c r="DK788" s="407">
        <v>0</v>
      </c>
      <c r="DL788" s="407">
        <v>0</v>
      </c>
      <c r="DM788" s="407"/>
      <c r="DN788" s="407">
        <v>0</v>
      </c>
      <c r="DO788" s="407">
        <v>0</v>
      </c>
      <c r="DP788" s="407">
        <v>-1.1519732545839965</v>
      </c>
      <c r="DQ788" s="407">
        <v>0</v>
      </c>
      <c r="DR788" s="407">
        <v>-215.59904975481362</v>
      </c>
      <c r="DS788" s="407"/>
      <c r="DT788" s="407"/>
      <c r="DU788" s="407">
        <v>11024.258103833359</v>
      </c>
      <c r="DV788" s="407"/>
      <c r="DW788" s="407">
        <v>0</v>
      </c>
      <c r="DX788" s="407">
        <v>0</v>
      </c>
      <c r="DY788" s="407">
        <v>-5848</v>
      </c>
      <c r="DZ788" s="407"/>
      <c r="EA788" s="407">
        <v>0</v>
      </c>
      <c r="EB788" s="407"/>
      <c r="EC788" s="407">
        <v>-5631.2166446374313</v>
      </c>
      <c r="ED788" s="407"/>
      <c r="EE788" s="407">
        <v>0</v>
      </c>
      <c r="EF788" s="407">
        <v>0</v>
      </c>
      <c r="EG788" s="407"/>
      <c r="EH788" s="407">
        <v>0</v>
      </c>
      <c r="EI788" s="407">
        <v>0</v>
      </c>
      <c r="EJ788" s="407">
        <v>0</v>
      </c>
      <c r="EK788" s="407">
        <v>0</v>
      </c>
      <c r="EL788" s="407">
        <v>0</v>
      </c>
      <c r="EM788" s="407"/>
      <c r="EN788" s="407"/>
      <c r="EO788" s="407">
        <v>0</v>
      </c>
      <c r="EP788" s="407">
        <v>0</v>
      </c>
      <c r="EQ788" s="407"/>
      <c r="ER788" s="407">
        <v>0</v>
      </c>
      <c r="ES788" s="407"/>
      <c r="ET788" s="407">
        <v>0</v>
      </c>
      <c r="EU788" s="407"/>
      <c r="EV788" s="407">
        <v>246</v>
      </c>
      <c r="EW788" s="407"/>
      <c r="EX788" s="407"/>
      <c r="EY788" s="407"/>
      <c r="EZ788" s="407"/>
      <c r="FA788" s="407">
        <v>0</v>
      </c>
      <c r="FB788" s="407"/>
      <c r="FC788" s="407"/>
      <c r="FD788" s="407"/>
      <c r="FE788" s="407"/>
      <c r="FF788" s="407">
        <v>0</v>
      </c>
      <c r="FG788" s="407">
        <v>0</v>
      </c>
      <c r="FH788" s="407">
        <v>0</v>
      </c>
      <c r="FI788" s="407">
        <v>0</v>
      </c>
    </row>
    <row r="789" spans="1:165">
      <c r="A789" s="407">
        <v>820</v>
      </c>
      <c r="B789" s="407" t="s">
        <v>1090</v>
      </c>
      <c r="C789" s="407" t="s">
        <v>1044</v>
      </c>
      <c r="D789" s="407" t="s">
        <v>650</v>
      </c>
      <c r="E789" s="407" t="s">
        <v>97</v>
      </c>
      <c r="F789" s="407" t="s">
        <v>97</v>
      </c>
      <c r="G789" s="407" t="s">
        <v>97</v>
      </c>
      <c r="H789" s="407" t="s">
        <v>2333</v>
      </c>
      <c r="I789" s="407" t="s">
        <v>97</v>
      </c>
      <c r="J789" s="407" t="s">
        <v>2329</v>
      </c>
      <c r="K789" s="818">
        <v>44440</v>
      </c>
      <c r="L789" s="407">
        <v>270</v>
      </c>
      <c r="M789" s="407">
        <v>135</v>
      </c>
      <c r="N789" s="407">
        <v>0</v>
      </c>
      <c r="O789" s="407">
        <v>0</v>
      </c>
      <c r="P789" s="407">
        <v>0</v>
      </c>
      <c r="Q789" s="407">
        <v>0</v>
      </c>
      <c r="R789" s="407">
        <v>13.8</v>
      </c>
      <c r="S789" s="407"/>
      <c r="T789" s="407"/>
      <c r="U789" s="407">
        <v>3726</v>
      </c>
      <c r="V789" s="407"/>
      <c r="W789" s="407">
        <v>3726</v>
      </c>
      <c r="X789" s="407">
        <v>1752.3</v>
      </c>
      <c r="Y789" s="407">
        <v>0</v>
      </c>
      <c r="Z789" s="407">
        <v>0</v>
      </c>
      <c r="AA789" s="407">
        <v>0</v>
      </c>
      <c r="AB789" s="407">
        <v>0</v>
      </c>
      <c r="AC789" s="407">
        <v>0</v>
      </c>
      <c r="AD789" s="407">
        <v>0</v>
      </c>
      <c r="AE789" s="407">
        <v>3720.6871100437588</v>
      </c>
      <c r="AF789" s="407"/>
      <c r="AG789" s="407"/>
      <c r="AH789" s="407"/>
      <c r="AI789" s="407">
        <v>0</v>
      </c>
      <c r="AJ789" s="407">
        <v>0</v>
      </c>
      <c r="AK789" s="407">
        <v>0</v>
      </c>
      <c r="AL789" s="407">
        <v>0</v>
      </c>
      <c r="AM789" s="407"/>
      <c r="AN789" s="407">
        <v>6.1017844376668409</v>
      </c>
      <c r="AO789" s="407">
        <v>0</v>
      </c>
      <c r="AP789" s="407">
        <v>0</v>
      </c>
      <c r="AQ789" s="407">
        <v>0</v>
      </c>
      <c r="AR789" s="407">
        <v>0</v>
      </c>
      <c r="AS789" s="407"/>
      <c r="AT789" s="407"/>
      <c r="AU789" s="407">
        <v>0</v>
      </c>
      <c r="AV789" s="407">
        <v>0</v>
      </c>
      <c r="AW789" s="407">
        <v>0</v>
      </c>
      <c r="AX789" s="407"/>
      <c r="AY789" s="407"/>
      <c r="AZ789" s="407">
        <v>0</v>
      </c>
      <c r="BA789" s="407"/>
      <c r="BB789" s="407">
        <v>0</v>
      </c>
      <c r="BC789" s="407">
        <v>0</v>
      </c>
      <c r="BD789" s="407">
        <v>0</v>
      </c>
      <c r="BE789" s="407">
        <v>0</v>
      </c>
      <c r="BF789" s="407"/>
      <c r="BG789" s="407">
        <v>0</v>
      </c>
      <c r="BH789" s="407">
        <v>0</v>
      </c>
      <c r="BI789" s="407">
        <v>17.690000000000001</v>
      </c>
      <c r="BJ789" s="407">
        <v>0</v>
      </c>
      <c r="BK789" s="407">
        <v>0</v>
      </c>
      <c r="BL789" s="407">
        <v>0</v>
      </c>
      <c r="BM789" s="407"/>
      <c r="BN789" s="407"/>
      <c r="BO789" s="407">
        <v>876.15</v>
      </c>
      <c r="BP789" s="407"/>
      <c r="BQ789" s="407"/>
      <c r="BR789" s="407"/>
      <c r="BS789" s="407"/>
      <c r="BT789" s="407"/>
      <c r="BU789" s="407"/>
      <c r="BV789" s="407">
        <v>0</v>
      </c>
      <c r="BW789" s="407"/>
      <c r="BX789" s="407"/>
      <c r="BY789" s="407"/>
      <c r="BZ789" s="407"/>
      <c r="CA789" s="407"/>
      <c r="CB789" s="407"/>
      <c r="CC789" s="407"/>
      <c r="CD789" s="407"/>
      <c r="CE789" s="407"/>
      <c r="CF789" s="407"/>
      <c r="CG789" s="407"/>
      <c r="CH789" s="407"/>
      <c r="CI789" s="407">
        <v>876.15</v>
      </c>
      <c r="CJ789" s="407">
        <v>-986.88</v>
      </c>
      <c r="CK789" s="407"/>
      <c r="CL789" s="407"/>
      <c r="CM789" s="407"/>
      <c r="CN789" s="407"/>
      <c r="CO789" s="407">
        <v>-1973.7</v>
      </c>
      <c r="CP789" s="407">
        <v>0</v>
      </c>
      <c r="CQ789" s="407">
        <v>30</v>
      </c>
      <c r="CR789" s="407">
        <v>-73.153470265671686</v>
      </c>
      <c r="CS789" s="407">
        <v>0</v>
      </c>
      <c r="CT789" s="407">
        <v>0</v>
      </c>
      <c r="CU789" s="407">
        <v>0</v>
      </c>
      <c r="CV789" s="407">
        <v>0</v>
      </c>
      <c r="CW789" s="407"/>
      <c r="CX789" s="407"/>
      <c r="CY789" s="407"/>
      <c r="CZ789" s="407">
        <v>0</v>
      </c>
      <c r="DA789" s="407">
        <v>0</v>
      </c>
      <c r="DB789" s="407">
        <v>0</v>
      </c>
      <c r="DC789" s="407"/>
      <c r="DD789" s="407"/>
      <c r="DE789" s="407">
        <v>0</v>
      </c>
      <c r="DF789" s="407">
        <v>0</v>
      </c>
      <c r="DG789" s="407">
        <v>0</v>
      </c>
      <c r="DH789" s="407">
        <v>0</v>
      </c>
      <c r="DI789" s="407">
        <v>0</v>
      </c>
      <c r="DJ789" s="407"/>
      <c r="DK789" s="407">
        <v>0</v>
      </c>
      <c r="DL789" s="407">
        <v>0</v>
      </c>
      <c r="DM789" s="407"/>
      <c r="DN789" s="407">
        <v>0</v>
      </c>
      <c r="DO789" s="407">
        <v>0</v>
      </c>
      <c r="DP789" s="407">
        <v>-0.38879097342209956</v>
      </c>
      <c r="DQ789" s="407">
        <v>0</v>
      </c>
      <c r="DR789" s="407">
        <v>-72.764679292249596</v>
      </c>
      <c r="DS789" s="407"/>
      <c r="DT789" s="407"/>
      <c r="DU789" s="407">
        <v>3720.6871100437588</v>
      </c>
      <c r="DV789" s="407"/>
      <c r="DW789" s="407">
        <v>0</v>
      </c>
      <c r="DX789" s="407">
        <v>0</v>
      </c>
      <c r="DY789" s="407">
        <v>-1973.7</v>
      </c>
      <c r="DZ789" s="407"/>
      <c r="EA789" s="407">
        <v>0</v>
      </c>
      <c r="EB789" s="407"/>
      <c r="EC789" s="407">
        <v>-1900.5356175651332</v>
      </c>
      <c r="ED789" s="407"/>
      <c r="EE789" s="407">
        <v>0</v>
      </c>
      <c r="EF789" s="407">
        <v>0</v>
      </c>
      <c r="EG789" s="407"/>
      <c r="EH789" s="407">
        <v>0</v>
      </c>
      <c r="EI789" s="407">
        <v>0</v>
      </c>
      <c r="EJ789" s="407">
        <v>0</v>
      </c>
      <c r="EK789" s="407">
        <v>0</v>
      </c>
      <c r="EL789" s="407">
        <v>0</v>
      </c>
      <c r="EM789" s="407"/>
      <c r="EN789" s="407"/>
      <c r="EO789" s="407">
        <v>0</v>
      </c>
      <c r="EP789" s="407">
        <v>0</v>
      </c>
      <c r="EQ789" s="407"/>
      <c r="ER789" s="407">
        <v>0</v>
      </c>
      <c r="ES789" s="407"/>
      <c r="ET789" s="407">
        <v>0</v>
      </c>
      <c r="EU789" s="407"/>
      <c r="EV789" s="407">
        <v>246</v>
      </c>
      <c r="EW789" s="407"/>
      <c r="EX789" s="407"/>
      <c r="EY789" s="407"/>
      <c r="EZ789" s="407"/>
      <c r="FA789" s="407">
        <v>0</v>
      </c>
      <c r="FB789" s="407"/>
      <c r="FC789" s="407"/>
      <c r="FD789" s="407"/>
      <c r="FE789" s="407"/>
      <c r="FF789" s="407">
        <v>0</v>
      </c>
      <c r="FG789" s="407">
        <v>0</v>
      </c>
      <c r="FH789" s="407">
        <v>0</v>
      </c>
      <c r="FI789" s="407">
        <v>0</v>
      </c>
    </row>
    <row r="790" spans="1:165">
      <c r="A790" s="407">
        <v>821</v>
      </c>
      <c r="B790" s="407" t="s">
        <v>1090</v>
      </c>
      <c r="C790" s="407" t="s">
        <v>1044</v>
      </c>
      <c r="D790" s="407" t="s">
        <v>650</v>
      </c>
      <c r="E790" s="407" t="s">
        <v>97</v>
      </c>
      <c r="F790" s="407" t="s">
        <v>97</v>
      </c>
      <c r="G790" s="407" t="s">
        <v>97</v>
      </c>
      <c r="H790" s="407" t="s">
        <v>2334</v>
      </c>
      <c r="I790" s="407" t="s">
        <v>97</v>
      </c>
      <c r="J790" s="407" t="s">
        <v>2329</v>
      </c>
      <c r="K790" s="818">
        <v>44440</v>
      </c>
      <c r="L790" s="407">
        <v>280</v>
      </c>
      <c r="M790" s="407">
        <v>140</v>
      </c>
      <c r="N790" s="407">
        <v>0</v>
      </c>
      <c r="O790" s="407">
        <v>0</v>
      </c>
      <c r="P790" s="407">
        <v>0</v>
      </c>
      <c r="Q790" s="407">
        <v>0</v>
      </c>
      <c r="R790" s="407">
        <v>13.8</v>
      </c>
      <c r="S790" s="407"/>
      <c r="T790" s="407"/>
      <c r="U790" s="407">
        <v>3864</v>
      </c>
      <c r="V790" s="407"/>
      <c r="W790" s="407">
        <v>3864</v>
      </c>
      <c r="X790" s="407">
        <v>1817.2</v>
      </c>
      <c r="Y790" s="407">
        <v>0</v>
      </c>
      <c r="Z790" s="407">
        <v>0</v>
      </c>
      <c r="AA790" s="407">
        <v>0</v>
      </c>
      <c r="AB790" s="407">
        <v>0</v>
      </c>
      <c r="AC790" s="407">
        <v>0</v>
      </c>
      <c r="AD790" s="407">
        <v>0</v>
      </c>
      <c r="AE790" s="407">
        <v>3858.4903363416761</v>
      </c>
      <c r="AF790" s="407"/>
      <c r="AG790" s="407"/>
      <c r="AH790" s="407"/>
      <c r="AI790" s="407">
        <v>0</v>
      </c>
      <c r="AJ790" s="407">
        <v>0</v>
      </c>
      <c r="AK790" s="407">
        <v>0</v>
      </c>
      <c r="AL790" s="407">
        <v>0</v>
      </c>
      <c r="AM790" s="407"/>
      <c r="AN790" s="407">
        <v>6.3277764538767238</v>
      </c>
      <c r="AO790" s="407">
        <v>0</v>
      </c>
      <c r="AP790" s="407">
        <v>0</v>
      </c>
      <c r="AQ790" s="407">
        <v>0</v>
      </c>
      <c r="AR790" s="407">
        <v>0</v>
      </c>
      <c r="AS790" s="407"/>
      <c r="AT790" s="407"/>
      <c r="AU790" s="407">
        <v>0</v>
      </c>
      <c r="AV790" s="407">
        <v>0</v>
      </c>
      <c r="AW790" s="407">
        <v>0</v>
      </c>
      <c r="AX790" s="407"/>
      <c r="AY790" s="407"/>
      <c r="AZ790" s="407">
        <v>0</v>
      </c>
      <c r="BA790" s="407"/>
      <c r="BB790" s="407">
        <v>0</v>
      </c>
      <c r="BC790" s="407">
        <v>0</v>
      </c>
      <c r="BD790" s="407">
        <v>0</v>
      </c>
      <c r="BE790" s="407">
        <v>0</v>
      </c>
      <c r="BF790" s="407"/>
      <c r="BG790" s="407">
        <v>0</v>
      </c>
      <c r="BH790" s="407">
        <v>0</v>
      </c>
      <c r="BI790" s="407">
        <v>18.350000000000001</v>
      </c>
      <c r="BJ790" s="407">
        <v>0</v>
      </c>
      <c r="BK790" s="407">
        <v>0</v>
      </c>
      <c r="BL790" s="407">
        <v>0</v>
      </c>
      <c r="BM790" s="407"/>
      <c r="BN790" s="407"/>
      <c r="BO790" s="407">
        <v>908.6</v>
      </c>
      <c r="BP790" s="407"/>
      <c r="BQ790" s="407"/>
      <c r="BR790" s="407"/>
      <c r="BS790" s="407"/>
      <c r="BT790" s="407"/>
      <c r="BU790" s="407"/>
      <c r="BV790" s="407">
        <v>0</v>
      </c>
      <c r="BW790" s="407"/>
      <c r="BX790" s="407"/>
      <c r="BY790" s="407"/>
      <c r="BZ790" s="407"/>
      <c r="CA790" s="407"/>
      <c r="CB790" s="407"/>
      <c r="CC790" s="407"/>
      <c r="CD790" s="407"/>
      <c r="CE790" s="407"/>
      <c r="CF790" s="407"/>
      <c r="CG790" s="407"/>
      <c r="CH790" s="407"/>
      <c r="CI790" s="407">
        <v>908.6</v>
      </c>
      <c r="CJ790" s="407">
        <v>-1023.43</v>
      </c>
      <c r="CK790" s="407"/>
      <c r="CL790" s="407"/>
      <c r="CM790" s="407"/>
      <c r="CN790" s="407"/>
      <c r="CO790" s="407">
        <v>-2046.8000000000002</v>
      </c>
      <c r="CP790" s="407">
        <v>0</v>
      </c>
      <c r="CQ790" s="407">
        <v>30</v>
      </c>
      <c r="CR790" s="407">
        <v>-75.862858053289159</v>
      </c>
      <c r="CS790" s="407">
        <v>0</v>
      </c>
      <c r="CT790" s="407">
        <v>0</v>
      </c>
      <c r="CU790" s="407">
        <v>0</v>
      </c>
      <c r="CV790" s="407">
        <v>0</v>
      </c>
      <c r="CW790" s="407"/>
      <c r="CX790" s="407"/>
      <c r="CY790" s="407"/>
      <c r="CZ790" s="407">
        <v>0</v>
      </c>
      <c r="DA790" s="407">
        <v>0</v>
      </c>
      <c r="DB790" s="407">
        <v>0</v>
      </c>
      <c r="DC790" s="407"/>
      <c r="DD790" s="407"/>
      <c r="DE790" s="407">
        <v>0</v>
      </c>
      <c r="DF790" s="407">
        <v>0</v>
      </c>
      <c r="DG790" s="407">
        <v>0</v>
      </c>
      <c r="DH790" s="407">
        <v>0</v>
      </c>
      <c r="DI790" s="407">
        <v>0</v>
      </c>
      <c r="DJ790" s="407"/>
      <c r="DK790" s="407">
        <v>0</v>
      </c>
      <c r="DL790" s="407">
        <v>0</v>
      </c>
      <c r="DM790" s="407"/>
      <c r="DN790" s="407">
        <v>0</v>
      </c>
      <c r="DO790" s="407">
        <v>0</v>
      </c>
      <c r="DP790" s="407">
        <v>-0.40319063910440001</v>
      </c>
      <c r="DQ790" s="407">
        <v>0</v>
      </c>
      <c r="DR790" s="407">
        <v>-75.459667414184764</v>
      </c>
      <c r="DS790" s="407"/>
      <c r="DT790" s="407"/>
      <c r="DU790" s="407">
        <v>3858.4903363416761</v>
      </c>
      <c r="DV790" s="407"/>
      <c r="DW790" s="407">
        <v>0</v>
      </c>
      <c r="DX790" s="407">
        <v>0</v>
      </c>
      <c r="DY790" s="407">
        <v>-2046.8</v>
      </c>
      <c r="DZ790" s="407"/>
      <c r="EA790" s="407">
        <v>0</v>
      </c>
      <c r="EB790" s="407"/>
      <c r="EC790" s="407">
        <v>-1970.9258256231014</v>
      </c>
      <c r="ED790" s="407"/>
      <c r="EE790" s="407">
        <v>0</v>
      </c>
      <c r="EF790" s="407">
        <v>0</v>
      </c>
      <c r="EG790" s="407"/>
      <c r="EH790" s="407">
        <v>0</v>
      </c>
      <c r="EI790" s="407">
        <v>0</v>
      </c>
      <c r="EJ790" s="407">
        <v>0</v>
      </c>
      <c r="EK790" s="407">
        <v>0</v>
      </c>
      <c r="EL790" s="407">
        <v>0</v>
      </c>
      <c r="EM790" s="407"/>
      <c r="EN790" s="407"/>
      <c r="EO790" s="407">
        <v>0</v>
      </c>
      <c r="EP790" s="407">
        <v>0</v>
      </c>
      <c r="EQ790" s="407"/>
      <c r="ER790" s="407">
        <v>0</v>
      </c>
      <c r="ES790" s="407"/>
      <c r="ET790" s="407">
        <v>0</v>
      </c>
      <c r="EU790" s="407"/>
      <c r="EV790" s="407">
        <v>246</v>
      </c>
      <c r="EW790" s="407"/>
      <c r="EX790" s="407"/>
      <c r="EY790" s="407"/>
      <c r="EZ790" s="407"/>
      <c r="FA790" s="407">
        <v>0</v>
      </c>
      <c r="FB790" s="407"/>
      <c r="FC790" s="407"/>
      <c r="FD790" s="407"/>
      <c r="FE790" s="407"/>
      <c r="FF790" s="407">
        <v>0</v>
      </c>
      <c r="FG790" s="407">
        <v>0</v>
      </c>
      <c r="FH790" s="407">
        <v>0</v>
      </c>
      <c r="FI790" s="407">
        <v>0</v>
      </c>
    </row>
    <row r="791" spans="1:165">
      <c r="A791" s="407">
        <v>822</v>
      </c>
      <c r="B791" s="407" t="s">
        <v>1090</v>
      </c>
      <c r="C791" s="407" t="s">
        <v>1044</v>
      </c>
      <c r="D791" s="407" t="s">
        <v>650</v>
      </c>
      <c r="E791" s="407" t="s">
        <v>97</v>
      </c>
      <c r="F791" s="407" t="s">
        <v>97</v>
      </c>
      <c r="G791" s="407" t="s">
        <v>97</v>
      </c>
      <c r="H791" s="407" t="s">
        <v>2335</v>
      </c>
      <c r="I791" s="407" t="s">
        <v>97</v>
      </c>
      <c r="J791" s="407" t="s">
        <v>2329</v>
      </c>
      <c r="K791" s="818">
        <v>44440</v>
      </c>
      <c r="L791" s="407">
        <v>730</v>
      </c>
      <c r="M791" s="407">
        <v>365</v>
      </c>
      <c r="N791" s="407">
        <v>0</v>
      </c>
      <c r="O791" s="407">
        <v>0</v>
      </c>
      <c r="P791" s="407">
        <v>0</v>
      </c>
      <c r="Q791" s="407">
        <v>0</v>
      </c>
      <c r="R791" s="407">
        <v>13.8</v>
      </c>
      <c r="S791" s="407"/>
      <c r="T791" s="407"/>
      <c r="U791" s="407">
        <v>10074</v>
      </c>
      <c r="V791" s="407"/>
      <c r="W791" s="407">
        <v>10074</v>
      </c>
      <c r="X791" s="407">
        <v>4737.7</v>
      </c>
      <c r="Y791" s="407">
        <v>0</v>
      </c>
      <c r="Z791" s="407">
        <v>0</v>
      </c>
      <c r="AA791" s="407">
        <v>0</v>
      </c>
      <c r="AB791" s="407">
        <v>0</v>
      </c>
      <c r="AC791" s="407">
        <v>0</v>
      </c>
      <c r="AD791" s="407">
        <v>0</v>
      </c>
      <c r="AE791" s="407">
        <v>10059.635519747941</v>
      </c>
      <c r="AF791" s="407"/>
      <c r="AG791" s="407"/>
      <c r="AH791" s="407"/>
      <c r="AI791" s="407">
        <v>0</v>
      </c>
      <c r="AJ791" s="407">
        <v>0</v>
      </c>
      <c r="AK791" s="407">
        <v>0</v>
      </c>
      <c r="AL791" s="407">
        <v>0</v>
      </c>
      <c r="AM791" s="407"/>
      <c r="AN791" s="407">
        <v>16.497417183321456</v>
      </c>
      <c r="AO791" s="407">
        <v>0</v>
      </c>
      <c r="AP791" s="407">
        <v>0</v>
      </c>
      <c r="AQ791" s="407">
        <v>0</v>
      </c>
      <c r="AR791" s="407">
        <v>0</v>
      </c>
      <c r="AS791" s="407"/>
      <c r="AT791" s="407"/>
      <c r="AU791" s="407">
        <v>0</v>
      </c>
      <c r="AV791" s="407">
        <v>0</v>
      </c>
      <c r="AW791" s="407">
        <v>0</v>
      </c>
      <c r="AX791" s="407"/>
      <c r="AY791" s="407"/>
      <c r="AZ791" s="407">
        <v>0</v>
      </c>
      <c r="BA791" s="407"/>
      <c r="BB791" s="407">
        <v>0</v>
      </c>
      <c r="BC791" s="407">
        <v>0</v>
      </c>
      <c r="BD791" s="407">
        <v>0</v>
      </c>
      <c r="BE791" s="407">
        <v>0</v>
      </c>
      <c r="BF791" s="407"/>
      <c r="BG791" s="407">
        <v>0</v>
      </c>
      <c r="BH791" s="407">
        <v>0</v>
      </c>
      <c r="BI791" s="407">
        <v>47.84</v>
      </c>
      <c r="BJ791" s="407">
        <v>0</v>
      </c>
      <c r="BK791" s="407">
        <v>0</v>
      </c>
      <c r="BL791" s="407">
        <v>0</v>
      </c>
      <c r="BM791" s="407"/>
      <c r="BN791" s="407"/>
      <c r="BO791" s="407">
        <v>2368.85</v>
      </c>
      <c r="BP791" s="407"/>
      <c r="BQ791" s="407"/>
      <c r="BR791" s="407"/>
      <c r="BS791" s="407"/>
      <c r="BT791" s="407"/>
      <c r="BU791" s="407"/>
      <c r="BV791" s="407">
        <v>0</v>
      </c>
      <c r="BW791" s="407"/>
      <c r="BX791" s="407"/>
      <c r="BY791" s="407"/>
      <c r="BZ791" s="407"/>
      <c r="CA791" s="407"/>
      <c r="CB791" s="407"/>
      <c r="CC791" s="407"/>
      <c r="CD791" s="407"/>
      <c r="CE791" s="407"/>
      <c r="CF791" s="407"/>
      <c r="CG791" s="407"/>
      <c r="CH791" s="407"/>
      <c r="CI791" s="407">
        <v>2368.85</v>
      </c>
      <c r="CJ791" s="407">
        <v>-2668.1800000000007</v>
      </c>
      <c r="CK791" s="407"/>
      <c r="CL791" s="407"/>
      <c r="CM791" s="407"/>
      <c r="CN791" s="407"/>
      <c r="CO791" s="407">
        <v>-5336.3</v>
      </c>
      <c r="CP791" s="407">
        <v>0</v>
      </c>
      <c r="CQ791" s="407">
        <v>30</v>
      </c>
      <c r="CR791" s="407">
        <v>-197.78530849607532</v>
      </c>
      <c r="CS791" s="407">
        <v>0</v>
      </c>
      <c r="CT791" s="407">
        <v>0</v>
      </c>
      <c r="CU791" s="407">
        <v>0</v>
      </c>
      <c r="CV791" s="407">
        <v>0</v>
      </c>
      <c r="CW791" s="407"/>
      <c r="CX791" s="407"/>
      <c r="CY791" s="407"/>
      <c r="CZ791" s="407">
        <v>0</v>
      </c>
      <c r="DA791" s="407">
        <v>0</v>
      </c>
      <c r="DB791" s="407">
        <v>0</v>
      </c>
      <c r="DC791" s="407"/>
      <c r="DD791" s="407"/>
      <c r="DE791" s="407">
        <v>0</v>
      </c>
      <c r="DF791" s="407">
        <v>0</v>
      </c>
      <c r="DG791" s="407">
        <v>0</v>
      </c>
      <c r="DH791" s="407">
        <v>0</v>
      </c>
      <c r="DI791" s="407">
        <v>0</v>
      </c>
      <c r="DJ791" s="407"/>
      <c r="DK791" s="407">
        <v>0</v>
      </c>
      <c r="DL791" s="407">
        <v>0</v>
      </c>
      <c r="DM791" s="407"/>
      <c r="DN791" s="407">
        <v>0</v>
      </c>
      <c r="DO791" s="407">
        <v>0</v>
      </c>
      <c r="DP791" s="407">
        <v>-1.0511755948078978</v>
      </c>
      <c r="DQ791" s="407">
        <v>0</v>
      </c>
      <c r="DR791" s="407">
        <v>-196.73413290126743</v>
      </c>
      <c r="DS791" s="407"/>
      <c r="DT791" s="407"/>
      <c r="DU791" s="407">
        <v>10059.635519747941</v>
      </c>
      <c r="DV791" s="407"/>
      <c r="DW791" s="407">
        <v>0</v>
      </c>
      <c r="DX791" s="407">
        <v>0</v>
      </c>
      <c r="DY791" s="407">
        <v>-5336.3</v>
      </c>
      <c r="DZ791" s="407"/>
      <c r="EA791" s="407">
        <v>0</v>
      </c>
      <c r="EB791" s="407"/>
      <c r="EC791" s="407">
        <v>-5138.485188231657</v>
      </c>
      <c r="ED791" s="407"/>
      <c r="EE791" s="407">
        <v>0</v>
      </c>
      <c r="EF791" s="407">
        <v>0</v>
      </c>
      <c r="EG791" s="407"/>
      <c r="EH791" s="407">
        <v>0</v>
      </c>
      <c r="EI791" s="407">
        <v>0</v>
      </c>
      <c r="EJ791" s="407">
        <v>0</v>
      </c>
      <c r="EK791" s="407">
        <v>0</v>
      </c>
      <c r="EL791" s="407">
        <v>0</v>
      </c>
      <c r="EM791" s="407"/>
      <c r="EN791" s="407"/>
      <c r="EO791" s="407">
        <v>0</v>
      </c>
      <c r="EP791" s="407">
        <v>0</v>
      </c>
      <c r="EQ791" s="407"/>
      <c r="ER791" s="407">
        <v>0</v>
      </c>
      <c r="ES791" s="407"/>
      <c r="ET791" s="407">
        <v>0</v>
      </c>
      <c r="EU791" s="407"/>
      <c r="EV791" s="407">
        <v>246</v>
      </c>
      <c r="EW791" s="407"/>
      <c r="EX791" s="407"/>
      <c r="EY791" s="407"/>
      <c r="EZ791" s="407"/>
      <c r="FA791" s="407">
        <v>0</v>
      </c>
      <c r="FB791" s="407"/>
      <c r="FC791" s="407"/>
      <c r="FD791" s="407"/>
      <c r="FE791" s="407"/>
      <c r="FF791" s="407">
        <v>0</v>
      </c>
      <c r="FG791" s="407">
        <v>0</v>
      </c>
      <c r="FH791" s="407">
        <v>0</v>
      </c>
      <c r="FI791" s="407">
        <v>0</v>
      </c>
    </row>
    <row r="792" spans="1:165">
      <c r="A792" s="407">
        <v>823</v>
      </c>
      <c r="B792" s="407" t="s">
        <v>1090</v>
      </c>
      <c r="C792" s="407" t="s">
        <v>1044</v>
      </c>
      <c r="D792" s="407" t="s">
        <v>650</v>
      </c>
      <c r="E792" s="407" t="s">
        <v>97</v>
      </c>
      <c r="F792" s="407" t="s">
        <v>97</v>
      </c>
      <c r="G792" s="407" t="s">
        <v>97</v>
      </c>
      <c r="H792" s="407" t="s">
        <v>2336</v>
      </c>
      <c r="I792" s="407" t="s">
        <v>97</v>
      </c>
      <c r="J792" s="407" t="s">
        <v>2329</v>
      </c>
      <c r="K792" s="818">
        <v>44440</v>
      </c>
      <c r="L792" s="407">
        <v>561</v>
      </c>
      <c r="M792" s="407">
        <v>280.5</v>
      </c>
      <c r="N792" s="407">
        <v>0</v>
      </c>
      <c r="O792" s="407">
        <v>0</v>
      </c>
      <c r="P792" s="407">
        <v>0</v>
      </c>
      <c r="Q792" s="407">
        <v>0</v>
      </c>
      <c r="R792" s="407">
        <v>13.8</v>
      </c>
      <c r="S792" s="407"/>
      <c r="T792" s="407"/>
      <c r="U792" s="407">
        <v>7741.8</v>
      </c>
      <c r="V792" s="407"/>
      <c r="W792" s="407">
        <v>7741.8</v>
      </c>
      <c r="X792" s="407">
        <v>3640.8900000000003</v>
      </c>
      <c r="Y792" s="407">
        <v>0</v>
      </c>
      <c r="Z792" s="407">
        <v>0</v>
      </c>
      <c r="AA792" s="407">
        <v>0</v>
      </c>
      <c r="AB792" s="407">
        <v>0</v>
      </c>
      <c r="AC792" s="407">
        <v>0</v>
      </c>
      <c r="AD792" s="407">
        <v>0</v>
      </c>
      <c r="AE792" s="407">
        <v>7730.7609953131432</v>
      </c>
      <c r="AF792" s="407"/>
      <c r="AG792" s="407"/>
      <c r="AH792" s="407"/>
      <c r="AI792" s="407">
        <v>0</v>
      </c>
      <c r="AJ792" s="407">
        <v>0</v>
      </c>
      <c r="AK792" s="407">
        <v>0</v>
      </c>
      <c r="AL792" s="407">
        <v>0</v>
      </c>
      <c r="AM792" s="407"/>
      <c r="AN792" s="407">
        <v>12.678152109374436</v>
      </c>
      <c r="AO792" s="407">
        <v>0</v>
      </c>
      <c r="AP792" s="407">
        <v>0</v>
      </c>
      <c r="AQ792" s="407">
        <v>0</v>
      </c>
      <c r="AR792" s="407">
        <v>0</v>
      </c>
      <c r="AS792" s="407"/>
      <c r="AT792" s="407"/>
      <c r="AU792" s="407">
        <v>0</v>
      </c>
      <c r="AV792" s="407">
        <v>0</v>
      </c>
      <c r="AW792" s="407">
        <v>0</v>
      </c>
      <c r="AX792" s="407"/>
      <c r="AY792" s="407"/>
      <c r="AZ792" s="407">
        <v>0</v>
      </c>
      <c r="BA792" s="407"/>
      <c r="BB792" s="407">
        <v>0</v>
      </c>
      <c r="BC792" s="407">
        <v>0</v>
      </c>
      <c r="BD792" s="407">
        <v>0</v>
      </c>
      <c r="BE792" s="407">
        <v>0</v>
      </c>
      <c r="BF792" s="407"/>
      <c r="BG792" s="407">
        <v>0</v>
      </c>
      <c r="BH792" s="407">
        <v>0</v>
      </c>
      <c r="BI792" s="407">
        <v>36.770000000000003</v>
      </c>
      <c r="BJ792" s="407">
        <v>0</v>
      </c>
      <c r="BK792" s="407">
        <v>0</v>
      </c>
      <c r="BL792" s="407">
        <v>0</v>
      </c>
      <c r="BM792" s="407"/>
      <c r="BN792" s="407"/>
      <c r="BO792" s="407">
        <v>1820.4450000000002</v>
      </c>
      <c r="BP792" s="407"/>
      <c r="BQ792" s="407"/>
      <c r="BR792" s="407"/>
      <c r="BS792" s="407"/>
      <c r="BT792" s="407"/>
      <c r="BU792" s="407"/>
      <c r="BV792" s="407">
        <v>0</v>
      </c>
      <c r="BW792" s="407"/>
      <c r="BX792" s="407"/>
      <c r="BY792" s="407"/>
      <c r="BZ792" s="407"/>
      <c r="CA792" s="407"/>
      <c r="CB792" s="407"/>
      <c r="CC792" s="407"/>
      <c r="CD792" s="407"/>
      <c r="CE792" s="407"/>
      <c r="CF792" s="407"/>
      <c r="CG792" s="407"/>
      <c r="CH792" s="407"/>
      <c r="CI792" s="407">
        <v>1820.4450000000002</v>
      </c>
      <c r="CJ792" s="407">
        <v>-2050.4850000000006</v>
      </c>
      <c r="CK792" s="407"/>
      <c r="CL792" s="407"/>
      <c r="CM792" s="407"/>
      <c r="CN792" s="407"/>
      <c r="CO792" s="407">
        <v>-4100.91</v>
      </c>
      <c r="CP792" s="407">
        <v>0</v>
      </c>
      <c r="CQ792" s="407">
        <v>30</v>
      </c>
      <c r="CR792" s="407">
        <v>-151.99665488534006</v>
      </c>
      <c r="CS792" s="407">
        <v>0</v>
      </c>
      <c r="CT792" s="407">
        <v>0</v>
      </c>
      <c r="CU792" s="407">
        <v>0</v>
      </c>
      <c r="CV792" s="407">
        <v>0</v>
      </c>
      <c r="CW792" s="407"/>
      <c r="CX792" s="407"/>
      <c r="CY792" s="407"/>
      <c r="CZ792" s="407">
        <v>0</v>
      </c>
      <c r="DA792" s="407">
        <v>0</v>
      </c>
      <c r="DB792" s="407">
        <v>0</v>
      </c>
      <c r="DC792" s="407"/>
      <c r="DD792" s="407"/>
      <c r="DE792" s="407">
        <v>0</v>
      </c>
      <c r="DF792" s="407">
        <v>0</v>
      </c>
      <c r="DG792" s="407">
        <v>0</v>
      </c>
      <c r="DH792" s="407">
        <v>0</v>
      </c>
      <c r="DI792" s="407">
        <v>0</v>
      </c>
      <c r="DJ792" s="407"/>
      <c r="DK792" s="407">
        <v>0</v>
      </c>
      <c r="DL792" s="407">
        <v>0</v>
      </c>
      <c r="DM792" s="407"/>
      <c r="DN792" s="407">
        <v>0</v>
      </c>
      <c r="DO792" s="407">
        <v>0</v>
      </c>
      <c r="DP792" s="407">
        <v>-0.80782124477702943</v>
      </c>
      <c r="DQ792" s="407">
        <v>0</v>
      </c>
      <c r="DR792" s="407">
        <v>-151.18883364056305</v>
      </c>
      <c r="DS792" s="407"/>
      <c r="DT792" s="407"/>
      <c r="DU792" s="407">
        <v>7730.7609953131432</v>
      </c>
      <c r="DV792" s="407"/>
      <c r="DW792" s="407">
        <v>0</v>
      </c>
      <c r="DX792" s="407">
        <v>0</v>
      </c>
      <c r="DY792" s="407">
        <v>-4100.91</v>
      </c>
      <c r="DZ792" s="407"/>
      <c r="EA792" s="407">
        <v>0</v>
      </c>
      <c r="EB792" s="407"/>
      <c r="EC792" s="407">
        <v>-3948.890672051999</v>
      </c>
      <c r="ED792" s="407"/>
      <c r="EE792" s="407">
        <v>0</v>
      </c>
      <c r="EF792" s="407">
        <v>0</v>
      </c>
      <c r="EG792" s="407"/>
      <c r="EH792" s="407">
        <v>0</v>
      </c>
      <c r="EI792" s="407">
        <v>0</v>
      </c>
      <c r="EJ792" s="407">
        <v>0</v>
      </c>
      <c r="EK792" s="407">
        <v>0</v>
      </c>
      <c r="EL792" s="407">
        <v>0</v>
      </c>
      <c r="EM792" s="407"/>
      <c r="EN792" s="407"/>
      <c r="EO792" s="407">
        <v>0</v>
      </c>
      <c r="EP792" s="407">
        <v>0</v>
      </c>
      <c r="EQ792" s="407"/>
      <c r="ER792" s="407">
        <v>0</v>
      </c>
      <c r="ES792" s="407"/>
      <c r="ET792" s="407">
        <v>0</v>
      </c>
      <c r="EU792" s="407"/>
      <c r="EV792" s="407">
        <v>246</v>
      </c>
      <c r="EW792" s="407"/>
      <c r="EX792" s="407"/>
      <c r="EY792" s="407"/>
      <c r="EZ792" s="407"/>
      <c r="FA792" s="407">
        <v>0</v>
      </c>
      <c r="FB792" s="407"/>
      <c r="FC792" s="407"/>
      <c r="FD792" s="407"/>
      <c r="FE792" s="407"/>
      <c r="FF792" s="407">
        <v>0</v>
      </c>
      <c r="FG792" s="407">
        <v>0</v>
      </c>
      <c r="FH792" s="407">
        <v>0</v>
      </c>
      <c r="FI792" s="407">
        <v>0</v>
      </c>
    </row>
    <row r="793" spans="1:165">
      <c r="A793" s="407">
        <v>824</v>
      </c>
      <c r="B793" s="407" t="s">
        <v>1090</v>
      </c>
      <c r="C793" s="407" t="s">
        <v>1044</v>
      </c>
      <c r="D793" s="407" t="s">
        <v>650</v>
      </c>
      <c r="E793" s="407" t="s">
        <v>97</v>
      </c>
      <c r="F793" s="407" t="s">
        <v>97</v>
      </c>
      <c r="G793" s="407" t="s">
        <v>97</v>
      </c>
      <c r="H793" s="407" t="s">
        <v>2337</v>
      </c>
      <c r="I793" s="407" t="s">
        <v>97</v>
      </c>
      <c r="J793" s="407" t="s">
        <v>2329</v>
      </c>
      <c r="K793" s="818">
        <v>44440</v>
      </c>
      <c r="L793" s="407">
        <v>379</v>
      </c>
      <c r="M793" s="407">
        <v>189.5</v>
      </c>
      <c r="N793" s="407">
        <v>0</v>
      </c>
      <c r="O793" s="407">
        <v>0</v>
      </c>
      <c r="P793" s="407">
        <v>0</v>
      </c>
      <c r="Q793" s="407">
        <v>0</v>
      </c>
      <c r="R793" s="407">
        <v>13.8</v>
      </c>
      <c r="S793" s="407"/>
      <c r="T793" s="407"/>
      <c r="U793" s="407">
        <v>5230.2</v>
      </c>
      <c r="V793" s="407"/>
      <c r="W793" s="407">
        <v>5230.2</v>
      </c>
      <c r="X793" s="407">
        <v>2459.71</v>
      </c>
      <c r="Y793" s="407">
        <v>0</v>
      </c>
      <c r="Z793" s="407">
        <v>0</v>
      </c>
      <c r="AA793" s="407">
        <v>0</v>
      </c>
      <c r="AB793" s="407">
        <v>0</v>
      </c>
      <c r="AC793" s="407">
        <v>0</v>
      </c>
      <c r="AD793" s="407">
        <v>0</v>
      </c>
      <c r="AE793" s="407">
        <v>5222.742276691054</v>
      </c>
      <c r="AF793" s="407"/>
      <c r="AG793" s="407"/>
      <c r="AH793" s="407"/>
      <c r="AI793" s="407">
        <v>0</v>
      </c>
      <c r="AJ793" s="407">
        <v>0</v>
      </c>
      <c r="AK793" s="407">
        <v>0</v>
      </c>
      <c r="AL793" s="407">
        <v>0</v>
      </c>
      <c r="AM793" s="407"/>
      <c r="AN793" s="407">
        <v>8.5650974143545646</v>
      </c>
      <c r="AO793" s="407">
        <v>0</v>
      </c>
      <c r="AP793" s="407">
        <v>0</v>
      </c>
      <c r="AQ793" s="407">
        <v>0</v>
      </c>
      <c r="AR793" s="407">
        <v>0</v>
      </c>
      <c r="AS793" s="407"/>
      <c r="AT793" s="407"/>
      <c r="AU793" s="407">
        <v>0</v>
      </c>
      <c r="AV793" s="407">
        <v>0</v>
      </c>
      <c r="AW793" s="407">
        <v>0</v>
      </c>
      <c r="AX793" s="407"/>
      <c r="AY793" s="407"/>
      <c r="AZ793" s="407">
        <v>0</v>
      </c>
      <c r="BA793" s="407"/>
      <c r="BB793" s="407">
        <v>0</v>
      </c>
      <c r="BC793" s="407">
        <v>0</v>
      </c>
      <c r="BD793" s="407">
        <v>0</v>
      </c>
      <c r="BE793" s="407">
        <v>0</v>
      </c>
      <c r="BF793" s="407"/>
      <c r="BG793" s="407">
        <v>0</v>
      </c>
      <c r="BH793" s="407">
        <v>0</v>
      </c>
      <c r="BI793" s="407">
        <v>24.83</v>
      </c>
      <c r="BJ793" s="407">
        <v>0</v>
      </c>
      <c r="BK793" s="407">
        <v>0</v>
      </c>
      <c r="BL793" s="407">
        <v>0</v>
      </c>
      <c r="BM793" s="407"/>
      <c r="BN793" s="407"/>
      <c r="BO793" s="407">
        <v>1229.855</v>
      </c>
      <c r="BP793" s="407"/>
      <c r="BQ793" s="407"/>
      <c r="BR793" s="407"/>
      <c r="BS793" s="407"/>
      <c r="BT793" s="407"/>
      <c r="BU793" s="407"/>
      <c r="BV793" s="407">
        <v>0</v>
      </c>
      <c r="BW793" s="407"/>
      <c r="BX793" s="407"/>
      <c r="BY793" s="407"/>
      <c r="BZ793" s="407"/>
      <c r="CA793" s="407"/>
      <c r="CB793" s="407"/>
      <c r="CC793" s="407"/>
      <c r="CD793" s="407"/>
      <c r="CE793" s="407"/>
      <c r="CF793" s="407"/>
      <c r="CG793" s="407"/>
      <c r="CH793" s="407"/>
      <c r="CI793" s="407">
        <v>1229.855</v>
      </c>
      <c r="CJ793" s="407">
        <v>-1385.2750000000005</v>
      </c>
      <c r="CK793" s="407"/>
      <c r="CL793" s="407"/>
      <c r="CM793" s="407"/>
      <c r="CN793" s="407"/>
      <c r="CO793" s="407">
        <v>-2770.4900000000002</v>
      </c>
      <c r="CP793" s="407">
        <v>0</v>
      </c>
      <c r="CQ793" s="407">
        <v>30</v>
      </c>
      <c r="CR793" s="407">
        <v>-102.68579715070211</v>
      </c>
      <c r="CS793" s="407">
        <v>0</v>
      </c>
      <c r="CT793" s="407">
        <v>0</v>
      </c>
      <c r="CU793" s="407">
        <v>0</v>
      </c>
      <c r="CV793" s="407">
        <v>0</v>
      </c>
      <c r="CW793" s="407"/>
      <c r="CX793" s="407"/>
      <c r="CY793" s="407"/>
      <c r="CZ793" s="407">
        <v>0</v>
      </c>
      <c r="DA793" s="407">
        <v>0</v>
      </c>
      <c r="DB793" s="407">
        <v>0</v>
      </c>
      <c r="DC793" s="407"/>
      <c r="DD793" s="407"/>
      <c r="DE793" s="407">
        <v>0</v>
      </c>
      <c r="DF793" s="407">
        <v>0</v>
      </c>
      <c r="DG793" s="407">
        <v>0</v>
      </c>
      <c r="DH793" s="407">
        <v>0</v>
      </c>
      <c r="DI793" s="407">
        <v>0</v>
      </c>
      <c r="DJ793" s="407"/>
      <c r="DK793" s="407">
        <v>0</v>
      </c>
      <c r="DL793" s="407">
        <v>0</v>
      </c>
      <c r="DM793" s="407"/>
      <c r="DN793" s="407">
        <v>0</v>
      </c>
      <c r="DO793" s="407">
        <v>0</v>
      </c>
      <c r="DP793" s="407">
        <v>-0.5457473293591697</v>
      </c>
      <c r="DQ793" s="407">
        <v>0</v>
      </c>
      <c r="DR793" s="407">
        <v>-102.14004982134294</v>
      </c>
      <c r="DS793" s="407"/>
      <c r="DT793" s="407"/>
      <c r="DU793" s="407">
        <v>5222.742276691054</v>
      </c>
      <c r="DV793" s="407"/>
      <c r="DW793" s="407">
        <v>0</v>
      </c>
      <c r="DX793" s="407">
        <v>0</v>
      </c>
      <c r="DY793" s="407">
        <v>-2770.49</v>
      </c>
      <c r="DZ793" s="407"/>
      <c r="EA793" s="407">
        <v>0</v>
      </c>
      <c r="EB793" s="407"/>
      <c r="EC793" s="407">
        <v>-2667.7888853969835</v>
      </c>
      <c r="ED793" s="407"/>
      <c r="EE793" s="407">
        <v>0</v>
      </c>
      <c r="EF793" s="407">
        <v>0</v>
      </c>
      <c r="EG793" s="407"/>
      <c r="EH793" s="407">
        <v>0</v>
      </c>
      <c r="EI793" s="407">
        <v>0</v>
      </c>
      <c r="EJ793" s="407">
        <v>0</v>
      </c>
      <c r="EK793" s="407">
        <v>0</v>
      </c>
      <c r="EL793" s="407">
        <v>0</v>
      </c>
      <c r="EM793" s="407"/>
      <c r="EN793" s="407"/>
      <c r="EO793" s="407">
        <v>0</v>
      </c>
      <c r="EP793" s="407">
        <v>0</v>
      </c>
      <c r="EQ793" s="407"/>
      <c r="ER793" s="407">
        <v>0</v>
      </c>
      <c r="ES793" s="407"/>
      <c r="ET793" s="407">
        <v>0</v>
      </c>
      <c r="EU793" s="407"/>
      <c r="EV793" s="407">
        <v>246</v>
      </c>
      <c r="EW793" s="407"/>
      <c r="EX793" s="407"/>
      <c r="EY793" s="407"/>
      <c r="EZ793" s="407"/>
      <c r="FA793" s="407">
        <v>0</v>
      </c>
      <c r="FB793" s="407"/>
      <c r="FC793" s="407"/>
      <c r="FD793" s="407"/>
      <c r="FE793" s="407"/>
      <c r="FF793" s="407">
        <v>0</v>
      </c>
      <c r="FG793" s="407">
        <v>0</v>
      </c>
      <c r="FH793" s="407">
        <v>0</v>
      </c>
      <c r="FI793" s="407">
        <v>0</v>
      </c>
    </row>
    <row r="794" spans="1:165">
      <c r="A794" s="407">
        <v>825</v>
      </c>
      <c r="B794" s="407" t="s">
        <v>1090</v>
      </c>
      <c r="C794" s="407" t="s">
        <v>1044</v>
      </c>
      <c r="D794" s="407" t="s">
        <v>650</v>
      </c>
      <c r="E794" s="407" t="s">
        <v>97</v>
      </c>
      <c r="F794" s="407" t="s">
        <v>97</v>
      </c>
      <c r="G794" s="407" t="s">
        <v>97</v>
      </c>
      <c r="H794" s="407" t="s">
        <v>2338</v>
      </c>
      <c r="I794" s="407" t="s">
        <v>97</v>
      </c>
      <c r="J794" s="407" t="s">
        <v>2329</v>
      </c>
      <c r="K794" s="818">
        <v>44440</v>
      </c>
      <c r="L794" s="407">
        <v>718</v>
      </c>
      <c r="M794" s="407">
        <v>359</v>
      </c>
      <c r="N794" s="407">
        <v>0</v>
      </c>
      <c r="O794" s="407">
        <v>0</v>
      </c>
      <c r="P794" s="407">
        <v>0</v>
      </c>
      <c r="Q794" s="407">
        <v>0</v>
      </c>
      <c r="R794" s="407">
        <v>13.8</v>
      </c>
      <c r="S794" s="407"/>
      <c r="T794" s="407"/>
      <c r="U794" s="407">
        <v>9908.4</v>
      </c>
      <c r="V794" s="407"/>
      <c r="W794" s="407">
        <v>9908.4</v>
      </c>
      <c r="X794" s="407">
        <v>4659.82</v>
      </c>
      <c r="Y794" s="407">
        <v>0</v>
      </c>
      <c r="Z794" s="407">
        <v>0</v>
      </c>
      <c r="AA794" s="407">
        <v>0</v>
      </c>
      <c r="AB794" s="407">
        <v>0</v>
      </c>
      <c r="AC794" s="407">
        <v>0</v>
      </c>
      <c r="AD794" s="407">
        <v>0</v>
      </c>
      <c r="AE794" s="407">
        <v>9894.2716481904408</v>
      </c>
      <c r="AF794" s="407"/>
      <c r="AG794" s="407"/>
      <c r="AH794" s="407"/>
      <c r="AI794" s="407">
        <v>0</v>
      </c>
      <c r="AJ794" s="407">
        <v>0</v>
      </c>
      <c r="AK794" s="407">
        <v>0</v>
      </c>
      <c r="AL794" s="407">
        <v>0</v>
      </c>
      <c r="AM794" s="407"/>
      <c r="AN794" s="407">
        <v>16.226226763869597</v>
      </c>
      <c r="AO794" s="407">
        <v>0</v>
      </c>
      <c r="AP794" s="407">
        <v>0</v>
      </c>
      <c r="AQ794" s="407">
        <v>0</v>
      </c>
      <c r="AR794" s="407">
        <v>0</v>
      </c>
      <c r="AS794" s="407"/>
      <c r="AT794" s="407"/>
      <c r="AU794" s="407">
        <v>0</v>
      </c>
      <c r="AV794" s="407">
        <v>0</v>
      </c>
      <c r="AW794" s="407">
        <v>0</v>
      </c>
      <c r="AX794" s="407"/>
      <c r="AY794" s="407"/>
      <c r="AZ794" s="407">
        <v>0</v>
      </c>
      <c r="BA794" s="407"/>
      <c r="BB794" s="407">
        <v>0</v>
      </c>
      <c r="BC794" s="407">
        <v>0</v>
      </c>
      <c r="BD794" s="407">
        <v>0</v>
      </c>
      <c r="BE794" s="407">
        <v>0</v>
      </c>
      <c r="BF794" s="407"/>
      <c r="BG794" s="407">
        <v>0</v>
      </c>
      <c r="BH794" s="407">
        <v>0</v>
      </c>
      <c r="BI794" s="407">
        <v>47.06</v>
      </c>
      <c r="BJ794" s="407">
        <v>0</v>
      </c>
      <c r="BK794" s="407">
        <v>0</v>
      </c>
      <c r="BL794" s="407">
        <v>0</v>
      </c>
      <c r="BM794" s="407"/>
      <c r="BN794" s="407"/>
      <c r="BO794" s="407">
        <v>2329.91</v>
      </c>
      <c r="BP794" s="407"/>
      <c r="BQ794" s="407"/>
      <c r="BR794" s="407"/>
      <c r="BS794" s="407"/>
      <c r="BT794" s="407"/>
      <c r="BU794" s="407"/>
      <c r="BV794" s="407">
        <v>0</v>
      </c>
      <c r="BW794" s="407"/>
      <c r="BX794" s="407"/>
      <c r="BY794" s="407"/>
      <c r="BZ794" s="407"/>
      <c r="CA794" s="407"/>
      <c r="CB794" s="407"/>
      <c r="CC794" s="407"/>
      <c r="CD794" s="407"/>
      <c r="CE794" s="407"/>
      <c r="CF794" s="407"/>
      <c r="CG794" s="407"/>
      <c r="CH794" s="407"/>
      <c r="CI794" s="407">
        <v>2329.91</v>
      </c>
      <c r="CJ794" s="407">
        <v>-2624.3200000000006</v>
      </c>
      <c r="CK794" s="407"/>
      <c r="CL794" s="407"/>
      <c r="CM794" s="407"/>
      <c r="CN794" s="407"/>
      <c r="CO794" s="407">
        <v>-5248.58</v>
      </c>
      <c r="CP794" s="407">
        <v>0</v>
      </c>
      <c r="CQ794" s="407">
        <v>30</v>
      </c>
      <c r="CR794" s="407">
        <v>-194.53404315093434</v>
      </c>
      <c r="CS794" s="407">
        <v>0</v>
      </c>
      <c r="CT794" s="407">
        <v>0</v>
      </c>
      <c r="CU794" s="407">
        <v>0</v>
      </c>
      <c r="CV794" s="407">
        <v>0</v>
      </c>
      <c r="CW794" s="407"/>
      <c r="CX794" s="407"/>
      <c r="CY794" s="407"/>
      <c r="CZ794" s="407">
        <v>0</v>
      </c>
      <c r="DA794" s="407">
        <v>0</v>
      </c>
      <c r="DB794" s="407">
        <v>0</v>
      </c>
      <c r="DC794" s="407"/>
      <c r="DD794" s="407"/>
      <c r="DE794" s="407">
        <v>0</v>
      </c>
      <c r="DF794" s="407">
        <v>0</v>
      </c>
      <c r="DG794" s="407">
        <v>0</v>
      </c>
      <c r="DH794" s="407">
        <v>0</v>
      </c>
      <c r="DI794" s="407">
        <v>0</v>
      </c>
      <c r="DJ794" s="407"/>
      <c r="DK794" s="407">
        <v>0</v>
      </c>
      <c r="DL794" s="407">
        <v>0</v>
      </c>
      <c r="DM794" s="407"/>
      <c r="DN794" s="407">
        <v>0</v>
      </c>
      <c r="DO794" s="407">
        <v>0</v>
      </c>
      <c r="DP794" s="407">
        <v>-1.0338959959891376</v>
      </c>
      <c r="DQ794" s="407">
        <v>0</v>
      </c>
      <c r="DR794" s="407">
        <v>-193.50014715494521</v>
      </c>
      <c r="DS794" s="407"/>
      <c r="DT794" s="407"/>
      <c r="DU794" s="407">
        <v>9894.2716481904408</v>
      </c>
      <c r="DV794" s="407"/>
      <c r="DW794" s="407">
        <v>0</v>
      </c>
      <c r="DX794" s="407">
        <v>0</v>
      </c>
      <c r="DY794" s="407">
        <v>-5248.58</v>
      </c>
      <c r="DZ794" s="407"/>
      <c r="EA794" s="407">
        <v>0</v>
      </c>
      <c r="EB794" s="407"/>
      <c r="EC794" s="407">
        <v>-5054.0169385620957</v>
      </c>
      <c r="ED794" s="407"/>
      <c r="EE794" s="407">
        <v>0</v>
      </c>
      <c r="EF794" s="407">
        <v>0</v>
      </c>
      <c r="EG794" s="407"/>
      <c r="EH794" s="407">
        <v>0</v>
      </c>
      <c r="EI794" s="407">
        <v>0</v>
      </c>
      <c r="EJ794" s="407">
        <v>0</v>
      </c>
      <c r="EK794" s="407">
        <v>0</v>
      </c>
      <c r="EL794" s="407">
        <v>0</v>
      </c>
      <c r="EM794" s="407"/>
      <c r="EN794" s="407"/>
      <c r="EO794" s="407">
        <v>0</v>
      </c>
      <c r="EP794" s="407">
        <v>0</v>
      </c>
      <c r="EQ794" s="407"/>
      <c r="ER794" s="407">
        <v>0</v>
      </c>
      <c r="ES794" s="407"/>
      <c r="ET794" s="407">
        <v>0</v>
      </c>
      <c r="EU794" s="407"/>
      <c r="EV794" s="407">
        <v>246</v>
      </c>
      <c r="EW794" s="407"/>
      <c r="EX794" s="407"/>
      <c r="EY794" s="407"/>
      <c r="EZ794" s="407"/>
      <c r="FA794" s="407">
        <v>0</v>
      </c>
      <c r="FB794" s="407"/>
      <c r="FC794" s="407"/>
      <c r="FD794" s="407"/>
      <c r="FE794" s="407"/>
      <c r="FF794" s="407">
        <v>0</v>
      </c>
      <c r="FG794" s="407">
        <v>0</v>
      </c>
      <c r="FH794" s="407">
        <v>0</v>
      </c>
      <c r="FI794" s="407">
        <v>0</v>
      </c>
    </row>
    <row r="795" spans="1:165">
      <c r="A795" s="407">
        <v>826</v>
      </c>
      <c r="B795" s="407" t="s">
        <v>1090</v>
      </c>
      <c r="C795" s="407" t="s">
        <v>1044</v>
      </c>
      <c r="D795" s="407" t="s">
        <v>650</v>
      </c>
      <c r="E795" s="407" t="s">
        <v>97</v>
      </c>
      <c r="F795" s="407" t="s">
        <v>97</v>
      </c>
      <c r="G795" s="407" t="s">
        <v>97</v>
      </c>
      <c r="H795" s="407" t="s">
        <v>2328</v>
      </c>
      <c r="I795" s="407" t="s">
        <v>97</v>
      </c>
      <c r="J795" s="407" t="s">
        <v>2329</v>
      </c>
      <c r="K795" s="818">
        <v>44470</v>
      </c>
      <c r="L795" s="407">
        <v>880</v>
      </c>
      <c r="M795" s="407">
        <v>440</v>
      </c>
      <c r="N795" s="407">
        <v>0</v>
      </c>
      <c r="O795" s="407">
        <v>0</v>
      </c>
      <c r="P795" s="407">
        <v>0</v>
      </c>
      <c r="Q795" s="407">
        <v>0</v>
      </c>
      <c r="R795" s="407">
        <v>13.8</v>
      </c>
      <c r="S795" s="407"/>
      <c r="T795" s="407"/>
      <c r="U795" s="407">
        <v>12144</v>
      </c>
      <c r="V795" s="407"/>
      <c r="W795" s="407">
        <v>12144</v>
      </c>
      <c r="X795" s="407">
        <v>5711.2</v>
      </c>
      <c r="Y795" s="407">
        <v>0</v>
      </c>
      <c r="Z795" s="407">
        <v>0</v>
      </c>
      <c r="AA795" s="407">
        <v>0</v>
      </c>
      <c r="AB795" s="407">
        <v>0</v>
      </c>
      <c r="AC795" s="407">
        <v>0</v>
      </c>
      <c r="AD795" s="407">
        <v>0</v>
      </c>
      <c r="AE795" s="407">
        <v>12126.683914216695</v>
      </c>
      <c r="AF795" s="407"/>
      <c r="AG795" s="407"/>
      <c r="AH795" s="407"/>
      <c r="AI795" s="407">
        <v>0</v>
      </c>
      <c r="AJ795" s="407">
        <v>0</v>
      </c>
      <c r="AK795" s="407">
        <v>0</v>
      </c>
      <c r="AL795" s="407">
        <v>0</v>
      </c>
      <c r="AM795" s="407"/>
      <c r="AN795" s="407">
        <v>19.887297426469704</v>
      </c>
      <c r="AO795" s="407">
        <v>0</v>
      </c>
      <c r="AP795" s="407">
        <v>0</v>
      </c>
      <c r="AQ795" s="407">
        <v>0</v>
      </c>
      <c r="AR795" s="407">
        <v>0</v>
      </c>
      <c r="AS795" s="407"/>
      <c r="AT795" s="407"/>
      <c r="AU795" s="407">
        <v>0</v>
      </c>
      <c r="AV795" s="407">
        <v>0</v>
      </c>
      <c r="AW795" s="407">
        <v>0</v>
      </c>
      <c r="AX795" s="407"/>
      <c r="AY795" s="407"/>
      <c r="AZ795" s="407">
        <v>0</v>
      </c>
      <c r="BA795" s="407"/>
      <c r="BB795" s="407">
        <v>0</v>
      </c>
      <c r="BC795" s="407">
        <v>0</v>
      </c>
      <c r="BD795" s="407">
        <v>0</v>
      </c>
      <c r="BE795" s="407">
        <v>0</v>
      </c>
      <c r="BF795" s="407"/>
      <c r="BG795" s="407">
        <v>0</v>
      </c>
      <c r="BH795" s="407">
        <v>0</v>
      </c>
      <c r="BI795" s="407">
        <v>72.31</v>
      </c>
      <c r="BJ795" s="407">
        <v>0</v>
      </c>
      <c r="BK795" s="407">
        <v>0</v>
      </c>
      <c r="BL795" s="407">
        <v>0</v>
      </c>
      <c r="BM795" s="407"/>
      <c r="BN795" s="407"/>
      <c r="BO795" s="407">
        <v>2855.6</v>
      </c>
      <c r="BP795" s="407"/>
      <c r="BQ795" s="407"/>
      <c r="BR795" s="407"/>
      <c r="BS795" s="407"/>
      <c r="BT795" s="407"/>
      <c r="BU795" s="407"/>
      <c r="BV795" s="407">
        <v>0</v>
      </c>
      <c r="BW795" s="407"/>
      <c r="BX795" s="407"/>
      <c r="BY795" s="407"/>
      <c r="BZ795" s="407"/>
      <c r="CA795" s="407"/>
      <c r="CB795" s="407"/>
      <c r="CC795" s="407"/>
      <c r="CD795" s="407"/>
      <c r="CE795" s="407"/>
      <c r="CF795" s="407"/>
      <c r="CG795" s="407"/>
      <c r="CH795" s="407"/>
      <c r="CI795" s="407">
        <v>2855.6</v>
      </c>
      <c r="CJ795" s="407">
        <v>-3216.4300000000007</v>
      </c>
      <c r="CK795" s="407"/>
      <c r="CL795" s="407"/>
      <c r="CM795" s="407"/>
      <c r="CN795" s="407"/>
      <c r="CO795" s="407">
        <v>-6432.8</v>
      </c>
      <c r="CP795" s="407">
        <v>0</v>
      </c>
      <c r="CQ795" s="407">
        <v>31</v>
      </c>
      <c r="CR795" s="407">
        <v>-238.42612531033737</v>
      </c>
      <c r="CS795" s="407">
        <v>0</v>
      </c>
      <c r="CT795" s="407">
        <v>0</v>
      </c>
      <c r="CU795" s="407">
        <v>0</v>
      </c>
      <c r="CV795" s="407">
        <v>0</v>
      </c>
      <c r="CW795" s="407"/>
      <c r="CX795" s="407"/>
      <c r="CY795" s="407"/>
      <c r="CZ795" s="407">
        <v>0</v>
      </c>
      <c r="DA795" s="407">
        <v>0</v>
      </c>
      <c r="DB795" s="407">
        <v>0</v>
      </c>
      <c r="DC795" s="407"/>
      <c r="DD795" s="407"/>
      <c r="DE795" s="407">
        <v>0</v>
      </c>
      <c r="DF795" s="407">
        <v>0</v>
      </c>
      <c r="DG795" s="407">
        <v>0</v>
      </c>
      <c r="DH795" s="407">
        <v>0</v>
      </c>
      <c r="DI795" s="407">
        <v>0</v>
      </c>
      <c r="DJ795" s="407"/>
      <c r="DK795" s="407">
        <v>0</v>
      </c>
      <c r="DL795" s="407">
        <v>0</v>
      </c>
      <c r="DM795" s="407"/>
      <c r="DN795" s="407">
        <v>0</v>
      </c>
      <c r="DO795" s="407">
        <v>0</v>
      </c>
      <c r="DP795" s="407">
        <v>-1.2671705800424</v>
      </c>
      <c r="DQ795" s="407">
        <v>0</v>
      </c>
      <c r="DR795" s="407">
        <v>-237.15895473029497</v>
      </c>
      <c r="DS795" s="407"/>
      <c r="DT795" s="407"/>
      <c r="DU795" s="407">
        <v>12126.683914216695</v>
      </c>
      <c r="DV795" s="407"/>
      <c r="DW795" s="407">
        <v>0</v>
      </c>
      <c r="DX795" s="407">
        <v>0</v>
      </c>
      <c r="DY795" s="407">
        <v>-6432.8</v>
      </c>
      <c r="DZ795" s="407"/>
      <c r="EA795" s="407">
        <v>0</v>
      </c>
      <c r="EB795" s="407"/>
      <c r="EC795" s="407">
        <v>-6194.3383091011747</v>
      </c>
      <c r="ED795" s="407"/>
      <c r="EE795" s="407">
        <v>0</v>
      </c>
      <c r="EF795" s="407">
        <v>0</v>
      </c>
      <c r="EG795" s="407"/>
      <c r="EH795" s="407">
        <v>0</v>
      </c>
      <c r="EI795" s="407">
        <v>0</v>
      </c>
      <c r="EJ795" s="407">
        <v>0</v>
      </c>
      <c r="EK795" s="407">
        <v>0</v>
      </c>
      <c r="EL795" s="407">
        <v>0</v>
      </c>
      <c r="EM795" s="407"/>
      <c r="EN795" s="407"/>
      <c r="EO795" s="407">
        <v>0</v>
      </c>
      <c r="EP795" s="407">
        <v>0</v>
      </c>
      <c r="EQ795" s="407"/>
      <c r="ER795" s="407">
        <v>0</v>
      </c>
      <c r="ES795" s="407"/>
      <c r="ET795" s="407">
        <v>0</v>
      </c>
      <c r="EU795" s="407"/>
      <c r="EV795" s="407">
        <v>246</v>
      </c>
      <c r="EW795" s="407"/>
      <c r="EX795" s="407"/>
      <c r="EY795" s="407"/>
      <c r="EZ795" s="407"/>
      <c r="FA795" s="407">
        <v>0</v>
      </c>
      <c r="FB795" s="407"/>
      <c r="FC795" s="407"/>
      <c r="FD795" s="407"/>
      <c r="FE795" s="407"/>
      <c r="FF795" s="407">
        <v>0</v>
      </c>
      <c r="FG795" s="407">
        <v>0</v>
      </c>
      <c r="FH795" s="407">
        <v>0</v>
      </c>
      <c r="FI795" s="407">
        <v>0</v>
      </c>
    </row>
    <row r="796" spans="1:165">
      <c r="A796" s="407">
        <v>827</v>
      </c>
      <c r="B796" s="407" t="s">
        <v>1090</v>
      </c>
      <c r="C796" s="407" t="s">
        <v>1044</v>
      </c>
      <c r="D796" s="407" t="s">
        <v>650</v>
      </c>
      <c r="E796" s="407" t="s">
        <v>97</v>
      </c>
      <c r="F796" s="407" t="s">
        <v>97</v>
      </c>
      <c r="G796" s="407" t="s">
        <v>97</v>
      </c>
      <c r="H796" s="407" t="s">
        <v>2330</v>
      </c>
      <c r="I796" s="407" t="s">
        <v>97</v>
      </c>
      <c r="J796" s="407" t="s">
        <v>2329</v>
      </c>
      <c r="K796" s="818">
        <v>44470</v>
      </c>
      <c r="L796" s="407">
        <v>520</v>
      </c>
      <c r="M796" s="407">
        <v>260</v>
      </c>
      <c r="N796" s="407">
        <v>0</v>
      </c>
      <c r="O796" s="407">
        <v>0</v>
      </c>
      <c r="P796" s="407">
        <v>0</v>
      </c>
      <c r="Q796" s="407">
        <v>0</v>
      </c>
      <c r="R796" s="407">
        <v>13.8</v>
      </c>
      <c r="S796" s="407"/>
      <c r="T796" s="407"/>
      <c r="U796" s="407">
        <v>7176</v>
      </c>
      <c r="V796" s="407"/>
      <c r="W796" s="407">
        <v>7176</v>
      </c>
      <c r="X796" s="407">
        <v>3374.8</v>
      </c>
      <c r="Y796" s="407">
        <v>0</v>
      </c>
      <c r="Z796" s="407">
        <v>0</v>
      </c>
      <c r="AA796" s="407">
        <v>0</v>
      </c>
      <c r="AB796" s="407">
        <v>0</v>
      </c>
      <c r="AC796" s="407">
        <v>0</v>
      </c>
      <c r="AD796" s="407">
        <v>0</v>
      </c>
      <c r="AE796" s="407">
        <v>7165.767767491684</v>
      </c>
      <c r="AF796" s="407"/>
      <c r="AG796" s="407"/>
      <c r="AH796" s="407"/>
      <c r="AI796" s="407">
        <v>0</v>
      </c>
      <c r="AJ796" s="407">
        <v>0</v>
      </c>
      <c r="AK796" s="407">
        <v>0</v>
      </c>
      <c r="AL796" s="407">
        <v>0</v>
      </c>
      <c r="AM796" s="407"/>
      <c r="AN796" s="407">
        <v>11.751584842913916</v>
      </c>
      <c r="AO796" s="407">
        <v>0</v>
      </c>
      <c r="AP796" s="407">
        <v>0</v>
      </c>
      <c r="AQ796" s="407">
        <v>0</v>
      </c>
      <c r="AR796" s="407">
        <v>0</v>
      </c>
      <c r="AS796" s="407"/>
      <c r="AT796" s="407"/>
      <c r="AU796" s="407">
        <v>0</v>
      </c>
      <c r="AV796" s="407">
        <v>0</v>
      </c>
      <c r="AW796" s="407">
        <v>0</v>
      </c>
      <c r="AX796" s="407"/>
      <c r="AY796" s="407"/>
      <c r="AZ796" s="407">
        <v>0</v>
      </c>
      <c r="BA796" s="407"/>
      <c r="BB796" s="407">
        <v>0</v>
      </c>
      <c r="BC796" s="407">
        <v>0</v>
      </c>
      <c r="BD796" s="407">
        <v>0</v>
      </c>
      <c r="BE796" s="407">
        <v>0</v>
      </c>
      <c r="BF796" s="407"/>
      <c r="BG796" s="407">
        <v>0</v>
      </c>
      <c r="BH796" s="407">
        <v>0</v>
      </c>
      <c r="BI796" s="407">
        <v>42.72</v>
      </c>
      <c r="BJ796" s="407">
        <v>0</v>
      </c>
      <c r="BK796" s="407">
        <v>0</v>
      </c>
      <c r="BL796" s="407">
        <v>0</v>
      </c>
      <c r="BM796" s="407"/>
      <c r="BN796" s="407"/>
      <c r="BO796" s="407">
        <v>1687.4</v>
      </c>
      <c r="BP796" s="407"/>
      <c r="BQ796" s="407"/>
      <c r="BR796" s="407"/>
      <c r="BS796" s="407"/>
      <c r="BT796" s="407"/>
      <c r="BU796" s="407"/>
      <c r="BV796" s="407">
        <v>0</v>
      </c>
      <c r="BW796" s="407"/>
      <c r="BX796" s="407"/>
      <c r="BY796" s="407"/>
      <c r="BZ796" s="407"/>
      <c r="CA796" s="407"/>
      <c r="CB796" s="407"/>
      <c r="CC796" s="407"/>
      <c r="CD796" s="407"/>
      <c r="CE796" s="407"/>
      <c r="CF796" s="407"/>
      <c r="CG796" s="407"/>
      <c r="CH796" s="407"/>
      <c r="CI796" s="407">
        <v>1687.4</v>
      </c>
      <c r="CJ796" s="407">
        <v>-1900.6300000000006</v>
      </c>
      <c r="CK796" s="407"/>
      <c r="CL796" s="407"/>
      <c r="CM796" s="407"/>
      <c r="CN796" s="407"/>
      <c r="CO796" s="407">
        <v>-3801.2000000000003</v>
      </c>
      <c r="CP796" s="407">
        <v>0</v>
      </c>
      <c r="CQ796" s="407">
        <v>31</v>
      </c>
      <c r="CR796" s="407">
        <v>-140.88816495610848</v>
      </c>
      <c r="CS796" s="407">
        <v>0</v>
      </c>
      <c r="CT796" s="407">
        <v>0</v>
      </c>
      <c r="CU796" s="407">
        <v>0</v>
      </c>
      <c r="CV796" s="407">
        <v>0</v>
      </c>
      <c r="CW796" s="407"/>
      <c r="CX796" s="407"/>
      <c r="CY796" s="407"/>
      <c r="CZ796" s="407">
        <v>0</v>
      </c>
      <c r="DA796" s="407">
        <v>0</v>
      </c>
      <c r="DB796" s="407">
        <v>0</v>
      </c>
      <c r="DC796" s="407"/>
      <c r="DD796" s="407"/>
      <c r="DE796" s="407">
        <v>0</v>
      </c>
      <c r="DF796" s="407">
        <v>0</v>
      </c>
      <c r="DG796" s="407">
        <v>0</v>
      </c>
      <c r="DH796" s="407">
        <v>0</v>
      </c>
      <c r="DI796" s="407">
        <v>0</v>
      </c>
      <c r="DJ796" s="407"/>
      <c r="DK796" s="407">
        <v>0</v>
      </c>
      <c r="DL796" s="407">
        <v>0</v>
      </c>
      <c r="DM796" s="407"/>
      <c r="DN796" s="407">
        <v>0</v>
      </c>
      <c r="DO796" s="407">
        <v>0</v>
      </c>
      <c r="DP796" s="407">
        <v>-0.74878261547960001</v>
      </c>
      <c r="DQ796" s="407">
        <v>0</v>
      </c>
      <c r="DR796" s="407">
        <v>-140.13938234062886</v>
      </c>
      <c r="DS796" s="407"/>
      <c r="DT796" s="407"/>
      <c r="DU796" s="407">
        <v>7165.767767491684</v>
      </c>
      <c r="DV796" s="407"/>
      <c r="DW796" s="407">
        <v>0</v>
      </c>
      <c r="DX796" s="407">
        <v>0</v>
      </c>
      <c r="DY796" s="407">
        <v>-3801.2</v>
      </c>
      <c r="DZ796" s="407"/>
      <c r="EA796" s="407">
        <v>0</v>
      </c>
      <c r="EB796" s="407"/>
      <c r="EC796" s="407">
        <v>-3660.2908190143312</v>
      </c>
      <c r="ED796" s="407"/>
      <c r="EE796" s="407">
        <v>0</v>
      </c>
      <c r="EF796" s="407">
        <v>0</v>
      </c>
      <c r="EG796" s="407"/>
      <c r="EH796" s="407">
        <v>0</v>
      </c>
      <c r="EI796" s="407">
        <v>0</v>
      </c>
      <c r="EJ796" s="407">
        <v>0</v>
      </c>
      <c r="EK796" s="407">
        <v>0</v>
      </c>
      <c r="EL796" s="407">
        <v>0</v>
      </c>
      <c r="EM796" s="407"/>
      <c r="EN796" s="407"/>
      <c r="EO796" s="407">
        <v>0</v>
      </c>
      <c r="EP796" s="407">
        <v>0</v>
      </c>
      <c r="EQ796" s="407"/>
      <c r="ER796" s="407">
        <v>0</v>
      </c>
      <c r="ES796" s="407"/>
      <c r="ET796" s="407">
        <v>0</v>
      </c>
      <c r="EU796" s="407"/>
      <c r="EV796" s="407">
        <v>246</v>
      </c>
      <c r="EW796" s="407"/>
      <c r="EX796" s="407"/>
      <c r="EY796" s="407"/>
      <c r="EZ796" s="407"/>
      <c r="FA796" s="407">
        <v>0</v>
      </c>
      <c r="FB796" s="407"/>
      <c r="FC796" s="407"/>
      <c r="FD796" s="407"/>
      <c r="FE796" s="407"/>
      <c r="FF796" s="407">
        <v>0</v>
      </c>
      <c r="FG796" s="407">
        <v>0</v>
      </c>
      <c r="FH796" s="407">
        <v>0</v>
      </c>
      <c r="FI796" s="407">
        <v>0</v>
      </c>
    </row>
    <row r="797" spans="1:165">
      <c r="A797" s="407">
        <v>828</v>
      </c>
      <c r="B797" s="407" t="s">
        <v>1090</v>
      </c>
      <c r="C797" s="407" t="s">
        <v>1044</v>
      </c>
      <c r="D797" s="407" t="s">
        <v>650</v>
      </c>
      <c r="E797" s="407" t="s">
        <v>97</v>
      </c>
      <c r="F797" s="407" t="s">
        <v>97</v>
      </c>
      <c r="G797" s="407" t="s">
        <v>97</v>
      </c>
      <c r="H797" s="407" t="s">
        <v>2331</v>
      </c>
      <c r="I797" s="407" t="s">
        <v>97</v>
      </c>
      <c r="J797" s="407" t="s">
        <v>2329</v>
      </c>
      <c r="K797" s="818">
        <v>44470</v>
      </c>
      <c r="L797" s="407">
        <v>1000</v>
      </c>
      <c r="M797" s="407">
        <v>500</v>
      </c>
      <c r="N797" s="407">
        <v>0</v>
      </c>
      <c r="O797" s="407">
        <v>0</v>
      </c>
      <c r="P797" s="407">
        <v>0</v>
      </c>
      <c r="Q797" s="407">
        <v>0</v>
      </c>
      <c r="R797" s="407">
        <v>13.8</v>
      </c>
      <c r="S797" s="407"/>
      <c r="T797" s="407"/>
      <c r="U797" s="407">
        <v>13800</v>
      </c>
      <c r="V797" s="407"/>
      <c r="W797" s="407">
        <v>13800</v>
      </c>
      <c r="X797" s="407">
        <v>6490</v>
      </c>
      <c r="Y797" s="407">
        <v>0</v>
      </c>
      <c r="Z797" s="407">
        <v>0</v>
      </c>
      <c r="AA797" s="407">
        <v>0</v>
      </c>
      <c r="AB797" s="407">
        <v>0</v>
      </c>
      <c r="AC797" s="407">
        <v>0</v>
      </c>
      <c r="AD797" s="407">
        <v>0</v>
      </c>
      <c r="AE797" s="407">
        <v>13780.322629791699</v>
      </c>
      <c r="AF797" s="407"/>
      <c r="AG797" s="407"/>
      <c r="AH797" s="407"/>
      <c r="AI797" s="407">
        <v>0</v>
      </c>
      <c r="AJ797" s="407">
        <v>0</v>
      </c>
      <c r="AK797" s="407">
        <v>0</v>
      </c>
      <c r="AL797" s="407">
        <v>0</v>
      </c>
      <c r="AM797" s="407"/>
      <c r="AN797" s="407">
        <v>22.5992016209883</v>
      </c>
      <c r="AO797" s="407">
        <v>0</v>
      </c>
      <c r="AP797" s="407">
        <v>0</v>
      </c>
      <c r="AQ797" s="407">
        <v>0</v>
      </c>
      <c r="AR797" s="407">
        <v>0</v>
      </c>
      <c r="AS797" s="407"/>
      <c r="AT797" s="407"/>
      <c r="AU797" s="407">
        <v>0</v>
      </c>
      <c r="AV797" s="407">
        <v>0</v>
      </c>
      <c r="AW797" s="407">
        <v>0</v>
      </c>
      <c r="AX797" s="407"/>
      <c r="AY797" s="407"/>
      <c r="AZ797" s="407">
        <v>0</v>
      </c>
      <c r="BA797" s="407"/>
      <c r="BB797" s="407">
        <v>0</v>
      </c>
      <c r="BC797" s="407">
        <v>0</v>
      </c>
      <c r="BD797" s="407">
        <v>0</v>
      </c>
      <c r="BE797" s="407">
        <v>0</v>
      </c>
      <c r="BF797" s="407"/>
      <c r="BG797" s="407">
        <v>0</v>
      </c>
      <c r="BH797" s="407">
        <v>0</v>
      </c>
      <c r="BI797" s="407">
        <v>82.17</v>
      </c>
      <c r="BJ797" s="407">
        <v>0</v>
      </c>
      <c r="BK797" s="407">
        <v>0</v>
      </c>
      <c r="BL797" s="407">
        <v>0</v>
      </c>
      <c r="BM797" s="407"/>
      <c r="BN797" s="407"/>
      <c r="BO797" s="407">
        <v>3245</v>
      </c>
      <c r="BP797" s="407"/>
      <c r="BQ797" s="407"/>
      <c r="BR797" s="407"/>
      <c r="BS797" s="407"/>
      <c r="BT797" s="407"/>
      <c r="BU797" s="407"/>
      <c r="BV797" s="407">
        <v>0</v>
      </c>
      <c r="BW797" s="407"/>
      <c r="BX797" s="407"/>
      <c r="BY797" s="407"/>
      <c r="BZ797" s="407"/>
      <c r="CA797" s="407"/>
      <c r="CB797" s="407"/>
      <c r="CC797" s="407"/>
      <c r="CD797" s="407"/>
      <c r="CE797" s="407"/>
      <c r="CF797" s="407"/>
      <c r="CG797" s="407"/>
      <c r="CH797" s="407"/>
      <c r="CI797" s="407">
        <v>3245</v>
      </c>
      <c r="CJ797" s="407">
        <v>-3655.0300000000007</v>
      </c>
      <c r="CK797" s="407"/>
      <c r="CL797" s="407"/>
      <c r="CM797" s="407"/>
      <c r="CN797" s="407"/>
      <c r="CO797" s="407">
        <v>-7310.0000000000009</v>
      </c>
      <c r="CP797" s="407">
        <v>0</v>
      </c>
      <c r="CQ797" s="407">
        <v>31</v>
      </c>
      <c r="CR797" s="407">
        <v>-270.93877876174702</v>
      </c>
      <c r="CS797" s="407">
        <v>0</v>
      </c>
      <c r="CT797" s="407">
        <v>0</v>
      </c>
      <c r="CU797" s="407">
        <v>0</v>
      </c>
      <c r="CV797" s="407">
        <v>0</v>
      </c>
      <c r="CW797" s="407"/>
      <c r="CX797" s="407"/>
      <c r="CY797" s="407"/>
      <c r="CZ797" s="407">
        <v>0</v>
      </c>
      <c r="DA797" s="407">
        <v>0</v>
      </c>
      <c r="DB797" s="407">
        <v>0</v>
      </c>
      <c r="DC797" s="407"/>
      <c r="DD797" s="407"/>
      <c r="DE797" s="407">
        <v>0</v>
      </c>
      <c r="DF797" s="407">
        <v>0</v>
      </c>
      <c r="DG797" s="407">
        <v>0</v>
      </c>
      <c r="DH797" s="407">
        <v>0</v>
      </c>
      <c r="DI797" s="407">
        <v>0</v>
      </c>
      <c r="DJ797" s="407"/>
      <c r="DK797" s="407">
        <v>0</v>
      </c>
      <c r="DL797" s="407">
        <v>0</v>
      </c>
      <c r="DM797" s="407"/>
      <c r="DN797" s="407">
        <v>0</v>
      </c>
      <c r="DO797" s="407">
        <v>0</v>
      </c>
      <c r="DP797" s="407">
        <v>-1.4399665682300018</v>
      </c>
      <c r="DQ797" s="407">
        <v>0</v>
      </c>
      <c r="DR797" s="407">
        <v>-269.49881219351704</v>
      </c>
      <c r="DS797" s="407"/>
      <c r="DT797" s="407"/>
      <c r="DU797" s="407">
        <v>13780.322629791699</v>
      </c>
      <c r="DV797" s="407"/>
      <c r="DW797" s="407">
        <v>0</v>
      </c>
      <c r="DX797" s="407">
        <v>0</v>
      </c>
      <c r="DY797" s="407">
        <v>-7310</v>
      </c>
      <c r="DZ797" s="407"/>
      <c r="EA797" s="407">
        <v>0</v>
      </c>
      <c r="EB797" s="407"/>
      <c r="EC797" s="407">
        <v>-7039.0208057967893</v>
      </c>
      <c r="ED797" s="407"/>
      <c r="EE797" s="407">
        <v>0</v>
      </c>
      <c r="EF797" s="407">
        <v>0</v>
      </c>
      <c r="EG797" s="407"/>
      <c r="EH797" s="407">
        <v>0</v>
      </c>
      <c r="EI797" s="407">
        <v>0</v>
      </c>
      <c r="EJ797" s="407">
        <v>0</v>
      </c>
      <c r="EK797" s="407">
        <v>0</v>
      </c>
      <c r="EL797" s="407">
        <v>0</v>
      </c>
      <c r="EM797" s="407"/>
      <c r="EN797" s="407"/>
      <c r="EO797" s="407">
        <v>0</v>
      </c>
      <c r="EP797" s="407">
        <v>0</v>
      </c>
      <c r="EQ797" s="407"/>
      <c r="ER797" s="407">
        <v>0</v>
      </c>
      <c r="ES797" s="407"/>
      <c r="ET797" s="407">
        <v>0</v>
      </c>
      <c r="EU797" s="407"/>
      <c r="EV797" s="407">
        <v>246</v>
      </c>
      <c r="EW797" s="407"/>
      <c r="EX797" s="407"/>
      <c r="EY797" s="407"/>
      <c r="EZ797" s="407"/>
      <c r="FA797" s="407">
        <v>0</v>
      </c>
      <c r="FB797" s="407"/>
      <c r="FC797" s="407"/>
      <c r="FD797" s="407"/>
      <c r="FE797" s="407"/>
      <c r="FF797" s="407">
        <v>0</v>
      </c>
      <c r="FG797" s="407">
        <v>0</v>
      </c>
      <c r="FH797" s="407">
        <v>0</v>
      </c>
      <c r="FI797" s="407">
        <v>0</v>
      </c>
    </row>
    <row r="798" spans="1:165">
      <c r="A798" s="407">
        <v>829</v>
      </c>
      <c r="B798" s="407" t="s">
        <v>1090</v>
      </c>
      <c r="C798" s="407" t="s">
        <v>1044</v>
      </c>
      <c r="D798" s="407" t="s">
        <v>650</v>
      </c>
      <c r="E798" s="407" t="s">
        <v>97</v>
      </c>
      <c r="F798" s="407" t="s">
        <v>97</v>
      </c>
      <c r="G798" s="407" t="s">
        <v>97</v>
      </c>
      <c r="H798" s="407" t="s">
        <v>2332</v>
      </c>
      <c r="I798" s="407" t="s">
        <v>97</v>
      </c>
      <c r="J798" s="407" t="s">
        <v>2329</v>
      </c>
      <c r="K798" s="818">
        <v>44470</v>
      </c>
      <c r="L798" s="407">
        <v>800</v>
      </c>
      <c r="M798" s="407">
        <v>400</v>
      </c>
      <c r="N798" s="407">
        <v>0</v>
      </c>
      <c r="O798" s="407">
        <v>0</v>
      </c>
      <c r="P798" s="407">
        <v>0</v>
      </c>
      <c r="Q798" s="407">
        <v>0</v>
      </c>
      <c r="R798" s="407">
        <v>13.8</v>
      </c>
      <c r="S798" s="407"/>
      <c r="T798" s="407"/>
      <c r="U798" s="407">
        <v>11040</v>
      </c>
      <c r="V798" s="407"/>
      <c r="W798" s="407">
        <v>11040</v>
      </c>
      <c r="X798" s="407">
        <v>5192</v>
      </c>
      <c r="Y798" s="407">
        <v>0</v>
      </c>
      <c r="Z798" s="407">
        <v>0</v>
      </c>
      <c r="AA798" s="407">
        <v>0</v>
      </c>
      <c r="AB798" s="407">
        <v>0</v>
      </c>
      <c r="AC798" s="407">
        <v>0</v>
      </c>
      <c r="AD798" s="407">
        <v>0</v>
      </c>
      <c r="AE798" s="407">
        <v>11024.258103833359</v>
      </c>
      <c r="AF798" s="407"/>
      <c r="AG798" s="407"/>
      <c r="AH798" s="407"/>
      <c r="AI798" s="407">
        <v>0</v>
      </c>
      <c r="AJ798" s="407">
        <v>0</v>
      </c>
      <c r="AK798" s="407">
        <v>0</v>
      </c>
      <c r="AL798" s="407">
        <v>0</v>
      </c>
      <c r="AM798" s="407"/>
      <c r="AN798" s="407">
        <v>18.079361296790637</v>
      </c>
      <c r="AO798" s="407">
        <v>0</v>
      </c>
      <c r="AP798" s="407">
        <v>0</v>
      </c>
      <c r="AQ798" s="407">
        <v>0</v>
      </c>
      <c r="AR798" s="407">
        <v>0</v>
      </c>
      <c r="AS798" s="407"/>
      <c r="AT798" s="407"/>
      <c r="AU798" s="407">
        <v>0</v>
      </c>
      <c r="AV798" s="407">
        <v>0</v>
      </c>
      <c r="AW798" s="407">
        <v>0</v>
      </c>
      <c r="AX798" s="407"/>
      <c r="AY798" s="407"/>
      <c r="AZ798" s="407">
        <v>0</v>
      </c>
      <c r="BA798" s="407"/>
      <c r="BB798" s="407">
        <v>0</v>
      </c>
      <c r="BC798" s="407">
        <v>0</v>
      </c>
      <c r="BD798" s="407">
        <v>0</v>
      </c>
      <c r="BE798" s="407">
        <v>0</v>
      </c>
      <c r="BF798" s="407"/>
      <c r="BG798" s="407">
        <v>0</v>
      </c>
      <c r="BH798" s="407">
        <v>0</v>
      </c>
      <c r="BI798" s="407">
        <v>65.739999999999995</v>
      </c>
      <c r="BJ798" s="407">
        <v>0</v>
      </c>
      <c r="BK798" s="407">
        <v>0</v>
      </c>
      <c r="BL798" s="407">
        <v>0</v>
      </c>
      <c r="BM798" s="407"/>
      <c r="BN798" s="407"/>
      <c r="BO798" s="407">
        <v>2596</v>
      </c>
      <c r="BP798" s="407"/>
      <c r="BQ798" s="407"/>
      <c r="BR798" s="407"/>
      <c r="BS798" s="407"/>
      <c r="BT798" s="407"/>
      <c r="BU798" s="407"/>
      <c r="BV798" s="407">
        <v>0</v>
      </c>
      <c r="BW798" s="407"/>
      <c r="BX798" s="407"/>
      <c r="BY798" s="407"/>
      <c r="BZ798" s="407"/>
      <c r="CA798" s="407"/>
      <c r="CB798" s="407"/>
      <c r="CC798" s="407"/>
      <c r="CD798" s="407"/>
      <c r="CE798" s="407"/>
      <c r="CF798" s="407"/>
      <c r="CG798" s="407"/>
      <c r="CH798" s="407"/>
      <c r="CI798" s="407">
        <v>2596</v>
      </c>
      <c r="CJ798" s="407">
        <v>-2924.0300000000007</v>
      </c>
      <c r="CK798" s="407"/>
      <c r="CL798" s="407"/>
      <c r="CM798" s="407"/>
      <c r="CN798" s="407"/>
      <c r="CO798" s="407">
        <v>-5848</v>
      </c>
      <c r="CP798" s="407">
        <v>0</v>
      </c>
      <c r="CQ798" s="407">
        <v>31</v>
      </c>
      <c r="CR798" s="407">
        <v>-216.75102300939761</v>
      </c>
      <c r="CS798" s="407">
        <v>0</v>
      </c>
      <c r="CT798" s="407">
        <v>0</v>
      </c>
      <c r="CU798" s="407">
        <v>0</v>
      </c>
      <c r="CV798" s="407">
        <v>0</v>
      </c>
      <c r="CW798" s="407"/>
      <c r="CX798" s="407"/>
      <c r="CY798" s="407"/>
      <c r="CZ798" s="407">
        <v>0</v>
      </c>
      <c r="DA798" s="407">
        <v>0</v>
      </c>
      <c r="DB798" s="407">
        <v>0</v>
      </c>
      <c r="DC798" s="407"/>
      <c r="DD798" s="407"/>
      <c r="DE798" s="407">
        <v>0</v>
      </c>
      <c r="DF798" s="407">
        <v>0</v>
      </c>
      <c r="DG798" s="407">
        <v>0</v>
      </c>
      <c r="DH798" s="407">
        <v>0</v>
      </c>
      <c r="DI798" s="407">
        <v>0</v>
      </c>
      <c r="DJ798" s="407"/>
      <c r="DK798" s="407">
        <v>0</v>
      </c>
      <c r="DL798" s="407">
        <v>0</v>
      </c>
      <c r="DM798" s="407"/>
      <c r="DN798" s="407">
        <v>0</v>
      </c>
      <c r="DO798" s="407">
        <v>0</v>
      </c>
      <c r="DP798" s="407">
        <v>-1.1519732545839965</v>
      </c>
      <c r="DQ798" s="407">
        <v>0</v>
      </c>
      <c r="DR798" s="407">
        <v>-215.59904975481362</v>
      </c>
      <c r="DS798" s="407"/>
      <c r="DT798" s="407"/>
      <c r="DU798" s="407">
        <v>11024.258103833359</v>
      </c>
      <c r="DV798" s="407"/>
      <c r="DW798" s="407">
        <v>0</v>
      </c>
      <c r="DX798" s="407">
        <v>0</v>
      </c>
      <c r="DY798" s="407">
        <v>-5848</v>
      </c>
      <c r="DZ798" s="407"/>
      <c r="EA798" s="407">
        <v>0</v>
      </c>
      <c r="EB798" s="407"/>
      <c r="EC798" s="407">
        <v>-5631.2166446374313</v>
      </c>
      <c r="ED798" s="407"/>
      <c r="EE798" s="407">
        <v>0</v>
      </c>
      <c r="EF798" s="407">
        <v>0</v>
      </c>
      <c r="EG798" s="407"/>
      <c r="EH798" s="407">
        <v>0</v>
      </c>
      <c r="EI798" s="407">
        <v>0</v>
      </c>
      <c r="EJ798" s="407">
        <v>0</v>
      </c>
      <c r="EK798" s="407">
        <v>0</v>
      </c>
      <c r="EL798" s="407">
        <v>0</v>
      </c>
      <c r="EM798" s="407"/>
      <c r="EN798" s="407"/>
      <c r="EO798" s="407">
        <v>0</v>
      </c>
      <c r="EP798" s="407">
        <v>0</v>
      </c>
      <c r="EQ798" s="407"/>
      <c r="ER798" s="407">
        <v>0</v>
      </c>
      <c r="ES798" s="407"/>
      <c r="ET798" s="407">
        <v>0</v>
      </c>
      <c r="EU798" s="407"/>
      <c r="EV798" s="407">
        <v>246</v>
      </c>
      <c r="EW798" s="407"/>
      <c r="EX798" s="407"/>
      <c r="EY798" s="407"/>
      <c r="EZ798" s="407"/>
      <c r="FA798" s="407">
        <v>0</v>
      </c>
      <c r="FB798" s="407"/>
      <c r="FC798" s="407"/>
      <c r="FD798" s="407"/>
      <c r="FE798" s="407"/>
      <c r="FF798" s="407">
        <v>0</v>
      </c>
      <c r="FG798" s="407">
        <v>0</v>
      </c>
      <c r="FH798" s="407">
        <v>0</v>
      </c>
      <c r="FI798" s="407">
        <v>0</v>
      </c>
    </row>
    <row r="799" spans="1:165">
      <c r="A799" s="407">
        <v>830</v>
      </c>
      <c r="B799" s="407" t="s">
        <v>1090</v>
      </c>
      <c r="C799" s="407" t="s">
        <v>1044</v>
      </c>
      <c r="D799" s="407" t="s">
        <v>650</v>
      </c>
      <c r="E799" s="407" t="s">
        <v>97</v>
      </c>
      <c r="F799" s="407" t="s">
        <v>97</v>
      </c>
      <c r="G799" s="407" t="s">
        <v>97</v>
      </c>
      <c r="H799" s="407" t="s">
        <v>2333</v>
      </c>
      <c r="I799" s="407" t="s">
        <v>97</v>
      </c>
      <c r="J799" s="407" t="s">
        <v>2329</v>
      </c>
      <c r="K799" s="818">
        <v>44470</v>
      </c>
      <c r="L799" s="407">
        <v>270</v>
      </c>
      <c r="M799" s="407">
        <v>135</v>
      </c>
      <c r="N799" s="407">
        <v>0</v>
      </c>
      <c r="O799" s="407">
        <v>0</v>
      </c>
      <c r="P799" s="407">
        <v>0</v>
      </c>
      <c r="Q799" s="407">
        <v>0</v>
      </c>
      <c r="R799" s="407">
        <v>13.8</v>
      </c>
      <c r="S799" s="407"/>
      <c r="T799" s="407"/>
      <c r="U799" s="407">
        <v>3726</v>
      </c>
      <c r="V799" s="407"/>
      <c r="W799" s="407">
        <v>3726</v>
      </c>
      <c r="X799" s="407">
        <v>1752.3</v>
      </c>
      <c r="Y799" s="407">
        <v>0</v>
      </c>
      <c r="Z799" s="407">
        <v>0</v>
      </c>
      <c r="AA799" s="407">
        <v>0</v>
      </c>
      <c r="AB799" s="407">
        <v>0</v>
      </c>
      <c r="AC799" s="407">
        <v>0</v>
      </c>
      <c r="AD799" s="407">
        <v>0</v>
      </c>
      <c r="AE799" s="407">
        <v>3720.6871100437588</v>
      </c>
      <c r="AF799" s="407"/>
      <c r="AG799" s="407"/>
      <c r="AH799" s="407"/>
      <c r="AI799" s="407">
        <v>0</v>
      </c>
      <c r="AJ799" s="407">
        <v>0</v>
      </c>
      <c r="AK799" s="407">
        <v>0</v>
      </c>
      <c r="AL799" s="407">
        <v>0</v>
      </c>
      <c r="AM799" s="407"/>
      <c r="AN799" s="407">
        <v>6.1017844376668409</v>
      </c>
      <c r="AO799" s="407">
        <v>0</v>
      </c>
      <c r="AP799" s="407">
        <v>0</v>
      </c>
      <c r="AQ799" s="407">
        <v>0</v>
      </c>
      <c r="AR799" s="407">
        <v>0</v>
      </c>
      <c r="AS799" s="407"/>
      <c r="AT799" s="407"/>
      <c r="AU799" s="407">
        <v>0</v>
      </c>
      <c r="AV799" s="407">
        <v>0</v>
      </c>
      <c r="AW799" s="407">
        <v>0</v>
      </c>
      <c r="AX799" s="407"/>
      <c r="AY799" s="407"/>
      <c r="AZ799" s="407">
        <v>0</v>
      </c>
      <c r="BA799" s="407"/>
      <c r="BB799" s="407">
        <v>0</v>
      </c>
      <c r="BC799" s="407">
        <v>0</v>
      </c>
      <c r="BD799" s="407">
        <v>0</v>
      </c>
      <c r="BE799" s="407">
        <v>0</v>
      </c>
      <c r="BF799" s="407"/>
      <c r="BG799" s="407">
        <v>0</v>
      </c>
      <c r="BH799" s="407">
        <v>0</v>
      </c>
      <c r="BI799" s="407">
        <v>22.18</v>
      </c>
      <c r="BJ799" s="407">
        <v>0</v>
      </c>
      <c r="BK799" s="407">
        <v>0</v>
      </c>
      <c r="BL799" s="407">
        <v>0</v>
      </c>
      <c r="BM799" s="407"/>
      <c r="BN799" s="407"/>
      <c r="BO799" s="407">
        <v>876.15</v>
      </c>
      <c r="BP799" s="407"/>
      <c r="BQ799" s="407"/>
      <c r="BR799" s="407"/>
      <c r="BS799" s="407"/>
      <c r="BT799" s="407"/>
      <c r="BU799" s="407"/>
      <c r="BV799" s="407">
        <v>0</v>
      </c>
      <c r="BW799" s="407"/>
      <c r="BX799" s="407"/>
      <c r="BY799" s="407"/>
      <c r="BZ799" s="407"/>
      <c r="CA799" s="407"/>
      <c r="CB799" s="407"/>
      <c r="CC799" s="407"/>
      <c r="CD799" s="407"/>
      <c r="CE799" s="407"/>
      <c r="CF799" s="407"/>
      <c r="CG799" s="407"/>
      <c r="CH799" s="407"/>
      <c r="CI799" s="407">
        <v>876.15</v>
      </c>
      <c r="CJ799" s="407">
        <v>-986.88</v>
      </c>
      <c r="CK799" s="407"/>
      <c r="CL799" s="407"/>
      <c r="CM799" s="407"/>
      <c r="CN799" s="407"/>
      <c r="CO799" s="407">
        <v>-1973.7</v>
      </c>
      <c r="CP799" s="407">
        <v>0</v>
      </c>
      <c r="CQ799" s="407">
        <v>31</v>
      </c>
      <c r="CR799" s="407">
        <v>-73.153470265671686</v>
      </c>
      <c r="CS799" s="407">
        <v>0</v>
      </c>
      <c r="CT799" s="407">
        <v>0</v>
      </c>
      <c r="CU799" s="407">
        <v>0</v>
      </c>
      <c r="CV799" s="407">
        <v>0</v>
      </c>
      <c r="CW799" s="407"/>
      <c r="CX799" s="407"/>
      <c r="CY799" s="407"/>
      <c r="CZ799" s="407">
        <v>0</v>
      </c>
      <c r="DA799" s="407">
        <v>0</v>
      </c>
      <c r="DB799" s="407">
        <v>0</v>
      </c>
      <c r="DC799" s="407"/>
      <c r="DD799" s="407"/>
      <c r="DE799" s="407">
        <v>0</v>
      </c>
      <c r="DF799" s="407">
        <v>0</v>
      </c>
      <c r="DG799" s="407">
        <v>0</v>
      </c>
      <c r="DH799" s="407">
        <v>0</v>
      </c>
      <c r="DI799" s="407">
        <v>0</v>
      </c>
      <c r="DJ799" s="407"/>
      <c r="DK799" s="407">
        <v>0</v>
      </c>
      <c r="DL799" s="407">
        <v>0</v>
      </c>
      <c r="DM799" s="407"/>
      <c r="DN799" s="407">
        <v>0</v>
      </c>
      <c r="DO799" s="407">
        <v>0</v>
      </c>
      <c r="DP799" s="407">
        <v>-0.38879097342209956</v>
      </c>
      <c r="DQ799" s="407">
        <v>0</v>
      </c>
      <c r="DR799" s="407">
        <v>-72.764679292249596</v>
      </c>
      <c r="DS799" s="407"/>
      <c r="DT799" s="407"/>
      <c r="DU799" s="407">
        <v>3720.6871100437588</v>
      </c>
      <c r="DV799" s="407"/>
      <c r="DW799" s="407">
        <v>0</v>
      </c>
      <c r="DX799" s="407">
        <v>0</v>
      </c>
      <c r="DY799" s="407">
        <v>-1973.7</v>
      </c>
      <c r="DZ799" s="407"/>
      <c r="EA799" s="407">
        <v>0</v>
      </c>
      <c r="EB799" s="407"/>
      <c r="EC799" s="407">
        <v>-1900.5356175651332</v>
      </c>
      <c r="ED799" s="407"/>
      <c r="EE799" s="407">
        <v>0</v>
      </c>
      <c r="EF799" s="407">
        <v>0</v>
      </c>
      <c r="EG799" s="407"/>
      <c r="EH799" s="407">
        <v>0</v>
      </c>
      <c r="EI799" s="407">
        <v>0</v>
      </c>
      <c r="EJ799" s="407">
        <v>0</v>
      </c>
      <c r="EK799" s="407">
        <v>0</v>
      </c>
      <c r="EL799" s="407">
        <v>0</v>
      </c>
      <c r="EM799" s="407"/>
      <c r="EN799" s="407"/>
      <c r="EO799" s="407">
        <v>0</v>
      </c>
      <c r="EP799" s="407">
        <v>0</v>
      </c>
      <c r="EQ799" s="407"/>
      <c r="ER799" s="407">
        <v>0</v>
      </c>
      <c r="ES799" s="407"/>
      <c r="ET799" s="407">
        <v>0</v>
      </c>
      <c r="EU799" s="407"/>
      <c r="EV799" s="407">
        <v>246</v>
      </c>
      <c r="EW799" s="407"/>
      <c r="EX799" s="407"/>
      <c r="EY799" s="407"/>
      <c r="EZ799" s="407"/>
      <c r="FA799" s="407">
        <v>0</v>
      </c>
      <c r="FB799" s="407"/>
      <c r="FC799" s="407"/>
      <c r="FD799" s="407"/>
      <c r="FE799" s="407"/>
      <c r="FF799" s="407">
        <v>0</v>
      </c>
      <c r="FG799" s="407">
        <v>0</v>
      </c>
      <c r="FH799" s="407">
        <v>0</v>
      </c>
      <c r="FI799" s="407">
        <v>0</v>
      </c>
    </row>
    <row r="800" spans="1:165">
      <c r="A800" s="407">
        <v>831</v>
      </c>
      <c r="B800" s="407" t="s">
        <v>1090</v>
      </c>
      <c r="C800" s="407" t="s">
        <v>1044</v>
      </c>
      <c r="D800" s="407" t="s">
        <v>650</v>
      </c>
      <c r="E800" s="407" t="s">
        <v>97</v>
      </c>
      <c r="F800" s="407" t="s">
        <v>97</v>
      </c>
      <c r="G800" s="407" t="s">
        <v>97</v>
      </c>
      <c r="H800" s="407" t="s">
        <v>2334</v>
      </c>
      <c r="I800" s="407" t="s">
        <v>97</v>
      </c>
      <c r="J800" s="407" t="s">
        <v>2329</v>
      </c>
      <c r="K800" s="818">
        <v>44470</v>
      </c>
      <c r="L800" s="407">
        <v>280</v>
      </c>
      <c r="M800" s="407">
        <v>140</v>
      </c>
      <c r="N800" s="407">
        <v>0</v>
      </c>
      <c r="O800" s="407">
        <v>0</v>
      </c>
      <c r="P800" s="407">
        <v>0</v>
      </c>
      <c r="Q800" s="407">
        <v>0</v>
      </c>
      <c r="R800" s="407">
        <v>13.8</v>
      </c>
      <c r="S800" s="407"/>
      <c r="T800" s="407"/>
      <c r="U800" s="407">
        <v>3864</v>
      </c>
      <c r="V800" s="407"/>
      <c r="W800" s="407">
        <v>3864</v>
      </c>
      <c r="X800" s="407">
        <v>1817.2</v>
      </c>
      <c r="Y800" s="407">
        <v>0</v>
      </c>
      <c r="Z800" s="407">
        <v>0</v>
      </c>
      <c r="AA800" s="407">
        <v>0</v>
      </c>
      <c r="AB800" s="407">
        <v>0</v>
      </c>
      <c r="AC800" s="407">
        <v>0</v>
      </c>
      <c r="AD800" s="407">
        <v>0</v>
      </c>
      <c r="AE800" s="407">
        <v>3858.4903363416761</v>
      </c>
      <c r="AF800" s="407"/>
      <c r="AG800" s="407"/>
      <c r="AH800" s="407"/>
      <c r="AI800" s="407">
        <v>0</v>
      </c>
      <c r="AJ800" s="407">
        <v>0</v>
      </c>
      <c r="AK800" s="407">
        <v>0</v>
      </c>
      <c r="AL800" s="407">
        <v>0</v>
      </c>
      <c r="AM800" s="407"/>
      <c r="AN800" s="407">
        <v>6.3277764538767238</v>
      </c>
      <c r="AO800" s="407">
        <v>0</v>
      </c>
      <c r="AP800" s="407">
        <v>0</v>
      </c>
      <c r="AQ800" s="407">
        <v>0</v>
      </c>
      <c r="AR800" s="407">
        <v>0</v>
      </c>
      <c r="AS800" s="407"/>
      <c r="AT800" s="407"/>
      <c r="AU800" s="407">
        <v>0</v>
      </c>
      <c r="AV800" s="407">
        <v>0</v>
      </c>
      <c r="AW800" s="407">
        <v>0</v>
      </c>
      <c r="AX800" s="407"/>
      <c r="AY800" s="407"/>
      <c r="AZ800" s="407">
        <v>0</v>
      </c>
      <c r="BA800" s="407"/>
      <c r="BB800" s="407">
        <v>0</v>
      </c>
      <c r="BC800" s="407">
        <v>0</v>
      </c>
      <c r="BD800" s="407">
        <v>0</v>
      </c>
      <c r="BE800" s="407">
        <v>0</v>
      </c>
      <c r="BF800" s="407"/>
      <c r="BG800" s="407">
        <v>0</v>
      </c>
      <c r="BH800" s="407">
        <v>0</v>
      </c>
      <c r="BI800" s="407">
        <v>23</v>
      </c>
      <c r="BJ800" s="407">
        <v>0</v>
      </c>
      <c r="BK800" s="407">
        <v>0</v>
      </c>
      <c r="BL800" s="407">
        <v>0</v>
      </c>
      <c r="BM800" s="407"/>
      <c r="BN800" s="407"/>
      <c r="BO800" s="407">
        <v>908.6</v>
      </c>
      <c r="BP800" s="407"/>
      <c r="BQ800" s="407"/>
      <c r="BR800" s="407"/>
      <c r="BS800" s="407"/>
      <c r="BT800" s="407"/>
      <c r="BU800" s="407"/>
      <c r="BV800" s="407">
        <v>0</v>
      </c>
      <c r="BW800" s="407"/>
      <c r="BX800" s="407"/>
      <c r="BY800" s="407"/>
      <c r="BZ800" s="407"/>
      <c r="CA800" s="407"/>
      <c r="CB800" s="407"/>
      <c r="CC800" s="407"/>
      <c r="CD800" s="407"/>
      <c r="CE800" s="407"/>
      <c r="CF800" s="407"/>
      <c r="CG800" s="407"/>
      <c r="CH800" s="407"/>
      <c r="CI800" s="407">
        <v>908.6</v>
      </c>
      <c r="CJ800" s="407">
        <v>-1023.43</v>
      </c>
      <c r="CK800" s="407"/>
      <c r="CL800" s="407"/>
      <c r="CM800" s="407"/>
      <c r="CN800" s="407"/>
      <c r="CO800" s="407">
        <v>-2046.8000000000002</v>
      </c>
      <c r="CP800" s="407">
        <v>0</v>
      </c>
      <c r="CQ800" s="407">
        <v>31</v>
      </c>
      <c r="CR800" s="407">
        <v>-75.862858053289159</v>
      </c>
      <c r="CS800" s="407">
        <v>0</v>
      </c>
      <c r="CT800" s="407">
        <v>0</v>
      </c>
      <c r="CU800" s="407">
        <v>0</v>
      </c>
      <c r="CV800" s="407">
        <v>0</v>
      </c>
      <c r="CW800" s="407"/>
      <c r="CX800" s="407"/>
      <c r="CY800" s="407"/>
      <c r="CZ800" s="407">
        <v>0</v>
      </c>
      <c r="DA800" s="407">
        <v>0</v>
      </c>
      <c r="DB800" s="407">
        <v>0</v>
      </c>
      <c r="DC800" s="407"/>
      <c r="DD800" s="407"/>
      <c r="DE800" s="407">
        <v>0</v>
      </c>
      <c r="DF800" s="407">
        <v>0</v>
      </c>
      <c r="DG800" s="407">
        <v>0</v>
      </c>
      <c r="DH800" s="407">
        <v>0</v>
      </c>
      <c r="DI800" s="407">
        <v>0</v>
      </c>
      <c r="DJ800" s="407"/>
      <c r="DK800" s="407">
        <v>0</v>
      </c>
      <c r="DL800" s="407">
        <v>0</v>
      </c>
      <c r="DM800" s="407"/>
      <c r="DN800" s="407">
        <v>0</v>
      </c>
      <c r="DO800" s="407">
        <v>0</v>
      </c>
      <c r="DP800" s="407">
        <v>-0.40319063910440001</v>
      </c>
      <c r="DQ800" s="407">
        <v>0</v>
      </c>
      <c r="DR800" s="407">
        <v>-75.459667414184764</v>
      </c>
      <c r="DS800" s="407"/>
      <c r="DT800" s="407"/>
      <c r="DU800" s="407">
        <v>3858.4903363416761</v>
      </c>
      <c r="DV800" s="407"/>
      <c r="DW800" s="407">
        <v>0</v>
      </c>
      <c r="DX800" s="407">
        <v>0</v>
      </c>
      <c r="DY800" s="407">
        <v>-2046.8</v>
      </c>
      <c r="DZ800" s="407"/>
      <c r="EA800" s="407">
        <v>0</v>
      </c>
      <c r="EB800" s="407"/>
      <c r="EC800" s="407">
        <v>-1970.9258256231014</v>
      </c>
      <c r="ED800" s="407"/>
      <c r="EE800" s="407">
        <v>0</v>
      </c>
      <c r="EF800" s="407">
        <v>0</v>
      </c>
      <c r="EG800" s="407"/>
      <c r="EH800" s="407">
        <v>0</v>
      </c>
      <c r="EI800" s="407">
        <v>0</v>
      </c>
      <c r="EJ800" s="407">
        <v>0</v>
      </c>
      <c r="EK800" s="407">
        <v>0</v>
      </c>
      <c r="EL800" s="407">
        <v>0</v>
      </c>
      <c r="EM800" s="407"/>
      <c r="EN800" s="407"/>
      <c r="EO800" s="407">
        <v>0</v>
      </c>
      <c r="EP800" s="407">
        <v>0</v>
      </c>
      <c r="EQ800" s="407"/>
      <c r="ER800" s="407">
        <v>0</v>
      </c>
      <c r="ES800" s="407"/>
      <c r="ET800" s="407">
        <v>0</v>
      </c>
      <c r="EU800" s="407"/>
      <c r="EV800" s="407">
        <v>246</v>
      </c>
      <c r="EW800" s="407"/>
      <c r="EX800" s="407"/>
      <c r="EY800" s="407"/>
      <c r="EZ800" s="407"/>
      <c r="FA800" s="407">
        <v>0</v>
      </c>
      <c r="FB800" s="407"/>
      <c r="FC800" s="407"/>
      <c r="FD800" s="407"/>
      <c r="FE800" s="407"/>
      <c r="FF800" s="407">
        <v>0</v>
      </c>
      <c r="FG800" s="407">
        <v>0</v>
      </c>
      <c r="FH800" s="407">
        <v>0</v>
      </c>
      <c r="FI800" s="407">
        <v>0</v>
      </c>
    </row>
    <row r="801" spans="1:165">
      <c r="A801" s="407">
        <v>832</v>
      </c>
      <c r="B801" s="407" t="s">
        <v>1090</v>
      </c>
      <c r="C801" s="407" t="s">
        <v>1044</v>
      </c>
      <c r="D801" s="407" t="s">
        <v>650</v>
      </c>
      <c r="E801" s="407" t="s">
        <v>97</v>
      </c>
      <c r="F801" s="407" t="s">
        <v>97</v>
      </c>
      <c r="G801" s="407" t="s">
        <v>97</v>
      </c>
      <c r="H801" s="407" t="s">
        <v>2335</v>
      </c>
      <c r="I801" s="407" t="s">
        <v>97</v>
      </c>
      <c r="J801" s="407" t="s">
        <v>2329</v>
      </c>
      <c r="K801" s="818">
        <v>44470</v>
      </c>
      <c r="L801" s="407">
        <v>730</v>
      </c>
      <c r="M801" s="407">
        <v>365</v>
      </c>
      <c r="N801" s="407">
        <v>0</v>
      </c>
      <c r="O801" s="407">
        <v>0</v>
      </c>
      <c r="P801" s="407">
        <v>0</v>
      </c>
      <c r="Q801" s="407">
        <v>0</v>
      </c>
      <c r="R801" s="407">
        <v>13.8</v>
      </c>
      <c r="S801" s="407"/>
      <c r="T801" s="407"/>
      <c r="U801" s="407">
        <v>10074</v>
      </c>
      <c r="V801" s="407"/>
      <c r="W801" s="407">
        <v>10074</v>
      </c>
      <c r="X801" s="407">
        <v>4737.7</v>
      </c>
      <c r="Y801" s="407">
        <v>0</v>
      </c>
      <c r="Z801" s="407">
        <v>0</v>
      </c>
      <c r="AA801" s="407">
        <v>0</v>
      </c>
      <c r="AB801" s="407">
        <v>0</v>
      </c>
      <c r="AC801" s="407">
        <v>0</v>
      </c>
      <c r="AD801" s="407">
        <v>0</v>
      </c>
      <c r="AE801" s="407">
        <v>10059.635519747941</v>
      </c>
      <c r="AF801" s="407"/>
      <c r="AG801" s="407"/>
      <c r="AH801" s="407"/>
      <c r="AI801" s="407">
        <v>0</v>
      </c>
      <c r="AJ801" s="407">
        <v>0</v>
      </c>
      <c r="AK801" s="407">
        <v>0</v>
      </c>
      <c r="AL801" s="407">
        <v>0</v>
      </c>
      <c r="AM801" s="407"/>
      <c r="AN801" s="407">
        <v>16.497417183321456</v>
      </c>
      <c r="AO801" s="407">
        <v>0</v>
      </c>
      <c r="AP801" s="407">
        <v>0</v>
      </c>
      <c r="AQ801" s="407">
        <v>0</v>
      </c>
      <c r="AR801" s="407">
        <v>0</v>
      </c>
      <c r="AS801" s="407"/>
      <c r="AT801" s="407"/>
      <c r="AU801" s="407">
        <v>0</v>
      </c>
      <c r="AV801" s="407">
        <v>0</v>
      </c>
      <c r="AW801" s="407">
        <v>0</v>
      </c>
      <c r="AX801" s="407"/>
      <c r="AY801" s="407"/>
      <c r="AZ801" s="407">
        <v>0</v>
      </c>
      <c r="BA801" s="407"/>
      <c r="BB801" s="407">
        <v>0</v>
      </c>
      <c r="BC801" s="407">
        <v>0</v>
      </c>
      <c r="BD801" s="407">
        <v>0</v>
      </c>
      <c r="BE801" s="407">
        <v>0</v>
      </c>
      <c r="BF801" s="407"/>
      <c r="BG801" s="407">
        <v>0</v>
      </c>
      <c r="BH801" s="407">
        <v>0</v>
      </c>
      <c r="BI801" s="407">
        <v>59.99</v>
      </c>
      <c r="BJ801" s="407">
        <v>0</v>
      </c>
      <c r="BK801" s="407">
        <v>0</v>
      </c>
      <c r="BL801" s="407">
        <v>0</v>
      </c>
      <c r="BM801" s="407"/>
      <c r="BN801" s="407"/>
      <c r="BO801" s="407">
        <v>2368.85</v>
      </c>
      <c r="BP801" s="407"/>
      <c r="BQ801" s="407"/>
      <c r="BR801" s="407"/>
      <c r="BS801" s="407"/>
      <c r="BT801" s="407"/>
      <c r="BU801" s="407"/>
      <c r="BV801" s="407">
        <v>0</v>
      </c>
      <c r="BW801" s="407"/>
      <c r="BX801" s="407"/>
      <c r="BY801" s="407"/>
      <c r="BZ801" s="407"/>
      <c r="CA801" s="407"/>
      <c r="CB801" s="407"/>
      <c r="CC801" s="407"/>
      <c r="CD801" s="407"/>
      <c r="CE801" s="407"/>
      <c r="CF801" s="407"/>
      <c r="CG801" s="407"/>
      <c r="CH801" s="407"/>
      <c r="CI801" s="407">
        <v>2368.85</v>
      </c>
      <c r="CJ801" s="407">
        <v>-2668.1800000000007</v>
      </c>
      <c r="CK801" s="407"/>
      <c r="CL801" s="407"/>
      <c r="CM801" s="407"/>
      <c r="CN801" s="407"/>
      <c r="CO801" s="407">
        <v>-5336.3</v>
      </c>
      <c r="CP801" s="407">
        <v>0</v>
      </c>
      <c r="CQ801" s="407">
        <v>31</v>
      </c>
      <c r="CR801" s="407">
        <v>-197.78530849607532</v>
      </c>
      <c r="CS801" s="407">
        <v>0</v>
      </c>
      <c r="CT801" s="407">
        <v>0</v>
      </c>
      <c r="CU801" s="407">
        <v>0</v>
      </c>
      <c r="CV801" s="407">
        <v>0</v>
      </c>
      <c r="CW801" s="407"/>
      <c r="CX801" s="407"/>
      <c r="CY801" s="407"/>
      <c r="CZ801" s="407">
        <v>0</v>
      </c>
      <c r="DA801" s="407">
        <v>0</v>
      </c>
      <c r="DB801" s="407">
        <v>0</v>
      </c>
      <c r="DC801" s="407"/>
      <c r="DD801" s="407"/>
      <c r="DE801" s="407">
        <v>0</v>
      </c>
      <c r="DF801" s="407">
        <v>0</v>
      </c>
      <c r="DG801" s="407">
        <v>0</v>
      </c>
      <c r="DH801" s="407">
        <v>0</v>
      </c>
      <c r="DI801" s="407">
        <v>0</v>
      </c>
      <c r="DJ801" s="407"/>
      <c r="DK801" s="407">
        <v>0</v>
      </c>
      <c r="DL801" s="407">
        <v>0</v>
      </c>
      <c r="DM801" s="407"/>
      <c r="DN801" s="407">
        <v>0</v>
      </c>
      <c r="DO801" s="407">
        <v>0</v>
      </c>
      <c r="DP801" s="407">
        <v>-1.0511755948078978</v>
      </c>
      <c r="DQ801" s="407">
        <v>0</v>
      </c>
      <c r="DR801" s="407">
        <v>-196.73413290126743</v>
      </c>
      <c r="DS801" s="407"/>
      <c r="DT801" s="407"/>
      <c r="DU801" s="407">
        <v>10059.635519747941</v>
      </c>
      <c r="DV801" s="407"/>
      <c r="DW801" s="407">
        <v>0</v>
      </c>
      <c r="DX801" s="407">
        <v>0</v>
      </c>
      <c r="DY801" s="407">
        <v>-5336.3</v>
      </c>
      <c r="DZ801" s="407"/>
      <c r="EA801" s="407">
        <v>0</v>
      </c>
      <c r="EB801" s="407"/>
      <c r="EC801" s="407">
        <v>-5138.485188231657</v>
      </c>
      <c r="ED801" s="407"/>
      <c r="EE801" s="407">
        <v>0</v>
      </c>
      <c r="EF801" s="407">
        <v>0</v>
      </c>
      <c r="EG801" s="407"/>
      <c r="EH801" s="407">
        <v>0</v>
      </c>
      <c r="EI801" s="407">
        <v>0</v>
      </c>
      <c r="EJ801" s="407">
        <v>0</v>
      </c>
      <c r="EK801" s="407">
        <v>0</v>
      </c>
      <c r="EL801" s="407">
        <v>0</v>
      </c>
      <c r="EM801" s="407"/>
      <c r="EN801" s="407"/>
      <c r="EO801" s="407">
        <v>0</v>
      </c>
      <c r="EP801" s="407">
        <v>0</v>
      </c>
      <c r="EQ801" s="407"/>
      <c r="ER801" s="407">
        <v>0</v>
      </c>
      <c r="ES801" s="407"/>
      <c r="ET801" s="407">
        <v>0</v>
      </c>
      <c r="EU801" s="407"/>
      <c r="EV801" s="407">
        <v>246</v>
      </c>
      <c r="EW801" s="407"/>
      <c r="EX801" s="407"/>
      <c r="EY801" s="407"/>
      <c r="EZ801" s="407"/>
      <c r="FA801" s="407">
        <v>0</v>
      </c>
      <c r="FB801" s="407"/>
      <c r="FC801" s="407"/>
      <c r="FD801" s="407"/>
      <c r="FE801" s="407"/>
      <c r="FF801" s="407">
        <v>0</v>
      </c>
      <c r="FG801" s="407">
        <v>0</v>
      </c>
      <c r="FH801" s="407">
        <v>0</v>
      </c>
      <c r="FI801" s="407">
        <v>0</v>
      </c>
    </row>
    <row r="802" spans="1:165">
      <c r="A802" s="407">
        <v>833</v>
      </c>
      <c r="B802" s="407" t="s">
        <v>1090</v>
      </c>
      <c r="C802" s="407" t="s">
        <v>1044</v>
      </c>
      <c r="D802" s="407" t="s">
        <v>650</v>
      </c>
      <c r="E802" s="407" t="s">
        <v>97</v>
      </c>
      <c r="F802" s="407" t="s">
        <v>97</v>
      </c>
      <c r="G802" s="407" t="s">
        <v>97</v>
      </c>
      <c r="H802" s="407" t="s">
        <v>2336</v>
      </c>
      <c r="I802" s="407" t="s">
        <v>97</v>
      </c>
      <c r="J802" s="407" t="s">
        <v>2329</v>
      </c>
      <c r="K802" s="818">
        <v>44470</v>
      </c>
      <c r="L802" s="407">
        <v>561</v>
      </c>
      <c r="M802" s="407">
        <v>280.5</v>
      </c>
      <c r="N802" s="407">
        <v>0</v>
      </c>
      <c r="O802" s="407">
        <v>0</v>
      </c>
      <c r="P802" s="407">
        <v>0</v>
      </c>
      <c r="Q802" s="407">
        <v>0</v>
      </c>
      <c r="R802" s="407">
        <v>13.8</v>
      </c>
      <c r="S802" s="407"/>
      <c r="T802" s="407"/>
      <c r="U802" s="407">
        <v>7741.8</v>
      </c>
      <c r="V802" s="407"/>
      <c r="W802" s="407">
        <v>7741.8</v>
      </c>
      <c r="X802" s="407">
        <v>3640.8900000000003</v>
      </c>
      <c r="Y802" s="407">
        <v>0</v>
      </c>
      <c r="Z802" s="407">
        <v>0</v>
      </c>
      <c r="AA802" s="407">
        <v>0</v>
      </c>
      <c r="AB802" s="407">
        <v>0</v>
      </c>
      <c r="AC802" s="407">
        <v>0</v>
      </c>
      <c r="AD802" s="407">
        <v>0</v>
      </c>
      <c r="AE802" s="407">
        <v>7730.7609953131432</v>
      </c>
      <c r="AF802" s="407"/>
      <c r="AG802" s="407"/>
      <c r="AH802" s="407"/>
      <c r="AI802" s="407">
        <v>0</v>
      </c>
      <c r="AJ802" s="407">
        <v>0</v>
      </c>
      <c r="AK802" s="407">
        <v>0</v>
      </c>
      <c r="AL802" s="407">
        <v>0</v>
      </c>
      <c r="AM802" s="407"/>
      <c r="AN802" s="407">
        <v>12.678152109374436</v>
      </c>
      <c r="AO802" s="407">
        <v>0</v>
      </c>
      <c r="AP802" s="407">
        <v>0</v>
      </c>
      <c r="AQ802" s="407">
        <v>0</v>
      </c>
      <c r="AR802" s="407">
        <v>0</v>
      </c>
      <c r="AS802" s="407"/>
      <c r="AT802" s="407"/>
      <c r="AU802" s="407">
        <v>0</v>
      </c>
      <c r="AV802" s="407">
        <v>0</v>
      </c>
      <c r="AW802" s="407">
        <v>0</v>
      </c>
      <c r="AX802" s="407"/>
      <c r="AY802" s="407"/>
      <c r="AZ802" s="407">
        <v>0</v>
      </c>
      <c r="BA802" s="407"/>
      <c r="BB802" s="407">
        <v>0</v>
      </c>
      <c r="BC802" s="407">
        <v>0</v>
      </c>
      <c r="BD802" s="407">
        <v>0</v>
      </c>
      <c r="BE802" s="407">
        <v>0</v>
      </c>
      <c r="BF802" s="407"/>
      <c r="BG802" s="407">
        <v>0</v>
      </c>
      <c r="BH802" s="407">
        <v>0</v>
      </c>
      <c r="BI802" s="407">
        <v>46.09</v>
      </c>
      <c r="BJ802" s="407">
        <v>0</v>
      </c>
      <c r="BK802" s="407">
        <v>0</v>
      </c>
      <c r="BL802" s="407">
        <v>0</v>
      </c>
      <c r="BM802" s="407"/>
      <c r="BN802" s="407"/>
      <c r="BO802" s="407">
        <v>1820.4450000000002</v>
      </c>
      <c r="BP802" s="407"/>
      <c r="BQ802" s="407"/>
      <c r="BR802" s="407"/>
      <c r="BS802" s="407"/>
      <c r="BT802" s="407"/>
      <c r="BU802" s="407"/>
      <c r="BV802" s="407">
        <v>0</v>
      </c>
      <c r="BW802" s="407"/>
      <c r="BX802" s="407"/>
      <c r="BY802" s="407"/>
      <c r="BZ802" s="407"/>
      <c r="CA802" s="407"/>
      <c r="CB802" s="407"/>
      <c r="CC802" s="407"/>
      <c r="CD802" s="407"/>
      <c r="CE802" s="407"/>
      <c r="CF802" s="407"/>
      <c r="CG802" s="407"/>
      <c r="CH802" s="407"/>
      <c r="CI802" s="407">
        <v>1820.4450000000002</v>
      </c>
      <c r="CJ802" s="407">
        <v>-2050.4850000000006</v>
      </c>
      <c r="CK802" s="407"/>
      <c r="CL802" s="407"/>
      <c r="CM802" s="407"/>
      <c r="CN802" s="407"/>
      <c r="CO802" s="407">
        <v>-4100.91</v>
      </c>
      <c r="CP802" s="407">
        <v>0</v>
      </c>
      <c r="CQ802" s="407">
        <v>31</v>
      </c>
      <c r="CR802" s="407">
        <v>-151.99665488534006</v>
      </c>
      <c r="CS802" s="407">
        <v>0</v>
      </c>
      <c r="CT802" s="407">
        <v>0</v>
      </c>
      <c r="CU802" s="407">
        <v>0</v>
      </c>
      <c r="CV802" s="407">
        <v>0</v>
      </c>
      <c r="CW802" s="407"/>
      <c r="CX802" s="407"/>
      <c r="CY802" s="407"/>
      <c r="CZ802" s="407">
        <v>0</v>
      </c>
      <c r="DA802" s="407">
        <v>0</v>
      </c>
      <c r="DB802" s="407">
        <v>0</v>
      </c>
      <c r="DC802" s="407"/>
      <c r="DD802" s="407"/>
      <c r="DE802" s="407">
        <v>0</v>
      </c>
      <c r="DF802" s="407">
        <v>0</v>
      </c>
      <c r="DG802" s="407">
        <v>0</v>
      </c>
      <c r="DH802" s="407">
        <v>0</v>
      </c>
      <c r="DI802" s="407">
        <v>0</v>
      </c>
      <c r="DJ802" s="407"/>
      <c r="DK802" s="407">
        <v>0</v>
      </c>
      <c r="DL802" s="407">
        <v>0</v>
      </c>
      <c r="DM802" s="407"/>
      <c r="DN802" s="407">
        <v>0</v>
      </c>
      <c r="DO802" s="407">
        <v>0</v>
      </c>
      <c r="DP802" s="407">
        <v>-0.80782124477702943</v>
      </c>
      <c r="DQ802" s="407">
        <v>0</v>
      </c>
      <c r="DR802" s="407">
        <v>-151.18883364056305</v>
      </c>
      <c r="DS802" s="407"/>
      <c r="DT802" s="407"/>
      <c r="DU802" s="407">
        <v>7730.7609953131432</v>
      </c>
      <c r="DV802" s="407"/>
      <c r="DW802" s="407">
        <v>0</v>
      </c>
      <c r="DX802" s="407">
        <v>0</v>
      </c>
      <c r="DY802" s="407">
        <v>-4100.91</v>
      </c>
      <c r="DZ802" s="407"/>
      <c r="EA802" s="407">
        <v>0</v>
      </c>
      <c r="EB802" s="407"/>
      <c r="EC802" s="407">
        <v>-3948.890672051999</v>
      </c>
      <c r="ED802" s="407"/>
      <c r="EE802" s="407">
        <v>0</v>
      </c>
      <c r="EF802" s="407">
        <v>0</v>
      </c>
      <c r="EG802" s="407"/>
      <c r="EH802" s="407">
        <v>0</v>
      </c>
      <c r="EI802" s="407">
        <v>0</v>
      </c>
      <c r="EJ802" s="407">
        <v>0</v>
      </c>
      <c r="EK802" s="407">
        <v>0</v>
      </c>
      <c r="EL802" s="407">
        <v>0</v>
      </c>
      <c r="EM802" s="407"/>
      <c r="EN802" s="407"/>
      <c r="EO802" s="407">
        <v>0</v>
      </c>
      <c r="EP802" s="407">
        <v>0</v>
      </c>
      <c r="EQ802" s="407"/>
      <c r="ER802" s="407">
        <v>0</v>
      </c>
      <c r="ES802" s="407"/>
      <c r="ET802" s="407">
        <v>0</v>
      </c>
      <c r="EU802" s="407"/>
      <c r="EV802" s="407">
        <v>246</v>
      </c>
      <c r="EW802" s="407"/>
      <c r="EX802" s="407"/>
      <c r="EY802" s="407"/>
      <c r="EZ802" s="407"/>
      <c r="FA802" s="407">
        <v>0</v>
      </c>
      <c r="FB802" s="407"/>
      <c r="FC802" s="407"/>
      <c r="FD802" s="407"/>
      <c r="FE802" s="407"/>
      <c r="FF802" s="407">
        <v>0</v>
      </c>
      <c r="FG802" s="407">
        <v>0</v>
      </c>
      <c r="FH802" s="407">
        <v>0</v>
      </c>
      <c r="FI802" s="407">
        <v>0</v>
      </c>
    </row>
    <row r="803" spans="1:165">
      <c r="A803" s="407">
        <v>834</v>
      </c>
      <c r="B803" s="407" t="s">
        <v>1090</v>
      </c>
      <c r="C803" s="407" t="s">
        <v>1044</v>
      </c>
      <c r="D803" s="407" t="s">
        <v>650</v>
      </c>
      <c r="E803" s="407" t="s">
        <v>97</v>
      </c>
      <c r="F803" s="407" t="s">
        <v>97</v>
      </c>
      <c r="G803" s="407" t="s">
        <v>97</v>
      </c>
      <c r="H803" s="407" t="s">
        <v>2337</v>
      </c>
      <c r="I803" s="407" t="s">
        <v>97</v>
      </c>
      <c r="J803" s="407" t="s">
        <v>2329</v>
      </c>
      <c r="K803" s="818">
        <v>44470</v>
      </c>
      <c r="L803" s="407">
        <v>379</v>
      </c>
      <c r="M803" s="407">
        <v>189.5</v>
      </c>
      <c r="N803" s="407">
        <v>0</v>
      </c>
      <c r="O803" s="407">
        <v>0</v>
      </c>
      <c r="P803" s="407">
        <v>0</v>
      </c>
      <c r="Q803" s="407">
        <v>0</v>
      </c>
      <c r="R803" s="407">
        <v>13.8</v>
      </c>
      <c r="S803" s="407"/>
      <c r="T803" s="407"/>
      <c r="U803" s="407">
        <v>5230.2</v>
      </c>
      <c r="V803" s="407"/>
      <c r="W803" s="407">
        <v>5230.2</v>
      </c>
      <c r="X803" s="407">
        <v>2459.71</v>
      </c>
      <c r="Y803" s="407">
        <v>0</v>
      </c>
      <c r="Z803" s="407">
        <v>0</v>
      </c>
      <c r="AA803" s="407">
        <v>0</v>
      </c>
      <c r="AB803" s="407">
        <v>0</v>
      </c>
      <c r="AC803" s="407">
        <v>0</v>
      </c>
      <c r="AD803" s="407">
        <v>0</v>
      </c>
      <c r="AE803" s="407">
        <v>5222.742276691054</v>
      </c>
      <c r="AF803" s="407"/>
      <c r="AG803" s="407"/>
      <c r="AH803" s="407"/>
      <c r="AI803" s="407">
        <v>0</v>
      </c>
      <c r="AJ803" s="407">
        <v>0</v>
      </c>
      <c r="AK803" s="407">
        <v>0</v>
      </c>
      <c r="AL803" s="407">
        <v>0</v>
      </c>
      <c r="AM803" s="407"/>
      <c r="AN803" s="407">
        <v>8.5650974143545646</v>
      </c>
      <c r="AO803" s="407">
        <v>0</v>
      </c>
      <c r="AP803" s="407">
        <v>0</v>
      </c>
      <c r="AQ803" s="407">
        <v>0</v>
      </c>
      <c r="AR803" s="407">
        <v>0</v>
      </c>
      <c r="AS803" s="407"/>
      <c r="AT803" s="407"/>
      <c r="AU803" s="407">
        <v>0</v>
      </c>
      <c r="AV803" s="407">
        <v>0</v>
      </c>
      <c r="AW803" s="407">
        <v>0</v>
      </c>
      <c r="AX803" s="407"/>
      <c r="AY803" s="407"/>
      <c r="AZ803" s="407">
        <v>0</v>
      </c>
      <c r="BA803" s="407"/>
      <c r="BB803" s="407">
        <v>0</v>
      </c>
      <c r="BC803" s="407">
        <v>0</v>
      </c>
      <c r="BD803" s="407">
        <v>0</v>
      </c>
      <c r="BE803" s="407">
        <v>0</v>
      </c>
      <c r="BF803" s="407"/>
      <c r="BG803" s="407">
        <v>0</v>
      </c>
      <c r="BH803" s="407">
        <v>0</v>
      </c>
      <c r="BI803" s="407">
        <v>31.14</v>
      </c>
      <c r="BJ803" s="407">
        <v>0</v>
      </c>
      <c r="BK803" s="407">
        <v>0</v>
      </c>
      <c r="BL803" s="407">
        <v>0</v>
      </c>
      <c r="BM803" s="407"/>
      <c r="BN803" s="407"/>
      <c r="BO803" s="407">
        <v>1229.855</v>
      </c>
      <c r="BP803" s="407"/>
      <c r="BQ803" s="407"/>
      <c r="BR803" s="407"/>
      <c r="BS803" s="407"/>
      <c r="BT803" s="407"/>
      <c r="BU803" s="407"/>
      <c r="BV803" s="407">
        <v>0</v>
      </c>
      <c r="BW803" s="407"/>
      <c r="BX803" s="407"/>
      <c r="BY803" s="407"/>
      <c r="BZ803" s="407"/>
      <c r="CA803" s="407"/>
      <c r="CB803" s="407"/>
      <c r="CC803" s="407"/>
      <c r="CD803" s="407"/>
      <c r="CE803" s="407"/>
      <c r="CF803" s="407"/>
      <c r="CG803" s="407"/>
      <c r="CH803" s="407"/>
      <c r="CI803" s="407">
        <v>1229.855</v>
      </c>
      <c r="CJ803" s="407">
        <v>-1385.2750000000005</v>
      </c>
      <c r="CK803" s="407"/>
      <c r="CL803" s="407"/>
      <c r="CM803" s="407"/>
      <c r="CN803" s="407"/>
      <c r="CO803" s="407">
        <v>-2770.4900000000002</v>
      </c>
      <c r="CP803" s="407">
        <v>0</v>
      </c>
      <c r="CQ803" s="407">
        <v>31</v>
      </c>
      <c r="CR803" s="407">
        <v>-102.68579715070211</v>
      </c>
      <c r="CS803" s="407">
        <v>0</v>
      </c>
      <c r="CT803" s="407">
        <v>0</v>
      </c>
      <c r="CU803" s="407">
        <v>0</v>
      </c>
      <c r="CV803" s="407">
        <v>0</v>
      </c>
      <c r="CW803" s="407"/>
      <c r="CX803" s="407"/>
      <c r="CY803" s="407"/>
      <c r="CZ803" s="407">
        <v>0</v>
      </c>
      <c r="DA803" s="407">
        <v>0</v>
      </c>
      <c r="DB803" s="407">
        <v>0</v>
      </c>
      <c r="DC803" s="407"/>
      <c r="DD803" s="407"/>
      <c r="DE803" s="407">
        <v>0</v>
      </c>
      <c r="DF803" s="407">
        <v>0</v>
      </c>
      <c r="DG803" s="407">
        <v>0</v>
      </c>
      <c r="DH803" s="407">
        <v>0</v>
      </c>
      <c r="DI803" s="407">
        <v>0</v>
      </c>
      <c r="DJ803" s="407"/>
      <c r="DK803" s="407">
        <v>0</v>
      </c>
      <c r="DL803" s="407">
        <v>0</v>
      </c>
      <c r="DM803" s="407"/>
      <c r="DN803" s="407">
        <v>0</v>
      </c>
      <c r="DO803" s="407">
        <v>0</v>
      </c>
      <c r="DP803" s="407">
        <v>-0.5457473293591697</v>
      </c>
      <c r="DQ803" s="407">
        <v>0</v>
      </c>
      <c r="DR803" s="407">
        <v>-102.14004982134294</v>
      </c>
      <c r="DS803" s="407"/>
      <c r="DT803" s="407"/>
      <c r="DU803" s="407">
        <v>5222.742276691054</v>
      </c>
      <c r="DV803" s="407"/>
      <c r="DW803" s="407">
        <v>0</v>
      </c>
      <c r="DX803" s="407">
        <v>0</v>
      </c>
      <c r="DY803" s="407">
        <v>-2770.49</v>
      </c>
      <c r="DZ803" s="407"/>
      <c r="EA803" s="407">
        <v>0</v>
      </c>
      <c r="EB803" s="407"/>
      <c r="EC803" s="407">
        <v>-2667.7888853969835</v>
      </c>
      <c r="ED803" s="407"/>
      <c r="EE803" s="407">
        <v>0</v>
      </c>
      <c r="EF803" s="407">
        <v>0</v>
      </c>
      <c r="EG803" s="407"/>
      <c r="EH803" s="407">
        <v>0</v>
      </c>
      <c r="EI803" s="407">
        <v>0</v>
      </c>
      <c r="EJ803" s="407">
        <v>0</v>
      </c>
      <c r="EK803" s="407">
        <v>0</v>
      </c>
      <c r="EL803" s="407">
        <v>0</v>
      </c>
      <c r="EM803" s="407"/>
      <c r="EN803" s="407"/>
      <c r="EO803" s="407">
        <v>0</v>
      </c>
      <c r="EP803" s="407">
        <v>0</v>
      </c>
      <c r="EQ803" s="407"/>
      <c r="ER803" s="407">
        <v>0</v>
      </c>
      <c r="ES803" s="407"/>
      <c r="ET803" s="407">
        <v>0</v>
      </c>
      <c r="EU803" s="407"/>
      <c r="EV803" s="407">
        <v>246</v>
      </c>
      <c r="EW803" s="407"/>
      <c r="EX803" s="407"/>
      <c r="EY803" s="407"/>
      <c r="EZ803" s="407"/>
      <c r="FA803" s="407">
        <v>0</v>
      </c>
      <c r="FB803" s="407"/>
      <c r="FC803" s="407"/>
      <c r="FD803" s="407"/>
      <c r="FE803" s="407"/>
      <c r="FF803" s="407">
        <v>0</v>
      </c>
      <c r="FG803" s="407">
        <v>0</v>
      </c>
      <c r="FH803" s="407">
        <v>0</v>
      </c>
      <c r="FI803" s="407">
        <v>0</v>
      </c>
    </row>
    <row r="804" spans="1:165">
      <c r="A804" s="407">
        <v>835</v>
      </c>
      <c r="B804" s="407" t="s">
        <v>1090</v>
      </c>
      <c r="C804" s="407" t="s">
        <v>1044</v>
      </c>
      <c r="D804" s="407" t="s">
        <v>650</v>
      </c>
      <c r="E804" s="407" t="s">
        <v>97</v>
      </c>
      <c r="F804" s="407" t="s">
        <v>97</v>
      </c>
      <c r="G804" s="407" t="s">
        <v>97</v>
      </c>
      <c r="H804" s="407" t="s">
        <v>2338</v>
      </c>
      <c r="I804" s="407" t="s">
        <v>97</v>
      </c>
      <c r="J804" s="407" t="s">
        <v>2329</v>
      </c>
      <c r="K804" s="818">
        <v>44470</v>
      </c>
      <c r="L804" s="407">
        <v>718</v>
      </c>
      <c r="M804" s="407">
        <v>359</v>
      </c>
      <c r="N804" s="407">
        <v>0</v>
      </c>
      <c r="O804" s="407">
        <v>0</v>
      </c>
      <c r="P804" s="407">
        <v>0</v>
      </c>
      <c r="Q804" s="407">
        <v>0</v>
      </c>
      <c r="R804" s="407">
        <v>13.8</v>
      </c>
      <c r="S804" s="407"/>
      <c r="T804" s="407"/>
      <c r="U804" s="407">
        <v>9908.4</v>
      </c>
      <c r="V804" s="407"/>
      <c r="W804" s="407">
        <v>9908.4</v>
      </c>
      <c r="X804" s="407">
        <v>4659.82</v>
      </c>
      <c r="Y804" s="407">
        <v>0</v>
      </c>
      <c r="Z804" s="407">
        <v>0</v>
      </c>
      <c r="AA804" s="407">
        <v>0</v>
      </c>
      <c r="AB804" s="407">
        <v>0</v>
      </c>
      <c r="AC804" s="407">
        <v>0</v>
      </c>
      <c r="AD804" s="407">
        <v>0</v>
      </c>
      <c r="AE804" s="407">
        <v>9894.2716481904408</v>
      </c>
      <c r="AF804" s="407"/>
      <c r="AG804" s="407"/>
      <c r="AH804" s="407"/>
      <c r="AI804" s="407">
        <v>0</v>
      </c>
      <c r="AJ804" s="407">
        <v>0</v>
      </c>
      <c r="AK804" s="407">
        <v>0</v>
      </c>
      <c r="AL804" s="407">
        <v>0</v>
      </c>
      <c r="AM804" s="407"/>
      <c r="AN804" s="407">
        <v>16.226226763869597</v>
      </c>
      <c r="AO804" s="407">
        <v>0</v>
      </c>
      <c r="AP804" s="407">
        <v>0</v>
      </c>
      <c r="AQ804" s="407">
        <v>0</v>
      </c>
      <c r="AR804" s="407">
        <v>0</v>
      </c>
      <c r="AS804" s="407"/>
      <c r="AT804" s="407"/>
      <c r="AU804" s="407">
        <v>0</v>
      </c>
      <c r="AV804" s="407">
        <v>0</v>
      </c>
      <c r="AW804" s="407">
        <v>0</v>
      </c>
      <c r="AX804" s="407"/>
      <c r="AY804" s="407"/>
      <c r="AZ804" s="407">
        <v>0</v>
      </c>
      <c r="BA804" s="407"/>
      <c r="BB804" s="407">
        <v>0</v>
      </c>
      <c r="BC804" s="407">
        <v>0</v>
      </c>
      <c r="BD804" s="407">
        <v>0</v>
      </c>
      <c r="BE804" s="407">
        <v>0</v>
      </c>
      <c r="BF804" s="407"/>
      <c r="BG804" s="407">
        <v>0</v>
      </c>
      <c r="BH804" s="407">
        <v>0</v>
      </c>
      <c r="BI804" s="407">
        <v>59</v>
      </c>
      <c r="BJ804" s="407">
        <v>0</v>
      </c>
      <c r="BK804" s="407">
        <v>0</v>
      </c>
      <c r="BL804" s="407">
        <v>0</v>
      </c>
      <c r="BM804" s="407"/>
      <c r="BN804" s="407"/>
      <c r="BO804" s="407">
        <v>2329.91</v>
      </c>
      <c r="BP804" s="407"/>
      <c r="BQ804" s="407"/>
      <c r="BR804" s="407"/>
      <c r="BS804" s="407"/>
      <c r="BT804" s="407"/>
      <c r="BU804" s="407"/>
      <c r="BV804" s="407">
        <v>0</v>
      </c>
      <c r="BW804" s="407"/>
      <c r="BX804" s="407"/>
      <c r="BY804" s="407"/>
      <c r="BZ804" s="407"/>
      <c r="CA804" s="407"/>
      <c r="CB804" s="407"/>
      <c r="CC804" s="407"/>
      <c r="CD804" s="407"/>
      <c r="CE804" s="407"/>
      <c r="CF804" s="407"/>
      <c r="CG804" s="407"/>
      <c r="CH804" s="407"/>
      <c r="CI804" s="407">
        <v>2329.91</v>
      </c>
      <c r="CJ804" s="407">
        <v>-2624.3200000000006</v>
      </c>
      <c r="CK804" s="407"/>
      <c r="CL804" s="407"/>
      <c r="CM804" s="407"/>
      <c r="CN804" s="407"/>
      <c r="CO804" s="407">
        <v>-5248.58</v>
      </c>
      <c r="CP804" s="407">
        <v>0</v>
      </c>
      <c r="CQ804" s="407">
        <v>31</v>
      </c>
      <c r="CR804" s="407">
        <v>-194.53404315093434</v>
      </c>
      <c r="CS804" s="407">
        <v>0</v>
      </c>
      <c r="CT804" s="407">
        <v>0</v>
      </c>
      <c r="CU804" s="407">
        <v>0</v>
      </c>
      <c r="CV804" s="407">
        <v>0</v>
      </c>
      <c r="CW804" s="407"/>
      <c r="CX804" s="407"/>
      <c r="CY804" s="407"/>
      <c r="CZ804" s="407">
        <v>0</v>
      </c>
      <c r="DA804" s="407">
        <v>0</v>
      </c>
      <c r="DB804" s="407">
        <v>0</v>
      </c>
      <c r="DC804" s="407"/>
      <c r="DD804" s="407"/>
      <c r="DE804" s="407">
        <v>0</v>
      </c>
      <c r="DF804" s="407">
        <v>0</v>
      </c>
      <c r="DG804" s="407">
        <v>0</v>
      </c>
      <c r="DH804" s="407">
        <v>0</v>
      </c>
      <c r="DI804" s="407">
        <v>0</v>
      </c>
      <c r="DJ804" s="407"/>
      <c r="DK804" s="407">
        <v>0</v>
      </c>
      <c r="DL804" s="407">
        <v>0</v>
      </c>
      <c r="DM804" s="407"/>
      <c r="DN804" s="407">
        <v>0</v>
      </c>
      <c r="DO804" s="407">
        <v>0</v>
      </c>
      <c r="DP804" s="407">
        <v>-1.0338959959891376</v>
      </c>
      <c r="DQ804" s="407">
        <v>0</v>
      </c>
      <c r="DR804" s="407">
        <v>-193.50014715494521</v>
      </c>
      <c r="DS804" s="407"/>
      <c r="DT804" s="407"/>
      <c r="DU804" s="407">
        <v>9894.2716481904408</v>
      </c>
      <c r="DV804" s="407"/>
      <c r="DW804" s="407">
        <v>0</v>
      </c>
      <c r="DX804" s="407">
        <v>0</v>
      </c>
      <c r="DY804" s="407">
        <v>-5248.58</v>
      </c>
      <c r="DZ804" s="407"/>
      <c r="EA804" s="407">
        <v>0</v>
      </c>
      <c r="EB804" s="407"/>
      <c r="EC804" s="407">
        <v>-5054.0169385620957</v>
      </c>
      <c r="ED804" s="407"/>
      <c r="EE804" s="407">
        <v>0</v>
      </c>
      <c r="EF804" s="407">
        <v>0</v>
      </c>
      <c r="EG804" s="407"/>
      <c r="EH804" s="407">
        <v>0</v>
      </c>
      <c r="EI804" s="407">
        <v>0</v>
      </c>
      <c r="EJ804" s="407">
        <v>0</v>
      </c>
      <c r="EK804" s="407">
        <v>0</v>
      </c>
      <c r="EL804" s="407">
        <v>0</v>
      </c>
      <c r="EM804" s="407"/>
      <c r="EN804" s="407"/>
      <c r="EO804" s="407">
        <v>0</v>
      </c>
      <c r="EP804" s="407">
        <v>0</v>
      </c>
      <c r="EQ804" s="407"/>
      <c r="ER804" s="407">
        <v>0</v>
      </c>
      <c r="ES804" s="407"/>
      <c r="ET804" s="407">
        <v>0</v>
      </c>
      <c r="EU804" s="407"/>
      <c r="EV804" s="407">
        <v>246</v>
      </c>
      <c r="EW804" s="407"/>
      <c r="EX804" s="407"/>
      <c r="EY804" s="407"/>
      <c r="EZ804" s="407"/>
      <c r="FA804" s="407">
        <v>0</v>
      </c>
      <c r="FB804" s="407"/>
      <c r="FC804" s="407"/>
      <c r="FD804" s="407"/>
      <c r="FE804" s="407"/>
      <c r="FF804" s="407">
        <v>0</v>
      </c>
      <c r="FG804" s="407">
        <v>0</v>
      </c>
      <c r="FH804" s="407">
        <v>0</v>
      </c>
      <c r="FI804" s="407">
        <v>0</v>
      </c>
    </row>
    <row r="805" spans="1:165">
      <c r="A805" s="407">
        <v>836</v>
      </c>
      <c r="B805" s="407" t="s">
        <v>1090</v>
      </c>
      <c r="C805" s="407" t="s">
        <v>1044</v>
      </c>
      <c r="D805" s="407" t="s">
        <v>650</v>
      </c>
      <c r="E805" s="407" t="s">
        <v>97</v>
      </c>
      <c r="F805" s="407" t="s">
        <v>97</v>
      </c>
      <c r="G805" s="407" t="s">
        <v>97</v>
      </c>
      <c r="H805" s="407" t="s">
        <v>2328</v>
      </c>
      <c r="I805" s="407" t="s">
        <v>97</v>
      </c>
      <c r="J805" s="407" t="s">
        <v>2329</v>
      </c>
      <c r="K805" s="818">
        <v>44501</v>
      </c>
      <c r="L805" s="407">
        <v>880</v>
      </c>
      <c r="M805" s="407">
        <v>440</v>
      </c>
      <c r="N805" s="407">
        <v>0</v>
      </c>
      <c r="O805" s="407">
        <v>0</v>
      </c>
      <c r="P805" s="407">
        <v>0</v>
      </c>
      <c r="Q805" s="407">
        <v>0</v>
      </c>
      <c r="R805" s="407">
        <v>13.8</v>
      </c>
      <c r="S805" s="407"/>
      <c r="T805" s="407"/>
      <c r="U805" s="407">
        <v>12144</v>
      </c>
      <c r="V805" s="407"/>
      <c r="W805" s="407">
        <v>12144</v>
      </c>
      <c r="X805" s="407">
        <v>5711.2</v>
      </c>
      <c r="Y805" s="407">
        <v>0</v>
      </c>
      <c r="Z805" s="407">
        <v>0</v>
      </c>
      <c r="AA805" s="407">
        <v>0</v>
      </c>
      <c r="AB805" s="407">
        <v>0</v>
      </c>
      <c r="AC805" s="407">
        <v>0</v>
      </c>
      <c r="AD805" s="407">
        <v>0</v>
      </c>
      <c r="AE805" s="407">
        <v>12126.683914216695</v>
      </c>
      <c r="AF805" s="407"/>
      <c r="AG805" s="407"/>
      <c r="AH805" s="407"/>
      <c r="AI805" s="407">
        <v>0</v>
      </c>
      <c r="AJ805" s="407">
        <v>0</v>
      </c>
      <c r="AK805" s="407">
        <v>0</v>
      </c>
      <c r="AL805" s="407">
        <v>0</v>
      </c>
      <c r="AM805" s="407"/>
      <c r="AN805" s="407">
        <v>19.887297426469704</v>
      </c>
      <c r="AO805" s="407">
        <v>0</v>
      </c>
      <c r="AP805" s="407">
        <v>0</v>
      </c>
      <c r="AQ805" s="407">
        <v>0</v>
      </c>
      <c r="AR805" s="407">
        <v>0</v>
      </c>
      <c r="AS805" s="407"/>
      <c r="AT805" s="407"/>
      <c r="AU805" s="407">
        <v>0</v>
      </c>
      <c r="AV805" s="407">
        <v>0</v>
      </c>
      <c r="AW805" s="407">
        <v>0</v>
      </c>
      <c r="AX805" s="407"/>
      <c r="AY805" s="407"/>
      <c r="AZ805" s="407">
        <v>0</v>
      </c>
      <c r="BA805" s="407"/>
      <c r="BB805" s="407">
        <v>0</v>
      </c>
      <c r="BC805" s="407">
        <v>0</v>
      </c>
      <c r="BD805" s="407">
        <v>0</v>
      </c>
      <c r="BE805" s="407">
        <v>0</v>
      </c>
      <c r="BF805" s="407"/>
      <c r="BG805" s="407">
        <v>0</v>
      </c>
      <c r="BH805" s="407">
        <v>0</v>
      </c>
      <c r="BI805" s="407">
        <v>73.81</v>
      </c>
      <c r="BJ805" s="407">
        <v>0</v>
      </c>
      <c r="BK805" s="407">
        <v>0</v>
      </c>
      <c r="BL805" s="407">
        <v>0</v>
      </c>
      <c r="BM805" s="407"/>
      <c r="BN805" s="407"/>
      <c r="BO805" s="407">
        <v>2855.6</v>
      </c>
      <c r="BP805" s="407"/>
      <c r="BQ805" s="407"/>
      <c r="BR805" s="407"/>
      <c r="BS805" s="407"/>
      <c r="BT805" s="407"/>
      <c r="BU805" s="407"/>
      <c r="BV805" s="407">
        <v>0</v>
      </c>
      <c r="BW805" s="407"/>
      <c r="BX805" s="407"/>
      <c r="BY805" s="407"/>
      <c r="BZ805" s="407"/>
      <c r="CA805" s="407"/>
      <c r="CB805" s="407"/>
      <c r="CC805" s="407"/>
      <c r="CD805" s="407"/>
      <c r="CE805" s="407"/>
      <c r="CF805" s="407"/>
      <c r="CG805" s="407"/>
      <c r="CH805" s="407"/>
      <c r="CI805" s="407">
        <v>2855.6</v>
      </c>
      <c r="CJ805" s="407">
        <v>-3216.4300000000007</v>
      </c>
      <c r="CK805" s="407"/>
      <c r="CL805" s="407"/>
      <c r="CM805" s="407"/>
      <c r="CN805" s="407"/>
      <c r="CO805" s="407">
        <v>-6432.8</v>
      </c>
      <c r="CP805" s="407">
        <v>0</v>
      </c>
      <c r="CQ805" s="407">
        <v>30</v>
      </c>
      <c r="CR805" s="407">
        <v>-238.42612531033737</v>
      </c>
      <c r="CS805" s="407">
        <v>0</v>
      </c>
      <c r="CT805" s="407">
        <v>0</v>
      </c>
      <c r="CU805" s="407">
        <v>0</v>
      </c>
      <c r="CV805" s="407">
        <v>0</v>
      </c>
      <c r="CW805" s="407"/>
      <c r="CX805" s="407"/>
      <c r="CY805" s="407"/>
      <c r="CZ805" s="407">
        <v>0</v>
      </c>
      <c r="DA805" s="407">
        <v>0</v>
      </c>
      <c r="DB805" s="407">
        <v>0</v>
      </c>
      <c r="DC805" s="407"/>
      <c r="DD805" s="407"/>
      <c r="DE805" s="407">
        <v>0</v>
      </c>
      <c r="DF805" s="407">
        <v>0</v>
      </c>
      <c r="DG805" s="407">
        <v>0</v>
      </c>
      <c r="DH805" s="407">
        <v>0</v>
      </c>
      <c r="DI805" s="407">
        <v>0</v>
      </c>
      <c r="DJ805" s="407"/>
      <c r="DK805" s="407">
        <v>0</v>
      </c>
      <c r="DL805" s="407">
        <v>0</v>
      </c>
      <c r="DM805" s="407"/>
      <c r="DN805" s="407">
        <v>0</v>
      </c>
      <c r="DO805" s="407">
        <v>0</v>
      </c>
      <c r="DP805" s="407">
        <v>-1.2671705800424</v>
      </c>
      <c r="DQ805" s="407">
        <v>0</v>
      </c>
      <c r="DR805" s="407">
        <v>-237.15895473029497</v>
      </c>
      <c r="DS805" s="407"/>
      <c r="DT805" s="407"/>
      <c r="DU805" s="407">
        <v>12126.683914216695</v>
      </c>
      <c r="DV805" s="407"/>
      <c r="DW805" s="407">
        <v>0</v>
      </c>
      <c r="DX805" s="407">
        <v>0</v>
      </c>
      <c r="DY805" s="407">
        <v>-6432.8</v>
      </c>
      <c r="DZ805" s="407"/>
      <c r="EA805" s="407">
        <v>0</v>
      </c>
      <c r="EB805" s="407"/>
      <c r="EC805" s="407">
        <v>-6194.3383091011747</v>
      </c>
      <c r="ED805" s="407"/>
      <c r="EE805" s="407">
        <v>0</v>
      </c>
      <c r="EF805" s="407">
        <v>0</v>
      </c>
      <c r="EG805" s="407"/>
      <c r="EH805" s="407">
        <v>0</v>
      </c>
      <c r="EI805" s="407">
        <v>0</v>
      </c>
      <c r="EJ805" s="407">
        <v>0</v>
      </c>
      <c r="EK805" s="407">
        <v>0</v>
      </c>
      <c r="EL805" s="407">
        <v>0</v>
      </c>
      <c r="EM805" s="407"/>
      <c r="EN805" s="407"/>
      <c r="EO805" s="407">
        <v>0</v>
      </c>
      <c r="EP805" s="407">
        <v>0</v>
      </c>
      <c r="EQ805" s="407"/>
      <c r="ER805" s="407">
        <v>0</v>
      </c>
      <c r="ES805" s="407"/>
      <c r="ET805" s="407">
        <v>0</v>
      </c>
      <c r="EU805" s="407"/>
      <c r="EV805" s="407">
        <v>246</v>
      </c>
      <c r="EW805" s="407"/>
      <c r="EX805" s="407"/>
      <c r="EY805" s="407"/>
      <c r="EZ805" s="407"/>
      <c r="FA805" s="407">
        <v>0</v>
      </c>
      <c r="FB805" s="407"/>
      <c r="FC805" s="407"/>
      <c r="FD805" s="407"/>
      <c r="FE805" s="407"/>
      <c r="FF805" s="407">
        <v>0</v>
      </c>
      <c r="FG805" s="407">
        <v>0</v>
      </c>
      <c r="FH805" s="407">
        <v>0</v>
      </c>
      <c r="FI805" s="407">
        <v>0</v>
      </c>
    </row>
    <row r="806" spans="1:165">
      <c r="A806" s="407">
        <v>837</v>
      </c>
      <c r="B806" s="407" t="s">
        <v>1090</v>
      </c>
      <c r="C806" s="407" t="s">
        <v>1044</v>
      </c>
      <c r="D806" s="407" t="s">
        <v>650</v>
      </c>
      <c r="E806" s="407" t="s">
        <v>97</v>
      </c>
      <c r="F806" s="407" t="s">
        <v>97</v>
      </c>
      <c r="G806" s="407" t="s">
        <v>97</v>
      </c>
      <c r="H806" s="407" t="s">
        <v>2330</v>
      </c>
      <c r="I806" s="407" t="s">
        <v>97</v>
      </c>
      <c r="J806" s="407" t="s">
        <v>2329</v>
      </c>
      <c r="K806" s="818">
        <v>44501</v>
      </c>
      <c r="L806" s="407">
        <v>520</v>
      </c>
      <c r="M806" s="407">
        <v>260</v>
      </c>
      <c r="N806" s="407">
        <v>0</v>
      </c>
      <c r="O806" s="407">
        <v>0</v>
      </c>
      <c r="P806" s="407">
        <v>0</v>
      </c>
      <c r="Q806" s="407">
        <v>0</v>
      </c>
      <c r="R806" s="407">
        <v>13.8</v>
      </c>
      <c r="S806" s="407"/>
      <c r="T806" s="407"/>
      <c r="U806" s="407">
        <v>7176</v>
      </c>
      <c r="V806" s="407"/>
      <c r="W806" s="407">
        <v>7176</v>
      </c>
      <c r="X806" s="407">
        <v>3374.8</v>
      </c>
      <c r="Y806" s="407">
        <v>0</v>
      </c>
      <c r="Z806" s="407">
        <v>0</v>
      </c>
      <c r="AA806" s="407">
        <v>0</v>
      </c>
      <c r="AB806" s="407">
        <v>0</v>
      </c>
      <c r="AC806" s="407">
        <v>0</v>
      </c>
      <c r="AD806" s="407">
        <v>0</v>
      </c>
      <c r="AE806" s="407">
        <v>7165.767767491684</v>
      </c>
      <c r="AF806" s="407"/>
      <c r="AG806" s="407"/>
      <c r="AH806" s="407"/>
      <c r="AI806" s="407">
        <v>0</v>
      </c>
      <c r="AJ806" s="407">
        <v>0</v>
      </c>
      <c r="AK806" s="407">
        <v>0</v>
      </c>
      <c r="AL806" s="407">
        <v>0</v>
      </c>
      <c r="AM806" s="407"/>
      <c r="AN806" s="407">
        <v>11.751584842913916</v>
      </c>
      <c r="AO806" s="407">
        <v>0</v>
      </c>
      <c r="AP806" s="407">
        <v>0</v>
      </c>
      <c r="AQ806" s="407">
        <v>0</v>
      </c>
      <c r="AR806" s="407">
        <v>0</v>
      </c>
      <c r="AS806" s="407"/>
      <c r="AT806" s="407"/>
      <c r="AU806" s="407">
        <v>0</v>
      </c>
      <c r="AV806" s="407">
        <v>0</v>
      </c>
      <c r="AW806" s="407">
        <v>0</v>
      </c>
      <c r="AX806" s="407"/>
      <c r="AY806" s="407"/>
      <c r="AZ806" s="407">
        <v>0</v>
      </c>
      <c r="BA806" s="407"/>
      <c r="BB806" s="407">
        <v>0</v>
      </c>
      <c r="BC806" s="407">
        <v>0</v>
      </c>
      <c r="BD806" s="407">
        <v>0</v>
      </c>
      <c r="BE806" s="407">
        <v>0</v>
      </c>
      <c r="BF806" s="407"/>
      <c r="BG806" s="407">
        <v>0</v>
      </c>
      <c r="BH806" s="407">
        <v>0</v>
      </c>
      <c r="BI806" s="407">
        <v>43.62</v>
      </c>
      <c r="BJ806" s="407">
        <v>0</v>
      </c>
      <c r="BK806" s="407">
        <v>0</v>
      </c>
      <c r="BL806" s="407">
        <v>0</v>
      </c>
      <c r="BM806" s="407"/>
      <c r="BN806" s="407"/>
      <c r="BO806" s="407">
        <v>1687.4</v>
      </c>
      <c r="BP806" s="407"/>
      <c r="BQ806" s="407"/>
      <c r="BR806" s="407"/>
      <c r="BS806" s="407"/>
      <c r="BT806" s="407"/>
      <c r="BU806" s="407"/>
      <c r="BV806" s="407">
        <v>0</v>
      </c>
      <c r="BW806" s="407"/>
      <c r="BX806" s="407"/>
      <c r="BY806" s="407"/>
      <c r="BZ806" s="407"/>
      <c r="CA806" s="407"/>
      <c r="CB806" s="407"/>
      <c r="CC806" s="407"/>
      <c r="CD806" s="407"/>
      <c r="CE806" s="407"/>
      <c r="CF806" s="407"/>
      <c r="CG806" s="407"/>
      <c r="CH806" s="407"/>
      <c r="CI806" s="407">
        <v>1687.4</v>
      </c>
      <c r="CJ806" s="407">
        <v>-1900.6300000000006</v>
      </c>
      <c r="CK806" s="407"/>
      <c r="CL806" s="407"/>
      <c r="CM806" s="407"/>
      <c r="CN806" s="407"/>
      <c r="CO806" s="407">
        <v>-3801.2000000000003</v>
      </c>
      <c r="CP806" s="407">
        <v>0</v>
      </c>
      <c r="CQ806" s="407">
        <v>30</v>
      </c>
      <c r="CR806" s="407">
        <v>-140.88816495610848</v>
      </c>
      <c r="CS806" s="407">
        <v>0</v>
      </c>
      <c r="CT806" s="407">
        <v>0</v>
      </c>
      <c r="CU806" s="407">
        <v>0</v>
      </c>
      <c r="CV806" s="407">
        <v>0</v>
      </c>
      <c r="CW806" s="407"/>
      <c r="CX806" s="407"/>
      <c r="CY806" s="407"/>
      <c r="CZ806" s="407">
        <v>0</v>
      </c>
      <c r="DA806" s="407">
        <v>0</v>
      </c>
      <c r="DB806" s="407">
        <v>0</v>
      </c>
      <c r="DC806" s="407"/>
      <c r="DD806" s="407"/>
      <c r="DE806" s="407">
        <v>0</v>
      </c>
      <c r="DF806" s="407">
        <v>0</v>
      </c>
      <c r="DG806" s="407">
        <v>0</v>
      </c>
      <c r="DH806" s="407">
        <v>0</v>
      </c>
      <c r="DI806" s="407">
        <v>0</v>
      </c>
      <c r="DJ806" s="407"/>
      <c r="DK806" s="407">
        <v>0</v>
      </c>
      <c r="DL806" s="407">
        <v>0</v>
      </c>
      <c r="DM806" s="407"/>
      <c r="DN806" s="407">
        <v>0</v>
      </c>
      <c r="DO806" s="407">
        <v>0</v>
      </c>
      <c r="DP806" s="407">
        <v>-0.74878261547960001</v>
      </c>
      <c r="DQ806" s="407">
        <v>0</v>
      </c>
      <c r="DR806" s="407">
        <v>-140.13938234062886</v>
      </c>
      <c r="DS806" s="407"/>
      <c r="DT806" s="407"/>
      <c r="DU806" s="407">
        <v>7165.767767491684</v>
      </c>
      <c r="DV806" s="407"/>
      <c r="DW806" s="407">
        <v>0</v>
      </c>
      <c r="DX806" s="407">
        <v>0</v>
      </c>
      <c r="DY806" s="407">
        <v>-3801.2</v>
      </c>
      <c r="DZ806" s="407"/>
      <c r="EA806" s="407">
        <v>0</v>
      </c>
      <c r="EB806" s="407"/>
      <c r="EC806" s="407">
        <v>-3660.2908190143312</v>
      </c>
      <c r="ED806" s="407"/>
      <c r="EE806" s="407">
        <v>0</v>
      </c>
      <c r="EF806" s="407">
        <v>0</v>
      </c>
      <c r="EG806" s="407"/>
      <c r="EH806" s="407">
        <v>0</v>
      </c>
      <c r="EI806" s="407">
        <v>0</v>
      </c>
      <c r="EJ806" s="407">
        <v>0</v>
      </c>
      <c r="EK806" s="407">
        <v>0</v>
      </c>
      <c r="EL806" s="407">
        <v>0</v>
      </c>
      <c r="EM806" s="407"/>
      <c r="EN806" s="407"/>
      <c r="EO806" s="407">
        <v>0</v>
      </c>
      <c r="EP806" s="407">
        <v>0</v>
      </c>
      <c r="EQ806" s="407"/>
      <c r="ER806" s="407">
        <v>0</v>
      </c>
      <c r="ES806" s="407"/>
      <c r="ET806" s="407">
        <v>0</v>
      </c>
      <c r="EU806" s="407"/>
      <c r="EV806" s="407">
        <v>246</v>
      </c>
      <c r="EW806" s="407"/>
      <c r="EX806" s="407"/>
      <c r="EY806" s="407"/>
      <c r="EZ806" s="407"/>
      <c r="FA806" s="407">
        <v>0</v>
      </c>
      <c r="FB806" s="407"/>
      <c r="FC806" s="407"/>
      <c r="FD806" s="407"/>
      <c r="FE806" s="407"/>
      <c r="FF806" s="407">
        <v>0</v>
      </c>
      <c r="FG806" s="407">
        <v>0</v>
      </c>
      <c r="FH806" s="407">
        <v>0</v>
      </c>
      <c r="FI806" s="407">
        <v>0</v>
      </c>
    </row>
    <row r="807" spans="1:165">
      <c r="A807" s="407">
        <v>838</v>
      </c>
      <c r="B807" s="407" t="s">
        <v>1090</v>
      </c>
      <c r="C807" s="407" t="s">
        <v>1044</v>
      </c>
      <c r="D807" s="407" t="s">
        <v>650</v>
      </c>
      <c r="E807" s="407" t="s">
        <v>97</v>
      </c>
      <c r="F807" s="407" t="s">
        <v>97</v>
      </c>
      <c r="G807" s="407" t="s">
        <v>97</v>
      </c>
      <c r="H807" s="407" t="s">
        <v>2331</v>
      </c>
      <c r="I807" s="407" t="s">
        <v>97</v>
      </c>
      <c r="J807" s="407" t="s">
        <v>2329</v>
      </c>
      <c r="K807" s="818">
        <v>44501</v>
      </c>
      <c r="L807" s="407">
        <v>1000</v>
      </c>
      <c r="M807" s="407">
        <v>500</v>
      </c>
      <c r="N807" s="407">
        <v>0</v>
      </c>
      <c r="O807" s="407">
        <v>0</v>
      </c>
      <c r="P807" s="407">
        <v>0</v>
      </c>
      <c r="Q807" s="407">
        <v>0</v>
      </c>
      <c r="R807" s="407">
        <v>13.8</v>
      </c>
      <c r="S807" s="407"/>
      <c r="T807" s="407"/>
      <c r="U807" s="407">
        <v>13800</v>
      </c>
      <c r="V807" s="407"/>
      <c r="W807" s="407">
        <v>13800</v>
      </c>
      <c r="X807" s="407">
        <v>6490</v>
      </c>
      <c r="Y807" s="407">
        <v>0</v>
      </c>
      <c r="Z807" s="407">
        <v>0</v>
      </c>
      <c r="AA807" s="407">
        <v>0</v>
      </c>
      <c r="AB807" s="407">
        <v>0</v>
      </c>
      <c r="AC807" s="407">
        <v>0</v>
      </c>
      <c r="AD807" s="407">
        <v>0</v>
      </c>
      <c r="AE807" s="407">
        <v>13780.322629791699</v>
      </c>
      <c r="AF807" s="407"/>
      <c r="AG807" s="407"/>
      <c r="AH807" s="407"/>
      <c r="AI807" s="407">
        <v>0</v>
      </c>
      <c r="AJ807" s="407">
        <v>0</v>
      </c>
      <c r="AK807" s="407">
        <v>0</v>
      </c>
      <c r="AL807" s="407">
        <v>0</v>
      </c>
      <c r="AM807" s="407"/>
      <c r="AN807" s="407">
        <v>22.5992016209883</v>
      </c>
      <c r="AO807" s="407">
        <v>0</v>
      </c>
      <c r="AP807" s="407">
        <v>0</v>
      </c>
      <c r="AQ807" s="407">
        <v>0</v>
      </c>
      <c r="AR807" s="407">
        <v>0</v>
      </c>
      <c r="AS807" s="407"/>
      <c r="AT807" s="407"/>
      <c r="AU807" s="407">
        <v>0</v>
      </c>
      <c r="AV807" s="407">
        <v>0</v>
      </c>
      <c r="AW807" s="407">
        <v>0</v>
      </c>
      <c r="AX807" s="407"/>
      <c r="AY807" s="407"/>
      <c r="AZ807" s="407">
        <v>0</v>
      </c>
      <c r="BA807" s="407"/>
      <c r="BB807" s="407">
        <v>0</v>
      </c>
      <c r="BC807" s="407">
        <v>0</v>
      </c>
      <c r="BD807" s="407">
        <v>0</v>
      </c>
      <c r="BE807" s="407">
        <v>0</v>
      </c>
      <c r="BF807" s="407"/>
      <c r="BG807" s="407">
        <v>0</v>
      </c>
      <c r="BH807" s="407">
        <v>0</v>
      </c>
      <c r="BI807" s="407">
        <v>83.88</v>
      </c>
      <c r="BJ807" s="407">
        <v>0</v>
      </c>
      <c r="BK807" s="407">
        <v>0</v>
      </c>
      <c r="BL807" s="407">
        <v>0</v>
      </c>
      <c r="BM807" s="407"/>
      <c r="BN807" s="407"/>
      <c r="BO807" s="407">
        <v>3245</v>
      </c>
      <c r="BP807" s="407"/>
      <c r="BQ807" s="407"/>
      <c r="BR807" s="407"/>
      <c r="BS807" s="407"/>
      <c r="BT807" s="407"/>
      <c r="BU807" s="407"/>
      <c r="BV807" s="407">
        <v>0</v>
      </c>
      <c r="BW807" s="407"/>
      <c r="BX807" s="407"/>
      <c r="BY807" s="407"/>
      <c r="BZ807" s="407"/>
      <c r="CA807" s="407"/>
      <c r="CB807" s="407"/>
      <c r="CC807" s="407"/>
      <c r="CD807" s="407"/>
      <c r="CE807" s="407"/>
      <c r="CF807" s="407"/>
      <c r="CG807" s="407"/>
      <c r="CH807" s="407"/>
      <c r="CI807" s="407">
        <v>3245</v>
      </c>
      <c r="CJ807" s="407">
        <v>-3655.0300000000007</v>
      </c>
      <c r="CK807" s="407"/>
      <c r="CL807" s="407"/>
      <c r="CM807" s="407"/>
      <c r="CN807" s="407"/>
      <c r="CO807" s="407">
        <v>-7310.0000000000009</v>
      </c>
      <c r="CP807" s="407">
        <v>0</v>
      </c>
      <c r="CQ807" s="407">
        <v>30</v>
      </c>
      <c r="CR807" s="407">
        <v>-270.93877876174702</v>
      </c>
      <c r="CS807" s="407">
        <v>0</v>
      </c>
      <c r="CT807" s="407">
        <v>0</v>
      </c>
      <c r="CU807" s="407">
        <v>0</v>
      </c>
      <c r="CV807" s="407">
        <v>0</v>
      </c>
      <c r="CW807" s="407"/>
      <c r="CX807" s="407"/>
      <c r="CY807" s="407"/>
      <c r="CZ807" s="407">
        <v>0</v>
      </c>
      <c r="DA807" s="407">
        <v>0</v>
      </c>
      <c r="DB807" s="407">
        <v>0</v>
      </c>
      <c r="DC807" s="407"/>
      <c r="DD807" s="407"/>
      <c r="DE807" s="407">
        <v>0</v>
      </c>
      <c r="DF807" s="407">
        <v>0</v>
      </c>
      <c r="DG807" s="407">
        <v>0</v>
      </c>
      <c r="DH807" s="407">
        <v>0</v>
      </c>
      <c r="DI807" s="407">
        <v>0</v>
      </c>
      <c r="DJ807" s="407"/>
      <c r="DK807" s="407">
        <v>0</v>
      </c>
      <c r="DL807" s="407">
        <v>0</v>
      </c>
      <c r="DM807" s="407"/>
      <c r="DN807" s="407">
        <v>0</v>
      </c>
      <c r="DO807" s="407">
        <v>0</v>
      </c>
      <c r="DP807" s="407">
        <v>-1.4399665682300018</v>
      </c>
      <c r="DQ807" s="407">
        <v>0</v>
      </c>
      <c r="DR807" s="407">
        <v>-269.49881219351704</v>
      </c>
      <c r="DS807" s="407"/>
      <c r="DT807" s="407"/>
      <c r="DU807" s="407">
        <v>13780.322629791699</v>
      </c>
      <c r="DV807" s="407"/>
      <c r="DW807" s="407">
        <v>0</v>
      </c>
      <c r="DX807" s="407">
        <v>0</v>
      </c>
      <c r="DY807" s="407">
        <v>-7310</v>
      </c>
      <c r="DZ807" s="407"/>
      <c r="EA807" s="407">
        <v>0</v>
      </c>
      <c r="EB807" s="407"/>
      <c r="EC807" s="407">
        <v>-7039.0208057967893</v>
      </c>
      <c r="ED807" s="407"/>
      <c r="EE807" s="407">
        <v>0</v>
      </c>
      <c r="EF807" s="407">
        <v>0</v>
      </c>
      <c r="EG807" s="407"/>
      <c r="EH807" s="407">
        <v>0</v>
      </c>
      <c r="EI807" s="407">
        <v>0</v>
      </c>
      <c r="EJ807" s="407">
        <v>0</v>
      </c>
      <c r="EK807" s="407">
        <v>0</v>
      </c>
      <c r="EL807" s="407">
        <v>0</v>
      </c>
      <c r="EM807" s="407"/>
      <c r="EN807" s="407"/>
      <c r="EO807" s="407">
        <v>0</v>
      </c>
      <c r="EP807" s="407">
        <v>0</v>
      </c>
      <c r="EQ807" s="407"/>
      <c r="ER807" s="407">
        <v>0</v>
      </c>
      <c r="ES807" s="407"/>
      <c r="ET807" s="407">
        <v>0</v>
      </c>
      <c r="EU807" s="407"/>
      <c r="EV807" s="407">
        <v>246</v>
      </c>
      <c r="EW807" s="407"/>
      <c r="EX807" s="407"/>
      <c r="EY807" s="407"/>
      <c r="EZ807" s="407"/>
      <c r="FA807" s="407">
        <v>0</v>
      </c>
      <c r="FB807" s="407"/>
      <c r="FC807" s="407"/>
      <c r="FD807" s="407"/>
      <c r="FE807" s="407"/>
      <c r="FF807" s="407">
        <v>0</v>
      </c>
      <c r="FG807" s="407">
        <v>0</v>
      </c>
      <c r="FH807" s="407">
        <v>0</v>
      </c>
      <c r="FI807" s="407">
        <v>0</v>
      </c>
    </row>
    <row r="808" spans="1:165">
      <c r="A808" s="407">
        <v>839</v>
      </c>
      <c r="B808" s="407" t="s">
        <v>1090</v>
      </c>
      <c r="C808" s="407" t="s">
        <v>1044</v>
      </c>
      <c r="D808" s="407" t="s">
        <v>650</v>
      </c>
      <c r="E808" s="407" t="s">
        <v>97</v>
      </c>
      <c r="F808" s="407" t="s">
        <v>97</v>
      </c>
      <c r="G808" s="407" t="s">
        <v>97</v>
      </c>
      <c r="H808" s="407" t="s">
        <v>2332</v>
      </c>
      <c r="I808" s="407" t="s">
        <v>97</v>
      </c>
      <c r="J808" s="407" t="s">
        <v>2329</v>
      </c>
      <c r="K808" s="818">
        <v>44501</v>
      </c>
      <c r="L808" s="407">
        <v>800</v>
      </c>
      <c r="M808" s="407">
        <v>400</v>
      </c>
      <c r="N808" s="407">
        <v>0</v>
      </c>
      <c r="O808" s="407">
        <v>0</v>
      </c>
      <c r="P808" s="407">
        <v>0</v>
      </c>
      <c r="Q808" s="407">
        <v>0</v>
      </c>
      <c r="R808" s="407">
        <v>13.8</v>
      </c>
      <c r="S808" s="407"/>
      <c r="T808" s="407"/>
      <c r="U808" s="407">
        <v>11040</v>
      </c>
      <c r="V808" s="407"/>
      <c r="W808" s="407">
        <v>11040</v>
      </c>
      <c r="X808" s="407">
        <v>5192</v>
      </c>
      <c r="Y808" s="407">
        <v>0</v>
      </c>
      <c r="Z808" s="407">
        <v>0</v>
      </c>
      <c r="AA808" s="407">
        <v>0</v>
      </c>
      <c r="AB808" s="407">
        <v>0</v>
      </c>
      <c r="AC808" s="407">
        <v>0</v>
      </c>
      <c r="AD808" s="407">
        <v>0</v>
      </c>
      <c r="AE808" s="407">
        <v>11024.258103833359</v>
      </c>
      <c r="AF808" s="407"/>
      <c r="AG808" s="407"/>
      <c r="AH808" s="407"/>
      <c r="AI808" s="407">
        <v>0</v>
      </c>
      <c r="AJ808" s="407">
        <v>0</v>
      </c>
      <c r="AK808" s="407">
        <v>0</v>
      </c>
      <c r="AL808" s="407">
        <v>0</v>
      </c>
      <c r="AM808" s="407"/>
      <c r="AN808" s="407">
        <v>18.079361296790637</v>
      </c>
      <c r="AO808" s="407">
        <v>0</v>
      </c>
      <c r="AP808" s="407">
        <v>0</v>
      </c>
      <c r="AQ808" s="407">
        <v>0</v>
      </c>
      <c r="AR808" s="407">
        <v>0</v>
      </c>
      <c r="AS808" s="407"/>
      <c r="AT808" s="407"/>
      <c r="AU808" s="407">
        <v>0</v>
      </c>
      <c r="AV808" s="407">
        <v>0</v>
      </c>
      <c r="AW808" s="407">
        <v>0</v>
      </c>
      <c r="AX808" s="407"/>
      <c r="AY808" s="407"/>
      <c r="AZ808" s="407">
        <v>0</v>
      </c>
      <c r="BA808" s="407"/>
      <c r="BB808" s="407">
        <v>0</v>
      </c>
      <c r="BC808" s="407">
        <v>0</v>
      </c>
      <c r="BD808" s="407">
        <v>0</v>
      </c>
      <c r="BE808" s="407">
        <v>0</v>
      </c>
      <c r="BF808" s="407"/>
      <c r="BG808" s="407">
        <v>0</v>
      </c>
      <c r="BH808" s="407">
        <v>0</v>
      </c>
      <c r="BI808" s="407">
        <v>67.11</v>
      </c>
      <c r="BJ808" s="407">
        <v>0</v>
      </c>
      <c r="BK808" s="407">
        <v>0</v>
      </c>
      <c r="BL808" s="407">
        <v>0</v>
      </c>
      <c r="BM808" s="407"/>
      <c r="BN808" s="407"/>
      <c r="BO808" s="407">
        <v>2596</v>
      </c>
      <c r="BP808" s="407"/>
      <c r="BQ808" s="407"/>
      <c r="BR808" s="407"/>
      <c r="BS808" s="407"/>
      <c r="BT808" s="407"/>
      <c r="BU808" s="407"/>
      <c r="BV808" s="407">
        <v>0</v>
      </c>
      <c r="BW808" s="407"/>
      <c r="BX808" s="407"/>
      <c r="BY808" s="407"/>
      <c r="BZ808" s="407"/>
      <c r="CA808" s="407"/>
      <c r="CB808" s="407"/>
      <c r="CC808" s="407"/>
      <c r="CD808" s="407"/>
      <c r="CE808" s="407"/>
      <c r="CF808" s="407"/>
      <c r="CG808" s="407"/>
      <c r="CH808" s="407"/>
      <c r="CI808" s="407">
        <v>2596</v>
      </c>
      <c r="CJ808" s="407">
        <v>-2924.0300000000007</v>
      </c>
      <c r="CK808" s="407"/>
      <c r="CL808" s="407"/>
      <c r="CM808" s="407"/>
      <c r="CN808" s="407"/>
      <c r="CO808" s="407">
        <v>-5848</v>
      </c>
      <c r="CP808" s="407">
        <v>0</v>
      </c>
      <c r="CQ808" s="407">
        <v>30</v>
      </c>
      <c r="CR808" s="407">
        <v>-216.75102300939761</v>
      </c>
      <c r="CS808" s="407">
        <v>0</v>
      </c>
      <c r="CT808" s="407">
        <v>0</v>
      </c>
      <c r="CU808" s="407">
        <v>0</v>
      </c>
      <c r="CV808" s="407">
        <v>0</v>
      </c>
      <c r="CW808" s="407"/>
      <c r="CX808" s="407"/>
      <c r="CY808" s="407"/>
      <c r="CZ808" s="407">
        <v>0</v>
      </c>
      <c r="DA808" s="407">
        <v>0</v>
      </c>
      <c r="DB808" s="407">
        <v>0</v>
      </c>
      <c r="DC808" s="407"/>
      <c r="DD808" s="407"/>
      <c r="DE808" s="407">
        <v>0</v>
      </c>
      <c r="DF808" s="407">
        <v>0</v>
      </c>
      <c r="DG808" s="407">
        <v>0</v>
      </c>
      <c r="DH808" s="407">
        <v>0</v>
      </c>
      <c r="DI808" s="407">
        <v>0</v>
      </c>
      <c r="DJ808" s="407"/>
      <c r="DK808" s="407">
        <v>0</v>
      </c>
      <c r="DL808" s="407">
        <v>0</v>
      </c>
      <c r="DM808" s="407"/>
      <c r="DN808" s="407">
        <v>0</v>
      </c>
      <c r="DO808" s="407">
        <v>0</v>
      </c>
      <c r="DP808" s="407">
        <v>-1.1519732545839965</v>
      </c>
      <c r="DQ808" s="407">
        <v>0</v>
      </c>
      <c r="DR808" s="407">
        <v>-215.59904975481362</v>
      </c>
      <c r="DS808" s="407"/>
      <c r="DT808" s="407"/>
      <c r="DU808" s="407">
        <v>11024.258103833359</v>
      </c>
      <c r="DV808" s="407"/>
      <c r="DW808" s="407">
        <v>0</v>
      </c>
      <c r="DX808" s="407">
        <v>0</v>
      </c>
      <c r="DY808" s="407">
        <v>-5848</v>
      </c>
      <c r="DZ808" s="407"/>
      <c r="EA808" s="407">
        <v>0</v>
      </c>
      <c r="EB808" s="407"/>
      <c r="EC808" s="407">
        <v>-5631.2166446374313</v>
      </c>
      <c r="ED808" s="407"/>
      <c r="EE808" s="407">
        <v>0</v>
      </c>
      <c r="EF808" s="407">
        <v>0</v>
      </c>
      <c r="EG808" s="407"/>
      <c r="EH808" s="407">
        <v>0</v>
      </c>
      <c r="EI808" s="407">
        <v>0</v>
      </c>
      <c r="EJ808" s="407">
        <v>0</v>
      </c>
      <c r="EK808" s="407">
        <v>0</v>
      </c>
      <c r="EL808" s="407">
        <v>0</v>
      </c>
      <c r="EM808" s="407"/>
      <c r="EN808" s="407"/>
      <c r="EO808" s="407">
        <v>0</v>
      </c>
      <c r="EP808" s="407">
        <v>0</v>
      </c>
      <c r="EQ808" s="407"/>
      <c r="ER808" s="407">
        <v>0</v>
      </c>
      <c r="ES808" s="407"/>
      <c r="ET808" s="407">
        <v>0</v>
      </c>
      <c r="EU808" s="407"/>
      <c r="EV808" s="407">
        <v>246</v>
      </c>
      <c r="EW808" s="407"/>
      <c r="EX808" s="407"/>
      <c r="EY808" s="407"/>
      <c r="EZ808" s="407"/>
      <c r="FA808" s="407">
        <v>0</v>
      </c>
      <c r="FB808" s="407"/>
      <c r="FC808" s="407"/>
      <c r="FD808" s="407"/>
      <c r="FE808" s="407"/>
      <c r="FF808" s="407">
        <v>0</v>
      </c>
      <c r="FG808" s="407">
        <v>0</v>
      </c>
      <c r="FH808" s="407">
        <v>0</v>
      </c>
      <c r="FI808" s="407">
        <v>0</v>
      </c>
    </row>
    <row r="809" spans="1:165">
      <c r="A809" s="407">
        <v>840</v>
      </c>
      <c r="B809" s="407" t="s">
        <v>1090</v>
      </c>
      <c r="C809" s="407" t="s">
        <v>1044</v>
      </c>
      <c r="D809" s="407" t="s">
        <v>650</v>
      </c>
      <c r="E809" s="407" t="s">
        <v>97</v>
      </c>
      <c r="F809" s="407" t="s">
        <v>97</v>
      </c>
      <c r="G809" s="407" t="s">
        <v>97</v>
      </c>
      <c r="H809" s="407" t="s">
        <v>2333</v>
      </c>
      <c r="I809" s="407" t="s">
        <v>97</v>
      </c>
      <c r="J809" s="407" t="s">
        <v>2329</v>
      </c>
      <c r="K809" s="818">
        <v>44501</v>
      </c>
      <c r="L809" s="407">
        <v>270</v>
      </c>
      <c r="M809" s="407">
        <v>135</v>
      </c>
      <c r="N809" s="407">
        <v>0</v>
      </c>
      <c r="O809" s="407">
        <v>0</v>
      </c>
      <c r="P809" s="407">
        <v>0</v>
      </c>
      <c r="Q809" s="407">
        <v>0</v>
      </c>
      <c r="R809" s="407">
        <v>13.8</v>
      </c>
      <c r="S809" s="407"/>
      <c r="T809" s="407"/>
      <c r="U809" s="407">
        <v>3726</v>
      </c>
      <c r="V809" s="407"/>
      <c r="W809" s="407">
        <v>3726</v>
      </c>
      <c r="X809" s="407">
        <v>1752.3</v>
      </c>
      <c r="Y809" s="407">
        <v>0</v>
      </c>
      <c r="Z809" s="407">
        <v>0</v>
      </c>
      <c r="AA809" s="407">
        <v>0</v>
      </c>
      <c r="AB809" s="407">
        <v>0</v>
      </c>
      <c r="AC809" s="407">
        <v>0</v>
      </c>
      <c r="AD809" s="407">
        <v>0</v>
      </c>
      <c r="AE809" s="407">
        <v>3720.6871100437588</v>
      </c>
      <c r="AF809" s="407"/>
      <c r="AG809" s="407"/>
      <c r="AH809" s="407"/>
      <c r="AI809" s="407">
        <v>0</v>
      </c>
      <c r="AJ809" s="407">
        <v>0</v>
      </c>
      <c r="AK809" s="407">
        <v>0</v>
      </c>
      <c r="AL809" s="407">
        <v>0</v>
      </c>
      <c r="AM809" s="407"/>
      <c r="AN809" s="407">
        <v>6.1017844376668409</v>
      </c>
      <c r="AO809" s="407">
        <v>0</v>
      </c>
      <c r="AP809" s="407">
        <v>0</v>
      </c>
      <c r="AQ809" s="407">
        <v>0</v>
      </c>
      <c r="AR809" s="407">
        <v>0</v>
      </c>
      <c r="AS809" s="407"/>
      <c r="AT809" s="407"/>
      <c r="AU809" s="407">
        <v>0</v>
      </c>
      <c r="AV809" s="407">
        <v>0</v>
      </c>
      <c r="AW809" s="407">
        <v>0</v>
      </c>
      <c r="AX809" s="407"/>
      <c r="AY809" s="407"/>
      <c r="AZ809" s="407">
        <v>0</v>
      </c>
      <c r="BA809" s="407"/>
      <c r="BB809" s="407">
        <v>0</v>
      </c>
      <c r="BC809" s="407">
        <v>0</v>
      </c>
      <c r="BD809" s="407">
        <v>0</v>
      </c>
      <c r="BE809" s="407">
        <v>0</v>
      </c>
      <c r="BF809" s="407"/>
      <c r="BG809" s="407">
        <v>0</v>
      </c>
      <c r="BH809" s="407">
        <v>0</v>
      </c>
      <c r="BI809" s="407">
        <v>22.64</v>
      </c>
      <c r="BJ809" s="407">
        <v>0</v>
      </c>
      <c r="BK809" s="407">
        <v>0</v>
      </c>
      <c r="BL809" s="407">
        <v>0</v>
      </c>
      <c r="BM809" s="407"/>
      <c r="BN809" s="407"/>
      <c r="BO809" s="407">
        <v>876.15</v>
      </c>
      <c r="BP809" s="407"/>
      <c r="BQ809" s="407"/>
      <c r="BR809" s="407"/>
      <c r="BS809" s="407"/>
      <c r="BT809" s="407"/>
      <c r="BU809" s="407"/>
      <c r="BV809" s="407">
        <v>0</v>
      </c>
      <c r="BW809" s="407"/>
      <c r="BX809" s="407"/>
      <c r="BY809" s="407"/>
      <c r="BZ809" s="407"/>
      <c r="CA809" s="407"/>
      <c r="CB809" s="407"/>
      <c r="CC809" s="407"/>
      <c r="CD809" s="407"/>
      <c r="CE809" s="407"/>
      <c r="CF809" s="407"/>
      <c r="CG809" s="407"/>
      <c r="CH809" s="407"/>
      <c r="CI809" s="407">
        <v>876.15</v>
      </c>
      <c r="CJ809" s="407">
        <v>-986.88</v>
      </c>
      <c r="CK809" s="407"/>
      <c r="CL809" s="407"/>
      <c r="CM809" s="407"/>
      <c r="CN809" s="407"/>
      <c r="CO809" s="407">
        <v>-1973.7</v>
      </c>
      <c r="CP809" s="407">
        <v>0</v>
      </c>
      <c r="CQ809" s="407">
        <v>30</v>
      </c>
      <c r="CR809" s="407">
        <v>-73.153470265671686</v>
      </c>
      <c r="CS809" s="407">
        <v>0</v>
      </c>
      <c r="CT809" s="407">
        <v>0</v>
      </c>
      <c r="CU809" s="407">
        <v>0</v>
      </c>
      <c r="CV809" s="407">
        <v>0</v>
      </c>
      <c r="CW809" s="407"/>
      <c r="CX809" s="407"/>
      <c r="CY809" s="407"/>
      <c r="CZ809" s="407">
        <v>0</v>
      </c>
      <c r="DA809" s="407">
        <v>0</v>
      </c>
      <c r="DB809" s="407">
        <v>0</v>
      </c>
      <c r="DC809" s="407"/>
      <c r="DD809" s="407"/>
      <c r="DE809" s="407">
        <v>0</v>
      </c>
      <c r="DF809" s="407">
        <v>0</v>
      </c>
      <c r="DG809" s="407">
        <v>0</v>
      </c>
      <c r="DH809" s="407">
        <v>0</v>
      </c>
      <c r="DI809" s="407">
        <v>0</v>
      </c>
      <c r="DJ809" s="407"/>
      <c r="DK809" s="407">
        <v>0</v>
      </c>
      <c r="DL809" s="407">
        <v>0</v>
      </c>
      <c r="DM809" s="407"/>
      <c r="DN809" s="407">
        <v>0</v>
      </c>
      <c r="DO809" s="407">
        <v>0</v>
      </c>
      <c r="DP809" s="407">
        <v>-0.38879097342209956</v>
      </c>
      <c r="DQ809" s="407">
        <v>0</v>
      </c>
      <c r="DR809" s="407">
        <v>-72.764679292249596</v>
      </c>
      <c r="DS809" s="407"/>
      <c r="DT809" s="407"/>
      <c r="DU809" s="407">
        <v>3720.6871100437588</v>
      </c>
      <c r="DV809" s="407"/>
      <c r="DW809" s="407">
        <v>0</v>
      </c>
      <c r="DX809" s="407">
        <v>0</v>
      </c>
      <c r="DY809" s="407">
        <v>-1973.7</v>
      </c>
      <c r="DZ809" s="407"/>
      <c r="EA809" s="407">
        <v>0</v>
      </c>
      <c r="EB809" s="407"/>
      <c r="EC809" s="407">
        <v>-1900.5356175651332</v>
      </c>
      <c r="ED809" s="407"/>
      <c r="EE809" s="407">
        <v>0</v>
      </c>
      <c r="EF809" s="407">
        <v>0</v>
      </c>
      <c r="EG809" s="407"/>
      <c r="EH809" s="407">
        <v>0</v>
      </c>
      <c r="EI809" s="407">
        <v>0</v>
      </c>
      <c r="EJ809" s="407">
        <v>0</v>
      </c>
      <c r="EK809" s="407">
        <v>0</v>
      </c>
      <c r="EL809" s="407">
        <v>0</v>
      </c>
      <c r="EM809" s="407"/>
      <c r="EN809" s="407"/>
      <c r="EO809" s="407">
        <v>0</v>
      </c>
      <c r="EP809" s="407">
        <v>0</v>
      </c>
      <c r="EQ809" s="407"/>
      <c r="ER809" s="407">
        <v>0</v>
      </c>
      <c r="ES809" s="407"/>
      <c r="ET809" s="407">
        <v>0</v>
      </c>
      <c r="EU809" s="407"/>
      <c r="EV809" s="407">
        <v>246</v>
      </c>
      <c r="EW809" s="407"/>
      <c r="EX809" s="407"/>
      <c r="EY809" s="407"/>
      <c r="EZ809" s="407"/>
      <c r="FA809" s="407">
        <v>0</v>
      </c>
      <c r="FB809" s="407"/>
      <c r="FC809" s="407"/>
      <c r="FD809" s="407"/>
      <c r="FE809" s="407"/>
      <c r="FF809" s="407">
        <v>0</v>
      </c>
      <c r="FG809" s="407">
        <v>0</v>
      </c>
      <c r="FH809" s="407">
        <v>0</v>
      </c>
      <c r="FI809" s="407">
        <v>0</v>
      </c>
    </row>
    <row r="810" spans="1:165">
      <c r="A810" s="407">
        <v>841</v>
      </c>
      <c r="B810" s="407" t="s">
        <v>1090</v>
      </c>
      <c r="C810" s="407" t="s">
        <v>1044</v>
      </c>
      <c r="D810" s="407" t="s">
        <v>650</v>
      </c>
      <c r="E810" s="407" t="s">
        <v>97</v>
      </c>
      <c r="F810" s="407" t="s">
        <v>97</v>
      </c>
      <c r="G810" s="407" t="s">
        <v>97</v>
      </c>
      <c r="H810" s="407" t="s">
        <v>2334</v>
      </c>
      <c r="I810" s="407" t="s">
        <v>97</v>
      </c>
      <c r="J810" s="407" t="s">
        <v>2329</v>
      </c>
      <c r="K810" s="818">
        <v>44501</v>
      </c>
      <c r="L810" s="407">
        <v>280</v>
      </c>
      <c r="M810" s="407">
        <v>140</v>
      </c>
      <c r="N810" s="407">
        <v>0</v>
      </c>
      <c r="O810" s="407">
        <v>0</v>
      </c>
      <c r="P810" s="407">
        <v>0</v>
      </c>
      <c r="Q810" s="407">
        <v>0</v>
      </c>
      <c r="R810" s="407">
        <v>13.8</v>
      </c>
      <c r="S810" s="407"/>
      <c r="T810" s="407"/>
      <c r="U810" s="407">
        <v>3864</v>
      </c>
      <c r="V810" s="407"/>
      <c r="W810" s="407">
        <v>3864</v>
      </c>
      <c r="X810" s="407">
        <v>1817.2</v>
      </c>
      <c r="Y810" s="407">
        <v>0</v>
      </c>
      <c r="Z810" s="407">
        <v>0</v>
      </c>
      <c r="AA810" s="407">
        <v>0</v>
      </c>
      <c r="AB810" s="407">
        <v>0</v>
      </c>
      <c r="AC810" s="407">
        <v>0</v>
      </c>
      <c r="AD810" s="407">
        <v>0</v>
      </c>
      <c r="AE810" s="407">
        <v>3858.4903363416761</v>
      </c>
      <c r="AF810" s="407"/>
      <c r="AG810" s="407"/>
      <c r="AH810" s="407"/>
      <c r="AI810" s="407">
        <v>0</v>
      </c>
      <c r="AJ810" s="407">
        <v>0</v>
      </c>
      <c r="AK810" s="407">
        <v>0</v>
      </c>
      <c r="AL810" s="407">
        <v>0</v>
      </c>
      <c r="AM810" s="407"/>
      <c r="AN810" s="407">
        <v>6.3277764538767238</v>
      </c>
      <c r="AO810" s="407">
        <v>0</v>
      </c>
      <c r="AP810" s="407">
        <v>0</v>
      </c>
      <c r="AQ810" s="407">
        <v>0</v>
      </c>
      <c r="AR810" s="407">
        <v>0</v>
      </c>
      <c r="AS810" s="407"/>
      <c r="AT810" s="407"/>
      <c r="AU810" s="407">
        <v>0</v>
      </c>
      <c r="AV810" s="407">
        <v>0</v>
      </c>
      <c r="AW810" s="407">
        <v>0</v>
      </c>
      <c r="AX810" s="407"/>
      <c r="AY810" s="407"/>
      <c r="AZ810" s="407">
        <v>0</v>
      </c>
      <c r="BA810" s="407"/>
      <c r="BB810" s="407">
        <v>0</v>
      </c>
      <c r="BC810" s="407">
        <v>0</v>
      </c>
      <c r="BD810" s="407">
        <v>0</v>
      </c>
      <c r="BE810" s="407">
        <v>0</v>
      </c>
      <c r="BF810" s="407"/>
      <c r="BG810" s="407">
        <v>0</v>
      </c>
      <c r="BH810" s="407">
        <v>0</v>
      </c>
      <c r="BI810" s="407">
        <v>23.48</v>
      </c>
      <c r="BJ810" s="407">
        <v>0</v>
      </c>
      <c r="BK810" s="407">
        <v>0</v>
      </c>
      <c r="BL810" s="407">
        <v>0</v>
      </c>
      <c r="BM810" s="407"/>
      <c r="BN810" s="407"/>
      <c r="BO810" s="407">
        <v>908.6</v>
      </c>
      <c r="BP810" s="407"/>
      <c r="BQ810" s="407"/>
      <c r="BR810" s="407"/>
      <c r="BS810" s="407"/>
      <c r="BT810" s="407"/>
      <c r="BU810" s="407"/>
      <c r="BV810" s="407">
        <v>0</v>
      </c>
      <c r="BW810" s="407"/>
      <c r="BX810" s="407"/>
      <c r="BY810" s="407"/>
      <c r="BZ810" s="407"/>
      <c r="CA810" s="407"/>
      <c r="CB810" s="407"/>
      <c r="CC810" s="407"/>
      <c r="CD810" s="407"/>
      <c r="CE810" s="407"/>
      <c r="CF810" s="407"/>
      <c r="CG810" s="407"/>
      <c r="CH810" s="407"/>
      <c r="CI810" s="407">
        <v>908.6</v>
      </c>
      <c r="CJ810" s="407">
        <v>-1023.43</v>
      </c>
      <c r="CK810" s="407"/>
      <c r="CL810" s="407"/>
      <c r="CM810" s="407"/>
      <c r="CN810" s="407"/>
      <c r="CO810" s="407">
        <v>-2046.8000000000002</v>
      </c>
      <c r="CP810" s="407">
        <v>0</v>
      </c>
      <c r="CQ810" s="407">
        <v>30</v>
      </c>
      <c r="CR810" s="407">
        <v>-75.862858053289159</v>
      </c>
      <c r="CS810" s="407">
        <v>0</v>
      </c>
      <c r="CT810" s="407">
        <v>0</v>
      </c>
      <c r="CU810" s="407">
        <v>0</v>
      </c>
      <c r="CV810" s="407">
        <v>0</v>
      </c>
      <c r="CW810" s="407"/>
      <c r="CX810" s="407"/>
      <c r="CY810" s="407"/>
      <c r="CZ810" s="407">
        <v>0</v>
      </c>
      <c r="DA810" s="407">
        <v>0</v>
      </c>
      <c r="DB810" s="407">
        <v>0</v>
      </c>
      <c r="DC810" s="407"/>
      <c r="DD810" s="407"/>
      <c r="DE810" s="407">
        <v>0</v>
      </c>
      <c r="DF810" s="407">
        <v>0</v>
      </c>
      <c r="DG810" s="407">
        <v>0</v>
      </c>
      <c r="DH810" s="407">
        <v>0</v>
      </c>
      <c r="DI810" s="407">
        <v>0</v>
      </c>
      <c r="DJ810" s="407"/>
      <c r="DK810" s="407">
        <v>0</v>
      </c>
      <c r="DL810" s="407">
        <v>0</v>
      </c>
      <c r="DM810" s="407"/>
      <c r="DN810" s="407">
        <v>0</v>
      </c>
      <c r="DO810" s="407">
        <v>0</v>
      </c>
      <c r="DP810" s="407">
        <v>-0.40319063910440001</v>
      </c>
      <c r="DQ810" s="407">
        <v>0</v>
      </c>
      <c r="DR810" s="407">
        <v>-75.459667414184764</v>
      </c>
      <c r="DS810" s="407"/>
      <c r="DT810" s="407"/>
      <c r="DU810" s="407">
        <v>3858.4903363416761</v>
      </c>
      <c r="DV810" s="407"/>
      <c r="DW810" s="407">
        <v>0</v>
      </c>
      <c r="DX810" s="407">
        <v>0</v>
      </c>
      <c r="DY810" s="407">
        <v>-2046.8</v>
      </c>
      <c r="DZ810" s="407"/>
      <c r="EA810" s="407">
        <v>0</v>
      </c>
      <c r="EB810" s="407"/>
      <c r="EC810" s="407">
        <v>-1970.9258256231014</v>
      </c>
      <c r="ED810" s="407"/>
      <c r="EE810" s="407">
        <v>0</v>
      </c>
      <c r="EF810" s="407">
        <v>0</v>
      </c>
      <c r="EG810" s="407"/>
      <c r="EH810" s="407">
        <v>0</v>
      </c>
      <c r="EI810" s="407">
        <v>0</v>
      </c>
      <c r="EJ810" s="407">
        <v>0</v>
      </c>
      <c r="EK810" s="407">
        <v>0</v>
      </c>
      <c r="EL810" s="407">
        <v>0</v>
      </c>
      <c r="EM810" s="407"/>
      <c r="EN810" s="407"/>
      <c r="EO810" s="407">
        <v>0</v>
      </c>
      <c r="EP810" s="407">
        <v>0</v>
      </c>
      <c r="EQ810" s="407"/>
      <c r="ER810" s="407">
        <v>0</v>
      </c>
      <c r="ES810" s="407"/>
      <c r="ET810" s="407">
        <v>0</v>
      </c>
      <c r="EU810" s="407"/>
      <c r="EV810" s="407">
        <v>246</v>
      </c>
      <c r="EW810" s="407"/>
      <c r="EX810" s="407"/>
      <c r="EY810" s="407"/>
      <c r="EZ810" s="407"/>
      <c r="FA810" s="407">
        <v>0</v>
      </c>
      <c r="FB810" s="407"/>
      <c r="FC810" s="407"/>
      <c r="FD810" s="407"/>
      <c r="FE810" s="407"/>
      <c r="FF810" s="407">
        <v>0</v>
      </c>
      <c r="FG810" s="407">
        <v>0</v>
      </c>
      <c r="FH810" s="407">
        <v>0</v>
      </c>
      <c r="FI810" s="407">
        <v>0</v>
      </c>
    </row>
    <row r="811" spans="1:165">
      <c r="A811" s="407">
        <v>842</v>
      </c>
      <c r="B811" s="407" t="s">
        <v>1090</v>
      </c>
      <c r="C811" s="407" t="s">
        <v>1044</v>
      </c>
      <c r="D811" s="407" t="s">
        <v>650</v>
      </c>
      <c r="E811" s="407" t="s">
        <v>97</v>
      </c>
      <c r="F811" s="407" t="s">
        <v>97</v>
      </c>
      <c r="G811" s="407" t="s">
        <v>97</v>
      </c>
      <c r="H811" s="407" t="s">
        <v>2335</v>
      </c>
      <c r="I811" s="407" t="s">
        <v>97</v>
      </c>
      <c r="J811" s="407" t="s">
        <v>2329</v>
      </c>
      <c r="K811" s="818">
        <v>44501</v>
      </c>
      <c r="L811" s="407">
        <v>730</v>
      </c>
      <c r="M811" s="407">
        <v>365</v>
      </c>
      <c r="N811" s="407">
        <v>0</v>
      </c>
      <c r="O811" s="407">
        <v>0</v>
      </c>
      <c r="P811" s="407">
        <v>0</v>
      </c>
      <c r="Q811" s="407">
        <v>0</v>
      </c>
      <c r="R811" s="407">
        <v>13.8</v>
      </c>
      <c r="S811" s="407"/>
      <c r="T811" s="407"/>
      <c r="U811" s="407">
        <v>10074</v>
      </c>
      <c r="V811" s="407"/>
      <c r="W811" s="407">
        <v>10074</v>
      </c>
      <c r="X811" s="407">
        <v>4737.7</v>
      </c>
      <c r="Y811" s="407">
        <v>0</v>
      </c>
      <c r="Z811" s="407">
        <v>0</v>
      </c>
      <c r="AA811" s="407">
        <v>0</v>
      </c>
      <c r="AB811" s="407">
        <v>0</v>
      </c>
      <c r="AC811" s="407">
        <v>0</v>
      </c>
      <c r="AD811" s="407">
        <v>0</v>
      </c>
      <c r="AE811" s="407">
        <v>10059.635519747941</v>
      </c>
      <c r="AF811" s="407"/>
      <c r="AG811" s="407"/>
      <c r="AH811" s="407"/>
      <c r="AI811" s="407">
        <v>0</v>
      </c>
      <c r="AJ811" s="407">
        <v>0</v>
      </c>
      <c r="AK811" s="407">
        <v>0</v>
      </c>
      <c r="AL811" s="407">
        <v>0</v>
      </c>
      <c r="AM811" s="407"/>
      <c r="AN811" s="407">
        <v>16.497417183321456</v>
      </c>
      <c r="AO811" s="407">
        <v>0</v>
      </c>
      <c r="AP811" s="407">
        <v>0</v>
      </c>
      <c r="AQ811" s="407">
        <v>0</v>
      </c>
      <c r="AR811" s="407">
        <v>0</v>
      </c>
      <c r="AS811" s="407"/>
      <c r="AT811" s="407"/>
      <c r="AU811" s="407">
        <v>0</v>
      </c>
      <c r="AV811" s="407">
        <v>0</v>
      </c>
      <c r="AW811" s="407">
        <v>0</v>
      </c>
      <c r="AX811" s="407"/>
      <c r="AY811" s="407"/>
      <c r="AZ811" s="407">
        <v>0</v>
      </c>
      <c r="BA811" s="407"/>
      <c r="BB811" s="407">
        <v>0</v>
      </c>
      <c r="BC811" s="407">
        <v>0</v>
      </c>
      <c r="BD811" s="407">
        <v>0</v>
      </c>
      <c r="BE811" s="407">
        <v>0</v>
      </c>
      <c r="BF811" s="407"/>
      <c r="BG811" s="407">
        <v>0</v>
      </c>
      <c r="BH811" s="407">
        <v>0</v>
      </c>
      <c r="BI811" s="407">
        <v>61.23</v>
      </c>
      <c r="BJ811" s="407">
        <v>0</v>
      </c>
      <c r="BK811" s="407">
        <v>0</v>
      </c>
      <c r="BL811" s="407">
        <v>0</v>
      </c>
      <c r="BM811" s="407"/>
      <c r="BN811" s="407"/>
      <c r="BO811" s="407">
        <v>2368.85</v>
      </c>
      <c r="BP811" s="407"/>
      <c r="BQ811" s="407"/>
      <c r="BR811" s="407"/>
      <c r="BS811" s="407"/>
      <c r="BT811" s="407"/>
      <c r="BU811" s="407"/>
      <c r="BV811" s="407">
        <v>0</v>
      </c>
      <c r="BW811" s="407"/>
      <c r="BX811" s="407"/>
      <c r="BY811" s="407"/>
      <c r="BZ811" s="407"/>
      <c r="CA811" s="407"/>
      <c r="CB811" s="407"/>
      <c r="CC811" s="407"/>
      <c r="CD811" s="407"/>
      <c r="CE811" s="407"/>
      <c r="CF811" s="407"/>
      <c r="CG811" s="407"/>
      <c r="CH811" s="407"/>
      <c r="CI811" s="407">
        <v>2368.85</v>
      </c>
      <c r="CJ811" s="407">
        <v>-2668.1800000000007</v>
      </c>
      <c r="CK811" s="407"/>
      <c r="CL811" s="407"/>
      <c r="CM811" s="407"/>
      <c r="CN811" s="407"/>
      <c r="CO811" s="407">
        <v>-5336.3</v>
      </c>
      <c r="CP811" s="407">
        <v>0</v>
      </c>
      <c r="CQ811" s="407">
        <v>30</v>
      </c>
      <c r="CR811" s="407">
        <v>-197.78530849607532</v>
      </c>
      <c r="CS811" s="407">
        <v>0</v>
      </c>
      <c r="CT811" s="407">
        <v>0</v>
      </c>
      <c r="CU811" s="407">
        <v>0</v>
      </c>
      <c r="CV811" s="407">
        <v>0</v>
      </c>
      <c r="CW811" s="407"/>
      <c r="CX811" s="407"/>
      <c r="CY811" s="407"/>
      <c r="CZ811" s="407">
        <v>0</v>
      </c>
      <c r="DA811" s="407">
        <v>0</v>
      </c>
      <c r="DB811" s="407">
        <v>0</v>
      </c>
      <c r="DC811" s="407"/>
      <c r="DD811" s="407"/>
      <c r="DE811" s="407">
        <v>0</v>
      </c>
      <c r="DF811" s="407">
        <v>0</v>
      </c>
      <c r="DG811" s="407">
        <v>0</v>
      </c>
      <c r="DH811" s="407">
        <v>0</v>
      </c>
      <c r="DI811" s="407">
        <v>0</v>
      </c>
      <c r="DJ811" s="407"/>
      <c r="DK811" s="407">
        <v>0</v>
      </c>
      <c r="DL811" s="407">
        <v>0</v>
      </c>
      <c r="DM811" s="407"/>
      <c r="DN811" s="407">
        <v>0</v>
      </c>
      <c r="DO811" s="407">
        <v>0</v>
      </c>
      <c r="DP811" s="407">
        <v>-1.0511755948078978</v>
      </c>
      <c r="DQ811" s="407">
        <v>0</v>
      </c>
      <c r="DR811" s="407">
        <v>-196.73413290126743</v>
      </c>
      <c r="DS811" s="407"/>
      <c r="DT811" s="407"/>
      <c r="DU811" s="407">
        <v>10059.635519747941</v>
      </c>
      <c r="DV811" s="407"/>
      <c r="DW811" s="407">
        <v>0</v>
      </c>
      <c r="DX811" s="407">
        <v>0</v>
      </c>
      <c r="DY811" s="407">
        <v>-5336.3</v>
      </c>
      <c r="DZ811" s="407"/>
      <c r="EA811" s="407">
        <v>0</v>
      </c>
      <c r="EB811" s="407"/>
      <c r="EC811" s="407">
        <v>-5138.485188231657</v>
      </c>
      <c r="ED811" s="407"/>
      <c r="EE811" s="407">
        <v>0</v>
      </c>
      <c r="EF811" s="407">
        <v>0</v>
      </c>
      <c r="EG811" s="407"/>
      <c r="EH811" s="407">
        <v>0</v>
      </c>
      <c r="EI811" s="407">
        <v>0</v>
      </c>
      <c r="EJ811" s="407">
        <v>0</v>
      </c>
      <c r="EK811" s="407">
        <v>0</v>
      </c>
      <c r="EL811" s="407">
        <v>0</v>
      </c>
      <c r="EM811" s="407"/>
      <c r="EN811" s="407"/>
      <c r="EO811" s="407">
        <v>0</v>
      </c>
      <c r="EP811" s="407">
        <v>0</v>
      </c>
      <c r="EQ811" s="407"/>
      <c r="ER811" s="407">
        <v>0</v>
      </c>
      <c r="ES811" s="407"/>
      <c r="ET811" s="407">
        <v>0</v>
      </c>
      <c r="EU811" s="407"/>
      <c r="EV811" s="407">
        <v>246</v>
      </c>
      <c r="EW811" s="407"/>
      <c r="EX811" s="407"/>
      <c r="EY811" s="407"/>
      <c r="EZ811" s="407"/>
      <c r="FA811" s="407">
        <v>0</v>
      </c>
      <c r="FB811" s="407"/>
      <c r="FC811" s="407"/>
      <c r="FD811" s="407"/>
      <c r="FE811" s="407"/>
      <c r="FF811" s="407">
        <v>0</v>
      </c>
      <c r="FG811" s="407">
        <v>0</v>
      </c>
      <c r="FH811" s="407">
        <v>0</v>
      </c>
      <c r="FI811" s="407">
        <v>0</v>
      </c>
    </row>
    <row r="812" spans="1:165">
      <c r="A812" s="407">
        <v>843</v>
      </c>
      <c r="B812" s="407" t="s">
        <v>1090</v>
      </c>
      <c r="C812" s="407" t="s">
        <v>1044</v>
      </c>
      <c r="D812" s="407" t="s">
        <v>650</v>
      </c>
      <c r="E812" s="407" t="s">
        <v>97</v>
      </c>
      <c r="F812" s="407" t="s">
        <v>97</v>
      </c>
      <c r="G812" s="407" t="s">
        <v>97</v>
      </c>
      <c r="H812" s="407" t="s">
        <v>2336</v>
      </c>
      <c r="I812" s="407" t="s">
        <v>97</v>
      </c>
      <c r="J812" s="407" t="s">
        <v>2329</v>
      </c>
      <c r="K812" s="818">
        <v>44501</v>
      </c>
      <c r="L812" s="407">
        <v>561</v>
      </c>
      <c r="M812" s="407">
        <v>280.5</v>
      </c>
      <c r="N812" s="407">
        <v>0</v>
      </c>
      <c r="O812" s="407">
        <v>0</v>
      </c>
      <c r="P812" s="407">
        <v>0</v>
      </c>
      <c r="Q812" s="407">
        <v>0</v>
      </c>
      <c r="R812" s="407">
        <v>13.8</v>
      </c>
      <c r="S812" s="407"/>
      <c r="T812" s="407"/>
      <c r="U812" s="407">
        <v>7741.8</v>
      </c>
      <c r="V812" s="407"/>
      <c r="W812" s="407">
        <v>7741.8</v>
      </c>
      <c r="X812" s="407">
        <v>3640.8900000000003</v>
      </c>
      <c r="Y812" s="407">
        <v>0</v>
      </c>
      <c r="Z812" s="407">
        <v>0</v>
      </c>
      <c r="AA812" s="407">
        <v>0</v>
      </c>
      <c r="AB812" s="407">
        <v>0</v>
      </c>
      <c r="AC812" s="407">
        <v>0</v>
      </c>
      <c r="AD812" s="407">
        <v>0</v>
      </c>
      <c r="AE812" s="407">
        <v>7730.7609953131432</v>
      </c>
      <c r="AF812" s="407"/>
      <c r="AG812" s="407"/>
      <c r="AH812" s="407"/>
      <c r="AI812" s="407">
        <v>0</v>
      </c>
      <c r="AJ812" s="407">
        <v>0</v>
      </c>
      <c r="AK812" s="407">
        <v>0</v>
      </c>
      <c r="AL812" s="407">
        <v>0</v>
      </c>
      <c r="AM812" s="407"/>
      <c r="AN812" s="407">
        <v>12.678152109374436</v>
      </c>
      <c r="AO812" s="407">
        <v>0</v>
      </c>
      <c r="AP812" s="407">
        <v>0</v>
      </c>
      <c r="AQ812" s="407">
        <v>0</v>
      </c>
      <c r="AR812" s="407">
        <v>0</v>
      </c>
      <c r="AS812" s="407"/>
      <c r="AT812" s="407"/>
      <c r="AU812" s="407">
        <v>0</v>
      </c>
      <c r="AV812" s="407">
        <v>0</v>
      </c>
      <c r="AW812" s="407">
        <v>0</v>
      </c>
      <c r="AX812" s="407"/>
      <c r="AY812" s="407"/>
      <c r="AZ812" s="407">
        <v>0</v>
      </c>
      <c r="BA812" s="407"/>
      <c r="BB812" s="407">
        <v>0</v>
      </c>
      <c r="BC812" s="407">
        <v>0</v>
      </c>
      <c r="BD812" s="407">
        <v>0</v>
      </c>
      <c r="BE812" s="407">
        <v>0</v>
      </c>
      <c r="BF812" s="407"/>
      <c r="BG812" s="407">
        <v>0</v>
      </c>
      <c r="BH812" s="407">
        <v>0</v>
      </c>
      <c r="BI812" s="407">
        <v>47.06</v>
      </c>
      <c r="BJ812" s="407">
        <v>0</v>
      </c>
      <c r="BK812" s="407">
        <v>0</v>
      </c>
      <c r="BL812" s="407">
        <v>0</v>
      </c>
      <c r="BM812" s="407"/>
      <c r="BN812" s="407"/>
      <c r="BO812" s="407">
        <v>1820.4450000000002</v>
      </c>
      <c r="BP812" s="407"/>
      <c r="BQ812" s="407"/>
      <c r="BR812" s="407"/>
      <c r="BS812" s="407"/>
      <c r="BT812" s="407"/>
      <c r="BU812" s="407"/>
      <c r="BV812" s="407">
        <v>0</v>
      </c>
      <c r="BW812" s="407"/>
      <c r="BX812" s="407"/>
      <c r="BY812" s="407"/>
      <c r="BZ812" s="407"/>
      <c r="CA812" s="407"/>
      <c r="CB812" s="407"/>
      <c r="CC812" s="407"/>
      <c r="CD812" s="407"/>
      <c r="CE812" s="407"/>
      <c r="CF812" s="407"/>
      <c r="CG812" s="407"/>
      <c r="CH812" s="407"/>
      <c r="CI812" s="407">
        <v>1820.4450000000002</v>
      </c>
      <c r="CJ812" s="407">
        <v>-2050.4850000000006</v>
      </c>
      <c r="CK812" s="407"/>
      <c r="CL812" s="407"/>
      <c r="CM812" s="407"/>
      <c r="CN812" s="407"/>
      <c r="CO812" s="407">
        <v>-4100.91</v>
      </c>
      <c r="CP812" s="407">
        <v>0</v>
      </c>
      <c r="CQ812" s="407">
        <v>30</v>
      </c>
      <c r="CR812" s="407">
        <v>-151.99665488534006</v>
      </c>
      <c r="CS812" s="407">
        <v>0</v>
      </c>
      <c r="CT812" s="407">
        <v>0</v>
      </c>
      <c r="CU812" s="407">
        <v>0</v>
      </c>
      <c r="CV812" s="407">
        <v>0</v>
      </c>
      <c r="CW812" s="407"/>
      <c r="CX812" s="407"/>
      <c r="CY812" s="407"/>
      <c r="CZ812" s="407">
        <v>0</v>
      </c>
      <c r="DA812" s="407">
        <v>0</v>
      </c>
      <c r="DB812" s="407">
        <v>0</v>
      </c>
      <c r="DC812" s="407"/>
      <c r="DD812" s="407"/>
      <c r="DE812" s="407">
        <v>0</v>
      </c>
      <c r="DF812" s="407">
        <v>0</v>
      </c>
      <c r="DG812" s="407">
        <v>0</v>
      </c>
      <c r="DH812" s="407">
        <v>0</v>
      </c>
      <c r="DI812" s="407">
        <v>0</v>
      </c>
      <c r="DJ812" s="407"/>
      <c r="DK812" s="407">
        <v>0</v>
      </c>
      <c r="DL812" s="407">
        <v>0</v>
      </c>
      <c r="DM812" s="407"/>
      <c r="DN812" s="407">
        <v>0</v>
      </c>
      <c r="DO812" s="407">
        <v>0</v>
      </c>
      <c r="DP812" s="407">
        <v>-0.80782124477702943</v>
      </c>
      <c r="DQ812" s="407">
        <v>0</v>
      </c>
      <c r="DR812" s="407">
        <v>-151.18883364056305</v>
      </c>
      <c r="DS812" s="407"/>
      <c r="DT812" s="407"/>
      <c r="DU812" s="407">
        <v>7730.7609953131432</v>
      </c>
      <c r="DV812" s="407"/>
      <c r="DW812" s="407">
        <v>0</v>
      </c>
      <c r="DX812" s="407">
        <v>0</v>
      </c>
      <c r="DY812" s="407">
        <v>-4100.91</v>
      </c>
      <c r="DZ812" s="407"/>
      <c r="EA812" s="407">
        <v>0</v>
      </c>
      <c r="EB812" s="407"/>
      <c r="EC812" s="407">
        <v>-3948.890672051999</v>
      </c>
      <c r="ED812" s="407"/>
      <c r="EE812" s="407">
        <v>0</v>
      </c>
      <c r="EF812" s="407">
        <v>0</v>
      </c>
      <c r="EG812" s="407"/>
      <c r="EH812" s="407">
        <v>0</v>
      </c>
      <c r="EI812" s="407">
        <v>0</v>
      </c>
      <c r="EJ812" s="407">
        <v>0</v>
      </c>
      <c r="EK812" s="407">
        <v>0</v>
      </c>
      <c r="EL812" s="407">
        <v>0</v>
      </c>
      <c r="EM812" s="407"/>
      <c r="EN812" s="407"/>
      <c r="EO812" s="407">
        <v>0</v>
      </c>
      <c r="EP812" s="407">
        <v>0</v>
      </c>
      <c r="EQ812" s="407"/>
      <c r="ER812" s="407">
        <v>0</v>
      </c>
      <c r="ES812" s="407"/>
      <c r="ET812" s="407">
        <v>0</v>
      </c>
      <c r="EU812" s="407"/>
      <c r="EV812" s="407">
        <v>246</v>
      </c>
      <c r="EW812" s="407"/>
      <c r="EX812" s="407"/>
      <c r="EY812" s="407"/>
      <c r="EZ812" s="407"/>
      <c r="FA812" s="407">
        <v>0</v>
      </c>
      <c r="FB812" s="407"/>
      <c r="FC812" s="407"/>
      <c r="FD812" s="407"/>
      <c r="FE812" s="407"/>
      <c r="FF812" s="407">
        <v>0</v>
      </c>
      <c r="FG812" s="407">
        <v>0</v>
      </c>
      <c r="FH812" s="407">
        <v>0</v>
      </c>
      <c r="FI812" s="407">
        <v>0</v>
      </c>
    </row>
    <row r="813" spans="1:165">
      <c r="A813" s="407">
        <v>844</v>
      </c>
      <c r="B813" s="407" t="s">
        <v>1090</v>
      </c>
      <c r="C813" s="407" t="s">
        <v>1044</v>
      </c>
      <c r="D813" s="407" t="s">
        <v>650</v>
      </c>
      <c r="E813" s="407" t="s">
        <v>97</v>
      </c>
      <c r="F813" s="407" t="s">
        <v>97</v>
      </c>
      <c r="G813" s="407" t="s">
        <v>97</v>
      </c>
      <c r="H813" s="407" t="s">
        <v>2337</v>
      </c>
      <c r="I813" s="407" t="s">
        <v>97</v>
      </c>
      <c r="J813" s="407" t="s">
        <v>2329</v>
      </c>
      <c r="K813" s="818">
        <v>44501</v>
      </c>
      <c r="L813" s="407">
        <v>379</v>
      </c>
      <c r="M813" s="407">
        <v>189.5</v>
      </c>
      <c r="N813" s="407">
        <v>0</v>
      </c>
      <c r="O813" s="407">
        <v>0</v>
      </c>
      <c r="P813" s="407">
        <v>0</v>
      </c>
      <c r="Q813" s="407">
        <v>0</v>
      </c>
      <c r="R813" s="407">
        <v>13.8</v>
      </c>
      <c r="S813" s="407"/>
      <c r="T813" s="407"/>
      <c r="U813" s="407">
        <v>5230.2</v>
      </c>
      <c r="V813" s="407"/>
      <c r="W813" s="407">
        <v>5230.2</v>
      </c>
      <c r="X813" s="407">
        <v>2459.71</v>
      </c>
      <c r="Y813" s="407">
        <v>0</v>
      </c>
      <c r="Z813" s="407">
        <v>0</v>
      </c>
      <c r="AA813" s="407">
        <v>0</v>
      </c>
      <c r="AB813" s="407">
        <v>0</v>
      </c>
      <c r="AC813" s="407">
        <v>0</v>
      </c>
      <c r="AD813" s="407">
        <v>0</v>
      </c>
      <c r="AE813" s="407">
        <v>5222.742276691054</v>
      </c>
      <c r="AF813" s="407"/>
      <c r="AG813" s="407"/>
      <c r="AH813" s="407"/>
      <c r="AI813" s="407">
        <v>0</v>
      </c>
      <c r="AJ813" s="407">
        <v>0</v>
      </c>
      <c r="AK813" s="407">
        <v>0</v>
      </c>
      <c r="AL813" s="407">
        <v>0</v>
      </c>
      <c r="AM813" s="407"/>
      <c r="AN813" s="407">
        <v>8.5650974143545646</v>
      </c>
      <c r="AO813" s="407">
        <v>0</v>
      </c>
      <c r="AP813" s="407">
        <v>0</v>
      </c>
      <c r="AQ813" s="407">
        <v>0</v>
      </c>
      <c r="AR813" s="407">
        <v>0</v>
      </c>
      <c r="AS813" s="407"/>
      <c r="AT813" s="407"/>
      <c r="AU813" s="407">
        <v>0</v>
      </c>
      <c r="AV813" s="407">
        <v>0</v>
      </c>
      <c r="AW813" s="407">
        <v>0</v>
      </c>
      <c r="AX813" s="407"/>
      <c r="AY813" s="407"/>
      <c r="AZ813" s="407">
        <v>0</v>
      </c>
      <c r="BA813" s="407"/>
      <c r="BB813" s="407">
        <v>0</v>
      </c>
      <c r="BC813" s="407">
        <v>0</v>
      </c>
      <c r="BD813" s="407">
        <v>0</v>
      </c>
      <c r="BE813" s="407">
        <v>0</v>
      </c>
      <c r="BF813" s="407"/>
      <c r="BG813" s="407">
        <v>0</v>
      </c>
      <c r="BH813" s="407">
        <v>0</v>
      </c>
      <c r="BI813" s="407">
        <v>31.79</v>
      </c>
      <c r="BJ813" s="407">
        <v>0</v>
      </c>
      <c r="BK813" s="407">
        <v>0</v>
      </c>
      <c r="BL813" s="407">
        <v>0</v>
      </c>
      <c r="BM813" s="407"/>
      <c r="BN813" s="407"/>
      <c r="BO813" s="407">
        <v>1229.855</v>
      </c>
      <c r="BP813" s="407"/>
      <c r="BQ813" s="407"/>
      <c r="BR813" s="407"/>
      <c r="BS813" s="407"/>
      <c r="BT813" s="407"/>
      <c r="BU813" s="407"/>
      <c r="BV813" s="407">
        <v>0</v>
      </c>
      <c r="BW813" s="407"/>
      <c r="BX813" s="407"/>
      <c r="BY813" s="407"/>
      <c r="BZ813" s="407"/>
      <c r="CA813" s="407"/>
      <c r="CB813" s="407"/>
      <c r="CC813" s="407"/>
      <c r="CD813" s="407"/>
      <c r="CE813" s="407"/>
      <c r="CF813" s="407"/>
      <c r="CG813" s="407"/>
      <c r="CH813" s="407"/>
      <c r="CI813" s="407">
        <v>1229.855</v>
      </c>
      <c r="CJ813" s="407">
        <v>-1385.2750000000005</v>
      </c>
      <c r="CK813" s="407"/>
      <c r="CL813" s="407"/>
      <c r="CM813" s="407"/>
      <c r="CN813" s="407"/>
      <c r="CO813" s="407">
        <v>-2770.4900000000002</v>
      </c>
      <c r="CP813" s="407">
        <v>0</v>
      </c>
      <c r="CQ813" s="407">
        <v>30</v>
      </c>
      <c r="CR813" s="407">
        <v>-102.68579715070211</v>
      </c>
      <c r="CS813" s="407">
        <v>0</v>
      </c>
      <c r="CT813" s="407">
        <v>0</v>
      </c>
      <c r="CU813" s="407">
        <v>0</v>
      </c>
      <c r="CV813" s="407">
        <v>0</v>
      </c>
      <c r="CW813" s="407"/>
      <c r="CX813" s="407"/>
      <c r="CY813" s="407"/>
      <c r="CZ813" s="407">
        <v>0</v>
      </c>
      <c r="DA813" s="407">
        <v>0</v>
      </c>
      <c r="DB813" s="407">
        <v>0</v>
      </c>
      <c r="DC813" s="407"/>
      <c r="DD813" s="407"/>
      <c r="DE813" s="407">
        <v>0</v>
      </c>
      <c r="DF813" s="407">
        <v>0</v>
      </c>
      <c r="DG813" s="407">
        <v>0</v>
      </c>
      <c r="DH813" s="407">
        <v>0</v>
      </c>
      <c r="DI813" s="407">
        <v>0</v>
      </c>
      <c r="DJ813" s="407"/>
      <c r="DK813" s="407">
        <v>0</v>
      </c>
      <c r="DL813" s="407">
        <v>0</v>
      </c>
      <c r="DM813" s="407"/>
      <c r="DN813" s="407">
        <v>0</v>
      </c>
      <c r="DO813" s="407">
        <v>0</v>
      </c>
      <c r="DP813" s="407">
        <v>-0.5457473293591697</v>
      </c>
      <c r="DQ813" s="407">
        <v>0</v>
      </c>
      <c r="DR813" s="407">
        <v>-102.14004982134294</v>
      </c>
      <c r="DS813" s="407"/>
      <c r="DT813" s="407"/>
      <c r="DU813" s="407">
        <v>5222.742276691054</v>
      </c>
      <c r="DV813" s="407"/>
      <c r="DW813" s="407">
        <v>0</v>
      </c>
      <c r="DX813" s="407">
        <v>0</v>
      </c>
      <c r="DY813" s="407">
        <v>-2770.49</v>
      </c>
      <c r="DZ813" s="407"/>
      <c r="EA813" s="407">
        <v>0</v>
      </c>
      <c r="EB813" s="407"/>
      <c r="EC813" s="407">
        <v>-2667.7888853969835</v>
      </c>
      <c r="ED813" s="407"/>
      <c r="EE813" s="407">
        <v>0</v>
      </c>
      <c r="EF813" s="407">
        <v>0</v>
      </c>
      <c r="EG813" s="407"/>
      <c r="EH813" s="407">
        <v>0</v>
      </c>
      <c r="EI813" s="407">
        <v>0</v>
      </c>
      <c r="EJ813" s="407">
        <v>0</v>
      </c>
      <c r="EK813" s="407">
        <v>0</v>
      </c>
      <c r="EL813" s="407">
        <v>0</v>
      </c>
      <c r="EM813" s="407"/>
      <c r="EN813" s="407"/>
      <c r="EO813" s="407">
        <v>0</v>
      </c>
      <c r="EP813" s="407">
        <v>0</v>
      </c>
      <c r="EQ813" s="407"/>
      <c r="ER813" s="407">
        <v>0</v>
      </c>
      <c r="ES813" s="407"/>
      <c r="ET813" s="407">
        <v>0</v>
      </c>
      <c r="EU813" s="407"/>
      <c r="EV813" s="407">
        <v>246</v>
      </c>
      <c r="EW813" s="407"/>
      <c r="EX813" s="407"/>
      <c r="EY813" s="407"/>
      <c r="EZ813" s="407"/>
      <c r="FA813" s="407">
        <v>0</v>
      </c>
      <c r="FB813" s="407"/>
      <c r="FC813" s="407"/>
      <c r="FD813" s="407"/>
      <c r="FE813" s="407"/>
      <c r="FF813" s="407">
        <v>0</v>
      </c>
      <c r="FG813" s="407">
        <v>0</v>
      </c>
      <c r="FH813" s="407">
        <v>0</v>
      </c>
      <c r="FI813" s="407">
        <v>0</v>
      </c>
    </row>
    <row r="814" spans="1:165">
      <c r="A814" s="407">
        <v>845</v>
      </c>
      <c r="B814" s="407" t="s">
        <v>1090</v>
      </c>
      <c r="C814" s="407" t="s">
        <v>1044</v>
      </c>
      <c r="D814" s="407" t="s">
        <v>650</v>
      </c>
      <c r="E814" s="407" t="s">
        <v>97</v>
      </c>
      <c r="F814" s="407" t="s">
        <v>97</v>
      </c>
      <c r="G814" s="407" t="s">
        <v>97</v>
      </c>
      <c r="H814" s="407" t="s">
        <v>2338</v>
      </c>
      <c r="I814" s="407" t="s">
        <v>97</v>
      </c>
      <c r="J814" s="407" t="s">
        <v>2329</v>
      </c>
      <c r="K814" s="818">
        <v>44501</v>
      </c>
      <c r="L814" s="407">
        <v>718</v>
      </c>
      <c r="M814" s="407">
        <v>359</v>
      </c>
      <c r="N814" s="407">
        <v>0</v>
      </c>
      <c r="O814" s="407">
        <v>0</v>
      </c>
      <c r="P814" s="407">
        <v>0</v>
      </c>
      <c r="Q814" s="407">
        <v>0</v>
      </c>
      <c r="R814" s="407">
        <v>13.8</v>
      </c>
      <c r="S814" s="407"/>
      <c r="T814" s="407"/>
      <c r="U814" s="407">
        <v>9908.4</v>
      </c>
      <c r="V814" s="407"/>
      <c r="W814" s="407">
        <v>9908.4</v>
      </c>
      <c r="X814" s="407">
        <v>4659.82</v>
      </c>
      <c r="Y814" s="407">
        <v>0</v>
      </c>
      <c r="Z814" s="407">
        <v>0</v>
      </c>
      <c r="AA814" s="407">
        <v>0</v>
      </c>
      <c r="AB814" s="407">
        <v>0</v>
      </c>
      <c r="AC814" s="407">
        <v>0</v>
      </c>
      <c r="AD814" s="407">
        <v>0</v>
      </c>
      <c r="AE814" s="407">
        <v>9894.2716481904408</v>
      </c>
      <c r="AF814" s="407"/>
      <c r="AG814" s="407"/>
      <c r="AH814" s="407"/>
      <c r="AI814" s="407">
        <v>0</v>
      </c>
      <c r="AJ814" s="407">
        <v>0</v>
      </c>
      <c r="AK814" s="407">
        <v>0</v>
      </c>
      <c r="AL814" s="407">
        <v>0</v>
      </c>
      <c r="AM814" s="407"/>
      <c r="AN814" s="407">
        <v>16.226226763869597</v>
      </c>
      <c r="AO814" s="407">
        <v>0</v>
      </c>
      <c r="AP814" s="407">
        <v>0</v>
      </c>
      <c r="AQ814" s="407">
        <v>0</v>
      </c>
      <c r="AR814" s="407">
        <v>0</v>
      </c>
      <c r="AS814" s="407"/>
      <c r="AT814" s="407"/>
      <c r="AU814" s="407">
        <v>0</v>
      </c>
      <c r="AV814" s="407">
        <v>0</v>
      </c>
      <c r="AW814" s="407">
        <v>0</v>
      </c>
      <c r="AX814" s="407"/>
      <c r="AY814" s="407"/>
      <c r="AZ814" s="407">
        <v>0</v>
      </c>
      <c r="BA814" s="407"/>
      <c r="BB814" s="407">
        <v>0</v>
      </c>
      <c r="BC814" s="407">
        <v>0</v>
      </c>
      <c r="BD814" s="407">
        <v>0</v>
      </c>
      <c r="BE814" s="407">
        <v>0</v>
      </c>
      <c r="BF814" s="407"/>
      <c r="BG814" s="407">
        <v>0</v>
      </c>
      <c r="BH814" s="407">
        <v>0</v>
      </c>
      <c r="BI814" s="407">
        <v>60.23</v>
      </c>
      <c r="BJ814" s="407">
        <v>0</v>
      </c>
      <c r="BK814" s="407">
        <v>0</v>
      </c>
      <c r="BL814" s="407">
        <v>0</v>
      </c>
      <c r="BM814" s="407"/>
      <c r="BN814" s="407"/>
      <c r="BO814" s="407">
        <v>2329.91</v>
      </c>
      <c r="BP814" s="407"/>
      <c r="BQ814" s="407"/>
      <c r="BR814" s="407"/>
      <c r="BS814" s="407"/>
      <c r="BT814" s="407"/>
      <c r="BU814" s="407"/>
      <c r="BV814" s="407">
        <v>0</v>
      </c>
      <c r="BW814" s="407"/>
      <c r="BX814" s="407"/>
      <c r="BY814" s="407"/>
      <c r="BZ814" s="407"/>
      <c r="CA814" s="407"/>
      <c r="CB814" s="407"/>
      <c r="CC814" s="407"/>
      <c r="CD814" s="407"/>
      <c r="CE814" s="407"/>
      <c r="CF814" s="407"/>
      <c r="CG814" s="407"/>
      <c r="CH814" s="407"/>
      <c r="CI814" s="407">
        <v>2329.91</v>
      </c>
      <c r="CJ814" s="407">
        <v>-2624.3200000000006</v>
      </c>
      <c r="CK814" s="407"/>
      <c r="CL814" s="407"/>
      <c r="CM814" s="407"/>
      <c r="CN814" s="407"/>
      <c r="CO814" s="407">
        <v>-5248.58</v>
      </c>
      <c r="CP814" s="407">
        <v>0</v>
      </c>
      <c r="CQ814" s="407">
        <v>30</v>
      </c>
      <c r="CR814" s="407">
        <v>-194.53404315093434</v>
      </c>
      <c r="CS814" s="407">
        <v>0</v>
      </c>
      <c r="CT814" s="407">
        <v>0</v>
      </c>
      <c r="CU814" s="407">
        <v>0</v>
      </c>
      <c r="CV814" s="407">
        <v>0</v>
      </c>
      <c r="CW814" s="407"/>
      <c r="CX814" s="407"/>
      <c r="CY814" s="407"/>
      <c r="CZ814" s="407">
        <v>0</v>
      </c>
      <c r="DA814" s="407">
        <v>0</v>
      </c>
      <c r="DB814" s="407">
        <v>0</v>
      </c>
      <c r="DC814" s="407"/>
      <c r="DD814" s="407"/>
      <c r="DE814" s="407">
        <v>0</v>
      </c>
      <c r="DF814" s="407">
        <v>0</v>
      </c>
      <c r="DG814" s="407">
        <v>0</v>
      </c>
      <c r="DH814" s="407">
        <v>0</v>
      </c>
      <c r="DI814" s="407">
        <v>0</v>
      </c>
      <c r="DJ814" s="407"/>
      <c r="DK814" s="407">
        <v>0</v>
      </c>
      <c r="DL814" s="407">
        <v>0</v>
      </c>
      <c r="DM814" s="407"/>
      <c r="DN814" s="407">
        <v>0</v>
      </c>
      <c r="DO814" s="407">
        <v>0</v>
      </c>
      <c r="DP814" s="407">
        <v>-1.0338959959891376</v>
      </c>
      <c r="DQ814" s="407">
        <v>0</v>
      </c>
      <c r="DR814" s="407">
        <v>-193.50014715494521</v>
      </c>
      <c r="DS814" s="407"/>
      <c r="DT814" s="407"/>
      <c r="DU814" s="407">
        <v>9894.2716481904408</v>
      </c>
      <c r="DV814" s="407"/>
      <c r="DW814" s="407">
        <v>0</v>
      </c>
      <c r="DX814" s="407">
        <v>0</v>
      </c>
      <c r="DY814" s="407">
        <v>-5248.58</v>
      </c>
      <c r="DZ814" s="407"/>
      <c r="EA814" s="407">
        <v>0</v>
      </c>
      <c r="EB814" s="407"/>
      <c r="EC814" s="407">
        <v>-5054.0169385620957</v>
      </c>
      <c r="ED814" s="407"/>
      <c r="EE814" s="407">
        <v>0</v>
      </c>
      <c r="EF814" s="407">
        <v>0</v>
      </c>
      <c r="EG814" s="407"/>
      <c r="EH814" s="407">
        <v>0</v>
      </c>
      <c r="EI814" s="407">
        <v>0</v>
      </c>
      <c r="EJ814" s="407">
        <v>0</v>
      </c>
      <c r="EK814" s="407">
        <v>0</v>
      </c>
      <c r="EL814" s="407">
        <v>0</v>
      </c>
      <c r="EM814" s="407"/>
      <c r="EN814" s="407"/>
      <c r="EO814" s="407">
        <v>0</v>
      </c>
      <c r="EP814" s="407">
        <v>0</v>
      </c>
      <c r="EQ814" s="407"/>
      <c r="ER814" s="407">
        <v>0</v>
      </c>
      <c r="ES814" s="407"/>
      <c r="ET814" s="407">
        <v>0</v>
      </c>
      <c r="EU814" s="407"/>
      <c r="EV814" s="407">
        <v>246</v>
      </c>
      <c r="EW814" s="407"/>
      <c r="EX814" s="407"/>
      <c r="EY814" s="407"/>
      <c r="EZ814" s="407"/>
      <c r="FA814" s="407">
        <v>0</v>
      </c>
      <c r="FB814" s="407"/>
      <c r="FC814" s="407"/>
      <c r="FD814" s="407"/>
      <c r="FE814" s="407"/>
      <c r="FF814" s="407">
        <v>0</v>
      </c>
      <c r="FG814" s="407">
        <v>0</v>
      </c>
      <c r="FH814" s="407">
        <v>0</v>
      </c>
      <c r="FI814" s="407">
        <v>0</v>
      </c>
    </row>
    <row r="815" spans="1:165">
      <c r="A815" s="407">
        <v>846</v>
      </c>
      <c r="B815" s="407" t="s">
        <v>1090</v>
      </c>
      <c r="C815" s="407" t="s">
        <v>1044</v>
      </c>
      <c r="D815" s="407" t="s">
        <v>650</v>
      </c>
      <c r="E815" s="407" t="s">
        <v>97</v>
      </c>
      <c r="F815" s="407" t="s">
        <v>97</v>
      </c>
      <c r="G815" s="407" t="s">
        <v>97</v>
      </c>
      <c r="H815" s="407" t="s">
        <v>2328</v>
      </c>
      <c r="I815" s="407" t="s">
        <v>97</v>
      </c>
      <c r="J815" s="407" t="s">
        <v>2329</v>
      </c>
      <c r="K815" s="818">
        <v>44531</v>
      </c>
      <c r="L815" s="407">
        <v>880</v>
      </c>
      <c r="M815" s="407">
        <v>440</v>
      </c>
      <c r="N815" s="407">
        <v>0</v>
      </c>
      <c r="O815" s="407">
        <v>0</v>
      </c>
      <c r="P815" s="407">
        <v>0</v>
      </c>
      <c r="Q815" s="407">
        <v>0</v>
      </c>
      <c r="R815" s="407">
        <v>13.8</v>
      </c>
      <c r="S815" s="407"/>
      <c r="T815" s="407"/>
      <c r="U815" s="407">
        <v>12144</v>
      </c>
      <c r="V815" s="407"/>
      <c r="W815" s="407">
        <v>12144</v>
      </c>
      <c r="X815" s="407">
        <v>5711.2</v>
      </c>
      <c r="Y815" s="407">
        <v>0</v>
      </c>
      <c r="Z815" s="407">
        <v>0</v>
      </c>
      <c r="AA815" s="407">
        <v>0</v>
      </c>
      <c r="AB815" s="407">
        <v>0</v>
      </c>
      <c r="AC815" s="407">
        <v>0</v>
      </c>
      <c r="AD815" s="407">
        <v>0</v>
      </c>
      <c r="AE815" s="407">
        <v>12126.683914216695</v>
      </c>
      <c r="AF815" s="407"/>
      <c r="AG815" s="407"/>
      <c r="AH815" s="407"/>
      <c r="AI815" s="407">
        <v>0</v>
      </c>
      <c r="AJ815" s="407">
        <v>0</v>
      </c>
      <c r="AK815" s="407">
        <v>0</v>
      </c>
      <c r="AL815" s="407">
        <v>0</v>
      </c>
      <c r="AM815" s="407"/>
      <c r="AN815" s="407">
        <v>19.887297426469704</v>
      </c>
      <c r="AO815" s="407">
        <v>0</v>
      </c>
      <c r="AP815" s="407">
        <v>0</v>
      </c>
      <c r="AQ815" s="407">
        <v>0</v>
      </c>
      <c r="AR815" s="407">
        <v>0</v>
      </c>
      <c r="AS815" s="407"/>
      <c r="AT815" s="407"/>
      <c r="AU815" s="407">
        <v>0</v>
      </c>
      <c r="AV815" s="407">
        <v>0</v>
      </c>
      <c r="AW815" s="407">
        <v>0</v>
      </c>
      <c r="AX815" s="407"/>
      <c r="AY815" s="407"/>
      <c r="AZ815" s="407">
        <v>0</v>
      </c>
      <c r="BA815" s="407"/>
      <c r="BB815" s="407">
        <v>0</v>
      </c>
      <c r="BC815" s="407">
        <v>0</v>
      </c>
      <c r="BD815" s="407">
        <v>0</v>
      </c>
      <c r="BE815" s="407">
        <v>0</v>
      </c>
      <c r="BF815" s="407"/>
      <c r="BG815" s="407">
        <v>0</v>
      </c>
      <c r="BH815" s="407">
        <v>0</v>
      </c>
      <c r="BI815" s="407">
        <v>36.43</v>
      </c>
      <c r="BJ815" s="407">
        <v>0</v>
      </c>
      <c r="BK815" s="407">
        <v>0</v>
      </c>
      <c r="BL815" s="407">
        <v>0</v>
      </c>
      <c r="BM815" s="407"/>
      <c r="BN815" s="407"/>
      <c r="BO815" s="407">
        <v>2855.6</v>
      </c>
      <c r="BP815" s="407"/>
      <c r="BQ815" s="407"/>
      <c r="BR815" s="407"/>
      <c r="BS815" s="407"/>
      <c r="BT815" s="407"/>
      <c r="BU815" s="407"/>
      <c r="BV815" s="407">
        <v>0</v>
      </c>
      <c r="BW815" s="407"/>
      <c r="BX815" s="407"/>
      <c r="BY815" s="407"/>
      <c r="BZ815" s="407"/>
      <c r="CA815" s="407"/>
      <c r="CB815" s="407"/>
      <c r="CC815" s="407"/>
      <c r="CD815" s="407"/>
      <c r="CE815" s="407"/>
      <c r="CF815" s="407"/>
      <c r="CG815" s="407"/>
      <c r="CH815" s="407"/>
      <c r="CI815" s="407">
        <v>2855.6</v>
      </c>
      <c r="CJ815" s="407">
        <v>-3216.4300000000007</v>
      </c>
      <c r="CK815" s="407"/>
      <c r="CL815" s="407"/>
      <c r="CM815" s="407"/>
      <c r="CN815" s="407"/>
      <c r="CO815" s="407">
        <v>-6432.8</v>
      </c>
      <c r="CP815" s="407">
        <v>0</v>
      </c>
      <c r="CQ815" s="407"/>
      <c r="CR815" s="407">
        <v>-238.42612531033737</v>
      </c>
      <c r="CS815" s="407">
        <v>0</v>
      </c>
      <c r="CT815" s="407">
        <v>0</v>
      </c>
      <c r="CU815" s="407">
        <v>0</v>
      </c>
      <c r="CV815" s="407">
        <v>0</v>
      </c>
      <c r="CW815" s="407"/>
      <c r="CX815" s="407"/>
      <c r="CY815" s="407"/>
      <c r="CZ815" s="407">
        <v>0</v>
      </c>
      <c r="DA815" s="407">
        <v>0</v>
      </c>
      <c r="DB815" s="407">
        <v>0</v>
      </c>
      <c r="DC815" s="407"/>
      <c r="DD815" s="407"/>
      <c r="DE815" s="407">
        <v>0</v>
      </c>
      <c r="DF815" s="407">
        <v>0</v>
      </c>
      <c r="DG815" s="407">
        <v>0</v>
      </c>
      <c r="DH815" s="407">
        <v>0</v>
      </c>
      <c r="DI815" s="407">
        <v>0</v>
      </c>
      <c r="DJ815" s="407"/>
      <c r="DK815" s="407">
        <v>0</v>
      </c>
      <c r="DL815" s="407">
        <v>0</v>
      </c>
      <c r="DM815" s="407"/>
      <c r="DN815" s="407">
        <v>0</v>
      </c>
      <c r="DO815" s="407">
        <v>0</v>
      </c>
      <c r="DP815" s="407">
        <v>-1.2671705800424</v>
      </c>
      <c r="DQ815" s="407">
        <v>0</v>
      </c>
      <c r="DR815" s="407">
        <v>-237.15895473029497</v>
      </c>
      <c r="DS815" s="407"/>
      <c r="DT815" s="407"/>
      <c r="DU815" s="407">
        <v>12126.683914216695</v>
      </c>
      <c r="DV815" s="407"/>
      <c r="DW815" s="407">
        <v>0</v>
      </c>
      <c r="DX815" s="407">
        <v>0</v>
      </c>
      <c r="DY815" s="407">
        <v>-6432.8</v>
      </c>
      <c r="DZ815" s="407"/>
      <c r="EA815" s="407">
        <v>0</v>
      </c>
      <c r="EB815" s="407"/>
      <c r="EC815" s="407">
        <v>-6194.3383091011747</v>
      </c>
      <c r="ED815" s="407"/>
      <c r="EE815" s="407">
        <v>0</v>
      </c>
      <c r="EF815" s="407">
        <v>0</v>
      </c>
      <c r="EG815" s="407"/>
      <c r="EH815" s="407">
        <v>0</v>
      </c>
      <c r="EI815" s="407">
        <v>0</v>
      </c>
      <c r="EJ815" s="407">
        <v>0</v>
      </c>
      <c r="EK815" s="407">
        <v>0</v>
      </c>
      <c r="EL815" s="407">
        <v>0</v>
      </c>
      <c r="EM815" s="407"/>
      <c r="EN815" s="407"/>
      <c r="EO815" s="407">
        <v>0</v>
      </c>
      <c r="EP815" s="407">
        <v>0</v>
      </c>
      <c r="EQ815" s="407"/>
      <c r="ER815" s="407">
        <v>0</v>
      </c>
      <c r="ES815" s="407"/>
      <c r="ET815" s="407">
        <v>0</v>
      </c>
      <c r="EU815" s="407"/>
      <c r="EV815" s="407">
        <v>246</v>
      </c>
      <c r="EW815" s="407"/>
      <c r="EX815" s="407"/>
      <c r="EY815" s="407"/>
      <c r="EZ815" s="407"/>
      <c r="FA815" s="407">
        <v>0</v>
      </c>
      <c r="FB815" s="407"/>
      <c r="FC815" s="407"/>
      <c r="FD815" s="407"/>
      <c r="FE815" s="407"/>
      <c r="FF815" s="407">
        <v>0</v>
      </c>
      <c r="FG815" s="407">
        <v>0</v>
      </c>
      <c r="FH815" s="407">
        <v>0</v>
      </c>
      <c r="FI815" s="407">
        <v>0</v>
      </c>
    </row>
    <row r="816" spans="1:165">
      <c r="A816" s="407">
        <v>847</v>
      </c>
      <c r="B816" s="407" t="s">
        <v>1090</v>
      </c>
      <c r="C816" s="407" t="s">
        <v>1044</v>
      </c>
      <c r="D816" s="407" t="s">
        <v>650</v>
      </c>
      <c r="E816" s="407" t="s">
        <v>97</v>
      </c>
      <c r="F816" s="407" t="s">
        <v>97</v>
      </c>
      <c r="G816" s="407" t="s">
        <v>97</v>
      </c>
      <c r="H816" s="407" t="s">
        <v>2330</v>
      </c>
      <c r="I816" s="407" t="s">
        <v>97</v>
      </c>
      <c r="J816" s="407" t="s">
        <v>2329</v>
      </c>
      <c r="K816" s="818">
        <v>44531</v>
      </c>
      <c r="L816" s="407">
        <v>520</v>
      </c>
      <c r="M816" s="407">
        <v>260</v>
      </c>
      <c r="N816" s="407">
        <v>0</v>
      </c>
      <c r="O816" s="407">
        <v>0</v>
      </c>
      <c r="P816" s="407">
        <v>0</v>
      </c>
      <c r="Q816" s="407">
        <v>0</v>
      </c>
      <c r="R816" s="407">
        <v>13.8</v>
      </c>
      <c r="S816" s="407"/>
      <c r="T816" s="407"/>
      <c r="U816" s="407">
        <v>7176</v>
      </c>
      <c r="V816" s="407"/>
      <c r="W816" s="407">
        <v>7176</v>
      </c>
      <c r="X816" s="407">
        <v>3374.8</v>
      </c>
      <c r="Y816" s="407">
        <v>0</v>
      </c>
      <c r="Z816" s="407">
        <v>0</v>
      </c>
      <c r="AA816" s="407">
        <v>0</v>
      </c>
      <c r="AB816" s="407">
        <v>0</v>
      </c>
      <c r="AC816" s="407">
        <v>0</v>
      </c>
      <c r="AD816" s="407">
        <v>0</v>
      </c>
      <c r="AE816" s="407">
        <v>7165.767767491684</v>
      </c>
      <c r="AF816" s="407"/>
      <c r="AG816" s="407"/>
      <c r="AH816" s="407"/>
      <c r="AI816" s="407">
        <v>0</v>
      </c>
      <c r="AJ816" s="407">
        <v>0</v>
      </c>
      <c r="AK816" s="407">
        <v>0</v>
      </c>
      <c r="AL816" s="407">
        <v>0</v>
      </c>
      <c r="AM816" s="407"/>
      <c r="AN816" s="407">
        <v>11.751584842913916</v>
      </c>
      <c r="AO816" s="407">
        <v>0</v>
      </c>
      <c r="AP816" s="407">
        <v>0</v>
      </c>
      <c r="AQ816" s="407">
        <v>0</v>
      </c>
      <c r="AR816" s="407">
        <v>0</v>
      </c>
      <c r="AS816" s="407"/>
      <c r="AT816" s="407"/>
      <c r="AU816" s="407">
        <v>0</v>
      </c>
      <c r="AV816" s="407">
        <v>0</v>
      </c>
      <c r="AW816" s="407">
        <v>0</v>
      </c>
      <c r="AX816" s="407"/>
      <c r="AY816" s="407"/>
      <c r="AZ816" s="407">
        <v>0</v>
      </c>
      <c r="BA816" s="407"/>
      <c r="BB816" s="407">
        <v>0</v>
      </c>
      <c r="BC816" s="407">
        <v>0</v>
      </c>
      <c r="BD816" s="407">
        <v>0</v>
      </c>
      <c r="BE816" s="407">
        <v>0</v>
      </c>
      <c r="BF816" s="407"/>
      <c r="BG816" s="407">
        <v>0</v>
      </c>
      <c r="BH816" s="407">
        <v>0</v>
      </c>
      <c r="BI816" s="407">
        <v>21.52</v>
      </c>
      <c r="BJ816" s="407">
        <v>0</v>
      </c>
      <c r="BK816" s="407">
        <v>0</v>
      </c>
      <c r="BL816" s="407">
        <v>0</v>
      </c>
      <c r="BM816" s="407"/>
      <c r="BN816" s="407"/>
      <c r="BO816" s="407">
        <v>1687.4</v>
      </c>
      <c r="BP816" s="407"/>
      <c r="BQ816" s="407"/>
      <c r="BR816" s="407"/>
      <c r="BS816" s="407"/>
      <c r="BT816" s="407"/>
      <c r="BU816" s="407"/>
      <c r="BV816" s="407">
        <v>0</v>
      </c>
      <c r="BW816" s="407"/>
      <c r="BX816" s="407"/>
      <c r="BY816" s="407"/>
      <c r="BZ816" s="407"/>
      <c r="CA816" s="407"/>
      <c r="CB816" s="407"/>
      <c r="CC816" s="407"/>
      <c r="CD816" s="407"/>
      <c r="CE816" s="407"/>
      <c r="CF816" s="407"/>
      <c r="CG816" s="407"/>
      <c r="CH816" s="407"/>
      <c r="CI816" s="407">
        <v>1687.4</v>
      </c>
      <c r="CJ816" s="407">
        <v>-1900.6300000000006</v>
      </c>
      <c r="CK816" s="407"/>
      <c r="CL816" s="407"/>
      <c r="CM816" s="407"/>
      <c r="CN816" s="407"/>
      <c r="CO816" s="407">
        <v>-3801.2000000000003</v>
      </c>
      <c r="CP816" s="407">
        <v>0</v>
      </c>
      <c r="CQ816" s="407"/>
      <c r="CR816" s="407">
        <v>-140.88816495610848</v>
      </c>
      <c r="CS816" s="407">
        <v>0</v>
      </c>
      <c r="CT816" s="407">
        <v>0</v>
      </c>
      <c r="CU816" s="407">
        <v>0</v>
      </c>
      <c r="CV816" s="407">
        <v>0</v>
      </c>
      <c r="CW816" s="407"/>
      <c r="CX816" s="407"/>
      <c r="CY816" s="407"/>
      <c r="CZ816" s="407">
        <v>0</v>
      </c>
      <c r="DA816" s="407">
        <v>0</v>
      </c>
      <c r="DB816" s="407">
        <v>0</v>
      </c>
      <c r="DC816" s="407"/>
      <c r="DD816" s="407"/>
      <c r="DE816" s="407">
        <v>0</v>
      </c>
      <c r="DF816" s="407">
        <v>0</v>
      </c>
      <c r="DG816" s="407">
        <v>0</v>
      </c>
      <c r="DH816" s="407">
        <v>0</v>
      </c>
      <c r="DI816" s="407">
        <v>0</v>
      </c>
      <c r="DJ816" s="407"/>
      <c r="DK816" s="407">
        <v>0</v>
      </c>
      <c r="DL816" s="407">
        <v>0</v>
      </c>
      <c r="DM816" s="407"/>
      <c r="DN816" s="407">
        <v>0</v>
      </c>
      <c r="DO816" s="407">
        <v>0</v>
      </c>
      <c r="DP816" s="407">
        <v>-0.74878261547960001</v>
      </c>
      <c r="DQ816" s="407">
        <v>0</v>
      </c>
      <c r="DR816" s="407">
        <v>-140.13938234062886</v>
      </c>
      <c r="DS816" s="407"/>
      <c r="DT816" s="407"/>
      <c r="DU816" s="407">
        <v>7165.767767491684</v>
      </c>
      <c r="DV816" s="407"/>
      <c r="DW816" s="407">
        <v>0</v>
      </c>
      <c r="DX816" s="407">
        <v>0</v>
      </c>
      <c r="DY816" s="407">
        <v>-3801.2</v>
      </c>
      <c r="DZ816" s="407"/>
      <c r="EA816" s="407">
        <v>0</v>
      </c>
      <c r="EB816" s="407"/>
      <c r="EC816" s="407">
        <v>-3660.2908190143312</v>
      </c>
      <c r="ED816" s="407"/>
      <c r="EE816" s="407">
        <v>0</v>
      </c>
      <c r="EF816" s="407">
        <v>0</v>
      </c>
      <c r="EG816" s="407"/>
      <c r="EH816" s="407">
        <v>0</v>
      </c>
      <c r="EI816" s="407">
        <v>0</v>
      </c>
      <c r="EJ816" s="407">
        <v>0</v>
      </c>
      <c r="EK816" s="407">
        <v>0</v>
      </c>
      <c r="EL816" s="407">
        <v>0</v>
      </c>
      <c r="EM816" s="407"/>
      <c r="EN816" s="407"/>
      <c r="EO816" s="407">
        <v>0</v>
      </c>
      <c r="EP816" s="407">
        <v>0</v>
      </c>
      <c r="EQ816" s="407"/>
      <c r="ER816" s="407">
        <v>0</v>
      </c>
      <c r="ES816" s="407"/>
      <c r="ET816" s="407">
        <v>0</v>
      </c>
      <c r="EU816" s="407"/>
      <c r="EV816" s="407">
        <v>246</v>
      </c>
      <c r="EW816" s="407"/>
      <c r="EX816" s="407"/>
      <c r="EY816" s="407"/>
      <c r="EZ816" s="407"/>
      <c r="FA816" s="407">
        <v>0</v>
      </c>
      <c r="FB816" s="407"/>
      <c r="FC816" s="407"/>
      <c r="FD816" s="407"/>
      <c r="FE816" s="407"/>
      <c r="FF816" s="407">
        <v>0</v>
      </c>
      <c r="FG816" s="407">
        <v>0</v>
      </c>
      <c r="FH816" s="407">
        <v>0</v>
      </c>
      <c r="FI816" s="407">
        <v>0</v>
      </c>
    </row>
    <row r="817" spans="1:165">
      <c r="A817" s="407">
        <v>848</v>
      </c>
      <c r="B817" s="407" t="s">
        <v>1090</v>
      </c>
      <c r="C817" s="407" t="s">
        <v>1044</v>
      </c>
      <c r="D817" s="407" t="s">
        <v>650</v>
      </c>
      <c r="E817" s="407" t="s">
        <v>97</v>
      </c>
      <c r="F817" s="407" t="s">
        <v>97</v>
      </c>
      <c r="G817" s="407" t="s">
        <v>97</v>
      </c>
      <c r="H817" s="407" t="s">
        <v>2331</v>
      </c>
      <c r="I817" s="407" t="s">
        <v>97</v>
      </c>
      <c r="J817" s="407" t="s">
        <v>2329</v>
      </c>
      <c r="K817" s="818">
        <v>44531</v>
      </c>
      <c r="L817" s="407">
        <v>1000</v>
      </c>
      <c r="M817" s="407">
        <v>500</v>
      </c>
      <c r="N817" s="407">
        <v>0</v>
      </c>
      <c r="O817" s="407">
        <v>0</v>
      </c>
      <c r="P817" s="407">
        <v>0</v>
      </c>
      <c r="Q817" s="407">
        <v>0</v>
      </c>
      <c r="R817" s="407">
        <v>13.8</v>
      </c>
      <c r="S817" s="407"/>
      <c r="T817" s="407"/>
      <c r="U817" s="407">
        <v>13800</v>
      </c>
      <c r="V817" s="407"/>
      <c r="W817" s="407">
        <v>13800</v>
      </c>
      <c r="X817" s="407">
        <v>6490</v>
      </c>
      <c r="Y817" s="407">
        <v>0</v>
      </c>
      <c r="Z817" s="407">
        <v>0</v>
      </c>
      <c r="AA817" s="407">
        <v>0</v>
      </c>
      <c r="AB817" s="407">
        <v>0</v>
      </c>
      <c r="AC817" s="407">
        <v>0</v>
      </c>
      <c r="AD817" s="407">
        <v>0</v>
      </c>
      <c r="AE817" s="407">
        <v>13780.322629791699</v>
      </c>
      <c r="AF817" s="407"/>
      <c r="AG817" s="407"/>
      <c r="AH817" s="407"/>
      <c r="AI817" s="407">
        <v>0</v>
      </c>
      <c r="AJ817" s="407">
        <v>0</v>
      </c>
      <c r="AK817" s="407">
        <v>0</v>
      </c>
      <c r="AL817" s="407">
        <v>0</v>
      </c>
      <c r="AM817" s="407"/>
      <c r="AN817" s="407">
        <v>22.5992016209883</v>
      </c>
      <c r="AO817" s="407">
        <v>0</v>
      </c>
      <c r="AP817" s="407">
        <v>0</v>
      </c>
      <c r="AQ817" s="407">
        <v>0</v>
      </c>
      <c r="AR817" s="407">
        <v>0</v>
      </c>
      <c r="AS817" s="407"/>
      <c r="AT817" s="407"/>
      <c r="AU817" s="407">
        <v>0</v>
      </c>
      <c r="AV817" s="407">
        <v>0</v>
      </c>
      <c r="AW817" s="407">
        <v>0</v>
      </c>
      <c r="AX817" s="407"/>
      <c r="AY817" s="407"/>
      <c r="AZ817" s="407">
        <v>0</v>
      </c>
      <c r="BA817" s="407"/>
      <c r="BB817" s="407">
        <v>0</v>
      </c>
      <c r="BC817" s="407">
        <v>0</v>
      </c>
      <c r="BD817" s="407">
        <v>0</v>
      </c>
      <c r="BE817" s="407">
        <v>0</v>
      </c>
      <c r="BF817" s="407"/>
      <c r="BG817" s="407">
        <v>0</v>
      </c>
      <c r="BH817" s="407">
        <v>0</v>
      </c>
      <c r="BI817" s="407">
        <v>41.4</v>
      </c>
      <c r="BJ817" s="407">
        <v>0</v>
      </c>
      <c r="BK817" s="407">
        <v>0</v>
      </c>
      <c r="BL817" s="407">
        <v>0</v>
      </c>
      <c r="BM817" s="407"/>
      <c r="BN817" s="407"/>
      <c r="BO817" s="407">
        <v>3245</v>
      </c>
      <c r="BP817" s="407"/>
      <c r="BQ817" s="407"/>
      <c r="BR817" s="407"/>
      <c r="BS817" s="407"/>
      <c r="BT817" s="407"/>
      <c r="BU817" s="407"/>
      <c r="BV817" s="407">
        <v>0</v>
      </c>
      <c r="BW817" s="407"/>
      <c r="BX817" s="407"/>
      <c r="BY817" s="407"/>
      <c r="BZ817" s="407"/>
      <c r="CA817" s="407"/>
      <c r="CB817" s="407"/>
      <c r="CC817" s="407"/>
      <c r="CD817" s="407"/>
      <c r="CE817" s="407"/>
      <c r="CF817" s="407"/>
      <c r="CG817" s="407"/>
      <c r="CH817" s="407"/>
      <c r="CI817" s="407">
        <v>3245</v>
      </c>
      <c r="CJ817" s="407">
        <v>-3655.0300000000007</v>
      </c>
      <c r="CK817" s="407"/>
      <c r="CL817" s="407"/>
      <c r="CM817" s="407"/>
      <c r="CN817" s="407"/>
      <c r="CO817" s="407">
        <v>-7310.0000000000009</v>
      </c>
      <c r="CP817" s="407">
        <v>0</v>
      </c>
      <c r="CQ817" s="407"/>
      <c r="CR817" s="407">
        <v>-270.93877876174702</v>
      </c>
      <c r="CS817" s="407">
        <v>0</v>
      </c>
      <c r="CT817" s="407">
        <v>0</v>
      </c>
      <c r="CU817" s="407">
        <v>0</v>
      </c>
      <c r="CV817" s="407">
        <v>0</v>
      </c>
      <c r="CW817" s="407"/>
      <c r="CX817" s="407"/>
      <c r="CY817" s="407"/>
      <c r="CZ817" s="407">
        <v>0</v>
      </c>
      <c r="DA817" s="407">
        <v>0</v>
      </c>
      <c r="DB817" s="407">
        <v>0</v>
      </c>
      <c r="DC817" s="407"/>
      <c r="DD817" s="407"/>
      <c r="DE817" s="407">
        <v>0</v>
      </c>
      <c r="DF817" s="407">
        <v>0</v>
      </c>
      <c r="DG817" s="407">
        <v>0</v>
      </c>
      <c r="DH817" s="407">
        <v>0</v>
      </c>
      <c r="DI817" s="407">
        <v>0</v>
      </c>
      <c r="DJ817" s="407"/>
      <c r="DK817" s="407">
        <v>0</v>
      </c>
      <c r="DL817" s="407">
        <v>0</v>
      </c>
      <c r="DM817" s="407"/>
      <c r="DN817" s="407">
        <v>0</v>
      </c>
      <c r="DO817" s="407">
        <v>0</v>
      </c>
      <c r="DP817" s="407">
        <v>-1.4399665682300018</v>
      </c>
      <c r="DQ817" s="407">
        <v>0</v>
      </c>
      <c r="DR817" s="407">
        <v>-269.49881219351704</v>
      </c>
      <c r="DS817" s="407"/>
      <c r="DT817" s="407"/>
      <c r="DU817" s="407">
        <v>13780.322629791699</v>
      </c>
      <c r="DV817" s="407"/>
      <c r="DW817" s="407">
        <v>0</v>
      </c>
      <c r="DX817" s="407">
        <v>0</v>
      </c>
      <c r="DY817" s="407">
        <v>-7310</v>
      </c>
      <c r="DZ817" s="407"/>
      <c r="EA817" s="407">
        <v>0</v>
      </c>
      <c r="EB817" s="407"/>
      <c r="EC817" s="407">
        <v>-7039.0208057967893</v>
      </c>
      <c r="ED817" s="407"/>
      <c r="EE817" s="407">
        <v>0</v>
      </c>
      <c r="EF817" s="407">
        <v>0</v>
      </c>
      <c r="EG817" s="407"/>
      <c r="EH817" s="407">
        <v>0</v>
      </c>
      <c r="EI817" s="407">
        <v>0</v>
      </c>
      <c r="EJ817" s="407">
        <v>0</v>
      </c>
      <c r="EK817" s="407">
        <v>0</v>
      </c>
      <c r="EL817" s="407">
        <v>0</v>
      </c>
      <c r="EM817" s="407"/>
      <c r="EN817" s="407"/>
      <c r="EO817" s="407">
        <v>0</v>
      </c>
      <c r="EP817" s="407">
        <v>0</v>
      </c>
      <c r="EQ817" s="407"/>
      <c r="ER817" s="407">
        <v>0</v>
      </c>
      <c r="ES817" s="407"/>
      <c r="ET817" s="407">
        <v>0</v>
      </c>
      <c r="EU817" s="407"/>
      <c r="EV817" s="407">
        <v>246</v>
      </c>
      <c r="EW817" s="407"/>
      <c r="EX817" s="407"/>
      <c r="EY817" s="407"/>
      <c r="EZ817" s="407"/>
      <c r="FA817" s="407">
        <v>0</v>
      </c>
      <c r="FB817" s="407"/>
      <c r="FC817" s="407"/>
      <c r="FD817" s="407"/>
      <c r="FE817" s="407"/>
      <c r="FF817" s="407">
        <v>0</v>
      </c>
      <c r="FG817" s="407">
        <v>0</v>
      </c>
      <c r="FH817" s="407">
        <v>0</v>
      </c>
      <c r="FI817" s="407">
        <v>0</v>
      </c>
    </row>
    <row r="818" spans="1:165">
      <c r="A818" s="407">
        <v>849</v>
      </c>
      <c r="B818" s="407" t="s">
        <v>1090</v>
      </c>
      <c r="C818" s="407" t="s">
        <v>1044</v>
      </c>
      <c r="D818" s="407" t="s">
        <v>650</v>
      </c>
      <c r="E818" s="407" t="s">
        <v>97</v>
      </c>
      <c r="F818" s="407" t="s">
        <v>97</v>
      </c>
      <c r="G818" s="407" t="s">
        <v>97</v>
      </c>
      <c r="H818" s="407" t="s">
        <v>2332</v>
      </c>
      <c r="I818" s="407" t="s">
        <v>97</v>
      </c>
      <c r="J818" s="407" t="s">
        <v>2329</v>
      </c>
      <c r="K818" s="818">
        <v>44531</v>
      </c>
      <c r="L818" s="407">
        <v>800</v>
      </c>
      <c r="M818" s="407">
        <v>400</v>
      </c>
      <c r="N818" s="407">
        <v>0</v>
      </c>
      <c r="O818" s="407">
        <v>0</v>
      </c>
      <c r="P818" s="407">
        <v>0</v>
      </c>
      <c r="Q818" s="407">
        <v>0</v>
      </c>
      <c r="R818" s="407">
        <v>13.8</v>
      </c>
      <c r="S818" s="407"/>
      <c r="T818" s="407"/>
      <c r="U818" s="407">
        <v>11040</v>
      </c>
      <c r="V818" s="407"/>
      <c r="W818" s="407">
        <v>11040</v>
      </c>
      <c r="X818" s="407">
        <v>5192</v>
      </c>
      <c r="Y818" s="407">
        <v>0</v>
      </c>
      <c r="Z818" s="407">
        <v>0</v>
      </c>
      <c r="AA818" s="407">
        <v>0</v>
      </c>
      <c r="AB818" s="407">
        <v>0</v>
      </c>
      <c r="AC818" s="407">
        <v>0</v>
      </c>
      <c r="AD818" s="407">
        <v>0</v>
      </c>
      <c r="AE818" s="407">
        <v>11024.258103833359</v>
      </c>
      <c r="AF818" s="407"/>
      <c r="AG818" s="407"/>
      <c r="AH818" s="407"/>
      <c r="AI818" s="407">
        <v>0</v>
      </c>
      <c r="AJ818" s="407">
        <v>0</v>
      </c>
      <c r="AK818" s="407">
        <v>0</v>
      </c>
      <c r="AL818" s="407">
        <v>0</v>
      </c>
      <c r="AM818" s="407"/>
      <c r="AN818" s="407">
        <v>18.079361296790637</v>
      </c>
      <c r="AO818" s="407">
        <v>0</v>
      </c>
      <c r="AP818" s="407">
        <v>0</v>
      </c>
      <c r="AQ818" s="407">
        <v>0</v>
      </c>
      <c r="AR818" s="407">
        <v>0</v>
      </c>
      <c r="AS818" s="407"/>
      <c r="AT818" s="407"/>
      <c r="AU818" s="407">
        <v>0</v>
      </c>
      <c r="AV818" s="407">
        <v>0</v>
      </c>
      <c r="AW818" s="407">
        <v>0</v>
      </c>
      <c r="AX818" s="407"/>
      <c r="AY818" s="407"/>
      <c r="AZ818" s="407">
        <v>0</v>
      </c>
      <c r="BA818" s="407"/>
      <c r="BB818" s="407">
        <v>0</v>
      </c>
      <c r="BC818" s="407">
        <v>0</v>
      </c>
      <c r="BD818" s="407">
        <v>0</v>
      </c>
      <c r="BE818" s="407">
        <v>0</v>
      </c>
      <c r="BF818" s="407"/>
      <c r="BG818" s="407">
        <v>0</v>
      </c>
      <c r="BH818" s="407">
        <v>0</v>
      </c>
      <c r="BI818" s="407">
        <v>33.119999999999997</v>
      </c>
      <c r="BJ818" s="407">
        <v>0</v>
      </c>
      <c r="BK818" s="407">
        <v>0</v>
      </c>
      <c r="BL818" s="407">
        <v>0</v>
      </c>
      <c r="BM818" s="407"/>
      <c r="BN818" s="407"/>
      <c r="BO818" s="407">
        <v>2596</v>
      </c>
      <c r="BP818" s="407"/>
      <c r="BQ818" s="407"/>
      <c r="BR818" s="407"/>
      <c r="BS818" s="407"/>
      <c r="BT818" s="407"/>
      <c r="BU818" s="407"/>
      <c r="BV818" s="407">
        <v>0</v>
      </c>
      <c r="BW818" s="407"/>
      <c r="BX818" s="407"/>
      <c r="BY818" s="407"/>
      <c r="BZ818" s="407"/>
      <c r="CA818" s="407"/>
      <c r="CB818" s="407"/>
      <c r="CC818" s="407"/>
      <c r="CD818" s="407"/>
      <c r="CE818" s="407"/>
      <c r="CF818" s="407"/>
      <c r="CG818" s="407"/>
      <c r="CH818" s="407"/>
      <c r="CI818" s="407">
        <v>2596</v>
      </c>
      <c r="CJ818" s="407">
        <v>-2924.0300000000007</v>
      </c>
      <c r="CK818" s="407"/>
      <c r="CL818" s="407"/>
      <c r="CM818" s="407"/>
      <c r="CN818" s="407"/>
      <c r="CO818" s="407">
        <v>-5848</v>
      </c>
      <c r="CP818" s="407">
        <v>0</v>
      </c>
      <c r="CQ818" s="407"/>
      <c r="CR818" s="407">
        <v>-216.75102300939761</v>
      </c>
      <c r="CS818" s="407">
        <v>0</v>
      </c>
      <c r="CT818" s="407">
        <v>0</v>
      </c>
      <c r="CU818" s="407">
        <v>0</v>
      </c>
      <c r="CV818" s="407">
        <v>0</v>
      </c>
      <c r="CW818" s="407"/>
      <c r="CX818" s="407"/>
      <c r="CY818" s="407"/>
      <c r="CZ818" s="407">
        <v>0</v>
      </c>
      <c r="DA818" s="407">
        <v>0</v>
      </c>
      <c r="DB818" s="407">
        <v>0</v>
      </c>
      <c r="DC818" s="407"/>
      <c r="DD818" s="407"/>
      <c r="DE818" s="407">
        <v>0</v>
      </c>
      <c r="DF818" s="407">
        <v>0</v>
      </c>
      <c r="DG818" s="407">
        <v>0</v>
      </c>
      <c r="DH818" s="407">
        <v>0</v>
      </c>
      <c r="DI818" s="407">
        <v>0</v>
      </c>
      <c r="DJ818" s="407"/>
      <c r="DK818" s="407">
        <v>0</v>
      </c>
      <c r="DL818" s="407">
        <v>0</v>
      </c>
      <c r="DM818" s="407"/>
      <c r="DN818" s="407">
        <v>0</v>
      </c>
      <c r="DO818" s="407">
        <v>0</v>
      </c>
      <c r="DP818" s="407">
        <v>-1.1519732545839965</v>
      </c>
      <c r="DQ818" s="407">
        <v>0</v>
      </c>
      <c r="DR818" s="407">
        <v>-215.59904975481362</v>
      </c>
      <c r="DS818" s="407"/>
      <c r="DT818" s="407"/>
      <c r="DU818" s="407">
        <v>11024.258103833359</v>
      </c>
      <c r="DV818" s="407"/>
      <c r="DW818" s="407">
        <v>0</v>
      </c>
      <c r="DX818" s="407">
        <v>0</v>
      </c>
      <c r="DY818" s="407">
        <v>-5848</v>
      </c>
      <c r="DZ818" s="407"/>
      <c r="EA818" s="407">
        <v>0</v>
      </c>
      <c r="EB818" s="407"/>
      <c r="EC818" s="407">
        <v>-5631.2166446374313</v>
      </c>
      <c r="ED818" s="407"/>
      <c r="EE818" s="407">
        <v>0</v>
      </c>
      <c r="EF818" s="407">
        <v>0</v>
      </c>
      <c r="EG818" s="407"/>
      <c r="EH818" s="407">
        <v>0</v>
      </c>
      <c r="EI818" s="407">
        <v>0</v>
      </c>
      <c r="EJ818" s="407">
        <v>0</v>
      </c>
      <c r="EK818" s="407">
        <v>0</v>
      </c>
      <c r="EL818" s="407">
        <v>0</v>
      </c>
      <c r="EM818" s="407"/>
      <c r="EN818" s="407"/>
      <c r="EO818" s="407">
        <v>0</v>
      </c>
      <c r="EP818" s="407">
        <v>0</v>
      </c>
      <c r="EQ818" s="407"/>
      <c r="ER818" s="407">
        <v>0</v>
      </c>
      <c r="ES818" s="407"/>
      <c r="ET818" s="407">
        <v>0</v>
      </c>
      <c r="EU818" s="407"/>
      <c r="EV818" s="407">
        <v>246</v>
      </c>
      <c r="EW818" s="407"/>
      <c r="EX818" s="407"/>
      <c r="EY818" s="407"/>
      <c r="EZ818" s="407"/>
      <c r="FA818" s="407">
        <v>0</v>
      </c>
      <c r="FB818" s="407"/>
      <c r="FC818" s="407"/>
      <c r="FD818" s="407"/>
      <c r="FE818" s="407"/>
      <c r="FF818" s="407">
        <v>0</v>
      </c>
      <c r="FG818" s="407">
        <v>0</v>
      </c>
      <c r="FH818" s="407">
        <v>0</v>
      </c>
      <c r="FI818" s="407">
        <v>0</v>
      </c>
    </row>
    <row r="819" spans="1:165">
      <c r="A819" s="407">
        <v>850</v>
      </c>
      <c r="B819" s="407" t="s">
        <v>1090</v>
      </c>
      <c r="C819" s="407" t="s">
        <v>1044</v>
      </c>
      <c r="D819" s="407" t="s">
        <v>650</v>
      </c>
      <c r="E819" s="407" t="s">
        <v>97</v>
      </c>
      <c r="F819" s="407" t="s">
        <v>97</v>
      </c>
      <c r="G819" s="407" t="s">
        <v>97</v>
      </c>
      <c r="H819" s="407" t="s">
        <v>2333</v>
      </c>
      <c r="I819" s="407" t="s">
        <v>97</v>
      </c>
      <c r="J819" s="407" t="s">
        <v>2329</v>
      </c>
      <c r="K819" s="818">
        <v>44531</v>
      </c>
      <c r="L819" s="407">
        <v>270</v>
      </c>
      <c r="M819" s="407">
        <v>135</v>
      </c>
      <c r="N819" s="407">
        <v>0</v>
      </c>
      <c r="O819" s="407">
        <v>0</v>
      </c>
      <c r="P819" s="407">
        <v>0</v>
      </c>
      <c r="Q819" s="407">
        <v>0</v>
      </c>
      <c r="R819" s="407">
        <v>13.8</v>
      </c>
      <c r="S819" s="407"/>
      <c r="T819" s="407"/>
      <c r="U819" s="407">
        <v>3726</v>
      </c>
      <c r="V819" s="407"/>
      <c r="W819" s="407">
        <v>3726</v>
      </c>
      <c r="X819" s="407">
        <v>1752.3</v>
      </c>
      <c r="Y819" s="407">
        <v>0</v>
      </c>
      <c r="Z819" s="407">
        <v>0</v>
      </c>
      <c r="AA819" s="407">
        <v>0</v>
      </c>
      <c r="AB819" s="407">
        <v>0</v>
      </c>
      <c r="AC819" s="407">
        <v>0</v>
      </c>
      <c r="AD819" s="407">
        <v>0</v>
      </c>
      <c r="AE819" s="407">
        <v>3720.6871100437588</v>
      </c>
      <c r="AF819" s="407"/>
      <c r="AG819" s="407"/>
      <c r="AH819" s="407"/>
      <c r="AI819" s="407">
        <v>0</v>
      </c>
      <c r="AJ819" s="407">
        <v>0</v>
      </c>
      <c r="AK819" s="407">
        <v>0</v>
      </c>
      <c r="AL819" s="407">
        <v>0</v>
      </c>
      <c r="AM819" s="407"/>
      <c r="AN819" s="407">
        <v>6.1017844376668409</v>
      </c>
      <c r="AO819" s="407">
        <v>0</v>
      </c>
      <c r="AP819" s="407">
        <v>0</v>
      </c>
      <c r="AQ819" s="407">
        <v>0</v>
      </c>
      <c r="AR819" s="407">
        <v>0</v>
      </c>
      <c r="AS819" s="407"/>
      <c r="AT819" s="407"/>
      <c r="AU819" s="407">
        <v>0</v>
      </c>
      <c r="AV819" s="407">
        <v>0</v>
      </c>
      <c r="AW819" s="407">
        <v>0</v>
      </c>
      <c r="AX819" s="407"/>
      <c r="AY819" s="407"/>
      <c r="AZ819" s="407">
        <v>0</v>
      </c>
      <c r="BA819" s="407"/>
      <c r="BB819" s="407">
        <v>0</v>
      </c>
      <c r="BC819" s="407">
        <v>0</v>
      </c>
      <c r="BD819" s="407">
        <v>0</v>
      </c>
      <c r="BE819" s="407">
        <v>0</v>
      </c>
      <c r="BF819" s="407"/>
      <c r="BG819" s="407">
        <v>0</v>
      </c>
      <c r="BH819" s="407">
        <v>0</v>
      </c>
      <c r="BI819" s="407">
        <v>11.18</v>
      </c>
      <c r="BJ819" s="407">
        <v>0</v>
      </c>
      <c r="BK819" s="407">
        <v>0</v>
      </c>
      <c r="BL819" s="407">
        <v>0</v>
      </c>
      <c r="BM819" s="407"/>
      <c r="BN819" s="407"/>
      <c r="BO819" s="407">
        <v>876.15</v>
      </c>
      <c r="BP819" s="407"/>
      <c r="BQ819" s="407"/>
      <c r="BR819" s="407"/>
      <c r="BS819" s="407"/>
      <c r="BT819" s="407"/>
      <c r="BU819" s="407"/>
      <c r="BV819" s="407">
        <v>0</v>
      </c>
      <c r="BW819" s="407"/>
      <c r="BX819" s="407"/>
      <c r="BY819" s="407"/>
      <c r="BZ819" s="407"/>
      <c r="CA819" s="407"/>
      <c r="CB819" s="407"/>
      <c r="CC819" s="407"/>
      <c r="CD819" s="407"/>
      <c r="CE819" s="407"/>
      <c r="CF819" s="407"/>
      <c r="CG819" s="407"/>
      <c r="CH819" s="407"/>
      <c r="CI819" s="407">
        <v>876.15</v>
      </c>
      <c r="CJ819" s="407">
        <v>-986.88</v>
      </c>
      <c r="CK819" s="407"/>
      <c r="CL819" s="407"/>
      <c r="CM819" s="407"/>
      <c r="CN819" s="407"/>
      <c r="CO819" s="407">
        <v>-1973.7</v>
      </c>
      <c r="CP819" s="407">
        <v>0</v>
      </c>
      <c r="CQ819" s="407"/>
      <c r="CR819" s="407">
        <v>-73.153470265671686</v>
      </c>
      <c r="CS819" s="407">
        <v>0</v>
      </c>
      <c r="CT819" s="407">
        <v>0</v>
      </c>
      <c r="CU819" s="407">
        <v>0</v>
      </c>
      <c r="CV819" s="407">
        <v>0</v>
      </c>
      <c r="CW819" s="407"/>
      <c r="CX819" s="407"/>
      <c r="CY819" s="407"/>
      <c r="CZ819" s="407">
        <v>0</v>
      </c>
      <c r="DA819" s="407">
        <v>0</v>
      </c>
      <c r="DB819" s="407">
        <v>0</v>
      </c>
      <c r="DC819" s="407"/>
      <c r="DD819" s="407"/>
      <c r="DE819" s="407">
        <v>0</v>
      </c>
      <c r="DF819" s="407">
        <v>0</v>
      </c>
      <c r="DG819" s="407">
        <v>0</v>
      </c>
      <c r="DH819" s="407">
        <v>0</v>
      </c>
      <c r="DI819" s="407">
        <v>0</v>
      </c>
      <c r="DJ819" s="407"/>
      <c r="DK819" s="407">
        <v>0</v>
      </c>
      <c r="DL819" s="407">
        <v>0</v>
      </c>
      <c r="DM819" s="407"/>
      <c r="DN819" s="407">
        <v>0</v>
      </c>
      <c r="DO819" s="407">
        <v>0</v>
      </c>
      <c r="DP819" s="407">
        <v>-0.38879097342209956</v>
      </c>
      <c r="DQ819" s="407">
        <v>0</v>
      </c>
      <c r="DR819" s="407">
        <v>-72.764679292249596</v>
      </c>
      <c r="DS819" s="407"/>
      <c r="DT819" s="407"/>
      <c r="DU819" s="407">
        <v>3720.6871100437588</v>
      </c>
      <c r="DV819" s="407"/>
      <c r="DW819" s="407">
        <v>0</v>
      </c>
      <c r="DX819" s="407">
        <v>0</v>
      </c>
      <c r="DY819" s="407">
        <v>-1973.7</v>
      </c>
      <c r="DZ819" s="407"/>
      <c r="EA819" s="407">
        <v>0</v>
      </c>
      <c r="EB819" s="407"/>
      <c r="EC819" s="407">
        <v>-1900.5356175651332</v>
      </c>
      <c r="ED819" s="407"/>
      <c r="EE819" s="407">
        <v>0</v>
      </c>
      <c r="EF819" s="407">
        <v>0</v>
      </c>
      <c r="EG819" s="407"/>
      <c r="EH819" s="407">
        <v>0</v>
      </c>
      <c r="EI819" s="407">
        <v>0</v>
      </c>
      <c r="EJ819" s="407">
        <v>0</v>
      </c>
      <c r="EK819" s="407">
        <v>0</v>
      </c>
      <c r="EL819" s="407">
        <v>0</v>
      </c>
      <c r="EM819" s="407"/>
      <c r="EN819" s="407"/>
      <c r="EO819" s="407">
        <v>0</v>
      </c>
      <c r="EP819" s="407">
        <v>0</v>
      </c>
      <c r="EQ819" s="407"/>
      <c r="ER819" s="407">
        <v>0</v>
      </c>
      <c r="ES819" s="407"/>
      <c r="ET819" s="407">
        <v>0</v>
      </c>
      <c r="EU819" s="407"/>
      <c r="EV819" s="407">
        <v>246</v>
      </c>
      <c r="EW819" s="407"/>
      <c r="EX819" s="407"/>
      <c r="EY819" s="407"/>
      <c r="EZ819" s="407"/>
      <c r="FA819" s="407">
        <v>0</v>
      </c>
      <c r="FB819" s="407"/>
      <c r="FC819" s="407"/>
      <c r="FD819" s="407"/>
      <c r="FE819" s="407"/>
      <c r="FF819" s="407">
        <v>0</v>
      </c>
      <c r="FG819" s="407">
        <v>0</v>
      </c>
      <c r="FH819" s="407">
        <v>0</v>
      </c>
      <c r="FI819" s="407">
        <v>0</v>
      </c>
    </row>
    <row r="820" spans="1:165">
      <c r="A820" s="407">
        <v>851</v>
      </c>
      <c r="B820" s="407" t="s">
        <v>1090</v>
      </c>
      <c r="C820" s="407" t="s">
        <v>1044</v>
      </c>
      <c r="D820" s="407" t="s">
        <v>650</v>
      </c>
      <c r="E820" s="407" t="s">
        <v>97</v>
      </c>
      <c r="F820" s="407" t="s">
        <v>97</v>
      </c>
      <c r="G820" s="407" t="s">
        <v>97</v>
      </c>
      <c r="H820" s="407" t="s">
        <v>2334</v>
      </c>
      <c r="I820" s="407" t="s">
        <v>97</v>
      </c>
      <c r="J820" s="407" t="s">
        <v>2329</v>
      </c>
      <c r="K820" s="818">
        <v>44531</v>
      </c>
      <c r="L820" s="407">
        <v>280</v>
      </c>
      <c r="M820" s="407">
        <v>140</v>
      </c>
      <c r="N820" s="407">
        <v>0</v>
      </c>
      <c r="O820" s="407">
        <v>0</v>
      </c>
      <c r="P820" s="407">
        <v>0</v>
      </c>
      <c r="Q820" s="407">
        <v>0</v>
      </c>
      <c r="R820" s="407">
        <v>13.8</v>
      </c>
      <c r="S820" s="407"/>
      <c r="T820" s="407"/>
      <c r="U820" s="407">
        <v>3864</v>
      </c>
      <c r="V820" s="407"/>
      <c r="W820" s="407">
        <v>3864</v>
      </c>
      <c r="X820" s="407">
        <v>1817.2</v>
      </c>
      <c r="Y820" s="407">
        <v>0</v>
      </c>
      <c r="Z820" s="407">
        <v>0</v>
      </c>
      <c r="AA820" s="407">
        <v>0</v>
      </c>
      <c r="AB820" s="407">
        <v>0</v>
      </c>
      <c r="AC820" s="407">
        <v>0</v>
      </c>
      <c r="AD820" s="407">
        <v>0</v>
      </c>
      <c r="AE820" s="407">
        <v>3858.4903363416761</v>
      </c>
      <c r="AF820" s="407"/>
      <c r="AG820" s="407"/>
      <c r="AH820" s="407"/>
      <c r="AI820" s="407">
        <v>0</v>
      </c>
      <c r="AJ820" s="407">
        <v>0</v>
      </c>
      <c r="AK820" s="407">
        <v>0</v>
      </c>
      <c r="AL820" s="407">
        <v>0</v>
      </c>
      <c r="AM820" s="407"/>
      <c r="AN820" s="407">
        <v>6.3277764538767238</v>
      </c>
      <c r="AO820" s="407">
        <v>0</v>
      </c>
      <c r="AP820" s="407">
        <v>0</v>
      </c>
      <c r="AQ820" s="407">
        <v>0</v>
      </c>
      <c r="AR820" s="407">
        <v>0</v>
      </c>
      <c r="AS820" s="407"/>
      <c r="AT820" s="407"/>
      <c r="AU820" s="407">
        <v>0</v>
      </c>
      <c r="AV820" s="407">
        <v>0</v>
      </c>
      <c r="AW820" s="407">
        <v>0</v>
      </c>
      <c r="AX820" s="407"/>
      <c r="AY820" s="407"/>
      <c r="AZ820" s="407">
        <v>0</v>
      </c>
      <c r="BA820" s="407"/>
      <c r="BB820" s="407">
        <v>0</v>
      </c>
      <c r="BC820" s="407">
        <v>0</v>
      </c>
      <c r="BD820" s="407">
        <v>0</v>
      </c>
      <c r="BE820" s="407">
        <v>0</v>
      </c>
      <c r="BF820" s="407"/>
      <c r="BG820" s="407">
        <v>0</v>
      </c>
      <c r="BH820" s="407">
        <v>0</v>
      </c>
      <c r="BI820" s="407">
        <v>11.59</v>
      </c>
      <c r="BJ820" s="407">
        <v>0</v>
      </c>
      <c r="BK820" s="407">
        <v>0</v>
      </c>
      <c r="BL820" s="407">
        <v>0</v>
      </c>
      <c r="BM820" s="407"/>
      <c r="BN820" s="407"/>
      <c r="BO820" s="407">
        <v>908.6</v>
      </c>
      <c r="BP820" s="407"/>
      <c r="BQ820" s="407"/>
      <c r="BR820" s="407"/>
      <c r="BS820" s="407"/>
      <c r="BT820" s="407"/>
      <c r="BU820" s="407"/>
      <c r="BV820" s="407">
        <v>0</v>
      </c>
      <c r="BW820" s="407"/>
      <c r="BX820" s="407"/>
      <c r="BY820" s="407"/>
      <c r="BZ820" s="407"/>
      <c r="CA820" s="407"/>
      <c r="CB820" s="407"/>
      <c r="CC820" s="407"/>
      <c r="CD820" s="407"/>
      <c r="CE820" s="407"/>
      <c r="CF820" s="407"/>
      <c r="CG820" s="407"/>
      <c r="CH820" s="407"/>
      <c r="CI820" s="407">
        <v>908.6</v>
      </c>
      <c r="CJ820" s="407">
        <v>-1023.43</v>
      </c>
      <c r="CK820" s="407"/>
      <c r="CL820" s="407"/>
      <c r="CM820" s="407"/>
      <c r="CN820" s="407"/>
      <c r="CO820" s="407">
        <v>-2046.8000000000002</v>
      </c>
      <c r="CP820" s="407">
        <v>0</v>
      </c>
      <c r="CQ820" s="407"/>
      <c r="CR820" s="407">
        <v>-75.862858053289159</v>
      </c>
      <c r="CS820" s="407">
        <v>0</v>
      </c>
      <c r="CT820" s="407">
        <v>0</v>
      </c>
      <c r="CU820" s="407">
        <v>0</v>
      </c>
      <c r="CV820" s="407">
        <v>0</v>
      </c>
      <c r="CW820" s="407"/>
      <c r="CX820" s="407"/>
      <c r="CY820" s="407"/>
      <c r="CZ820" s="407">
        <v>0</v>
      </c>
      <c r="DA820" s="407">
        <v>0</v>
      </c>
      <c r="DB820" s="407">
        <v>0</v>
      </c>
      <c r="DC820" s="407"/>
      <c r="DD820" s="407"/>
      <c r="DE820" s="407">
        <v>0</v>
      </c>
      <c r="DF820" s="407">
        <v>0</v>
      </c>
      <c r="DG820" s="407">
        <v>0</v>
      </c>
      <c r="DH820" s="407">
        <v>0</v>
      </c>
      <c r="DI820" s="407">
        <v>0</v>
      </c>
      <c r="DJ820" s="407"/>
      <c r="DK820" s="407">
        <v>0</v>
      </c>
      <c r="DL820" s="407">
        <v>0</v>
      </c>
      <c r="DM820" s="407"/>
      <c r="DN820" s="407">
        <v>0</v>
      </c>
      <c r="DO820" s="407">
        <v>0</v>
      </c>
      <c r="DP820" s="407">
        <v>-0.40319063910440001</v>
      </c>
      <c r="DQ820" s="407">
        <v>0</v>
      </c>
      <c r="DR820" s="407">
        <v>-75.459667414184764</v>
      </c>
      <c r="DS820" s="407"/>
      <c r="DT820" s="407"/>
      <c r="DU820" s="407">
        <v>3858.4903363416761</v>
      </c>
      <c r="DV820" s="407"/>
      <c r="DW820" s="407">
        <v>0</v>
      </c>
      <c r="DX820" s="407">
        <v>0</v>
      </c>
      <c r="DY820" s="407">
        <v>-2046.8</v>
      </c>
      <c r="DZ820" s="407"/>
      <c r="EA820" s="407">
        <v>0</v>
      </c>
      <c r="EB820" s="407"/>
      <c r="EC820" s="407">
        <v>-1970.9258256231014</v>
      </c>
      <c r="ED820" s="407"/>
      <c r="EE820" s="407">
        <v>0</v>
      </c>
      <c r="EF820" s="407">
        <v>0</v>
      </c>
      <c r="EG820" s="407"/>
      <c r="EH820" s="407">
        <v>0</v>
      </c>
      <c r="EI820" s="407">
        <v>0</v>
      </c>
      <c r="EJ820" s="407">
        <v>0</v>
      </c>
      <c r="EK820" s="407">
        <v>0</v>
      </c>
      <c r="EL820" s="407">
        <v>0</v>
      </c>
      <c r="EM820" s="407"/>
      <c r="EN820" s="407"/>
      <c r="EO820" s="407">
        <v>0</v>
      </c>
      <c r="EP820" s="407">
        <v>0</v>
      </c>
      <c r="EQ820" s="407"/>
      <c r="ER820" s="407">
        <v>0</v>
      </c>
      <c r="ES820" s="407"/>
      <c r="ET820" s="407">
        <v>0</v>
      </c>
      <c r="EU820" s="407"/>
      <c r="EV820" s="407">
        <v>246</v>
      </c>
      <c r="EW820" s="407"/>
      <c r="EX820" s="407"/>
      <c r="EY820" s="407"/>
      <c r="EZ820" s="407"/>
      <c r="FA820" s="407">
        <v>0</v>
      </c>
      <c r="FB820" s="407"/>
      <c r="FC820" s="407"/>
      <c r="FD820" s="407"/>
      <c r="FE820" s="407"/>
      <c r="FF820" s="407">
        <v>0</v>
      </c>
      <c r="FG820" s="407">
        <v>0</v>
      </c>
      <c r="FH820" s="407">
        <v>0</v>
      </c>
      <c r="FI820" s="407">
        <v>0</v>
      </c>
    </row>
    <row r="821" spans="1:165">
      <c r="A821" s="407">
        <v>852</v>
      </c>
      <c r="B821" s="407" t="s">
        <v>1090</v>
      </c>
      <c r="C821" s="407" t="s">
        <v>1044</v>
      </c>
      <c r="D821" s="407" t="s">
        <v>650</v>
      </c>
      <c r="E821" s="407" t="s">
        <v>97</v>
      </c>
      <c r="F821" s="407" t="s">
        <v>97</v>
      </c>
      <c r="G821" s="407" t="s">
        <v>97</v>
      </c>
      <c r="H821" s="407" t="s">
        <v>2335</v>
      </c>
      <c r="I821" s="407" t="s">
        <v>97</v>
      </c>
      <c r="J821" s="407" t="s">
        <v>2329</v>
      </c>
      <c r="K821" s="818">
        <v>44531</v>
      </c>
      <c r="L821" s="407">
        <v>730</v>
      </c>
      <c r="M821" s="407">
        <v>365</v>
      </c>
      <c r="N821" s="407">
        <v>0</v>
      </c>
      <c r="O821" s="407">
        <v>0</v>
      </c>
      <c r="P821" s="407">
        <v>0</v>
      </c>
      <c r="Q821" s="407">
        <v>0</v>
      </c>
      <c r="R821" s="407">
        <v>13.8</v>
      </c>
      <c r="S821" s="407"/>
      <c r="T821" s="407"/>
      <c r="U821" s="407">
        <v>10074</v>
      </c>
      <c r="V821" s="407"/>
      <c r="W821" s="407">
        <v>10074</v>
      </c>
      <c r="X821" s="407">
        <v>4737.7</v>
      </c>
      <c r="Y821" s="407">
        <v>0</v>
      </c>
      <c r="Z821" s="407">
        <v>0</v>
      </c>
      <c r="AA821" s="407">
        <v>0</v>
      </c>
      <c r="AB821" s="407">
        <v>0</v>
      </c>
      <c r="AC821" s="407">
        <v>0</v>
      </c>
      <c r="AD821" s="407">
        <v>0</v>
      </c>
      <c r="AE821" s="407">
        <v>10059.635519747941</v>
      </c>
      <c r="AF821" s="407"/>
      <c r="AG821" s="407"/>
      <c r="AH821" s="407"/>
      <c r="AI821" s="407">
        <v>0</v>
      </c>
      <c r="AJ821" s="407">
        <v>0</v>
      </c>
      <c r="AK821" s="407">
        <v>0</v>
      </c>
      <c r="AL821" s="407">
        <v>0</v>
      </c>
      <c r="AM821" s="407"/>
      <c r="AN821" s="407">
        <v>16.497417183321456</v>
      </c>
      <c r="AO821" s="407">
        <v>0</v>
      </c>
      <c r="AP821" s="407">
        <v>0</v>
      </c>
      <c r="AQ821" s="407">
        <v>0</v>
      </c>
      <c r="AR821" s="407">
        <v>0</v>
      </c>
      <c r="AS821" s="407"/>
      <c r="AT821" s="407"/>
      <c r="AU821" s="407">
        <v>0</v>
      </c>
      <c r="AV821" s="407">
        <v>0</v>
      </c>
      <c r="AW821" s="407">
        <v>0</v>
      </c>
      <c r="AX821" s="407"/>
      <c r="AY821" s="407"/>
      <c r="AZ821" s="407">
        <v>0</v>
      </c>
      <c r="BA821" s="407"/>
      <c r="BB821" s="407">
        <v>0</v>
      </c>
      <c r="BC821" s="407">
        <v>0</v>
      </c>
      <c r="BD821" s="407">
        <v>0</v>
      </c>
      <c r="BE821" s="407">
        <v>0</v>
      </c>
      <c r="BF821" s="407"/>
      <c r="BG821" s="407">
        <v>0</v>
      </c>
      <c r="BH821" s="407">
        <v>0</v>
      </c>
      <c r="BI821" s="407">
        <v>30.22</v>
      </c>
      <c r="BJ821" s="407">
        <v>0</v>
      </c>
      <c r="BK821" s="407">
        <v>0</v>
      </c>
      <c r="BL821" s="407">
        <v>0</v>
      </c>
      <c r="BM821" s="407"/>
      <c r="BN821" s="407"/>
      <c r="BO821" s="407">
        <v>2368.85</v>
      </c>
      <c r="BP821" s="407"/>
      <c r="BQ821" s="407"/>
      <c r="BR821" s="407"/>
      <c r="BS821" s="407"/>
      <c r="BT821" s="407"/>
      <c r="BU821" s="407"/>
      <c r="BV821" s="407">
        <v>0</v>
      </c>
      <c r="BW821" s="407"/>
      <c r="BX821" s="407"/>
      <c r="BY821" s="407"/>
      <c r="BZ821" s="407"/>
      <c r="CA821" s="407"/>
      <c r="CB821" s="407"/>
      <c r="CC821" s="407"/>
      <c r="CD821" s="407"/>
      <c r="CE821" s="407"/>
      <c r="CF821" s="407"/>
      <c r="CG821" s="407"/>
      <c r="CH821" s="407"/>
      <c r="CI821" s="407">
        <v>2368.85</v>
      </c>
      <c r="CJ821" s="407">
        <v>-2668.1800000000007</v>
      </c>
      <c r="CK821" s="407"/>
      <c r="CL821" s="407"/>
      <c r="CM821" s="407"/>
      <c r="CN821" s="407"/>
      <c r="CO821" s="407">
        <v>-5336.3</v>
      </c>
      <c r="CP821" s="407">
        <v>0</v>
      </c>
      <c r="CQ821" s="407"/>
      <c r="CR821" s="407">
        <v>-197.78530849607532</v>
      </c>
      <c r="CS821" s="407">
        <v>0</v>
      </c>
      <c r="CT821" s="407">
        <v>0</v>
      </c>
      <c r="CU821" s="407">
        <v>0</v>
      </c>
      <c r="CV821" s="407">
        <v>0</v>
      </c>
      <c r="CW821" s="407"/>
      <c r="CX821" s="407"/>
      <c r="CY821" s="407"/>
      <c r="CZ821" s="407">
        <v>0</v>
      </c>
      <c r="DA821" s="407">
        <v>0</v>
      </c>
      <c r="DB821" s="407">
        <v>0</v>
      </c>
      <c r="DC821" s="407"/>
      <c r="DD821" s="407"/>
      <c r="DE821" s="407">
        <v>0</v>
      </c>
      <c r="DF821" s="407">
        <v>0</v>
      </c>
      <c r="DG821" s="407">
        <v>0</v>
      </c>
      <c r="DH821" s="407">
        <v>0</v>
      </c>
      <c r="DI821" s="407">
        <v>0</v>
      </c>
      <c r="DJ821" s="407"/>
      <c r="DK821" s="407">
        <v>0</v>
      </c>
      <c r="DL821" s="407">
        <v>0</v>
      </c>
      <c r="DM821" s="407"/>
      <c r="DN821" s="407">
        <v>0</v>
      </c>
      <c r="DO821" s="407">
        <v>0</v>
      </c>
      <c r="DP821" s="407">
        <v>-1.0511755948078978</v>
      </c>
      <c r="DQ821" s="407">
        <v>0</v>
      </c>
      <c r="DR821" s="407">
        <v>-196.73413290126743</v>
      </c>
      <c r="DS821" s="407"/>
      <c r="DT821" s="407"/>
      <c r="DU821" s="407">
        <v>10059.635519747941</v>
      </c>
      <c r="DV821" s="407"/>
      <c r="DW821" s="407">
        <v>0</v>
      </c>
      <c r="DX821" s="407">
        <v>0</v>
      </c>
      <c r="DY821" s="407">
        <v>-5336.3</v>
      </c>
      <c r="DZ821" s="407"/>
      <c r="EA821" s="407">
        <v>0</v>
      </c>
      <c r="EB821" s="407"/>
      <c r="EC821" s="407">
        <v>-5138.485188231657</v>
      </c>
      <c r="ED821" s="407"/>
      <c r="EE821" s="407">
        <v>0</v>
      </c>
      <c r="EF821" s="407">
        <v>0</v>
      </c>
      <c r="EG821" s="407"/>
      <c r="EH821" s="407">
        <v>0</v>
      </c>
      <c r="EI821" s="407">
        <v>0</v>
      </c>
      <c r="EJ821" s="407">
        <v>0</v>
      </c>
      <c r="EK821" s="407">
        <v>0</v>
      </c>
      <c r="EL821" s="407">
        <v>0</v>
      </c>
      <c r="EM821" s="407"/>
      <c r="EN821" s="407"/>
      <c r="EO821" s="407">
        <v>0</v>
      </c>
      <c r="EP821" s="407">
        <v>0</v>
      </c>
      <c r="EQ821" s="407"/>
      <c r="ER821" s="407">
        <v>0</v>
      </c>
      <c r="ES821" s="407"/>
      <c r="ET821" s="407">
        <v>0</v>
      </c>
      <c r="EU821" s="407"/>
      <c r="EV821" s="407">
        <v>246</v>
      </c>
      <c r="EW821" s="407"/>
      <c r="EX821" s="407"/>
      <c r="EY821" s="407"/>
      <c r="EZ821" s="407"/>
      <c r="FA821" s="407">
        <v>0</v>
      </c>
      <c r="FB821" s="407"/>
      <c r="FC821" s="407"/>
      <c r="FD821" s="407"/>
      <c r="FE821" s="407"/>
      <c r="FF821" s="407">
        <v>0</v>
      </c>
      <c r="FG821" s="407">
        <v>0</v>
      </c>
      <c r="FH821" s="407">
        <v>0</v>
      </c>
      <c r="FI821" s="407">
        <v>0</v>
      </c>
    </row>
    <row r="822" spans="1:165">
      <c r="A822" s="407">
        <v>853</v>
      </c>
      <c r="B822" s="407" t="s">
        <v>1090</v>
      </c>
      <c r="C822" s="407" t="s">
        <v>1044</v>
      </c>
      <c r="D822" s="407" t="s">
        <v>650</v>
      </c>
      <c r="E822" s="407" t="s">
        <v>97</v>
      </c>
      <c r="F822" s="407" t="s">
        <v>97</v>
      </c>
      <c r="G822" s="407" t="s">
        <v>97</v>
      </c>
      <c r="H822" s="407" t="s">
        <v>2336</v>
      </c>
      <c r="I822" s="407" t="s">
        <v>97</v>
      </c>
      <c r="J822" s="407" t="s">
        <v>2329</v>
      </c>
      <c r="K822" s="818">
        <v>44531</v>
      </c>
      <c r="L822" s="407">
        <v>561</v>
      </c>
      <c r="M822" s="407">
        <v>280.5</v>
      </c>
      <c r="N822" s="407">
        <v>0</v>
      </c>
      <c r="O822" s="407">
        <v>0</v>
      </c>
      <c r="P822" s="407">
        <v>0</v>
      </c>
      <c r="Q822" s="407">
        <v>0</v>
      </c>
      <c r="R822" s="407">
        <v>13.8</v>
      </c>
      <c r="S822" s="407"/>
      <c r="T822" s="407"/>
      <c r="U822" s="407">
        <v>7741.8</v>
      </c>
      <c r="V822" s="407"/>
      <c r="W822" s="407">
        <v>7741.8</v>
      </c>
      <c r="X822" s="407">
        <v>3640.8900000000003</v>
      </c>
      <c r="Y822" s="407">
        <v>0</v>
      </c>
      <c r="Z822" s="407">
        <v>0</v>
      </c>
      <c r="AA822" s="407">
        <v>0</v>
      </c>
      <c r="AB822" s="407">
        <v>0</v>
      </c>
      <c r="AC822" s="407">
        <v>0</v>
      </c>
      <c r="AD822" s="407">
        <v>0</v>
      </c>
      <c r="AE822" s="407">
        <v>7730.7609953131432</v>
      </c>
      <c r="AF822" s="407"/>
      <c r="AG822" s="407"/>
      <c r="AH822" s="407"/>
      <c r="AI822" s="407">
        <v>0</v>
      </c>
      <c r="AJ822" s="407">
        <v>0</v>
      </c>
      <c r="AK822" s="407">
        <v>0</v>
      </c>
      <c r="AL822" s="407">
        <v>0</v>
      </c>
      <c r="AM822" s="407"/>
      <c r="AN822" s="407">
        <v>12.678152109374436</v>
      </c>
      <c r="AO822" s="407">
        <v>0</v>
      </c>
      <c r="AP822" s="407">
        <v>0</v>
      </c>
      <c r="AQ822" s="407">
        <v>0</v>
      </c>
      <c r="AR822" s="407">
        <v>0</v>
      </c>
      <c r="AS822" s="407"/>
      <c r="AT822" s="407"/>
      <c r="AU822" s="407">
        <v>0</v>
      </c>
      <c r="AV822" s="407">
        <v>0</v>
      </c>
      <c r="AW822" s="407">
        <v>0</v>
      </c>
      <c r="AX822" s="407"/>
      <c r="AY822" s="407"/>
      <c r="AZ822" s="407">
        <v>0</v>
      </c>
      <c r="BA822" s="407"/>
      <c r="BB822" s="407">
        <v>0</v>
      </c>
      <c r="BC822" s="407">
        <v>0</v>
      </c>
      <c r="BD822" s="407">
        <v>0</v>
      </c>
      <c r="BE822" s="407">
        <v>0</v>
      </c>
      <c r="BF822" s="407"/>
      <c r="BG822" s="407">
        <v>0</v>
      </c>
      <c r="BH822" s="407">
        <v>0</v>
      </c>
      <c r="BI822" s="407">
        <v>23.22</v>
      </c>
      <c r="BJ822" s="407">
        <v>0</v>
      </c>
      <c r="BK822" s="407">
        <v>0</v>
      </c>
      <c r="BL822" s="407">
        <v>0</v>
      </c>
      <c r="BM822" s="407"/>
      <c r="BN822" s="407"/>
      <c r="BO822" s="407">
        <v>1820.4450000000002</v>
      </c>
      <c r="BP822" s="407"/>
      <c r="BQ822" s="407"/>
      <c r="BR822" s="407"/>
      <c r="BS822" s="407"/>
      <c r="BT822" s="407"/>
      <c r="BU822" s="407"/>
      <c r="BV822" s="407">
        <v>0</v>
      </c>
      <c r="BW822" s="407"/>
      <c r="BX822" s="407"/>
      <c r="BY822" s="407"/>
      <c r="BZ822" s="407"/>
      <c r="CA822" s="407"/>
      <c r="CB822" s="407"/>
      <c r="CC822" s="407"/>
      <c r="CD822" s="407"/>
      <c r="CE822" s="407"/>
      <c r="CF822" s="407"/>
      <c r="CG822" s="407"/>
      <c r="CH822" s="407"/>
      <c r="CI822" s="407">
        <v>1820.4450000000002</v>
      </c>
      <c r="CJ822" s="407">
        <v>-2050.4850000000006</v>
      </c>
      <c r="CK822" s="407"/>
      <c r="CL822" s="407"/>
      <c r="CM822" s="407"/>
      <c r="CN822" s="407"/>
      <c r="CO822" s="407">
        <v>-4100.91</v>
      </c>
      <c r="CP822" s="407">
        <v>0</v>
      </c>
      <c r="CQ822" s="407"/>
      <c r="CR822" s="407">
        <v>-151.99665488534006</v>
      </c>
      <c r="CS822" s="407">
        <v>0</v>
      </c>
      <c r="CT822" s="407">
        <v>0</v>
      </c>
      <c r="CU822" s="407">
        <v>0</v>
      </c>
      <c r="CV822" s="407">
        <v>0</v>
      </c>
      <c r="CW822" s="407"/>
      <c r="CX822" s="407"/>
      <c r="CY822" s="407"/>
      <c r="CZ822" s="407">
        <v>0</v>
      </c>
      <c r="DA822" s="407">
        <v>0</v>
      </c>
      <c r="DB822" s="407">
        <v>0</v>
      </c>
      <c r="DC822" s="407"/>
      <c r="DD822" s="407"/>
      <c r="DE822" s="407">
        <v>0</v>
      </c>
      <c r="DF822" s="407">
        <v>0</v>
      </c>
      <c r="DG822" s="407">
        <v>0</v>
      </c>
      <c r="DH822" s="407">
        <v>0</v>
      </c>
      <c r="DI822" s="407">
        <v>0</v>
      </c>
      <c r="DJ822" s="407"/>
      <c r="DK822" s="407">
        <v>0</v>
      </c>
      <c r="DL822" s="407">
        <v>0</v>
      </c>
      <c r="DM822" s="407"/>
      <c r="DN822" s="407">
        <v>0</v>
      </c>
      <c r="DO822" s="407">
        <v>0</v>
      </c>
      <c r="DP822" s="407">
        <v>-0.80782124477702943</v>
      </c>
      <c r="DQ822" s="407">
        <v>0</v>
      </c>
      <c r="DR822" s="407">
        <v>-151.18883364056305</v>
      </c>
      <c r="DS822" s="407"/>
      <c r="DT822" s="407"/>
      <c r="DU822" s="407">
        <v>7730.7609953131432</v>
      </c>
      <c r="DV822" s="407"/>
      <c r="DW822" s="407">
        <v>0</v>
      </c>
      <c r="DX822" s="407">
        <v>0</v>
      </c>
      <c r="DY822" s="407">
        <v>-4100.91</v>
      </c>
      <c r="DZ822" s="407"/>
      <c r="EA822" s="407">
        <v>0</v>
      </c>
      <c r="EB822" s="407"/>
      <c r="EC822" s="407">
        <v>-3948.890672051999</v>
      </c>
      <c r="ED822" s="407"/>
      <c r="EE822" s="407">
        <v>0</v>
      </c>
      <c r="EF822" s="407">
        <v>0</v>
      </c>
      <c r="EG822" s="407"/>
      <c r="EH822" s="407">
        <v>0</v>
      </c>
      <c r="EI822" s="407">
        <v>0</v>
      </c>
      <c r="EJ822" s="407">
        <v>0</v>
      </c>
      <c r="EK822" s="407">
        <v>0</v>
      </c>
      <c r="EL822" s="407">
        <v>0</v>
      </c>
      <c r="EM822" s="407"/>
      <c r="EN822" s="407"/>
      <c r="EO822" s="407">
        <v>0</v>
      </c>
      <c r="EP822" s="407">
        <v>0</v>
      </c>
      <c r="EQ822" s="407"/>
      <c r="ER822" s="407">
        <v>0</v>
      </c>
      <c r="ES822" s="407"/>
      <c r="ET822" s="407">
        <v>0</v>
      </c>
      <c r="EU822" s="407"/>
      <c r="EV822" s="407">
        <v>246</v>
      </c>
      <c r="EW822" s="407"/>
      <c r="EX822" s="407"/>
      <c r="EY822" s="407"/>
      <c r="EZ822" s="407"/>
      <c r="FA822" s="407">
        <v>0</v>
      </c>
      <c r="FB822" s="407"/>
      <c r="FC822" s="407"/>
      <c r="FD822" s="407"/>
      <c r="FE822" s="407"/>
      <c r="FF822" s="407">
        <v>0</v>
      </c>
      <c r="FG822" s="407">
        <v>0</v>
      </c>
      <c r="FH822" s="407">
        <v>0</v>
      </c>
      <c r="FI822" s="407">
        <v>0</v>
      </c>
    </row>
    <row r="823" spans="1:165">
      <c r="A823" s="407">
        <v>854</v>
      </c>
      <c r="B823" s="407" t="s">
        <v>1090</v>
      </c>
      <c r="C823" s="407" t="s">
        <v>1044</v>
      </c>
      <c r="D823" s="407" t="s">
        <v>650</v>
      </c>
      <c r="E823" s="407" t="s">
        <v>97</v>
      </c>
      <c r="F823" s="407" t="s">
        <v>97</v>
      </c>
      <c r="G823" s="407" t="s">
        <v>97</v>
      </c>
      <c r="H823" s="407" t="s">
        <v>2337</v>
      </c>
      <c r="I823" s="407" t="s">
        <v>97</v>
      </c>
      <c r="J823" s="407" t="s">
        <v>2329</v>
      </c>
      <c r="K823" s="818">
        <v>44531</v>
      </c>
      <c r="L823" s="407">
        <v>379</v>
      </c>
      <c r="M823" s="407">
        <v>189.5</v>
      </c>
      <c r="N823" s="407">
        <v>0</v>
      </c>
      <c r="O823" s="407">
        <v>0</v>
      </c>
      <c r="P823" s="407">
        <v>0</v>
      </c>
      <c r="Q823" s="407">
        <v>0</v>
      </c>
      <c r="R823" s="407">
        <v>13.8</v>
      </c>
      <c r="S823" s="407"/>
      <c r="T823" s="407"/>
      <c r="U823" s="407">
        <v>5230.2</v>
      </c>
      <c r="V823" s="407"/>
      <c r="W823" s="407">
        <v>5230.2</v>
      </c>
      <c r="X823" s="407">
        <v>2459.71</v>
      </c>
      <c r="Y823" s="407">
        <v>0</v>
      </c>
      <c r="Z823" s="407">
        <v>0</v>
      </c>
      <c r="AA823" s="407">
        <v>0</v>
      </c>
      <c r="AB823" s="407">
        <v>0</v>
      </c>
      <c r="AC823" s="407">
        <v>0</v>
      </c>
      <c r="AD823" s="407">
        <v>0</v>
      </c>
      <c r="AE823" s="407">
        <v>5222.742276691054</v>
      </c>
      <c r="AF823" s="407"/>
      <c r="AG823" s="407"/>
      <c r="AH823" s="407"/>
      <c r="AI823" s="407">
        <v>0</v>
      </c>
      <c r="AJ823" s="407">
        <v>0</v>
      </c>
      <c r="AK823" s="407">
        <v>0</v>
      </c>
      <c r="AL823" s="407">
        <v>0</v>
      </c>
      <c r="AM823" s="407"/>
      <c r="AN823" s="407">
        <v>8.5650974143545646</v>
      </c>
      <c r="AO823" s="407">
        <v>0</v>
      </c>
      <c r="AP823" s="407">
        <v>0</v>
      </c>
      <c r="AQ823" s="407">
        <v>0</v>
      </c>
      <c r="AR823" s="407">
        <v>0</v>
      </c>
      <c r="AS823" s="407"/>
      <c r="AT823" s="407"/>
      <c r="AU823" s="407">
        <v>0</v>
      </c>
      <c r="AV823" s="407">
        <v>0</v>
      </c>
      <c r="AW823" s="407">
        <v>0</v>
      </c>
      <c r="AX823" s="407"/>
      <c r="AY823" s="407"/>
      <c r="AZ823" s="407">
        <v>0</v>
      </c>
      <c r="BA823" s="407"/>
      <c r="BB823" s="407">
        <v>0</v>
      </c>
      <c r="BC823" s="407">
        <v>0</v>
      </c>
      <c r="BD823" s="407">
        <v>0</v>
      </c>
      <c r="BE823" s="407">
        <v>0</v>
      </c>
      <c r="BF823" s="407"/>
      <c r="BG823" s="407">
        <v>0</v>
      </c>
      <c r="BH823" s="407">
        <v>0</v>
      </c>
      <c r="BI823" s="407">
        <v>15.69</v>
      </c>
      <c r="BJ823" s="407">
        <v>0</v>
      </c>
      <c r="BK823" s="407">
        <v>0</v>
      </c>
      <c r="BL823" s="407">
        <v>0</v>
      </c>
      <c r="BM823" s="407"/>
      <c r="BN823" s="407"/>
      <c r="BO823" s="407">
        <v>1229.855</v>
      </c>
      <c r="BP823" s="407"/>
      <c r="BQ823" s="407"/>
      <c r="BR823" s="407"/>
      <c r="BS823" s="407"/>
      <c r="BT823" s="407"/>
      <c r="BU823" s="407"/>
      <c r="BV823" s="407">
        <v>0</v>
      </c>
      <c r="BW823" s="407"/>
      <c r="BX823" s="407"/>
      <c r="BY823" s="407"/>
      <c r="BZ823" s="407"/>
      <c r="CA823" s="407"/>
      <c r="CB823" s="407"/>
      <c r="CC823" s="407"/>
      <c r="CD823" s="407"/>
      <c r="CE823" s="407"/>
      <c r="CF823" s="407"/>
      <c r="CG823" s="407"/>
      <c r="CH823" s="407"/>
      <c r="CI823" s="407">
        <v>1229.855</v>
      </c>
      <c r="CJ823" s="407">
        <v>-1385.2750000000005</v>
      </c>
      <c r="CK823" s="407"/>
      <c r="CL823" s="407"/>
      <c r="CM823" s="407"/>
      <c r="CN823" s="407"/>
      <c r="CO823" s="407">
        <v>-2770.4900000000002</v>
      </c>
      <c r="CP823" s="407">
        <v>0</v>
      </c>
      <c r="CQ823" s="407"/>
      <c r="CR823" s="407">
        <v>-102.68579715070211</v>
      </c>
      <c r="CS823" s="407">
        <v>0</v>
      </c>
      <c r="CT823" s="407">
        <v>0</v>
      </c>
      <c r="CU823" s="407">
        <v>0</v>
      </c>
      <c r="CV823" s="407">
        <v>0</v>
      </c>
      <c r="CW823" s="407"/>
      <c r="CX823" s="407"/>
      <c r="CY823" s="407"/>
      <c r="CZ823" s="407">
        <v>0</v>
      </c>
      <c r="DA823" s="407">
        <v>0</v>
      </c>
      <c r="DB823" s="407">
        <v>0</v>
      </c>
      <c r="DC823" s="407"/>
      <c r="DD823" s="407"/>
      <c r="DE823" s="407">
        <v>0</v>
      </c>
      <c r="DF823" s="407">
        <v>0</v>
      </c>
      <c r="DG823" s="407">
        <v>0</v>
      </c>
      <c r="DH823" s="407">
        <v>0</v>
      </c>
      <c r="DI823" s="407">
        <v>0</v>
      </c>
      <c r="DJ823" s="407"/>
      <c r="DK823" s="407">
        <v>0</v>
      </c>
      <c r="DL823" s="407">
        <v>0</v>
      </c>
      <c r="DM823" s="407"/>
      <c r="DN823" s="407">
        <v>0</v>
      </c>
      <c r="DO823" s="407">
        <v>0</v>
      </c>
      <c r="DP823" s="407">
        <v>-0.5457473293591697</v>
      </c>
      <c r="DQ823" s="407">
        <v>0</v>
      </c>
      <c r="DR823" s="407">
        <v>-102.14004982134294</v>
      </c>
      <c r="DS823" s="407"/>
      <c r="DT823" s="407"/>
      <c r="DU823" s="407">
        <v>5222.742276691054</v>
      </c>
      <c r="DV823" s="407"/>
      <c r="DW823" s="407">
        <v>0</v>
      </c>
      <c r="DX823" s="407">
        <v>0</v>
      </c>
      <c r="DY823" s="407">
        <v>-2770.49</v>
      </c>
      <c r="DZ823" s="407"/>
      <c r="EA823" s="407">
        <v>0</v>
      </c>
      <c r="EB823" s="407"/>
      <c r="EC823" s="407">
        <v>-2667.7888853969835</v>
      </c>
      <c r="ED823" s="407"/>
      <c r="EE823" s="407">
        <v>0</v>
      </c>
      <c r="EF823" s="407">
        <v>0</v>
      </c>
      <c r="EG823" s="407"/>
      <c r="EH823" s="407">
        <v>0</v>
      </c>
      <c r="EI823" s="407">
        <v>0</v>
      </c>
      <c r="EJ823" s="407">
        <v>0</v>
      </c>
      <c r="EK823" s="407">
        <v>0</v>
      </c>
      <c r="EL823" s="407">
        <v>0</v>
      </c>
      <c r="EM823" s="407"/>
      <c r="EN823" s="407"/>
      <c r="EO823" s="407">
        <v>0</v>
      </c>
      <c r="EP823" s="407">
        <v>0</v>
      </c>
      <c r="EQ823" s="407"/>
      <c r="ER823" s="407">
        <v>0</v>
      </c>
      <c r="ES823" s="407"/>
      <c r="ET823" s="407">
        <v>0</v>
      </c>
      <c r="EU823" s="407"/>
      <c r="EV823" s="407">
        <v>246</v>
      </c>
      <c r="EW823" s="407"/>
      <c r="EX823" s="407"/>
      <c r="EY823" s="407"/>
      <c r="EZ823" s="407"/>
      <c r="FA823" s="407">
        <v>0</v>
      </c>
      <c r="FB823" s="407"/>
      <c r="FC823" s="407"/>
      <c r="FD823" s="407"/>
      <c r="FE823" s="407"/>
      <c r="FF823" s="407">
        <v>0</v>
      </c>
      <c r="FG823" s="407">
        <v>0</v>
      </c>
      <c r="FH823" s="407">
        <v>0</v>
      </c>
      <c r="FI823" s="407">
        <v>0</v>
      </c>
    </row>
    <row r="824" spans="1:165">
      <c r="A824" s="407">
        <v>855</v>
      </c>
      <c r="B824" s="407" t="s">
        <v>1090</v>
      </c>
      <c r="C824" s="407" t="s">
        <v>1044</v>
      </c>
      <c r="D824" s="407" t="s">
        <v>650</v>
      </c>
      <c r="E824" s="407" t="s">
        <v>97</v>
      </c>
      <c r="F824" s="407" t="s">
        <v>97</v>
      </c>
      <c r="G824" s="407" t="s">
        <v>97</v>
      </c>
      <c r="H824" s="407" t="s">
        <v>2338</v>
      </c>
      <c r="I824" s="407" t="s">
        <v>97</v>
      </c>
      <c r="J824" s="407" t="s">
        <v>2329</v>
      </c>
      <c r="K824" s="818">
        <v>44531</v>
      </c>
      <c r="L824" s="407">
        <v>718</v>
      </c>
      <c r="M824" s="407">
        <v>359</v>
      </c>
      <c r="N824" s="407">
        <v>0</v>
      </c>
      <c r="O824" s="407">
        <v>0</v>
      </c>
      <c r="P824" s="407">
        <v>0</v>
      </c>
      <c r="Q824" s="407">
        <v>0</v>
      </c>
      <c r="R824" s="407">
        <v>13.8</v>
      </c>
      <c r="S824" s="407"/>
      <c r="T824" s="407"/>
      <c r="U824" s="407">
        <v>9908.4</v>
      </c>
      <c r="V824" s="407"/>
      <c r="W824" s="407">
        <v>9908.4</v>
      </c>
      <c r="X824" s="407">
        <v>4659.82</v>
      </c>
      <c r="Y824" s="407">
        <v>0</v>
      </c>
      <c r="Z824" s="407">
        <v>0</v>
      </c>
      <c r="AA824" s="407">
        <v>0</v>
      </c>
      <c r="AB824" s="407">
        <v>0</v>
      </c>
      <c r="AC824" s="407">
        <v>0</v>
      </c>
      <c r="AD824" s="407">
        <v>0</v>
      </c>
      <c r="AE824" s="407">
        <v>9894.2716481904408</v>
      </c>
      <c r="AF824" s="407"/>
      <c r="AG824" s="407"/>
      <c r="AH824" s="407"/>
      <c r="AI824" s="407">
        <v>0</v>
      </c>
      <c r="AJ824" s="407">
        <v>0</v>
      </c>
      <c r="AK824" s="407">
        <v>0</v>
      </c>
      <c r="AL824" s="407">
        <v>0</v>
      </c>
      <c r="AM824" s="407"/>
      <c r="AN824" s="407">
        <v>16.226226763869597</v>
      </c>
      <c r="AO824" s="407">
        <v>0</v>
      </c>
      <c r="AP824" s="407">
        <v>0</v>
      </c>
      <c r="AQ824" s="407">
        <v>0</v>
      </c>
      <c r="AR824" s="407">
        <v>0</v>
      </c>
      <c r="AS824" s="407"/>
      <c r="AT824" s="407"/>
      <c r="AU824" s="407">
        <v>0</v>
      </c>
      <c r="AV824" s="407">
        <v>0</v>
      </c>
      <c r="AW824" s="407">
        <v>0</v>
      </c>
      <c r="AX824" s="407"/>
      <c r="AY824" s="407"/>
      <c r="AZ824" s="407">
        <v>0</v>
      </c>
      <c r="BA824" s="407"/>
      <c r="BB824" s="407">
        <v>0</v>
      </c>
      <c r="BC824" s="407">
        <v>0</v>
      </c>
      <c r="BD824" s="407">
        <v>0</v>
      </c>
      <c r="BE824" s="407">
        <v>0</v>
      </c>
      <c r="BF824" s="407"/>
      <c r="BG824" s="407">
        <v>0</v>
      </c>
      <c r="BH824" s="407">
        <v>0</v>
      </c>
      <c r="BI824" s="407">
        <v>29.73</v>
      </c>
      <c r="BJ824" s="407">
        <v>0</v>
      </c>
      <c r="BK824" s="407">
        <v>0</v>
      </c>
      <c r="BL824" s="407">
        <v>0</v>
      </c>
      <c r="BM824" s="407"/>
      <c r="BN824" s="407"/>
      <c r="BO824" s="407">
        <v>2329.91</v>
      </c>
      <c r="BP824" s="407"/>
      <c r="BQ824" s="407"/>
      <c r="BR824" s="407"/>
      <c r="BS824" s="407"/>
      <c r="BT824" s="407"/>
      <c r="BU824" s="407"/>
      <c r="BV824" s="407">
        <v>0</v>
      </c>
      <c r="BW824" s="407"/>
      <c r="BX824" s="407"/>
      <c r="BY824" s="407"/>
      <c r="BZ824" s="407"/>
      <c r="CA824" s="407"/>
      <c r="CB824" s="407"/>
      <c r="CC824" s="407"/>
      <c r="CD824" s="407"/>
      <c r="CE824" s="407"/>
      <c r="CF824" s="407"/>
      <c r="CG824" s="407"/>
      <c r="CH824" s="407"/>
      <c r="CI824" s="407">
        <v>2329.91</v>
      </c>
      <c r="CJ824" s="407">
        <v>-2624.3200000000006</v>
      </c>
      <c r="CK824" s="407"/>
      <c r="CL824" s="407"/>
      <c r="CM824" s="407"/>
      <c r="CN824" s="407"/>
      <c r="CO824" s="407">
        <v>-5248.58</v>
      </c>
      <c r="CP824" s="407">
        <v>0</v>
      </c>
      <c r="CQ824" s="407"/>
      <c r="CR824" s="407">
        <v>-194.53404315093434</v>
      </c>
      <c r="CS824" s="407">
        <v>0</v>
      </c>
      <c r="CT824" s="407">
        <v>0</v>
      </c>
      <c r="CU824" s="407">
        <v>0</v>
      </c>
      <c r="CV824" s="407">
        <v>0</v>
      </c>
      <c r="CW824" s="407"/>
      <c r="CX824" s="407"/>
      <c r="CY824" s="407"/>
      <c r="CZ824" s="407">
        <v>0</v>
      </c>
      <c r="DA824" s="407">
        <v>0</v>
      </c>
      <c r="DB824" s="407">
        <v>0</v>
      </c>
      <c r="DC824" s="407"/>
      <c r="DD824" s="407"/>
      <c r="DE824" s="407">
        <v>0</v>
      </c>
      <c r="DF824" s="407">
        <v>0</v>
      </c>
      <c r="DG824" s="407">
        <v>0</v>
      </c>
      <c r="DH824" s="407">
        <v>0</v>
      </c>
      <c r="DI824" s="407">
        <v>0</v>
      </c>
      <c r="DJ824" s="407"/>
      <c r="DK824" s="407">
        <v>0</v>
      </c>
      <c r="DL824" s="407">
        <v>0</v>
      </c>
      <c r="DM824" s="407"/>
      <c r="DN824" s="407">
        <v>0</v>
      </c>
      <c r="DO824" s="407">
        <v>0</v>
      </c>
      <c r="DP824" s="407">
        <v>-1.0338959959891376</v>
      </c>
      <c r="DQ824" s="407">
        <v>0</v>
      </c>
      <c r="DR824" s="407">
        <v>-193.50014715494521</v>
      </c>
      <c r="DS824" s="407"/>
      <c r="DT824" s="407"/>
      <c r="DU824" s="407">
        <v>9894.2716481904408</v>
      </c>
      <c r="DV824" s="407"/>
      <c r="DW824" s="407">
        <v>0</v>
      </c>
      <c r="DX824" s="407">
        <v>0</v>
      </c>
      <c r="DY824" s="407">
        <v>-5248.58</v>
      </c>
      <c r="DZ824" s="407"/>
      <c r="EA824" s="407">
        <v>0</v>
      </c>
      <c r="EB824" s="407"/>
      <c r="EC824" s="407">
        <v>-5054.0169385620957</v>
      </c>
      <c r="ED824" s="407"/>
      <c r="EE824" s="407">
        <v>0</v>
      </c>
      <c r="EF824" s="407">
        <v>0</v>
      </c>
      <c r="EG824" s="407"/>
      <c r="EH824" s="407">
        <v>0</v>
      </c>
      <c r="EI824" s="407">
        <v>0</v>
      </c>
      <c r="EJ824" s="407">
        <v>0</v>
      </c>
      <c r="EK824" s="407">
        <v>0</v>
      </c>
      <c r="EL824" s="407">
        <v>0</v>
      </c>
      <c r="EM824" s="407"/>
      <c r="EN824" s="407"/>
      <c r="EO824" s="407">
        <v>0</v>
      </c>
      <c r="EP824" s="407">
        <v>0</v>
      </c>
      <c r="EQ824" s="407"/>
      <c r="ER824" s="407">
        <v>0</v>
      </c>
      <c r="ES824" s="407"/>
      <c r="ET824" s="407">
        <v>0</v>
      </c>
      <c r="EU824" s="407"/>
      <c r="EV824" s="407">
        <v>246</v>
      </c>
      <c r="EW824" s="407"/>
      <c r="EX824" s="407"/>
      <c r="EY824" s="407"/>
      <c r="EZ824" s="407"/>
      <c r="FA824" s="407">
        <v>0</v>
      </c>
      <c r="FB824" s="407"/>
      <c r="FC824" s="407"/>
      <c r="FD824" s="407"/>
      <c r="FE824" s="407"/>
      <c r="FF824" s="407">
        <v>0</v>
      </c>
      <c r="FG824" s="407">
        <v>0</v>
      </c>
      <c r="FH824" s="407">
        <v>0</v>
      </c>
      <c r="FI824" s="407">
        <v>0</v>
      </c>
    </row>
    <row r="825" spans="1:165">
      <c r="A825" s="407">
        <v>856</v>
      </c>
      <c r="B825" s="407" t="s">
        <v>1090</v>
      </c>
      <c r="C825" s="407" t="s">
        <v>1044</v>
      </c>
      <c r="D825" s="407" t="s">
        <v>650</v>
      </c>
      <c r="E825" s="407" t="s">
        <v>97</v>
      </c>
      <c r="F825" s="407" t="s">
        <v>97</v>
      </c>
      <c r="G825" s="407" t="s">
        <v>97</v>
      </c>
      <c r="H825" s="407" t="s">
        <v>2328</v>
      </c>
      <c r="I825" s="407" t="s">
        <v>97</v>
      </c>
      <c r="J825" s="407" t="s">
        <v>2329</v>
      </c>
      <c r="K825" s="818">
        <v>44562</v>
      </c>
      <c r="L825" s="407">
        <v>880</v>
      </c>
      <c r="M825" s="407">
        <v>440</v>
      </c>
      <c r="N825" s="407">
        <v>0</v>
      </c>
      <c r="O825" s="407">
        <v>0</v>
      </c>
      <c r="P825" s="407">
        <v>0</v>
      </c>
      <c r="Q825" s="407">
        <v>0</v>
      </c>
      <c r="R825" s="407">
        <v>13.8</v>
      </c>
      <c r="S825" s="407"/>
      <c r="T825" s="407"/>
      <c r="U825" s="407">
        <v>12144</v>
      </c>
      <c r="V825" s="407"/>
      <c r="W825" s="407">
        <v>12144</v>
      </c>
      <c r="X825" s="407">
        <v>5711.2</v>
      </c>
      <c r="Y825" s="407">
        <v>0</v>
      </c>
      <c r="Z825" s="407">
        <v>0</v>
      </c>
      <c r="AA825" s="407">
        <v>0</v>
      </c>
      <c r="AB825" s="407">
        <v>0</v>
      </c>
      <c r="AC825" s="407">
        <v>0</v>
      </c>
      <c r="AD825" s="407">
        <v>0</v>
      </c>
      <c r="AE825" s="407">
        <v>12126.683914216695</v>
      </c>
      <c r="AF825" s="407"/>
      <c r="AG825" s="407"/>
      <c r="AH825" s="407"/>
      <c r="AI825" s="407">
        <v>0</v>
      </c>
      <c r="AJ825" s="407">
        <v>0</v>
      </c>
      <c r="AK825" s="407">
        <v>0</v>
      </c>
      <c r="AL825" s="407">
        <v>0</v>
      </c>
      <c r="AM825" s="407"/>
      <c r="AN825" s="407">
        <v>19.887297426469704</v>
      </c>
      <c r="AO825" s="407">
        <v>0</v>
      </c>
      <c r="AP825" s="407">
        <v>0</v>
      </c>
      <c r="AQ825" s="407">
        <v>0</v>
      </c>
      <c r="AR825" s="407">
        <v>0</v>
      </c>
      <c r="AS825" s="407"/>
      <c r="AT825" s="407"/>
      <c r="AU825" s="407">
        <v>0</v>
      </c>
      <c r="AV825" s="407">
        <v>0</v>
      </c>
      <c r="AW825" s="407">
        <v>0</v>
      </c>
      <c r="AX825" s="407"/>
      <c r="AY825" s="407"/>
      <c r="AZ825" s="407">
        <v>0</v>
      </c>
      <c r="BA825" s="407"/>
      <c r="BB825" s="407">
        <v>0</v>
      </c>
      <c r="BC825" s="407">
        <v>0</v>
      </c>
      <c r="BD825" s="407">
        <v>0</v>
      </c>
      <c r="BE825" s="407">
        <v>0</v>
      </c>
      <c r="BF825" s="407"/>
      <c r="BG825" s="407">
        <v>0</v>
      </c>
      <c r="BH825" s="407">
        <v>0</v>
      </c>
      <c r="BI825" s="407">
        <v>9.73</v>
      </c>
      <c r="BJ825" s="407">
        <v>0</v>
      </c>
      <c r="BK825" s="407">
        <v>0</v>
      </c>
      <c r="BL825" s="407">
        <v>0</v>
      </c>
      <c r="BM825" s="407"/>
      <c r="BN825" s="407"/>
      <c r="BO825" s="407">
        <v>2855.6</v>
      </c>
      <c r="BP825" s="407"/>
      <c r="BQ825" s="407"/>
      <c r="BR825" s="407"/>
      <c r="BS825" s="407"/>
      <c r="BT825" s="407"/>
      <c r="BU825" s="407"/>
      <c r="BV825" s="407">
        <v>0</v>
      </c>
      <c r="BW825" s="407"/>
      <c r="BX825" s="407"/>
      <c r="BY825" s="407"/>
      <c r="BZ825" s="407"/>
      <c r="CA825" s="407"/>
      <c r="CB825" s="407"/>
      <c r="CC825" s="407"/>
      <c r="CD825" s="407"/>
      <c r="CE825" s="407"/>
      <c r="CF825" s="407"/>
      <c r="CG825" s="407"/>
      <c r="CH825" s="407"/>
      <c r="CI825" s="407">
        <v>2855.6</v>
      </c>
      <c r="CJ825" s="407">
        <v>-3216.4300000000007</v>
      </c>
      <c r="CK825" s="407"/>
      <c r="CL825" s="407"/>
      <c r="CM825" s="407"/>
      <c r="CN825" s="407"/>
      <c r="CO825" s="407">
        <v>-6432.8</v>
      </c>
      <c r="CP825" s="407">
        <v>0</v>
      </c>
      <c r="CQ825" s="407">
        <v>31</v>
      </c>
      <c r="CR825" s="407">
        <v>-238.42612531033737</v>
      </c>
      <c r="CS825" s="407">
        <v>0</v>
      </c>
      <c r="CT825" s="407">
        <v>0</v>
      </c>
      <c r="CU825" s="407">
        <v>0</v>
      </c>
      <c r="CV825" s="407">
        <v>0</v>
      </c>
      <c r="CW825" s="407"/>
      <c r="CX825" s="407"/>
      <c r="CY825" s="407"/>
      <c r="CZ825" s="407">
        <v>0</v>
      </c>
      <c r="DA825" s="407">
        <v>0</v>
      </c>
      <c r="DB825" s="407">
        <v>0</v>
      </c>
      <c r="DC825" s="407"/>
      <c r="DD825" s="407"/>
      <c r="DE825" s="407">
        <v>0</v>
      </c>
      <c r="DF825" s="407">
        <v>0</v>
      </c>
      <c r="DG825" s="407">
        <v>0</v>
      </c>
      <c r="DH825" s="407">
        <v>0</v>
      </c>
      <c r="DI825" s="407">
        <v>0</v>
      </c>
      <c r="DJ825" s="407"/>
      <c r="DK825" s="407">
        <v>0</v>
      </c>
      <c r="DL825" s="407">
        <v>0</v>
      </c>
      <c r="DM825" s="407"/>
      <c r="DN825" s="407">
        <v>0</v>
      </c>
      <c r="DO825" s="407">
        <v>0</v>
      </c>
      <c r="DP825" s="407">
        <v>-1.2671705800424</v>
      </c>
      <c r="DQ825" s="407">
        <v>0</v>
      </c>
      <c r="DR825" s="407">
        <v>-237.15895473029497</v>
      </c>
      <c r="DS825" s="407"/>
      <c r="DT825" s="407"/>
      <c r="DU825" s="407">
        <v>12126.683914216695</v>
      </c>
      <c r="DV825" s="407"/>
      <c r="DW825" s="407">
        <v>0</v>
      </c>
      <c r="DX825" s="407">
        <v>0</v>
      </c>
      <c r="DY825" s="407">
        <v>-6432.8</v>
      </c>
      <c r="DZ825" s="407"/>
      <c r="EA825" s="407">
        <v>0</v>
      </c>
      <c r="EB825" s="407"/>
      <c r="EC825" s="407">
        <v>-6194.3383091011747</v>
      </c>
      <c r="ED825" s="407"/>
      <c r="EE825" s="407">
        <v>0</v>
      </c>
      <c r="EF825" s="407">
        <v>0</v>
      </c>
      <c r="EG825" s="407"/>
      <c r="EH825" s="407">
        <v>0</v>
      </c>
      <c r="EI825" s="407">
        <v>0</v>
      </c>
      <c r="EJ825" s="407">
        <v>0</v>
      </c>
      <c r="EK825" s="407">
        <v>0</v>
      </c>
      <c r="EL825" s="407">
        <v>0</v>
      </c>
      <c r="EM825" s="407"/>
      <c r="EN825" s="407"/>
      <c r="EO825" s="407">
        <v>0</v>
      </c>
      <c r="EP825" s="407">
        <v>0</v>
      </c>
      <c r="EQ825" s="407"/>
      <c r="ER825" s="407">
        <v>0</v>
      </c>
      <c r="ES825" s="407"/>
      <c r="ET825" s="407">
        <v>0</v>
      </c>
      <c r="EU825" s="407"/>
      <c r="EV825" s="407">
        <v>246</v>
      </c>
      <c r="EW825" s="407"/>
      <c r="EX825" s="407"/>
      <c r="EY825" s="407"/>
      <c r="EZ825" s="407"/>
      <c r="FA825" s="407">
        <v>0</v>
      </c>
      <c r="FB825" s="407"/>
      <c r="FC825" s="407"/>
      <c r="FD825" s="407"/>
      <c r="FE825" s="407"/>
      <c r="FF825" s="407">
        <v>0</v>
      </c>
      <c r="FG825" s="407">
        <v>0</v>
      </c>
      <c r="FH825" s="407">
        <v>0</v>
      </c>
      <c r="FI825" s="407">
        <v>0</v>
      </c>
    </row>
    <row r="826" spans="1:165">
      <c r="A826" s="407">
        <v>857</v>
      </c>
      <c r="B826" s="407" t="s">
        <v>1090</v>
      </c>
      <c r="C826" s="407" t="s">
        <v>1044</v>
      </c>
      <c r="D826" s="407" t="s">
        <v>650</v>
      </c>
      <c r="E826" s="407" t="s">
        <v>97</v>
      </c>
      <c r="F826" s="407" t="s">
        <v>97</v>
      </c>
      <c r="G826" s="407" t="s">
        <v>97</v>
      </c>
      <c r="H826" s="407" t="s">
        <v>2330</v>
      </c>
      <c r="I826" s="407" t="s">
        <v>97</v>
      </c>
      <c r="J826" s="407" t="s">
        <v>2329</v>
      </c>
      <c r="K826" s="818">
        <v>44562</v>
      </c>
      <c r="L826" s="407">
        <v>520</v>
      </c>
      <c r="M826" s="407">
        <v>260</v>
      </c>
      <c r="N826" s="407">
        <v>0</v>
      </c>
      <c r="O826" s="407">
        <v>0</v>
      </c>
      <c r="P826" s="407">
        <v>0</v>
      </c>
      <c r="Q826" s="407">
        <v>0</v>
      </c>
      <c r="R826" s="407">
        <v>13.8</v>
      </c>
      <c r="S826" s="407"/>
      <c r="T826" s="407"/>
      <c r="U826" s="407">
        <v>7176</v>
      </c>
      <c r="V826" s="407"/>
      <c r="W826" s="407">
        <v>7176</v>
      </c>
      <c r="X826" s="407">
        <v>3374.8</v>
      </c>
      <c r="Y826" s="407">
        <v>0</v>
      </c>
      <c r="Z826" s="407">
        <v>0</v>
      </c>
      <c r="AA826" s="407">
        <v>0</v>
      </c>
      <c r="AB826" s="407">
        <v>0</v>
      </c>
      <c r="AC826" s="407">
        <v>0</v>
      </c>
      <c r="AD826" s="407">
        <v>0</v>
      </c>
      <c r="AE826" s="407">
        <v>7165.767767491684</v>
      </c>
      <c r="AF826" s="407"/>
      <c r="AG826" s="407"/>
      <c r="AH826" s="407"/>
      <c r="AI826" s="407">
        <v>0</v>
      </c>
      <c r="AJ826" s="407">
        <v>0</v>
      </c>
      <c r="AK826" s="407">
        <v>0</v>
      </c>
      <c r="AL826" s="407">
        <v>0</v>
      </c>
      <c r="AM826" s="407"/>
      <c r="AN826" s="407">
        <v>11.751584842913916</v>
      </c>
      <c r="AO826" s="407">
        <v>0</v>
      </c>
      <c r="AP826" s="407">
        <v>0</v>
      </c>
      <c r="AQ826" s="407">
        <v>0</v>
      </c>
      <c r="AR826" s="407">
        <v>0</v>
      </c>
      <c r="AS826" s="407"/>
      <c r="AT826" s="407"/>
      <c r="AU826" s="407">
        <v>0</v>
      </c>
      <c r="AV826" s="407">
        <v>0</v>
      </c>
      <c r="AW826" s="407">
        <v>0</v>
      </c>
      <c r="AX826" s="407"/>
      <c r="AY826" s="407"/>
      <c r="AZ826" s="407">
        <v>0</v>
      </c>
      <c r="BA826" s="407"/>
      <c r="BB826" s="407">
        <v>0</v>
      </c>
      <c r="BC826" s="407">
        <v>0</v>
      </c>
      <c r="BD826" s="407">
        <v>0</v>
      </c>
      <c r="BE826" s="407">
        <v>0</v>
      </c>
      <c r="BF826" s="407"/>
      <c r="BG826" s="407">
        <v>0</v>
      </c>
      <c r="BH826" s="407">
        <v>0</v>
      </c>
      <c r="BI826" s="407">
        <v>5.75</v>
      </c>
      <c r="BJ826" s="407">
        <v>0</v>
      </c>
      <c r="BK826" s="407">
        <v>0</v>
      </c>
      <c r="BL826" s="407">
        <v>0</v>
      </c>
      <c r="BM826" s="407"/>
      <c r="BN826" s="407"/>
      <c r="BO826" s="407">
        <v>1687.4</v>
      </c>
      <c r="BP826" s="407"/>
      <c r="BQ826" s="407"/>
      <c r="BR826" s="407"/>
      <c r="BS826" s="407"/>
      <c r="BT826" s="407"/>
      <c r="BU826" s="407"/>
      <c r="BV826" s="407">
        <v>0</v>
      </c>
      <c r="BW826" s="407"/>
      <c r="BX826" s="407"/>
      <c r="BY826" s="407"/>
      <c r="BZ826" s="407"/>
      <c r="CA826" s="407"/>
      <c r="CB826" s="407"/>
      <c r="CC826" s="407"/>
      <c r="CD826" s="407"/>
      <c r="CE826" s="407"/>
      <c r="CF826" s="407"/>
      <c r="CG826" s="407"/>
      <c r="CH826" s="407"/>
      <c r="CI826" s="407">
        <v>1687.4</v>
      </c>
      <c r="CJ826" s="407">
        <v>-1900.6300000000006</v>
      </c>
      <c r="CK826" s="407"/>
      <c r="CL826" s="407"/>
      <c r="CM826" s="407"/>
      <c r="CN826" s="407"/>
      <c r="CO826" s="407">
        <v>-3801.2000000000003</v>
      </c>
      <c r="CP826" s="407">
        <v>0</v>
      </c>
      <c r="CQ826" s="407">
        <v>31</v>
      </c>
      <c r="CR826" s="407">
        <v>-140.88816495610848</v>
      </c>
      <c r="CS826" s="407">
        <v>0</v>
      </c>
      <c r="CT826" s="407">
        <v>0</v>
      </c>
      <c r="CU826" s="407">
        <v>0</v>
      </c>
      <c r="CV826" s="407">
        <v>0</v>
      </c>
      <c r="CW826" s="407"/>
      <c r="CX826" s="407"/>
      <c r="CY826" s="407"/>
      <c r="CZ826" s="407">
        <v>0</v>
      </c>
      <c r="DA826" s="407">
        <v>0</v>
      </c>
      <c r="DB826" s="407">
        <v>0</v>
      </c>
      <c r="DC826" s="407"/>
      <c r="DD826" s="407"/>
      <c r="DE826" s="407">
        <v>0</v>
      </c>
      <c r="DF826" s="407">
        <v>0</v>
      </c>
      <c r="DG826" s="407">
        <v>0</v>
      </c>
      <c r="DH826" s="407">
        <v>0</v>
      </c>
      <c r="DI826" s="407">
        <v>0</v>
      </c>
      <c r="DJ826" s="407"/>
      <c r="DK826" s="407">
        <v>0</v>
      </c>
      <c r="DL826" s="407">
        <v>0</v>
      </c>
      <c r="DM826" s="407"/>
      <c r="DN826" s="407">
        <v>0</v>
      </c>
      <c r="DO826" s="407">
        <v>0</v>
      </c>
      <c r="DP826" s="407">
        <v>-0.74878261547960001</v>
      </c>
      <c r="DQ826" s="407">
        <v>0</v>
      </c>
      <c r="DR826" s="407">
        <v>-140.13938234062886</v>
      </c>
      <c r="DS826" s="407"/>
      <c r="DT826" s="407"/>
      <c r="DU826" s="407">
        <v>7165.767767491684</v>
      </c>
      <c r="DV826" s="407"/>
      <c r="DW826" s="407">
        <v>0</v>
      </c>
      <c r="DX826" s="407">
        <v>0</v>
      </c>
      <c r="DY826" s="407">
        <v>-3801.2</v>
      </c>
      <c r="DZ826" s="407"/>
      <c r="EA826" s="407">
        <v>0</v>
      </c>
      <c r="EB826" s="407"/>
      <c r="EC826" s="407">
        <v>-3660.2908190143312</v>
      </c>
      <c r="ED826" s="407"/>
      <c r="EE826" s="407">
        <v>0</v>
      </c>
      <c r="EF826" s="407">
        <v>0</v>
      </c>
      <c r="EG826" s="407"/>
      <c r="EH826" s="407">
        <v>0</v>
      </c>
      <c r="EI826" s="407">
        <v>0</v>
      </c>
      <c r="EJ826" s="407">
        <v>0</v>
      </c>
      <c r="EK826" s="407">
        <v>0</v>
      </c>
      <c r="EL826" s="407">
        <v>0</v>
      </c>
      <c r="EM826" s="407"/>
      <c r="EN826" s="407"/>
      <c r="EO826" s="407">
        <v>0</v>
      </c>
      <c r="EP826" s="407">
        <v>0</v>
      </c>
      <c r="EQ826" s="407"/>
      <c r="ER826" s="407">
        <v>0</v>
      </c>
      <c r="ES826" s="407"/>
      <c r="ET826" s="407">
        <v>0</v>
      </c>
      <c r="EU826" s="407"/>
      <c r="EV826" s="407">
        <v>246</v>
      </c>
      <c r="EW826" s="407"/>
      <c r="EX826" s="407"/>
      <c r="EY826" s="407"/>
      <c r="EZ826" s="407"/>
      <c r="FA826" s="407">
        <v>0</v>
      </c>
      <c r="FB826" s="407"/>
      <c r="FC826" s="407"/>
      <c r="FD826" s="407"/>
      <c r="FE826" s="407"/>
      <c r="FF826" s="407">
        <v>0</v>
      </c>
      <c r="FG826" s="407">
        <v>0</v>
      </c>
      <c r="FH826" s="407">
        <v>0</v>
      </c>
      <c r="FI826" s="407">
        <v>0</v>
      </c>
    </row>
    <row r="827" spans="1:165">
      <c r="A827" s="407">
        <v>858</v>
      </c>
      <c r="B827" s="407" t="s">
        <v>1090</v>
      </c>
      <c r="C827" s="407" t="s">
        <v>1044</v>
      </c>
      <c r="D827" s="407" t="s">
        <v>650</v>
      </c>
      <c r="E827" s="407" t="s">
        <v>97</v>
      </c>
      <c r="F827" s="407" t="s">
        <v>97</v>
      </c>
      <c r="G827" s="407" t="s">
        <v>97</v>
      </c>
      <c r="H827" s="407" t="s">
        <v>2331</v>
      </c>
      <c r="I827" s="407" t="s">
        <v>97</v>
      </c>
      <c r="J827" s="407" t="s">
        <v>2329</v>
      </c>
      <c r="K827" s="818">
        <v>44562</v>
      </c>
      <c r="L827" s="407">
        <v>1000</v>
      </c>
      <c r="M827" s="407">
        <v>500</v>
      </c>
      <c r="N827" s="407">
        <v>0</v>
      </c>
      <c r="O827" s="407">
        <v>0</v>
      </c>
      <c r="P827" s="407">
        <v>0</v>
      </c>
      <c r="Q827" s="407">
        <v>0</v>
      </c>
      <c r="R827" s="407">
        <v>13.8</v>
      </c>
      <c r="S827" s="407"/>
      <c r="T827" s="407"/>
      <c r="U827" s="407">
        <v>13800</v>
      </c>
      <c r="V827" s="407"/>
      <c r="W827" s="407">
        <v>13800</v>
      </c>
      <c r="X827" s="407">
        <v>6490</v>
      </c>
      <c r="Y827" s="407">
        <v>0</v>
      </c>
      <c r="Z827" s="407">
        <v>0</v>
      </c>
      <c r="AA827" s="407">
        <v>0</v>
      </c>
      <c r="AB827" s="407">
        <v>0</v>
      </c>
      <c r="AC827" s="407">
        <v>0</v>
      </c>
      <c r="AD827" s="407">
        <v>0</v>
      </c>
      <c r="AE827" s="407">
        <v>13780.322629791699</v>
      </c>
      <c r="AF827" s="407"/>
      <c r="AG827" s="407"/>
      <c r="AH827" s="407"/>
      <c r="AI827" s="407">
        <v>0</v>
      </c>
      <c r="AJ827" s="407">
        <v>0</v>
      </c>
      <c r="AK827" s="407">
        <v>0</v>
      </c>
      <c r="AL827" s="407">
        <v>0</v>
      </c>
      <c r="AM827" s="407"/>
      <c r="AN827" s="407">
        <v>22.5992016209883</v>
      </c>
      <c r="AO827" s="407">
        <v>0</v>
      </c>
      <c r="AP827" s="407">
        <v>0</v>
      </c>
      <c r="AQ827" s="407">
        <v>0</v>
      </c>
      <c r="AR827" s="407">
        <v>0</v>
      </c>
      <c r="AS827" s="407"/>
      <c r="AT827" s="407"/>
      <c r="AU827" s="407">
        <v>0</v>
      </c>
      <c r="AV827" s="407">
        <v>0</v>
      </c>
      <c r="AW827" s="407">
        <v>0</v>
      </c>
      <c r="AX827" s="407"/>
      <c r="AY827" s="407"/>
      <c r="AZ827" s="407">
        <v>0</v>
      </c>
      <c r="BA827" s="407"/>
      <c r="BB827" s="407">
        <v>0</v>
      </c>
      <c r="BC827" s="407">
        <v>0</v>
      </c>
      <c r="BD827" s="407">
        <v>0</v>
      </c>
      <c r="BE827" s="407">
        <v>0</v>
      </c>
      <c r="BF827" s="407"/>
      <c r="BG827" s="407">
        <v>0</v>
      </c>
      <c r="BH827" s="407">
        <v>0</v>
      </c>
      <c r="BI827" s="407">
        <v>11.07</v>
      </c>
      <c r="BJ827" s="407">
        <v>0</v>
      </c>
      <c r="BK827" s="407">
        <v>0</v>
      </c>
      <c r="BL827" s="407">
        <v>0</v>
      </c>
      <c r="BM827" s="407"/>
      <c r="BN827" s="407"/>
      <c r="BO827" s="407">
        <v>3245</v>
      </c>
      <c r="BP827" s="407"/>
      <c r="BQ827" s="407"/>
      <c r="BR827" s="407"/>
      <c r="BS827" s="407"/>
      <c r="BT827" s="407"/>
      <c r="BU827" s="407"/>
      <c r="BV827" s="407">
        <v>0</v>
      </c>
      <c r="BW827" s="407"/>
      <c r="BX827" s="407"/>
      <c r="BY827" s="407"/>
      <c r="BZ827" s="407"/>
      <c r="CA827" s="407"/>
      <c r="CB827" s="407"/>
      <c r="CC827" s="407"/>
      <c r="CD827" s="407"/>
      <c r="CE827" s="407"/>
      <c r="CF827" s="407"/>
      <c r="CG827" s="407"/>
      <c r="CH827" s="407"/>
      <c r="CI827" s="407">
        <v>3245</v>
      </c>
      <c r="CJ827" s="407">
        <v>-3655.0300000000007</v>
      </c>
      <c r="CK827" s="407"/>
      <c r="CL827" s="407"/>
      <c r="CM827" s="407"/>
      <c r="CN827" s="407"/>
      <c r="CO827" s="407">
        <v>-7310.0000000000009</v>
      </c>
      <c r="CP827" s="407">
        <v>0</v>
      </c>
      <c r="CQ827" s="407">
        <v>31</v>
      </c>
      <c r="CR827" s="407">
        <v>-270.93877876174702</v>
      </c>
      <c r="CS827" s="407">
        <v>0</v>
      </c>
      <c r="CT827" s="407">
        <v>0</v>
      </c>
      <c r="CU827" s="407">
        <v>0</v>
      </c>
      <c r="CV827" s="407">
        <v>0</v>
      </c>
      <c r="CW827" s="407"/>
      <c r="CX827" s="407"/>
      <c r="CY827" s="407"/>
      <c r="CZ827" s="407">
        <v>0</v>
      </c>
      <c r="DA827" s="407">
        <v>0</v>
      </c>
      <c r="DB827" s="407">
        <v>0</v>
      </c>
      <c r="DC827" s="407"/>
      <c r="DD827" s="407"/>
      <c r="DE827" s="407">
        <v>0</v>
      </c>
      <c r="DF827" s="407">
        <v>0</v>
      </c>
      <c r="DG827" s="407">
        <v>0</v>
      </c>
      <c r="DH827" s="407">
        <v>0</v>
      </c>
      <c r="DI827" s="407">
        <v>0</v>
      </c>
      <c r="DJ827" s="407"/>
      <c r="DK827" s="407">
        <v>0</v>
      </c>
      <c r="DL827" s="407">
        <v>0</v>
      </c>
      <c r="DM827" s="407"/>
      <c r="DN827" s="407">
        <v>0</v>
      </c>
      <c r="DO827" s="407">
        <v>0</v>
      </c>
      <c r="DP827" s="407">
        <v>-1.4399665682300018</v>
      </c>
      <c r="DQ827" s="407">
        <v>0</v>
      </c>
      <c r="DR827" s="407">
        <v>-269.49881219351704</v>
      </c>
      <c r="DS827" s="407"/>
      <c r="DT827" s="407"/>
      <c r="DU827" s="407">
        <v>13780.322629791699</v>
      </c>
      <c r="DV827" s="407"/>
      <c r="DW827" s="407">
        <v>0</v>
      </c>
      <c r="DX827" s="407">
        <v>0</v>
      </c>
      <c r="DY827" s="407">
        <v>-7310</v>
      </c>
      <c r="DZ827" s="407"/>
      <c r="EA827" s="407">
        <v>0</v>
      </c>
      <c r="EB827" s="407"/>
      <c r="EC827" s="407">
        <v>-7039.0208057967893</v>
      </c>
      <c r="ED827" s="407"/>
      <c r="EE827" s="407">
        <v>0</v>
      </c>
      <c r="EF827" s="407">
        <v>0</v>
      </c>
      <c r="EG827" s="407"/>
      <c r="EH827" s="407">
        <v>0</v>
      </c>
      <c r="EI827" s="407">
        <v>0</v>
      </c>
      <c r="EJ827" s="407">
        <v>0</v>
      </c>
      <c r="EK827" s="407">
        <v>0</v>
      </c>
      <c r="EL827" s="407">
        <v>0</v>
      </c>
      <c r="EM827" s="407"/>
      <c r="EN827" s="407"/>
      <c r="EO827" s="407">
        <v>0</v>
      </c>
      <c r="EP827" s="407">
        <v>0</v>
      </c>
      <c r="EQ827" s="407"/>
      <c r="ER827" s="407">
        <v>0</v>
      </c>
      <c r="ES827" s="407"/>
      <c r="ET827" s="407">
        <v>0</v>
      </c>
      <c r="EU827" s="407"/>
      <c r="EV827" s="407">
        <v>246</v>
      </c>
      <c r="EW827" s="407"/>
      <c r="EX827" s="407"/>
      <c r="EY827" s="407"/>
      <c r="EZ827" s="407"/>
      <c r="FA827" s="407">
        <v>0</v>
      </c>
      <c r="FB827" s="407"/>
      <c r="FC827" s="407"/>
      <c r="FD827" s="407"/>
      <c r="FE827" s="407"/>
      <c r="FF827" s="407">
        <v>0</v>
      </c>
      <c r="FG827" s="407">
        <v>0</v>
      </c>
      <c r="FH827" s="407">
        <v>0</v>
      </c>
      <c r="FI827" s="407">
        <v>0</v>
      </c>
    </row>
    <row r="828" spans="1:165">
      <c r="A828" s="407">
        <v>859</v>
      </c>
      <c r="B828" s="407" t="s">
        <v>1090</v>
      </c>
      <c r="C828" s="407" t="s">
        <v>1044</v>
      </c>
      <c r="D828" s="407" t="s">
        <v>650</v>
      </c>
      <c r="E828" s="407" t="s">
        <v>97</v>
      </c>
      <c r="F828" s="407" t="s">
        <v>97</v>
      </c>
      <c r="G828" s="407" t="s">
        <v>97</v>
      </c>
      <c r="H828" s="407" t="s">
        <v>2332</v>
      </c>
      <c r="I828" s="407" t="s">
        <v>97</v>
      </c>
      <c r="J828" s="407" t="s">
        <v>2329</v>
      </c>
      <c r="K828" s="818">
        <v>44562</v>
      </c>
      <c r="L828" s="407">
        <v>800</v>
      </c>
      <c r="M828" s="407">
        <v>400</v>
      </c>
      <c r="N828" s="407">
        <v>0</v>
      </c>
      <c r="O828" s="407">
        <v>0</v>
      </c>
      <c r="P828" s="407">
        <v>0</v>
      </c>
      <c r="Q828" s="407">
        <v>0</v>
      </c>
      <c r="R828" s="407">
        <v>13.8</v>
      </c>
      <c r="S828" s="407"/>
      <c r="T828" s="407"/>
      <c r="U828" s="407">
        <v>11040</v>
      </c>
      <c r="V828" s="407"/>
      <c r="W828" s="407">
        <v>11040</v>
      </c>
      <c r="X828" s="407">
        <v>5192</v>
      </c>
      <c r="Y828" s="407">
        <v>0</v>
      </c>
      <c r="Z828" s="407">
        <v>0</v>
      </c>
      <c r="AA828" s="407">
        <v>0</v>
      </c>
      <c r="AB828" s="407">
        <v>0</v>
      </c>
      <c r="AC828" s="407">
        <v>0</v>
      </c>
      <c r="AD828" s="407">
        <v>0</v>
      </c>
      <c r="AE828" s="407">
        <v>11024.258103833359</v>
      </c>
      <c r="AF828" s="407"/>
      <c r="AG828" s="407"/>
      <c r="AH828" s="407"/>
      <c r="AI828" s="407">
        <v>0</v>
      </c>
      <c r="AJ828" s="407">
        <v>0</v>
      </c>
      <c r="AK828" s="407">
        <v>0</v>
      </c>
      <c r="AL828" s="407">
        <v>0</v>
      </c>
      <c r="AM828" s="407"/>
      <c r="AN828" s="407">
        <v>18.079361296790637</v>
      </c>
      <c r="AO828" s="407">
        <v>0</v>
      </c>
      <c r="AP828" s="407">
        <v>0</v>
      </c>
      <c r="AQ828" s="407">
        <v>0</v>
      </c>
      <c r="AR828" s="407">
        <v>0</v>
      </c>
      <c r="AS828" s="407"/>
      <c r="AT828" s="407"/>
      <c r="AU828" s="407">
        <v>0</v>
      </c>
      <c r="AV828" s="407">
        <v>0</v>
      </c>
      <c r="AW828" s="407">
        <v>0</v>
      </c>
      <c r="AX828" s="407"/>
      <c r="AY828" s="407"/>
      <c r="AZ828" s="407">
        <v>0</v>
      </c>
      <c r="BA828" s="407"/>
      <c r="BB828" s="407">
        <v>0</v>
      </c>
      <c r="BC828" s="407">
        <v>0</v>
      </c>
      <c r="BD828" s="407">
        <v>0</v>
      </c>
      <c r="BE828" s="407">
        <v>0</v>
      </c>
      <c r="BF828" s="407"/>
      <c r="BG828" s="407">
        <v>0</v>
      </c>
      <c r="BH828" s="407">
        <v>0</v>
      </c>
      <c r="BI828" s="407">
        <v>8.85</v>
      </c>
      <c r="BJ828" s="407">
        <v>0</v>
      </c>
      <c r="BK828" s="407">
        <v>0</v>
      </c>
      <c r="BL828" s="407">
        <v>0</v>
      </c>
      <c r="BM828" s="407"/>
      <c r="BN828" s="407"/>
      <c r="BO828" s="407">
        <v>2596</v>
      </c>
      <c r="BP828" s="407"/>
      <c r="BQ828" s="407"/>
      <c r="BR828" s="407"/>
      <c r="BS828" s="407"/>
      <c r="BT828" s="407"/>
      <c r="BU828" s="407"/>
      <c r="BV828" s="407">
        <v>0</v>
      </c>
      <c r="BW828" s="407"/>
      <c r="BX828" s="407"/>
      <c r="BY828" s="407"/>
      <c r="BZ828" s="407"/>
      <c r="CA828" s="407"/>
      <c r="CB828" s="407"/>
      <c r="CC828" s="407"/>
      <c r="CD828" s="407"/>
      <c r="CE828" s="407"/>
      <c r="CF828" s="407"/>
      <c r="CG828" s="407"/>
      <c r="CH828" s="407"/>
      <c r="CI828" s="407">
        <v>2596</v>
      </c>
      <c r="CJ828" s="407">
        <v>-2924.0300000000007</v>
      </c>
      <c r="CK828" s="407"/>
      <c r="CL828" s="407"/>
      <c r="CM828" s="407"/>
      <c r="CN828" s="407"/>
      <c r="CO828" s="407">
        <v>-5848</v>
      </c>
      <c r="CP828" s="407">
        <v>0</v>
      </c>
      <c r="CQ828" s="407">
        <v>31</v>
      </c>
      <c r="CR828" s="407">
        <v>-216.75102300939761</v>
      </c>
      <c r="CS828" s="407">
        <v>0</v>
      </c>
      <c r="CT828" s="407">
        <v>0</v>
      </c>
      <c r="CU828" s="407">
        <v>0</v>
      </c>
      <c r="CV828" s="407">
        <v>0</v>
      </c>
      <c r="CW828" s="407"/>
      <c r="CX828" s="407"/>
      <c r="CY828" s="407"/>
      <c r="CZ828" s="407">
        <v>0</v>
      </c>
      <c r="DA828" s="407">
        <v>0</v>
      </c>
      <c r="DB828" s="407">
        <v>0</v>
      </c>
      <c r="DC828" s="407"/>
      <c r="DD828" s="407"/>
      <c r="DE828" s="407">
        <v>0</v>
      </c>
      <c r="DF828" s="407">
        <v>0</v>
      </c>
      <c r="DG828" s="407">
        <v>0</v>
      </c>
      <c r="DH828" s="407">
        <v>0</v>
      </c>
      <c r="DI828" s="407">
        <v>0</v>
      </c>
      <c r="DJ828" s="407"/>
      <c r="DK828" s="407">
        <v>0</v>
      </c>
      <c r="DL828" s="407">
        <v>0</v>
      </c>
      <c r="DM828" s="407"/>
      <c r="DN828" s="407">
        <v>0</v>
      </c>
      <c r="DO828" s="407">
        <v>0</v>
      </c>
      <c r="DP828" s="407">
        <v>-1.1519732545839965</v>
      </c>
      <c r="DQ828" s="407">
        <v>0</v>
      </c>
      <c r="DR828" s="407">
        <v>-215.59904975481362</v>
      </c>
      <c r="DS828" s="407"/>
      <c r="DT828" s="407"/>
      <c r="DU828" s="407">
        <v>11024.258103833359</v>
      </c>
      <c r="DV828" s="407"/>
      <c r="DW828" s="407">
        <v>0</v>
      </c>
      <c r="DX828" s="407">
        <v>0</v>
      </c>
      <c r="DY828" s="407">
        <v>-5848</v>
      </c>
      <c r="DZ828" s="407"/>
      <c r="EA828" s="407">
        <v>0</v>
      </c>
      <c r="EB828" s="407"/>
      <c r="EC828" s="407">
        <v>-5631.2166446374313</v>
      </c>
      <c r="ED828" s="407"/>
      <c r="EE828" s="407">
        <v>0</v>
      </c>
      <c r="EF828" s="407">
        <v>0</v>
      </c>
      <c r="EG828" s="407"/>
      <c r="EH828" s="407">
        <v>0</v>
      </c>
      <c r="EI828" s="407">
        <v>0</v>
      </c>
      <c r="EJ828" s="407">
        <v>0</v>
      </c>
      <c r="EK828" s="407">
        <v>0</v>
      </c>
      <c r="EL828" s="407">
        <v>0</v>
      </c>
      <c r="EM828" s="407"/>
      <c r="EN828" s="407"/>
      <c r="EO828" s="407">
        <v>0</v>
      </c>
      <c r="EP828" s="407">
        <v>0</v>
      </c>
      <c r="EQ828" s="407"/>
      <c r="ER828" s="407">
        <v>0</v>
      </c>
      <c r="ES828" s="407"/>
      <c r="ET828" s="407">
        <v>0</v>
      </c>
      <c r="EU828" s="407"/>
      <c r="EV828" s="407">
        <v>246</v>
      </c>
      <c r="EW828" s="407"/>
      <c r="EX828" s="407"/>
      <c r="EY828" s="407"/>
      <c r="EZ828" s="407"/>
      <c r="FA828" s="407">
        <v>0</v>
      </c>
      <c r="FB828" s="407"/>
      <c r="FC828" s="407"/>
      <c r="FD828" s="407"/>
      <c r="FE828" s="407"/>
      <c r="FF828" s="407">
        <v>0</v>
      </c>
      <c r="FG828" s="407">
        <v>0</v>
      </c>
      <c r="FH828" s="407">
        <v>0</v>
      </c>
      <c r="FI828" s="407">
        <v>0</v>
      </c>
    </row>
    <row r="829" spans="1:165">
      <c r="A829" s="407">
        <v>860</v>
      </c>
      <c r="B829" s="407" t="s">
        <v>1090</v>
      </c>
      <c r="C829" s="407" t="s">
        <v>1044</v>
      </c>
      <c r="D829" s="407" t="s">
        <v>650</v>
      </c>
      <c r="E829" s="407" t="s">
        <v>97</v>
      </c>
      <c r="F829" s="407" t="s">
        <v>97</v>
      </c>
      <c r="G829" s="407" t="s">
        <v>97</v>
      </c>
      <c r="H829" s="407" t="s">
        <v>2333</v>
      </c>
      <c r="I829" s="407" t="s">
        <v>97</v>
      </c>
      <c r="J829" s="407" t="s">
        <v>2329</v>
      </c>
      <c r="K829" s="818">
        <v>44562</v>
      </c>
      <c r="L829" s="407">
        <v>270</v>
      </c>
      <c r="M829" s="407">
        <v>135</v>
      </c>
      <c r="N829" s="407">
        <v>0</v>
      </c>
      <c r="O829" s="407">
        <v>0</v>
      </c>
      <c r="P829" s="407">
        <v>0</v>
      </c>
      <c r="Q829" s="407">
        <v>0</v>
      </c>
      <c r="R829" s="407">
        <v>13.8</v>
      </c>
      <c r="S829" s="407"/>
      <c r="T829" s="407"/>
      <c r="U829" s="407">
        <v>3726</v>
      </c>
      <c r="V829" s="407"/>
      <c r="W829" s="407">
        <v>3726</v>
      </c>
      <c r="X829" s="407">
        <v>1752.3</v>
      </c>
      <c r="Y829" s="407">
        <v>0</v>
      </c>
      <c r="Z829" s="407">
        <v>0</v>
      </c>
      <c r="AA829" s="407">
        <v>0</v>
      </c>
      <c r="AB829" s="407">
        <v>0</v>
      </c>
      <c r="AC829" s="407">
        <v>0</v>
      </c>
      <c r="AD829" s="407">
        <v>0</v>
      </c>
      <c r="AE829" s="407">
        <v>3720.6871100437588</v>
      </c>
      <c r="AF829" s="407"/>
      <c r="AG829" s="407"/>
      <c r="AH829" s="407"/>
      <c r="AI829" s="407">
        <v>0</v>
      </c>
      <c r="AJ829" s="407">
        <v>0</v>
      </c>
      <c r="AK829" s="407">
        <v>0</v>
      </c>
      <c r="AL829" s="407">
        <v>0</v>
      </c>
      <c r="AM829" s="407"/>
      <c r="AN829" s="407">
        <v>6.1017844376668409</v>
      </c>
      <c r="AO829" s="407">
        <v>0</v>
      </c>
      <c r="AP829" s="407">
        <v>0</v>
      </c>
      <c r="AQ829" s="407">
        <v>0</v>
      </c>
      <c r="AR829" s="407">
        <v>0</v>
      </c>
      <c r="AS829" s="407"/>
      <c r="AT829" s="407"/>
      <c r="AU829" s="407">
        <v>0</v>
      </c>
      <c r="AV829" s="407">
        <v>0</v>
      </c>
      <c r="AW829" s="407">
        <v>0</v>
      </c>
      <c r="AX829" s="407"/>
      <c r="AY829" s="407"/>
      <c r="AZ829" s="407">
        <v>0</v>
      </c>
      <c r="BA829" s="407"/>
      <c r="BB829" s="407">
        <v>0</v>
      </c>
      <c r="BC829" s="407">
        <v>0</v>
      </c>
      <c r="BD829" s="407">
        <v>0</v>
      </c>
      <c r="BE829" s="407">
        <v>0</v>
      </c>
      <c r="BF829" s="407"/>
      <c r="BG829" s="407">
        <v>0</v>
      </c>
      <c r="BH829" s="407">
        <v>0</v>
      </c>
      <c r="BI829" s="407">
        <v>2.98</v>
      </c>
      <c r="BJ829" s="407">
        <v>0</v>
      </c>
      <c r="BK829" s="407">
        <v>0</v>
      </c>
      <c r="BL829" s="407">
        <v>0</v>
      </c>
      <c r="BM829" s="407"/>
      <c r="BN829" s="407"/>
      <c r="BO829" s="407">
        <v>876.15</v>
      </c>
      <c r="BP829" s="407"/>
      <c r="BQ829" s="407"/>
      <c r="BR829" s="407"/>
      <c r="BS829" s="407"/>
      <c r="BT829" s="407"/>
      <c r="BU829" s="407"/>
      <c r="BV829" s="407">
        <v>0</v>
      </c>
      <c r="BW829" s="407"/>
      <c r="BX829" s="407"/>
      <c r="BY829" s="407"/>
      <c r="BZ829" s="407"/>
      <c r="CA829" s="407"/>
      <c r="CB829" s="407"/>
      <c r="CC829" s="407"/>
      <c r="CD829" s="407"/>
      <c r="CE829" s="407"/>
      <c r="CF829" s="407"/>
      <c r="CG829" s="407"/>
      <c r="CH829" s="407"/>
      <c r="CI829" s="407">
        <v>876.15</v>
      </c>
      <c r="CJ829" s="407">
        <v>-986.88</v>
      </c>
      <c r="CK829" s="407"/>
      <c r="CL829" s="407"/>
      <c r="CM829" s="407"/>
      <c r="CN829" s="407"/>
      <c r="CO829" s="407">
        <v>-1973.7</v>
      </c>
      <c r="CP829" s="407">
        <v>0</v>
      </c>
      <c r="CQ829" s="407">
        <v>31</v>
      </c>
      <c r="CR829" s="407">
        <v>-73.153470265671686</v>
      </c>
      <c r="CS829" s="407">
        <v>0</v>
      </c>
      <c r="CT829" s="407">
        <v>0</v>
      </c>
      <c r="CU829" s="407">
        <v>0</v>
      </c>
      <c r="CV829" s="407">
        <v>0</v>
      </c>
      <c r="CW829" s="407"/>
      <c r="CX829" s="407"/>
      <c r="CY829" s="407"/>
      <c r="CZ829" s="407">
        <v>0</v>
      </c>
      <c r="DA829" s="407">
        <v>0</v>
      </c>
      <c r="DB829" s="407">
        <v>0</v>
      </c>
      <c r="DC829" s="407"/>
      <c r="DD829" s="407"/>
      <c r="DE829" s="407">
        <v>0</v>
      </c>
      <c r="DF829" s="407">
        <v>0</v>
      </c>
      <c r="DG829" s="407">
        <v>0</v>
      </c>
      <c r="DH829" s="407">
        <v>0</v>
      </c>
      <c r="DI829" s="407">
        <v>0</v>
      </c>
      <c r="DJ829" s="407"/>
      <c r="DK829" s="407">
        <v>0</v>
      </c>
      <c r="DL829" s="407">
        <v>0</v>
      </c>
      <c r="DM829" s="407"/>
      <c r="DN829" s="407">
        <v>0</v>
      </c>
      <c r="DO829" s="407">
        <v>0</v>
      </c>
      <c r="DP829" s="407">
        <v>-0.38879097342209956</v>
      </c>
      <c r="DQ829" s="407">
        <v>0</v>
      </c>
      <c r="DR829" s="407">
        <v>-72.764679292249596</v>
      </c>
      <c r="DS829" s="407"/>
      <c r="DT829" s="407"/>
      <c r="DU829" s="407">
        <v>3720.6871100437588</v>
      </c>
      <c r="DV829" s="407"/>
      <c r="DW829" s="407">
        <v>0</v>
      </c>
      <c r="DX829" s="407">
        <v>0</v>
      </c>
      <c r="DY829" s="407">
        <v>-1973.7</v>
      </c>
      <c r="DZ829" s="407"/>
      <c r="EA829" s="407">
        <v>0</v>
      </c>
      <c r="EB829" s="407"/>
      <c r="EC829" s="407">
        <v>-1900.5356175651332</v>
      </c>
      <c r="ED829" s="407"/>
      <c r="EE829" s="407">
        <v>0</v>
      </c>
      <c r="EF829" s="407">
        <v>0</v>
      </c>
      <c r="EG829" s="407"/>
      <c r="EH829" s="407">
        <v>0</v>
      </c>
      <c r="EI829" s="407">
        <v>0</v>
      </c>
      <c r="EJ829" s="407">
        <v>0</v>
      </c>
      <c r="EK829" s="407">
        <v>0</v>
      </c>
      <c r="EL829" s="407">
        <v>0</v>
      </c>
      <c r="EM829" s="407"/>
      <c r="EN829" s="407"/>
      <c r="EO829" s="407">
        <v>0</v>
      </c>
      <c r="EP829" s="407">
        <v>0</v>
      </c>
      <c r="EQ829" s="407"/>
      <c r="ER829" s="407">
        <v>0</v>
      </c>
      <c r="ES829" s="407"/>
      <c r="ET829" s="407">
        <v>0</v>
      </c>
      <c r="EU829" s="407"/>
      <c r="EV829" s="407">
        <v>246</v>
      </c>
      <c r="EW829" s="407"/>
      <c r="EX829" s="407"/>
      <c r="EY829" s="407"/>
      <c r="EZ829" s="407"/>
      <c r="FA829" s="407">
        <v>0</v>
      </c>
      <c r="FB829" s="407"/>
      <c r="FC829" s="407"/>
      <c r="FD829" s="407"/>
      <c r="FE829" s="407"/>
      <c r="FF829" s="407">
        <v>0</v>
      </c>
      <c r="FG829" s="407">
        <v>0</v>
      </c>
      <c r="FH829" s="407">
        <v>0</v>
      </c>
      <c r="FI829" s="407">
        <v>0</v>
      </c>
    </row>
    <row r="830" spans="1:165">
      <c r="A830" s="407">
        <v>861</v>
      </c>
      <c r="B830" s="407" t="s">
        <v>1090</v>
      </c>
      <c r="C830" s="407" t="s">
        <v>1044</v>
      </c>
      <c r="D830" s="407" t="s">
        <v>650</v>
      </c>
      <c r="E830" s="407" t="s">
        <v>97</v>
      </c>
      <c r="F830" s="407" t="s">
        <v>97</v>
      </c>
      <c r="G830" s="407" t="s">
        <v>97</v>
      </c>
      <c r="H830" s="407" t="s">
        <v>2334</v>
      </c>
      <c r="I830" s="407" t="s">
        <v>97</v>
      </c>
      <c r="J830" s="407" t="s">
        <v>2329</v>
      </c>
      <c r="K830" s="818">
        <v>44562</v>
      </c>
      <c r="L830" s="407">
        <v>280</v>
      </c>
      <c r="M830" s="407">
        <v>140</v>
      </c>
      <c r="N830" s="407">
        <v>0</v>
      </c>
      <c r="O830" s="407">
        <v>0</v>
      </c>
      <c r="P830" s="407">
        <v>0</v>
      </c>
      <c r="Q830" s="407">
        <v>0</v>
      </c>
      <c r="R830" s="407">
        <v>13.8</v>
      </c>
      <c r="S830" s="407"/>
      <c r="T830" s="407"/>
      <c r="U830" s="407">
        <v>3864</v>
      </c>
      <c r="V830" s="407"/>
      <c r="W830" s="407">
        <v>3864</v>
      </c>
      <c r="X830" s="407">
        <v>1817.2</v>
      </c>
      <c r="Y830" s="407">
        <v>0</v>
      </c>
      <c r="Z830" s="407">
        <v>0</v>
      </c>
      <c r="AA830" s="407">
        <v>0</v>
      </c>
      <c r="AB830" s="407">
        <v>0</v>
      </c>
      <c r="AC830" s="407">
        <v>0</v>
      </c>
      <c r="AD830" s="407">
        <v>0</v>
      </c>
      <c r="AE830" s="407">
        <v>3858.4903363416761</v>
      </c>
      <c r="AF830" s="407"/>
      <c r="AG830" s="407"/>
      <c r="AH830" s="407"/>
      <c r="AI830" s="407">
        <v>0</v>
      </c>
      <c r="AJ830" s="407">
        <v>0</v>
      </c>
      <c r="AK830" s="407">
        <v>0</v>
      </c>
      <c r="AL830" s="407">
        <v>0</v>
      </c>
      <c r="AM830" s="407"/>
      <c r="AN830" s="407">
        <v>6.3277764538767238</v>
      </c>
      <c r="AO830" s="407">
        <v>0</v>
      </c>
      <c r="AP830" s="407">
        <v>0</v>
      </c>
      <c r="AQ830" s="407">
        <v>0</v>
      </c>
      <c r="AR830" s="407">
        <v>0</v>
      </c>
      <c r="AS830" s="407"/>
      <c r="AT830" s="407"/>
      <c r="AU830" s="407">
        <v>0</v>
      </c>
      <c r="AV830" s="407">
        <v>0</v>
      </c>
      <c r="AW830" s="407">
        <v>0</v>
      </c>
      <c r="AX830" s="407"/>
      <c r="AY830" s="407"/>
      <c r="AZ830" s="407">
        <v>0</v>
      </c>
      <c r="BA830" s="407"/>
      <c r="BB830" s="407">
        <v>0</v>
      </c>
      <c r="BC830" s="407">
        <v>0</v>
      </c>
      <c r="BD830" s="407">
        <v>0</v>
      </c>
      <c r="BE830" s="407">
        <v>0</v>
      </c>
      <c r="BF830" s="407"/>
      <c r="BG830" s="407">
        <v>0</v>
      </c>
      <c r="BH830" s="407">
        <v>0</v>
      </c>
      <c r="BI830" s="407">
        <v>3.09</v>
      </c>
      <c r="BJ830" s="407">
        <v>0</v>
      </c>
      <c r="BK830" s="407">
        <v>0</v>
      </c>
      <c r="BL830" s="407">
        <v>0</v>
      </c>
      <c r="BM830" s="407"/>
      <c r="BN830" s="407"/>
      <c r="BO830" s="407">
        <v>908.6</v>
      </c>
      <c r="BP830" s="407"/>
      <c r="BQ830" s="407"/>
      <c r="BR830" s="407"/>
      <c r="BS830" s="407"/>
      <c r="BT830" s="407"/>
      <c r="BU830" s="407"/>
      <c r="BV830" s="407">
        <v>0</v>
      </c>
      <c r="BW830" s="407"/>
      <c r="BX830" s="407"/>
      <c r="BY830" s="407"/>
      <c r="BZ830" s="407"/>
      <c r="CA830" s="407"/>
      <c r="CB830" s="407"/>
      <c r="CC830" s="407"/>
      <c r="CD830" s="407"/>
      <c r="CE830" s="407"/>
      <c r="CF830" s="407"/>
      <c r="CG830" s="407"/>
      <c r="CH830" s="407"/>
      <c r="CI830" s="407">
        <v>908.6</v>
      </c>
      <c r="CJ830" s="407">
        <v>-1023.43</v>
      </c>
      <c r="CK830" s="407"/>
      <c r="CL830" s="407"/>
      <c r="CM830" s="407"/>
      <c r="CN830" s="407"/>
      <c r="CO830" s="407">
        <v>-2046.8000000000002</v>
      </c>
      <c r="CP830" s="407">
        <v>0</v>
      </c>
      <c r="CQ830" s="407">
        <v>31</v>
      </c>
      <c r="CR830" s="407">
        <v>-75.862858053289159</v>
      </c>
      <c r="CS830" s="407">
        <v>0</v>
      </c>
      <c r="CT830" s="407">
        <v>0</v>
      </c>
      <c r="CU830" s="407">
        <v>0</v>
      </c>
      <c r="CV830" s="407">
        <v>0</v>
      </c>
      <c r="CW830" s="407"/>
      <c r="CX830" s="407"/>
      <c r="CY830" s="407"/>
      <c r="CZ830" s="407">
        <v>0</v>
      </c>
      <c r="DA830" s="407">
        <v>0</v>
      </c>
      <c r="DB830" s="407">
        <v>0</v>
      </c>
      <c r="DC830" s="407"/>
      <c r="DD830" s="407"/>
      <c r="DE830" s="407">
        <v>0</v>
      </c>
      <c r="DF830" s="407">
        <v>0</v>
      </c>
      <c r="DG830" s="407">
        <v>0</v>
      </c>
      <c r="DH830" s="407">
        <v>0</v>
      </c>
      <c r="DI830" s="407">
        <v>0</v>
      </c>
      <c r="DJ830" s="407"/>
      <c r="DK830" s="407">
        <v>0</v>
      </c>
      <c r="DL830" s="407">
        <v>0</v>
      </c>
      <c r="DM830" s="407"/>
      <c r="DN830" s="407">
        <v>0</v>
      </c>
      <c r="DO830" s="407">
        <v>0</v>
      </c>
      <c r="DP830" s="407">
        <v>-0.40319063910440001</v>
      </c>
      <c r="DQ830" s="407">
        <v>0</v>
      </c>
      <c r="DR830" s="407">
        <v>-75.459667414184764</v>
      </c>
      <c r="DS830" s="407"/>
      <c r="DT830" s="407"/>
      <c r="DU830" s="407">
        <v>3858.4903363416761</v>
      </c>
      <c r="DV830" s="407"/>
      <c r="DW830" s="407">
        <v>0</v>
      </c>
      <c r="DX830" s="407">
        <v>0</v>
      </c>
      <c r="DY830" s="407">
        <v>-2046.8</v>
      </c>
      <c r="DZ830" s="407"/>
      <c r="EA830" s="407">
        <v>0</v>
      </c>
      <c r="EB830" s="407"/>
      <c r="EC830" s="407">
        <v>-1970.9258256231014</v>
      </c>
      <c r="ED830" s="407"/>
      <c r="EE830" s="407">
        <v>0</v>
      </c>
      <c r="EF830" s="407">
        <v>0</v>
      </c>
      <c r="EG830" s="407"/>
      <c r="EH830" s="407">
        <v>0</v>
      </c>
      <c r="EI830" s="407">
        <v>0</v>
      </c>
      <c r="EJ830" s="407">
        <v>0</v>
      </c>
      <c r="EK830" s="407">
        <v>0</v>
      </c>
      <c r="EL830" s="407">
        <v>0</v>
      </c>
      <c r="EM830" s="407"/>
      <c r="EN830" s="407"/>
      <c r="EO830" s="407">
        <v>0</v>
      </c>
      <c r="EP830" s="407">
        <v>0</v>
      </c>
      <c r="EQ830" s="407"/>
      <c r="ER830" s="407">
        <v>0</v>
      </c>
      <c r="ES830" s="407"/>
      <c r="ET830" s="407">
        <v>0</v>
      </c>
      <c r="EU830" s="407"/>
      <c r="EV830" s="407">
        <v>246</v>
      </c>
      <c r="EW830" s="407"/>
      <c r="EX830" s="407"/>
      <c r="EY830" s="407"/>
      <c r="EZ830" s="407"/>
      <c r="FA830" s="407">
        <v>0</v>
      </c>
      <c r="FB830" s="407"/>
      <c r="FC830" s="407"/>
      <c r="FD830" s="407"/>
      <c r="FE830" s="407"/>
      <c r="FF830" s="407">
        <v>0</v>
      </c>
      <c r="FG830" s="407">
        <v>0</v>
      </c>
      <c r="FH830" s="407">
        <v>0</v>
      </c>
      <c r="FI830" s="407">
        <v>0</v>
      </c>
    </row>
    <row r="831" spans="1:165">
      <c r="A831" s="407">
        <v>862</v>
      </c>
      <c r="B831" s="407" t="s">
        <v>1090</v>
      </c>
      <c r="C831" s="407" t="s">
        <v>1044</v>
      </c>
      <c r="D831" s="407" t="s">
        <v>650</v>
      </c>
      <c r="E831" s="407" t="s">
        <v>97</v>
      </c>
      <c r="F831" s="407" t="s">
        <v>97</v>
      </c>
      <c r="G831" s="407" t="s">
        <v>97</v>
      </c>
      <c r="H831" s="407" t="s">
        <v>2335</v>
      </c>
      <c r="I831" s="407" t="s">
        <v>97</v>
      </c>
      <c r="J831" s="407" t="s">
        <v>2329</v>
      </c>
      <c r="K831" s="818">
        <v>44562</v>
      </c>
      <c r="L831" s="407">
        <v>730</v>
      </c>
      <c r="M831" s="407">
        <v>365</v>
      </c>
      <c r="N831" s="407">
        <v>0</v>
      </c>
      <c r="O831" s="407">
        <v>0</v>
      </c>
      <c r="P831" s="407">
        <v>0</v>
      </c>
      <c r="Q831" s="407">
        <v>0</v>
      </c>
      <c r="R831" s="407">
        <v>13.8</v>
      </c>
      <c r="S831" s="407"/>
      <c r="T831" s="407"/>
      <c r="U831" s="407">
        <v>10074</v>
      </c>
      <c r="V831" s="407"/>
      <c r="W831" s="407">
        <v>10074</v>
      </c>
      <c r="X831" s="407">
        <v>4737.7</v>
      </c>
      <c r="Y831" s="407">
        <v>0</v>
      </c>
      <c r="Z831" s="407">
        <v>0</v>
      </c>
      <c r="AA831" s="407">
        <v>0</v>
      </c>
      <c r="AB831" s="407">
        <v>0</v>
      </c>
      <c r="AC831" s="407">
        <v>0</v>
      </c>
      <c r="AD831" s="407">
        <v>0</v>
      </c>
      <c r="AE831" s="407">
        <v>10059.635519747941</v>
      </c>
      <c r="AF831" s="407"/>
      <c r="AG831" s="407"/>
      <c r="AH831" s="407"/>
      <c r="AI831" s="407">
        <v>0</v>
      </c>
      <c r="AJ831" s="407">
        <v>0</v>
      </c>
      <c r="AK831" s="407">
        <v>0</v>
      </c>
      <c r="AL831" s="407">
        <v>0</v>
      </c>
      <c r="AM831" s="407"/>
      <c r="AN831" s="407">
        <v>16.497417183321456</v>
      </c>
      <c r="AO831" s="407">
        <v>0</v>
      </c>
      <c r="AP831" s="407">
        <v>0</v>
      </c>
      <c r="AQ831" s="407">
        <v>0</v>
      </c>
      <c r="AR831" s="407">
        <v>0</v>
      </c>
      <c r="AS831" s="407"/>
      <c r="AT831" s="407"/>
      <c r="AU831" s="407">
        <v>0</v>
      </c>
      <c r="AV831" s="407">
        <v>0</v>
      </c>
      <c r="AW831" s="407">
        <v>0</v>
      </c>
      <c r="AX831" s="407"/>
      <c r="AY831" s="407"/>
      <c r="AZ831" s="407">
        <v>0</v>
      </c>
      <c r="BA831" s="407"/>
      <c r="BB831" s="407">
        <v>0</v>
      </c>
      <c r="BC831" s="407">
        <v>0</v>
      </c>
      <c r="BD831" s="407">
        <v>0</v>
      </c>
      <c r="BE831" s="407">
        <v>0</v>
      </c>
      <c r="BF831" s="407"/>
      <c r="BG831" s="407">
        <v>0</v>
      </c>
      <c r="BH831" s="407">
        <v>0</v>
      </c>
      <c r="BI831" s="407">
        <v>8.07</v>
      </c>
      <c r="BJ831" s="407">
        <v>0</v>
      </c>
      <c r="BK831" s="407">
        <v>0</v>
      </c>
      <c r="BL831" s="407">
        <v>0</v>
      </c>
      <c r="BM831" s="407"/>
      <c r="BN831" s="407"/>
      <c r="BO831" s="407">
        <v>2368.85</v>
      </c>
      <c r="BP831" s="407"/>
      <c r="BQ831" s="407"/>
      <c r="BR831" s="407"/>
      <c r="BS831" s="407"/>
      <c r="BT831" s="407"/>
      <c r="BU831" s="407"/>
      <c r="BV831" s="407">
        <v>0</v>
      </c>
      <c r="BW831" s="407"/>
      <c r="BX831" s="407"/>
      <c r="BY831" s="407"/>
      <c r="BZ831" s="407"/>
      <c r="CA831" s="407"/>
      <c r="CB831" s="407"/>
      <c r="CC831" s="407"/>
      <c r="CD831" s="407"/>
      <c r="CE831" s="407"/>
      <c r="CF831" s="407"/>
      <c r="CG831" s="407"/>
      <c r="CH831" s="407"/>
      <c r="CI831" s="407">
        <v>2368.85</v>
      </c>
      <c r="CJ831" s="407">
        <v>-2668.1800000000007</v>
      </c>
      <c r="CK831" s="407"/>
      <c r="CL831" s="407"/>
      <c r="CM831" s="407"/>
      <c r="CN831" s="407"/>
      <c r="CO831" s="407">
        <v>-5336.3</v>
      </c>
      <c r="CP831" s="407">
        <v>0</v>
      </c>
      <c r="CQ831" s="407">
        <v>31</v>
      </c>
      <c r="CR831" s="407">
        <v>-197.78530849607532</v>
      </c>
      <c r="CS831" s="407">
        <v>0</v>
      </c>
      <c r="CT831" s="407">
        <v>0</v>
      </c>
      <c r="CU831" s="407">
        <v>0</v>
      </c>
      <c r="CV831" s="407">
        <v>0</v>
      </c>
      <c r="CW831" s="407"/>
      <c r="CX831" s="407"/>
      <c r="CY831" s="407"/>
      <c r="CZ831" s="407">
        <v>0</v>
      </c>
      <c r="DA831" s="407">
        <v>0</v>
      </c>
      <c r="DB831" s="407">
        <v>0</v>
      </c>
      <c r="DC831" s="407"/>
      <c r="DD831" s="407"/>
      <c r="DE831" s="407">
        <v>0</v>
      </c>
      <c r="DF831" s="407">
        <v>0</v>
      </c>
      <c r="DG831" s="407">
        <v>0</v>
      </c>
      <c r="DH831" s="407">
        <v>0</v>
      </c>
      <c r="DI831" s="407">
        <v>0</v>
      </c>
      <c r="DJ831" s="407"/>
      <c r="DK831" s="407">
        <v>0</v>
      </c>
      <c r="DL831" s="407">
        <v>0</v>
      </c>
      <c r="DM831" s="407"/>
      <c r="DN831" s="407">
        <v>0</v>
      </c>
      <c r="DO831" s="407">
        <v>0</v>
      </c>
      <c r="DP831" s="407">
        <v>-1.0511755948078978</v>
      </c>
      <c r="DQ831" s="407">
        <v>0</v>
      </c>
      <c r="DR831" s="407">
        <v>-196.73413290126743</v>
      </c>
      <c r="DS831" s="407"/>
      <c r="DT831" s="407"/>
      <c r="DU831" s="407">
        <v>10059.635519747941</v>
      </c>
      <c r="DV831" s="407"/>
      <c r="DW831" s="407">
        <v>0</v>
      </c>
      <c r="DX831" s="407">
        <v>0</v>
      </c>
      <c r="DY831" s="407">
        <v>-5336.3</v>
      </c>
      <c r="DZ831" s="407"/>
      <c r="EA831" s="407">
        <v>0</v>
      </c>
      <c r="EB831" s="407"/>
      <c r="EC831" s="407">
        <v>-5138.485188231657</v>
      </c>
      <c r="ED831" s="407"/>
      <c r="EE831" s="407">
        <v>0</v>
      </c>
      <c r="EF831" s="407">
        <v>0</v>
      </c>
      <c r="EG831" s="407"/>
      <c r="EH831" s="407">
        <v>0</v>
      </c>
      <c r="EI831" s="407">
        <v>0</v>
      </c>
      <c r="EJ831" s="407">
        <v>0</v>
      </c>
      <c r="EK831" s="407">
        <v>0</v>
      </c>
      <c r="EL831" s="407">
        <v>0</v>
      </c>
      <c r="EM831" s="407"/>
      <c r="EN831" s="407"/>
      <c r="EO831" s="407">
        <v>0</v>
      </c>
      <c r="EP831" s="407">
        <v>0</v>
      </c>
      <c r="EQ831" s="407"/>
      <c r="ER831" s="407">
        <v>0</v>
      </c>
      <c r="ES831" s="407"/>
      <c r="ET831" s="407">
        <v>0</v>
      </c>
      <c r="EU831" s="407"/>
      <c r="EV831" s="407">
        <v>246</v>
      </c>
      <c r="EW831" s="407"/>
      <c r="EX831" s="407"/>
      <c r="EY831" s="407"/>
      <c r="EZ831" s="407"/>
      <c r="FA831" s="407">
        <v>0</v>
      </c>
      <c r="FB831" s="407"/>
      <c r="FC831" s="407"/>
      <c r="FD831" s="407"/>
      <c r="FE831" s="407"/>
      <c r="FF831" s="407">
        <v>0</v>
      </c>
      <c r="FG831" s="407">
        <v>0</v>
      </c>
      <c r="FH831" s="407">
        <v>0</v>
      </c>
      <c r="FI831" s="407">
        <v>0</v>
      </c>
    </row>
    <row r="832" spans="1:165">
      <c r="A832" s="407">
        <v>863</v>
      </c>
      <c r="B832" s="407" t="s">
        <v>1090</v>
      </c>
      <c r="C832" s="407" t="s">
        <v>1044</v>
      </c>
      <c r="D832" s="407" t="s">
        <v>650</v>
      </c>
      <c r="E832" s="407" t="s">
        <v>97</v>
      </c>
      <c r="F832" s="407" t="s">
        <v>97</v>
      </c>
      <c r="G832" s="407" t="s">
        <v>97</v>
      </c>
      <c r="H832" s="407" t="s">
        <v>2336</v>
      </c>
      <c r="I832" s="407" t="s">
        <v>97</v>
      </c>
      <c r="J832" s="407" t="s">
        <v>2329</v>
      </c>
      <c r="K832" s="818">
        <v>44562</v>
      </c>
      <c r="L832" s="407">
        <v>561</v>
      </c>
      <c r="M832" s="407">
        <v>280.5</v>
      </c>
      <c r="N832" s="407">
        <v>0</v>
      </c>
      <c r="O832" s="407">
        <v>0</v>
      </c>
      <c r="P832" s="407">
        <v>0</v>
      </c>
      <c r="Q832" s="407">
        <v>0</v>
      </c>
      <c r="R832" s="407">
        <v>13.8</v>
      </c>
      <c r="S832" s="407"/>
      <c r="T832" s="407"/>
      <c r="U832" s="407">
        <v>7741.8</v>
      </c>
      <c r="V832" s="407"/>
      <c r="W832" s="407">
        <v>7741.8</v>
      </c>
      <c r="X832" s="407">
        <v>3640.8900000000003</v>
      </c>
      <c r="Y832" s="407">
        <v>0</v>
      </c>
      <c r="Z832" s="407">
        <v>0</v>
      </c>
      <c r="AA832" s="407">
        <v>0</v>
      </c>
      <c r="AB832" s="407">
        <v>0</v>
      </c>
      <c r="AC832" s="407">
        <v>0</v>
      </c>
      <c r="AD832" s="407">
        <v>0</v>
      </c>
      <c r="AE832" s="407">
        <v>7730.7609953131432</v>
      </c>
      <c r="AF832" s="407"/>
      <c r="AG832" s="407"/>
      <c r="AH832" s="407"/>
      <c r="AI832" s="407">
        <v>0</v>
      </c>
      <c r="AJ832" s="407">
        <v>0</v>
      </c>
      <c r="AK832" s="407">
        <v>0</v>
      </c>
      <c r="AL832" s="407">
        <v>0</v>
      </c>
      <c r="AM832" s="407"/>
      <c r="AN832" s="407">
        <v>12.678152109374436</v>
      </c>
      <c r="AO832" s="407">
        <v>0</v>
      </c>
      <c r="AP832" s="407">
        <v>0</v>
      </c>
      <c r="AQ832" s="407">
        <v>0</v>
      </c>
      <c r="AR832" s="407">
        <v>0</v>
      </c>
      <c r="AS832" s="407"/>
      <c r="AT832" s="407"/>
      <c r="AU832" s="407">
        <v>0</v>
      </c>
      <c r="AV832" s="407">
        <v>0</v>
      </c>
      <c r="AW832" s="407">
        <v>0</v>
      </c>
      <c r="AX832" s="407"/>
      <c r="AY832" s="407"/>
      <c r="AZ832" s="407">
        <v>0</v>
      </c>
      <c r="BA832" s="407"/>
      <c r="BB832" s="407">
        <v>0</v>
      </c>
      <c r="BC832" s="407">
        <v>0</v>
      </c>
      <c r="BD832" s="407">
        <v>0</v>
      </c>
      <c r="BE832" s="407">
        <v>0</v>
      </c>
      <c r="BF832" s="407"/>
      <c r="BG832" s="407">
        <v>0</v>
      </c>
      <c r="BH832" s="407">
        <v>0</v>
      </c>
      <c r="BI832" s="407">
        <v>6.2</v>
      </c>
      <c r="BJ832" s="407">
        <v>0</v>
      </c>
      <c r="BK832" s="407">
        <v>0</v>
      </c>
      <c r="BL832" s="407">
        <v>0</v>
      </c>
      <c r="BM832" s="407"/>
      <c r="BN832" s="407"/>
      <c r="BO832" s="407">
        <v>1820.4450000000002</v>
      </c>
      <c r="BP832" s="407"/>
      <c r="BQ832" s="407"/>
      <c r="BR832" s="407"/>
      <c r="BS832" s="407"/>
      <c r="BT832" s="407"/>
      <c r="BU832" s="407"/>
      <c r="BV832" s="407">
        <v>0</v>
      </c>
      <c r="BW832" s="407"/>
      <c r="BX832" s="407"/>
      <c r="BY832" s="407"/>
      <c r="BZ832" s="407"/>
      <c r="CA832" s="407"/>
      <c r="CB832" s="407"/>
      <c r="CC832" s="407"/>
      <c r="CD832" s="407"/>
      <c r="CE832" s="407"/>
      <c r="CF832" s="407"/>
      <c r="CG832" s="407"/>
      <c r="CH832" s="407"/>
      <c r="CI832" s="407">
        <v>1820.4450000000002</v>
      </c>
      <c r="CJ832" s="407">
        <v>-2050.4850000000006</v>
      </c>
      <c r="CK832" s="407"/>
      <c r="CL832" s="407"/>
      <c r="CM832" s="407"/>
      <c r="CN832" s="407"/>
      <c r="CO832" s="407">
        <v>-4100.91</v>
      </c>
      <c r="CP832" s="407">
        <v>0</v>
      </c>
      <c r="CQ832" s="407">
        <v>31</v>
      </c>
      <c r="CR832" s="407">
        <v>-151.99665488534006</v>
      </c>
      <c r="CS832" s="407">
        <v>0</v>
      </c>
      <c r="CT832" s="407">
        <v>0</v>
      </c>
      <c r="CU832" s="407">
        <v>0</v>
      </c>
      <c r="CV832" s="407">
        <v>0</v>
      </c>
      <c r="CW832" s="407"/>
      <c r="CX832" s="407"/>
      <c r="CY832" s="407"/>
      <c r="CZ832" s="407">
        <v>0</v>
      </c>
      <c r="DA832" s="407">
        <v>0</v>
      </c>
      <c r="DB832" s="407">
        <v>0</v>
      </c>
      <c r="DC832" s="407"/>
      <c r="DD832" s="407"/>
      <c r="DE832" s="407">
        <v>0</v>
      </c>
      <c r="DF832" s="407">
        <v>0</v>
      </c>
      <c r="DG832" s="407">
        <v>0</v>
      </c>
      <c r="DH832" s="407">
        <v>0</v>
      </c>
      <c r="DI832" s="407">
        <v>0</v>
      </c>
      <c r="DJ832" s="407"/>
      <c r="DK832" s="407">
        <v>0</v>
      </c>
      <c r="DL832" s="407">
        <v>0</v>
      </c>
      <c r="DM832" s="407"/>
      <c r="DN832" s="407">
        <v>0</v>
      </c>
      <c r="DO832" s="407">
        <v>0</v>
      </c>
      <c r="DP832" s="407">
        <v>-0.80782124477702943</v>
      </c>
      <c r="DQ832" s="407">
        <v>0</v>
      </c>
      <c r="DR832" s="407">
        <v>-151.18883364056305</v>
      </c>
      <c r="DS832" s="407"/>
      <c r="DT832" s="407"/>
      <c r="DU832" s="407">
        <v>7730.7609953131432</v>
      </c>
      <c r="DV832" s="407"/>
      <c r="DW832" s="407">
        <v>0</v>
      </c>
      <c r="DX832" s="407">
        <v>0</v>
      </c>
      <c r="DY832" s="407">
        <v>-4100.91</v>
      </c>
      <c r="DZ832" s="407"/>
      <c r="EA832" s="407">
        <v>0</v>
      </c>
      <c r="EB832" s="407"/>
      <c r="EC832" s="407">
        <v>-3948.890672051999</v>
      </c>
      <c r="ED832" s="407"/>
      <c r="EE832" s="407">
        <v>0</v>
      </c>
      <c r="EF832" s="407">
        <v>0</v>
      </c>
      <c r="EG832" s="407"/>
      <c r="EH832" s="407">
        <v>0</v>
      </c>
      <c r="EI832" s="407">
        <v>0</v>
      </c>
      <c r="EJ832" s="407">
        <v>0</v>
      </c>
      <c r="EK832" s="407">
        <v>0</v>
      </c>
      <c r="EL832" s="407">
        <v>0</v>
      </c>
      <c r="EM832" s="407"/>
      <c r="EN832" s="407"/>
      <c r="EO832" s="407">
        <v>0</v>
      </c>
      <c r="EP832" s="407">
        <v>0</v>
      </c>
      <c r="EQ832" s="407"/>
      <c r="ER832" s="407">
        <v>0</v>
      </c>
      <c r="ES832" s="407"/>
      <c r="ET832" s="407">
        <v>0</v>
      </c>
      <c r="EU832" s="407"/>
      <c r="EV832" s="407">
        <v>246</v>
      </c>
      <c r="EW832" s="407"/>
      <c r="EX832" s="407"/>
      <c r="EY832" s="407"/>
      <c r="EZ832" s="407"/>
      <c r="FA832" s="407">
        <v>0</v>
      </c>
      <c r="FB832" s="407"/>
      <c r="FC832" s="407"/>
      <c r="FD832" s="407"/>
      <c r="FE832" s="407"/>
      <c r="FF832" s="407">
        <v>0</v>
      </c>
      <c r="FG832" s="407">
        <v>0</v>
      </c>
      <c r="FH832" s="407">
        <v>0</v>
      </c>
      <c r="FI832" s="407">
        <v>0</v>
      </c>
    </row>
    <row r="833" spans="1:165">
      <c r="A833" s="407">
        <v>864</v>
      </c>
      <c r="B833" s="407" t="s">
        <v>1090</v>
      </c>
      <c r="C833" s="407" t="s">
        <v>1044</v>
      </c>
      <c r="D833" s="407" t="s">
        <v>650</v>
      </c>
      <c r="E833" s="407" t="s">
        <v>97</v>
      </c>
      <c r="F833" s="407" t="s">
        <v>97</v>
      </c>
      <c r="G833" s="407" t="s">
        <v>97</v>
      </c>
      <c r="H833" s="407" t="s">
        <v>2337</v>
      </c>
      <c r="I833" s="407" t="s">
        <v>97</v>
      </c>
      <c r="J833" s="407" t="s">
        <v>2329</v>
      </c>
      <c r="K833" s="818">
        <v>44562</v>
      </c>
      <c r="L833" s="407">
        <v>379</v>
      </c>
      <c r="M833" s="407">
        <v>189.5</v>
      </c>
      <c r="N833" s="407">
        <v>0</v>
      </c>
      <c r="O833" s="407">
        <v>0</v>
      </c>
      <c r="P833" s="407">
        <v>0</v>
      </c>
      <c r="Q833" s="407">
        <v>0</v>
      </c>
      <c r="R833" s="407">
        <v>13.8</v>
      </c>
      <c r="S833" s="407"/>
      <c r="T833" s="407"/>
      <c r="U833" s="407">
        <v>5230.2</v>
      </c>
      <c r="V833" s="407"/>
      <c r="W833" s="407">
        <v>5230.2</v>
      </c>
      <c r="X833" s="407">
        <v>2459.71</v>
      </c>
      <c r="Y833" s="407">
        <v>0</v>
      </c>
      <c r="Z833" s="407">
        <v>0</v>
      </c>
      <c r="AA833" s="407">
        <v>0</v>
      </c>
      <c r="AB833" s="407">
        <v>0</v>
      </c>
      <c r="AC833" s="407">
        <v>0</v>
      </c>
      <c r="AD833" s="407">
        <v>0</v>
      </c>
      <c r="AE833" s="407">
        <v>5222.742276691054</v>
      </c>
      <c r="AF833" s="407"/>
      <c r="AG833" s="407"/>
      <c r="AH833" s="407"/>
      <c r="AI833" s="407">
        <v>0</v>
      </c>
      <c r="AJ833" s="407">
        <v>0</v>
      </c>
      <c r="AK833" s="407">
        <v>0</v>
      </c>
      <c r="AL833" s="407">
        <v>0</v>
      </c>
      <c r="AM833" s="407"/>
      <c r="AN833" s="407">
        <v>8.5650974143545646</v>
      </c>
      <c r="AO833" s="407">
        <v>0</v>
      </c>
      <c r="AP833" s="407">
        <v>0</v>
      </c>
      <c r="AQ833" s="407">
        <v>0</v>
      </c>
      <c r="AR833" s="407">
        <v>0</v>
      </c>
      <c r="AS833" s="407"/>
      <c r="AT833" s="407"/>
      <c r="AU833" s="407">
        <v>0</v>
      </c>
      <c r="AV833" s="407">
        <v>0</v>
      </c>
      <c r="AW833" s="407">
        <v>0</v>
      </c>
      <c r="AX833" s="407"/>
      <c r="AY833" s="407"/>
      <c r="AZ833" s="407">
        <v>0</v>
      </c>
      <c r="BA833" s="407"/>
      <c r="BB833" s="407">
        <v>0</v>
      </c>
      <c r="BC833" s="407">
        <v>0</v>
      </c>
      <c r="BD833" s="407">
        <v>0</v>
      </c>
      <c r="BE833" s="407">
        <v>0</v>
      </c>
      <c r="BF833" s="407"/>
      <c r="BG833" s="407">
        <v>0</v>
      </c>
      <c r="BH833" s="407">
        <v>0</v>
      </c>
      <c r="BI833" s="407">
        <v>4.1900000000000004</v>
      </c>
      <c r="BJ833" s="407">
        <v>0</v>
      </c>
      <c r="BK833" s="407">
        <v>0</v>
      </c>
      <c r="BL833" s="407">
        <v>0</v>
      </c>
      <c r="BM833" s="407"/>
      <c r="BN833" s="407"/>
      <c r="BO833" s="407">
        <v>1229.855</v>
      </c>
      <c r="BP833" s="407"/>
      <c r="BQ833" s="407"/>
      <c r="BR833" s="407"/>
      <c r="BS833" s="407"/>
      <c r="BT833" s="407"/>
      <c r="BU833" s="407"/>
      <c r="BV833" s="407">
        <v>0</v>
      </c>
      <c r="BW833" s="407"/>
      <c r="BX833" s="407"/>
      <c r="BY833" s="407"/>
      <c r="BZ833" s="407"/>
      <c r="CA833" s="407"/>
      <c r="CB833" s="407"/>
      <c r="CC833" s="407"/>
      <c r="CD833" s="407"/>
      <c r="CE833" s="407"/>
      <c r="CF833" s="407"/>
      <c r="CG833" s="407"/>
      <c r="CH833" s="407"/>
      <c r="CI833" s="407">
        <v>1229.855</v>
      </c>
      <c r="CJ833" s="407">
        <v>-1385.2750000000005</v>
      </c>
      <c r="CK833" s="407"/>
      <c r="CL833" s="407"/>
      <c r="CM833" s="407"/>
      <c r="CN833" s="407"/>
      <c r="CO833" s="407">
        <v>-2770.4900000000002</v>
      </c>
      <c r="CP833" s="407">
        <v>0</v>
      </c>
      <c r="CQ833" s="407">
        <v>31</v>
      </c>
      <c r="CR833" s="407">
        <v>-102.68579715070211</v>
      </c>
      <c r="CS833" s="407">
        <v>0</v>
      </c>
      <c r="CT833" s="407">
        <v>0</v>
      </c>
      <c r="CU833" s="407">
        <v>0</v>
      </c>
      <c r="CV833" s="407">
        <v>0</v>
      </c>
      <c r="CW833" s="407"/>
      <c r="CX833" s="407"/>
      <c r="CY833" s="407"/>
      <c r="CZ833" s="407">
        <v>0</v>
      </c>
      <c r="DA833" s="407">
        <v>0</v>
      </c>
      <c r="DB833" s="407">
        <v>0</v>
      </c>
      <c r="DC833" s="407"/>
      <c r="DD833" s="407"/>
      <c r="DE833" s="407">
        <v>0</v>
      </c>
      <c r="DF833" s="407">
        <v>0</v>
      </c>
      <c r="DG833" s="407">
        <v>0</v>
      </c>
      <c r="DH833" s="407">
        <v>0</v>
      </c>
      <c r="DI833" s="407">
        <v>0</v>
      </c>
      <c r="DJ833" s="407"/>
      <c r="DK833" s="407">
        <v>0</v>
      </c>
      <c r="DL833" s="407">
        <v>0</v>
      </c>
      <c r="DM833" s="407"/>
      <c r="DN833" s="407">
        <v>0</v>
      </c>
      <c r="DO833" s="407">
        <v>0</v>
      </c>
      <c r="DP833" s="407">
        <v>-0.5457473293591697</v>
      </c>
      <c r="DQ833" s="407">
        <v>0</v>
      </c>
      <c r="DR833" s="407">
        <v>-102.14004982134294</v>
      </c>
      <c r="DS833" s="407"/>
      <c r="DT833" s="407"/>
      <c r="DU833" s="407">
        <v>5222.742276691054</v>
      </c>
      <c r="DV833" s="407"/>
      <c r="DW833" s="407">
        <v>0</v>
      </c>
      <c r="DX833" s="407">
        <v>0</v>
      </c>
      <c r="DY833" s="407">
        <v>-2770.49</v>
      </c>
      <c r="DZ833" s="407"/>
      <c r="EA833" s="407">
        <v>0</v>
      </c>
      <c r="EB833" s="407"/>
      <c r="EC833" s="407">
        <v>-2667.7888853969835</v>
      </c>
      <c r="ED833" s="407"/>
      <c r="EE833" s="407">
        <v>0</v>
      </c>
      <c r="EF833" s="407">
        <v>0</v>
      </c>
      <c r="EG833" s="407"/>
      <c r="EH833" s="407">
        <v>0</v>
      </c>
      <c r="EI833" s="407">
        <v>0</v>
      </c>
      <c r="EJ833" s="407">
        <v>0</v>
      </c>
      <c r="EK833" s="407">
        <v>0</v>
      </c>
      <c r="EL833" s="407">
        <v>0</v>
      </c>
      <c r="EM833" s="407"/>
      <c r="EN833" s="407"/>
      <c r="EO833" s="407">
        <v>0</v>
      </c>
      <c r="EP833" s="407">
        <v>0</v>
      </c>
      <c r="EQ833" s="407"/>
      <c r="ER833" s="407">
        <v>0</v>
      </c>
      <c r="ES833" s="407"/>
      <c r="ET833" s="407">
        <v>0</v>
      </c>
      <c r="EU833" s="407"/>
      <c r="EV833" s="407">
        <v>246</v>
      </c>
      <c r="EW833" s="407"/>
      <c r="EX833" s="407"/>
      <c r="EY833" s="407"/>
      <c r="EZ833" s="407"/>
      <c r="FA833" s="407">
        <v>0</v>
      </c>
      <c r="FB833" s="407"/>
      <c r="FC833" s="407"/>
      <c r="FD833" s="407"/>
      <c r="FE833" s="407"/>
      <c r="FF833" s="407">
        <v>0</v>
      </c>
      <c r="FG833" s="407">
        <v>0</v>
      </c>
      <c r="FH833" s="407">
        <v>0</v>
      </c>
      <c r="FI833" s="407">
        <v>0</v>
      </c>
    </row>
    <row r="834" spans="1:165">
      <c r="A834" s="407">
        <v>865</v>
      </c>
      <c r="B834" s="407" t="s">
        <v>1090</v>
      </c>
      <c r="C834" s="407" t="s">
        <v>1044</v>
      </c>
      <c r="D834" s="407" t="s">
        <v>650</v>
      </c>
      <c r="E834" s="407" t="s">
        <v>97</v>
      </c>
      <c r="F834" s="407" t="s">
        <v>97</v>
      </c>
      <c r="G834" s="407" t="s">
        <v>97</v>
      </c>
      <c r="H834" s="407" t="s">
        <v>2338</v>
      </c>
      <c r="I834" s="407" t="s">
        <v>97</v>
      </c>
      <c r="J834" s="407" t="s">
        <v>2329</v>
      </c>
      <c r="K834" s="818">
        <v>44562</v>
      </c>
      <c r="L834" s="407">
        <v>718</v>
      </c>
      <c r="M834" s="407">
        <v>359</v>
      </c>
      <c r="N834" s="407">
        <v>0</v>
      </c>
      <c r="O834" s="407">
        <v>0</v>
      </c>
      <c r="P834" s="407">
        <v>0</v>
      </c>
      <c r="Q834" s="407">
        <v>0</v>
      </c>
      <c r="R834" s="407">
        <v>13.8</v>
      </c>
      <c r="S834" s="407"/>
      <c r="T834" s="407"/>
      <c r="U834" s="407">
        <v>9908.4</v>
      </c>
      <c r="V834" s="407"/>
      <c r="W834" s="407">
        <v>9908.4</v>
      </c>
      <c r="X834" s="407">
        <v>4659.82</v>
      </c>
      <c r="Y834" s="407">
        <v>0</v>
      </c>
      <c r="Z834" s="407">
        <v>0</v>
      </c>
      <c r="AA834" s="407">
        <v>0</v>
      </c>
      <c r="AB834" s="407">
        <v>0</v>
      </c>
      <c r="AC834" s="407">
        <v>0</v>
      </c>
      <c r="AD834" s="407">
        <v>0</v>
      </c>
      <c r="AE834" s="407">
        <v>9894.2716481904408</v>
      </c>
      <c r="AF834" s="407"/>
      <c r="AG834" s="407"/>
      <c r="AH834" s="407"/>
      <c r="AI834" s="407">
        <v>0</v>
      </c>
      <c r="AJ834" s="407">
        <v>0</v>
      </c>
      <c r="AK834" s="407">
        <v>0</v>
      </c>
      <c r="AL834" s="407">
        <v>0</v>
      </c>
      <c r="AM834" s="407"/>
      <c r="AN834" s="407">
        <v>16.226226763869597</v>
      </c>
      <c r="AO834" s="407">
        <v>0</v>
      </c>
      <c r="AP834" s="407">
        <v>0</v>
      </c>
      <c r="AQ834" s="407">
        <v>0</v>
      </c>
      <c r="AR834" s="407">
        <v>0</v>
      </c>
      <c r="AS834" s="407"/>
      <c r="AT834" s="407"/>
      <c r="AU834" s="407">
        <v>0</v>
      </c>
      <c r="AV834" s="407">
        <v>0</v>
      </c>
      <c r="AW834" s="407">
        <v>0</v>
      </c>
      <c r="AX834" s="407"/>
      <c r="AY834" s="407"/>
      <c r="AZ834" s="407">
        <v>0</v>
      </c>
      <c r="BA834" s="407"/>
      <c r="BB834" s="407">
        <v>0</v>
      </c>
      <c r="BC834" s="407">
        <v>0</v>
      </c>
      <c r="BD834" s="407">
        <v>0</v>
      </c>
      <c r="BE834" s="407">
        <v>0</v>
      </c>
      <c r="BF834" s="407"/>
      <c r="BG834" s="407">
        <v>0</v>
      </c>
      <c r="BH834" s="407">
        <v>0</v>
      </c>
      <c r="BI834" s="407">
        <v>7.94</v>
      </c>
      <c r="BJ834" s="407">
        <v>0</v>
      </c>
      <c r="BK834" s="407">
        <v>0</v>
      </c>
      <c r="BL834" s="407">
        <v>0</v>
      </c>
      <c r="BM834" s="407"/>
      <c r="BN834" s="407"/>
      <c r="BO834" s="407">
        <v>2329.91</v>
      </c>
      <c r="BP834" s="407"/>
      <c r="BQ834" s="407"/>
      <c r="BR834" s="407"/>
      <c r="BS834" s="407"/>
      <c r="BT834" s="407"/>
      <c r="BU834" s="407"/>
      <c r="BV834" s="407">
        <v>0</v>
      </c>
      <c r="BW834" s="407"/>
      <c r="BX834" s="407"/>
      <c r="BY834" s="407"/>
      <c r="BZ834" s="407"/>
      <c r="CA834" s="407"/>
      <c r="CB834" s="407"/>
      <c r="CC834" s="407"/>
      <c r="CD834" s="407"/>
      <c r="CE834" s="407"/>
      <c r="CF834" s="407"/>
      <c r="CG834" s="407"/>
      <c r="CH834" s="407"/>
      <c r="CI834" s="407">
        <v>2329.91</v>
      </c>
      <c r="CJ834" s="407">
        <v>-2624.3200000000006</v>
      </c>
      <c r="CK834" s="407"/>
      <c r="CL834" s="407"/>
      <c r="CM834" s="407"/>
      <c r="CN834" s="407"/>
      <c r="CO834" s="407">
        <v>-5248.58</v>
      </c>
      <c r="CP834" s="407">
        <v>0</v>
      </c>
      <c r="CQ834" s="407">
        <v>31</v>
      </c>
      <c r="CR834" s="407">
        <v>-194.53404315093434</v>
      </c>
      <c r="CS834" s="407">
        <v>0</v>
      </c>
      <c r="CT834" s="407">
        <v>0</v>
      </c>
      <c r="CU834" s="407">
        <v>0</v>
      </c>
      <c r="CV834" s="407">
        <v>0</v>
      </c>
      <c r="CW834" s="407"/>
      <c r="CX834" s="407"/>
      <c r="CY834" s="407"/>
      <c r="CZ834" s="407">
        <v>0</v>
      </c>
      <c r="DA834" s="407">
        <v>0</v>
      </c>
      <c r="DB834" s="407">
        <v>0</v>
      </c>
      <c r="DC834" s="407"/>
      <c r="DD834" s="407"/>
      <c r="DE834" s="407">
        <v>0</v>
      </c>
      <c r="DF834" s="407">
        <v>0</v>
      </c>
      <c r="DG834" s="407">
        <v>0</v>
      </c>
      <c r="DH834" s="407">
        <v>0</v>
      </c>
      <c r="DI834" s="407">
        <v>0</v>
      </c>
      <c r="DJ834" s="407"/>
      <c r="DK834" s="407">
        <v>0</v>
      </c>
      <c r="DL834" s="407">
        <v>0</v>
      </c>
      <c r="DM834" s="407"/>
      <c r="DN834" s="407">
        <v>0</v>
      </c>
      <c r="DO834" s="407">
        <v>0</v>
      </c>
      <c r="DP834" s="407">
        <v>-1.0338959959891376</v>
      </c>
      <c r="DQ834" s="407">
        <v>0</v>
      </c>
      <c r="DR834" s="407">
        <v>-193.50014715494521</v>
      </c>
      <c r="DS834" s="407"/>
      <c r="DT834" s="407"/>
      <c r="DU834" s="407">
        <v>9894.2716481904408</v>
      </c>
      <c r="DV834" s="407"/>
      <c r="DW834" s="407">
        <v>0</v>
      </c>
      <c r="DX834" s="407">
        <v>0</v>
      </c>
      <c r="DY834" s="407">
        <v>-5248.58</v>
      </c>
      <c r="DZ834" s="407"/>
      <c r="EA834" s="407">
        <v>0</v>
      </c>
      <c r="EB834" s="407"/>
      <c r="EC834" s="407">
        <v>-5054.0169385620957</v>
      </c>
      <c r="ED834" s="407"/>
      <c r="EE834" s="407">
        <v>0</v>
      </c>
      <c r="EF834" s="407">
        <v>0</v>
      </c>
      <c r="EG834" s="407"/>
      <c r="EH834" s="407">
        <v>0</v>
      </c>
      <c r="EI834" s="407">
        <v>0</v>
      </c>
      <c r="EJ834" s="407">
        <v>0</v>
      </c>
      <c r="EK834" s="407">
        <v>0</v>
      </c>
      <c r="EL834" s="407">
        <v>0</v>
      </c>
      <c r="EM834" s="407"/>
      <c r="EN834" s="407"/>
      <c r="EO834" s="407">
        <v>0</v>
      </c>
      <c r="EP834" s="407">
        <v>0</v>
      </c>
      <c r="EQ834" s="407"/>
      <c r="ER834" s="407">
        <v>0</v>
      </c>
      <c r="ES834" s="407"/>
      <c r="ET834" s="407">
        <v>0</v>
      </c>
      <c r="EU834" s="407"/>
      <c r="EV834" s="407">
        <v>246</v>
      </c>
      <c r="EW834" s="407"/>
      <c r="EX834" s="407"/>
      <c r="EY834" s="407"/>
      <c r="EZ834" s="407"/>
      <c r="FA834" s="407">
        <v>0</v>
      </c>
      <c r="FB834" s="407"/>
      <c r="FC834" s="407"/>
      <c r="FD834" s="407"/>
      <c r="FE834" s="407"/>
      <c r="FF834" s="407">
        <v>0</v>
      </c>
      <c r="FG834" s="407">
        <v>0</v>
      </c>
      <c r="FH834" s="407">
        <v>0</v>
      </c>
      <c r="FI834" s="407">
        <v>0</v>
      </c>
    </row>
    <row r="835" spans="1:165">
      <c r="A835" s="407">
        <v>866</v>
      </c>
      <c r="B835" s="407" t="s">
        <v>1090</v>
      </c>
      <c r="C835" s="407" t="s">
        <v>1044</v>
      </c>
      <c r="D835" s="407" t="s">
        <v>650</v>
      </c>
      <c r="E835" s="407" t="s">
        <v>97</v>
      </c>
      <c r="F835" s="407" t="s">
        <v>97</v>
      </c>
      <c r="G835" s="407" t="s">
        <v>97</v>
      </c>
      <c r="H835" s="407" t="s">
        <v>2328</v>
      </c>
      <c r="I835" s="407" t="s">
        <v>97</v>
      </c>
      <c r="J835" s="407" t="s">
        <v>2329</v>
      </c>
      <c r="K835" s="818">
        <v>44593</v>
      </c>
      <c r="L835" s="407">
        <v>880</v>
      </c>
      <c r="M835" s="407">
        <v>440</v>
      </c>
      <c r="N835" s="407">
        <v>0</v>
      </c>
      <c r="O835" s="407">
        <v>0</v>
      </c>
      <c r="P835" s="407">
        <v>0</v>
      </c>
      <c r="Q835" s="407">
        <v>0</v>
      </c>
      <c r="R835" s="407">
        <v>13.8</v>
      </c>
      <c r="S835" s="407"/>
      <c r="T835" s="407"/>
      <c r="U835" s="407">
        <v>12144</v>
      </c>
      <c r="V835" s="407"/>
      <c r="W835" s="407">
        <v>12144</v>
      </c>
      <c r="X835" s="407">
        <v>5711.2</v>
      </c>
      <c r="Y835" s="407">
        <v>0</v>
      </c>
      <c r="Z835" s="407">
        <v>0</v>
      </c>
      <c r="AA835" s="407">
        <v>0</v>
      </c>
      <c r="AB835" s="407">
        <v>0</v>
      </c>
      <c r="AC835" s="407">
        <v>0</v>
      </c>
      <c r="AD835" s="407">
        <v>0</v>
      </c>
      <c r="AE835" s="407">
        <v>12126.683914216695</v>
      </c>
      <c r="AF835" s="407"/>
      <c r="AG835" s="407"/>
      <c r="AH835" s="407"/>
      <c r="AI835" s="407">
        <v>0</v>
      </c>
      <c r="AJ835" s="407">
        <v>0</v>
      </c>
      <c r="AK835" s="407">
        <v>0</v>
      </c>
      <c r="AL835" s="407">
        <v>0</v>
      </c>
      <c r="AM835" s="407"/>
      <c r="AN835" s="407">
        <v>19.887297426469704</v>
      </c>
      <c r="AO835" s="407">
        <v>0</v>
      </c>
      <c r="AP835" s="407">
        <v>0</v>
      </c>
      <c r="AQ835" s="407">
        <v>0</v>
      </c>
      <c r="AR835" s="407">
        <v>0</v>
      </c>
      <c r="AS835" s="407"/>
      <c r="AT835" s="407"/>
      <c r="AU835" s="407">
        <v>0</v>
      </c>
      <c r="AV835" s="407">
        <v>0</v>
      </c>
      <c r="AW835" s="407">
        <v>0</v>
      </c>
      <c r="AX835" s="407"/>
      <c r="AY835" s="407"/>
      <c r="AZ835" s="407">
        <v>0</v>
      </c>
      <c r="BA835" s="407"/>
      <c r="BB835" s="407">
        <v>0</v>
      </c>
      <c r="BC835" s="407">
        <v>0</v>
      </c>
      <c r="BD835" s="407">
        <v>0</v>
      </c>
      <c r="BE835" s="407">
        <v>0</v>
      </c>
      <c r="BF835" s="407"/>
      <c r="BG835" s="407">
        <v>0</v>
      </c>
      <c r="BH835" s="407">
        <v>0</v>
      </c>
      <c r="BI835" s="407">
        <v>24.47</v>
      </c>
      <c r="BJ835" s="407">
        <v>0</v>
      </c>
      <c r="BK835" s="407">
        <v>0</v>
      </c>
      <c r="BL835" s="407">
        <v>0</v>
      </c>
      <c r="BM835" s="407"/>
      <c r="BN835" s="407"/>
      <c r="BO835" s="407">
        <v>2855.6</v>
      </c>
      <c r="BP835" s="407"/>
      <c r="BQ835" s="407"/>
      <c r="BR835" s="407"/>
      <c r="BS835" s="407"/>
      <c r="BT835" s="407"/>
      <c r="BU835" s="407"/>
      <c r="BV835" s="407">
        <v>0</v>
      </c>
      <c r="BW835" s="407"/>
      <c r="BX835" s="407"/>
      <c r="BY835" s="407"/>
      <c r="BZ835" s="407"/>
      <c r="CA835" s="407"/>
      <c r="CB835" s="407"/>
      <c r="CC835" s="407"/>
      <c r="CD835" s="407"/>
      <c r="CE835" s="407"/>
      <c r="CF835" s="407"/>
      <c r="CG835" s="407"/>
      <c r="CH835" s="407"/>
      <c r="CI835" s="407">
        <v>2855.6</v>
      </c>
      <c r="CJ835" s="407">
        <v>-3216.4300000000007</v>
      </c>
      <c r="CK835" s="407"/>
      <c r="CL835" s="407"/>
      <c r="CM835" s="407"/>
      <c r="CN835" s="407"/>
      <c r="CO835" s="407">
        <v>-6432.8</v>
      </c>
      <c r="CP835" s="407">
        <v>0</v>
      </c>
      <c r="CQ835" s="407">
        <v>29</v>
      </c>
      <c r="CR835" s="407">
        <v>-238.42612531033737</v>
      </c>
      <c r="CS835" s="407">
        <v>0</v>
      </c>
      <c r="CT835" s="407">
        <v>0</v>
      </c>
      <c r="CU835" s="407">
        <v>0</v>
      </c>
      <c r="CV835" s="407">
        <v>0</v>
      </c>
      <c r="CW835" s="407"/>
      <c r="CX835" s="407"/>
      <c r="CY835" s="407"/>
      <c r="CZ835" s="407">
        <v>0</v>
      </c>
      <c r="DA835" s="407">
        <v>0</v>
      </c>
      <c r="DB835" s="407">
        <v>0</v>
      </c>
      <c r="DC835" s="407"/>
      <c r="DD835" s="407"/>
      <c r="DE835" s="407">
        <v>0</v>
      </c>
      <c r="DF835" s="407">
        <v>0</v>
      </c>
      <c r="DG835" s="407">
        <v>0</v>
      </c>
      <c r="DH835" s="407">
        <v>0</v>
      </c>
      <c r="DI835" s="407">
        <v>0</v>
      </c>
      <c r="DJ835" s="407"/>
      <c r="DK835" s="407">
        <v>0</v>
      </c>
      <c r="DL835" s="407">
        <v>0</v>
      </c>
      <c r="DM835" s="407"/>
      <c r="DN835" s="407">
        <v>0</v>
      </c>
      <c r="DO835" s="407">
        <v>0</v>
      </c>
      <c r="DP835" s="407">
        <v>-1.2671705800424</v>
      </c>
      <c r="DQ835" s="407">
        <v>0</v>
      </c>
      <c r="DR835" s="407">
        <v>-237.15895473029497</v>
      </c>
      <c r="DS835" s="407"/>
      <c r="DT835" s="407"/>
      <c r="DU835" s="407">
        <v>12126.683914216695</v>
      </c>
      <c r="DV835" s="407"/>
      <c r="DW835" s="407">
        <v>0</v>
      </c>
      <c r="DX835" s="407">
        <v>0</v>
      </c>
      <c r="DY835" s="407">
        <v>-6432.8</v>
      </c>
      <c r="DZ835" s="407"/>
      <c r="EA835" s="407">
        <v>0</v>
      </c>
      <c r="EB835" s="407"/>
      <c r="EC835" s="407">
        <v>-6194.3383091011747</v>
      </c>
      <c r="ED835" s="407"/>
      <c r="EE835" s="407">
        <v>0</v>
      </c>
      <c r="EF835" s="407">
        <v>0</v>
      </c>
      <c r="EG835" s="407"/>
      <c r="EH835" s="407">
        <v>0</v>
      </c>
      <c r="EI835" s="407">
        <v>0</v>
      </c>
      <c r="EJ835" s="407">
        <v>0</v>
      </c>
      <c r="EK835" s="407">
        <v>0</v>
      </c>
      <c r="EL835" s="407">
        <v>0</v>
      </c>
      <c r="EM835" s="407"/>
      <c r="EN835" s="407"/>
      <c r="EO835" s="407">
        <v>0</v>
      </c>
      <c r="EP835" s="407">
        <v>0</v>
      </c>
      <c r="EQ835" s="407"/>
      <c r="ER835" s="407">
        <v>0</v>
      </c>
      <c r="ES835" s="407"/>
      <c r="ET835" s="407">
        <v>0</v>
      </c>
      <c r="EU835" s="407"/>
      <c r="EV835" s="407">
        <v>246</v>
      </c>
      <c r="EW835" s="407"/>
      <c r="EX835" s="407"/>
      <c r="EY835" s="407"/>
      <c r="EZ835" s="407"/>
      <c r="FA835" s="407">
        <v>0</v>
      </c>
      <c r="FB835" s="407"/>
      <c r="FC835" s="407"/>
      <c r="FD835" s="407"/>
      <c r="FE835" s="407"/>
      <c r="FF835" s="407">
        <v>0</v>
      </c>
      <c r="FG835" s="407">
        <v>0</v>
      </c>
      <c r="FH835" s="407">
        <v>0</v>
      </c>
      <c r="FI835" s="407">
        <v>0</v>
      </c>
    </row>
    <row r="836" spans="1:165">
      <c r="A836" s="407">
        <v>867</v>
      </c>
      <c r="B836" s="407" t="s">
        <v>1090</v>
      </c>
      <c r="C836" s="407" t="s">
        <v>1044</v>
      </c>
      <c r="D836" s="407" t="s">
        <v>650</v>
      </c>
      <c r="E836" s="407" t="s">
        <v>97</v>
      </c>
      <c r="F836" s="407" t="s">
        <v>97</v>
      </c>
      <c r="G836" s="407" t="s">
        <v>97</v>
      </c>
      <c r="H836" s="407" t="s">
        <v>2330</v>
      </c>
      <c r="I836" s="407" t="s">
        <v>97</v>
      </c>
      <c r="J836" s="407" t="s">
        <v>2329</v>
      </c>
      <c r="K836" s="818">
        <v>44593</v>
      </c>
      <c r="L836" s="407">
        <v>520</v>
      </c>
      <c r="M836" s="407">
        <v>260</v>
      </c>
      <c r="N836" s="407">
        <v>0</v>
      </c>
      <c r="O836" s="407">
        <v>0</v>
      </c>
      <c r="P836" s="407">
        <v>0</v>
      </c>
      <c r="Q836" s="407">
        <v>0</v>
      </c>
      <c r="R836" s="407">
        <v>13.8</v>
      </c>
      <c r="S836" s="407"/>
      <c r="T836" s="407"/>
      <c r="U836" s="407">
        <v>7176</v>
      </c>
      <c r="V836" s="407"/>
      <c r="W836" s="407">
        <v>7176</v>
      </c>
      <c r="X836" s="407">
        <v>3374.8</v>
      </c>
      <c r="Y836" s="407">
        <v>0</v>
      </c>
      <c r="Z836" s="407">
        <v>0</v>
      </c>
      <c r="AA836" s="407">
        <v>0</v>
      </c>
      <c r="AB836" s="407">
        <v>0</v>
      </c>
      <c r="AC836" s="407">
        <v>0</v>
      </c>
      <c r="AD836" s="407">
        <v>0</v>
      </c>
      <c r="AE836" s="407">
        <v>7165.767767491684</v>
      </c>
      <c r="AF836" s="407"/>
      <c r="AG836" s="407"/>
      <c r="AH836" s="407"/>
      <c r="AI836" s="407">
        <v>0</v>
      </c>
      <c r="AJ836" s="407">
        <v>0</v>
      </c>
      <c r="AK836" s="407">
        <v>0</v>
      </c>
      <c r="AL836" s="407">
        <v>0</v>
      </c>
      <c r="AM836" s="407"/>
      <c r="AN836" s="407">
        <v>11.751584842913916</v>
      </c>
      <c r="AO836" s="407">
        <v>0</v>
      </c>
      <c r="AP836" s="407">
        <v>0</v>
      </c>
      <c r="AQ836" s="407">
        <v>0</v>
      </c>
      <c r="AR836" s="407">
        <v>0</v>
      </c>
      <c r="AS836" s="407"/>
      <c r="AT836" s="407"/>
      <c r="AU836" s="407">
        <v>0</v>
      </c>
      <c r="AV836" s="407">
        <v>0</v>
      </c>
      <c r="AW836" s="407">
        <v>0</v>
      </c>
      <c r="AX836" s="407"/>
      <c r="AY836" s="407"/>
      <c r="AZ836" s="407">
        <v>0</v>
      </c>
      <c r="BA836" s="407"/>
      <c r="BB836" s="407">
        <v>0</v>
      </c>
      <c r="BC836" s="407">
        <v>0</v>
      </c>
      <c r="BD836" s="407">
        <v>0</v>
      </c>
      <c r="BE836" s="407">
        <v>0</v>
      </c>
      <c r="BF836" s="407"/>
      <c r="BG836" s="407">
        <v>0</v>
      </c>
      <c r="BH836" s="407">
        <v>0</v>
      </c>
      <c r="BI836" s="407">
        <v>14.46</v>
      </c>
      <c r="BJ836" s="407">
        <v>0</v>
      </c>
      <c r="BK836" s="407">
        <v>0</v>
      </c>
      <c r="BL836" s="407">
        <v>0</v>
      </c>
      <c r="BM836" s="407"/>
      <c r="BN836" s="407"/>
      <c r="BO836" s="407">
        <v>1687.4</v>
      </c>
      <c r="BP836" s="407"/>
      <c r="BQ836" s="407"/>
      <c r="BR836" s="407"/>
      <c r="BS836" s="407"/>
      <c r="BT836" s="407"/>
      <c r="BU836" s="407"/>
      <c r="BV836" s="407">
        <v>0</v>
      </c>
      <c r="BW836" s="407"/>
      <c r="BX836" s="407"/>
      <c r="BY836" s="407"/>
      <c r="BZ836" s="407"/>
      <c r="CA836" s="407"/>
      <c r="CB836" s="407"/>
      <c r="CC836" s="407"/>
      <c r="CD836" s="407"/>
      <c r="CE836" s="407"/>
      <c r="CF836" s="407"/>
      <c r="CG836" s="407"/>
      <c r="CH836" s="407"/>
      <c r="CI836" s="407">
        <v>1687.4</v>
      </c>
      <c r="CJ836" s="407">
        <v>-1900.6300000000006</v>
      </c>
      <c r="CK836" s="407"/>
      <c r="CL836" s="407"/>
      <c r="CM836" s="407"/>
      <c r="CN836" s="407"/>
      <c r="CO836" s="407">
        <v>-3801.2000000000003</v>
      </c>
      <c r="CP836" s="407">
        <v>0</v>
      </c>
      <c r="CQ836" s="407">
        <v>29</v>
      </c>
      <c r="CR836" s="407">
        <v>-140.88816495610848</v>
      </c>
      <c r="CS836" s="407">
        <v>0</v>
      </c>
      <c r="CT836" s="407">
        <v>0</v>
      </c>
      <c r="CU836" s="407">
        <v>0</v>
      </c>
      <c r="CV836" s="407">
        <v>0</v>
      </c>
      <c r="CW836" s="407"/>
      <c r="CX836" s="407"/>
      <c r="CY836" s="407"/>
      <c r="CZ836" s="407">
        <v>0</v>
      </c>
      <c r="DA836" s="407">
        <v>0</v>
      </c>
      <c r="DB836" s="407">
        <v>0</v>
      </c>
      <c r="DC836" s="407"/>
      <c r="DD836" s="407"/>
      <c r="DE836" s="407">
        <v>0</v>
      </c>
      <c r="DF836" s="407">
        <v>0</v>
      </c>
      <c r="DG836" s="407">
        <v>0</v>
      </c>
      <c r="DH836" s="407">
        <v>0</v>
      </c>
      <c r="DI836" s="407">
        <v>0</v>
      </c>
      <c r="DJ836" s="407"/>
      <c r="DK836" s="407">
        <v>0</v>
      </c>
      <c r="DL836" s="407">
        <v>0</v>
      </c>
      <c r="DM836" s="407"/>
      <c r="DN836" s="407">
        <v>0</v>
      </c>
      <c r="DO836" s="407">
        <v>0</v>
      </c>
      <c r="DP836" s="407">
        <v>-0.74878261547960001</v>
      </c>
      <c r="DQ836" s="407">
        <v>0</v>
      </c>
      <c r="DR836" s="407">
        <v>-140.13938234062886</v>
      </c>
      <c r="DS836" s="407"/>
      <c r="DT836" s="407"/>
      <c r="DU836" s="407">
        <v>7165.767767491684</v>
      </c>
      <c r="DV836" s="407"/>
      <c r="DW836" s="407">
        <v>0</v>
      </c>
      <c r="DX836" s="407">
        <v>0</v>
      </c>
      <c r="DY836" s="407">
        <v>-3801.2</v>
      </c>
      <c r="DZ836" s="407"/>
      <c r="EA836" s="407">
        <v>0</v>
      </c>
      <c r="EB836" s="407"/>
      <c r="EC836" s="407">
        <v>-3660.2908190143312</v>
      </c>
      <c r="ED836" s="407"/>
      <c r="EE836" s="407">
        <v>0</v>
      </c>
      <c r="EF836" s="407">
        <v>0</v>
      </c>
      <c r="EG836" s="407"/>
      <c r="EH836" s="407">
        <v>0</v>
      </c>
      <c r="EI836" s="407">
        <v>0</v>
      </c>
      <c r="EJ836" s="407">
        <v>0</v>
      </c>
      <c r="EK836" s="407">
        <v>0</v>
      </c>
      <c r="EL836" s="407">
        <v>0</v>
      </c>
      <c r="EM836" s="407"/>
      <c r="EN836" s="407"/>
      <c r="EO836" s="407">
        <v>0</v>
      </c>
      <c r="EP836" s="407">
        <v>0</v>
      </c>
      <c r="EQ836" s="407"/>
      <c r="ER836" s="407">
        <v>0</v>
      </c>
      <c r="ES836" s="407"/>
      <c r="ET836" s="407">
        <v>0</v>
      </c>
      <c r="EU836" s="407"/>
      <c r="EV836" s="407">
        <v>246</v>
      </c>
      <c r="EW836" s="407"/>
      <c r="EX836" s="407"/>
      <c r="EY836" s="407"/>
      <c r="EZ836" s="407"/>
      <c r="FA836" s="407">
        <v>0</v>
      </c>
      <c r="FB836" s="407"/>
      <c r="FC836" s="407"/>
      <c r="FD836" s="407"/>
      <c r="FE836" s="407"/>
      <c r="FF836" s="407">
        <v>0</v>
      </c>
      <c r="FG836" s="407">
        <v>0</v>
      </c>
      <c r="FH836" s="407">
        <v>0</v>
      </c>
      <c r="FI836" s="407">
        <v>0</v>
      </c>
    </row>
    <row r="837" spans="1:165">
      <c r="A837" s="407">
        <v>868</v>
      </c>
      <c r="B837" s="407" t="s">
        <v>1090</v>
      </c>
      <c r="C837" s="407" t="s">
        <v>1044</v>
      </c>
      <c r="D837" s="407" t="s">
        <v>650</v>
      </c>
      <c r="E837" s="407" t="s">
        <v>97</v>
      </c>
      <c r="F837" s="407" t="s">
        <v>97</v>
      </c>
      <c r="G837" s="407" t="s">
        <v>97</v>
      </c>
      <c r="H837" s="407" t="s">
        <v>2331</v>
      </c>
      <c r="I837" s="407" t="s">
        <v>97</v>
      </c>
      <c r="J837" s="407" t="s">
        <v>2329</v>
      </c>
      <c r="K837" s="818">
        <v>44593</v>
      </c>
      <c r="L837" s="407">
        <v>1000</v>
      </c>
      <c r="M837" s="407">
        <v>500</v>
      </c>
      <c r="N837" s="407">
        <v>0</v>
      </c>
      <c r="O837" s="407">
        <v>0</v>
      </c>
      <c r="P837" s="407">
        <v>0</v>
      </c>
      <c r="Q837" s="407">
        <v>0</v>
      </c>
      <c r="R837" s="407">
        <v>13.8</v>
      </c>
      <c r="S837" s="407"/>
      <c r="T837" s="407"/>
      <c r="U837" s="407">
        <v>13800</v>
      </c>
      <c r="V837" s="407"/>
      <c r="W837" s="407">
        <v>13800</v>
      </c>
      <c r="X837" s="407">
        <v>6490</v>
      </c>
      <c r="Y837" s="407">
        <v>0</v>
      </c>
      <c r="Z837" s="407">
        <v>0</v>
      </c>
      <c r="AA837" s="407">
        <v>0</v>
      </c>
      <c r="AB837" s="407">
        <v>0</v>
      </c>
      <c r="AC837" s="407">
        <v>0</v>
      </c>
      <c r="AD837" s="407">
        <v>0</v>
      </c>
      <c r="AE837" s="407">
        <v>13780.322629791699</v>
      </c>
      <c r="AF837" s="407"/>
      <c r="AG837" s="407"/>
      <c r="AH837" s="407"/>
      <c r="AI837" s="407">
        <v>0</v>
      </c>
      <c r="AJ837" s="407">
        <v>0</v>
      </c>
      <c r="AK837" s="407">
        <v>0</v>
      </c>
      <c r="AL837" s="407">
        <v>0</v>
      </c>
      <c r="AM837" s="407"/>
      <c r="AN837" s="407">
        <v>22.5992016209883</v>
      </c>
      <c r="AO837" s="407">
        <v>0</v>
      </c>
      <c r="AP837" s="407">
        <v>0</v>
      </c>
      <c r="AQ837" s="407">
        <v>0</v>
      </c>
      <c r="AR837" s="407">
        <v>0</v>
      </c>
      <c r="AS837" s="407"/>
      <c r="AT837" s="407"/>
      <c r="AU837" s="407">
        <v>0</v>
      </c>
      <c r="AV837" s="407">
        <v>0</v>
      </c>
      <c r="AW837" s="407">
        <v>0</v>
      </c>
      <c r="AX837" s="407"/>
      <c r="AY837" s="407"/>
      <c r="AZ837" s="407">
        <v>0</v>
      </c>
      <c r="BA837" s="407"/>
      <c r="BB837" s="407">
        <v>0</v>
      </c>
      <c r="BC837" s="407">
        <v>0</v>
      </c>
      <c r="BD837" s="407">
        <v>0</v>
      </c>
      <c r="BE837" s="407">
        <v>0</v>
      </c>
      <c r="BF837" s="407"/>
      <c r="BG837" s="407">
        <v>0</v>
      </c>
      <c r="BH837" s="407">
        <v>0</v>
      </c>
      <c r="BI837" s="407">
        <v>27.81</v>
      </c>
      <c r="BJ837" s="407">
        <v>0</v>
      </c>
      <c r="BK837" s="407">
        <v>0</v>
      </c>
      <c r="BL837" s="407">
        <v>0</v>
      </c>
      <c r="BM837" s="407"/>
      <c r="BN837" s="407"/>
      <c r="BO837" s="407">
        <v>3245</v>
      </c>
      <c r="BP837" s="407"/>
      <c r="BQ837" s="407"/>
      <c r="BR837" s="407"/>
      <c r="BS837" s="407"/>
      <c r="BT837" s="407"/>
      <c r="BU837" s="407"/>
      <c r="BV837" s="407">
        <v>0</v>
      </c>
      <c r="BW837" s="407"/>
      <c r="BX837" s="407"/>
      <c r="BY837" s="407"/>
      <c r="BZ837" s="407"/>
      <c r="CA837" s="407"/>
      <c r="CB837" s="407"/>
      <c r="CC837" s="407"/>
      <c r="CD837" s="407"/>
      <c r="CE837" s="407"/>
      <c r="CF837" s="407"/>
      <c r="CG837" s="407"/>
      <c r="CH837" s="407"/>
      <c r="CI837" s="407">
        <v>3245</v>
      </c>
      <c r="CJ837" s="407">
        <v>-3655.0300000000007</v>
      </c>
      <c r="CK837" s="407"/>
      <c r="CL837" s="407"/>
      <c r="CM837" s="407"/>
      <c r="CN837" s="407"/>
      <c r="CO837" s="407">
        <v>-7310.0000000000009</v>
      </c>
      <c r="CP837" s="407">
        <v>0</v>
      </c>
      <c r="CQ837" s="407">
        <v>29</v>
      </c>
      <c r="CR837" s="407">
        <v>-270.93877876174702</v>
      </c>
      <c r="CS837" s="407">
        <v>0</v>
      </c>
      <c r="CT837" s="407">
        <v>0</v>
      </c>
      <c r="CU837" s="407">
        <v>0</v>
      </c>
      <c r="CV837" s="407">
        <v>0</v>
      </c>
      <c r="CW837" s="407"/>
      <c r="CX837" s="407"/>
      <c r="CY837" s="407"/>
      <c r="CZ837" s="407">
        <v>0</v>
      </c>
      <c r="DA837" s="407">
        <v>0</v>
      </c>
      <c r="DB837" s="407">
        <v>0</v>
      </c>
      <c r="DC837" s="407"/>
      <c r="DD837" s="407"/>
      <c r="DE837" s="407">
        <v>0</v>
      </c>
      <c r="DF837" s="407">
        <v>0</v>
      </c>
      <c r="DG837" s="407">
        <v>0</v>
      </c>
      <c r="DH837" s="407">
        <v>0</v>
      </c>
      <c r="DI837" s="407">
        <v>0</v>
      </c>
      <c r="DJ837" s="407"/>
      <c r="DK837" s="407">
        <v>0</v>
      </c>
      <c r="DL837" s="407">
        <v>0</v>
      </c>
      <c r="DM837" s="407"/>
      <c r="DN837" s="407">
        <v>0</v>
      </c>
      <c r="DO837" s="407">
        <v>0</v>
      </c>
      <c r="DP837" s="407">
        <v>-1.4399665682300018</v>
      </c>
      <c r="DQ837" s="407">
        <v>0</v>
      </c>
      <c r="DR837" s="407">
        <v>-269.49881219351704</v>
      </c>
      <c r="DS837" s="407"/>
      <c r="DT837" s="407"/>
      <c r="DU837" s="407">
        <v>13780.322629791699</v>
      </c>
      <c r="DV837" s="407"/>
      <c r="DW837" s="407">
        <v>0</v>
      </c>
      <c r="DX837" s="407">
        <v>0</v>
      </c>
      <c r="DY837" s="407">
        <v>-7310</v>
      </c>
      <c r="DZ837" s="407"/>
      <c r="EA837" s="407">
        <v>0</v>
      </c>
      <c r="EB837" s="407"/>
      <c r="EC837" s="407">
        <v>-7039.0208057967893</v>
      </c>
      <c r="ED837" s="407"/>
      <c r="EE837" s="407">
        <v>0</v>
      </c>
      <c r="EF837" s="407">
        <v>0</v>
      </c>
      <c r="EG837" s="407"/>
      <c r="EH837" s="407">
        <v>0</v>
      </c>
      <c r="EI837" s="407">
        <v>0</v>
      </c>
      <c r="EJ837" s="407">
        <v>0</v>
      </c>
      <c r="EK837" s="407">
        <v>0</v>
      </c>
      <c r="EL837" s="407">
        <v>0</v>
      </c>
      <c r="EM837" s="407"/>
      <c r="EN837" s="407"/>
      <c r="EO837" s="407">
        <v>0</v>
      </c>
      <c r="EP837" s="407">
        <v>0</v>
      </c>
      <c r="EQ837" s="407"/>
      <c r="ER837" s="407">
        <v>0</v>
      </c>
      <c r="ES837" s="407"/>
      <c r="ET837" s="407">
        <v>0</v>
      </c>
      <c r="EU837" s="407"/>
      <c r="EV837" s="407">
        <v>246</v>
      </c>
      <c r="EW837" s="407"/>
      <c r="EX837" s="407"/>
      <c r="EY837" s="407"/>
      <c r="EZ837" s="407"/>
      <c r="FA837" s="407">
        <v>0</v>
      </c>
      <c r="FB837" s="407"/>
      <c r="FC837" s="407"/>
      <c r="FD837" s="407"/>
      <c r="FE837" s="407"/>
      <c r="FF837" s="407">
        <v>0</v>
      </c>
      <c r="FG837" s="407">
        <v>0</v>
      </c>
      <c r="FH837" s="407">
        <v>0</v>
      </c>
      <c r="FI837" s="407">
        <v>0</v>
      </c>
    </row>
    <row r="838" spans="1:165">
      <c r="A838" s="407">
        <v>869</v>
      </c>
      <c r="B838" s="407" t="s">
        <v>1090</v>
      </c>
      <c r="C838" s="407" t="s">
        <v>1044</v>
      </c>
      <c r="D838" s="407" t="s">
        <v>650</v>
      </c>
      <c r="E838" s="407" t="s">
        <v>97</v>
      </c>
      <c r="F838" s="407" t="s">
        <v>97</v>
      </c>
      <c r="G838" s="407" t="s">
        <v>97</v>
      </c>
      <c r="H838" s="407" t="s">
        <v>2332</v>
      </c>
      <c r="I838" s="407" t="s">
        <v>97</v>
      </c>
      <c r="J838" s="407" t="s">
        <v>2329</v>
      </c>
      <c r="K838" s="818">
        <v>44593</v>
      </c>
      <c r="L838" s="407">
        <v>800</v>
      </c>
      <c r="M838" s="407">
        <v>400</v>
      </c>
      <c r="N838" s="407">
        <v>0</v>
      </c>
      <c r="O838" s="407">
        <v>0</v>
      </c>
      <c r="P838" s="407">
        <v>0</v>
      </c>
      <c r="Q838" s="407">
        <v>0</v>
      </c>
      <c r="R838" s="407">
        <v>13.8</v>
      </c>
      <c r="S838" s="407"/>
      <c r="T838" s="407"/>
      <c r="U838" s="407">
        <v>11040</v>
      </c>
      <c r="V838" s="407"/>
      <c r="W838" s="407">
        <v>11040</v>
      </c>
      <c r="X838" s="407">
        <v>5192</v>
      </c>
      <c r="Y838" s="407">
        <v>0</v>
      </c>
      <c r="Z838" s="407">
        <v>0</v>
      </c>
      <c r="AA838" s="407">
        <v>0</v>
      </c>
      <c r="AB838" s="407">
        <v>0</v>
      </c>
      <c r="AC838" s="407">
        <v>0</v>
      </c>
      <c r="AD838" s="407">
        <v>0</v>
      </c>
      <c r="AE838" s="407">
        <v>11024.258103833359</v>
      </c>
      <c r="AF838" s="407"/>
      <c r="AG838" s="407"/>
      <c r="AH838" s="407"/>
      <c r="AI838" s="407">
        <v>0</v>
      </c>
      <c r="AJ838" s="407">
        <v>0</v>
      </c>
      <c r="AK838" s="407">
        <v>0</v>
      </c>
      <c r="AL838" s="407">
        <v>0</v>
      </c>
      <c r="AM838" s="407"/>
      <c r="AN838" s="407">
        <v>18.079361296790637</v>
      </c>
      <c r="AO838" s="407">
        <v>0</v>
      </c>
      <c r="AP838" s="407">
        <v>0</v>
      </c>
      <c r="AQ838" s="407">
        <v>0</v>
      </c>
      <c r="AR838" s="407">
        <v>0</v>
      </c>
      <c r="AS838" s="407"/>
      <c r="AT838" s="407"/>
      <c r="AU838" s="407">
        <v>0</v>
      </c>
      <c r="AV838" s="407">
        <v>0</v>
      </c>
      <c r="AW838" s="407">
        <v>0</v>
      </c>
      <c r="AX838" s="407"/>
      <c r="AY838" s="407"/>
      <c r="AZ838" s="407">
        <v>0</v>
      </c>
      <c r="BA838" s="407"/>
      <c r="BB838" s="407">
        <v>0</v>
      </c>
      <c r="BC838" s="407">
        <v>0</v>
      </c>
      <c r="BD838" s="407">
        <v>0</v>
      </c>
      <c r="BE838" s="407">
        <v>0</v>
      </c>
      <c r="BF838" s="407"/>
      <c r="BG838" s="407">
        <v>0</v>
      </c>
      <c r="BH838" s="407">
        <v>0</v>
      </c>
      <c r="BI838" s="407">
        <v>22.25</v>
      </c>
      <c r="BJ838" s="407">
        <v>0</v>
      </c>
      <c r="BK838" s="407">
        <v>0</v>
      </c>
      <c r="BL838" s="407">
        <v>0</v>
      </c>
      <c r="BM838" s="407"/>
      <c r="BN838" s="407"/>
      <c r="BO838" s="407">
        <v>2596</v>
      </c>
      <c r="BP838" s="407"/>
      <c r="BQ838" s="407"/>
      <c r="BR838" s="407"/>
      <c r="BS838" s="407"/>
      <c r="BT838" s="407"/>
      <c r="BU838" s="407"/>
      <c r="BV838" s="407">
        <v>0</v>
      </c>
      <c r="BW838" s="407"/>
      <c r="BX838" s="407"/>
      <c r="BY838" s="407"/>
      <c r="BZ838" s="407"/>
      <c r="CA838" s="407"/>
      <c r="CB838" s="407"/>
      <c r="CC838" s="407"/>
      <c r="CD838" s="407"/>
      <c r="CE838" s="407"/>
      <c r="CF838" s="407"/>
      <c r="CG838" s="407"/>
      <c r="CH838" s="407"/>
      <c r="CI838" s="407">
        <v>2596</v>
      </c>
      <c r="CJ838" s="407">
        <v>-2924.0300000000007</v>
      </c>
      <c r="CK838" s="407"/>
      <c r="CL838" s="407"/>
      <c r="CM838" s="407"/>
      <c r="CN838" s="407"/>
      <c r="CO838" s="407">
        <v>-5848</v>
      </c>
      <c r="CP838" s="407">
        <v>0</v>
      </c>
      <c r="CQ838" s="407">
        <v>29</v>
      </c>
      <c r="CR838" s="407">
        <v>-216.75102300939761</v>
      </c>
      <c r="CS838" s="407">
        <v>0</v>
      </c>
      <c r="CT838" s="407">
        <v>0</v>
      </c>
      <c r="CU838" s="407">
        <v>0</v>
      </c>
      <c r="CV838" s="407">
        <v>0</v>
      </c>
      <c r="CW838" s="407"/>
      <c r="CX838" s="407"/>
      <c r="CY838" s="407"/>
      <c r="CZ838" s="407">
        <v>0</v>
      </c>
      <c r="DA838" s="407">
        <v>0</v>
      </c>
      <c r="DB838" s="407">
        <v>0</v>
      </c>
      <c r="DC838" s="407"/>
      <c r="DD838" s="407"/>
      <c r="DE838" s="407">
        <v>0</v>
      </c>
      <c r="DF838" s="407">
        <v>0</v>
      </c>
      <c r="DG838" s="407">
        <v>0</v>
      </c>
      <c r="DH838" s="407">
        <v>0</v>
      </c>
      <c r="DI838" s="407">
        <v>0</v>
      </c>
      <c r="DJ838" s="407"/>
      <c r="DK838" s="407">
        <v>0</v>
      </c>
      <c r="DL838" s="407">
        <v>0</v>
      </c>
      <c r="DM838" s="407"/>
      <c r="DN838" s="407">
        <v>0</v>
      </c>
      <c r="DO838" s="407">
        <v>0</v>
      </c>
      <c r="DP838" s="407">
        <v>-1.1519732545839965</v>
      </c>
      <c r="DQ838" s="407">
        <v>0</v>
      </c>
      <c r="DR838" s="407">
        <v>-215.59904975481362</v>
      </c>
      <c r="DS838" s="407"/>
      <c r="DT838" s="407"/>
      <c r="DU838" s="407">
        <v>11024.258103833359</v>
      </c>
      <c r="DV838" s="407"/>
      <c r="DW838" s="407">
        <v>0</v>
      </c>
      <c r="DX838" s="407">
        <v>0</v>
      </c>
      <c r="DY838" s="407">
        <v>-5848</v>
      </c>
      <c r="DZ838" s="407"/>
      <c r="EA838" s="407">
        <v>0</v>
      </c>
      <c r="EB838" s="407"/>
      <c r="EC838" s="407">
        <v>-5631.2166446374313</v>
      </c>
      <c r="ED838" s="407"/>
      <c r="EE838" s="407">
        <v>0</v>
      </c>
      <c r="EF838" s="407">
        <v>0</v>
      </c>
      <c r="EG838" s="407"/>
      <c r="EH838" s="407">
        <v>0</v>
      </c>
      <c r="EI838" s="407">
        <v>0</v>
      </c>
      <c r="EJ838" s="407">
        <v>0</v>
      </c>
      <c r="EK838" s="407">
        <v>0</v>
      </c>
      <c r="EL838" s="407">
        <v>0</v>
      </c>
      <c r="EM838" s="407"/>
      <c r="EN838" s="407"/>
      <c r="EO838" s="407">
        <v>0</v>
      </c>
      <c r="EP838" s="407">
        <v>0</v>
      </c>
      <c r="EQ838" s="407"/>
      <c r="ER838" s="407">
        <v>0</v>
      </c>
      <c r="ES838" s="407"/>
      <c r="ET838" s="407">
        <v>0</v>
      </c>
      <c r="EU838" s="407"/>
      <c r="EV838" s="407">
        <v>246</v>
      </c>
      <c r="EW838" s="407"/>
      <c r="EX838" s="407"/>
      <c r="EY838" s="407"/>
      <c r="EZ838" s="407"/>
      <c r="FA838" s="407">
        <v>0</v>
      </c>
      <c r="FB838" s="407"/>
      <c r="FC838" s="407"/>
      <c r="FD838" s="407"/>
      <c r="FE838" s="407"/>
      <c r="FF838" s="407">
        <v>0</v>
      </c>
      <c r="FG838" s="407">
        <v>0</v>
      </c>
      <c r="FH838" s="407">
        <v>0</v>
      </c>
      <c r="FI838" s="407">
        <v>0</v>
      </c>
    </row>
    <row r="839" spans="1:165">
      <c r="A839" s="407">
        <v>870</v>
      </c>
      <c r="B839" s="407" t="s">
        <v>1090</v>
      </c>
      <c r="C839" s="407" t="s">
        <v>1044</v>
      </c>
      <c r="D839" s="407" t="s">
        <v>650</v>
      </c>
      <c r="E839" s="407" t="s">
        <v>97</v>
      </c>
      <c r="F839" s="407" t="s">
        <v>97</v>
      </c>
      <c r="G839" s="407" t="s">
        <v>97</v>
      </c>
      <c r="H839" s="407" t="s">
        <v>2333</v>
      </c>
      <c r="I839" s="407" t="s">
        <v>97</v>
      </c>
      <c r="J839" s="407" t="s">
        <v>2329</v>
      </c>
      <c r="K839" s="818">
        <v>44593</v>
      </c>
      <c r="L839" s="407">
        <v>270</v>
      </c>
      <c r="M839" s="407">
        <v>135</v>
      </c>
      <c r="N839" s="407">
        <v>0</v>
      </c>
      <c r="O839" s="407">
        <v>0</v>
      </c>
      <c r="P839" s="407">
        <v>0</v>
      </c>
      <c r="Q839" s="407">
        <v>0</v>
      </c>
      <c r="R839" s="407">
        <v>13.8</v>
      </c>
      <c r="S839" s="407"/>
      <c r="T839" s="407"/>
      <c r="U839" s="407">
        <v>3726</v>
      </c>
      <c r="V839" s="407"/>
      <c r="W839" s="407">
        <v>3726</v>
      </c>
      <c r="X839" s="407">
        <v>1752.3</v>
      </c>
      <c r="Y839" s="407">
        <v>0</v>
      </c>
      <c r="Z839" s="407">
        <v>0</v>
      </c>
      <c r="AA839" s="407">
        <v>0</v>
      </c>
      <c r="AB839" s="407">
        <v>0</v>
      </c>
      <c r="AC839" s="407">
        <v>0</v>
      </c>
      <c r="AD839" s="407">
        <v>0</v>
      </c>
      <c r="AE839" s="407">
        <v>3720.6871100437588</v>
      </c>
      <c r="AF839" s="407"/>
      <c r="AG839" s="407"/>
      <c r="AH839" s="407"/>
      <c r="AI839" s="407">
        <v>0</v>
      </c>
      <c r="AJ839" s="407">
        <v>0</v>
      </c>
      <c r="AK839" s="407">
        <v>0</v>
      </c>
      <c r="AL839" s="407">
        <v>0</v>
      </c>
      <c r="AM839" s="407"/>
      <c r="AN839" s="407">
        <v>6.1017844376668409</v>
      </c>
      <c r="AO839" s="407">
        <v>0</v>
      </c>
      <c r="AP839" s="407">
        <v>0</v>
      </c>
      <c r="AQ839" s="407">
        <v>0</v>
      </c>
      <c r="AR839" s="407">
        <v>0</v>
      </c>
      <c r="AS839" s="407"/>
      <c r="AT839" s="407"/>
      <c r="AU839" s="407">
        <v>0</v>
      </c>
      <c r="AV839" s="407">
        <v>0</v>
      </c>
      <c r="AW839" s="407">
        <v>0</v>
      </c>
      <c r="AX839" s="407"/>
      <c r="AY839" s="407"/>
      <c r="AZ839" s="407">
        <v>0</v>
      </c>
      <c r="BA839" s="407"/>
      <c r="BB839" s="407">
        <v>0</v>
      </c>
      <c r="BC839" s="407">
        <v>0</v>
      </c>
      <c r="BD839" s="407">
        <v>0</v>
      </c>
      <c r="BE839" s="407">
        <v>0</v>
      </c>
      <c r="BF839" s="407"/>
      <c r="BG839" s="407">
        <v>0</v>
      </c>
      <c r="BH839" s="407">
        <v>0</v>
      </c>
      <c r="BI839" s="407">
        <v>7.51</v>
      </c>
      <c r="BJ839" s="407">
        <v>0</v>
      </c>
      <c r="BK839" s="407">
        <v>0</v>
      </c>
      <c r="BL839" s="407">
        <v>0</v>
      </c>
      <c r="BM839" s="407"/>
      <c r="BN839" s="407"/>
      <c r="BO839" s="407">
        <v>876.15</v>
      </c>
      <c r="BP839" s="407"/>
      <c r="BQ839" s="407"/>
      <c r="BR839" s="407"/>
      <c r="BS839" s="407"/>
      <c r="BT839" s="407"/>
      <c r="BU839" s="407"/>
      <c r="BV839" s="407">
        <v>0</v>
      </c>
      <c r="BW839" s="407"/>
      <c r="BX839" s="407"/>
      <c r="BY839" s="407"/>
      <c r="BZ839" s="407"/>
      <c r="CA839" s="407"/>
      <c r="CB839" s="407"/>
      <c r="CC839" s="407"/>
      <c r="CD839" s="407"/>
      <c r="CE839" s="407"/>
      <c r="CF839" s="407"/>
      <c r="CG839" s="407"/>
      <c r="CH839" s="407"/>
      <c r="CI839" s="407">
        <v>876.15</v>
      </c>
      <c r="CJ839" s="407">
        <v>-986.88</v>
      </c>
      <c r="CK839" s="407"/>
      <c r="CL839" s="407"/>
      <c r="CM839" s="407"/>
      <c r="CN839" s="407"/>
      <c r="CO839" s="407">
        <v>-1973.7</v>
      </c>
      <c r="CP839" s="407">
        <v>0</v>
      </c>
      <c r="CQ839" s="407">
        <v>29</v>
      </c>
      <c r="CR839" s="407">
        <v>-73.153470265671686</v>
      </c>
      <c r="CS839" s="407">
        <v>0</v>
      </c>
      <c r="CT839" s="407">
        <v>0</v>
      </c>
      <c r="CU839" s="407">
        <v>0</v>
      </c>
      <c r="CV839" s="407">
        <v>0</v>
      </c>
      <c r="CW839" s="407"/>
      <c r="CX839" s="407"/>
      <c r="CY839" s="407"/>
      <c r="CZ839" s="407">
        <v>0</v>
      </c>
      <c r="DA839" s="407">
        <v>0</v>
      </c>
      <c r="DB839" s="407">
        <v>0</v>
      </c>
      <c r="DC839" s="407"/>
      <c r="DD839" s="407"/>
      <c r="DE839" s="407">
        <v>0</v>
      </c>
      <c r="DF839" s="407">
        <v>0</v>
      </c>
      <c r="DG839" s="407">
        <v>0</v>
      </c>
      <c r="DH839" s="407">
        <v>0</v>
      </c>
      <c r="DI839" s="407">
        <v>0</v>
      </c>
      <c r="DJ839" s="407"/>
      <c r="DK839" s="407">
        <v>0</v>
      </c>
      <c r="DL839" s="407">
        <v>0</v>
      </c>
      <c r="DM839" s="407"/>
      <c r="DN839" s="407">
        <v>0</v>
      </c>
      <c r="DO839" s="407">
        <v>0</v>
      </c>
      <c r="DP839" s="407">
        <v>-0.38879097342209956</v>
      </c>
      <c r="DQ839" s="407">
        <v>0</v>
      </c>
      <c r="DR839" s="407">
        <v>-72.764679292249596</v>
      </c>
      <c r="DS839" s="407"/>
      <c r="DT839" s="407"/>
      <c r="DU839" s="407">
        <v>3720.6871100437588</v>
      </c>
      <c r="DV839" s="407"/>
      <c r="DW839" s="407">
        <v>0</v>
      </c>
      <c r="DX839" s="407">
        <v>0</v>
      </c>
      <c r="DY839" s="407">
        <v>-1973.7</v>
      </c>
      <c r="DZ839" s="407"/>
      <c r="EA839" s="407">
        <v>0</v>
      </c>
      <c r="EB839" s="407"/>
      <c r="EC839" s="407">
        <v>-1900.5356175651332</v>
      </c>
      <c r="ED839" s="407"/>
      <c r="EE839" s="407">
        <v>0</v>
      </c>
      <c r="EF839" s="407">
        <v>0</v>
      </c>
      <c r="EG839" s="407"/>
      <c r="EH839" s="407">
        <v>0</v>
      </c>
      <c r="EI839" s="407">
        <v>0</v>
      </c>
      <c r="EJ839" s="407">
        <v>0</v>
      </c>
      <c r="EK839" s="407">
        <v>0</v>
      </c>
      <c r="EL839" s="407">
        <v>0</v>
      </c>
      <c r="EM839" s="407"/>
      <c r="EN839" s="407"/>
      <c r="EO839" s="407">
        <v>0</v>
      </c>
      <c r="EP839" s="407">
        <v>0</v>
      </c>
      <c r="EQ839" s="407"/>
      <c r="ER839" s="407">
        <v>0</v>
      </c>
      <c r="ES839" s="407"/>
      <c r="ET839" s="407">
        <v>0</v>
      </c>
      <c r="EU839" s="407"/>
      <c r="EV839" s="407">
        <v>246</v>
      </c>
      <c r="EW839" s="407"/>
      <c r="EX839" s="407"/>
      <c r="EY839" s="407"/>
      <c r="EZ839" s="407"/>
      <c r="FA839" s="407">
        <v>0</v>
      </c>
      <c r="FB839" s="407"/>
      <c r="FC839" s="407"/>
      <c r="FD839" s="407"/>
      <c r="FE839" s="407"/>
      <c r="FF839" s="407">
        <v>0</v>
      </c>
      <c r="FG839" s="407">
        <v>0</v>
      </c>
      <c r="FH839" s="407">
        <v>0</v>
      </c>
      <c r="FI839" s="407">
        <v>0</v>
      </c>
    </row>
    <row r="840" spans="1:165">
      <c r="A840" s="407">
        <v>871</v>
      </c>
      <c r="B840" s="407" t="s">
        <v>1090</v>
      </c>
      <c r="C840" s="407" t="s">
        <v>1044</v>
      </c>
      <c r="D840" s="407" t="s">
        <v>650</v>
      </c>
      <c r="E840" s="407" t="s">
        <v>97</v>
      </c>
      <c r="F840" s="407" t="s">
        <v>97</v>
      </c>
      <c r="G840" s="407" t="s">
        <v>97</v>
      </c>
      <c r="H840" s="407" t="s">
        <v>2334</v>
      </c>
      <c r="I840" s="407" t="s">
        <v>97</v>
      </c>
      <c r="J840" s="407" t="s">
        <v>2329</v>
      </c>
      <c r="K840" s="818">
        <v>44593</v>
      </c>
      <c r="L840" s="407">
        <v>280</v>
      </c>
      <c r="M840" s="407">
        <v>140</v>
      </c>
      <c r="N840" s="407">
        <v>0</v>
      </c>
      <c r="O840" s="407">
        <v>0</v>
      </c>
      <c r="P840" s="407">
        <v>0</v>
      </c>
      <c r="Q840" s="407">
        <v>0</v>
      </c>
      <c r="R840" s="407">
        <v>13.8</v>
      </c>
      <c r="S840" s="407"/>
      <c r="T840" s="407"/>
      <c r="U840" s="407">
        <v>3864</v>
      </c>
      <c r="V840" s="407"/>
      <c r="W840" s="407">
        <v>3864</v>
      </c>
      <c r="X840" s="407">
        <v>1817.2</v>
      </c>
      <c r="Y840" s="407">
        <v>0</v>
      </c>
      <c r="Z840" s="407">
        <v>0</v>
      </c>
      <c r="AA840" s="407">
        <v>0</v>
      </c>
      <c r="AB840" s="407">
        <v>0</v>
      </c>
      <c r="AC840" s="407">
        <v>0</v>
      </c>
      <c r="AD840" s="407">
        <v>0</v>
      </c>
      <c r="AE840" s="407">
        <v>3858.4903363416761</v>
      </c>
      <c r="AF840" s="407"/>
      <c r="AG840" s="407"/>
      <c r="AH840" s="407"/>
      <c r="AI840" s="407">
        <v>0</v>
      </c>
      <c r="AJ840" s="407">
        <v>0</v>
      </c>
      <c r="AK840" s="407">
        <v>0</v>
      </c>
      <c r="AL840" s="407">
        <v>0</v>
      </c>
      <c r="AM840" s="407"/>
      <c r="AN840" s="407">
        <v>6.3277764538767238</v>
      </c>
      <c r="AO840" s="407">
        <v>0</v>
      </c>
      <c r="AP840" s="407">
        <v>0</v>
      </c>
      <c r="AQ840" s="407">
        <v>0</v>
      </c>
      <c r="AR840" s="407">
        <v>0</v>
      </c>
      <c r="AS840" s="407"/>
      <c r="AT840" s="407"/>
      <c r="AU840" s="407">
        <v>0</v>
      </c>
      <c r="AV840" s="407">
        <v>0</v>
      </c>
      <c r="AW840" s="407">
        <v>0</v>
      </c>
      <c r="AX840" s="407"/>
      <c r="AY840" s="407"/>
      <c r="AZ840" s="407">
        <v>0</v>
      </c>
      <c r="BA840" s="407"/>
      <c r="BB840" s="407">
        <v>0</v>
      </c>
      <c r="BC840" s="407">
        <v>0</v>
      </c>
      <c r="BD840" s="407">
        <v>0</v>
      </c>
      <c r="BE840" s="407">
        <v>0</v>
      </c>
      <c r="BF840" s="407"/>
      <c r="BG840" s="407">
        <v>0</v>
      </c>
      <c r="BH840" s="407">
        <v>0</v>
      </c>
      <c r="BI840" s="407">
        <v>7.78</v>
      </c>
      <c r="BJ840" s="407">
        <v>0</v>
      </c>
      <c r="BK840" s="407">
        <v>0</v>
      </c>
      <c r="BL840" s="407">
        <v>0</v>
      </c>
      <c r="BM840" s="407"/>
      <c r="BN840" s="407"/>
      <c r="BO840" s="407">
        <v>908.6</v>
      </c>
      <c r="BP840" s="407"/>
      <c r="BQ840" s="407"/>
      <c r="BR840" s="407"/>
      <c r="BS840" s="407"/>
      <c r="BT840" s="407"/>
      <c r="BU840" s="407"/>
      <c r="BV840" s="407">
        <v>0</v>
      </c>
      <c r="BW840" s="407"/>
      <c r="BX840" s="407"/>
      <c r="BY840" s="407"/>
      <c r="BZ840" s="407"/>
      <c r="CA840" s="407"/>
      <c r="CB840" s="407"/>
      <c r="CC840" s="407"/>
      <c r="CD840" s="407"/>
      <c r="CE840" s="407"/>
      <c r="CF840" s="407"/>
      <c r="CG840" s="407"/>
      <c r="CH840" s="407"/>
      <c r="CI840" s="407">
        <v>908.6</v>
      </c>
      <c r="CJ840" s="407">
        <v>-1023.43</v>
      </c>
      <c r="CK840" s="407"/>
      <c r="CL840" s="407"/>
      <c r="CM840" s="407"/>
      <c r="CN840" s="407"/>
      <c r="CO840" s="407">
        <v>-2046.8000000000002</v>
      </c>
      <c r="CP840" s="407">
        <v>0</v>
      </c>
      <c r="CQ840" s="407">
        <v>29</v>
      </c>
      <c r="CR840" s="407">
        <v>-75.862858053289159</v>
      </c>
      <c r="CS840" s="407">
        <v>0</v>
      </c>
      <c r="CT840" s="407">
        <v>0</v>
      </c>
      <c r="CU840" s="407">
        <v>0</v>
      </c>
      <c r="CV840" s="407">
        <v>0</v>
      </c>
      <c r="CW840" s="407"/>
      <c r="CX840" s="407"/>
      <c r="CY840" s="407"/>
      <c r="CZ840" s="407">
        <v>0</v>
      </c>
      <c r="DA840" s="407">
        <v>0</v>
      </c>
      <c r="DB840" s="407">
        <v>0</v>
      </c>
      <c r="DC840" s="407"/>
      <c r="DD840" s="407"/>
      <c r="DE840" s="407">
        <v>0</v>
      </c>
      <c r="DF840" s="407">
        <v>0</v>
      </c>
      <c r="DG840" s="407">
        <v>0</v>
      </c>
      <c r="DH840" s="407">
        <v>0</v>
      </c>
      <c r="DI840" s="407">
        <v>0</v>
      </c>
      <c r="DJ840" s="407"/>
      <c r="DK840" s="407">
        <v>0</v>
      </c>
      <c r="DL840" s="407">
        <v>0</v>
      </c>
      <c r="DM840" s="407"/>
      <c r="DN840" s="407">
        <v>0</v>
      </c>
      <c r="DO840" s="407">
        <v>0</v>
      </c>
      <c r="DP840" s="407">
        <v>-0.40319063910440001</v>
      </c>
      <c r="DQ840" s="407">
        <v>0</v>
      </c>
      <c r="DR840" s="407">
        <v>-75.459667414184764</v>
      </c>
      <c r="DS840" s="407"/>
      <c r="DT840" s="407"/>
      <c r="DU840" s="407">
        <v>3858.4903363416761</v>
      </c>
      <c r="DV840" s="407"/>
      <c r="DW840" s="407">
        <v>0</v>
      </c>
      <c r="DX840" s="407">
        <v>0</v>
      </c>
      <c r="DY840" s="407">
        <v>-2046.8</v>
      </c>
      <c r="DZ840" s="407"/>
      <c r="EA840" s="407">
        <v>0</v>
      </c>
      <c r="EB840" s="407"/>
      <c r="EC840" s="407">
        <v>-1970.9258256231014</v>
      </c>
      <c r="ED840" s="407"/>
      <c r="EE840" s="407">
        <v>0</v>
      </c>
      <c r="EF840" s="407">
        <v>0</v>
      </c>
      <c r="EG840" s="407"/>
      <c r="EH840" s="407">
        <v>0</v>
      </c>
      <c r="EI840" s="407">
        <v>0</v>
      </c>
      <c r="EJ840" s="407">
        <v>0</v>
      </c>
      <c r="EK840" s="407">
        <v>0</v>
      </c>
      <c r="EL840" s="407">
        <v>0</v>
      </c>
      <c r="EM840" s="407"/>
      <c r="EN840" s="407"/>
      <c r="EO840" s="407">
        <v>0</v>
      </c>
      <c r="EP840" s="407">
        <v>0</v>
      </c>
      <c r="EQ840" s="407"/>
      <c r="ER840" s="407">
        <v>0</v>
      </c>
      <c r="ES840" s="407"/>
      <c r="ET840" s="407">
        <v>0</v>
      </c>
      <c r="EU840" s="407"/>
      <c r="EV840" s="407">
        <v>246</v>
      </c>
      <c r="EW840" s="407"/>
      <c r="EX840" s="407"/>
      <c r="EY840" s="407"/>
      <c r="EZ840" s="407"/>
      <c r="FA840" s="407">
        <v>0</v>
      </c>
      <c r="FB840" s="407"/>
      <c r="FC840" s="407"/>
      <c r="FD840" s="407"/>
      <c r="FE840" s="407"/>
      <c r="FF840" s="407">
        <v>0</v>
      </c>
      <c r="FG840" s="407">
        <v>0</v>
      </c>
      <c r="FH840" s="407">
        <v>0</v>
      </c>
      <c r="FI840" s="407">
        <v>0</v>
      </c>
    </row>
    <row r="841" spans="1:165">
      <c r="A841" s="407">
        <v>872</v>
      </c>
      <c r="B841" s="407" t="s">
        <v>1090</v>
      </c>
      <c r="C841" s="407" t="s">
        <v>1044</v>
      </c>
      <c r="D841" s="407" t="s">
        <v>650</v>
      </c>
      <c r="E841" s="407" t="s">
        <v>97</v>
      </c>
      <c r="F841" s="407" t="s">
        <v>97</v>
      </c>
      <c r="G841" s="407" t="s">
        <v>97</v>
      </c>
      <c r="H841" s="407" t="s">
        <v>2335</v>
      </c>
      <c r="I841" s="407" t="s">
        <v>97</v>
      </c>
      <c r="J841" s="407" t="s">
        <v>2329</v>
      </c>
      <c r="K841" s="818">
        <v>44593</v>
      </c>
      <c r="L841" s="407">
        <v>730</v>
      </c>
      <c r="M841" s="407">
        <v>365</v>
      </c>
      <c r="N841" s="407">
        <v>0</v>
      </c>
      <c r="O841" s="407">
        <v>0</v>
      </c>
      <c r="P841" s="407">
        <v>0</v>
      </c>
      <c r="Q841" s="407">
        <v>0</v>
      </c>
      <c r="R841" s="407">
        <v>13.8</v>
      </c>
      <c r="S841" s="407"/>
      <c r="T841" s="407"/>
      <c r="U841" s="407">
        <v>10074</v>
      </c>
      <c r="V841" s="407"/>
      <c r="W841" s="407">
        <v>10074</v>
      </c>
      <c r="X841" s="407">
        <v>4737.7</v>
      </c>
      <c r="Y841" s="407">
        <v>0</v>
      </c>
      <c r="Z841" s="407">
        <v>0</v>
      </c>
      <c r="AA841" s="407">
        <v>0</v>
      </c>
      <c r="AB841" s="407">
        <v>0</v>
      </c>
      <c r="AC841" s="407">
        <v>0</v>
      </c>
      <c r="AD841" s="407">
        <v>0</v>
      </c>
      <c r="AE841" s="407">
        <v>10059.635519747941</v>
      </c>
      <c r="AF841" s="407"/>
      <c r="AG841" s="407"/>
      <c r="AH841" s="407"/>
      <c r="AI841" s="407">
        <v>0</v>
      </c>
      <c r="AJ841" s="407">
        <v>0</v>
      </c>
      <c r="AK841" s="407">
        <v>0</v>
      </c>
      <c r="AL841" s="407">
        <v>0</v>
      </c>
      <c r="AM841" s="407"/>
      <c r="AN841" s="407">
        <v>16.497417183321456</v>
      </c>
      <c r="AO841" s="407">
        <v>0</v>
      </c>
      <c r="AP841" s="407">
        <v>0</v>
      </c>
      <c r="AQ841" s="407">
        <v>0</v>
      </c>
      <c r="AR841" s="407">
        <v>0</v>
      </c>
      <c r="AS841" s="407"/>
      <c r="AT841" s="407"/>
      <c r="AU841" s="407">
        <v>0</v>
      </c>
      <c r="AV841" s="407">
        <v>0</v>
      </c>
      <c r="AW841" s="407">
        <v>0</v>
      </c>
      <c r="AX841" s="407"/>
      <c r="AY841" s="407"/>
      <c r="AZ841" s="407">
        <v>0</v>
      </c>
      <c r="BA841" s="407"/>
      <c r="BB841" s="407">
        <v>0</v>
      </c>
      <c r="BC841" s="407">
        <v>0</v>
      </c>
      <c r="BD841" s="407">
        <v>0</v>
      </c>
      <c r="BE841" s="407">
        <v>0</v>
      </c>
      <c r="BF841" s="407"/>
      <c r="BG841" s="407">
        <v>0</v>
      </c>
      <c r="BH841" s="407">
        <v>0</v>
      </c>
      <c r="BI841" s="407">
        <v>20.3</v>
      </c>
      <c r="BJ841" s="407">
        <v>0</v>
      </c>
      <c r="BK841" s="407">
        <v>0</v>
      </c>
      <c r="BL841" s="407">
        <v>0</v>
      </c>
      <c r="BM841" s="407"/>
      <c r="BN841" s="407"/>
      <c r="BO841" s="407">
        <v>2368.85</v>
      </c>
      <c r="BP841" s="407"/>
      <c r="BQ841" s="407"/>
      <c r="BR841" s="407"/>
      <c r="BS841" s="407"/>
      <c r="BT841" s="407"/>
      <c r="BU841" s="407"/>
      <c r="BV841" s="407">
        <v>0</v>
      </c>
      <c r="BW841" s="407"/>
      <c r="BX841" s="407"/>
      <c r="BY841" s="407"/>
      <c r="BZ841" s="407"/>
      <c r="CA841" s="407"/>
      <c r="CB841" s="407"/>
      <c r="CC841" s="407"/>
      <c r="CD841" s="407"/>
      <c r="CE841" s="407"/>
      <c r="CF841" s="407"/>
      <c r="CG841" s="407"/>
      <c r="CH841" s="407"/>
      <c r="CI841" s="407">
        <v>2368.85</v>
      </c>
      <c r="CJ841" s="407">
        <v>-2668.1800000000007</v>
      </c>
      <c r="CK841" s="407"/>
      <c r="CL841" s="407"/>
      <c r="CM841" s="407"/>
      <c r="CN841" s="407"/>
      <c r="CO841" s="407">
        <v>-5336.3</v>
      </c>
      <c r="CP841" s="407">
        <v>0</v>
      </c>
      <c r="CQ841" s="407">
        <v>29</v>
      </c>
      <c r="CR841" s="407">
        <v>-197.78530849607532</v>
      </c>
      <c r="CS841" s="407">
        <v>0</v>
      </c>
      <c r="CT841" s="407">
        <v>0</v>
      </c>
      <c r="CU841" s="407">
        <v>0</v>
      </c>
      <c r="CV841" s="407">
        <v>0</v>
      </c>
      <c r="CW841" s="407"/>
      <c r="CX841" s="407"/>
      <c r="CY841" s="407"/>
      <c r="CZ841" s="407">
        <v>0</v>
      </c>
      <c r="DA841" s="407">
        <v>0</v>
      </c>
      <c r="DB841" s="407">
        <v>0</v>
      </c>
      <c r="DC841" s="407"/>
      <c r="DD841" s="407"/>
      <c r="DE841" s="407">
        <v>0</v>
      </c>
      <c r="DF841" s="407">
        <v>0</v>
      </c>
      <c r="DG841" s="407">
        <v>0</v>
      </c>
      <c r="DH841" s="407">
        <v>0</v>
      </c>
      <c r="DI841" s="407">
        <v>0</v>
      </c>
      <c r="DJ841" s="407"/>
      <c r="DK841" s="407">
        <v>0</v>
      </c>
      <c r="DL841" s="407">
        <v>0</v>
      </c>
      <c r="DM841" s="407"/>
      <c r="DN841" s="407">
        <v>0</v>
      </c>
      <c r="DO841" s="407">
        <v>0</v>
      </c>
      <c r="DP841" s="407">
        <v>-1.0511755948078978</v>
      </c>
      <c r="DQ841" s="407">
        <v>0</v>
      </c>
      <c r="DR841" s="407">
        <v>-196.73413290126743</v>
      </c>
      <c r="DS841" s="407"/>
      <c r="DT841" s="407"/>
      <c r="DU841" s="407">
        <v>10059.635519747941</v>
      </c>
      <c r="DV841" s="407"/>
      <c r="DW841" s="407">
        <v>0</v>
      </c>
      <c r="DX841" s="407">
        <v>0</v>
      </c>
      <c r="DY841" s="407">
        <v>-5336.3</v>
      </c>
      <c r="DZ841" s="407"/>
      <c r="EA841" s="407">
        <v>0</v>
      </c>
      <c r="EB841" s="407"/>
      <c r="EC841" s="407">
        <v>-5138.485188231657</v>
      </c>
      <c r="ED841" s="407"/>
      <c r="EE841" s="407">
        <v>0</v>
      </c>
      <c r="EF841" s="407">
        <v>0</v>
      </c>
      <c r="EG841" s="407"/>
      <c r="EH841" s="407">
        <v>0</v>
      </c>
      <c r="EI841" s="407">
        <v>0</v>
      </c>
      <c r="EJ841" s="407">
        <v>0</v>
      </c>
      <c r="EK841" s="407">
        <v>0</v>
      </c>
      <c r="EL841" s="407">
        <v>0</v>
      </c>
      <c r="EM841" s="407"/>
      <c r="EN841" s="407"/>
      <c r="EO841" s="407">
        <v>0</v>
      </c>
      <c r="EP841" s="407">
        <v>0</v>
      </c>
      <c r="EQ841" s="407"/>
      <c r="ER841" s="407">
        <v>0</v>
      </c>
      <c r="ES841" s="407"/>
      <c r="ET841" s="407">
        <v>0</v>
      </c>
      <c r="EU841" s="407"/>
      <c r="EV841" s="407">
        <v>246</v>
      </c>
      <c r="EW841" s="407"/>
      <c r="EX841" s="407"/>
      <c r="EY841" s="407"/>
      <c r="EZ841" s="407"/>
      <c r="FA841" s="407">
        <v>0</v>
      </c>
      <c r="FB841" s="407"/>
      <c r="FC841" s="407"/>
      <c r="FD841" s="407"/>
      <c r="FE841" s="407"/>
      <c r="FF841" s="407">
        <v>0</v>
      </c>
      <c r="FG841" s="407">
        <v>0</v>
      </c>
      <c r="FH841" s="407">
        <v>0</v>
      </c>
      <c r="FI841" s="407">
        <v>0</v>
      </c>
    </row>
    <row r="842" spans="1:165">
      <c r="A842" s="407">
        <v>873</v>
      </c>
      <c r="B842" s="407" t="s">
        <v>1090</v>
      </c>
      <c r="C842" s="407" t="s">
        <v>1044</v>
      </c>
      <c r="D842" s="407" t="s">
        <v>650</v>
      </c>
      <c r="E842" s="407" t="s">
        <v>97</v>
      </c>
      <c r="F842" s="407" t="s">
        <v>97</v>
      </c>
      <c r="G842" s="407" t="s">
        <v>97</v>
      </c>
      <c r="H842" s="407" t="s">
        <v>2336</v>
      </c>
      <c r="I842" s="407" t="s">
        <v>97</v>
      </c>
      <c r="J842" s="407" t="s">
        <v>2329</v>
      </c>
      <c r="K842" s="818">
        <v>44593</v>
      </c>
      <c r="L842" s="407">
        <v>561</v>
      </c>
      <c r="M842" s="407">
        <v>280.5</v>
      </c>
      <c r="N842" s="407">
        <v>0</v>
      </c>
      <c r="O842" s="407">
        <v>0</v>
      </c>
      <c r="P842" s="407">
        <v>0</v>
      </c>
      <c r="Q842" s="407">
        <v>0</v>
      </c>
      <c r="R842" s="407">
        <v>13.8</v>
      </c>
      <c r="S842" s="407"/>
      <c r="T842" s="407"/>
      <c r="U842" s="407">
        <v>7741.8</v>
      </c>
      <c r="V842" s="407"/>
      <c r="W842" s="407">
        <v>7741.8</v>
      </c>
      <c r="X842" s="407">
        <v>3640.8900000000003</v>
      </c>
      <c r="Y842" s="407">
        <v>0</v>
      </c>
      <c r="Z842" s="407">
        <v>0</v>
      </c>
      <c r="AA842" s="407">
        <v>0</v>
      </c>
      <c r="AB842" s="407">
        <v>0</v>
      </c>
      <c r="AC842" s="407">
        <v>0</v>
      </c>
      <c r="AD842" s="407">
        <v>0</v>
      </c>
      <c r="AE842" s="407">
        <v>7730.7609953131432</v>
      </c>
      <c r="AF842" s="407"/>
      <c r="AG842" s="407"/>
      <c r="AH842" s="407"/>
      <c r="AI842" s="407">
        <v>0</v>
      </c>
      <c r="AJ842" s="407">
        <v>0</v>
      </c>
      <c r="AK842" s="407">
        <v>0</v>
      </c>
      <c r="AL842" s="407">
        <v>0</v>
      </c>
      <c r="AM842" s="407"/>
      <c r="AN842" s="407">
        <v>12.678152109374436</v>
      </c>
      <c r="AO842" s="407">
        <v>0</v>
      </c>
      <c r="AP842" s="407">
        <v>0</v>
      </c>
      <c r="AQ842" s="407">
        <v>0</v>
      </c>
      <c r="AR842" s="407">
        <v>0</v>
      </c>
      <c r="AS842" s="407"/>
      <c r="AT842" s="407"/>
      <c r="AU842" s="407">
        <v>0</v>
      </c>
      <c r="AV842" s="407">
        <v>0</v>
      </c>
      <c r="AW842" s="407">
        <v>0</v>
      </c>
      <c r="AX842" s="407"/>
      <c r="AY842" s="407"/>
      <c r="AZ842" s="407">
        <v>0</v>
      </c>
      <c r="BA842" s="407"/>
      <c r="BB842" s="407">
        <v>0</v>
      </c>
      <c r="BC842" s="407">
        <v>0</v>
      </c>
      <c r="BD842" s="407">
        <v>0</v>
      </c>
      <c r="BE842" s="407">
        <v>0</v>
      </c>
      <c r="BF842" s="407"/>
      <c r="BG842" s="407">
        <v>0</v>
      </c>
      <c r="BH842" s="407">
        <v>0</v>
      </c>
      <c r="BI842" s="407">
        <v>15.6</v>
      </c>
      <c r="BJ842" s="407">
        <v>0</v>
      </c>
      <c r="BK842" s="407">
        <v>0</v>
      </c>
      <c r="BL842" s="407">
        <v>0</v>
      </c>
      <c r="BM842" s="407"/>
      <c r="BN842" s="407"/>
      <c r="BO842" s="407">
        <v>1820.4450000000002</v>
      </c>
      <c r="BP842" s="407"/>
      <c r="BQ842" s="407"/>
      <c r="BR842" s="407"/>
      <c r="BS842" s="407"/>
      <c r="BT842" s="407"/>
      <c r="BU842" s="407"/>
      <c r="BV842" s="407">
        <v>0</v>
      </c>
      <c r="BW842" s="407"/>
      <c r="BX842" s="407"/>
      <c r="BY842" s="407"/>
      <c r="BZ842" s="407"/>
      <c r="CA842" s="407"/>
      <c r="CB842" s="407"/>
      <c r="CC842" s="407"/>
      <c r="CD842" s="407"/>
      <c r="CE842" s="407"/>
      <c r="CF842" s="407"/>
      <c r="CG842" s="407"/>
      <c r="CH842" s="407"/>
      <c r="CI842" s="407">
        <v>1820.4450000000002</v>
      </c>
      <c r="CJ842" s="407">
        <v>-2050.4850000000006</v>
      </c>
      <c r="CK842" s="407"/>
      <c r="CL842" s="407"/>
      <c r="CM842" s="407"/>
      <c r="CN842" s="407"/>
      <c r="CO842" s="407">
        <v>-4100.91</v>
      </c>
      <c r="CP842" s="407">
        <v>0</v>
      </c>
      <c r="CQ842" s="407">
        <v>29</v>
      </c>
      <c r="CR842" s="407">
        <v>-151.99665488534006</v>
      </c>
      <c r="CS842" s="407">
        <v>0</v>
      </c>
      <c r="CT842" s="407">
        <v>0</v>
      </c>
      <c r="CU842" s="407">
        <v>0</v>
      </c>
      <c r="CV842" s="407">
        <v>0</v>
      </c>
      <c r="CW842" s="407"/>
      <c r="CX842" s="407"/>
      <c r="CY842" s="407"/>
      <c r="CZ842" s="407">
        <v>0</v>
      </c>
      <c r="DA842" s="407">
        <v>0</v>
      </c>
      <c r="DB842" s="407">
        <v>0</v>
      </c>
      <c r="DC842" s="407"/>
      <c r="DD842" s="407"/>
      <c r="DE842" s="407">
        <v>0</v>
      </c>
      <c r="DF842" s="407">
        <v>0</v>
      </c>
      <c r="DG842" s="407">
        <v>0</v>
      </c>
      <c r="DH842" s="407">
        <v>0</v>
      </c>
      <c r="DI842" s="407">
        <v>0</v>
      </c>
      <c r="DJ842" s="407"/>
      <c r="DK842" s="407">
        <v>0</v>
      </c>
      <c r="DL842" s="407">
        <v>0</v>
      </c>
      <c r="DM842" s="407"/>
      <c r="DN842" s="407">
        <v>0</v>
      </c>
      <c r="DO842" s="407">
        <v>0</v>
      </c>
      <c r="DP842" s="407">
        <v>-0.80782124477702943</v>
      </c>
      <c r="DQ842" s="407">
        <v>0</v>
      </c>
      <c r="DR842" s="407">
        <v>-151.18883364056305</v>
      </c>
      <c r="DS842" s="407"/>
      <c r="DT842" s="407"/>
      <c r="DU842" s="407">
        <v>7730.7609953131432</v>
      </c>
      <c r="DV842" s="407"/>
      <c r="DW842" s="407">
        <v>0</v>
      </c>
      <c r="DX842" s="407">
        <v>0</v>
      </c>
      <c r="DY842" s="407">
        <v>-4100.91</v>
      </c>
      <c r="DZ842" s="407"/>
      <c r="EA842" s="407">
        <v>0</v>
      </c>
      <c r="EB842" s="407"/>
      <c r="EC842" s="407">
        <v>-3948.890672051999</v>
      </c>
      <c r="ED842" s="407"/>
      <c r="EE842" s="407">
        <v>0</v>
      </c>
      <c r="EF842" s="407">
        <v>0</v>
      </c>
      <c r="EG842" s="407"/>
      <c r="EH842" s="407">
        <v>0</v>
      </c>
      <c r="EI842" s="407">
        <v>0</v>
      </c>
      <c r="EJ842" s="407">
        <v>0</v>
      </c>
      <c r="EK842" s="407">
        <v>0</v>
      </c>
      <c r="EL842" s="407">
        <v>0</v>
      </c>
      <c r="EM842" s="407"/>
      <c r="EN842" s="407"/>
      <c r="EO842" s="407">
        <v>0</v>
      </c>
      <c r="EP842" s="407">
        <v>0</v>
      </c>
      <c r="EQ842" s="407"/>
      <c r="ER842" s="407">
        <v>0</v>
      </c>
      <c r="ES842" s="407"/>
      <c r="ET842" s="407">
        <v>0</v>
      </c>
      <c r="EU842" s="407"/>
      <c r="EV842" s="407">
        <v>246</v>
      </c>
      <c r="EW842" s="407"/>
      <c r="EX842" s="407"/>
      <c r="EY842" s="407"/>
      <c r="EZ842" s="407"/>
      <c r="FA842" s="407">
        <v>0</v>
      </c>
      <c r="FB842" s="407"/>
      <c r="FC842" s="407"/>
      <c r="FD842" s="407"/>
      <c r="FE842" s="407"/>
      <c r="FF842" s="407">
        <v>0</v>
      </c>
      <c r="FG842" s="407">
        <v>0</v>
      </c>
      <c r="FH842" s="407">
        <v>0</v>
      </c>
      <c r="FI842" s="407">
        <v>0</v>
      </c>
    </row>
    <row r="843" spans="1:165">
      <c r="A843" s="407">
        <v>874</v>
      </c>
      <c r="B843" s="407" t="s">
        <v>1090</v>
      </c>
      <c r="C843" s="407" t="s">
        <v>1044</v>
      </c>
      <c r="D843" s="407" t="s">
        <v>650</v>
      </c>
      <c r="E843" s="407" t="s">
        <v>97</v>
      </c>
      <c r="F843" s="407" t="s">
        <v>97</v>
      </c>
      <c r="G843" s="407" t="s">
        <v>97</v>
      </c>
      <c r="H843" s="407" t="s">
        <v>2337</v>
      </c>
      <c r="I843" s="407" t="s">
        <v>97</v>
      </c>
      <c r="J843" s="407" t="s">
        <v>2329</v>
      </c>
      <c r="K843" s="818">
        <v>44593</v>
      </c>
      <c r="L843" s="407">
        <v>379</v>
      </c>
      <c r="M843" s="407">
        <v>189.5</v>
      </c>
      <c r="N843" s="407">
        <v>0</v>
      </c>
      <c r="O843" s="407">
        <v>0</v>
      </c>
      <c r="P843" s="407">
        <v>0</v>
      </c>
      <c r="Q843" s="407">
        <v>0</v>
      </c>
      <c r="R843" s="407">
        <v>13.8</v>
      </c>
      <c r="S843" s="407"/>
      <c r="T843" s="407"/>
      <c r="U843" s="407">
        <v>5230.2</v>
      </c>
      <c r="V843" s="407"/>
      <c r="W843" s="407">
        <v>5230.2</v>
      </c>
      <c r="X843" s="407">
        <v>2459.71</v>
      </c>
      <c r="Y843" s="407">
        <v>0</v>
      </c>
      <c r="Z843" s="407">
        <v>0</v>
      </c>
      <c r="AA843" s="407">
        <v>0</v>
      </c>
      <c r="AB843" s="407">
        <v>0</v>
      </c>
      <c r="AC843" s="407">
        <v>0</v>
      </c>
      <c r="AD843" s="407">
        <v>0</v>
      </c>
      <c r="AE843" s="407">
        <v>5222.742276691054</v>
      </c>
      <c r="AF843" s="407"/>
      <c r="AG843" s="407"/>
      <c r="AH843" s="407"/>
      <c r="AI843" s="407">
        <v>0</v>
      </c>
      <c r="AJ843" s="407">
        <v>0</v>
      </c>
      <c r="AK843" s="407">
        <v>0</v>
      </c>
      <c r="AL843" s="407">
        <v>0</v>
      </c>
      <c r="AM843" s="407"/>
      <c r="AN843" s="407">
        <v>8.5650974143545646</v>
      </c>
      <c r="AO843" s="407">
        <v>0</v>
      </c>
      <c r="AP843" s="407">
        <v>0</v>
      </c>
      <c r="AQ843" s="407">
        <v>0</v>
      </c>
      <c r="AR843" s="407">
        <v>0</v>
      </c>
      <c r="AS843" s="407"/>
      <c r="AT843" s="407"/>
      <c r="AU843" s="407">
        <v>0</v>
      </c>
      <c r="AV843" s="407">
        <v>0</v>
      </c>
      <c r="AW843" s="407">
        <v>0</v>
      </c>
      <c r="AX843" s="407"/>
      <c r="AY843" s="407"/>
      <c r="AZ843" s="407">
        <v>0</v>
      </c>
      <c r="BA843" s="407"/>
      <c r="BB843" s="407">
        <v>0</v>
      </c>
      <c r="BC843" s="407">
        <v>0</v>
      </c>
      <c r="BD843" s="407">
        <v>0</v>
      </c>
      <c r="BE843" s="407">
        <v>0</v>
      </c>
      <c r="BF843" s="407"/>
      <c r="BG843" s="407">
        <v>0</v>
      </c>
      <c r="BH843" s="407">
        <v>0</v>
      </c>
      <c r="BI843" s="407">
        <v>10.54</v>
      </c>
      <c r="BJ843" s="407">
        <v>0</v>
      </c>
      <c r="BK843" s="407">
        <v>0</v>
      </c>
      <c r="BL843" s="407">
        <v>0</v>
      </c>
      <c r="BM843" s="407"/>
      <c r="BN843" s="407"/>
      <c r="BO843" s="407">
        <v>1229.855</v>
      </c>
      <c r="BP843" s="407"/>
      <c r="BQ843" s="407"/>
      <c r="BR843" s="407"/>
      <c r="BS843" s="407"/>
      <c r="BT843" s="407"/>
      <c r="BU843" s="407"/>
      <c r="BV843" s="407">
        <v>0</v>
      </c>
      <c r="BW843" s="407"/>
      <c r="BX843" s="407"/>
      <c r="BY843" s="407"/>
      <c r="BZ843" s="407"/>
      <c r="CA843" s="407"/>
      <c r="CB843" s="407"/>
      <c r="CC843" s="407"/>
      <c r="CD843" s="407"/>
      <c r="CE843" s="407"/>
      <c r="CF843" s="407"/>
      <c r="CG843" s="407"/>
      <c r="CH843" s="407"/>
      <c r="CI843" s="407">
        <v>1229.855</v>
      </c>
      <c r="CJ843" s="407">
        <v>-1385.2750000000005</v>
      </c>
      <c r="CK843" s="407"/>
      <c r="CL843" s="407"/>
      <c r="CM843" s="407"/>
      <c r="CN843" s="407"/>
      <c r="CO843" s="407">
        <v>-2770.4900000000002</v>
      </c>
      <c r="CP843" s="407">
        <v>0</v>
      </c>
      <c r="CQ843" s="407">
        <v>29</v>
      </c>
      <c r="CR843" s="407">
        <v>-102.68579715070211</v>
      </c>
      <c r="CS843" s="407">
        <v>0</v>
      </c>
      <c r="CT843" s="407">
        <v>0</v>
      </c>
      <c r="CU843" s="407">
        <v>0</v>
      </c>
      <c r="CV843" s="407">
        <v>0</v>
      </c>
      <c r="CW843" s="407"/>
      <c r="CX843" s="407"/>
      <c r="CY843" s="407"/>
      <c r="CZ843" s="407">
        <v>0</v>
      </c>
      <c r="DA843" s="407">
        <v>0</v>
      </c>
      <c r="DB843" s="407">
        <v>0</v>
      </c>
      <c r="DC843" s="407"/>
      <c r="DD843" s="407"/>
      <c r="DE843" s="407">
        <v>0</v>
      </c>
      <c r="DF843" s="407">
        <v>0</v>
      </c>
      <c r="DG843" s="407">
        <v>0</v>
      </c>
      <c r="DH843" s="407">
        <v>0</v>
      </c>
      <c r="DI843" s="407">
        <v>0</v>
      </c>
      <c r="DJ843" s="407"/>
      <c r="DK843" s="407">
        <v>0</v>
      </c>
      <c r="DL843" s="407">
        <v>0</v>
      </c>
      <c r="DM843" s="407"/>
      <c r="DN843" s="407">
        <v>0</v>
      </c>
      <c r="DO843" s="407">
        <v>0</v>
      </c>
      <c r="DP843" s="407">
        <v>-0.5457473293591697</v>
      </c>
      <c r="DQ843" s="407">
        <v>0</v>
      </c>
      <c r="DR843" s="407">
        <v>-102.14004982134294</v>
      </c>
      <c r="DS843" s="407"/>
      <c r="DT843" s="407"/>
      <c r="DU843" s="407">
        <v>5222.742276691054</v>
      </c>
      <c r="DV843" s="407"/>
      <c r="DW843" s="407">
        <v>0</v>
      </c>
      <c r="DX843" s="407">
        <v>0</v>
      </c>
      <c r="DY843" s="407">
        <v>-2770.49</v>
      </c>
      <c r="DZ843" s="407"/>
      <c r="EA843" s="407">
        <v>0</v>
      </c>
      <c r="EB843" s="407"/>
      <c r="EC843" s="407">
        <v>-2667.7888853969835</v>
      </c>
      <c r="ED843" s="407"/>
      <c r="EE843" s="407">
        <v>0</v>
      </c>
      <c r="EF843" s="407">
        <v>0</v>
      </c>
      <c r="EG843" s="407"/>
      <c r="EH843" s="407">
        <v>0</v>
      </c>
      <c r="EI843" s="407">
        <v>0</v>
      </c>
      <c r="EJ843" s="407">
        <v>0</v>
      </c>
      <c r="EK843" s="407">
        <v>0</v>
      </c>
      <c r="EL843" s="407">
        <v>0</v>
      </c>
      <c r="EM843" s="407"/>
      <c r="EN843" s="407"/>
      <c r="EO843" s="407">
        <v>0</v>
      </c>
      <c r="EP843" s="407">
        <v>0</v>
      </c>
      <c r="EQ843" s="407"/>
      <c r="ER843" s="407">
        <v>0</v>
      </c>
      <c r="ES843" s="407"/>
      <c r="ET843" s="407">
        <v>0</v>
      </c>
      <c r="EU843" s="407"/>
      <c r="EV843" s="407">
        <v>246</v>
      </c>
      <c r="EW843" s="407"/>
      <c r="EX843" s="407"/>
      <c r="EY843" s="407"/>
      <c r="EZ843" s="407"/>
      <c r="FA843" s="407">
        <v>0</v>
      </c>
      <c r="FB843" s="407"/>
      <c r="FC843" s="407"/>
      <c r="FD843" s="407"/>
      <c r="FE843" s="407"/>
      <c r="FF843" s="407">
        <v>0</v>
      </c>
      <c r="FG843" s="407">
        <v>0</v>
      </c>
      <c r="FH843" s="407">
        <v>0</v>
      </c>
      <c r="FI843" s="407">
        <v>0</v>
      </c>
    </row>
    <row r="844" spans="1:165">
      <c r="A844" s="407">
        <v>875</v>
      </c>
      <c r="B844" s="407" t="s">
        <v>1090</v>
      </c>
      <c r="C844" s="407" t="s">
        <v>1044</v>
      </c>
      <c r="D844" s="407" t="s">
        <v>650</v>
      </c>
      <c r="E844" s="407" t="s">
        <v>97</v>
      </c>
      <c r="F844" s="407" t="s">
        <v>97</v>
      </c>
      <c r="G844" s="407" t="s">
        <v>97</v>
      </c>
      <c r="H844" s="407" t="s">
        <v>2338</v>
      </c>
      <c r="I844" s="407" t="s">
        <v>97</v>
      </c>
      <c r="J844" s="407" t="s">
        <v>2329</v>
      </c>
      <c r="K844" s="818">
        <v>44593</v>
      </c>
      <c r="L844" s="407">
        <v>718</v>
      </c>
      <c r="M844" s="407">
        <v>359</v>
      </c>
      <c r="N844" s="407">
        <v>0</v>
      </c>
      <c r="O844" s="407">
        <v>0</v>
      </c>
      <c r="P844" s="407">
        <v>0</v>
      </c>
      <c r="Q844" s="407">
        <v>0</v>
      </c>
      <c r="R844" s="407">
        <v>13.8</v>
      </c>
      <c r="S844" s="407"/>
      <c r="T844" s="407"/>
      <c r="U844" s="407">
        <v>9908.4</v>
      </c>
      <c r="V844" s="407"/>
      <c r="W844" s="407">
        <v>9908.4</v>
      </c>
      <c r="X844" s="407">
        <v>4659.82</v>
      </c>
      <c r="Y844" s="407">
        <v>0</v>
      </c>
      <c r="Z844" s="407">
        <v>0</v>
      </c>
      <c r="AA844" s="407">
        <v>0</v>
      </c>
      <c r="AB844" s="407">
        <v>0</v>
      </c>
      <c r="AC844" s="407">
        <v>0</v>
      </c>
      <c r="AD844" s="407">
        <v>0</v>
      </c>
      <c r="AE844" s="407">
        <v>9894.2716481904408</v>
      </c>
      <c r="AF844" s="407"/>
      <c r="AG844" s="407"/>
      <c r="AH844" s="407"/>
      <c r="AI844" s="407">
        <v>0</v>
      </c>
      <c r="AJ844" s="407">
        <v>0</v>
      </c>
      <c r="AK844" s="407">
        <v>0</v>
      </c>
      <c r="AL844" s="407">
        <v>0</v>
      </c>
      <c r="AM844" s="407"/>
      <c r="AN844" s="407">
        <v>16.226226763869597</v>
      </c>
      <c r="AO844" s="407">
        <v>0</v>
      </c>
      <c r="AP844" s="407">
        <v>0</v>
      </c>
      <c r="AQ844" s="407">
        <v>0</v>
      </c>
      <c r="AR844" s="407">
        <v>0</v>
      </c>
      <c r="AS844" s="407"/>
      <c r="AT844" s="407"/>
      <c r="AU844" s="407">
        <v>0</v>
      </c>
      <c r="AV844" s="407">
        <v>0</v>
      </c>
      <c r="AW844" s="407">
        <v>0</v>
      </c>
      <c r="AX844" s="407"/>
      <c r="AY844" s="407"/>
      <c r="AZ844" s="407">
        <v>0</v>
      </c>
      <c r="BA844" s="407"/>
      <c r="BB844" s="407">
        <v>0</v>
      </c>
      <c r="BC844" s="407">
        <v>0</v>
      </c>
      <c r="BD844" s="407">
        <v>0</v>
      </c>
      <c r="BE844" s="407">
        <v>0</v>
      </c>
      <c r="BF844" s="407"/>
      <c r="BG844" s="407">
        <v>0</v>
      </c>
      <c r="BH844" s="407">
        <v>0</v>
      </c>
      <c r="BI844" s="407">
        <v>19.96</v>
      </c>
      <c r="BJ844" s="407">
        <v>0</v>
      </c>
      <c r="BK844" s="407">
        <v>0</v>
      </c>
      <c r="BL844" s="407">
        <v>0</v>
      </c>
      <c r="BM844" s="407"/>
      <c r="BN844" s="407"/>
      <c r="BO844" s="407">
        <v>2329.91</v>
      </c>
      <c r="BP844" s="407"/>
      <c r="BQ844" s="407"/>
      <c r="BR844" s="407"/>
      <c r="BS844" s="407"/>
      <c r="BT844" s="407"/>
      <c r="BU844" s="407"/>
      <c r="BV844" s="407">
        <v>0</v>
      </c>
      <c r="BW844" s="407"/>
      <c r="BX844" s="407"/>
      <c r="BY844" s="407"/>
      <c r="BZ844" s="407"/>
      <c r="CA844" s="407"/>
      <c r="CB844" s="407"/>
      <c r="CC844" s="407"/>
      <c r="CD844" s="407"/>
      <c r="CE844" s="407"/>
      <c r="CF844" s="407"/>
      <c r="CG844" s="407"/>
      <c r="CH844" s="407"/>
      <c r="CI844" s="407">
        <v>2329.91</v>
      </c>
      <c r="CJ844" s="407">
        <v>-2624.3200000000006</v>
      </c>
      <c r="CK844" s="407"/>
      <c r="CL844" s="407"/>
      <c r="CM844" s="407"/>
      <c r="CN844" s="407"/>
      <c r="CO844" s="407">
        <v>-5248.58</v>
      </c>
      <c r="CP844" s="407">
        <v>0</v>
      </c>
      <c r="CQ844" s="407">
        <v>29</v>
      </c>
      <c r="CR844" s="407">
        <v>-194.53404315093434</v>
      </c>
      <c r="CS844" s="407">
        <v>0</v>
      </c>
      <c r="CT844" s="407">
        <v>0</v>
      </c>
      <c r="CU844" s="407">
        <v>0</v>
      </c>
      <c r="CV844" s="407">
        <v>0</v>
      </c>
      <c r="CW844" s="407"/>
      <c r="CX844" s="407"/>
      <c r="CY844" s="407"/>
      <c r="CZ844" s="407">
        <v>0</v>
      </c>
      <c r="DA844" s="407">
        <v>0</v>
      </c>
      <c r="DB844" s="407">
        <v>0</v>
      </c>
      <c r="DC844" s="407"/>
      <c r="DD844" s="407"/>
      <c r="DE844" s="407">
        <v>0</v>
      </c>
      <c r="DF844" s="407">
        <v>0</v>
      </c>
      <c r="DG844" s="407">
        <v>0</v>
      </c>
      <c r="DH844" s="407">
        <v>0</v>
      </c>
      <c r="DI844" s="407">
        <v>0</v>
      </c>
      <c r="DJ844" s="407"/>
      <c r="DK844" s="407">
        <v>0</v>
      </c>
      <c r="DL844" s="407">
        <v>0</v>
      </c>
      <c r="DM844" s="407"/>
      <c r="DN844" s="407">
        <v>0</v>
      </c>
      <c r="DO844" s="407">
        <v>0</v>
      </c>
      <c r="DP844" s="407">
        <v>-1.0338959959891376</v>
      </c>
      <c r="DQ844" s="407">
        <v>0</v>
      </c>
      <c r="DR844" s="407">
        <v>-193.50014715494521</v>
      </c>
      <c r="DS844" s="407"/>
      <c r="DT844" s="407"/>
      <c r="DU844" s="407">
        <v>9894.2716481904408</v>
      </c>
      <c r="DV844" s="407"/>
      <c r="DW844" s="407">
        <v>0</v>
      </c>
      <c r="DX844" s="407">
        <v>0</v>
      </c>
      <c r="DY844" s="407">
        <v>-5248.58</v>
      </c>
      <c r="DZ844" s="407"/>
      <c r="EA844" s="407">
        <v>0</v>
      </c>
      <c r="EB844" s="407"/>
      <c r="EC844" s="407">
        <v>-5054.0169385620957</v>
      </c>
      <c r="ED844" s="407"/>
      <c r="EE844" s="407">
        <v>0</v>
      </c>
      <c r="EF844" s="407">
        <v>0</v>
      </c>
      <c r="EG844" s="407"/>
      <c r="EH844" s="407">
        <v>0</v>
      </c>
      <c r="EI844" s="407">
        <v>0</v>
      </c>
      <c r="EJ844" s="407">
        <v>0</v>
      </c>
      <c r="EK844" s="407">
        <v>0</v>
      </c>
      <c r="EL844" s="407">
        <v>0</v>
      </c>
      <c r="EM844" s="407"/>
      <c r="EN844" s="407"/>
      <c r="EO844" s="407">
        <v>0</v>
      </c>
      <c r="EP844" s="407">
        <v>0</v>
      </c>
      <c r="EQ844" s="407"/>
      <c r="ER844" s="407">
        <v>0</v>
      </c>
      <c r="ES844" s="407"/>
      <c r="ET844" s="407">
        <v>0</v>
      </c>
      <c r="EU844" s="407"/>
      <c r="EV844" s="407">
        <v>246</v>
      </c>
      <c r="EW844" s="407"/>
      <c r="EX844" s="407"/>
      <c r="EY844" s="407"/>
      <c r="EZ844" s="407"/>
      <c r="FA844" s="407">
        <v>0</v>
      </c>
      <c r="FB844" s="407"/>
      <c r="FC844" s="407"/>
      <c r="FD844" s="407"/>
      <c r="FE844" s="407"/>
      <c r="FF844" s="407">
        <v>0</v>
      </c>
      <c r="FG844" s="407">
        <v>0</v>
      </c>
      <c r="FH844" s="407">
        <v>0</v>
      </c>
      <c r="FI844" s="407">
        <v>0</v>
      </c>
    </row>
    <row r="845" spans="1:165">
      <c r="A845" s="407">
        <v>876</v>
      </c>
      <c r="B845" s="407" t="s">
        <v>1090</v>
      </c>
      <c r="C845" s="407" t="s">
        <v>1044</v>
      </c>
      <c r="D845" s="407" t="s">
        <v>650</v>
      </c>
      <c r="E845" s="407" t="s">
        <v>97</v>
      </c>
      <c r="F845" s="407" t="s">
        <v>97</v>
      </c>
      <c r="G845" s="407" t="s">
        <v>97</v>
      </c>
      <c r="H845" s="407" t="s">
        <v>2328</v>
      </c>
      <c r="I845" s="407" t="s">
        <v>97</v>
      </c>
      <c r="J845" s="407" t="s">
        <v>2329</v>
      </c>
      <c r="K845" s="818">
        <v>44621</v>
      </c>
      <c r="L845" s="407">
        <v>880</v>
      </c>
      <c r="M845" s="407">
        <v>440</v>
      </c>
      <c r="N845" s="407">
        <v>0</v>
      </c>
      <c r="O845" s="407">
        <v>0</v>
      </c>
      <c r="P845" s="407">
        <v>0</v>
      </c>
      <c r="Q845" s="407">
        <v>0</v>
      </c>
      <c r="R845" s="407">
        <v>13.8</v>
      </c>
      <c r="S845" s="407"/>
      <c r="T845" s="407"/>
      <c r="U845" s="407">
        <v>12144</v>
      </c>
      <c r="V845" s="407"/>
      <c r="W845" s="407">
        <v>12144</v>
      </c>
      <c r="X845" s="407">
        <v>5711.2</v>
      </c>
      <c r="Y845" s="407">
        <v>0</v>
      </c>
      <c r="Z845" s="407">
        <v>0</v>
      </c>
      <c r="AA845" s="407">
        <v>0</v>
      </c>
      <c r="AB845" s="407">
        <v>0</v>
      </c>
      <c r="AC845" s="407">
        <v>0</v>
      </c>
      <c r="AD845" s="407">
        <v>0</v>
      </c>
      <c r="AE845" s="407">
        <v>12126.683914216695</v>
      </c>
      <c r="AF845" s="407"/>
      <c r="AG845" s="407"/>
      <c r="AH845" s="407"/>
      <c r="AI845" s="407">
        <v>0</v>
      </c>
      <c r="AJ845" s="407">
        <v>0</v>
      </c>
      <c r="AK845" s="407">
        <v>0</v>
      </c>
      <c r="AL845" s="407">
        <v>0</v>
      </c>
      <c r="AM845" s="407"/>
      <c r="AN845" s="407">
        <v>19.887297426469704</v>
      </c>
      <c r="AO845" s="407">
        <v>0</v>
      </c>
      <c r="AP845" s="407">
        <v>0</v>
      </c>
      <c r="AQ845" s="407">
        <v>0</v>
      </c>
      <c r="AR845" s="407">
        <v>0</v>
      </c>
      <c r="AS845" s="407"/>
      <c r="AT845" s="407"/>
      <c r="AU845" s="407">
        <v>0</v>
      </c>
      <c r="AV845" s="407">
        <v>0</v>
      </c>
      <c r="AW845" s="407">
        <v>0</v>
      </c>
      <c r="AX845" s="407"/>
      <c r="AY845" s="407"/>
      <c r="AZ845" s="407">
        <v>0</v>
      </c>
      <c r="BA845" s="407"/>
      <c r="BB845" s="407">
        <v>0</v>
      </c>
      <c r="BC845" s="407">
        <v>0</v>
      </c>
      <c r="BD845" s="407">
        <v>0</v>
      </c>
      <c r="BE845" s="407">
        <v>0</v>
      </c>
      <c r="BF845" s="407"/>
      <c r="BG845" s="407">
        <v>0</v>
      </c>
      <c r="BH845" s="407">
        <v>0</v>
      </c>
      <c r="BI845" s="407">
        <v>24.47</v>
      </c>
      <c r="BJ845" s="407">
        <v>0</v>
      </c>
      <c r="BK845" s="407">
        <v>0</v>
      </c>
      <c r="BL845" s="407">
        <v>0</v>
      </c>
      <c r="BM845" s="407"/>
      <c r="BN845" s="407"/>
      <c r="BO845" s="407">
        <v>2855.6</v>
      </c>
      <c r="BP845" s="407"/>
      <c r="BQ845" s="407"/>
      <c r="BR845" s="407"/>
      <c r="BS845" s="407"/>
      <c r="BT845" s="407"/>
      <c r="BU845" s="407"/>
      <c r="BV845" s="407">
        <v>0</v>
      </c>
      <c r="BW845" s="407"/>
      <c r="BX845" s="407"/>
      <c r="BY845" s="407"/>
      <c r="BZ845" s="407"/>
      <c r="CA845" s="407"/>
      <c r="CB845" s="407"/>
      <c r="CC845" s="407"/>
      <c r="CD845" s="407"/>
      <c r="CE845" s="407"/>
      <c r="CF845" s="407"/>
      <c r="CG845" s="407"/>
      <c r="CH845" s="407"/>
      <c r="CI845" s="407">
        <v>2855.6</v>
      </c>
      <c r="CJ845" s="407">
        <v>-3216.4300000000007</v>
      </c>
      <c r="CK845" s="407"/>
      <c r="CL845" s="407"/>
      <c r="CM845" s="407"/>
      <c r="CN845" s="407"/>
      <c r="CO845" s="407">
        <v>-6432.8</v>
      </c>
      <c r="CP845" s="407">
        <v>0</v>
      </c>
      <c r="CQ845" s="407">
        <v>31</v>
      </c>
      <c r="CR845" s="407">
        <v>-238.42612531033737</v>
      </c>
      <c r="CS845" s="407">
        <v>0</v>
      </c>
      <c r="CT845" s="407">
        <v>0</v>
      </c>
      <c r="CU845" s="407">
        <v>0</v>
      </c>
      <c r="CV845" s="407">
        <v>0</v>
      </c>
      <c r="CW845" s="407"/>
      <c r="CX845" s="407"/>
      <c r="CY845" s="407"/>
      <c r="CZ845" s="407">
        <v>0</v>
      </c>
      <c r="DA845" s="407">
        <v>0</v>
      </c>
      <c r="DB845" s="407">
        <v>0</v>
      </c>
      <c r="DC845" s="407"/>
      <c r="DD845" s="407"/>
      <c r="DE845" s="407">
        <v>0</v>
      </c>
      <c r="DF845" s="407">
        <v>0</v>
      </c>
      <c r="DG845" s="407">
        <v>0</v>
      </c>
      <c r="DH845" s="407">
        <v>0</v>
      </c>
      <c r="DI845" s="407">
        <v>0</v>
      </c>
      <c r="DJ845" s="407"/>
      <c r="DK845" s="407">
        <v>0</v>
      </c>
      <c r="DL845" s="407">
        <v>0</v>
      </c>
      <c r="DM845" s="407"/>
      <c r="DN845" s="407">
        <v>0</v>
      </c>
      <c r="DO845" s="407">
        <v>0</v>
      </c>
      <c r="DP845" s="407">
        <v>-1.2671705800424</v>
      </c>
      <c r="DQ845" s="407">
        <v>0</v>
      </c>
      <c r="DR845" s="407">
        <v>-237.15895473029497</v>
      </c>
      <c r="DS845" s="407"/>
      <c r="DT845" s="407"/>
      <c r="DU845" s="407">
        <v>12126.683914216695</v>
      </c>
      <c r="DV845" s="407"/>
      <c r="DW845" s="407">
        <v>0</v>
      </c>
      <c r="DX845" s="407">
        <v>0</v>
      </c>
      <c r="DY845" s="407">
        <v>-6432.8</v>
      </c>
      <c r="DZ845" s="407"/>
      <c r="EA845" s="407">
        <v>0</v>
      </c>
      <c r="EB845" s="407"/>
      <c r="EC845" s="407">
        <v>-6194.3383091011747</v>
      </c>
      <c r="ED845" s="407"/>
      <c r="EE845" s="407">
        <v>0</v>
      </c>
      <c r="EF845" s="407">
        <v>0</v>
      </c>
      <c r="EG845" s="407"/>
      <c r="EH845" s="407">
        <v>0</v>
      </c>
      <c r="EI845" s="407">
        <v>0</v>
      </c>
      <c r="EJ845" s="407">
        <v>0</v>
      </c>
      <c r="EK845" s="407">
        <v>0</v>
      </c>
      <c r="EL845" s="407">
        <v>0</v>
      </c>
      <c r="EM845" s="407"/>
      <c r="EN845" s="407"/>
      <c r="EO845" s="407">
        <v>0</v>
      </c>
      <c r="EP845" s="407">
        <v>0</v>
      </c>
      <c r="EQ845" s="407"/>
      <c r="ER845" s="407">
        <v>0</v>
      </c>
      <c r="ES845" s="407"/>
      <c r="ET845" s="407">
        <v>0</v>
      </c>
      <c r="EU845" s="407"/>
      <c r="EV845" s="407">
        <v>246</v>
      </c>
      <c r="EW845" s="407"/>
      <c r="EX845" s="407"/>
      <c r="EY845" s="407"/>
      <c r="EZ845" s="407"/>
      <c r="FA845" s="407">
        <v>0</v>
      </c>
      <c r="FB845" s="407"/>
      <c r="FC845" s="407"/>
      <c r="FD845" s="407"/>
      <c r="FE845" s="407"/>
      <c r="FF845" s="407">
        <v>0</v>
      </c>
      <c r="FG845" s="407">
        <v>0</v>
      </c>
      <c r="FH845" s="407">
        <v>0</v>
      </c>
      <c r="FI845" s="407">
        <v>0</v>
      </c>
    </row>
    <row r="846" spans="1:165">
      <c r="A846" s="407">
        <v>877</v>
      </c>
      <c r="B846" s="407" t="s">
        <v>1090</v>
      </c>
      <c r="C846" s="407" t="s">
        <v>1044</v>
      </c>
      <c r="D846" s="407" t="s">
        <v>650</v>
      </c>
      <c r="E846" s="407" t="s">
        <v>97</v>
      </c>
      <c r="F846" s="407" t="s">
        <v>97</v>
      </c>
      <c r="G846" s="407" t="s">
        <v>97</v>
      </c>
      <c r="H846" s="407" t="s">
        <v>2330</v>
      </c>
      <c r="I846" s="407" t="s">
        <v>97</v>
      </c>
      <c r="J846" s="407" t="s">
        <v>2329</v>
      </c>
      <c r="K846" s="818">
        <v>44621</v>
      </c>
      <c r="L846" s="407">
        <v>520</v>
      </c>
      <c r="M846" s="407">
        <v>260</v>
      </c>
      <c r="N846" s="407">
        <v>0</v>
      </c>
      <c r="O846" s="407">
        <v>0</v>
      </c>
      <c r="P846" s="407">
        <v>0</v>
      </c>
      <c r="Q846" s="407">
        <v>0</v>
      </c>
      <c r="R846" s="407">
        <v>13.8</v>
      </c>
      <c r="S846" s="407"/>
      <c r="T846" s="407"/>
      <c r="U846" s="407">
        <v>7176</v>
      </c>
      <c r="V846" s="407"/>
      <c r="W846" s="407">
        <v>7176</v>
      </c>
      <c r="X846" s="407">
        <v>3374.8</v>
      </c>
      <c r="Y846" s="407">
        <v>0</v>
      </c>
      <c r="Z846" s="407">
        <v>0</v>
      </c>
      <c r="AA846" s="407">
        <v>0</v>
      </c>
      <c r="AB846" s="407">
        <v>0</v>
      </c>
      <c r="AC846" s="407">
        <v>0</v>
      </c>
      <c r="AD846" s="407">
        <v>0</v>
      </c>
      <c r="AE846" s="407">
        <v>7165.767767491684</v>
      </c>
      <c r="AF846" s="407"/>
      <c r="AG846" s="407"/>
      <c r="AH846" s="407"/>
      <c r="AI846" s="407">
        <v>0</v>
      </c>
      <c r="AJ846" s="407">
        <v>0</v>
      </c>
      <c r="AK846" s="407">
        <v>0</v>
      </c>
      <c r="AL846" s="407">
        <v>0</v>
      </c>
      <c r="AM846" s="407"/>
      <c r="AN846" s="407">
        <v>11.751584842913916</v>
      </c>
      <c r="AO846" s="407">
        <v>0</v>
      </c>
      <c r="AP846" s="407">
        <v>0</v>
      </c>
      <c r="AQ846" s="407">
        <v>0</v>
      </c>
      <c r="AR846" s="407">
        <v>0</v>
      </c>
      <c r="AS846" s="407"/>
      <c r="AT846" s="407"/>
      <c r="AU846" s="407">
        <v>0</v>
      </c>
      <c r="AV846" s="407">
        <v>0</v>
      </c>
      <c r="AW846" s="407">
        <v>0</v>
      </c>
      <c r="AX846" s="407"/>
      <c r="AY846" s="407"/>
      <c r="AZ846" s="407">
        <v>0</v>
      </c>
      <c r="BA846" s="407"/>
      <c r="BB846" s="407">
        <v>0</v>
      </c>
      <c r="BC846" s="407">
        <v>0</v>
      </c>
      <c r="BD846" s="407">
        <v>0</v>
      </c>
      <c r="BE846" s="407">
        <v>0</v>
      </c>
      <c r="BF846" s="407"/>
      <c r="BG846" s="407">
        <v>0</v>
      </c>
      <c r="BH846" s="407">
        <v>0</v>
      </c>
      <c r="BI846" s="407">
        <v>14.46</v>
      </c>
      <c r="BJ846" s="407">
        <v>0</v>
      </c>
      <c r="BK846" s="407">
        <v>0</v>
      </c>
      <c r="BL846" s="407">
        <v>0</v>
      </c>
      <c r="BM846" s="407"/>
      <c r="BN846" s="407"/>
      <c r="BO846" s="407">
        <v>1687.4</v>
      </c>
      <c r="BP846" s="407"/>
      <c r="BQ846" s="407"/>
      <c r="BR846" s="407"/>
      <c r="BS846" s="407"/>
      <c r="BT846" s="407"/>
      <c r="BU846" s="407"/>
      <c r="BV846" s="407">
        <v>0</v>
      </c>
      <c r="BW846" s="407"/>
      <c r="BX846" s="407"/>
      <c r="BY846" s="407"/>
      <c r="BZ846" s="407"/>
      <c r="CA846" s="407"/>
      <c r="CB846" s="407"/>
      <c r="CC846" s="407"/>
      <c r="CD846" s="407"/>
      <c r="CE846" s="407"/>
      <c r="CF846" s="407"/>
      <c r="CG846" s="407"/>
      <c r="CH846" s="407"/>
      <c r="CI846" s="407">
        <v>1687.4</v>
      </c>
      <c r="CJ846" s="407">
        <v>-1900.6300000000006</v>
      </c>
      <c r="CK846" s="407"/>
      <c r="CL846" s="407"/>
      <c r="CM846" s="407"/>
      <c r="CN846" s="407"/>
      <c r="CO846" s="407">
        <v>-3801.2000000000003</v>
      </c>
      <c r="CP846" s="407">
        <v>0</v>
      </c>
      <c r="CQ846" s="407">
        <v>31</v>
      </c>
      <c r="CR846" s="407">
        <v>-140.88816495610848</v>
      </c>
      <c r="CS846" s="407">
        <v>0</v>
      </c>
      <c r="CT846" s="407">
        <v>0</v>
      </c>
      <c r="CU846" s="407">
        <v>0</v>
      </c>
      <c r="CV846" s="407">
        <v>0</v>
      </c>
      <c r="CW846" s="407"/>
      <c r="CX846" s="407"/>
      <c r="CY846" s="407"/>
      <c r="CZ846" s="407">
        <v>0</v>
      </c>
      <c r="DA846" s="407">
        <v>0</v>
      </c>
      <c r="DB846" s="407">
        <v>0</v>
      </c>
      <c r="DC846" s="407"/>
      <c r="DD846" s="407"/>
      <c r="DE846" s="407">
        <v>0</v>
      </c>
      <c r="DF846" s="407">
        <v>0</v>
      </c>
      <c r="DG846" s="407">
        <v>0</v>
      </c>
      <c r="DH846" s="407">
        <v>0</v>
      </c>
      <c r="DI846" s="407">
        <v>0</v>
      </c>
      <c r="DJ846" s="407"/>
      <c r="DK846" s="407">
        <v>0</v>
      </c>
      <c r="DL846" s="407">
        <v>0</v>
      </c>
      <c r="DM846" s="407"/>
      <c r="DN846" s="407">
        <v>0</v>
      </c>
      <c r="DO846" s="407">
        <v>0</v>
      </c>
      <c r="DP846" s="407">
        <v>-0.74878261547960001</v>
      </c>
      <c r="DQ846" s="407">
        <v>0</v>
      </c>
      <c r="DR846" s="407">
        <v>-140.13938234062886</v>
      </c>
      <c r="DS846" s="407"/>
      <c r="DT846" s="407"/>
      <c r="DU846" s="407">
        <v>7165.767767491684</v>
      </c>
      <c r="DV846" s="407"/>
      <c r="DW846" s="407">
        <v>0</v>
      </c>
      <c r="DX846" s="407">
        <v>0</v>
      </c>
      <c r="DY846" s="407">
        <v>-3801.2</v>
      </c>
      <c r="DZ846" s="407"/>
      <c r="EA846" s="407">
        <v>0</v>
      </c>
      <c r="EB846" s="407"/>
      <c r="EC846" s="407">
        <v>-3660.2908190143312</v>
      </c>
      <c r="ED846" s="407"/>
      <c r="EE846" s="407">
        <v>0</v>
      </c>
      <c r="EF846" s="407">
        <v>0</v>
      </c>
      <c r="EG846" s="407"/>
      <c r="EH846" s="407">
        <v>0</v>
      </c>
      <c r="EI846" s="407">
        <v>0</v>
      </c>
      <c r="EJ846" s="407">
        <v>0</v>
      </c>
      <c r="EK846" s="407">
        <v>0</v>
      </c>
      <c r="EL846" s="407">
        <v>0</v>
      </c>
      <c r="EM846" s="407"/>
      <c r="EN846" s="407"/>
      <c r="EO846" s="407">
        <v>0</v>
      </c>
      <c r="EP846" s="407">
        <v>0</v>
      </c>
      <c r="EQ846" s="407"/>
      <c r="ER846" s="407">
        <v>0</v>
      </c>
      <c r="ES846" s="407"/>
      <c r="ET846" s="407">
        <v>0</v>
      </c>
      <c r="EU846" s="407"/>
      <c r="EV846" s="407">
        <v>246</v>
      </c>
      <c r="EW846" s="407"/>
      <c r="EX846" s="407"/>
      <c r="EY846" s="407"/>
      <c r="EZ846" s="407"/>
      <c r="FA846" s="407">
        <v>0</v>
      </c>
      <c r="FB846" s="407"/>
      <c r="FC846" s="407"/>
      <c r="FD846" s="407"/>
      <c r="FE846" s="407"/>
      <c r="FF846" s="407">
        <v>0</v>
      </c>
      <c r="FG846" s="407">
        <v>0</v>
      </c>
      <c r="FH846" s="407">
        <v>0</v>
      </c>
      <c r="FI846" s="407">
        <v>0</v>
      </c>
    </row>
    <row r="847" spans="1:165">
      <c r="A847" s="407">
        <v>878</v>
      </c>
      <c r="B847" s="407" t="s">
        <v>1090</v>
      </c>
      <c r="C847" s="407" t="s">
        <v>1044</v>
      </c>
      <c r="D847" s="407" t="s">
        <v>650</v>
      </c>
      <c r="E847" s="407" t="s">
        <v>97</v>
      </c>
      <c r="F847" s="407" t="s">
        <v>97</v>
      </c>
      <c r="G847" s="407" t="s">
        <v>97</v>
      </c>
      <c r="H847" s="407" t="s">
        <v>2331</v>
      </c>
      <c r="I847" s="407" t="s">
        <v>97</v>
      </c>
      <c r="J847" s="407" t="s">
        <v>2329</v>
      </c>
      <c r="K847" s="818">
        <v>44621</v>
      </c>
      <c r="L847" s="407">
        <v>1000</v>
      </c>
      <c r="M847" s="407">
        <v>500</v>
      </c>
      <c r="N847" s="407">
        <v>0</v>
      </c>
      <c r="O847" s="407">
        <v>0</v>
      </c>
      <c r="P847" s="407">
        <v>0</v>
      </c>
      <c r="Q847" s="407">
        <v>0</v>
      </c>
      <c r="R847" s="407">
        <v>13.8</v>
      </c>
      <c r="S847" s="407"/>
      <c r="T847" s="407"/>
      <c r="U847" s="407">
        <v>13800</v>
      </c>
      <c r="V847" s="407"/>
      <c r="W847" s="407">
        <v>13800</v>
      </c>
      <c r="X847" s="407">
        <v>6490</v>
      </c>
      <c r="Y847" s="407">
        <v>0</v>
      </c>
      <c r="Z847" s="407">
        <v>0</v>
      </c>
      <c r="AA847" s="407">
        <v>0</v>
      </c>
      <c r="AB847" s="407">
        <v>0</v>
      </c>
      <c r="AC847" s="407">
        <v>0</v>
      </c>
      <c r="AD847" s="407">
        <v>0</v>
      </c>
      <c r="AE847" s="407">
        <v>13780.322629791699</v>
      </c>
      <c r="AF847" s="407"/>
      <c r="AG847" s="407"/>
      <c r="AH847" s="407"/>
      <c r="AI847" s="407">
        <v>0</v>
      </c>
      <c r="AJ847" s="407">
        <v>0</v>
      </c>
      <c r="AK847" s="407">
        <v>0</v>
      </c>
      <c r="AL847" s="407">
        <v>0</v>
      </c>
      <c r="AM847" s="407"/>
      <c r="AN847" s="407">
        <v>22.5992016209883</v>
      </c>
      <c r="AO847" s="407">
        <v>0</v>
      </c>
      <c r="AP847" s="407">
        <v>0</v>
      </c>
      <c r="AQ847" s="407">
        <v>0</v>
      </c>
      <c r="AR847" s="407">
        <v>0</v>
      </c>
      <c r="AS847" s="407"/>
      <c r="AT847" s="407"/>
      <c r="AU847" s="407">
        <v>0</v>
      </c>
      <c r="AV847" s="407">
        <v>0</v>
      </c>
      <c r="AW847" s="407">
        <v>0</v>
      </c>
      <c r="AX847" s="407"/>
      <c r="AY847" s="407"/>
      <c r="AZ847" s="407">
        <v>0</v>
      </c>
      <c r="BA847" s="407"/>
      <c r="BB847" s="407">
        <v>0</v>
      </c>
      <c r="BC847" s="407">
        <v>0</v>
      </c>
      <c r="BD847" s="407">
        <v>0</v>
      </c>
      <c r="BE847" s="407">
        <v>0</v>
      </c>
      <c r="BF847" s="407"/>
      <c r="BG847" s="407">
        <v>0</v>
      </c>
      <c r="BH847" s="407">
        <v>0</v>
      </c>
      <c r="BI847" s="407">
        <v>27.81</v>
      </c>
      <c r="BJ847" s="407">
        <v>0</v>
      </c>
      <c r="BK847" s="407">
        <v>0</v>
      </c>
      <c r="BL847" s="407">
        <v>0</v>
      </c>
      <c r="BM847" s="407"/>
      <c r="BN847" s="407"/>
      <c r="BO847" s="407">
        <v>3245</v>
      </c>
      <c r="BP847" s="407"/>
      <c r="BQ847" s="407"/>
      <c r="BR847" s="407"/>
      <c r="BS847" s="407"/>
      <c r="BT847" s="407"/>
      <c r="BU847" s="407"/>
      <c r="BV847" s="407">
        <v>0</v>
      </c>
      <c r="BW847" s="407"/>
      <c r="BX847" s="407"/>
      <c r="BY847" s="407"/>
      <c r="BZ847" s="407"/>
      <c r="CA847" s="407"/>
      <c r="CB847" s="407"/>
      <c r="CC847" s="407"/>
      <c r="CD847" s="407"/>
      <c r="CE847" s="407"/>
      <c r="CF847" s="407"/>
      <c r="CG847" s="407"/>
      <c r="CH847" s="407"/>
      <c r="CI847" s="407">
        <v>3245</v>
      </c>
      <c r="CJ847" s="407">
        <v>-3655.0300000000007</v>
      </c>
      <c r="CK847" s="407"/>
      <c r="CL847" s="407"/>
      <c r="CM847" s="407"/>
      <c r="CN847" s="407"/>
      <c r="CO847" s="407">
        <v>-7310.0000000000009</v>
      </c>
      <c r="CP847" s="407">
        <v>0</v>
      </c>
      <c r="CQ847" s="407">
        <v>31</v>
      </c>
      <c r="CR847" s="407">
        <v>-270.93877876174702</v>
      </c>
      <c r="CS847" s="407">
        <v>0</v>
      </c>
      <c r="CT847" s="407">
        <v>0</v>
      </c>
      <c r="CU847" s="407">
        <v>0</v>
      </c>
      <c r="CV847" s="407">
        <v>0</v>
      </c>
      <c r="CW847" s="407"/>
      <c r="CX847" s="407"/>
      <c r="CY847" s="407"/>
      <c r="CZ847" s="407">
        <v>0</v>
      </c>
      <c r="DA847" s="407">
        <v>0</v>
      </c>
      <c r="DB847" s="407">
        <v>0</v>
      </c>
      <c r="DC847" s="407"/>
      <c r="DD847" s="407"/>
      <c r="DE847" s="407">
        <v>0</v>
      </c>
      <c r="DF847" s="407">
        <v>0</v>
      </c>
      <c r="DG847" s="407">
        <v>0</v>
      </c>
      <c r="DH847" s="407">
        <v>0</v>
      </c>
      <c r="DI847" s="407">
        <v>0</v>
      </c>
      <c r="DJ847" s="407"/>
      <c r="DK847" s="407">
        <v>0</v>
      </c>
      <c r="DL847" s="407">
        <v>0</v>
      </c>
      <c r="DM847" s="407"/>
      <c r="DN847" s="407">
        <v>0</v>
      </c>
      <c r="DO847" s="407">
        <v>0</v>
      </c>
      <c r="DP847" s="407">
        <v>-1.4399665682300018</v>
      </c>
      <c r="DQ847" s="407">
        <v>0</v>
      </c>
      <c r="DR847" s="407">
        <v>-269.49881219351704</v>
      </c>
      <c r="DS847" s="407"/>
      <c r="DT847" s="407"/>
      <c r="DU847" s="407">
        <v>13780.322629791699</v>
      </c>
      <c r="DV847" s="407"/>
      <c r="DW847" s="407">
        <v>0</v>
      </c>
      <c r="DX847" s="407">
        <v>0</v>
      </c>
      <c r="DY847" s="407">
        <v>-7310</v>
      </c>
      <c r="DZ847" s="407"/>
      <c r="EA847" s="407">
        <v>0</v>
      </c>
      <c r="EB847" s="407"/>
      <c r="EC847" s="407">
        <v>-7039.0208057967893</v>
      </c>
      <c r="ED847" s="407"/>
      <c r="EE847" s="407">
        <v>0</v>
      </c>
      <c r="EF847" s="407">
        <v>0</v>
      </c>
      <c r="EG847" s="407"/>
      <c r="EH847" s="407">
        <v>0</v>
      </c>
      <c r="EI847" s="407">
        <v>0</v>
      </c>
      <c r="EJ847" s="407">
        <v>0</v>
      </c>
      <c r="EK847" s="407">
        <v>0</v>
      </c>
      <c r="EL847" s="407">
        <v>0</v>
      </c>
      <c r="EM847" s="407"/>
      <c r="EN847" s="407"/>
      <c r="EO847" s="407">
        <v>0</v>
      </c>
      <c r="EP847" s="407">
        <v>0</v>
      </c>
      <c r="EQ847" s="407"/>
      <c r="ER847" s="407">
        <v>0</v>
      </c>
      <c r="ES847" s="407"/>
      <c r="ET847" s="407">
        <v>0</v>
      </c>
      <c r="EU847" s="407"/>
      <c r="EV847" s="407">
        <v>246</v>
      </c>
      <c r="EW847" s="407"/>
      <c r="EX847" s="407"/>
      <c r="EY847" s="407"/>
      <c r="EZ847" s="407"/>
      <c r="FA847" s="407">
        <v>0</v>
      </c>
      <c r="FB847" s="407"/>
      <c r="FC847" s="407"/>
      <c r="FD847" s="407"/>
      <c r="FE847" s="407"/>
      <c r="FF847" s="407">
        <v>0</v>
      </c>
      <c r="FG847" s="407">
        <v>0</v>
      </c>
      <c r="FH847" s="407">
        <v>0</v>
      </c>
      <c r="FI847" s="407">
        <v>0</v>
      </c>
    </row>
    <row r="848" spans="1:165">
      <c r="A848" s="407">
        <v>879</v>
      </c>
      <c r="B848" s="407" t="s">
        <v>1090</v>
      </c>
      <c r="C848" s="407" t="s">
        <v>1044</v>
      </c>
      <c r="D848" s="407" t="s">
        <v>650</v>
      </c>
      <c r="E848" s="407" t="s">
        <v>97</v>
      </c>
      <c r="F848" s="407" t="s">
        <v>97</v>
      </c>
      <c r="G848" s="407" t="s">
        <v>97</v>
      </c>
      <c r="H848" s="407" t="s">
        <v>2332</v>
      </c>
      <c r="I848" s="407" t="s">
        <v>97</v>
      </c>
      <c r="J848" s="407" t="s">
        <v>2329</v>
      </c>
      <c r="K848" s="818">
        <v>44621</v>
      </c>
      <c r="L848" s="407">
        <v>800</v>
      </c>
      <c r="M848" s="407">
        <v>400</v>
      </c>
      <c r="N848" s="407">
        <v>0</v>
      </c>
      <c r="O848" s="407">
        <v>0</v>
      </c>
      <c r="P848" s="407">
        <v>0</v>
      </c>
      <c r="Q848" s="407">
        <v>0</v>
      </c>
      <c r="R848" s="407">
        <v>13.8</v>
      </c>
      <c r="S848" s="407"/>
      <c r="T848" s="407"/>
      <c r="U848" s="407">
        <v>11040</v>
      </c>
      <c r="V848" s="407"/>
      <c r="W848" s="407">
        <v>11040</v>
      </c>
      <c r="X848" s="407">
        <v>5192</v>
      </c>
      <c r="Y848" s="407">
        <v>0</v>
      </c>
      <c r="Z848" s="407">
        <v>0</v>
      </c>
      <c r="AA848" s="407">
        <v>0</v>
      </c>
      <c r="AB848" s="407">
        <v>0</v>
      </c>
      <c r="AC848" s="407">
        <v>0</v>
      </c>
      <c r="AD848" s="407">
        <v>0</v>
      </c>
      <c r="AE848" s="407">
        <v>11024.258103833359</v>
      </c>
      <c r="AF848" s="407"/>
      <c r="AG848" s="407"/>
      <c r="AH848" s="407"/>
      <c r="AI848" s="407">
        <v>0</v>
      </c>
      <c r="AJ848" s="407">
        <v>0</v>
      </c>
      <c r="AK848" s="407">
        <v>0</v>
      </c>
      <c r="AL848" s="407">
        <v>0</v>
      </c>
      <c r="AM848" s="407"/>
      <c r="AN848" s="407">
        <v>18.079361296790637</v>
      </c>
      <c r="AO848" s="407">
        <v>0</v>
      </c>
      <c r="AP848" s="407">
        <v>0</v>
      </c>
      <c r="AQ848" s="407">
        <v>0</v>
      </c>
      <c r="AR848" s="407">
        <v>0</v>
      </c>
      <c r="AS848" s="407"/>
      <c r="AT848" s="407"/>
      <c r="AU848" s="407">
        <v>0</v>
      </c>
      <c r="AV848" s="407">
        <v>0</v>
      </c>
      <c r="AW848" s="407">
        <v>0</v>
      </c>
      <c r="AX848" s="407"/>
      <c r="AY848" s="407"/>
      <c r="AZ848" s="407">
        <v>0</v>
      </c>
      <c r="BA848" s="407"/>
      <c r="BB848" s="407">
        <v>0</v>
      </c>
      <c r="BC848" s="407">
        <v>0</v>
      </c>
      <c r="BD848" s="407">
        <v>0</v>
      </c>
      <c r="BE848" s="407">
        <v>0</v>
      </c>
      <c r="BF848" s="407"/>
      <c r="BG848" s="407">
        <v>0</v>
      </c>
      <c r="BH848" s="407">
        <v>0</v>
      </c>
      <c r="BI848" s="407">
        <v>22.25</v>
      </c>
      <c r="BJ848" s="407">
        <v>0</v>
      </c>
      <c r="BK848" s="407">
        <v>0</v>
      </c>
      <c r="BL848" s="407">
        <v>0</v>
      </c>
      <c r="BM848" s="407"/>
      <c r="BN848" s="407"/>
      <c r="BO848" s="407">
        <v>2596</v>
      </c>
      <c r="BP848" s="407"/>
      <c r="BQ848" s="407"/>
      <c r="BR848" s="407"/>
      <c r="BS848" s="407"/>
      <c r="BT848" s="407"/>
      <c r="BU848" s="407"/>
      <c r="BV848" s="407">
        <v>0</v>
      </c>
      <c r="BW848" s="407"/>
      <c r="BX848" s="407"/>
      <c r="BY848" s="407"/>
      <c r="BZ848" s="407"/>
      <c r="CA848" s="407"/>
      <c r="CB848" s="407"/>
      <c r="CC848" s="407"/>
      <c r="CD848" s="407"/>
      <c r="CE848" s="407"/>
      <c r="CF848" s="407"/>
      <c r="CG848" s="407"/>
      <c r="CH848" s="407"/>
      <c r="CI848" s="407">
        <v>2596</v>
      </c>
      <c r="CJ848" s="407">
        <v>-2924.0300000000007</v>
      </c>
      <c r="CK848" s="407"/>
      <c r="CL848" s="407"/>
      <c r="CM848" s="407"/>
      <c r="CN848" s="407"/>
      <c r="CO848" s="407">
        <v>-5848</v>
      </c>
      <c r="CP848" s="407">
        <v>0</v>
      </c>
      <c r="CQ848" s="407">
        <v>31</v>
      </c>
      <c r="CR848" s="407">
        <v>-216.75102300939761</v>
      </c>
      <c r="CS848" s="407">
        <v>0</v>
      </c>
      <c r="CT848" s="407">
        <v>0</v>
      </c>
      <c r="CU848" s="407">
        <v>0</v>
      </c>
      <c r="CV848" s="407">
        <v>0</v>
      </c>
      <c r="CW848" s="407"/>
      <c r="CX848" s="407"/>
      <c r="CY848" s="407"/>
      <c r="CZ848" s="407">
        <v>0</v>
      </c>
      <c r="DA848" s="407">
        <v>0</v>
      </c>
      <c r="DB848" s="407">
        <v>0</v>
      </c>
      <c r="DC848" s="407"/>
      <c r="DD848" s="407"/>
      <c r="DE848" s="407">
        <v>0</v>
      </c>
      <c r="DF848" s="407">
        <v>0</v>
      </c>
      <c r="DG848" s="407">
        <v>0</v>
      </c>
      <c r="DH848" s="407">
        <v>0</v>
      </c>
      <c r="DI848" s="407">
        <v>0</v>
      </c>
      <c r="DJ848" s="407"/>
      <c r="DK848" s="407">
        <v>0</v>
      </c>
      <c r="DL848" s="407">
        <v>0</v>
      </c>
      <c r="DM848" s="407"/>
      <c r="DN848" s="407">
        <v>0</v>
      </c>
      <c r="DO848" s="407">
        <v>0</v>
      </c>
      <c r="DP848" s="407">
        <v>-1.1519732545839965</v>
      </c>
      <c r="DQ848" s="407">
        <v>0</v>
      </c>
      <c r="DR848" s="407">
        <v>-215.59904975481362</v>
      </c>
      <c r="DS848" s="407"/>
      <c r="DT848" s="407"/>
      <c r="DU848" s="407">
        <v>11024.258103833359</v>
      </c>
      <c r="DV848" s="407"/>
      <c r="DW848" s="407">
        <v>0</v>
      </c>
      <c r="DX848" s="407">
        <v>0</v>
      </c>
      <c r="DY848" s="407">
        <v>-5848</v>
      </c>
      <c r="DZ848" s="407"/>
      <c r="EA848" s="407">
        <v>0</v>
      </c>
      <c r="EB848" s="407"/>
      <c r="EC848" s="407">
        <v>-5631.2166446374313</v>
      </c>
      <c r="ED848" s="407"/>
      <c r="EE848" s="407">
        <v>0</v>
      </c>
      <c r="EF848" s="407">
        <v>0</v>
      </c>
      <c r="EG848" s="407"/>
      <c r="EH848" s="407">
        <v>0</v>
      </c>
      <c r="EI848" s="407">
        <v>0</v>
      </c>
      <c r="EJ848" s="407">
        <v>0</v>
      </c>
      <c r="EK848" s="407">
        <v>0</v>
      </c>
      <c r="EL848" s="407">
        <v>0</v>
      </c>
      <c r="EM848" s="407"/>
      <c r="EN848" s="407"/>
      <c r="EO848" s="407">
        <v>0</v>
      </c>
      <c r="EP848" s="407">
        <v>0</v>
      </c>
      <c r="EQ848" s="407"/>
      <c r="ER848" s="407">
        <v>0</v>
      </c>
      <c r="ES848" s="407"/>
      <c r="ET848" s="407">
        <v>0</v>
      </c>
      <c r="EU848" s="407"/>
      <c r="EV848" s="407">
        <v>246</v>
      </c>
      <c r="EW848" s="407"/>
      <c r="EX848" s="407"/>
      <c r="EY848" s="407"/>
      <c r="EZ848" s="407"/>
      <c r="FA848" s="407">
        <v>0</v>
      </c>
      <c r="FB848" s="407"/>
      <c r="FC848" s="407"/>
      <c r="FD848" s="407"/>
      <c r="FE848" s="407"/>
      <c r="FF848" s="407">
        <v>0</v>
      </c>
      <c r="FG848" s="407">
        <v>0</v>
      </c>
      <c r="FH848" s="407">
        <v>0</v>
      </c>
      <c r="FI848" s="407">
        <v>0</v>
      </c>
    </row>
    <row r="849" spans="1:165">
      <c r="A849" s="407">
        <v>880</v>
      </c>
      <c r="B849" s="407" t="s">
        <v>1090</v>
      </c>
      <c r="C849" s="407" t="s">
        <v>1044</v>
      </c>
      <c r="D849" s="407" t="s">
        <v>650</v>
      </c>
      <c r="E849" s="407" t="s">
        <v>97</v>
      </c>
      <c r="F849" s="407" t="s">
        <v>97</v>
      </c>
      <c r="G849" s="407" t="s">
        <v>97</v>
      </c>
      <c r="H849" s="407" t="s">
        <v>2333</v>
      </c>
      <c r="I849" s="407" t="s">
        <v>97</v>
      </c>
      <c r="J849" s="407" t="s">
        <v>2329</v>
      </c>
      <c r="K849" s="818">
        <v>44621</v>
      </c>
      <c r="L849" s="407">
        <v>270</v>
      </c>
      <c r="M849" s="407">
        <v>135</v>
      </c>
      <c r="N849" s="407">
        <v>0</v>
      </c>
      <c r="O849" s="407">
        <v>0</v>
      </c>
      <c r="P849" s="407">
        <v>0</v>
      </c>
      <c r="Q849" s="407">
        <v>0</v>
      </c>
      <c r="R849" s="407">
        <v>13.8</v>
      </c>
      <c r="S849" s="407"/>
      <c r="T849" s="407"/>
      <c r="U849" s="407">
        <v>3726</v>
      </c>
      <c r="V849" s="407"/>
      <c r="W849" s="407">
        <v>3726</v>
      </c>
      <c r="X849" s="407">
        <v>1752.3</v>
      </c>
      <c r="Y849" s="407">
        <v>0</v>
      </c>
      <c r="Z849" s="407">
        <v>0</v>
      </c>
      <c r="AA849" s="407">
        <v>0</v>
      </c>
      <c r="AB849" s="407">
        <v>0</v>
      </c>
      <c r="AC849" s="407">
        <v>0</v>
      </c>
      <c r="AD849" s="407">
        <v>0</v>
      </c>
      <c r="AE849" s="407">
        <v>3720.6871100437588</v>
      </c>
      <c r="AF849" s="407"/>
      <c r="AG849" s="407"/>
      <c r="AH849" s="407"/>
      <c r="AI849" s="407">
        <v>0</v>
      </c>
      <c r="AJ849" s="407">
        <v>0</v>
      </c>
      <c r="AK849" s="407">
        <v>0</v>
      </c>
      <c r="AL849" s="407">
        <v>0</v>
      </c>
      <c r="AM849" s="407"/>
      <c r="AN849" s="407">
        <v>6.1017844376668409</v>
      </c>
      <c r="AO849" s="407">
        <v>0</v>
      </c>
      <c r="AP849" s="407">
        <v>0</v>
      </c>
      <c r="AQ849" s="407">
        <v>0</v>
      </c>
      <c r="AR849" s="407">
        <v>0</v>
      </c>
      <c r="AS849" s="407"/>
      <c r="AT849" s="407"/>
      <c r="AU849" s="407">
        <v>0</v>
      </c>
      <c r="AV849" s="407">
        <v>0</v>
      </c>
      <c r="AW849" s="407">
        <v>0</v>
      </c>
      <c r="AX849" s="407"/>
      <c r="AY849" s="407"/>
      <c r="AZ849" s="407">
        <v>0</v>
      </c>
      <c r="BA849" s="407"/>
      <c r="BB849" s="407">
        <v>0</v>
      </c>
      <c r="BC849" s="407">
        <v>0</v>
      </c>
      <c r="BD849" s="407">
        <v>0</v>
      </c>
      <c r="BE849" s="407">
        <v>0</v>
      </c>
      <c r="BF849" s="407"/>
      <c r="BG849" s="407">
        <v>0</v>
      </c>
      <c r="BH849" s="407">
        <v>0</v>
      </c>
      <c r="BI849" s="407">
        <v>7.51</v>
      </c>
      <c r="BJ849" s="407">
        <v>0</v>
      </c>
      <c r="BK849" s="407">
        <v>0</v>
      </c>
      <c r="BL849" s="407">
        <v>0</v>
      </c>
      <c r="BM849" s="407"/>
      <c r="BN849" s="407"/>
      <c r="BO849" s="407">
        <v>876.15</v>
      </c>
      <c r="BP849" s="407"/>
      <c r="BQ849" s="407"/>
      <c r="BR849" s="407"/>
      <c r="BS849" s="407"/>
      <c r="BT849" s="407"/>
      <c r="BU849" s="407"/>
      <c r="BV849" s="407">
        <v>0</v>
      </c>
      <c r="BW849" s="407"/>
      <c r="BX849" s="407"/>
      <c r="BY849" s="407"/>
      <c r="BZ849" s="407"/>
      <c r="CA849" s="407"/>
      <c r="CB849" s="407"/>
      <c r="CC849" s="407"/>
      <c r="CD849" s="407"/>
      <c r="CE849" s="407"/>
      <c r="CF849" s="407"/>
      <c r="CG849" s="407"/>
      <c r="CH849" s="407"/>
      <c r="CI849" s="407">
        <v>876.15</v>
      </c>
      <c r="CJ849" s="407">
        <v>-986.88</v>
      </c>
      <c r="CK849" s="407"/>
      <c r="CL849" s="407"/>
      <c r="CM849" s="407"/>
      <c r="CN849" s="407"/>
      <c r="CO849" s="407">
        <v>-1973.7</v>
      </c>
      <c r="CP849" s="407">
        <v>0</v>
      </c>
      <c r="CQ849" s="407">
        <v>31</v>
      </c>
      <c r="CR849" s="407">
        <v>-73.153470265671686</v>
      </c>
      <c r="CS849" s="407">
        <v>0</v>
      </c>
      <c r="CT849" s="407">
        <v>0</v>
      </c>
      <c r="CU849" s="407">
        <v>0</v>
      </c>
      <c r="CV849" s="407">
        <v>0</v>
      </c>
      <c r="CW849" s="407"/>
      <c r="CX849" s="407"/>
      <c r="CY849" s="407"/>
      <c r="CZ849" s="407">
        <v>0</v>
      </c>
      <c r="DA849" s="407">
        <v>0</v>
      </c>
      <c r="DB849" s="407">
        <v>0</v>
      </c>
      <c r="DC849" s="407"/>
      <c r="DD849" s="407"/>
      <c r="DE849" s="407">
        <v>0</v>
      </c>
      <c r="DF849" s="407">
        <v>0</v>
      </c>
      <c r="DG849" s="407">
        <v>0</v>
      </c>
      <c r="DH849" s="407">
        <v>0</v>
      </c>
      <c r="DI849" s="407">
        <v>0</v>
      </c>
      <c r="DJ849" s="407"/>
      <c r="DK849" s="407">
        <v>0</v>
      </c>
      <c r="DL849" s="407">
        <v>0</v>
      </c>
      <c r="DM849" s="407"/>
      <c r="DN849" s="407">
        <v>0</v>
      </c>
      <c r="DO849" s="407">
        <v>0</v>
      </c>
      <c r="DP849" s="407">
        <v>-0.38879097342209956</v>
      </c>
      <c r="DQ849" s="407">
        <v>0</v>
      </c>
      <c r="DR849" s="407">
        <v>-72.764679292249596</v>
      </c>
      <c r="DS849" s="407"/>
      <c r="DT849" s="407"/>
      <c r="DU849" s="407">
        <v>3720.6871100437588</v>
      </c>
      <c r="DV849" s="407"/>
      <c r="DW849" s="407">
        <v>0</v>
      </c>
      <c r="DX849" s="407">
        <v>0</v>
      </c>
      <c r="DY849" s="407">
        <v>-1973.7</v>
      </c>
      <c r="DZ849" s="407"/>
      <c r="EA849" s="407">
        <v>0</v>
      </c>
      <c r="EB849" s="407"/>
      <c r="EC849" s="407">
        <v>-1900.5356175651332</v>
      </c>
      <c r="ED849" s="407"/>
      <c r="EE849" s="407">
        <v>0</v>
      </c>
      <c r="EF849" s="407">
        <v>0</v>
      </c>
      <c r="EG849" s="407"/>
      <c r="EH849" s="407">
        <v>0</v>
      </c>
      <c r="EI849" s="407">
        <v>0</v>
      </c>
      <c r="EJ849" s="407">
        <v>0</v>
      </c>
      <c r="EK849" s="407">
        <v>0</v>
      </c>
      <c r="EL849" s="407">
        <v>0</v>
      </c>
      <c r="EM849" s="407"/>
      <c r="EN849" s="407"/>
      <c r="EO849" s="407">
        <v>0</v>
      </c>
      <c r="EP849" s="407">
        <v>0</v>
      </c>
      <c r="EQ849" s="407"/>
      <c r="ER849" s="407">
        <v>0</v>
      </c>
      <c r="ES849" s="407"/>
      <c r="ET849" s="407">
        <v>0</v>
      </c>
      <c r="EU849" s="407"/>
      <c r="EV849" s="407">
        <v>246</v>
      </c>
      <c r="EW849" s="407"/>
      <c r="EX849" s="407"/>
      <c r="EY849" s="407"/>
      <c r="EZ849" s="407"/>
      <c r="FA849" s="407">
        <v>0</v>
      </c>
      <c r="FB849" s="407"/>
      <c r="FC849" s="407"/>
      <c r="FD849" s="407"/>
      <c r="FE849" s="407"/>
      <c r="FF849" s="407">
        <v>0</v>
      </c>
      <c r="FG849" s="407">
        <v>0</v>
      </c>
      <c r="FH849" s="407">
        <v>0</v>
      </c>
      <c r="FI849" s="407">
        <v>0</v>
      </c>
    </row>
    <row r="850" spans="1:165">
      <c r="A850" s="407">
        <v>881</v>
      </c>
      <c r="B850" s="407" t="s">
        <v>1090</v>
      </c>
      <c r="C850" s="407" t="s">
        <v>1044</v>
      </c>
      <c r="D850" s="407" t="s">
        <v>650</v>
      </c>
      <c r="E850" s="407" t="s">
        <v>97</v>
      </c>
      <c r="F850" s="407" t="s">
        <v>97</v>
      </c>
      <c r="G850" s="407" t="s">
        <v>97</v>
      </c>
      <c r="H850" s="407" t="s">
        <v>2334</v>
      </c>
      <c r="I850" s="407" t="s">
        <v>97</v>
      </c>
      <c r="J850" s="407" t="s">
        <v>2329</v>
      </c>
      <c r="K850" s="818">
        <v>44621</v>
      </c>
      <c r="L850" s="407">
        <v>280</v>
      </c>
      <c r="M850" s="407">
        <v>140</v>
      </c>
      <c r="N850" s="407">
        <v>0</v>
      </c>
      <c r="O850" s="407">
        <v>0</v>
      </c>
      <c r="P850" s="407">
        <v>0</v>
      </c>
      <c r="Q850" s="407">
        <v>0</v>
      </c>
      <c r="R850" s="407">
        <v>13.8</v>
      </c>
      <c r="S850" s="407"/>
      <c r="T850" s="407"/>
      <c r="U850" s="407">
        <v>3864</v>
      </c>
      <c r="V850" s="407"/>
      <c r="W850" s="407">
        <v>3864</v>
      </c>
      <c r="X850" s="407">
        <v>1817.2</v>
      </c>
      <c r="Y850" s="407">
        <v>0</v>
      </c>
      <c r="Z850" s="407">
        <v>0</v>
      </c>
      <c r="AA850" s="407">
        <v>0</v>
      </c>
      <c r="AB850" s="407">
        <v>0</v>
      </c>
      <c r="AC850" s="407">
        <v>0</v>
      </c>
      <c r="AD850" s="407">
        <v>0</v>
      </c>
      <c r="AE850" s="407">
        <v>3858.4903363416761</v>
      </c>
      <c r="AF850" s="407"/>
      <c r="AG850" s="407"/>
      <c r="AH850" s="407"/>
      <c r="AI850" s="407">
        <v>0</v>
      </c>
      <c r="AJ850" s="407">
        <v>0</v>
      </c>
      <c r="AK850" s="407">
        <v>0</v>
      </c>
      <c r="AL850" s="407">
        <v>0</v>
      </c>
      <c r="AM850" s="407"/>
      <c r="AN850" s="407">
        <v>6.3277764538767238</v>
      </c>
      <c r="AO850" s="407">
        <v>0</v>
      </c>
      <c r="AP850" s="407">
        <v>0</v>
      </c>
      <c r="AQ850" s="407">
        <v>0</v>
      </c>
      <c r="AR850" s="407">
        <v>0</v>
      </c>
      <c r="AS850" s="407"/>
      <c r="AT850" s="407"/>
      <c r="AU850" s="407">
        <v>0</v>
      </c>
      <c r="AV850" s="407">
        <v>0</v>
      </c>
      <c r="AW850" s="407">
        <v>0</v>
      </c>
      <c r="AX850" s="407"/>
      <c r="AY850" s="407"/>
      <c r="AZ850" s="407">
        <v>0</v>
      </c>
      <c r="BA850" s="407"/>
      <c r="BB850" s="407">
        <v>0</v>
      </c>
      <c r="BC850" s="407">
        <v>0</v>
      </c>
      <c r="BD850" s="407">
        <v>0</v>
      </c>
      <c r="BE850" s="407">
        <v>0</v>
      </c>
      <c r="BF850" s="407"/>
      <c r="BG850" s="407">
        <v>0</v>
      </c>
      <c r="BH850" s="407">
        <v>0</v>
      </c>
      <c r="BI850" s="407">
        <v>7.78</v>
      </c>
      <c r="BJ850" s="407">
        <v>0</v>
      </c>
      <c r="BK850" s="407">
        <v>0</v>
      </c>
      <c r="BL850" s="407">
        <v>0</v>
      </c>
      <c r="BM850" s="407"/>
      <c r="BN850" s="407"/>
      <c r="BO850" s="407">
        <v>908.6</v>
      </c>
      <c r="BP850" s="407"/>
      <c r="BQ850" s="407"/>
      <c r="BR850" s="407"/>
      <c r="BS850" s="407"/>
      <c r="BT850" s="407"/>
      <c r="BU850" s="407"/>
      <c r="BV850" s="407">
        <v>0</v>
      </c>
      <c r="BW850" s="407"/>
      <c r="BX850" s="407"/>
      <c r="BY850" s="407"/>
      <c r="BZ850" s="407"/>
      <c r="CA850" s="407"/>
      <c r="CB850" s="407"/>
      <c r="CC850" s="407"/>
      <c r="CD850" s="407"/>
      <c r="CE850" s="407"/>
      <c r="CF850" s="407"/>
      <c r="CG850" s="407"/>
      <c r="CH850" s="407"/>
      <c r="CI850" s="407">
        <v>908.6</v>
      </c>
      <c r="CJ850" s="407">
        <v>-1023.43</v>
      </c>
      <c r="CK850" s="407"/>
      <c r="CL850" s="407"/>
      <c r="CM850" s="407"/>
      <c r="CN850" s="407"/>
      <c r="CO850" s="407">
        <v>-2046.8000000000002</v>
      </c>
      <c r="CP850" s="407">
        <v>0</v>
      </c>
      <c r="CQ850" s="407">
        <v>31</v>
      </c>
      <c r="CR850" s="407">
        <v>-75.862858053289159</v>
      </c>
      <c r="CS850" s="407">
        <v>0</v>
      </c>
      <c r="CT850" s="407">
        <v>0</v>
      </c>
      <c r="CU850" s="407">
        <v>0</v>
      </c>
      <c r="CV850" s="407">
        <v>0</v>
      </c>
      <c r="CW850" s="407"/>
      <c r="CX850" s="407"/>
      <c r="CY850" s="407"/>
      <c r="CZ850" s="407">
        <v>0</v>
      </c>
      <c r="DA850" s="407">
        <v>0</v>
      </c>
      <c r="DB850" s="407">
        <v>0</v>
      </c>
      <c r="DC850" s="407"/>
      <c r="DD850" s="407"/>
      <c r="DE850" s="407">
        <v>0</v>
      </c>
      <c r="DF850" s="407">
        <v>0</v>
      </c>
      <c r="DG850" s="407">
        <v>0</v>
      </c>
      <c r="DH850" s="407">
        <v>0</v>
      </c>
      <c r="DI850" s="407">
        <v>0</v>
      </c>
      <c r="DJ850" s="407"/>
      <c r="DK850" s="407">
        <v>0</v>
      </c>
      <c r="DL850" s="407">
        <v>0</v>
      </c>
      <c r="DM850" s="407"/>
      <c r="DN850" s="407">
        <v>0</v>
      </c>
      <c r="DO850" s="407">
        <v>0</v>
      </c>
      <c r="DP850" s="407">
        <v>-0.40319063910440001</v>
      </c>
      <c r="DQ850" s="407">
        <v>0</v>
      </c>
      <c r="DR850" s="407">
        <v>-75.459667414184764</v>
      </c>
      <c r="DS850" s="407"/>
      <c r="DT850" s="407"/>
      <c r="DU850" s="407">
        <v>3858.4903363416761</v>
      </c>
      <c r="DV850" s="407"/>
      <c r="DW850" s="407">
        <v>0</v>
      </c>
      <c r="DX850" s="407">
        <v>0</v>
      </c>
      <c r="DY850" s="407">
        <v>-2046.8</v>
      </c>
      <c r="DZ850" s="407"/>
      <c r="EA850" s="407">
        <v>0</v>
      </c>
      <c r="EB850" s="407"/>
      <c r="EC850" s="407">
        <v>-1970.9258256231014</v>
      </c>
      <c r="ED850" s="407"/>
      <c r="EE850" s="407">
        <v>0</v>
      </c>
      <c r="EF850" s="407">
        <v>0</v>
      </c>
      <c r="EG850" s="407"/>
      <c r="EH850" s="407">
        <v>0</v>
      </c>
      <c r="EI850" s="407">
        <v>0</v>
      </c>
      <c r="EJ850" s="407">
        <v>0</v>
      </c>
      <c r="EK850" s="407">
        <v>0</v>
      </c>
      <c r="EL850" s="407">
        <v>0</v>
      </c>
      <c r="EM850" s="407"/>
      <c r="EN850" s="407"/>
      <c r="EO850" s="407">
        <v>0</v>
      </c>
      <c r="EP850" s="407">
        <v>0</v>
      </c>
      <c r="EQ850" s="407"/>
      <c r="ER850" s="407">
        <v>0</v>
      </c>
      <c r="ES850" s="407"/>
      <c r="ET850" s="407">
        <v>0</v>
      </c>
      <c r="EU850" s="407"/>
      <c r="EV850" s="407">
        <v>246</v>
      </c>
      <c r="EW850" s="407"/>
      <c r="EX850" s="407"/>
      <c r="EY850" s="407"/>
      <c r="EZ850" s="407"/>
      <c r="FA850" s="407">
        <v>0</v>
      </c>
      <c r="FB850" s="407"/>
      <c r="FC850" s="407"/>
      <c r="FD850" s="407"/>
      <c r="FE850" s="407"/>
      <c r="FF850" s="407">
        <v>0</v>
      </c>
      <c r="FG850" s="407">
        <v>0</v>
      </c>
      <c r="FH850" s="407">
        <v>0</v>
      </c>
      <c r="FI850" s="407">
        <v>0</v>
      </c>
    </row>
    <row r="851" spans="1:165">
      <c r="A851" s="407">
        <v>882</v>
      </c>
      <c r="B851" s="407" t="s">
        <v>1090</v>
      </c>
      <c r="C851" s="407" t="s">
        <v>1044</v>
      </c>
      <c r="D851" s="407" t="s">
        <v>650</v>
      </c>
      <c r="E851" s="407" t="s">
        <v>97</v>
      </c>
      <c r="F851" s="407" t="s">
        <v>97</v>
      </c>
      <c r="G851" s="407" t="s">
        <v>97</v>
      </c>
      <c r="H851" s="407" t="s">
        <v>2335</v>
      </c>
      <c r="I851" s="407" t="s">
        <v>97</v>
      </c>
      <c r="J851" s="407" t="s">
        <v>2329</v>
      </c>
      <c r="K851" s="818">
        <v>44621</v>
      </c>
      <c r="L851" s="407">
        <v>730</v>
      </c>
      <c r="M851" s="407">
        <v>365</v>
      </c>
      <c r="N851" s="407">
        <v>0</v>
      </c>
      <c r="O851" s="407">
        <v>0</v>
      </c>
      <c r="P851" s="407">
        <v>0</v>
      </c>
      <c r="Q851" s="407">
        <v>0</v>
      </c>
      <c r="R851" s="407">
        <v>13.8</v>
      </c>
      <c r="S851" s="407"/>
      <c r="T851" s="407"/>
      <c r="U851" s="407">
        <v>10074</v>
      </c>
      <c r="V851" s="407"/>
      <c r="W851" s="407">
        <v>10074</v>
      </c>
      <c r="X851" s="407">
        <v>4737.7</v>
      </c>
      <c r="Y851" s="407">
        <v>0</v>
      </c>
      <c r="Z851" s="407">
        <v>0</v>
      </c>
      <c r="AA851" s="407">
        <v>0</v>
      </c>
      <c r="AB851" s="407">
        <v>0</v>
      </c>
      <c r="AC851" s="407">
        <v>0</v>
      </c>
      <c r="AD851" s="407">
        <v>0</v>
      </c>
      <c r="AE851" s="407">
        <v>10059.635519747941</v>
      </c>
      <c r="AF851" s="407"/>
      <c r="AG851" s="407"/>
      <c r="AH851" s="407"/>
      <c r="AI851" s="407">
        <v>0</v>
      </c>
      <c r="AJ851" s="407">
        <v>0</v>
      </c>
      <c r="AK851" s="407">
        <v>0</v>
      </c>
      <c r="AL851" s="407">
        <v>0</v>
      </c>
      <c r="AM851" s="407"/>
      <c r="AN851" s="407">
        <v>16.497417183321456</v>
      </c>
      <c r="AO851" s="407">
        <v>0</v>
      </c>
      <c r="AP851" s="407">
        <v>0</v>
      </c>
      <c r="AQ851" s="407">
        <v>0</v>
      </c>
      <c r="AR851" s="407">
        <v>0</v>
      </c>
      <c r="AS851" s="407"/>
      <c r="AT851" s="407"/>
      <c r="AU851" s="407">
        <v>0</v>
      </c>
      <c r="AV851" s="407">
        <v>0</v>
      </c>
      <c r="AW851" s="407">
        <v>0</v>
      </c>
      <c r="AX851" s="407"/>
      <c r="AY851" s="407"/>
      <c r="AZ851" s="407">
        <v>0</v>
      </c>
      <c r="BA851" s="407"/>
      <c r="BB851" s="407">
        <v>0</v>
      </c>
      <c r="BC851" s="407">
        <v>0</v>
      </c>
      <c r="BD851" s="407">
        <v>0</v>
      </c>
      <c r="BE851" s="407">
        <v>0</v>
      </c>
      <c r="BF851" s="407"/>
      <c r="BG851" s="407">
        <v>0</v>
      </c>
      <c r="BH851" s="407">
        <v>0</v>
      </c>
      <c r="BI851" s="407">
        <v>20.3</v>
      </c>
      <c r="BJ851" s="407">
        <v>0</v>
      </c>
      <c r="BK851" s="407">
        <v>0</v>
      </c>
      <c r="BL851" s="407">
        <v>0</v>
      </c>
      <c r="BM851" s="407"/>
      <c r="BN851" s="407"/>
      <c r="BO851" s="407">
        <v>2368.85</v>
      </c>
      <c r="BP851" s="407"/>
      <c r="BQ851" s="407"/>
      <c r="BR851" s="407"/>
      <c r="BS851" s="407"/>
      <c r="BT851" s="407"/>
      <c r="BU851" s="407"/>
      <c r="BV851" s="407">
        <v>0</v>
      </c>
      <c r="BW851" s="407"/>
      <c r="BX851" s="407"/>
      <c r="BY851" s="407"/>
      <c r="BZ851" s="407"/>
      <c r="CA851" s="407"/>
      <c r="CB851" s="407"/>
      <c r="CC851" s="407"/>
      <c r="CD851" s="407"/>
      <c r="CE851" s="407"/>
      <c r="CF851" s="407"/>
      <c r="CG851" s="407"/>
      <c r="CH851" s="407"/>
      <c r="CI851" s="407">
        <v>2368.85</v>
      </c>
      <c r="CJ851" s="407">
        <v>-2668.1800000000007</v>
      </c>
      <c r="CK851" s="407"/>
      <c r="CL851" s="407"/>
      <c r="CM851" s="407"/>
      <c r="CN851" s="407"/>
      <c r="CO851" s="407">
        <v>-5336.3</v>
      </c>
      <c r="CP851" s="407">
        <v>0</v>
      </c>
      <c r="CQ851" s="407">
        <v>31</v>
      </c>
      <c r="CR851" s="407">
        <v>-197.78530849607532</v>
      </c>
      <c r="CS851" s="407">
        <v>0</v>
      </c>
      <c r="CT851" s="407">
        <v>0</v>
      </c>
      <c r="CU851" s="407">
        <v>0</v>
      </c>
      <c r="CV851" s="407">
        <v>0</v>
      </c>
      <c r="CW851" s="407"/>
      <c r="CX851" s="407"/>
      <c r="CY851" s="407"/>
      <c r="CZ851" s="407">
        <v>0</v>
      </c>
      <c r="DA851" s="407">
        <v>0</v>
      </c>
      <c r="DB851" s="407">
        <v>0</v>
      </c>
      <c r="DC851" s="407"/>
      <c r="DD851" s="407"/>
      <c r="DE851" s="407">
        <v>0</v>
      </c>
      <c r="DF851" s="407">
        <v>0</v>
      </c>
      <c r="DG851" s="407">
        <v>0</v>
      </c>
      <c r="DH851" s="407">
        <v>0</v>
      </c>
      <c r="DI851" s="407">
        <v>0</v>
      </c>
      <c r="DJ851" s="407"/>
      <c r="DK851" s="407">
        <v>0</v>
      </c>
      <c r="DL851" s="407">
        <v>0</v>
      </c>
      <c r="DM851" s="407"/>
      <c r="DN851" s="407">
        <v>0</v>
      </c>
      <c r="DO851" s="407">
        <v>0</v>
      </c>
      <c r="DP851" s="407">
        <v>-1.0511755948078978</v>
      </c>
      <c r="DQ851" s="407">
        <v>0</v>
      </c>
      <c r="DR851" s="407">
        <v>-196.73413290126743</v>
      </c>
      <c r="DS851" s="407"/>
      <c r="DT851" s="407"/>
      <c r="DU851" s="407">
        <v>10059.635519747941</v>
      </c>
      <c r="DV851" s="407"/>
      <c r="DW851" s="407">
        <v>0</v>
      </c>
      <c r="DX851" s="407">
        <v>0</v>
      </c>
      <c r="DY851" s="407">
        <v>-5336.3</v>
      </c>
      <c r="DZ851" s="407"/>
      <c r="EA851" s="407">
        <v>0</v>
      </c>
      <c r="EB851" s="407"/>
      <c r="EC851" s="407">
        <v>-5138.485188231657</v>
      </c>
      <c r="ED851" s="407"/>
      <c r="EE851" s="407">
        <v>0</v>
      </c>
      <c r="EF851" s="407">
        <v>0</v>
      </c>
      <c r="EG851" s="407"/>
      <c r="EH851" s="407">
        <v>0</v>
      </c>
      <c r="EI851" s="407">
        <v>0</v>
      </c>
      <c r="EJ851" s="407">
        <v>0</v>
      </c>
      <c r="EK851" s="407">
        <v>0</v>
      </c>
      <c r="EL851" s="407">
        <v>0</v>
      </c>
      <c r="EM851" s="407"/>
      <c r="EN851" s="407"/>
      <c r="EO851" s="407">
        <v>0</v>
      </c>
      <c r="EP851" s="407">
        <v>0</v>
      </c>
      <c r="EQ851" s="407"/>
      <c r="ER851" s="407">
        <v>0</v>
      </c>
      <c r="ES851" s="407"/>
      <c r="ET851" s="407">
        <v>0</v>
      </c>
      <c r="EU851" s="407"/>
      <c r="EV851" s="407">
        <v>246</v>
      </c>
      <c r="EW851" s="407"/>
      <c r="EX851" s="407"/>
      <c r="EY851" s="407"/>
      <c r="EZ851" s="407"/>
      <c r="FA851" s="407">
        <v>0</v>
      </c>
      <c r="FB851" s="407"/>
      <c r="FC851" s="407"/>
      <c r="FD851" s="407"/>
      <c r="FE851" s="407"/>
      <c r="FF851" s="407">
        <v>0</v>
      </c>
      <c r="FG851" s="407">
        <v>0</v>
      </c>
      <c r="FH851" s="407">
        <v>0</v>
      </c>
      <c r="FI851" s="407">
        <v>0</v>
      </c>
    </row>
    <row r="852" spans="1:165">
      <c r="A852" s="407">
        <v>883</v>
      </c>
      <c r="B852" s="407" t="s">
        <v>1090</v>
      </c>
      <c r="C852" s="407" t="s">
        <v>1044</v>
      </c>
      <c r="D852" s="407" t="s">
        <v>650</v>
      </c>
      <c r="E852" s="407" t="s">
        <v>97</v>
      </c>
      <c r="F852" s="407" t="s">
        <v>97</v>
      </c>
      <c r="G852" s="407" t="s">
        <v>97</v>
      </c>
      <c r="H852" s="407" t="s">
        <v>2336</v>
      </c>
      <c r="I852" s="407" t="s">
        <v>97</v>
      </c>
      <c r="J852" s="407" t="s">
        <v>2329</v>
      </c>
      <c r="K852" s="818">
        <v>44621</v>
      </c>
      <c r="L852" s="407">
        <v>561</v>
      </c>
      <c r="M852" s="407">
        <v>280.5</v>
      </c>
      <c r="N852" s="407">
        <v>0</v>
      </c>
      <c r="O852" s="407">
        <v>0</v>
      </c>
      <c r="P852" s="407">
        <v>0</v>
      </c>
      <c r="Q852" s="407">
        <v>0</v>
      </c>
      <c r="R852" s="407">
        <v>13.8</v>
      </c>
      <c r="S852" s="407"/>
      <c r="T852" s="407"/>
      <c r="U852" s="407">
        <v>7741.8</v>
      </c>
      <c r="V852" s="407"/>
      <c r="W852" s="407">
        <v>7741.8</v>
      </c>
      <c r="X852" s="407">
        <v>3640.8900000000003</v>
      </c>
      <c r="Y852" s="407">
        <v>0</v>
      </c>
      <c r="Z852" s="407">
        <v>0</v>
      </c>
      <c r="AA852" s="407">
        <v>0</v>
      </c>
      <c r="AB852" s="407">
        <v>0</v>
      </c>
      <c r="AC852" s="407">
        <v>0</v>
      </c>
      <c r="AD852" s="407">
        <v>0</v>
      </c>
      <c r="AE852" s="407">
        <v>7730.7609953131432</v>
      </c>
      <c r="AF852" s="407"/>
      <c r="AG852" s="407"/>
      <c r="AH852" s="407"/>
      <c r="AI852" s="407">
        <v>0</v>
      </c>
      <c r="AJ852" s="407">
        <v>0</v>
      </c>
      <c r="AK852" s="407">
        <v>0</v>
      </c>
      <c r="AL852" s="407">
        <v>0</v>
      </c>
      <c r="AM852" s="407"/>
      <c r="AN852" s="407">
        <v>12.678152109374436</v>
      </c>
      <c r="AO852" s="407">
        <v>0</v>
      </c>
      <c r="AP852" s="407">
        <v>0</v>
      </c>
      <c r="AQ852" s="407">
        <v>0</v>
      </c>
      <c r="AR852" s="407">
        <v>0</v>
      </c>
      <c r="AS852" s="407"/>
      <c r="AT852" s="407"/>
      <c r="AU852" s="407">
        <v>0</v>
      </c>
      <c r="AV852" s="407">
        <v>0</v>
      </c>
      <c r="AW852" s="407">
        <v>0</v>
      </c>
      <c r="AX852" s="407"/>
      <c r="AY852" s="407"/>
      <c r="AZ852" s="407">
        <v>0</v>
      </c>
      <c r="BA852" s="407"/>
      <c r="BB852" s="407">
        <v>0</v>
      </c>
      <c r="BC852" s="407">
        <v>0</v>
      </c>
      <c r="BD852" s="407">
        <v>0</v>
      </c>
      <c r="BE852" s="407">
        <v>0</v>
      </c>
      <c r="BF852" s="407"/>
      <c r="BG852" s="407">
        <v>0</v>
      </c>
      <c r="BH852" s="407">
        <v>0</v>
      </c>
      <c r="BI852" s="407">
        <v>15.6</v>
      </c>
      <c r="BJ852" s="407">
        <v>0</v>
      </c>
      <c r="BK852" s="407">
        <v>0</v>
      </c>
      <c r="BL852" s="407">
        <v>0</v>
      </c>
      <c r="BM852" s="407"/>
      <c r="BN852" s="407"/>
      <c r="BO852" s="407">
        <v>1820.4450000000002</v>
      </c>
      <c r="BP852" s="407"/>
      <c r="BQ852" s="407"/>
      <c r="BR852" s="407"/>
      <c r="BS852" s="407"/>
      <c r="BT852" s="407"/>
      <c r="BU852" s="407"/>
      <c r="BV852" s="407">
        <v>0</v>
      </c>
      <c r="BW852" s="407"/>
      <c r="BX852" s="407"/>
      <c r="BY852" s="407"/>
      <c r="BZ852" s="407"/>
      <c r="CA852" s="407"/>
      <c r="CB852" s="407"/>
      <c r="CC852" s="407"/>
      <c r="CD852" s="407"/>
      <c r="CE852" s="407"/>
      <c r="CF852" s="407"/>
      <c r="CG852" s="407"/>
      <c r="CH852" s="407"/>
      <c r="CI852" s="407">
        <v>1820.4450000000002</v>
      </c>
      <c r="CJ852" s="407">
        <v>-2050.4850000000006</v>
      </c>
      <c r="CK852" s="407"/>
      <c r="CL852" s="407"/>
      <c r="CM852" s="407"/>
      <c r="CN852" s="407"/>
      <c r="CO852" s="407">
        <v>-4100.91</v>
      </c>
      <c r="CP852" s="407">
        <v>0</v>
      </c>
      <c r="CQ852" s="407">
        <v>31</v>
      </c>
      <c r="CR852" s="407">
        <v>-151.99665488534006</v>
      </c>
      <c r="CS852" s="407">
        <v>0</v>
      </c>
      <c r="CT852" s="407">
        <v>0</v>
      </c>
      <c r="CU852" s="407">
        <v>0</v>
      </c>
      <c r="CV852" s="407">
        <v>0</v>
      </c>
      <c r="CW852" s="407"/>
      <c r="CX852" s="407"/>
      <c r="CY852" s="407"/>
      <c r="CZ852" s="407">
        <v>0</v>
      </c>
      <c r="DA852" s="407">
        <v>0</v>
      </c>
      <c r="DB852" s="407">
        <v>0</v>
      </c>
      <c r="DC852" s="407"/>
      <c r="DD852" s="407"/>
      <c r="DE852" s="407">
        <v>0</v>
      </c>
      <c r="DF852" s="407">
        <v>0</v>
      </c>
      <c r="DG852" s="407">
        <v>0</v>
      </c>
      <c r="DH852" s="407">
        <v>0</v>
      </c>
      <c r="DI852" s="407">
        <v>0</v>
      </c>
      <c r="DJ852" s="407"/>
      <c r="DK852" s="407">
        <v>0</v>
      </c>
      <c r="DL852" s="407">
        <v>0</v>
      </c>
      <c r="DM852" s="407"/>
      <c r="DN852" s="407">
        <v>0</v>
      </c>
      <c r="DO852" s="407">
        <v>0</v>
      </c>
      <c r="DP852" s="407">
        <v>-0.80782124477702943</v>
      </c>
      <c r="DQ852" s="407">
        <v>0</v>
      </c>
      <c r="DR852" s="407">
        <v>-151.18883364056305</v>
      </c>
      <c r="DS852" s="407"/>
      <c r="DT852" s="407"/>
      <c r="DU852" s="407">
        <v>7730.7609953131432</v>
      </c>
      <c r="DV852" s="407"/>
      <c r="DW852" s="407">
        <v>0</v>
      </c>
      <c r="DX852" s="407">
        <v>0</v>
      </c>
      <c r="DY852" s="407">
        <v>-4100.91</v>
      </c>
      <c r="DZ852" s="407"/>
      <c r="EA852" s="407">
        <v>0</v>
      </c>
      <c r="EB852" s="407"/>
      <c r="EC852" s="407">
        <v>-3948.890672051999</v>
      </c>
      <c r="ED852" s="407"/>
      <c r="EE852" s="407">
        <v>0</v>
      </c>
      <c r="EF852" s="407">
        <v>0</v>
      </c>
      <c r="EG852" s="407"/>
      <c r="EH852" s="407">
        <v>0</v>
      </c>
      <c r="EI852" s="407">
        <v>0</v>
      </c>
      <c r="EJ852" s="407">
        <v>0</v>
      </c>
      <c r="EK852" s="407">
        <v>0</v>
      </c>
      <c r="EL852" s="407">
        <v>0</v>
      </c>
      <c r="EM852" s="407"/>
      <c r="EN852" s="407"/>
      <c r="EO852" s="407">
        <v>0</v>
      </c>
      <c r="EP852" s="407">
        <v>0</v>
      </c>
      <c r="EQ852" s="407"/>
      <c r="ER852" s="407">
        <v>0</v>
      </c>
      <c r="ES852" s="407"/>
      <c r="ET852" s="407">
        <v>0</v>
      </c>
      <c r="EU852" s="407"/>
      <c r="EV852" s="407">
        <v>246</v>
      </c>
      <c r="EW852" s="407"/>
      <c r="EX852" s="407"/>
      <c r="EY852" s="407"/>
      <c r="EZ852" s="407"/>
      <c r="FA852" s="407">
        <v>0</v>
      </c>
      <c r="FB852" s="407"/>
      <c r="FC852" s="407"/>
      <c r="FD852" s="407"/>
      <c r="FE852" s="407"/>
      <c r="FF852" s="407">
        <v>0</v>
      </c>
      <c r="FG852" s="407">
        <v>0</v>
      </c>
      <c r="FH852" s="407">
        <v>0</v>
      </c>
      <c r="FI852" s="407">
        <v>0</v>
      </c>
    </row>
    <row r="853" spans="1:165">
      <c r="A853" s="407">
        <v>884</v>
      </c>
      <c r="B853" s="407" t="s">
        <v>1090</v>
      </c>
      <c r="C853" s="407" t="s">
        <v>1044</v>
      </c>
      <c r="D853" s="407" t="s">
        <v>650</v>
      </c>
      <c r="E853" s="407" t="s">
        <v>97</v>
      </c>
      <c r="F853" s="407" t="s">
        <v>97</v>
      </c>
      <c r="G853" s="407" t="s">
        <v>97</v>
      </c>
      <c r="H853" s="407" t="s">
        <v>2337</v>
      </c>
      <c r="I853" s="407" t="s">
        <v>97</v>
      </c>
      <c r="J853" s="407" t="s">
        <v>2329</v>
      </c>
      <c r="K853" s="818">
        <v>44621</v>
      </c>
      <c r="L853" s="407">
        <v>379</v>
      </c>
      <c r="M853" s="407">
        <v>189.5</v>
      </c>
      <c r="N853" s="407">
        <v>0</v>
      </c>
      <c r="O853" s="407">
        <v>0</v>
      </c>
      <c r="P853" s="407">
        <v>0</v>
      </c>
      <c r="Q853" s="407">
        <v>0</v>
      </c>
      <c r="R853" s="407">
        <v>13.8</v>
      </c>
      <c r="S853" s="407"/>
      <c r="T853" s="407"/>
      <c r="U853" s="407">
        <v>5230.2</v>
      </c>
      <c r="V853" s="407"/>
      <c r="W853" s="407">
        <v>5230.2</v>
      </c>
      <c r="X853" s="407">
        <v>2459.71</v>
      </c>
      <c r="Y853" s="407">
        <v>0</v>
      </c>
      <c r="Z853" s="407">
        <v>0</v>
      </c>
      <c r="AA853" s="407">
        <v>0</v>
      </c>
      <c r="AB853" s="407">
        <v>0</v>
      </c>
      <c r="AC853" s="407">
        <v>0</v>
      </c>
      <c r="AD853" s="407">
        <v>0</v>
      </c>
      <c r="AE853" s="407">
        <v>5222.742276691054</v>
      </c>
      <c r="AF853" s="407"/>
      <c r="AG853" s="407"/>
      <c r="AH853" s="407"/>
      <c r="AI853" s="407">
        <v>0</v>
      </c>
      <c r="AJ853" s="407">
        <v>0</v>
      </c>
      <c r="AK853" s="407">
        <v>0</v>
      </c>
      <c r="AL853" s="407">
        <v>0</v>
      </c>
      <c r="AM853" s="407"/>
      <c r="AN853" s="407">
        <v>8.5650974143545646</v>
      </c>
      <c r="AO853" s="407">
        <v>0</v>
      </c>
      <c r="AP853" s="407">
        <v>0</v>
      </c>
      <c r="AQ853" s="407">
        <v>0</v>
      </c>
      <c r="AR853" s="407">
        <v>0</v>
      </c>
      <c r="AS853" s="407"/>
      <c r="AT853" s="407"/>
      <c r="AU853" s="407">
        <v>0</v>
      </c>
      <c r="AV853" s="407">
        <v>0</v>
      </c>
      <c r="AW853" s="407">
        <v>0</v>
      </c>
      <c r="AX853" s="407"/>
      <c r="AY853" s="407"/>
      <c r="AZ853" s="407">
        <v>0</v>
      </c>
      <c r="BA853" s="407"/>
      <c r="BB853" s="407">
        <v>0</v>
      </c>
      <c r="BC853" s="407">
        <v>0</v>
      </c>
      <c r="BD853" s="407">
        <v>0</v>
      </c>
      <c r="BE853" s="407">
        <v>0</v>
      </c>
      <c r="BF853" s="407"/>
      <c r="BG853" s="407">
        <v>0</v>
      </c>
      <c r="BH853" s="407">
        <v>0</v>
      </c>
      <c r="BI853" s="407">
        <v>10.54</v>
      </c>
      <c r="BJ853" s="407">
        <v>0</v>
      </c>
      <c r="BK853" s="407">
        <v>0</v>
      </c>
      <c r="BL853" s="407">
        <v>0</v>
      </c>
      <c r="BM853" s="407"/>
      <c r="BN853" s="407"/>
      <c r="BO853" s="407">
        <v>1229.855</v>
      </c>
      <c r="BP853" s="407"/>
      <c r="BQ853" s="407"/>
      <c r="BR853" s="407"/>
      <c r="BS853" s="407"/>
      <c r="BT853" s="407"/>
      <c r="BU853" s="407"/>
      <c r="BV853" s="407">
        <v>0</v>
      </c>
      <c r="BW853" s="407"/>
      <c r="BX853" s="407"/>
      <c r="BY853" s="407"/>
      <c r="BZ853" s="407"/>
      <c r="CA853" s="407"/>
      <c r="CB853" s="407"/>
      <c r="CC853" s="407"/>
      <c r="CD853" s="407"/>
      <c r="CE853" s="407"/>
      <c r="CF853" s="407"/>
      <c r="CG853" s="407"/>
      <c r="CH853" s="407"/>
      <c r="CI853" s="407">
        <v>1229.855</v>
      </c>
      <c r="CJ853" s="407">
        <v>-1385.2750000000005</v>
      </c>
      <c r="CK853" s="407"/>
      <c r="CL853" s="407"/>
      <c r="CM853" s="407"/>
      <c r="CN853" s="407"/>
      <c r="CO853" s="407">
        <v>-2770.4900000000002</v>
      </c>
      <c r="CP853" s="407">
        <v>0</v>
      </c>
      <c r="CQ853" s="407">
        <v>31</v>
      </c>
      <c r="CR853" s="407">
        <v>-102.68579715070211</v>
      </c>
      <c r="CS853" s="407">
        <v>0</v>
      </c>
      <c r="CT853" s="407">
        <v>0</v>
      </c>
      <c r="CU853" s="407">
        <v>0</v>
      </c>
      <c r="CV853" s="407">
        <v>0</v>
      </c>
      <c r="CW853" s="407"/>
      <c r="CX853" s="407"/>
      <c r="CY853" s="407"/>
      <c r="CZ853" s="407">
        <v>0</v>
      </c>
      <c r="DA853" s="407">
        <v>0</v>
      </c>
      <c r="DB853" s="407">
        <v>0</v>
      </c>
      <c r="DC853" s="407"/>
      <c r="DD853" s="407"/>
      <c r="DE853" s="407">
        <v>0</v>
      </c>
      <c r="DF853" s="407">
        <v>0</v>
      </c>
      <c r="DG853" s="407">
        <v>0</v>
      </c>
      <c r="DH853" s="407">
        <v>0</v>
      </c>
      <c r="DI853" s="407">
        <v>0</v>
      </c>
      <c r="DJ853" s="407"/>
      <c r="DK853" s="407">
        <v>0</v>
      </c>
      <c r="DL853" s="407">
        <v>0</v>
      </c>
      <c r="DM853" s="407"/>
      <c r="DN853" s="407">
        <v>0</v>
      </c>
      <c r="DO853" s="407">
        <v>0</v>
      </c>
      <c r="DP853" s="407">
        <v>-0.5457473293591697</v>
      </c>
      <c r="DQ853" s="407">
        <v>0</v>
      </c>
      <c r="DR853" s="407">
        <v>-102.14004982134294</v>
      </c>
      <c r="DS853" s="407"/>
      <c r="DT853" s="407"/>
      <c r="DU853" s="407">
        <v>5222.742276691054</v>
      </c>
      <c r="DV853" s="407"/>
      <c r="DW853" s="407">
        <v>0</v>
      </c>
      <c r="DX853" s="407">
        <v>0</v>
      </c>
      <c r="DY853" s="407">
        <v>-2770.49</v>
      </c>
      <c r="DZ853" s="407"/>
      <c r="EA853" s="407">
        <v>0</v>
      </c>
      <c r="EB853" s="407"/>
      <c r="EC853" s="407">
        <v>-2667.7888853969835</v>
      </c>
      <c r="ED853" s="407"/>
      <c r="EE853" s="407">
        <v>0</v>
      </c>
      <c r="EF853" s="407">
        <v>0</v>
      </c>
      <c r="EG853" s="407"/>
      <c r="EH853" s="407">
        <v>0</v>
      </c>
      <c r="EI853" s="407">
        <v>0</v>
      </c>
      <c r="EJ853" s="407">
        <v>0</v>
      </c>
      <c r="EK853" s="407">
        <v>0</v>
      </c>
      <c r="EL853" s="407">
        <v>0</v>
      </c>
      <c r="EM853" s="407"/>
      <c r="EN853" s="407"/>
      <c r="EO853" s="407">
        <v>0</v>
      </c>
      <c r="EP853" s="407">
        <v>0</v>
      </c>
      <c r="EQ853" s="407"/>
      <c r="ER853" s="407">
        <v>0</v>
      </c>
      <c r="ES853" s="407"/>
      <c r="ET853" s="407">
        <v>0</v>
      </c>
      <c r="EU853" s="407"/>
      <c r="EV853" s="407">
        <v>246</v>
      </c>
      <c r="EW853" s="407"/>
      <c r="EX853" s="407"/>
      <c r="EY853" s="407"/>
      <c r="EZ853" s="407"/>
      <c r="FA853" s="407">
        <v>0</v>
      </c>
      <c r="FB853" s="407"/>
      <c r="FC853" s="407"/>
      <c r="FD853" s="407"/>
      <c r="FE853" s="407"/>
      <c r="FF853" s="407">
        <v>0</v>
      </c>
      <c r="FG853" s="407">
        <v>0</v>
      </c>
      <c r="FH853" s="407">
        <v>0</v>
      </c>
      <c r="FI853" s="407">
        <v>0</v>
      </c>
    </row>
    <row r="854" spans="1:165">
      <c r="A854" s="407">
        <v>885</v>
      </c>
      <c r="B854" s="407" t="s">
        <v>1090</v>
      </c>
      <c r="C854" s="407" t="s">
        <v>1044</v>
      </c>
      <c r="D854" s="407" t="s">
        <v>650</v>
      </c>
      <c r="E854" s="407" t="s">
        <v>97</v>
      </c>
      <c r="F854" s="407" t="s">
        <v>97</v>
      </c>
      <c r="G854" s="407" t="s">
        <v>97</v>
      </c>
      <c r="H854" s="407" t="s">
        <v>2338</v>
      </c>
      <c r="I854" s="407" t="s">
        <v>97</v>
      </c>
      <c r="J854" s="407" t="s">
        <v>2329</v>
      </c>
      <c r="K854" s="818">
        <v>44621</v>
      </c>
      <c r="L854" s="407">
        <v>718</v>
      </c>
      <c r="M854" s="407">
        <v>359</v>
      </c>
      <c r="N854" s="407">
        <v>0</v>
      </c>
      <c r="O854" s="407">
        <v>0</v>
      </c>
      <c r="P854" s="407">
        <v>0</v>
      </c>
      <c r="Q854" s="407">
        <v>0</v>
      </c>
      <c r="R854" s="407">
        <v>13.8</v>
      </c>
      <c r="S854" s="407"/>
      <c r="T854" s="407"/>
      <c r="U854" s="407">
        <v>9908.4</v>
      </c>
      <c r="V854" s="407"/>
      <c r="W854" s="407">
        <v>9908.4</v>
      </c>
      <c r="X854" s="407">
        <v>4659.82</v>
      </c>
      <c r="Y854" s="407">
        <v>0</v>
      </c>
      <c r="Z854" s="407">
        <v>0</v>
      </c>
      <c r="AA854" s="407">
        <v>0</v>
      </c>
      <c r="AB854" s="407">
        <v>0</v>
      </c>
      <c r="AC854" s="407">
        <v>0</v>
      </c>
      <c r="AD854" s="407">
        <v>0</v>
      </c>
      <c r="AE854" s="407">
        <v>9894.2716481904408</v>
      </c>
      <c r="AF854" s="407"/>
      <c r="AG854" s="407"/>
      <c r="AH854" s="407"/>
      <c r="AI854" s="407">
        <v>0</v>
      </c>
      <c r="AJ854" s="407">
        <v>0</v>
      </c>
      <c r="AK854" s="407">
        <v>0</v>
      </c>
      <c r="AL854" s="407">
        <v>0</v>
      </c>
      <c r="AM854" s="407"/>
      <c r="AN854" s="407">
        <v>16.226226763869597</v>
      </c>
      <c r="AO854" s="407">
        <v>0</v>
      </c>
      <c r="AP854" s="407">
        <v>0</v>
      </c>
      <c r="AQ854" s="407">
        <v>0</v>
      </c>
      <c r="AR854" s="407">
        <v>0</v>
      </c>
      <c r="AS854" s="407"/>
      <c r="AT854" s="407"/>
      <c r="AU854" s="407">
        <v>0</v>
      </c>
      <c r="AV854" s="407">
        <v>0</v>
      </c>
      <c r="AW854" s="407">
        <v>0</v>
      </c>
      <c r="AX854" s="407"/>
      <c r="AY854" s="407"/>
      <c r="AZ854" s="407">
        <v>0</v>
      </c>
      <c r="BA854" s="407"/>
      <c r="BB854" s="407">
        <v>0</v>
      </c>
      <c r="BC854" s="407">
        <v>0</v>
      </c>
      <c r="BD854" s="407">
        <v>0</v>
      </c>
      <c r="BE854" s="407">
        <v>0</v>
      </c>
      <c r="BF854" s="407"/>
      <c r="BG854" s="407">
        <v>0</v>
      </c>
      <c r="BH854" s="407">
        <v>0</v>
      </c>
      <c r="BI854" s="407">
        <v>19.96</v>
      </c>
      <c r="BJ854" s="407">
        <v>0</v>
      </c>
      <c r="BK854" s="407">
        <v>0</v>
      </c>
      <c r="BL854" s="407">
        <v>0</v>
      </c>
      <c r="BM854" s="407"/>
      <c r="BN854" s="407"/>
      <c r="BO854" s="407">
        <v>2329.91</v>
      </c>
      <c r="BP854" s="407"/>
      <c r="BQ854" s="407"/>
      <c r="BR854" s="407"/>
      <c r="BS854" s="407"/>
      <c r="BT854" s="407"/>
      <c r="BU854" s="407"/>
      <c r="BV854" s="407">
        <v>0</v>
      </c>
      <c r="BW854" s="407"/>
      <c r="BX854" s="407"/>
      <c r="BY854" s="407"/>
      <c r="BZ854" s="407"/>
      <c r="CA854" s="407"/>
      <c r="CB854" s="407"/>
      <c r="CC854" s="407"/>
      <c r="CD854" s="407"/>
      <c r="CE854" s="407"/>
      <c r="CF854" s="407"/>
      <c r="CG854" s="407"/>
      <c r="CH854" s="407"/>
      <c r="CI854" s="407">
        <v>2329.91</v>
      </c>
      <c r="CJ854" s="407">
        <v>-2624.3200000000006</v>
      </c>
      <c r="CK854" s="407"/>
      <c r="CL854" s="407"/>
      <c r="CM854" s="407"/>
      <c r="CN854" s="407"/>
      <c r="CO854" s="407">
        <v>-5248.58</v>
      </c>
      <c r="CP854" s="407">
        <v>0</v>
      </c>
      <c r="CQ854" s="407">
        <v>31</v>
      </c>
      <c r="CR854" s="407">
        <v>-194.53404315093434</v>
      </c>
      <c r="CS854" s="407">
        <v>0</v>
      </c>
      <c r="CT854" s="407">
        <v>0</v>
      </c>
      <c r="CU854" s="407">
        <v>0</v>
      </c>
      <c r="CV854" s="407">
        <v>0</v>
      </c>
      <c r="CW854" s="407"/>
      <c r="CX854" s="407"/>
      <c r="CY854" s="407"/>
      <c r="CZ854" s="407">
        <v>0</v>
      </c>
      <c r="DA854" s="407">
        <v>0</v>
      </c>
      <c r="DB854" s="407">
        <v>0</v>
      </c>
      <c r="DC854" s="407"/>
      <c r="DD854" s="407"/>
      <c r="DE854" s="407">
        <v>0</v>
      </c>
      <c r="DF854" s="407">
        <v>0</v>
      </c>
      <c r="DG854" s="407">
        <v>0</v>
      </c>
      <c r="DH854" s="407">
        <v>0</v>
      </c>
      <c r="DI854" s="407">
        <v>0</v>
      </c>
      <c r="DJ854" s="407"/>
      <c r="DK854" s="407">
        <v>0</v>
      </c>
      <c r="DL854" s="407">
        <v>0</v>
      </c>
      <c r="DM854" s="407"/>
      <c r="DN854" s="407">
        <v>0</v>
      </c>
      <c r="DO854" s="407">
        <v>0</v>
      </c>
      <c r="DP854" s="407">
        <v>-1.0338959959891376</v>
      </c>
      <c r="DQ854" s="407">
        <v>0</v>
      </c>
      <c r="DR854" s="407">
        <v>-193.50014715494521</v>
      </c>
      <c r="DS854" s="407"/>
      <c r="DT854" s="407"/>
      <c r="DU854" s="407">
        <v>9894.2716481904408</v>
      </c>
      <c r="DV854" s="407"/>
      <c r="DW854" s="407">
        <v>0</v>
      </c>
      <c r="DX854" s="407">
        <v>0</v>
      </c>
      <c r="DY854" s="407">
        <v>-5248.58</v>
      </c>
      <c r="DZ854" s="407"/>
      <c r="EA854" s="407">
        <v>0</v>
      </c>
      <c r="EB854" s="407"/>
      <c r="EC854" s="407">
        <v>-5054.0169385620957</v>
      </c>
      <c r="ED854" s="407"/>
      <c r="EE854" s="407">
        <v>0</v>
      </c>
      <c r="EF854" s="407">
        <v>0</v>
      </c>
      <c r="EG854" s="407"/>
      <c r="EH854" s="407">
        <v>0</v>
      </c>
      <c r="EI854" s="407">
        <v>0</v>
      </c>
      <c r="EJ854" s="407">
        <v>0</v>
      </c>
      <c r="EK854" s="407">
        <v>0</v>
      </c>
      <c r="EL854" s="407">
        <v>0</v>
      </c>
      <c r="EM854" s="407"/>
      <c r="EN854" s="407"/>
      <c r="EO854" s="407">
        <v>0</v>
      </c>
      <c r="EP854" s="407">
        <v>0</v>
      </c>
      <c r="EQ854" s="407"/>
      <c r="ER854" s="407">
        <v>0</v>
      </c>
      <c r="ES854" s="407"/>
      <c r="ET854" s="407">
        <v>0</v>
      </c>
      <c r="EU854" s="407"/>
      <c r="EV854" s="407">
        <v>246</v>
      </c>
      <c r="EW854" s="407"/>
      <c r="EX854" s="407"/>
      <c r="EY854" s="407"/>
      <c r="EZ854" s="407"/>
      <c r="FA854" s="407">
        <v>0</v>
      </c>
      <c r="FB854" s="407"/>
      <c r="FC854" s="407"/>
      <c r="FD854" s="407"/>
      <c r="FE854" s="407"/>
      <c r="FF854" s="407">
        <v>0</v>
      </c>
      <c r="FG854" s="407">
        <v>0</v>
      </c>
      <c r="FH854" s="407">
        <v>0</v>
      </c>
      <c r="FI854" s="407">
        <v>0</v>
      </c>
    </row>
    <row r="855" spans="1:165">
      <c r="A855" s="407">
        <v>886</v>
      </c>
      <c r="B855" s="407" t="s">
        <v>1090</v>
      </c>
      <c r="C855" s="407" t="s">
        <v>1044</v>
      </c>
      <c r="D855" s="407" t="s">
        <v>650</v>
      </c>
      <c r="E855" s="407" t="s">
        <v>97</v>
      </c>
      <c r="F855" s="407" t="s">
        <v>97</v>
      </c>
      <c r="G855" s="407" t="s">
        <v>97</v>
      </c>
      <c r="H855" s="407" t="s">
        <v>2328</v>
      </c>
      <c r="I855" s="407" t="s">
        <v>97</v>
      </c>
      <c r="J855" s="407" t="s">
        <v>2329</v>
      </c>
      <c r="K855" s="818">
        <v>44652</v>
      </c>
      <c r="L855" s="407">
        <v>880</v>
      </c>
      <c r="M855" s="407">
        <v>440</v>
      </c>
      <c r="N855" s="407">
        <v>0</v>
      </c>
      <c r="O855" s="407">
        <v>0</v>
      </c>
      <c r="P855" s="407">
        <v>0</v>
      </c>
      <c r="Q855" s="407">
        <v>0</v>
      </c>
      <c r="R855" s="407">
        <v>13.8</v>
      </c>
      <c r="S855" s="407"/>
      <c r="T855" s="407"/>
      <c r="U855" s="407">
        <v>12144</v>
      </c>
      <c r="V855" s="407"/>
      <c r="W855" s="407">
        <v>12144</v>
      </c>
      <c r="X855" s="407">
        <v>5711.2</v>
      </c>
      <c r="Y855" s="407">
        <v>0</v>
      </c>
      <c r="Z855" s="407">
        <v>0</v>
      </c>
      <c r="AA855" s="407">
        <v>0</v>
      </c>
      <c r="AB855" s="407">
        <v>0</v>
      </c>
      <c r="AC855" s="407">
        <v>0</v>
      </c>
      <c r="AD855" s="407">
        <v>0</v>
      </c>
      <c r="AE855" s="407">
        <v>12126.683914216695</v>
      </c>
      <c r="AF855" s="407"/>
      <c r="AG855" s="407"/>
      <c r="AH855" s="407"/>
      <c r="AI855" s="407">
        <v>0</v>
      </c>
      <c r="AJ855" s="407">
        <v>0</v>
      </c>
      <c r="AK855" s="407">
        <v>0</v>
      </c>
      <c r="AL855" s="407">
        <v>0</v>
      </c>
      <c r="AM855" s="407"/>
      <c r="AN855" s="407">
        <v>19.887297426469704</v>
      </c>
      <c r="AO855" s="407">
        <v>0</v>
      </c>
      <c r="AP855" s="407">
        <v>0</v>
      </c>
      <c r="AQ855" s="407">
        <v>0</v>
      </c>
      <c r="AR855" s="407">
        <v>0</v>
      </c>
      <c r="AS855" s="407"/>
      <c r="AT855" s="407"/>
      <c r="AU855" s="407">
        <v>0</v>
      </c>
      <c r="AV855" s="407">
        <v>0</v>
      </c>
      <c r="AW855" s="407">
        <v>0</v>
      </c>
      <c r="AX855" s="407"/>
      <c r="AY855" s="407"/>
      <c r="AZ855" s="407">
        <v>0</v>
      </c>
      <c r="BA855" s="407"/>
      <c r="BB855" s="407">
        <v>0</v>
      </c>
      <c r="BC855" s="407">
        <v>0</v>
      </c>
      <c r="BD855" s="407">
        <v>0</v>
      </c>
      <c r="BE855" s="407">
        <v>0</v>
      </c>
      <c r="BF855" s="407"/>
      <c r="BG855" s="407">
        <v>0</v>
      </c>
      <c r="BH855" s="407">
        <v>0</v>
      </c>
      <c r="BI855" s="407">
        <v>34.380000000000003</v>
      </c>
      <c r="BJ855" s="407">
        <v>0</v>
      </c>
      <c r="BK855" s="407">
        <v>0</v>
      </c>
      <c r="BL855" s="407">
        <v>0</v>
      </c>
      <c r="BM855" s="407"/>
      <c r="BN855" s="407"/>
      <c r="BO855" s="407">
        <v>2855.6</v>
      </c>
      <c r="BP855" s="407"/>
      <c r="BQ855" s="407"/>
      <c r="BR855" s="407"/>
      <c r="BS855" s="407"/>
      <c r="BT855" s="407"/>
      <c r="BU855" s="407"/>
      <c r="BV855" s="407">
        <v>0</v>
      </c>
      <c r="BW855" s="407"/>
      <c r="BX855" s="407"/>
      <c r="BY855" s="407"/>
      <c r="BZ855" s="407"/>
      <c r="CA855" s="407"/>
      <c r="CB855" s="407"/>
      <c r="CC855" s="407"/>
      <c r="CD855" s="407"/>
      <c r="CE855" s="407"/>
      <c r="CF855" s="407"/>
      <c r="CG855" s="407"/>
      <c r="CH855" s="407"/>
      <c r="CI855" s="407">
        <v>2855.6</v>
      </c>
      <c r="CJ855" s="407">
        <v>-3216.4300000000007</v>
      </c>
      <c r="CK855" s="407"/>
      <c r="CL855" s="407"/>
      <c r="CM855" s="407"/>
      <c r="CN855" s="407"/>
      <c r="CO855" s="407">
        <v>-6432.8</v>
      </c>
      <c r="CP855" s="407">
        <v>0</v>
      </c>
      <c r="CQ855" s="407">
        <v>30</v>
      </c>
      <c r="CR855" s="407">
        <v>-238.42612531033737</v>
      </c>
      <c r="CS855" s="407">
        <v>0</v>
      </c>
      <c r="CT855" s="407">
        <v>0</v>
      </c>
      <c r="CU855" s="407">
        <v>0</v>
      </c>
      <c r="CV855" s="407">
        <v>0</v>
      </c>
      <c r="CW855" s="407"/>
      <c r="CX855" s="407"/>
      <c r="CY855" s="407"/>
      <c r="CZ855" s="407">
        <v>0</v>
      </c>
      <c r="DA855" s="407">
        <v>0</v>
      </c>
      <c r="DB855" s="407">
        <v>0</v>
      </c>
      <c r="DC855" s="407"/>
      <c r="DD855" s="407"/>
      <c r="DE855" s="407">
        <v>0</v>
      </c>
      <c r="DF855" s="407">
        <v>0</v>
      </c>
      <c r="DG855" s="407">
        <v>0</v>
      </c>
      <c r="DH855" s="407">
        <v>0</v>
      </c>
      <c r="DI855" s="407">
        <v>0</v>
      </c>
      <c r="DJ855" s="407"/>
      <c r="DK855" s="407">
        <v>0</v>
      </c>
      <c r="DL855" s="407">
        <v>0</v>
      </c>
      <c r="DM855" s="407"/>
      <c r="DN855" s="407">
        <v>0</v>
      </c>
      <c r="DO855" s="407">
        <v>0</v>
      </c>
      <c r="DP855" s="407">
        <v>-1.2671705800424</v>
      </c>
      <c r="DQ855" s="407">
        <v>0</v>
      </c>
      <c r="DR855" s="407">
        <v>-237.15895473029497</v>
      </c>
      <c r="DS855" s="407"/>
      <c r="DT855" s="407"/>
      <c r="DU855" s="407">
        <v>12126.683914216695</v>
      </c>
      <c r="DV855" s="407"/>
      <c r="DW855" s="407">
        <v>0</v>
      </c>
      <c r="DX855" s="407">
        <v>0</v>
      </c>
      <c r="DY855" s="407">
        <v>-6432.8</v>
      </c>
      <c r="DZ855" s="407"/>
      <c r="EA855" s="407">
        <v>0</v>
      </c>
      <c r="EB855" s="407"/>
      <c r="EC855" s="407">
        <v>-6194.3383091011747</v>
      </c>
      <c r="ED855" s="407"/>
      <c r="EE855" s="407">
        <v>0</v>
      </c>
      <c r="EF855" s="407">
        <v>0</v>
      </c>
      <c r="EG855" s="407"/>
      <c r="EH855" s="407">
        <v>0</v>
      </c>
      <c r="EI855" s="407">
        <v>0</v>
      </c>
      <c r="EJ855" s="407">
        <v>0</v>
      </c>
      <c r="EK855" s="407">
        <v>0</v>
      </c>
      <c r="EL855" s="407">
        <v>0</v>
      </c>
      <c r="EM855" s="407"/>
      <c r="EN855" s="407"/>
      <c r="EO855" s="407">
        <v>0</v>
      </c>
      <c r="EP855" s="407">
        <v>0</v>
      </c>
      <c r="EQ855" s="407"/>
      <c r="ER855" s="407">
        <v>0</v>
      </c>
      <c r="ES855" s="407"/>
      <c r="ET855" s="407">
        <v>0</v>
      </c>
      <c r="EU855" s="407"/>
      <c r="EV855" s="407">
        <v>246</v>
      </c>
      <c r="EW855" s="407"/>
      <c r="EX855" s="407"/>
      <c r="EY855" s="407"/>
      <c r="EZ855" s="407"/>
      <c r="FA855" s="407">
        <v>0</v>
      </c>
      <c r="FB855" s="407"/>
      <c r="FC855" s="407"/>
      <c r="FD855" s="407"/>
      <c r="FE855" s="407"/>
      <c r="FF855" s="407">
        <v>0</v>
      </c>
      <c r="FG855" s="407">
        <v>0</v>
      </c>
      <c r="FH855" s="407">
        <v>0</v>
      </c>
      <c r="FI855" s="407">
        <v>0</v>
      </c>
    </row>
    <row r="856" spans="1:165">
      <c r="A856" s="407">
        <v>887</v>
      </c>
      <c r="B856" s="407" t="s">
        <v>1090</v>
      </c>
      <c r="C856" s="407" t="s">
        <v>1044</v>
      </c>
      <c r="D856" s="407" t="s">
        <v>650</v>
      </c>
      <c r="E856" s="407" t="s">
        <v>97</v>
      </c>
      <c r="F856" s="407" t="s">
        <v>97</v>
      </c>
      <c r="G856" s="407" t="s">
        <v>97</v>
      </c>
      <c r="H856" s="407" t="s">
        <v>2330</v>
      </c>
      <c r="I856" s="407" t="s">
        <v>97</v>
      </c>
      <c r="J856" s="407" t="s">
        <v>2329</v>
      </c>
      <c r="K856" s="818">
        <v>44652</v>
      </c>
      <c r="L856" s="407">
        <v>520</v>
      </c>
      <c r="M856" s="407">
        <v>260</v>
      </c>
      <c r="N856" s="407">
        <v>0</v>
      </c>
      <c r="O856" s="407">
        <v>0</v>
      </c>
      <c r="P856" s="407">
        <v>0</v>
      </c>
      <c r="Q856" s="407">
        <v>0</v>
      </c>
      <c r="R856" s="407">
        <v>13.8</v>
      </c>
      <c r="S856" s="407"/>
      <c r="T856" s="407"/>
      <c r="U856" s="407">
        <v>7176</v>
      </c>
      <c r="V856" s="407"/>
      <c r="W856" s="407">
        <v>7176</v>
      </c>
      <c r="X856" s="407">
        <v>3374.8</v>
      </c>
      <c r="Y856" s="407">
        <v>0</v>
      </c>
      <c r="Z856" s="407">
        <v>0</v>
      </c>
      <c r="AA856" s="407">
        <v>0</v>
      </c>
      <c r="AB856" s="407">
        <v>0</v>
      </c>
      <c r="AC856" s="407">
        <v>0</v>
      </c>
      <c r="AD856" s="407">
        <v>0</v>
      </c>
      <c r="AE856" s="407">
        <v>7165.767767491684</v>
      </c>
      <c r="AF856" s="407"/>
      <c r="AG856" s="407"/>
      <c r="AH856" s="407"/>
      <c r="AI856" s="407">
        <v>0</v>
      </c>
      <c r="AJ856" s="407">
        <v>0</v>
      </c>
      <c r="AK856" s="407">
        <v>0</v>
      </c>
      <c r="AL856" s="407">
        <v>0</v>
      </c>
      <c r="AM856" s="407"/>
      <c r="AN856" s="407">
        <v>11.751584842913916</v>
      </c>
      <c r="AO856" s="407">
        <v>0</v>
      </c>
      <c r="AP856" s="407">
        <v>0</v>
      </c>
      <c r="AQ856" s="407">
        <v>0</v>
      </c>
      <c r="AR856" s="407">
        <v>0</v>
      </c>
      <c r="AS856" s="407"/>
      <c r="AT856" s="407"/>
      <c r="AU856" s="407">
        <v>0</v>
      </c>
      <c r="AV856" s="407">
        <v>0</v>
      </c>
      <c r="AW856" s="407">
        <v>0</v>
      </c>
      <c r="AX856" s="407"/>
      <c r="AY856" s="407"/>
      <c r="AZ856" s="407">
        <v>0</v>
      </c>
      <c r="BA856" s="407"/>
      <c r="BB856" s="407">
        <v>0</v>
      </c>
      <c r="BC856" s="407">
        <v>0</v>
      </c>
      <c r="BD856" s="407">
        <v>0</v>
      </c>
      <c r="BE856" s="407">
        <v>0</v>
      </c>
      <c r="BF856" s="407"/>
      <c r="BG856" s="407">
        <v>0</v>
      </c>
      <c r="BH856" s="407">
        <v>0</v>
      </c>
      <c r="BI856" s="407">
        <v>20.309999999999999</v>
      </c>
      <c r="BJ856" s="407">
        <v>0</v>
      </c>
      <c r="BK856" s="407">
        <v>0</v>
      </c>
      <c r="BL856" s="407">
        <v>0</v>
      </c>
      <c r="BM856" s="407"/>
      <c r="BN856" s="407"/>
      <c r="BO856" s="407">
        <v>1687.4</v>
      </c>
      <c r="BP856" s="407"/>
      <c r="BQ856" s="407"/>
      <c r="BR856" s="407"/>
      <c r="BS856" s="407"/>
      <c r="BT856" s="407"/>
      <c r="BU856" s="407"/>
      <c r="BV856" s="407">
        <v>0</v>
      </c>
      <c r="BW856" s="407"/>
      <c r="BX856" s="407"/>
      <c r="BY856" s="407"/>
      <c r="BZ856" s="407"/>
      <c r="CA856" s="407"/>
      <c r="CB856" s="407"/>
      <c r="CC856" s="407"/>
      <c r="CD856" s="407"/>
      <c r="CE856" s="407"/>
      <c r="CF856" s="407"/>
      <c r="CG856" s="407"/>
      <c r="CH856" s="407"/>
      <c r="CI856" s="407">
        <v>1687.4</v>
      </c>
      <c r="CJ856" s="407">
        <v>-1900.6300000000006</v>
      </c>
      <c r="CK856" s="407"/>
      <c r="CL856" s="407"/>
      <c r="CM856" s="407"/>
      <c r="CN856" s="407"/>
      <c r="CO856" s="407">
        <v>-3801.2000000000003</v>
      </c>
      <c r="CP856" s="407">
        <v>0</v>
      </c>
      <c r="CQ856" s="407">
        <v>30</v>
      </c>
      <c r="CR856" s="407">
        <v>-140.88816495610848</v>
      </c>
      <c r="CS856" s="407">
        <v>0</v>
      </c>
      <c r="CT856" s="407">
        <v>0</v>
      </c>
      <c r="CU856" s="407">
        <v>0</v>
      </c>
      <c r="CV856" s="407">
        <v>0</v>
      </c>
      <c r="CW856" s="407"/>
      <c r="CX856" s="407"/>
      <c r="CY856" s="407"/>
      <c r="CZ856" s="407">
        <v>0</v>
      </c>
      <c r="DA856" s="407">
        <v>0</v>
      </c>
      <c r="DB856" s="407">
        <v>0</v>
      </c>
      <c r="DC856" s="407"/>
      <c r="DD856" s="407"/>
      <c r="DE856" s="407">
        <v>0</v>
      </c>
      <c r="DF856" s="407">
        <v>0</v>
      </c>
      <c r="DG856" s="407">
        <v>0</v>
      </c>
      <c r="DH856" s="407">
        <v>0</v>
      </c>
      <c r="DI856" s="407">
        <v>0</v>
      </c>
      <c r="DJ856" s="407"/>
      <c r="DK856" s="407">
        <v>0</v>
      </c>
      <c r="DL856" s="407">
        <v>0</v>
      </c>
      <c r="DM856" s="407"/>
      <c r="DN856" s="407">
        <v>0</v>
      </c>
      <c r="DO856" s="407">
        <v>0</v>
      </c>
      <c r="DP856" s="407">
        <v>-0.74878261547960001</v>
      </c>
      <c r="DQ856" s="407">
        <v>0</v>
      </c>
      <c r="DR856" s="407">
        <v>-140.13938234062886</v>
      </c>
      <c r="DS856" s="407"/>
      <c r="DT856" s="407"/>
      <c r="DU856" s="407">
        <v>7165.767767491684</v>
      </c>
      <c r="DV856" s="407"/>
      <c r="DW856" s="407">
        <v>0</v>
      </c>
      <c r="DX856" s="407">
        <v>0</v>
      </c>
      <c r="DY856" s="407">
        <v>-3801.2</v>
      </c>
      <c r="DZ856" s="407"/>
      <c r="EA856" s="407">
        <v>0</v>
      </c>
      <c r="EB856" s="407"/>
      <c r="EC856" s="407">
        <v>-3660.2908190143312</v>
      </c>
      <c r="ED856" s="407"/>
      <c r="EE856" s="407">
        <v>0</v>
      </c>
      <c r="EF856" s="407">
        <v>0</v>
      </c>
      <c r="EG856" s="407"/>
      <c r="EH856" s="407">
        <v>0</v>
      </c>
      <c r="EI856" s="407">
        <v>0</v>
      </c>
      <c r="EJ856" s="407">
        <v>0</v>
      </c>
      <c r="EK856" s="407">
        <v>0</v>
      </c>
      <c r="EL856" s="407">
        <v>0</v>
      </c>
      <c r="EM856" s="407"/>
      <c r="EN856" s="407"/>
      <c r="EO856" s="407">
        <v>0</v>
      </c>
      <c r="EP856" s="407">
        <v>0</v>
      </c>
      <c r="EQ856" s="407"/>
      <c r="ER856" s="407">
        <v>0</v>
      </c>
      <c r="ES856" s="407"/>
      <c r="ET856" s="407">
        <v>0</v>
      </c>
      <c r="EU856" s="407"/>
      <c r="EV856" s="407">
        <v>246</v>
      </c>
      <c r="EW856" s="407"/>
      <c r="EX856" s="407"/>
      <c r="EY856" s="407"/>
      <c r="EZ856" s="407"/>
      <c r="FA856" s="407">
        <v>0</v>
      </c>
      <c r="FB856" s="407"/>
      <c r="FC856" s="407"/>
      <c r="FD856" s="407"/>
      <c r="FE856" s="407"/>
      <c r="FF856" s="407">
        <v>0</v>
      </c>
      <c r="FG856" s="407">
        <v>0</v>
      </c>
      <c r="FH856" s="407">
        <v>0</v>
      </c>
      <c r="FI856" s="407">
        <v>0</v>
      </c>
    </row>
    <row r="857" spans="1:165">
      <c r="A857" s="407">
        <v>888</v>
      </c>
      <c r="B857" s="407" t="s">
        <v>1090</v>
      </c>
      <c r="C857" s="407" t="s">
        <v>1044</v>
      </c>
      <c r="D857" s="407" t="s">
        <v>650</v>
      </c>
      <c r="E857" s="407" t="s">
        <v>97</v>
      </c>
      <c r="F857" s="407" t="s">
        <v>97</v>
      </c>
      <c r="G857" s="407" t="s">
        <v>97</v>
      </c>
      <c r="H857" s="407" t="s">
        <v>2331</v>
      </c>
      <c r="I857" s="407" t="s">
        <v>97</v>
      </c>
      <c r="J857" s="407" t="s">
        <v>2329</v>
      </c>
      <c r="K857" s="818">
        <v>44652</v>
      </c>
      <c r="L857" s="407">
        <v>1000</v>
      </c>
      <c r="M857" s="407">
        <v>500</v>
      </c>
      <c r="N857" s="407">
        <v>0</v>
      </c>
      <c r="O857" s="407">
        <v>0</v>
      </c>
      <c r="P857" s="407">
        <v>0</v>
      </c>
      <c r="Q857" s="407">
        <v>0</v>
      </c>
      <c r="R857" s="407">
        <v>13.8</v>
      </c>
      <c r="S857" s="407"/>
      <c r="T857" s="407"/>
      <c r="U857" s="407">
        <v>13800</v>
      </c>
      <c r="V857" s="407"/>
      <c r="W857" s="407">
        <v>13800</v>
      </c>
      <c r="X857" s="407">
        <v>6490</v>
      </c>
      <c r="Y857" s="407">
        <v>0</v>
      </c>
      <c r="Z857" s="407">
        <v>0</v>
      </c>
      <c r="AA857" s="407">
        <v>0</v>
      </c>
      <c r="AB857" s="407">
        <v>0</v>
      </c>
      <c r="AC857" s="407">
        <v>0</v>
      </c>
      <c r="AD857" s="407">
        <v>0</v>
      </c>
      <c r="AE857" s="407">
        <v>13780.322629791699</v>
      </c>
      <c r="AF857" s="407"/>
      <c r="AG857" s="407"/>
      <c r="AH857" s="407"/>
      <c r="AI857" s="407">
        <v>0</v>
      </c>
      <c r="AJ857" s="407">
        <v>0</v>
      </c>
      <c r="AK857" s="407">
        <v>0</v>
      </c>
      <c r="AL857" s="407">
        <v>0</v>
      </c>
      <c r="AM857" s="407"/>
      <c r="AN857" s="407">
        <v>22.5992016209883</v>
      </c>
      <c r="AO857" s="407">
        <v>0</v>
      </c>
      <c r="AP857" s="407">
        <v>0</v>
      </c>
      <c r="AQ857" s="407">
        <v>0</v>
      </c>
      <c r="AR857" s="407">
        <v>0</v>
      </c>
      <c r="AS857" s="407"/>
      <c r="AT857" s="407"/>
      <c r="AU857" s="407">
        <v>0</v>
      </c>
      <c r="AV857" s="407">
        <v>0</v>
      </c>
      <c r="AW857" s="407">
        <v>0</v>
      </c>
      <c r="AX857" s="407"/>
      <c r="AY857" s="407"/>
      <c r="AZ857" s="407">
        <v>0</v>
      </c>
      <c r="BA857" s="407"/>
      <c r="BB857" s="407">
        <v>0</v>
      </c>
      <c r="BC857" s="407">
        <v>0</v>
      </c>
      <c r="BD857" s="407">
        <v>0</v>
      </c>
      <c r="BE857" s="407">
        <v>0</v>
      </c>
      <c r="BF857" s="407"/>
      <c r="BG857" s="407">
        <v>0</v>
      </c>
      <c r="BH857" s="407">
        <v>0</v>
      </c>
      <c r="BI857" s="407">
        <v>39.07</v>
      </c>
      <c r="BJ857" s="407">
        <v>0</v>
      </c>
      <c r="BK857" s="407">
        <v>0</v>
      </c>
      <c r="BL857" s="407">
        <v>0</v>
      </c>
      <c r="BM857" s="407"/>
      <c r="BN857" s="407"/>
      <c r="BO857" s="407">
        <v>3245</v>
      </c>
      <c r="BP857" s="407"/>
      <c r="BQ857" s="407"/>
      <c r="BR857" s="407"/>
      <c r="BS857" s="407"/>
      <c r="BT857" s="407"/>
      <c r="BU857" s="407"/>
      <c r="BV857" s="407">
        <v>0</v>
      </c>
      <c r="BW857" s="407"/>
      <c r="BX857" s="407"/>
      <c r="BY857" s="407"/>
      <c r="BZ857" s="407"/>
      <c r="CA857" s="407"/>
      <c r="CB857" s="407"/>
      <c r="CC857" s="407"/>
      <c r="CD857" s="407"/>
      <c r="CE857" s="407"/>
      <c r="CF857" s="407"/>
      <c r="CG857" s="407"/>
      <c r="CH857" s="407"/>
      <c r="CI857" s="407">
        <v>3245</v>
      </c>
      <c r="CJ857" s="407">
        <v>-3655.0300000000007</v>
      </c>
      <c r="CK857" s="407"/>
      <c r="CL857" s="407"/>
      <c r="CM857" s="407"/>
      <c r="CN857" s="407"/>
      <c r="CO857" s="407">
        <v>-7310.0000000000009</v>
      </c>
      <c r="CP857" s="407">
        <v>0</v>
      </c>
      <c r="CQ857" s="407">
        <v>30</v>
      </c>
      <c r="CR857" s="407">
        <v>-270.93877876174702</v>
      </c>
      <c r="CS857" s="407">
        <v>0</v>
      </c>
      <c r="CT857" s="407">
        <v>0</v>
      </c>
      <c r="CU857" s="407">
        <v>0</v>
      </c>
      <c r="CV857" s="407">
        <v>0</v>
      </c>
      <c r="CW857" s="407"/>
      <c r="CX857" s="407"/>
      <c r="CY857" s="407"/>
      <c r="CZ857" s="407">
        <v>0</v>
      </c>
      <c r="DA857" s="407">
        <v>0</v>
      </c>
      <c r="DB857" s="407">
        <v>0</v>
      </c>
      <c r="DC857" s="407"/>
      <c r="DD857" s="407"/>
      <c r="DE857" s="407">
        <v>0</v>
      </c>
      <c r="DF857" s="407">
        <v>0</v>
      </c>
      <c r="DG857" s="407">
        <v>0</v>
      </c>
      <c r="DH857" s="407">
        <v>0</v>
      </c>
      <c r="DI857" s="407">
        <v>0</v>
      </c>
      <c r="DJ857" s="407"/>
      <c r="DK857" s="407">
        <v>0</v>
      </c>
      <c r="DL857" s="407">
        <v>0</v>
      </c>
      <c r="DM857" s="407"/>
      <c r="DN857" s="407">
        <v>0</v>
      </c>
      <c r="DO857" s="407">
        <v>0</v>
      </c>
      <c r="DP857" s="407">
        <v>-1.4399665682300018</v>
      </c>
      <c r="DQ857" s="407">
        <v>0</v>
      </c>
      <c r="DR857" s="407">
        <v>-269.49881219351704</v>
      </c>
      <c r="DS857" s="407"/>
      <c r="DT857" s="407"/>
      <c r="DU857" s="407">
        <v>13780.322629791699</v>
      </c>
      <c r="DV857" s="407"/>
      <c r="DW857" s="407">
        <v>0</v>
      </c>
      <c r="DX857" s="407">
        <v>0</v>
      </c>
      <c r="DY857" s="407">
        <v>-7310</v>
      </c>
      <c r="DZ857" s="407"/>
      <c r="EA857" s="407">
        <v>0</v>
      </c>
      <c r="EB857" s="407"/>
      <c r="EC857" s="407">
        <v>-7039.0208057967893</v>
      </c>
      <c r="ED857" s="407"/>
      <c r="EE857" s="407">
        <v>0</v>
      </c>
      <c r="EF857" s="407">
        <v>0</v>
      </c>
      <c r="EG857" s="407"/>
      <c r="EH857" s="407">
        <v>0</v>
      </c>
      <c r="EI857" s="407">
        <v>0</v>
      </c>
      <c r="EJ857" s="407">
        <v>0</v>
      </c>
      <c r="EK857" s="407">
        <v>0</v>
      </c>
      <c r="EL857" s="407">
        <v>0</v>
      </c>
      <c r="EM857" s="407"/>
      <c r="EN857" s="407"/>
      <c r="EO857" s="407">
        <v>0</v>
      </c>
      <c r="EP857" s="407">
        <v>0</v>
      </c>
      <c r="EQ857" s="407"/>
      <c r="ER857" s="407">
        <v>0</v>
      </c>
      <c r="ES857" s="407"/>
      <c r="ET857" s="407">
        <v>0</v>
      </c>
      <c r="EU857" s="407"/>
      <c r="EV857" s="407">
        <v>246</v>
      </c>
      <c r="EW857" s="407"/>
      <c r="EX857" s="407"/>
      <c r="EY857" s="407"/>
      <c r="EZ857" s="407"/>
      <c r="FA857" s="407">
        <v>0</v>
      </c>
      <c r="FB857" s="407"/>
      <c r="FC857" s="407"/>
      <c r="FD857" s="407"/>
      <c r="FE857" s="407"/>
      <c r="FF857" s="407">
        <v>0</v>
      </c>
      <c r="FG857" s="407">
        <v>0</v>
      </c>
      <c r="FH857" s="407">
        <v>0</v>
      </c>
      <c r="FI857" s="407">
        <v>0</v>
      </c>
    </row>
    <row r="858" spans="1:165">
      <c r="A858" s="407">
        <v>889</v>
      </c>
      <c r="B858" s="407" t="s">
        <v>1090</v>
      </c>
      <c r="C858" s="407" t="s">
        <v>1044</v>
      </c>
      <c r="D858" s="407" t="s">
        <v>650</v>
      </c>
      <c r="E858" s="407" t="s">
        <v>97</v>
      </c>
      <c r="F858" s="407" t="s">
        <v>97</v>
      </c>
      <c r="G858" s="407" t="s">
        <v>97</v>
      </c>
      <c r="H858" s="407" t="s">
        <v>2332</v>
      </c>
      <c r="I858" s="407" t="s">
        <v>97</v>
      </c>
      <c r="J858" s="407" t="s">
        <v>2329</v>
      </c>
      <c r="K858" s="818">
        <v>44652</v>
      </c>
      <c r="L858" s="407">
        <v>800</v>
      </c>
      <c r="M858" s="407">
        <v>400</v>
      </c>
      <c r="N858" s="407">
        <v>0</v>
      </c>
      <c r="O858" s="407">
        <v>0</v>
      </c>
      <c r="P858" s="407">
        <v>0</v>
      </c>
      <c r="Q858" s="407">
        <v>0</v>
      </c>
      <c r="R858" s="407">
        <v>13.8</v>
      </c>
      <c r="S858" s="407"/>
      <c r="T858" s="407"/>
      <c r="U858" s="407">
        <v>11040</v>
      </c>
      <c r="V858" s="407"/>
      <c r="W858" s="407">
        <v>11040</v>
      </c>
      <c r="X858" s="407">
        <v>5192</v>
      </c>
      <c r="Y858" s="407">
        <v>0</v>
      </c>
      <c r="Z858" s="407">
        <v>0</v>
      </c>
      <c r="AA858" s="407">
        <v>0</v>
      </c>
      <c r="AB858" s="407">
        <v>0</v>
      </c>
      <c r="AC858" s="407">
        <v>0</v>
      </c>
      <c r="AD858" s="407">
        <v>0</v>
      </c>
      <c r="AE858" s="407">
        <v>11024.258103833359</v>
      </c>
      <c r="AF858" s="407"/>
      <c r="AG858" s="407"/>
      <c r="AH858" s="407"/>
      <c r="AI858" s="407">
        <v>0</v>
      </c>
      <c r="AJ858" s="407">
        <v>0</v>
      </c>
      <c r="AK858" s="407">
        <v>0</v>
      </c>
      <c r="AL858" s="407">
        <v>0</v>
      </c>
      <c r="AM858" s="407"/>
      <c r="AN858" s="407">
        <v>18.079361296790637</v>
      </c>
      <c r="AO858" s="407">
        <v>0</v>
      </c>
      <c r="AP858" s="407">
        <v>0</v>
      </c>
      <c r="AQ858" s="407">
        <v>0</v>
      </c>
      <c r="AR858" s="407">
        <v>0</v>
      </c>
      <c r="AS858" s="407"/>
      <c r="AT858" s="407"/>
      <c r="AU858" s="407">
        <v>0</v>
      </c>
      <c r="AV858" s="407">
        <v>0</v>
      </c>
      <c r="AW858" s="407">
        <v>0</v>
      </c>
      <c r="AX858" s="407"/>
      <c r="AY858" s="407"/>
      <c r="AZ858" s="407">
        <v>0</v>
      </c>
      <c r="BA858" s="407"/>
      <c r="BB858" s="407">
        <v>0</v>
      </c>
      <c r="BC858" s="407">
        <v>0</v>
      </c>
      <c r="BD858" s="407">
        <v>0</v>
      </c>
      <c r="BE858" s="407">
        <v>0</v>
      </c>
      <c r="BF858" s="407"/>
      <c r="BG858" s="407">
        <v>0</v>
      </c>
      <c r="BH858" s="407">
        <v>0</v>
      </c>
      <c r="BI858" s="407">
        <v>31.26</v>
      </c>
      <c r="BJ858" s="407">
        <v>0</v>
      </c>
      <c r="BK858" s="407">
        <v>0</v>
      </c>
      <c r="BL858" s="407">
        <v>0</v>
      </c>
      <c r="BM858" s="407"/>
      <c r="BN858" s="407"/>
      <c r="BO858" s="407">
        <v>2596</v>
      </c>
      <c r="BP858" s="407"/>
      <c r="BQ858" s="407"/>
      <c r="BR858" s="407"/>
      <c r="BS858" s="407"/>
      <c r="BT858" s="407"/>
      <c r="BU858" s="407"/>
      <c r="BV858" s="407">
        <v>0</v>
      </c>
      <c r="BW858" s="407"/>
      <c r="BX858" s="407"/>
      <c r="BY858" s="407"/>
      <c r="BZ858" s="407"/>
      <c r="CA858" s="407"/>
      <c r="CB858" s="407"/>
      <c r="CC858" s="407"/>
      <c r="CD858" s="407"/>
      <c r="CE858" s="407"/>
      <c r="CF858" s="407"/>
      <c r="CG858" s="407"/>
      <c r="CH858" s="407"/>
      <c r="CI858" s="407">
        <v>2596</v>
      </c>
      <c r="CJ858" s="407">
        <v>-2924.0300000000007</v>
      </c>
      <c r="CK858" s="407"/>
      <c r="CL858" s="407"/>
      <c r="CM858" s="407"/>
      <c r="CN858" s="407"/>
      <c r="CO858" s="407">
        <v>-5848</v>
      </c>
      <c r="CP858" s="407">
        <v>0</v>
      </c>
      <c r="CQ858" s="407">
        <v>30</v>
      </c>
      <c r="CR858" s="407">
        <v>-216.75102300939761</v>
      </c>
      <c r="CS858" s="407">
        <v>0</v>
      </c>
      <c r="CT858" s="407">
        <v>0</v>
      </c>
      <c r="CU858" s="407">
        <v>0</v>
      </c>
      <c r="CV858" s="407">
        <v>0</v>
      </c>
      <c r="CW858" s="407"/>
      <c r="CX858" s="407"/>
      <c r="CY858" s="407"/>
      <c r="CZ858" s="407">
        <v>0</v>
      </c>
      <c r="DA858" s="407">
        <v>0</v>
      </c>
      <c r="DB858" s="407">
        <v>0</v>
      </c>
      <c r="DC858" s="407"/>
      <c r="DD858" s="407"/>
      <c r="DE858" s="407">
        <v>0</v>
      </c>
      <c r="DF858" s="407">
        <v>0</v>
      </c>
      <c r="DG858" s="407">
        <v>0</v>
      </c>
      <c r="DH858" s="407">
        <v>0</v>
      </c>
      <c r="DI858" s="407">
        <v>0</v>
      </c>
      <c r="DJ858" s="407"/>
      <c r="DK858" s="407">
        <v>0</v>
      </c>
      <c r="DL858" s="407">
        <v>0</v>
      </c>
      <c r="DM858" s="407"/>
      <c r="DN858" s="407">
        <v>0</v>
      </c>
      <c r="DO858" s="407">
        <v>0</v>
      </c>
      <c r="DP858" s="407">
        <v>-1.1519732545839965</v>
      </c>
      <c r="DQ858" s="407">
        <v>0</v>
      </c>
      <c r="DR858" s="407">
        <v>-215.59904975481362</v>
      </c>
      <c r="DS858" s="407"/>
      <c r="DT858" s="407"/>
      <c r="DU858" s="407">
        <v>11024.258103833359</v>
      </c>
      <c r="DV858" s="407"/>
      <c r="DW858" s="407">
        <v>0</v>
      </c>
      <c r="DX858" s="407">
        <v>0</v>
      </c>
      <c r="DY858" s="407">
        <v>-5848</v>
      </c>
      <c r="DZ858" s="407"/>
      <c r="EA858" s="407">
        <v>0</v>
      </c>
      <c r="EB858" s="407"/>
      <c r="EC858" s="407">
        <v>-5631.2166446374313</v>
      </c>
      <c r="ED858" s="407"/>
      <c r="EE858" s="407">
        <v>0</v>
      </c>
      <c r="EF858" s="407">
        <v>0</v>
      </c>
      <c r="EG858" s="407"/>
      <c r="EH858" s="407">
        <v>0</v>
      </c>
      <c r="EI858" s="407">
        <v>0</v>
      </c>
      <c r="EJ858" s="407">
        <v>0</v>
      </c>
      <c r="EK858" s="407">
        <v>0</v>
      </c>
      <c r="EL858" s="407">
        <v>0</v>
      </c>
      <c r="EM858" s="407"/>
      <c r="EN858" s="407"/>
      <c r="EO858" s="407">
        <v>0</v>
      </c>
      <c r="EP858" s="407">
        <v>0</v>
      </c>
      <c r="EQ858" s="407"/>
      <c r="ER858" s="407">
        <v>0</v>
      </c>
      <c r="ES858" s="407"/>
      <c r="ET858" s="407">
        <v>0</v>
      </c>
      <c r="EU858" s="407"/>
      <c r="EV858" s="407">
        <v>246</v>
      </c>
      <c r="EW858" s="407"/>
      <c r="EX858" s="407"/>
      <c r="EY858" s="407"/>
      <c r="EZ858" s="407"/>
      <c r="FA858" s="407">
        <v>0</v>
      </c>
      <c r="FB858" s="407"/>
      <c r="FC858" s="407"/>
      <c r="FD858" s="407"/>
      <c r="FE858" s="407"/>
      <c r="FF858" s="407">
        <v>0</v>
      </c>
      <c r="FG858" s="407">
        <v>0</v>
      </c>
      <c r="FH858" s="407">
        <v>0</v>
      </c>
      <c r="FI858" s="407">
        <v>0</v>
      </c>
    </row>
    <row r="859" spans="1:165">
      <c r="A859" s="1749">
        <v>890</v>
      </c>
      <c r="B859" s="1749" t="s">
        <v>1090</v>
      </c>
      <c r="C859" s="1749" t="s">
        <v>1044</v>
      </c>
      <c r="D859" s="1749" t="s">
        <v>650</v>
      </c>
      <c r="E859" s="1749" t="s">
        <v>97</v>
      </c>
      <c r="F859" s="1749" t="s">
        <v>97</v>
      </c>
      <c r="G859" s="1749" t="s">
        <v>97</v>
      </c>
      <c r="H859" s="1749" t="s">
        <v>2333</v>
      </c>
      <c r="I859" s="1749" t="s">
        <v>97</v>
      </c>
      <c r="J859" s="1749" t="s">
        <v>2329</v>
      </c>
      <c r="K859" s="1750">
        <v>44652</v>
      </c>
      <c r="L859" s="1749">
        <v>270</v>
      </c>
      <c r="M859" s="1749">
        <v>135</v>
      </c>
      <c r="N859" s="1749">
        <v>0</v>
      </c>
      <c r="O859" s="1749">
        <v>0</v>
      </c>
      <c r="P859" s="1749">
        <v>0</v>
      </c>
      <c r="Q859" s="1749">
        <v>0</v>
      </c>
      <c r="R859" s="1749">
        <v>13.8</v>
      </c>
      <c r="S859" s="1749"/>
      <c r="T859" s="1749"/>
      <c r="U859" s="1749">
        <v>3726</v>
      </c>
      <c r="V859" s="1749"/>
      <c r="W859" s="1749">
        <v>3726</v>
      </c>
      <c r="X859" s="1749">
        <v>1752.3</v>
      </c>
      <c r="Y859" s="1749">
        <v>0</v>
      </c>
      <c r="Z859" s="1749">
        <v>0</v>
      </c>
      <c r="AA859" s="1749">
        <v>0</v>
      </c>
      <c r="AB859" s="1749">
        <v>0</v>
      </c>
      <c r="AC859" s="1749">
        <v>0</v>
      </c>
      <c r="AD859" s="1749">
        <v>0</v>
      </c>
      <c r="AE859" s="1749">
        <v>3720.6871100437588</v>
      </c>
      <c r="AF859" s="1749"/>
      <c r="AG859" s="1749"/>
      <c r="AH859" s="1749"/>
      <c r="AI859" s="1749">
        <v>0</v>
      </c>
      <c r="AJ859" s="1749">
        <v>0</v>
      </c>
      <c r="AK859" s="1749">
        <v>0</v>
      </c>
      <c r="AL859" s="1749">
        <v>0</v>
      </c>
      <c r="AM859" s="1749"/>
      <c r="AN859" s="1749">
        <v>6.1017844376668409</v>
      </c>
      <c r="AO859" s="1749">
        <v>0</v>
      </c>
      <c r="AP859" s="1749">
        <v>0</v>
      </c>
      <c r="AQ859" s="1749">
        <v>0</v>
      </c>
      <c r="AR859" s="1749">
        <v>0</v>
      </c>
      <c r="AS859" s="1749"/>
      <c r="AT859" s="1749"/>
      <c r="AU859" s="1749">
        <v>0</v>
      </c>
      <c r="AV859" s="1749">
        <v>0</v>
      </c>
      <c r="AW859" s="1749">
        <v>0</v>
      </c>
      <c r="AX859" s="1749"/>
      <c r="AY859" s="1749"/>
      <c r="AZ859" s="1749">
        <v>0</v>
      </c>
      <c r="BA859" s="1749"/>
      <c r="BB859" s="1749">
        <v>0</v>
      </c>
      <c r="BC859" s="1749">
        <v>0</v>
      </c>
      <c r="BD859" s="1749">
        <v>0</v>
      </c>
      <c r="BE859" s="1749">
        <v>0</v>
      </c>
      <c r="BF859" s="1749"/>
      <c r="BG859" s="1749">
        <v>0</v>
      </c>
      <c r="BH859" s="1749">
        <v>0</v>
      </c>
      <c r="BI859" s="1749">
        <v>10.55</v>
      </c>
      <c r="BJ859" s="1749">
        <v>0</v>
      </c>
      <c r="BK859" s="1749">
        <v>0</v>
      </c>
      <c r="BL859" s="1749">
        <v>0</v>
      </c>
      <c r="BM859" s="1749"/>
      <c r="BN859" s="1749"/>
      <c r="BO859" s="1749">
        <v>876.15</v>
      </c>
      <c r="BP859" s="1749"/>
      <c r="BQ859" s="1749"/>
      <c r="BR859" s="1749"/>
      <c r="BS859" s="1749"/>
      <c r="BT859" s="1749"/>
      <c r="BU859" s="1749"/>
      <c r="BV859" s="1749">
        <v>0</v>
      </c>
      <c r="BW859" s="1749"/>
      <c r="BX859" s="1749"/>
      <c r="BY859" s="1749"/>
      <c r="BZ859" s="1749"/>
      <c r="CA859" s="1749"/>
      <c r="CB859" s="1749"/>
      <c r="CC859" s="1749"/>
      <c r="CD859" s="1749"/>
      <c r="CE859" s="1749"/>
      <c r="CF859" s="1749"/>
      <c r="CG859" s="1749"/>
      <c r="CH859" s="1749"/>
      <c r="CI859" s="1749">
        <v>876.15</v>
      </c>
      <c r="CJ859" s="1749">
        <v>-986.88</v>
      </c>
      <c r="CK859" s="1749"/>
      <c r="CL859" s="1749"/>
      <c r="CM859" s="1749"/>
      <c r="CN859" s="1749"/>
      <c r="CO859" s="1749">
        <v>-1973.7</v>
      </c>
      <c r="CP859" s="1749">
        <v>0</v>
      </c>
      <c r="CQ859" s="1749">
        <v>30</v>
      </c>
      <c r="CR859" s="1749">
        <v>-73.153470265671686</v>
      </c>
      <c r="CS859" s="1749">
        <v>0</v>
      </c>
      <c r="CT859" s="1749">
        <v>0</v>
      </c>
      <c r="CU859" s="1749">
        <v>0</v>
      </c>
      <c r="CV859" s="1749">
        <v>0</v>
      </c>
      <c r="CW859" s="1749"/>
      <c r="CX859" s="1749"/>
      <c r="CY859" s="1749"/>
      <c r="CZ859" s="1749">
        <v>0</v>
      </c>
      <c r="DA859" s="1749">
        <v>0</v>
      </c>
      <c r="DB859" s="1749">
        <v>0</v>
      </c>
      <c r="DC859" s="1749"/>
      <c r="DD859" s="1749"/>
      <c r="DE859" s="1749">
        <v>0</v>
      </c>
      <c r="DF859" s="1749">
        <v>0</v>
      </c>
      <c r="DG859" s="1749">
        <v>0</v>
      </c>
      <c r="DH859" s="1749">
        <v>0</v>
      </c>
      <c r="DI859" s="1749">
        <v>0</v>
      </c>
      <c r="DJ859" s="1749"/>
      <c r="DK859" s="1749">
        <v>0</v>
      </c>
      <c r="DL859" s="1749">
        <v>0</v>
      </c>
      <c r="DM859" s="1749"/>
      <c r="DN859" s="1749">
        <v>0</v>
      </c>
      <c r="DO859" s="1749">
        <v>0</v>
      </c>
      <c r="DP859" s="1749">
        <v>-0.38879097342209956</v>
      </c>
      <c r="DQ859" s="1749">
        <v>0</v>
      </c>
      <c r="DR859" s="1749">
        <v>-72.764679292249596</v>
      </c>
      <c r="DS859" s="1749"/>
      <c r="DT859" s="1749"/>
      <c r="DU859" s="1749">
        <v>3720.6871100437588</v>
      </c>
      <c r="DV859" s="1749"/>
      <c r="DW859" s="1749">
        <v>0</v>
      </c>
      <c r="DX859" s="1749">
        <v>0</v>
      </c>
      <c r="DY859" s="1749">
        <v>-1973.7</v>
      </c>
      <c r="DZ859" s="1749"/>
      <c r="EA859" s="1749">
        <v>0</v>
      </c>
      <c r="EB859" s="1749"/>
      <c r="EC859" s="1749">
        <v>-1900.5356175651332</v>
      </c>
      <c r="ED859" s="1749"/>
      <c r="EE859" s="1749">
        <v>0</v>
      </c>
      <c r="EF859" s="1749">
        <v>0</v>
      </c>
      <c r="EG859" s="1749"/>
      <c r="EH859" s="1749">
        <v>0</v>
      </c>
      <c r="EI859" s="1749">
        <v>0</v>
      </c>
      <c r="EJ859" s="1749">
        <v>0</v>
      </c>
      <c r="EK859" s="1749">
        <v>0</v>
      </c>
      <c r="EL859" s="1749">
        <v>0</v>
      </c>
      <c r="EM859" s="1749"/>
      <c r="EN859" s="1749"/>
      <c r="EO859" s="1749">
        <v>0</v>
      </c>
      <c r="EP859" s="1749">
        <v>0</v>
      </c>
      <c r="EQ859" s="1749"/>
      <c r="ER859" s="1749">
        <v>0</v>
      </c>
      <c r="ES859" s="1749"/>
      <c r="ET859" s="1749">
        <v>0</v>
      </c>
      <c r="EU859" s="1749"/>
      <c r="EV859" s="1749">
        <v>246</v>
      </c>
      <c r="EW859" s="1749"/>
      <c r="EX859" s="1749"/>
      <c r="EY859" s="1749"/>
      <c r="EZ859" s="1749"/>
      <c r="FA859" s="1749">
        <v>0</v>
      </c>
      <c r="FB859" s="1749"/>
      <c r="FC859" s="1749"/>
      <c r="FD859" s="1749"/>
      <c r="FE859" s="1749"/>
      <c r="FF859" s="1749">
        <v>0</v>
      </c>
      <c r="FG859" s="1749">
        <v>0</v>
      </c>
      <c r="FH859" s="1749">
        <v>0</v>
      </c>
      <c r="FI859" s="1749">
        <v>0</v>
      </c>
    </row>
    <row r="860" spans="1:165">
      <c r="A860" s="1749">
        <v>891</v>
      </c>
      <c r="B860" s="1749" t="s">
        <v>1090</v>
      </c>
      <c r="C860" s="1749" t="s">
        <v>1044</v>
      </c>
      <c r="D860" s="1749" t="s">
        <v>650</v>
      </c>
      <c r="E860" s="1749" t="s">
        <v>97</v>
      </c>
      <c r="F860" s="1749" t="s">
        <v>97</v>
      </c>
      <c r="G860" s="1749" t="s">
        <v>97</v>
      </c>
      <c r="H860" s="1749" t="s">
        <v>2334</v>
      </c>
      <c r="I860" s="1749" t="s">
        <v>97</v>
      </c>
      <c r="J860" s="1749" t="s">
        <v>2329</v>
      </c>
      <c r="K860" s="1750">
        <v>44652</v>
      </c>
      <c r="L860" s="1749">
        <v>280</v>
      </c>
      <c r="M860" s="1749">
        <v>140</v>
      </c>
      <c r="N860" s="1749">
        <v>0</v>
      </c>
      <c r="O860" s="1749">
        <v>0</v>
      </c>
      <c r="P860" s="1749">
        <v>0</v>
      </c>
      <c r="Q860" s="1749">
        <v>0</v>
      </c>
      <c r="R860" s="1749">
        <v>13.8</v>
      </c>
      <c r="S860" s="1749"/>
      <c r="T860" s="1749"/>
      <c r="U860" s="1749">
        <v>3864</v>
      </c>
      <c r="V860" s="1749"/>
      <c r="W860" s="1749">
        <v>3864</v>
      </c>
      <c r="X860" s="1749">
        <v>1817.2</v>
      </c>
      <c r="Y860" s="1749">
        <v>0</v>
      </c>
      <c r="Z860" s="1749">
        <v>0</v>
      </c>
      <c r="AA860" s="1749">
        <v>0</v>
      </c>
      <c r="AB860" s="1749">
        <v>0</v>
      </c>
      <c r="AC860" s="1749">
        <v>0</v>
      </c>
      <c r="AD860" s="1749">
        <v>0</v>
      </c>
      <c r="AE860" s="1749">
        <v>3858.4903363416761</v>
      </c>
      <c r="AF860" s="1749"/>
      <c r="AG860" s="1749"/>
      <c r="AH860" s="1749"/>
      <c r="AI860" s="1749">
        <v>0</v>
      </c>
      <c r="AJ860" s="1749">
        <v>0</v>
      </c>
      <c r="AK860" s="1749">
        <v>0</v>
      </c>
      <c r="AL860" s="1749">
        <v>0</v>
      </c>
      <c r="AM860" s="1749"/>
      <c r="AN860" s="1749">
        <v>6.3277764538767238</v>
      </c>
      <c r="AO860" s="1749">
        <v>0</v>
      </c>
      <c r="AP860" s="1749">
        <v>0</v>
      </c>
      <c r="AQ860" s="1749">
        <v>0</v>
      </c>
      <c r="AR860" s="1749">
        <v>0</v>
      </c>
      <c r="AS860" s="1749"/>
      <c r="AT860" s="1749"/>
      <c r="AU860" s="1749">
        <v>0</v>
      </c>
      <c r="AV860" s="1749">
        <v>0</v>
      </c>
      <c r="AW860" s="1749">
        <v>0</v>
      </c>
      <c r="AX860" s="1749"/>
      <c r="AY860" s="1749"/>
      <c r="AZ860" s="1749">
        <v>0</v>
      </c>
      <c r="BA860" s="1749"/>
      <c r="BB860" s="1749">
        <v>0</v>
      </c>
      <c r="BC860" s="1749">
        <v>0</v>
      </c>
      <c r="BD860" s="1749">
        <v>0</v>
      </c>
      <c r="BE860" s="1749">
        <v>0</v>
      </c>
      <c r="BF860" s="1749"/>
      <c r="BG860" s="1749">
        <v>0</v>
      </c>
      <c r="BH860" s="1749">
        <v>0</v>
      </c>
      <c r="BI860" s="1749">
        <v>10.93</v>
      </c>
      <c r="BJ860" s="1749">
        <v>0</v>
      </c>
      <c r="BK860" s="1749">
        <v>0</v>
      </c>
      <c r="BL860" s="1749">
        <v>0</v>
      </c>
      <c r="BM860" s="1749"/>
      <c r="BN860" s="1749"/>
      <c r="BO860" s="1749">
        <v>908.6</v>
      </c>
      <c r="BP860" s="1749"/>
      <c r="BQ860" s="1749"/>
      <c r="BR860" s="1749"/>
      <c r="BS860" s="1749"/>
      <c r="BT860" s="1749"/>
      <c r="BU860" s="1749"/>
      <c r="BV860" s="1749">
        <v>0</v>
      </c>
      <c r="BW860" s="1749"/>
      <c r="BX860" s="1749"/>
      <c r="BY860" s="1749"/>
      <c r="BZ860" s="1749"/>
      <c r="CA860" s="1749"/>
      <c r="CB860" s="1749"/>
      <c r="CC860" s="1749"/>
      <c r="CD860" s="1749"/>
      <c r="CE860" s="1749"/>
      <c r="CF860" s="1749"/>
      <c r="CG860" s="1749"/>
      <c r="CH860" s="1749"/>
      <c r="CI860" s="1749">
        <v>908.6</v>
      </c>
      <c r="CJ860" s="1749">
        <v>-1023.43</v>
      </c>
      <c r="CK860" s="1749"/>
      <c r="CL860" s="1749"/>
      <c r="CM860" s="1749"/>
      <c r="CN860" s="1749"/>
      <c r="CO860" s="1749">
        <v>-2046.8000000000002</v>
      </c>
      <c r="CP860" s="1749">
        <v>0</v>
      </c>
      <c r="CQ860" s="1749">
        <v>30</v>
      </c>
      <c r="CR860" s="1749">
        <v>-75.862858053289159</v>
      </c>
      <c r="CS860" s="1749">
        <v>0</v>
      </c>
      <c r="CT860" s="1749">
        <v>0</v>
      </c>
      <c r="CU860" s="1749">
        <v>0</v>
      </c>
      <c r="CV860" s="1749">
        <v>0</v>
      </c>
      <c r="CW860" s="1749"/>
      <c r="CX860" s="1749"/>
      <c r="CY860" s="1749"/>
      <c r="CZ860" s="1749">
        <v>0</v>
      </c>
      <c r="DA860" s="1749">
        <v>0</v>
      </c>
      <c r="DB860" s="1749">
        <v>0</v>
      </c>
      <c r="DC860" s="1749"/>
      <c r="DD860" s="1749"/>
      <c r="DE860" s="1749">
        <v>0</v>
      </c>
      <c r="DF860" s="1749">
        <v>0</v>
      </c>
      <c r="DG860" s="1749">
        <v>0</v>
      </c>
      <c r="DH860" s="1749">
        <v>0</v>
      </c>
      <c r="DI860" s="1749">
        <v>0</v>
      </c>
      <c r="DJ860" s="1749"/>
      <c r="DK860" s="1749">
        <v>0</v>
      </c>
      <c r="DL860" s="1749">
        <v>0</v>
      </c>
      <c r="DM860" s="1749"/>
      <c r="DN860" s="1749">
        <v>0</v>
      </c>
      <c r="DO860" s="1749">
        <v>0</v>
      </c>
      <c r="DP860" s="1749">
        <v>-0.40319063910440001</v>
      </c>
      <c r="DQ860" s="1749">
        <v>0</v>
      </c>
      <c r="DR860" s="1749">
        <v>-75.459667414184764</v>
      </c>
      <c r="DS860" s="1749"/>
      <c r="DT860" s="1749"/>
      <c r="DU860" s="1749">
        <v>3858.4903363416761</v>
      </c>
      <c r="DV860" s="1749"/>
      <c r="DW860" s="1749">
        <v>0</v>
      </c>
      <c r="DX860" s="1749">
        <v>0</v>
      </c>
      <c r="DY860" s="1749">
        <v>-2046.8</v>
      </c>
      <c r="DZ860" s="1749"/>
      <c r="EA860" s="1749">
        <v>0</v>
      </c>
      <c r="EB860" s="1749"/>
      <c r="EC860" s="1749">
        <v>-1970.9258256231014</v>
      </c>
      <c r="ED860" s="1749"/>
      <c r="EE860" s="1749">
        <v>0</v>
      </c>
      <c r="EF860" s="1749">
        <v>0</v>
      </c>
      <c r="EG860" s="1749"/>
      <c r="EH860" s="1749">
        <v>0</v>
      </c>
      <c r="EI860" s="1749">
        <v>0</v>
      </c>
      <c r="EJ860" s="1749">
        <v>0</v>
      </c>
      <c r="EK860" s="1749">
        <v>0</v>
      </c>
      <c r="EL860" s="1749">
        <v>0</v>
      </c>
      <c r="EM860" s="1749"/>
      <c r="EN860" s="1749"/>
      <c r="EO860" s="1749">
        <v>0</v>
      </c>
      <c r="EP860" s="1749">
        <v>0</v>
      </c>
      <c r="EQ860" s="1749"/>
      <c r="ER860" s="1749">
        <v>0</v>
      </c>
      <c r="ES860" s="1749"/>
      <c r="ET860" s="1749">
        <v>0</v>
      </c>
      <c r="EU860" s="1749"/>
      <c r="EV860" s="1749">
        <v>246</v>
      </c>
      <c r="EW860" s="1749"/>
      <c r="EX860" s="1749"/>
      <c r="EY860" s="1749"/>
      <c r="EZ860" s="1749"/>
      <c r="FA860" s="1749">
        <v>0</v>
      </c>
      <c r="FB860" s="1749"/>
      <c r="FC860" s="1749"/>
      <c r="FD860" s="1749"/>
      <c r="FE860" s="1749"/>
      <c r="FF860" s="1749">
        <v>0</v>
      </c>
      <c r="FG860" s="1749">
        <v>0</v>
      </c>
      <c r="FH860" s="1749">
        <v>0</v>
      </c>
      <c r="FI860" s="1749">
        <v>0</v>
      </c>
    </row>
    <row r="861" spans="1:165">
      <c r="A861" s="1749">
        <v>892</v>
      </c>
      <c r="B861" s="1749" t="s">
        <v>1090</v>
      </c>
      <c r="C861" s="1749" t="s">
        <v>1044</v>
      </c>
      <c r="D861" s="1749" t="s">
        <v>650</v>
      </c>
      <c r="E861" s="1749" t="s">
        <v>97</v>
      </c>
      <c r="F861" s="1749" t="s">
        <v>97</v>
      </c>
      <c r="G861" s="1749" t="s">
        <v>97</v>
      </c>
      <c r="H861" s="1749" t="s">
        <v>2335</v>
      </c>
      <c r="I861" s="1749" t="s">
        <v>97</v>
      </c>
      <c r="J861" s="1749" t="s">
        <v>2329</v>
      </c>
      <c r="K861" s="1750">
        <v>44652</v>
      </c>
      <c r="L861" s="1749">
        <v>730</v>
      </c>
      <c r="M861" s="1749">
        <v>365</v>
      </c>
      <c r="N861" s="1749">
        <v>0</v>
      </c>
      <c r="O861" s="1749">
        <v>0</v>
      </c>
      <c r="P861" s="1749">
        <v>0</v>
      </c>
      <c r="Q861" s="1749">
        <v>0</v>
      </c>
      <c r="R861" s="1749">
        <v>13.8</v>
      </c>
      <c r="S861" s="1749"/>
      <c r="T861" s="1749"/>
      <c r="U861" s="1749">
        <v>10074</v>
      </c>
      <c r="V861" s="1749"/>
      <c r="W861" s="1749">
        <v>10074</v>
      </c>
      <c r="X861" s="1749">
        <v>4737.7</v>
      </c>
      <c r="Y861" s="1749">
        <v>0</v>
      </c>
      <c r="Z861" s="1749">
        <v>0</v>
      </c>
      <c r="AA861" s="1749">
        <v>0</v>
      </c>
      <c r="AB861" s="1749">
        <v>0</v>
      </c>
      <c r="AC861" s="1749">
        <v>0</v>
      </c>
      <c r="AD861" s="1749">
        <v>0</v>
      </c>
      <c r="AE861" s="1749">
        <v>10059.635519747941</v>
      </c>
      <c r="AF861" s="1749"/>
      <c r="AG861" s="1749"/>
      <c r="AH861" s="1749"/>
      <c r="AI861" s="1749">
        <v>0</v>
      </c>
      <c r="AJ861" s="1749">
        <v>0</v>
      </c>
      <c r="AK861" s="1749">
        <v>0</v>
      </c>
      <c r="AL861" s="1749">
        <v>0</v>
      </c>
      <c r="AM861" s="1749"/>
      <c r="AN861" s="1749">
        <v>16.497417183321456</v>
      </c>
      <c r="AO861" s="1749">
        <v>0</v>
      </c>
      <c r="AP861" s="1749">
        <v>0</v>
      </c>
      <c r="AQ861" s="1749">
        <v>0</v>
      </c>
      <c r="AR861" s="1749">
        <v>0</v>
      </c>
      <c r="AS861" s="1749"/>
      <c r="AT861" s="1749"/>
      <c r="AU861" s="1749">
        <v>0</v>
      </c>
      <c r="AV861" s="1749">
        <v>0</v>
      </c>
      <c r="AW861" s="1749">
        <v>0</v>
      </c>
      <c r="AX861" s="1749"/>
      <c r="AY861" s="1749"/>
      <c r="AZ861" s="1749">
        <v>0</v>
      </c>
      <c r="BA861" s="1749"/>
      <c r="BB861" s="1749">
        <v>0</v>
      </c>
      <c r="BC861" s="1749">
        <v>0</v>
      </c>
      <c r="BD861" s="1749">
        <v>0</v>
      </c>
      <c r="BE861" s="1749">
        <v>0</v>
      </c>
      <c r="BF861" s="1749"/>
      <c r="BG861" s="1749">
        <v>0</v>
      </c>
      <c r="BH861" s="1749">
        <v>0</v>
      </c>
      <c r="BI861" s="1749">
        <v>28.52</v>
      </c>
      <c r="BJ861" s="1749">
        <v>0</v>
      </c>
      <c r="BK861" s="1749">
        <v>0</v>
      </c>
      <c r="BL861" s="1749">
        <v>0</v>
      </c>
      <c r="BM861" s="1749"/>
      <c r="BN861" s="1749"/>
      <c r="BO861" s="1749">
        <v>2368.85</v>
      </c>
      <c r="BP861" s="1749"/>
      <c r="BQ861" s="1749"/>
      <c r="BR861" s="1749"/>
      <c r="BS861" s="1749"/>
      <c r="BT861" s="1749"/>
      <c r="BU861" s="1749"/>
      <c r="BV861" s="1749">
        <v>0</v>
      </c>
      <c r="BW861" s="1749"/>
      <c r="BX861" s="1749"/>
      <c r="BY861" s="1749"/>
      <c r="BZ861" s="1749"/>
      <c r="CA861" s="1749"/>
      <c r="CB861" s="1749"/>
      <c r="CC861" s="1749"/>
      <c r="CD861" s="1749"/>
      <c r="CE861" s="1749"/>
      <c r="CF861" s="1749"/>
      <c r="CG861" s="1749"/>
      <c r="CH861" s="1749"/>
      <c r="CI861" s="1749">
        <v>2368.85</v>
      </c>
      <c r="CJ861" s="1749">
        <v>-2668.1800000000007</v>
      </c>
      <c r="CK861" s="1749"/>
      <c r="CL861" s="1749"/>
      <c r="CM861" s="1749"/>
      <c r="CN861" s="1749"/>
      <c r="CO861" s="1749">
        <v>-5336.3</v>
      </c>
      <c r="CP861" s="1749">
        <v>0</v>
      </c>
      <c r="CQ861" s="1749">
        <v>30</v>
      </c>
      <c r="CR861" s="1749">
        <v>-197.78530849607532</v>
      </c>
      <c r="CS861" s="1749">
        <v>0</v>
      </c>
      <c r="CT861" s="1749">
        <v>0</v>
      </c>
      <c r="CU861" s="1749">
        <v>0</v>
      </c>
      <c r="CV861" s="1749">
        <v>0</v>
      </c>
      <c r="CW861" s="1749"/>
      <c r="CX861" s="1749"/>
      <c r="CY861" s="1749"/>
      <c r="CZ861" s="1749">
        <v>0</v>
      </c>
      <c r="DA861" s="1749">
        <v>0</v>
      </c>
      <c r="DB861" s="1749">
        <v>0</v>
      </c>
      <c r="DC861" s="1749"/>
      <c r="DD861" s="1749"/>
      <c r="DE861" s="1749">
        <v>0</v>
      </c>
      <c r="DF861" s="1749">
        <v>0</v>
      </c>
      <c r="DG861" s="1749">
        <v>0</v>
      </c>
      <c r="DH861" s="1749">
        <v>0</v>
      </c>
      <c r="DI861" s="1749">
        <v>0</v>
      </c>
      <c r="DJ861" s="1749"/>
      <c r="DK861" s="1749">
        <v>0</v>
      </c>
      <c r="DL861" s="1749">
        <v>0</v>
      </c>
      <c r="DM861" s="1749"/>
      <c r="DN861" s="1749">
        <v>0</v>
      </c>
      <c r="DO861" s="1749">
        <v>0</v>
      </c>
      <c r="DP861" s="1749">
        <v>-1.0511755948078978</v>
      </c>
      <c r="DQ861" s="1749">
        <v>0</v>
      </c>
      <c r="DR861" s="1749">
        <v>-196.73413290126743</v>
      </c>
      <c r="DS861" s="1749"/>
      <c r="DT861" s="1749"/>
      <c r="DU861" s="1749">
        <v>10059.635519747941</v>
      </c>
      <c r="DV861" s="1749"/>
      <c r="DW861" s="1749">
        <v>0</v>
      </c>
      <c r="DX861" s="1749">
        <v>0</v>
      </c>
      <c r="DY861" s="1749">
        <v>-5336.3</v>
      </c>
      <c r="DZ861" s="1749"/>
      <c r="EA861" s="1749">
        <v>0</v>
      </c>
      <c r="EB861" s="1749"/>
      <c r="EC861" s="1749">
        <v>-5138.485188231657</v>
      </c>
      <c r="ED861" s="1749"/>
      <c r="EE861" s="1749">
        <v>0</v>
      </c>
      <c r="EF861" s="1749">
        <v>0</v>
      </c>
      <c r="EG861" s="1749"/>
      <c r="EH861" s="1749">
        <v>0</v>
      </c>
      <c r="EI861" s="1749">
        <v>0</v>
      </c>
      <c r="EJ861" s="1749">
        <v>0</v>
      </c>
      <c r="EK861" s="1749">
        <v>0</v>
      </c>
      <c r="EL861" s="1749">
        <v>0</v>
      </c>
      <c r="EM861" s="1749"/>
      <c r="EN861" s="1749"/>
      <c r="EO861" s="1749">
        <v>0</v>
      </c>
      <c r="EP861" s="1749">
        <v>0</v>
      </c>
      <c r="EQ861" s="1749"/>
      <c r="ER861" s="1749">
        <v>0</v>
      </c>
      <c r="ES861" s="1749"/>
      <c r="ET861" s="1749">
        <v>0</v>
      </c>
      <c r="EU861" s="1749"/>
      <c r="EV861" s="1749">
        <v>246</v>
      </c>
      <c r="EW861" s="1749"/>
      <c r="EX861" s="1749"/>
      <c r="EY861" s="1749"/>
      <c r="EZ861" s="1749"/>
      <c r="FA861" s="1749">
        <v>0</v>
      </c>
      <c r="FB861" s="1749"/>
      <c r="FC861" s="1749"/>
      <c r="FD861" s="1749"/>
      <c r="FE861" s="1749"/>
      <c r="FF861" s="1749">
        <v>0</v>
      </c>
      <c r="FG861" s="1749">
        <v>0</v>
      </c>
      <c r="FH861" s="1749">
        <v>0</v>
      </c>
      <c r="FI861" s="1749">
        <v>0</v>
      </c>
    </row>
    <row r="862" spans="1:165">
      <c r="A862" s="1749">
        <v>893</v>
      </c>
      <c r="B862" s="1749" t="s">
        <v>1090</v>
      </c>
      <c r="C862" s="1749" t="s">
        <v>1044</v>
      </c>
      <c r="D862" s="1749" t="s">
        <v>650</v>
      </c>
      <c r="E862" s="1749" t="s">
        <v>97</v>
      </c>
      <c r="F862" s="1749" t="s">
        <v>97</v>
      </c>
      <c r="G862" s="1749" t="s">
        <v>97</v>
      </c>
      <c r="H862" s="1749" t="s">
        <v>2336</v>
      </c>
      <c r="I862" s="1749" t="s">
        <v>97</v>
      </c>
      <c r="J862" s="1749" t="s">
        <v>2329</v>
      </c>
      <c r="K862" s="1750">
        <v>44652</v>
      </c>
      <c r="L862" s="1749">
        <v>561</v>
      </c>
      <c r="M862" s="1749">
        <v>280.5</v>
      </c>
      <c r="N862" s="1749">
        <v>0</v>
      </c>
      <c r="O862" s="1749">
        <v>0</v>
      </c>
      <c r="P862" s="1749">
        <v>0</v>
      </c>
      <c r="Q862" s="1749">
        <v>0</v>
      </c>
      <c r="R862" s="1749">
        <v>13.8</v>
      </c>
      <c r="S862" s="1749"/>
      <c r="T862" s="1749"/>
      <c r="U862" s="1749">
        <v>7741.8</v>
      </c>
      <c r="V862" s="1749"/>
      <c r="W862" s="1749">
        <v>7741.8</v>
      </c>
      <c r="X862" s="1749">
        <v>3640.8900000000003</v>
      </c>
      <c r="Y862" s="1749">
        <v>0</v>
      </c>
      <c r="Z862" s="1749">
        <v>0</v>
      </c>
      <c r="AA862" s="1749">
        <v>0</v>
      </c>
      <c r="AB862" s="1749">
        <v>0</v>
      </c>
      <c r="AC862" s="1749">
        <v>0</v>
      </c>
      <c r="AD862" s="1749">
        <v>0</v>
      </c>
      <c r="AE862" s="1749">
        <v>7730.7609953131432</v>
      </c>
      <c r="AF862" s="1749"/>
      <c r="AG862" s="1749"/>
      <c r="AH862" s="1749"/>
      <c r="AI862" s="1749">
        <v>0</v>
      </c>
      <c r="AJ862" s="1749">
        <v>0</v>
      </c>
      <c r="AK862" s="1749">
        <v>0</v>
      </c>
      <c r="AL862" s="1749">
        <v>0</v>
      </c>
      <c r="AM862" s="1749"/>
      <c r="AN862" s="1749">
        <v>12.678152109374436</v>
      </c>
      <c r="AO862" s="1749">
        <v>0</v>
      </c>
      <c r="AP862" s="1749">
        <v>0</v>
      </c>
      <c r="AQ862" s="1749">
        <v>0</v>
      </c>
      <c r="AR862" s="1749">
        <v>0</v>
      </c>
      <c r="AS862" s="1749"/>
      <c r="AT862" s="1749"/>
      <c r="AU862" s="1749">
        <v>0</v>
      </c>
      <c r="AV862" s="1749">
        <v>0</v>
      </c>
      <c r="AW862" s="1749">
        <v>0</v>
      </c>
      <c r="AX862" s="1749"/>
      <c r="AY862" s="1749"/>
      <c r="AZ862" s="1749">
        <v>0</v>
      </c>
      <c r="BA862" s="1749"/>
      <c r="BB862" s="1749">
        <v>0</v>
      </c>
      <c r="BC862" s="1749">
        <v>0</v>
      </c>
      <c r="BD862" s="1749">
        <v>0</v>
      </c>
      <c r="BE862" s="1749">
        <v>0</v>
      </c>
      <c r="BF862" s="1749"/>
      <c r="BG862" s="1749">
        <v>0</v>
      </c>
      <c r="BH862" s="1749">
        <v>0</v>
      </c>
      <c r="BI862" s="1749">
        <v>21.92</v>
      </c>
      <c r="BJ862" s="1749">
        <v>0</v>
      </c>
      <c r="BK862" s="1749">
        <v>0</v>
      </c>
      <c r="BL862" s="1749">
        <v>0</v>
      </c>
      <c r="BM862" s="1749"/>
      <c r="BN862" s="1749"/>
      <c r="BO862" s="1749">
        <v>1820.4450000000002</v>
      </c>
      <c r="BP862" s="1749"/>
      <c r="BQ862" s="1749"/>
      <c r="BR862" s="1749"/>
      <c r="BS862" s="1749"/>
      <c r="BT862" s="1749"/>
      <c r="BU862" s="1749"/>
      <c r="BV862" s="1749">
        <v>0</v>
      </c>
      <c r="BW862" s="1749"/>
      <c r="BX862" s="1749"/>
      <c r="BY862" s="1749"/>
      <c r="BZ862" s="1749"/>
      <c r="CA862" s="1749"/>
      <c r="CB862" s="1749"/>
      <c r="CC862" s="1749"/>
      <c r="CD862" s="1749"/>
      <c r="CE862" s="1749"/>
      <c r="CF862" s="1749"/>
      <c r="CG862" s="1749"/>
      <c r="CH862" s="1749"/>
      <c r="CI862" s="1749">
        <v>1820.4450000000002</v>
      </c>
      <c r="CJ862" s="1749">
        <v>-2050.4850000000006</v>
      </c>
      <c r="CK862" s="1749"/>
      <c r="CL862" s="1749"/>
      <c r="CM862" s="1749"/>
      <c r="CN862" s="1749"/>
      <c r="CO862" s="1749">
        <v>-4100.91</v>
      </c>
      <c r="CP862" s="1749">
        <v>0</v>
      </c>
      <c r="CQ862" s="1749">
        <v>30</v>
      </c>
      <c r="CR862" s="1749">
        <v>-151.99665488534006</v>
      </c>
      <c r="CS862" s="1749">
        <v>0</v>
      </c>
      <c r="CT862" s="1749">
        <v>0</v>
      </c>
      <c r="CU862" s="1749">
        <v>0</v>
      </c>
      <c r="CV862" s="1749">
        <v>0</v>
      </c>
      <c r="CW862" s="1749"/>
      <c r="CX862" s="1749"/>
      <c r="CY862" s="1749"/>
      <c r="CZ862" s="1749">
        <v>0</v>
      </c>
      <c r="DA862" s="1749">
        <v>0</v>
      </c>
      <c r="DB862" s="1749">
        <v>0</v>
      </c>
      <c r="DC862" s="1749"/>
      <c r="DD862" s="1749"/>
      <c r="DE862" s="1749">
        <v>0</v>
      </c>
      <c r="DF862" s="1749">
        <v>0</v>
      </c>
      <c r="DG862" s="1749">
        <v>0</v>
      </c>
      <c r="DH862" s="1749">
        <v>0</v>
      </c>
      <c r="DI862" s="1749">
        <v>0</v>
      </c>
      <c r="DJ862" s="1749"/>
      <c r="DK862" s="1749">
        <v>0</v>
      </c>
      <c r="DL862" s="1749">
        <v>0</v>
      </c>
      <c r="DM862" s="1749"/>
      <c r="DN862" s="1749">
        <v>0</v>
      </c>
      <c r="DO862" s="1749">
        <v>0</v>
      </c>
      <c r="DP862" s="1749">
        <v>-0.80782124477702943</v>
      </c>
      <c r="DQ862" s="1749">
        <v>0</v>
      </c>
      <c r="DR862" s="1749">
        <v>-151.18883364056305</v>
      </c>
      <c r="DS862" s="1749"/>
      <c r="DT862" s="1749"/>
      <c r="DU862" s="1749">
        <v>7730.7609953131432</v>
      </c>
      <c r="DV862" s="1749"/>
      <c r="DW862" s="1749">
        <v>0</v>
      </c>
      <c r="DX862" s="1749">
        <v>0</v>
      </c>
      <c r="DY862" s="1749">
        <v>-4100.91</v>
      </c>
      <c r="DZ862" s="1749"/>
      <c r="EA862" s="1749">
        <v>0</v>
      </c>
      <c r="EB862" s="1749"/>
      <c r="EC862" s="1749">
        <v>-3948.890672051999</v>
      </c>
      <c r="ED862" s="1749"/>
      <c r="EE862" s="1749">
        <v>0</v>
      </c>
      <c r="EF862" s="1749">
        <v>0</v>
      </c>
      <c r="EG862" s="1749"/>
      <c r="EH862" s="1749">
        <v>0</v>
      </c>
      <c r="EI862" s="1749">
        <v>0</v>
      </c>
      <c r="EJ862" s="1749">
        <v>0</v>
      </c>
      <c r="EK862" s="1749">
        <v>0</v>
      </c>
      <c r="EL862" s="1749">
        <v>0</v>
      </c>
      <c r="EM862" s="1749"/>
      <c r="EN862" s="1749"/>
      <c r="EO862" s="1749">
        <v>0</v>
      </c>
      <c r="EP862" s="1749">
        <v>0</v>
      </c>
      <c r="EQ862" s="1749"/>
      <c r="ER862" s="1749">
        <v>0</v>
      </c>
      <c r="ES862" s="1749"/>
      <c r="ET862" s="1749">
        <v>0</v>
      </c>
      <c r="EU862" s="1749"/>
      <c r="EV862" s="1749">
        <v>246</v>
      </c>
      <c r="EW862" s="1749"/>
      <c r="EX862" s="1749"/>
      <c r="EY862" s="1749"/>
      <c r="EZ862" s="1749"/>
      <c r="FA862" s="1749">
        <v>0</v>
      </c>
      <c r="FB862" s="1749"/>
      <c r="FC862" s="1749"/>
      <c r="FD862" s="1749"/>
      <c r="FE862" s="1749"/>
      <c r="FF862" s="1749">
        <v>0</v>
      </c>
      <c r="FG862" s="1749">
        <v>0</v>
      </c>
      <c r="FH862" s="1749">
        <v>0</v>
      </c>
      <c r="FI862" s="1749">
        <v>0</v>
      </c>
    </row>
    <row r="863" spans="1:165">
      <c r="A863" s="1749">
        <v>894</v>
      </c>
      <c r="B863" s="1749" t="s">
        <v>1090</v>
      </c>
      <c r="C863" s="1749" t="s">
        <v>1044</v>
      </c>
      <c r="D863" s="1749" t="s">
        <v>650</v>
      </c>
      <c r="E863" s="1749" t="s">
        <v>97</v>
      </c>
      <c r="F863" s="1749" t="s">
        <v>97</v>
      </c>
      <c r="G863" s="1749" t="s">
        <v>97</v>
      </c>
      <c r="H863" s="1749" t="s">
        <v>2337</v>
      </c>
      <c r="I863" s="1749" t="s">
        <v>97</v>
      </c>
      <c r="J863" s="1749" t="s">
        <v>2329</v>
      </c>
      <c r="K863" s="1750">
        <v>44652</v>
      </c>
      <c r="L863" s="1749">
        <v>379</v>
      </c>
      <c r="M863" s="1749">
        <v>189.5</v>
      </c>
      <c r="N863" s="1749">
        <v>0</v>
      </c>
      <c r="O863" s="1749">
        <v>0</v>
      </c>
      <c r="P863" s="1749">
        <v>0</v>
      </c>
      <c r="Q863" s="1749">
        <v>0</v>
      </c>
      <c r="R863" s="1749">
        <v>13.8</v>
      </c>
      <c r="S863" s="1749"/>
      <c r="T863" s="1749"/>
      <c r="U863" s="1749">
        <v>5230.2</v>
      </c>
      <c r="V863" s="1749"/>
      <c r="W863" s="1749">
        <v>5230.2</v>
      </c>
      <c r="X863" s="1749">
        <v>2459.71</v>
      </c>
      <c r="Y863" s="1749">
        <v>0</v>
      </c>
      <c r="Z863" s="1749">
        <v>0</v>
      </c>
      <c r="AA863" s="1749">
        <v>0</v>
      </c>
      <c r="AB863" s="1749">
        <v>0</v>
      </c>
      <c r="AC863" s="1749">
        <v>0</v>
      </c>
      <c r="AD863" s="1749">
        <v>0</v>
      </c>
      <c r="AE863" s="1749">
        <v>5222.742276691054</v>
      </c>
      <c r="AF863" s="1749"/>
      <c r="AG863" s="1749"/>
      <c r="AH863" s="1749"/>
      <c r="AI863" s="1749">
        <v>0</v>
      </c>
      <c r="AJ863" s="1749">
        <v>0</v>
      </c>
      <c r="AK863" s="1749">
        <v>0</v>
      </c>
      <c r="AL863" s="1749">
        <v>0</v>
      </c>
      <c r="AM863" s="1749"/>
      <c r="AN863" s="1749">
        <v>8.5650974143545646</v>
      </c>
      <c r="AO863" s="1749">
        <v>0</v>
      </c>
      <c r="AP863" s="1749">
        <v>0</v>
      </c>
      <c r="AQ863" s="1749">
        <v>0</v>
      </c>
      <c r="AR863" s="1749">
        <v>0</v>
      </c>
      <c r="AS863" s="1749"/>
      <c r="AT863" s="1749"/>
      <c r="AU863" s="1749">
        <v>0</v>
      </c>
      <c r="AV863" s="1749">
        <v>0</v>
      </c>
      <c r="AW863" s="1749">
        <v>0</v>
      </c>
      <c r="AX863" s="1749"/>
      <c r="AY863" s="1749"/>
      <c r="AZ863" s="1749">
        <v>0</v>
      </c>
      <c r="BA863" s="1749"/>
      <c r="BB863" s="1749">
        <v>0</v>
      </c>
      <c r="BC863" s="1749">
        <v>0</v>
      </c>
      <c r="BD863" s="1749">
        <v>0</v>
      </c>
      <c r="BE863" s="1749">
        <v>0</v>
      </c>
      <c r="BF863" s="1749"/>
      <c r="BG863" s="1749">
        <v>0</v>
      </c>
      <c r="BH863" s="1749">
        <v>0</v>
      </c>
      <c r="BI863" s="1749">
        <v>14.8</v>
      </c>
      <c r="BJ863" s="1749">
        <v>0</v>
      </c>
      <c r="BK863" s="1749">
        <v>0</v>
      </c>
      <c r="BL863" s="1749">
        <v>0</v>
      </c>
      <c r="BM863" s="1749"/>
      <c r="BN863" s="1749"/>
      <c r="BO863" s="1749">
        <v>1229.855</v>
      </c>
      <c r="BP863" s="1749"/>
      <c r="BQ863" s="1749"/>
      <c r="BR863" s="1749"/>
      <c r="BS863" s="1749"/>
      <c r="BT863" s="1749"/>
      <c r="BU863" s="1749"/>
      <c r="BV863" s="1749">
        <v>0</v>
      </c>
      <c r="BW863" s="1749"/>
      <c r="BX863" s="1749"/>
      <c r="BY863" s="1749"/>
      <c r="BZ863" s="1749"/>
      <c r="CA863" s="1749"/>
      <c r="CB863" s="1749"/>
      <c r="CC863" s="1749"/>
      <c r="CD863" s="1749"/>
      <c r="CE863" s="1749"/>
      <c r="CF863" s="1749"/>
      <c r="CG863" s="1749"/>
      <c r="CH863" s="1749"/>
      <c r="CI863" s="1749">
        <v>1229.855</v>
      </c>
      <c r="CJ863" s="1749">
        <v>-1385.2750000000005</v>
      </c>
      <c r="CK863" s="1749"/>
      <c r="CL863" s="1749"/>
      <c r="CM863" s="1749"/>
      <c r="CN863" s="1749"/>
      <c r="CO863" s="1749">
        <v>-2770.4900000000002</v>
      </c>
      <c r="CP863" s="1749">
        <v>0</v>
      </c>
      <c r="CQ863" s="1749">
        <v>30</v>
      </c>
      <c r="CR863" s="1749">
        <v>-102.68579715070211</v>
      </c>
      <c r="CS863" s="1749">
        <v>0</v>
      </c>
      <c r="CT863" s="1749">
        <v>0</v>
      </c>
      <c r="CU863" s="1749">
        <v>0</v>
      </c>
      <c r="CV863" s="1749">
        <v>0</v>
      </c>
      <c r="CW863" s="1749"/>
      <c r="CX863" s="1749"/>
      <c r="CY863" s="1749"/>
      <c r="CZ863" s="1749">
        <v>0</v>
      </c>
      <c r="DA863" s="1749">
        <v>0</v>
      </c>
      <c r="DB863" s="1749">
        <v>0</v>
      </c>
      <c r="DC863" s="1749"/>
      <c r="DD863" s="1749"/>
      <c r="DE863" s="1749">
        <v>0</v>
      </c>
      <c r="DF863" s="1749">
        <v>0</v>
      </c>
      <c r="DG863" s="1749">
        <v>0</v>
      </c>
      <c r="DH863" s="1749">
        <v>0</v>
      </c>
      <c r="DI863" s="1749">
        <v>0</v>
      </c>
      <c r="DJ863" s="1749"/>
      <c r="DK863" s="1749">
        <v>0</v>
      </c>
      <c r="DL863" s="1749">
        <v>0</v>
      </c>
      <c r="DM863" s="1749"/>
      <c r="DN863" s="1749">
        <v>0</v>
      </c>
      <c r="DO863" s="1749">
        <v>0</v>
      </c>
      <c r="DP863" s="1749">
        <v>-0.5457473293591697</v>
      </c>
      <c r="DQ863" s="1749">
        <v>0</v>
      </c>
      <c r="DR863" s="1749">
        <v>-102.14004982134294</v>
      </c>
      <c r="DS863" s="1749"/>
      <c r="DT863" s="1749"/>
      <c r="DU863" s="1749">
        <v>5222.742276691054</v>
      </c>
      <c r="DV863" s="1749"/>
      <c r="DW863" s="1749">
        <v>0</v>
      </c>
      <c r="DX863" s="1749">
        <v>0</v>
      </c>
      <c r="DY863" s="1749">
        <v>-2770.49</v>
      </c>
      <c r="DZ863" s="1749"/>
      <c r="EA863" s="1749">
        <v>0</v>
      </c>
      <c r="EB863" s="1749"/>
      <c r="EC863" s="1749">
        <v>-2667.7888853969835</v>
      </c>
      <c r="ED863" s="1749"/>
      <c r="EE863" s="1749">
        <v>0</v>
      </c>
      <c r="EF863" s="1749">
        <v>0</v>
      </c>
      <c r="EG863" s="1749"/>
      <c r="EH863" s="1749">
        <v>0</v>
      </c>
      <c r="EI863" s="1749">
        <v>0</v>
      </c>
      <c r="EJ863" s="1749">
        <v>0</v>
      </c>
      <c r="EK863" s="1749">
        <v>0</v>
      </c>
      <c r="EL863" s="1749">
        <v>0</v>
      </c>
      <c r="EM863" s="1749"/>
      <c r="EN863" s="1749"/>
      <c r="EO863" s="1749">
        <v>0</v>
      </c>
      <c r="EP863" s="1749">
        <v>0</v>
      </c>
      <c r="EQ863" s="1749"/>
      <c r="ER863" s="1749">
        <v>0</v>
      </c>
      <c r="ES863" s="1749"/>
      <c r="ET863" s="1749">
        <v>0</v>
      </c>
      <c r="EU863" s="1749"/>
      <c r="EV863" s="1749">
        <v>246</v>
      </c>
      <c r="EW863" s="1749"/>
      <c r="EX863" s="1749"/>
      <c r="EY863" s="1749"/>
      <c r="EZ863" s="1749"/>
      <c r="FA863" s="1749">
        <v>0</v>
      </c>
      <c r="FB863" s="1749"/>
      <c r="FC863" s="1749"/>
      <c r="FD863" s="1749"/>
      <c r="FE863" s="1749"/>
      <c r="FF863" s="1749">
        <v>0</v>
      </c>
      <c r="FG863" s="1749">
        <v>0</v>
      </c>
      <c r="FH863" s="1749">
        <v>0</v>
      </c>
      <c r="FI863" s="1749">
        <v>0</v>
      </c>
    </row>
    <row r="864" spans="1:165">
      <c r="A864" s="1749">
        <v>895</v>
      </c>
      <c r="B864" s="1749" t="s">
        <v>1090</v>
      </c>
      <c r="C864" s="1749" t="s">
        <v>1044</v>
      </c>
      <c r="D864" s="1749" t="s">
        <v>650</v>
      </c>
      <c r="E864" s="1749" t="s">
        <v>97</v>
      </c>
      <c r="F864" s="1749" t="s">
        <v>97</v>
      </c>
      <c r="G864" s="1749" t="s">
        <v>97</v>
      </c>
      <c r="H864" s="1749" t="s">
        <v>2338</v>
      </c>
      <c r="I864" s="1749" t="s">
        <v>97</v>
      </c>
      <c r="J864" s="1749" t="s">
        <v>2329</v>
      </c>
      <c r="K864" s="1750">
        <v>44652</v>
      </c>
      <c r="L864" s="1749">
        <v>718</v>
      </c>
      <c r="M864" s="1749">
        <v>359</v>
      </c>
      <c r="N864" s="1749">
        <v>0</v>
      </c>
      <c r="O864" s="1749">
        <v>0</v>
      </c>
      <c r="P864" s="1749">
        <v>0</v>
      </c>
      <c r="Q864" s="1749">
        <v>0</v>
      </c>
      <c r="R864" s="1749">
        <v>13.8</v>
      </c>
      <c r="S864" s="1749"/>
      <c r="T864" s="1749"/>
      <c r="U864" s="1749">
        <v>9908.4</v>
      </c>
      <c r="V864" s="1749"/>
      <c r="W864" s="1749">
        <v>9908.4</v>
      </c>
      <c r="X864" s="1749">
        <v>4659.82</v>
      </c>
      <c r="Y864" s="1749">
        <v>0</v>
      </c>
      <c r="Z864" s="1749">
        <v>0</v>
      </c>
      <c r="AA864" s="1749">
        <v>0</v>
      </c>
      <c r="AB864" s="1749">
        <v>0</v>
      </c>
      <c r="AC864" s="1749">
        <v>0</v>
      </c>
      <c r="AD864" s="1749">
        <v>0</v>
      </c>
      <c r="AE864" s="1749">
        <v>9894.2716481904408</v>
      </c>
      <c r="AF864" s="1749"/>
      <c r="AG864" s="1749"/>
      <c r="AH864" s="1749"/>
      <c r="AI864" s="1749">
        <v>0</v>
      </c>
      <c r="AJ864" s="1749">
        <v>0</v>
      </c>
      <c r="AK864" s="1749">
        <v>0</v>
      </c>
      <c r="AL864" s="1749">
        <v>0</v>
      </c>
      <c r="AM864" s="1749"/>
      <c r="AN864" s="1749">
        <v>16.226226763869597</v>
      </c>
      <c r="AO864" s="1749">
        <v>0</v>
      </c>
      <c r="AP864" s="1749">
        <v>0</v>
      </c>
      <c r="AQ864" s="1749">
        <v>0</v>
      </c>
      <c r="AR864" s="1749">
        <v>0</v>
      </c>
      <c r="AS864" s="1749"/>
      <c r="AT864" s="1749"/>
      <c r="AU864" s="1749">
        <v>0</v>
      </c>
      <c r="AV864" s="1749">
        <v>0</v>
      </c>
      <c r="AW864" s="1749">
        <v>0</v>
      </c>
      <c r="AX864" s="1749"/>
      <c r="AY864" s="1749"/>
      <c r="AZ864" s="1749">
        <v>0</v>
      </c>
      <c r="BA864" s="1749"/>
      <c r="BB864" s="1749">
        <v>0</v>
      </c>
      <c r="BC864" s="1749">
        <v>0</v>
      </c>
      <c r="BD864" s="1749">
        <v>0</v>
      </c>
      <c r="BE864" s="1749">
        <v>0</v>
      </c>
      <c r="BF864" s="1749"/>
      <c r="BG864" s="1749">
        <v>0</v>
      </c>
      <c r="BH864" s="1749">
        <v>0</v>
      </c>
      <c r="BI864" s="1749">
        <v>28.05</v>
      </c>
      <c r="BJ864" s="1749">
        <v>0</v>
      </c>
      <c r="BK864" s="1749">
        <v>0</v>
      </c>
      <c r="BL864" s="1749">
        <v>0</v>
      </c>
      <c r="BM864" s="1749"/>
      <c r="BN864" s="1749"/>
      <c r="BO864" s="1749">
        <v>2329.91</v>
      </c>
      <c r="BP864" s="1749"/>
      <c r="BQ864" s="1749"/>
      <c r="BR864" s="1749"/>
      <c r="BS864" s="1749"/>
      <c r="BT864" s="1749"/>
      <c r="BU864" s="1749"/>
      <c r="BV864" s="1749">
        <v>0</v>
      </c>
      <c r="BW864" s="1749"/>
      <c r="BX864" s="1749"/>
      <c r="BY864" s="1749"/>
      <c r="BZ864" s="1749"/>
      <c r="CA864" s="1749"/>
      <c r="CB864" s="1749"/>
      <c r="CC864" s="1749"/>
      <c r="CD864" s="1749"/>
      <c r="CE864" s="1749"/>
      <c r="CF864" s="1749"/>
      <c r="CG864" s="1749"/>
      <c r="CH864" s="1749"/>
      <c r="CI864" s="1749">
        <v>2329.91</v>
      </c>
      <c r="CJ864" s="1749">
        <v>-2624.3200000000006</v>
      </c>
      <c r="CK864" s="1749"/>
      <c r="CL864" s="1749"/>
      <c r="CM864" s="1749"/>
      <c r="CN864" s="1749"/>
      <c r="CO864" s="1749">
        <v>-5248.58</v>
      </c>
      <c r="CP864" s="1749">
        <v>0</v>
      </c>
      <c r="CQ864" s="1749">
        <v>30</v>
      </c>
      <c r="CR864" s="1749">
        <v>-194.53404315093434</v>
      </c>
      <c r="CS864" s="1749">
        <v>0</v>
      </c>
      <c r="CT864" s="1749">
        <v>0</v>
      </c>
      <c r="CU864" s="1749">
        <v>0</v>
      </c>
      <c r="CV864" s="1749">
        <v>0</v>
      </c>
      <c r="CW864" s="1749"/>
      <c r="CX864" s="1749"/>
      <c r="CY864" s="1749"/>
      <c r="CZ864" s="1749">
        <v>0</v>
      </c>
      <c r="DA864" s="1749">
        <v>0</v>
      </c>
      <c r="DB864" s="1749">
        <v>0</v>
      </c>
      <c r="DC864" s="1749"/>
      <c r="DD864" s="1749"/>
      <c r="DE864" s="1749">
        <v>0</v>
      </c>
      <c r="DF864" s="1749">
        <v>0</v>
      </c>
      <c r="DG864" s="1749">
        <v>0</v>
      </c>
      <c r="DH864" s="1749">
        <v>0</v>
      </c>
      <c r="DI864" s="1749">
        <v>0</v>
      </c>
      <c r="DJ864" s="1749"/>
      <c r="DK864" s="1749">
        <v>0</v>
      </c>
      <c r="DL864" s="1749">
        <v>0</v>
      </c>
      <c r="DM864" s="1749"/>
      <c r="DN864" s="1749">
        <v>0</v>
      </c>
      <c r="DO864" s="1749">
        <v>0</v>
      </c>
      <c r="DP864" s="1749">
        <v>-1.0338959959891376</v>
      </c>
      <c r="DQ864" s="1749">
        <v>0</v>
      </c>
      <c r="DR864" s="1749">
        <v>-193.50014715494521</v>
      </c>
      <c r="DS864" s="1749"/>
      <c r="DT864" s="1749"/>
      <c r="DU864" s="1749">
        <v>9894.2716481904408</v>
      </c>
      <c r="DV864" s="1749"/>
      <c r="DW864" s="1749">
        <v>0</v>
      </c>
      <c r="DX864" s="1749">
        <v>0</v>
      </c>
      <c r="DY864" s="1749">
        <v>-5248.58</v>
      </c>
      <c r="DZ864" s="1749"/>
      <c r="EA864" s="1749">
        <v>0</v>
      </c>
      <c r="EB864" s="1749"/>
      <c r="EC864" s="1749">
        <v>-5054.0169385620957</v>
      </c>
      <c r="ED864" s="1749"/>
      <c r="EE864" s="1749">
        <v>0</v>
      </c>
      <c r="EF864" s="1749">
        <v>0</v>
      </c>
      <c r="EG864" s="1749"/>
      <c r="EH864" s="1749">
        <v>0</v>
      </c>
      <c r="EI864" s="1749">
        <v>0</v>
      </c>
      <c r="EJ864" s="1749">
        <v>0</v>
      </c>
      <c r="EK864" s="1749">
        <v>0</v>
      </c>
      <c r="EL864" s="1749">
        <v>0</v>
      </c>
      <c r="EM864" s="1749"/>
      <c r="EN864" s="1749"/>
      <c r="EO864" s="1749">
        <v>0</v>
      </c>
      <c r="EP864" s="1749">
        <v>0</v>
      </c>
      <c r="EQ864" s="1749"/>
      <c r="ER864" s="1749">
        <v>0</v>
      </c>
      <c r="ES864" s="1749"/>
      <c r="ET864" s="1749">
        <v>0</v>
      </c>
      <c r="EU864" s="1749"/>
      <c r="EV864" s="1749">
        <v>246</v>
      </c>
      <c r="EW864" s="1749"/>
      <c r="EX864" s="1749"/>
      <c r="EY864" s="1749"/>
      <c r="EZ864" s="1749"/>
      <c r="FA864" s="1749">
        <v>0</v>
      </c>
      <c r="FB864" s="1749"/>
      <c r="FC864" s="1749"/>
      <c r="FD864" s="1749"/>
      <c r="FE864" s="1749"/>
      <c r="FF864" s="1749">
        <v>0</v>
      </c>
      <c r="FG864" s="1749">
        <v>0</v>
      </c>
      <c r="FH864" s="1749">
        <v>0</v>
      </c>
      <c r="FI864" s="1749">
        <v>0</v>
      </c>
    </row>
    <row r="865" spans="1:165">
      <c r="A865" s="1749">
        <v>896</v>
      </c>
      <c r="B865" s="1749" t="s">
        <v>1090</v>
      </c>
      <c r="C865" s="1749" t="s">
        <v>1044</v>
      </c>
      <c r="D865" s="1749" t="s">
        <v>650</v>
      </c>
      <c r="E865" s="1749" t="s">
        <v>97</v>
      </c>
      <c r="F865" s="1749" t="s">
        <v>97</v>
      </c>
      <c r="G865" s="1749" t="s">
        <v>97</v>
      </c>
      <c r="H865" s="1749" t="s">
        <v>2328</v>
      </c>
      <c r="I865" s="1749" t="s">
        <v>97</v>
      </c>
      <c r="J865" s="1749" t="s">
        <v>2329</v>
      </c>
      <c r="K865" s="1750">
        <v>44682</v>
      </c>
      <c r="L865" s="1749">
        <v>880</v>
      </c>
      <c r="M865" s="1749">
        <v>440</v>
      </c>
      <c r="N865" s="1749">
        <v>0</v>
      </c>
      <c r="O865" s="1749">
        <v>0</v>
      </c>
      <c r="P865" s="1749">
        <v>0</v>
      </c>
      <c r="Q865" s="1749">
        <v>0</v>
      </c>
      <c r="R865" s="1749">
        <v>13.8</v>
      </c>
      <c r="S865" s="1749"/>
      <c r="T865" s="1749"/>
      <c r="U865" s="1749">
        <v>12144</v>
      </c>
      <c r="V865" s="1749"/>
      <c r="W865" s="1749">
        <v>12144</v>
      </c>
      <c r="X865" s="1749">
        <v>5711.2</v>
      </c>
      <c r="Y865" s="1749">
        <v>0</v>
      </c>
      <c r="Z865" s="1749">
        <v>0</v>
      </c>
      <c r="AA865" s="1749">
        <v>0</v>
      </c>
      <c r="AB865" s="1749">
        <v>0</v>
      </c>
      <c r="AC865" s="1749">
        <v>0</v>
      </c>
      <c r="AD865" s="1749">
        <v>0</v>
      </c>
      <c r="AE865" s="1749">
        <v>12126.683914216695</v>
      </c>
      <c r="AF865" s="1749"/>
      <c r="AG865" s="1749"/>
      <c r="AH865" s="1749"/>
      <c r="AI865" s="1749">
        <v>0</v>
      </c>
      <c r="AJ865" s="1749">
        <v>0</v>
      </c>
      <c r="AK865" s="1749">
        <v>0</v>
      </c>
      <c r="AL865" s="1749">
        <v>0</v>
      </c>
      <c r="AM865" s="1749"/>
      <c r="AN865" s="1749">
        <v>19.887297426469704</v>
      </c>
      <c r="AO865" s="1749">
        <v>0</v>
      </c>
      <c r="AP865" s="1749">
        <v>0</v>
      </c>
      <c r="AQ865" s="1749">
        <v>0</v>
      </c>
      <c r="AR865" s="1749">
        <v>0</v>
      </c>
      <c r="AS865" s="1749"/>
      <c r="AT865" s="1749"/>
      <c r="AU865" s="1749">
        <v>0</v>
      </c>
      <c r="AV865" s="1749">
        <v>0</v>
      </c>
      <c r="AW865" s="1749">
        <v>0</v>
      </c>
      <c r="AX865" s="1749"/>
      <c r="AY865" s="1749"/>
      <c r="AZ865" s="1749">
        <v>0</v>
      </c>
      <c r="BA865" s="1749"/>
      <c r="BB865" s="1749">
        <v>0</v>
      </c>
      <c r="BC865" s="1749">
        <v>0</v>
      </c>
      <c r="BD865" s="1749">
        <v>0</v>
      </c>
      <c r="BE865" s="1749">
        <v>0</v>
      </c>
      <c r="BF865" s="1749"/>
      <c r="BG865" s="1749">
        <v>0</v>
      </c>
      <c r="BH865" s="1749">
        <v>0</v>
      </c>
      <c r="BI865" s="1749">
        <v>6</v>
      </c>
      <c r="BJ865" s="1749">
        <v>0</v>
      </c>
      <c r="BK865" s="1749">
        <v>0</v>
      </c>
      <c r="BL865" s="1749">
        <v>0</v>
      </c>
      <c r="BM865" s="1749"/>
      <c r="BN865" s="1749"/>
      <c r="BO865" s="1749">
        <v>2855.6</v>
      </c>
      <c r="BP865" s="1749"/>
      <c r="BQ865" s="1749"/>
      <c r="BR865" s="1749"/>
      <c r="BS865" s="1749"/>
      <c r="BT865" s="1749"/>
      <c r="BU865" s="1749"/>
      <c r="BV865" s="1749">
        <v>0</v>
      </c>
      <c r="BW865" s="1749"/>
      <c r="BX865" s="1749"/>
      <c r="BY865" s="1749"/>
      <c r="BZ865" s="1749"/>
      <c r="CA865" s="1749"/>
      <c r="CB865" s="1749"/>
      <c r="CC865" s="1749"/>
      <c r="CD865" s="1749"/>
      <c r="CE865" s="1749"/>
      <c r="CF865" s="1749"/>
      <c r="CG865" s="1749"/>
      <c r="CH865" s="1749"/>
      <c r="CI865" s="1749">
        <v>2855.6</v>
      </c>
      <c r="CJ865" s="1749">
        <v>-3216.4300000000007</v>
      </c>
      <c r="CK865" s="1749"/>
      <c r="CL865" s="1749"/>
      <c r="CM865" s="1749"/>
      <c r="CN865" s="1749"/>
      <c r="CO865" s="1749">
        <v>-6432.8</v>
      </c>
      <c r="CP865" s="1749">
        <v>0</v>
      </c>
      <c r="CQ865" s="1749">
        <v>31</v>
      </c>
      <c r="CR865" s="1749">
        <v>-238.42612531033737</v>
      </c>
      <c r="CS865" s="1749">
        <v>0</v>
      </c>
      <c r="CT865" s="1749">
        <v>0</v>
      </c>
      <c r="CU865" s="1749">
        <v>0</v>
      </c>
      <c r="CV865" s="1749">
        <v>0</v>
      </c>
      <c r="CW865" s="1749"/>
      <c r="CX865" s="1749"/>
      <c r="CY865" s="1749"/>
      <c r="CZ865" s="1749">
        <v>0</v>
      </c>
      <c r="DA865" s="1749">
        <v>0</v>
      </c>
      <c r="DB865" s="1749">
        <v>0</v>
      </c>
      <c r="DC865" s="1749"/>
      <c r="DD865" s="1749"/>
      <c r="DE865" s="1749">
        <v>0</v>
      </c>
      <c r="DF865" s="1749">
        <v>0</v>
      </c>
      <c r="DG865" s="1749">
        <v>0</v>
      </c>
      <c r="DH865" s="1749">
        <v>0</v>
      </c>
      <c r="DI865" s="1749">
        <v>0</v>
      </c>
      <c r="DJ865" s="1749"/>
      <c r="DK865" s="1749">
        <v>0</v>
      </c>
      <c r="DL865" s="1749">
        <v>0</v>
      </c>
      <c r="DM865" s="1749"/>
      <c r="DN865" s="1749">
        <v>0</v>
      </c>
      <c r="DO865" s="1749">
        <v>0</v>
      </c>
      <c r="DP865" s="1749">
        <v>-1.2671705800424</v>
      </c>
      <c r="DQ865" s="1749">
        <v>0</v>
      </c>
      <c r="DR865" s="1749">
        <v>-237.15895473029497</v>
      </c>
      <c r="DS865" s="1749"/>
      <c r="DT865" s="1749"/>
      <c r="DU865" s="1749">
        <v>12126.683914216695</v>
      </c>
      <c r="DV865" s="1749"/>
      <c r="DW865" s="1749">
        <v>0</v>
      </c>
      <c r="DX865" s="1749">
        <v>0</v>
      </c>
      <c r="DY865" s="1749">
        <v>-6432.8</v>
      </c>
      <c r="DZ865" s="1749"/>
      <c r="EA865" s="1749">
        <v>0</v>
      </c>
      <c r="EB865" s="1749"/>
      <c r="EC865" s="1749">
        <v>-6194.3383091011747</v>
      </c>
      <c r="ED865" s="1749"/>
      <c r="EE865" s="1749">
        <v>0</v>
      </c>
      <c r="EF865" s="1749">
        <v>0</v>
      </c>
      <c r="EG865" s="1749"/>
      <c r="EH865" s="1749">
        <v>0</v>
      </c>
      <c r="EI865" s="1749">
        <v>0</v>
      </c>
      <c r="EJ865" s="1749">
        <v>0</v>
      </c>
      <c r="EK865" s="1749">
        <v>0</v>
      </c>
      <c r="EL865" s="1749">
        <v>0</v>
      </c>
      <c r="EM865" s="1749"/>
      <c r="EN865" s="1749"/>
      <c r="EO865" s="1749">
        <v>0</v>
      </c>
      <c r="EP865" s="1749">
        <v>0</v>
      </c>
      <c r="EQ865" s="1749"/>
      <c r="ER865" s="1749">
        <v>0</v>
      </c>
      <c r="ES865" s="1749"/>
      <c r="ET865" s="1749">
        <v>0</v>
      </c>
      <c r="EU865" s="1749"/>
      <c r="EV865" s="1749">
        <v>246</v>
      </c>
      <c r="EW865" s="1749"/>
      <c r="EX865" s="1749"/>
      <c r="EY865" s="1749"/>
      <c r="EZ865" s="1749"/>
      <c r="FA865" s="1749">
        <v>0</v>
      </c>
      <c r="FB865" s="1749"/>
      <c r="FC865" s="1749"/>
      <c r="FD865" s="1749"/>
      <c r="FE865" s="1749"/>
      <c r="FF865" s="1749">
        <v>0</v>
      </c>
      <c r="FG865" s="1749">
        <v>0</v>
      </c>
      <c r="FH865" s="1749">
        <v>0</v>
      </c>
      <c r="FI865" s="1749">
        <v>0</v>
      </c>
    </row>
    <row r="866" spans="1:165">
      <c r="A866" s="1749">
        <v>897</v>
      </c>
      <c r="B866" s="1749" t="s">
        <v>1090</v>
      </c>
      <c r="C866" s="1749" t="s">
        <v>1044</v>
      </c>
      <c r="D866" s="1749" t="s">
        <v>650</v>
      </c>
      <c r="E866" s="1749" t="s">
        <v>97</v>
      </c>
      <c r="F866" s="1749" t="s">
        <v>97</v>
      </c>
      <c r="G866" s="1749" t="s">
        <v>97</v>
      </c>
      <c r="H866" s="1749" t="s">
        <v>2330</v>
      </c>
      <c r="I866" s="1749" t="s">
        <v>97</v>
      </c>
      <c r="J866" s="1749" t="s">
        <v>2329</v>
      </c>
      <c r="K866" s="1750">
        <v>44682</v>
      </c>
      <c r="L866" s="1749">
        <v>520</v>
      </c>
      <c r="M866" s="1749">
        <v>260</v>
      </c>
      <c r="N866" s="1749">
        <v>0</v>
      </c>
      <c r="O866" s="1749">
        <v>0</v>
      </c>
      <c r="P866" s="1749">
        <v>0</v>
      </c>
      <c r="Q866" s="1749">
        <v>0</v>
      </c>
      <c r="R866" s="1749">
        <v>13.8</v>
      </c>
      <c r="S866" s="1749"/>
      <c r="T866" s="1749"/>
      <c r="U866" s="1749">
        <v>7176</v>
      </c>
      <c r="V866" s="1749"/>
      <c r="W866" s="1749">
        <v>7176</v>
      </c>
      <c r="X866" s="1749">
        <v>3374.8</v>
      </c>
      <c r="Y866" s="1749">
        <v>0</v>
      </c>
      <c r="Z866" s="1749">
        <v>0</v>
      </c>
      <c r="AA866" s="1749">
        <v>0</v>
      </c>
      <c r="AB866" s="1749">
        <v>0</v>
      </c>
      <c r="AC866" s="1749">
        <v>0</v>
      </c>
      <c r="AD866" s="1749">
        <v>0</v>
      </c>
      <c r="AE866" s="1749">
        <v>7165.767767491684</v>
      </c>
      <c r="AF866" s="1749"/>
      <c r="AG866" s="1749"/>
      <c r="AH866" s="1749"/>
      <c r="AI866" s="1749">
        <v>0</v>
      </c>
      <c r="AJ866" s="1749">
        <v>0</v>
      </c>
      <c r="AK866" s="1749">
        <v>0</v>
      </c>
      <c r="AL866" s="1749">
        <v>0</v>
      </c>
      <c r="AM866" s="1749"/>
      <c r="AN866" s="1749">
        <v>11.751584842913916</v>
      </c>
      <c r="AO866" s="1749">
        <v>0</v>
      </c>
      <c r="AP866" s="1749">
        <v>0</v>
      </c>
      <c r="AQ866" s="1749">
        <v>0</v>
      </c>
      <c r="AR866" s="1749">
        <v>0</v>
      </c>
      <c r="AS866" s="1749"/>
      <c r="AT866" s="1749"/>
      <c r="AU866" s="1749">
        <v>0</v>
      </c>
      <c r="AV866" s="1749">
        <v>0</v>
      </c>
      <c r="AW866" s="1749">
        <v>0</v>
      </c>
      <c r="AX866" s="1749"/>
      <c r="AY866" s="1749"/>
      <c r="AZ866" s="1749">
        <v>0</v>
      </c>
      <c r="BA866" s="1749"/>
      <c r="BB866" s="1749">
        <v>0</v>
      </c>
      <c r="BC866" s="1749">
        <v>0</v>
      </c>
      <c r="BD866" s="1749">
        <v>0</v>
      </c>
      <c r="BE866" s="1749">
        <v>0</v>
      </c>
      <c r="BF866" s="1749"/>
      <c r="BG866" s="1749">
        <v>0</v>
      </c>
      <c r="BH866" s="1749">
        <v>0</v>
      </c>
      <c r="BI866" s="1749">
        <v>3.54</v>
      </c>
      <c r="BJ866" s="1749">
        <v>0</v>
      </c>
      <c r="BK866" s="1749">
        <v>0</v>
      </c>
      <c r="BL866" s="1749">
        <v>0</v>
      </c>
      <c r="BM866" s="1749"/>
      <c r="BN866" s="1749"/>
      <c r="BO866" s="1749">
        <v>1687.4</v>
      </c>
      <c r="BP866" s="1749"/>
      <c r="BQ866" s="1749"/>
      <c r="BR866" s="1749"/>
      <c r="BS866" s="1749"/>
      <c r="BT866" s="1749"/>
      <c r="BU866" s="1749"/>
      <c r="BV866" s="1749">
        <v>0</v>
      </c>
      <c r="BW866" s="1749"/>
      <c r="BX866" s="1749"/>
      <c r="BY866" s="1749"/>
      <c r="BZ866" s="1749"/>
      <c r="CA866" s="1749"/>
      <c r="CB866" s="1749"/>
      <c r="CC866" s="1749"/>
      <c r="CD866" s="1749"/>
      <c r="CE866" s="1749"/>
      <c r="CF866" s="1749"/>
      <c r="CG866" s="1749"/>
      <c r="CH866" s="1749"/>
      <c r="CI866" s="1749">
        <v>1687.4</v>
      </c>
      <c r="CJ866" s="1749">
        <v>-1900.6300000000006</v>
      </c>
      <c r="CK866" s="1749"/>
      <c r="CL866" s="1749"/>
      <c r="CM866" s="1749"/>
      <c r="CN866" s="1749"/>
      <c r="CO866" s="1749">
        <v>-3801.2000000000003</v>
      </c>
      <c r="CP866" s="1749">
        <v>0</v>
      </c>
      <c r="CQ866" s="1749">
        <v>31</v>
      </c>
      <c r="CR866" s="1749">
        <v>-140.88816495610848</v>
      </c>
      <c r="CS866" s="1749">
        <v>0</v>
      </c>
      <c r="CT866" s="1749">
        <v>0</v>
      </c>
      <c r="CU866" s="1749">
        <v>0</v>
      </c>
      <c r="CV866" s="1749">
        <v>0</v>
      </c>
      <c r="CW866" s="1749"/>
      <c r="CX866" s="1749"/>
      <c r="CY866" s="1749"/>
      <c r="CZ866" s="1749">
        <v>0</v>
      </c>
      <c r="DA866" s="1749">
        <v>0</v>
      </c>
      <c r="DB866" s="1749">
        <v>0</v>
      </c>
      <c r="DC866" s="1749"/>
      <c r="DD866" s="1749"/>
      <c r="DE866" s="1749">
        <v>0</v>
      </c>
      <c r="DF866" s="1749">
        <v>0</v>
      </c>
      <c r="DG866" s="1749">
        <v>0</v>
      </c>
      <c r="DH866" s="1749">
        <v>0</v>
      </c>
      <c r="DI866" s="1749">
        <v>0</v>
      </c>
      <c r="DJ866" s="1749"/>
      <c r="DK866" s="1749">
        <v>0</v>
      </c>
      <c r="DL866" s="1749">
        <v>0</v>
      </c>
      <c r="DM866" s="1749"/>
      <c r="DN866" s="1749">
        <v>0</v>
      </c>
      <c r="DO866" s="1749">
        <v>0</v>
      </c>
      <c r="DP866" s="1749">
        <v>-0.74878261547960001</v>
      </c>
      <c r="DQ866" s="1749">
        <v>0</v>
      </c>
      <c r="DR866" s="1749">
        <v>-140.13938234062886</v>
      </c>
      <c r="DS866" s="1749"/>
      <c r="DT866" s="1749"/>
      <c r="DU866" s="1749">
        <v>7165.767767491684</v>
      </c>
      <c r="DV866" s="1749"/>
      <c r="DW866" s="1749">
        <v>0</v>
      </c>
      <c r="DX866" s="1749">
        <v>0</v>
      </c>
      <c r="DY866" s="1749">
        <v>-3801.2</v>
      </c>
      <c r="DZ866" s="1749"/>
      <c r="EA866" s="1749">
        <v>0</v>
      </c>
      <c r="EB866" s="1749"/>
      <c r="EC866" s="1749">
        <v>-3660.2908190143312</v>
      </c>
      <c r="ED866" s="1749"/>
      <c r="EE866" s="1749">
        <v>0</v>
      </c>
      <c r="EF866" s="1749">
        <v>0</v>
      </c>
      <c r="EG866" s="1749"/>
      <c r="EH866" s="1749">
        <v>0</v>
      </c>
      <c r="EI866" s="1749">
        <v>0</v>
      </c>
      <c r="EJ866" s="1749">
        <v>0</v>
      </c>
      <c r="EK866" s="1749">
        <v>0</v>
      </c>
      <c r="EL866" s="1749">
        <v>0</v>
      </c>
      <c r="EM866" s="1749"/>
      <c r="EN866" s="1749"/>
      <c r="EO866" s="1749">
        <v>0</v>
      </c>
      <c r="EP866" s="1749">
        <v>0</v>
      </c>
      <c r="EQ866" s="1749"/>
      <c r="ER866" s="1749">
        <v>0</v>
      </c>
      <c r="ES866" s="1749"/>
      <c r="ET866" s="1749">
        <v>0</v>
      </c>
      <c r="EU866" s="1749"/>
      <c r="EV866" s="1749">
        <v>246</v>
      </c>
      <c r="EW866" s="1749"/>
      <c r="EX866" s="1749"/>
      <c r="EY866" s="1749"/>
      <c r="EZ866" s="1749"/>
      <c r="FA866" s="1749">
        <v>0</v>
      </c>
      <c r="FB866" s="1749"/>
      <c r="FC866" s="1749"/>
      <c r="FD866" s="1749"/>
      <c r="FE866" s="1749"/>
      <c r="FF866" s="1749">
        <v>0</v>
      </c>
      <c r="FG866" s="1749">
        <v>0</v>
      </c>
      <c r="FH866" s="1749">
        <v>0</v>
      </c>
      <c r="FI866" s="1749">
        <v>0</v>
      </c>
    </row>
    <row r="867" spans="1:165">
      <c r="A867" s="1749">
        <v>898</v>
      </c>
      <c r="B867" s="1749" t="s">
        <v>1090</v>
      </c>
      <c r="C867" s="1749" t="s">
        <v>1044</v>
      </c>
      <c r="D867" s="1749" t="s">
        <v>650</v>
      </c>
      <c r="E867" s="1749" t="s">
        <v>97</v>
      </c>
      <c r="F867" s="1749" t="s">
        <v>97</v>
      </c>
      <c r="G867" s="1749" t="s">
        <v>97</v>
      </c>
      <c r="H867" s="1749" t="s">
        <v>2331</v>
      </c>
      <c r="I867" s="1749" t="s">
        <v>97</v>
      </c>
      <c r="J867" s="1749" t="s">
        <v>2329</v>
      </c>
      <c r="K867" s="1750">
        <v>44682</v>
      </c>
      <c r="L867" s="1749">
        <v>1000</v>
      </c>
      <c r="M867" s="1749">
        <v>500</v>
      </c>
      <c r="N867" s="1749">
        <v>0</v>
      </c>
      <c r="O867" s="1749">
        <v>0</v>
      </c>
      <c r="P867" s="1749">
        <v>0</v>
      </c>
      <c r="Q867" s="1749">
        <v>0</v>
      </c>
      <c r="R867" s="1749">
        <v>13.8</v>
      </c>
      <c r="S867" s="1749"/>
      <c r="T867" s="1749"/>
      <c r="U867" s="1749">
        <v>13800</v>
      </c>
      <c r="V867" s="1749"/>
      <c r="W867" s="1749">
        <v>13800</v>
      </c>
      <c r="X867" s="1749">
        <v>6490</v>
      </c>
      <c r="Y867" s="1749">
        <v>0</v>
      </c>
      <c r="Z867" s="1749">
        <v>0</v>
      </c>
      <c r="AA867" s="1749">
        <v>0</v>
      </c>
      <c r="AB867" s="1749">
        <v>0</v>
      </c>
      <c r="AC867" s="1749">
        <v>0</v>
      </c>
      <c r="AD867" s="1749">
        <v>0</v>
      </c>
      <c r="AE867" s="1749">
        <v>13780.322629791699</v>
      </c>
      <c r="AF867" s="1749"/>
      <c r="AG867" s="1749"/>
      <c r="AH867" s="1749"/>
      <c r="AI867" s="1749">
        <v>0</v>
      </c>
      <c r="AJ867" s="1749">
        <v>0</v>
      </c>
      <c r="AK867" s="1749">
        <v>0</v>
      </c>
      <c r="AL867" s="1749">
        <v>0</v>
      </c>
      <c r="AM867" s="1749"/>
      <c r="AN867" s="1749">
        <v>22.5992016209883</v>
      </c>
      <c r="AO867" s="1749">
        <v>0</v>
      </c>
      <c r="AP867" s="1749">
        <v>0</v>
      </c>
      <c r="AQ867" s="1749">
        <v>0</v>
      </c>
      <c r="AR867" s="1749">
        <v>0</v>
      </c>
      <c r="AS867" s="1749"/>
      <c r="AT867" s="1749"/>
      <c r="AU867" s="1749">
        <v>0</v>
      </c>
      <c r="AV867" s="1749">
        <v>0</v>
      </c>
      <c r="AW867" s="1749">
        <v>0</v>
      </c>
      <c r="AX867" s="1749"/>
      <c r="AY867" s="1749"/>
      <c r="AZ867" s="1749">
        <v>0</v>
      </c>
      <c r="BA867" s="1749"/>
      <c r="BB867" s="1749">
        <v>0</v>
      </c>
      <c r="BC867" s="1749">
        <v>0</v>
      </c>
      <c r="BD867" s="1749">
        <v>0</v>
      </c>
      <c r="BE867" s="1749">
        <v>0</v>
      </c>
      <c r="BF867" s="1749"/>
      <c r="BG867" s="1749">
        <v>0</v>
      </c>
      <c r="BH867" s="1749">
        <v>0</v>
      </c>
      <c r="BI867" s="1749">
        <v>6.82</v>
      </c>
      <c r="BJ867" s="1749">
        <v>0</v>
      </c>
      <c r="BK867" s="1749">
        <v>0</v>
      </c>
      <c r="BL867" s="1749">
        <v>0</v>
      </c>
      <c r="BM867" s="1749"/>
      <c r="BN867" s="1749"/>
      <c r="BO867" s="1749">
        <v>3245</v>
      </c>
      <c r="BP867" s="1749"/>
      <c r="BQ867" s="1749"/>
      <c r="BR867" s="1749"/>
      <c r="BS867" s="1749"/>
      <c r="BT867" s="1749"/>
      <c r="BU867" s="1749"/>
      <c r="BV867" s="1749">
        <v>0</v>
      </c>
      <c r="BW867" s="1749"/>
      <c r="BX867" s="1749"/>
      <c r="BY867" s="1749"/>
      <c r="BZ867" s="1749"/>
      <c r="CA867" s="1749"/>
      <c r="CB867" s="1749"/>
      <c r="CC867" s="1749"/>
      <c r="CD867" s="1749"/>
      <c r="CE867" s="1749"/>
      <c r="CF867" s="1749"/>
      <c r="CG867" s="1749"/>
      <c r="CH867" s="1749"/>
      <c r="CI867" s="1749">
        <v>3245</v>
      </c>
      <c r="CJ867" s="1749">
        <v>-3655.0300000000007</v>
      </c>
      <c r="CK867" s="1749"/>
      <c r="CL867" s="1749"/>
      <c r="CM867" s="1749"/>
      <c r="CN867" s="1749"/>
      <c r="CO867" s="1749">
        <v>-7310.0000000000009</v>
      </c>
      <c r="CP867" s="1749">
        <v>0</v>
      </c>
      <c r="CQ867" s="1749">
        <v>31</v>
      </c>
      <c r="CR867" s="1749">
        <v>-270.93877876174702</v>
      </c>
      <c r="CS867" s="1749">
        <v>0</v>
      </c>
      <c r="CT867" s="1749">
        <v>0</v>
      </c>
      <c r="CU867" s="1749">
        <v>0</v>
      </c>
      <c r="CV867" s="1749">
        <v>0</v>
      </c>
      <c r="CW867" s="1749"/>
      <c r="CX867" s="1749"/>
      <c r="CY867" s="1749"/>
      <c r="CZ867" s="1749">
        <v>0</v>
      </c>
      <c r="DA867" s="1749">
        <v>0</v>
      </c>
      <c r="DB867" s="1749">
        <v>0</v>
      </c>
      <c r="DC867" s="1749"/>
      <c r="DD867" s="1749"/>
      <c r="DE867" s="1749">
        <v>0</v>
      </c>
      <c r="DF867" s="1749">
        <v>0</v>
      </c>
      <c r="DG867" s="1749">
        <v>0</v>
      </c>
      <c r="DH867" s="1749">
        <v>0</v>
      </c>
      <c r="DI867" s="1749">
        <v>0</v>
      </c>
      <c r="DJ867" s="1749"/>
      <c r="DK867" s="1749">
        <v>0</v>
      </c>
      <c r="DL867" s="1749">
        <v>0</v>
      </c>
      <c r="DM867" s="1749"/>
      <c r="DN867" s="1749">
        <v>0</v>
      </c>
      <c r="DO867" s="1749">
        <v>0</v>
      </c>
      <c r="DP867" s="1749">
        <v>-1.4399665682300018</v>
      </c>
      <c r="DQ867" s="1749">
        <v>0</v>
      </c>
      <c r="DR867" s="1749">
        <v>-269.49881219351704</v>
      </c>
      <c r="DS867" s="1749"/>
      <c r="DT867" s="1749"/>
      <c r="DU867" s="1749">
        <v>13780.322629791699</v>
      </c>
      <c r="DV867" s="1749"/>
      <c r="DW867" s="1749">
        <v>0</v>
      </c>
      <c r="DX867" s="1749">
        <v>0</v>
      </c>
      <c r="DY867" s="1749">
        <v>-7310</v>
      </c>
      <c r="DZ867" s="1749"/>
      <c r="EA867" s="1749">
        <v>0</v>
      </c>
      <c r="EB867" s="1749"/>
      <c r="EC867" s="1749">
        <v>-7039.0208057967893</v>
      </c>
      <c r="ED867" s="1749"/>
      <c r="EE867" s="1749">
        <v>0</v>
      </c>
      <c r="EF867" s="1749">
        <v>0</v>
      </c>
      <c r="EG867" s="1749"/>
      <c r="EH867" s="1749">
        <v>0</v>
      </c>
      <c r="EI867" s="1749">
        <v>0</v>
      </c>
      <c r="EJ867" s="1749">
        <v>0</v>
      </c>
      <c r="EK867" s="1749">
        <v>0</v>
      </c>
      <c r="EL867" s="1749">
        <v>0</v>
      </c>
      <c r="EM867" s="1749"/>
      <c r="EN867" s="1749"/>
      <c r="EO867" s="1749">
        <v>0</v>
      </c>
      <c r="EP867" s="1749">
        <v>0</v>
      </c>
      <c r="EQ867" s="1749"/>
      <c r="ER867" s="1749">
        <v>0</v>
      </c>
      <c r="ES867" s="1749"/>
      <c r="ET867" s="1749">
        <v>0</v>
      </c>
      <c r="EU867" s="1749"/>
      <c r="EV867" s="1749">
        <v>246</v>
      </c>
      <c r="EW867" s="1749"/>
      <c r="EX867" s="1749"/>
      <c r="EY867" s="1749"/>
      <c r="EZ867" s="1749"/>
      <c r="FA867" s="1749">
        <v>0</v>
      </c>
      <c r="FB867" s="1749"/>
      <c r="FC867" s="1749"/>
      <c r="FD867" s="1749"/>
      <c r="FE867" s="1749"/>
      <c r="FF867" s="1749">
        <v>0</v>
      </c>
      <c r="FG867" s="1749">
        <v>0</v>
      </c>
      <c r="FH867" s="1749">
        <v>0</v>
      </c>
      <c r="FI867" s="1749">
        <v>0</v>
      </c>
    </row>
    <row r="868" spans="1:165">
      <c r="A868" s="1749">
        <v>899</v>
      </c>
      <c r="B868" s="1749" t="s">
        <v>1090</v>
      </c>
      <c r="C868" s="1749" t="s">
        <v>1044</v>
      </c>
      <c r="D868" s="1749" t="s">
        <v>650</v>
      </c>
      <c r="E868" s="1749" t="s">
        <v>97</v>
      </c>
      <c r="F868" s="1749" t="s">
        <v>97</v>
      </c>
      <c r="G868" s="1749" t="s">
        <v>97</v>
      </c>
      <c r="H868" s="1749" t="s">
        <v>2332</v>
      </c>
      <c r="I868" s="1749" t="s">
        <v>97</v>
      </c>
      <c r="J868" s="1749" t="s">
        <v>2329</v>
      </c>
      <c r="K868" s="1750">
        <v>44682</v>
      </c>
      <c r="L868" s="1749">
        <v>800</v>
      </c>
      <c r="M868" s="1749">
        <v>400</v>
      </c>
      <c r="N868" s="1749">
        <v>0</v>
      </c>
      <c r="O868" s="1749">
        <v>0</v>
      </c>
      <c r="P868" s="1749">
        <v>0</v>
      </c>
      <c r="Q868" s="1749">
        <v>0</v>
      </c>
      <c r="R868" s="1749">
        <v>13.8</v>
      </c>
      <c r="S868" s="1749"/>
      <c r="T868" s="1749"/>
      <c r="U868" s="1749">
        <v>11040</v>
      </c>
      <c r="V868" s="1749"/>
      <c r="W868" s="1749">
        <v>11040</v>
      </c>
      <c r="X868" s="1749">
        <v>5192</v>
      </c>
      <c r="Y868" s="1749">
        <v>0</v>
      </c>
      <c r="Z868" s="1749">
        <v>0</v>
      </c>
      <c r="AA868" s="1749">
        <v>0</v>
      </c>
      <c r="AB868" s="1749">
        <v>0</v>
      </c>
      <c r="AC868" s="1749">
        <v>0</v>
      </c>
      <c r="AD868" s="1749">
        <v>0</v>
      </c>
      <c r="AE868" s="1749">
        <v>11024.258103833359</v>
      </c>
      <c r="AF868" s="1749"/>
      <c r="AG868" s="1749"/>
      <c r="AH868" s="1749"/>
      <c r="AI868" s="1749">
        <v>0</v>
      </c>
      <c r="AJ868" s="1749">
        <v>0</v>
      </c>
      <c r="AK868" s="1749">
        <v>0</v>
      </c>
      <c r="AL868" s="1749">
        <v>0</v>
      </c>
      <c r="AM868" s="1749"/>
      <c r="AN868" s="1749">
        <v>18.079361296790637</v>
      </c>
      <c r="AO868" s="1749">
        <v>0</v>
      </c>
      <c r="AP868" s="1749">
        <v>0</v>
      </c>
      <c r="AQ868" s="1749">
        <v>0</v>
      </c>
      <c r="AR868" s="1749">
        <v>0</v>
      </c>
      <c r="AS868" s="1749"/>
      <c r="AT868" s="1749"/>
      <c r="AU868" s="1749">
        <v>0</v>
      </c>
      <c r="AV868" s="1749">
        <v>0</v>
      </c>
      <c r="AW868" s="1749">
        <v>0</v>
      </c>
      <c r="AX868" s="1749"/>
      <c r="AY868" s="1749"/>
      <c r="AZ868" s="1749">
        <v>0</v>
      </c>
      <c r="BA868" s="1749"/>
      <c r="BB868" s="1749">
        <v>0</v>
      </c>
      <c r="BC868" s="1749">
        <v>0</v>
      </c>
      <c r="BD868" s="1749">
        <v>0</v>
      </c>
      <c r="BE868" s="1749">
        <v>0</v>
      </c>
      <c r="BF868" s="1749"/>
      <c r="BG868" s="1749">
        <v>0</v>
      </c>
      <c r="BH868" s="1749">
        <v>0</v>
      </c>
      <c r="BI868" s="1749">
        <v>5.46</v>
      </c>
      <c r="BJ868" s="1749">
        <v>0</v>
      </c>
      <c r="BK868" s="1749">
        <v>0</v>
      </c>
      <c r="BL868" s="1749">
        <v>0</v>
      </c>
      <c r="BM868" s="1749"/>
      <c r="BN868" s="1749"/>
      <c r="BO868" s="1749">
        <v>2596</v>
      </c>
      <c r="BP868" s="1749"/>
      <c r="BQ868" s="1749"/>
      <c r="BR868" s="1749"/>
      <c r="BS868" s="1749"/>
      <c r="BT868" s="1749"/>
      <c r="BU868" s="1749"/>
      <c r="BV868" s="1749">
        <v>0</v>
      </c>
      <c r="BW868" s="1749"/>
      <c r="BX868" s="1749"/>
      <c r="BY868" s="1749"/>
      <c r="BZ868" s="1749"/>
      <c r="CA868" s="1749"/>
      <c r="CB868" s="1749"/>
      <c r="CC868" s="1749"/>
      <c r="CD868" s="1749"/>
      <c r="CE868" s="1749"/>
      <c r="CF868" s="1749"/>
      <c r="CG868" s="1749"/>
      <c r="CH868" s="1749"/>
      <c r="CI868" s="1749">
        <v>2596</v>
      </c>
      <c r="CJ868" s="1749">
        <v>-2924.0300000000007</v>
      </c>
      <c r="CK868" s="1749"/>
      <c r="CL868" s="1749"/>
      <c r="CM868" s="1749"/>
      <c r="CN868" s="1749"/>
      <c r="CO868" s="1749">
        <v>-5848</v>
      </c>
      <c r="CP868" s="1749">
        <v>0</v>
      </c>
      <c r="CQ868" s="1749">
        <v>31</v>
      </c>
      <c r="CR868" s="1749">
        <v>-216.75102300939761</v>
      </c>
      <c r="CS868" s="1749">
        <v>0</v>
      </c>
      <c r="CT868" s="1749">
        <v>0</v>
      </c>
      <c r="CU868" s="1749">
        <v>0</v>
      </c>
      <c r="CV868" s="1749">
        <v>0</v>
      </c>
      <c r="CW868" s="1749"/>
      <c r="CX868" s="1749"/>
      <c r="CY868" s="1749"/>
      <c r="CZ868" s="1749">
        <v>0</v>
      </c>
      <c r="DA868" s="1749">
        <v>0</v>
      </c>
      <c r="DB868" s="1749">
        <v>0</v>
      </c>
      <c r="DC868" s="1749"/>
      <c r="DD868" s="1749"/>
      <c r="DE868" s="1749">
        <v>0</v>
      </c>
      <c r="DF868" s="1749">
        <v>0</v>
      </c>
      <c r="DG868" s="1749">
        <v>0</v>
      </c>
      <c r="DH868" s="1749">
        <v>0</v>
      </c>
      <c r="DI868" s="1749">
        <v>0</v>
      </c>
      <c r="DJ868" s="1749"/>
      <c r="DK868" s="1749">
        <v>0</v>
      </c>
      <c r="DL868" s="1749">
        <v>0</v>
      </c>
      <c r="DM868" s="1749"/>
      <c r="DN868" s="1749">
        <v>0</v>
      </c>
      <c r="DO868" s="1749">
        <v>0</v>
      </c>
      <c r="DP868" s="1749">
        <v>-1.1519732545839965</v>
      </c>
      <c r="DQ868" s="1749">
        <v>0</v>
      </c>
      <c r="DR868" s="1749">
        <v>-215.59904975481362</v>
      </c>
      <c r="DS868" s="1749"/>
      <c r="DT868" s="1749"/>
      <c r="DU868" s="1749">
        <v>11024.258103833359</v>
      </c>
      <c r="DV868" s="1749"/>
      <c r="DW868" s="1749">
        <v>0</v>
      </c>
      <c r="DX868" s="1749">
        <v>0</v>
      </c>
      <c r="DY868" s="1749">
        <v>-5848</v>
      </c>
      <c r="DZ868" s="1749"/>
      <c r="EA868" s="1749">
        <v>0</v>
      </c>
      <c r="EB868" s="1749"/>
      <c r="EC868" s="1749">
        <v>-5631.2166446374313</v>
      </c>
      <c r="ED868" s="1749"/>
      <c r="EE868" s="1749">
        <v>0</v>
      </c>
      <c r="EF868" s="1749">
        <v>0</v>
      </c>
      <c r="EG868" s="1749"/>
      <c r="EH868" s="1749">
        <v>0</v>
      </c>
      <c r="EI868" s="1749">
        <v>0</v>
      </c>
      <c r="EJ868" s="1749">
        <v>0</v>
      </c>
      <c r="EK868" s="1749">
        <v>0</v>
      </c>
      <c r="EL868" s="1749">
        <v>0</v>
      </c>
      <c r="EM868" s="1749"/>
      <c r="EN868" s="1749"/>
      <c r="EO868" s="1749">
        <v>0</v>
      </c>
      <c r="EP868" s="1749">
        <v>0</v>
      </c>
      <c r="EQ868" s="1749"/>
      <c r="ER868" s="1749">
        <v>0</v>
      </c>
      <c r="ES868" s="1749"/>
      <c r="ET868" s="1749">
        <v>0</v>
      </c>
      <c r="EU868" s="1749"/>
      <c r="EV868" s="1749">
        <v>246</v>
      </c>
      <c r="EW868" s="1749"/>
      <c r="EX868" s="1749"/>
      <c r="EY868" s="1749"/>
      <c r="EZ868" s="1749"/>
      <c r="FA868" s="1749">
        <v>0</v>
      </c>
      <c r="FB868" s="1749"/>
      <c r="FC868" s="1749"/>
      <c r="FD868" s="1749"/>
      <c r="FE868" s="1749"/>
      <c r="FF868" s="1749">
        <v>0</v>
      </c>
      <c r="FG868" s="1749">
        <v>0</v>
      </c>
      <c r="FH868" s="1749">
        <v>0</v>
      </c>
      <c r="FI868" s="1749">
        <v>0</v>
      </c>
    </row>
    <row r="869" spans="1:165">
      <c r="A869" s="1749">
        <v>900</v>
      </c>
      <c r="B869" s="1749" t="s">
        <v>1090</v>
      </c>
      <c r="C869" s="1749" t="s">
        <v>1044</v>
      </c>
      <c r="D869" s="1749" t="s">
        <v>650</v>
      </c>
      <c r="E869" s="1749" t="s">
        <v>97</v>
      </c>
      <c r="F869" s="1749" t="s">
        <v>97</v>
      </c>
      <c r="G869" s="1749" t="s">
        <v>97</v>
      </c>
      <c r="H869" s="1749" t="s">
        <v>2333</v>
      </c>
      <c r="I869" s="1749" t="s">
        <v>97</v>
      </c>
      <c r="J869" s="1749" t="s">
        <v>2329</v>
      </c>
      <c r="K869" s="1750">
        <v>44682</v>
      </c>
      <c r="L869" s="1749">
        <v>270</v>
      </c>
      <c r="M869" s="1749">
        <v>135</v>
      </c>
      <c r="N869" s="1749">
        <v>0</v>
      </c>
      <c r="O869" s="1749">
        <v>0</v>
      </c>
      <c r="P869" s="1749">
        <v>0</v>
      </c>
      <c r="Q869" s="1749">
        <v>0</v>
      </c>
      <c r="R869" s="1749">
        <v>13.8</v>
      </c>
      <c r="S869" s="1749"/>
      <c r="T869" s="1749"/>
      <c r="U869" s="1749">
        <v>3726</v>
      </c>
      <c r="V869" s="1749"/>
      <c r="W869" s="1749">
        <v>3726</v>
      </c>
      <c r="X869" s="1749">
        <v>1752.3</v>
      </c>
      <c r="Y869" s="1749">
        <v>0</v>
      </c>
      <c r="Z869" s="1749">
        <v>0</v>
      </c>
      <c r="AA869" s="1749">
        <v>0</v>
      </c>
      <c r="AB869" s="1749">
        <v>0</v>
      </c>
      <c r="AC869" s="1749">
        <v>0</v>
      </c>
      <c r="AD869" s="1749">
        <v>0</v>
      </c>
      <c r="AE869" s="1749">
        <v>3720.6871100437588</v>
      </c>
      <c r="AF869" s="1749"/>
      <c r="AG869" s="1749"/>
      <c r="AH869" s="1749"/>
      <c r="AI869" s="1749">
        <v>0</v>
      </c>
      <c r="AJ869" s="1749">
        <v>0</v>
      </c>
      <c r="AK869" s="1749">
        <v>0</v>
      </c>
      <c r="AL869" s="1749">
        <v>0</v>
      </c>
      <c r="AM869" s="1749"/>
      <c r="AN869" s="1749">
        <v>6.1017844376668409</v>
      </c>
      <c r="AO869" s="1749">
        <v>0</v>
      </c>
      <c r="AP869" s="1749">
        <v>0</v>
      </c>
      <c r="AQ869" s="1749">
        <v>0</v>
      </c>
      <c r="AR869" s="1749">
        <v>0</v>
      </c>
      <c r="AS869" s="1749"/>
      <c r="AT869" s="1749"/>
      <c r="AU869" s="1749">
        <v>0</v>
      </c>
      <c r="AV869" s="1749">
        <v>0</v>
      </c>
      <c r="AW869" s="1749">
        <v>0</v>
      </c>
      <c r="AX869" s="1749"/>
      <c r="AY869" s="1749"/>
      <c r="AZ869" s="1749">
        <v>0</v>
      </c>
      <c r="BA869" s="1749"/>
      <c r="BB869" s="1749">
        <v>0</v>
      </c>
      <c r="BC869" s="1749">
        <v>0</v>
      </c>
      <c r="BD869" s="1749">
        <v>0</v>
      </c>
      <c r="BE869" s="1749">
        <v>0</v>
      </c>
      <c r="BF869" s="1749"/>
      <c r="BG869" s="1749">
        <v>0</v>
      </c>
      <c r="BH869" s="1749">
        <v>0</v>
      </c>
      <c r="BI869" s="1749">
        <v>1.84</v>
      </c>
      <c r="BJ869" s="1749">
        <v>0</v>
      </c>
      <c r="BK869" s="1749">
        <v>0</v>
      </c>
      <c r="BL869" s="1749">
        <v>0</v>
      </c>
      <c r="BM869" s="1749"/>
      <c r="BN869" s="1749"/>
      <c r="BO869" s="1749">
        <v>876.15</v>
      </c>
      <c r="BP869" s="1749"/>
      <c r="BQ869" s="1749"/>
      <c r="BR869" s="1749"/>
      <c r="BS869" s="1749"/>
      <c r="BT869" s="1749"/>
      <c r="BU869" s="1749"/>
      <c r="BV869" s="1749">
        <v>0</v>
      </c>
      <c r="BW869" s="1749"/>
      <c r="BX869" s="1749"/>
      <c r="BY869" s="1749"/>
      <c r="BZ869" s="1749"/>
      <c r="CA869" s="1749"/>
      <c r="CB869" s="1749"/>
      <c r="CC869" s="1749"/>
      <c r="CD869" s="1749"/>
      <c r="CE869" s="1749"/>
      <c r="CF869" s="1749"/>
      <c r="CG869" s="1749"/>
      <c r="CH869" s="1749"/>
      <c r="CI869" s="1749">
        <v>876.15</v>
      </c>
      <c r="CJ869" s="1749">
        <v>-986.88</v>
      </c>
      <c r="CK869" s="1749"/>
      <c r="CL869" s="1749"/>
      <c r="CM869" s="1749"/>
      <c r="CN869" s="1749"/>
      <c r="CO869" s="1749">
        <v>-1973.7</v>
      </c>
      <c r="CP869" s="1749">
        <v>0</v>
      </c>
      <c r="CQ869" s="1749">
        <v>31</v>
      </c>
      <c r="CR869" s="1749">
        <v>-73.153470265671686</v>
      </c>
      <c r="CS869" s="1749">
        <v>0</v>
      </c>
      <c r="CT869" s="1749">
        <v>0</v>
      </c>
      <c r="CU869" s="1749">
        <v>0</v>
      </c>
      <c r="CV869" s="1749">
        <v>0</v>
      </c>
      <c r="CW869" s="1749"/>
      <c r="CX869" s="1749"/>
      <c r="CY869" s="1749"/>
      <c r="CZ869" s="1749">
        <v>0</v>
      </c>
      <c r="DA869" s="1749">
        <v>0</v>
      </c>
      <c r="DB869" s="1749">
        <v>0</v>
      </c>
      <c r="DC869" s="1749"/>
      <c r="DD869" s="1749"/>
      <c r="DE869" s="1749">
        <v>0</v>
      </c>
      <c r="DF869" s="1749">
        <v>0</v>
      </c>
      <c r="DG869" s="1749">
        <v>0</v>
      </c>
      <c r="DH869" s="1749">
        <v>0</v>
      </c>
      <c r="DI869" s="1749">
        <v>0</v>
      </c>
      <c r="DJ869" s="1749"/>
      <c r="DK869" s="1749">
        <v>0</v>
      </c>
      <c r="DL869" s="1749">
        <v>0</v>
      </c>
      <c r="DM869" s="1749"/>
      <c r="DN869" s="1749">
        <v>0</v>
      </c>
      <c r="DO869" s="1749">
        <v>0</v>
      </c>
      <c r="DP869" s="1749">
        <v>-0.38879097342209956</v>
      </c>
      <c r="DQ869" s="1749">
        <v>0</v>
      </c>
      <c r="DR869" s="1749">
        <v>-72.764679292249596</v>
      </c>
      <c r="DS869" s="1749"/>
      <c r="DT869" s="1749"/>
      <c r="DU869" s="1749">
        <v>3720.6871100437588</v>
      </c>
      <c r="DV869" s="1749"/>
      <c r="DW869" s="1749">
        <v>0</v>
      </c>
      <c r="DX869" s="1749">
        <v>0</v>
      </c>
      <c r="DY869" s="1749">
        <v>-1973.7</v>
      </c>
      <c r="DZ869" s="1749"/>
      <c r="EA869" s="1749">
        <v>0</v>
      </c>
      <c r="EB869" s="1749"/>
      <c r="EC869" s="1749">
        <v>-1900.5356175651332</v>
      </c>
      <c r="ED869" s="1749"/>
      <c r="EE869" s="1749">
        <v>0</v>
      </c>
      <c r="EF869" s="1749">
        <v>0</v>
      </c>
      <c r="EG869" s="1749"/>
      <c r="EH869" s="1749">
        <v>0</v>
      </c>
      <c r="EI869" s="1749">
        <v>0</v>
      </c>
      <c r="EJ869" s="1749">
        <v>0</v>
      </c>
      <c r="EK869" s="1749">
        <v>0</v>
      </c>
      <c r="EL869" s="1749">
        <v>0</v>
      </c>
      <c r="EM869" s="1749"/>
      <c r="EN869" s="1749"/>
      <c r="EO869" s="1749">
        <v>0</v>
      </c>
      <c r="EP869" s="1749">
        <v>0</v>
      </c>
      <c r="EQ869" s="1749"/>
      <c r="ER869" s="1749">
        <v>0</v>
      </c>
      <c r="ES869" s="1749"/>
      <c r="ET869" s="1749">
        <v>0</v>
      </c>
      <c r="EU869" s="1749"/>
      <c r="EV869" s="1749">
        <v>246</v>
      </c>
      <c r="EW869" s="1749"/>
      <c r="EX869" s="1749"/>
      <c r="EY869" s="1749"/>
      <c r="EZ869" s="1749"/>
      <c r="FA869" s="1749">
        <v>0</v>
      </c>
      <c r="FB869" s="1749"/>
      <c r="FC869" s="1749"/>
      <c r="FD869" s="1749"/>
      <c r="FE869" s="1749"/>
      <c r="FF869" s="1749">
        <v>0</v>
      </c>
      <c r="FG869" s="1749">
        <v>0</v>
      </c>
      <c r="FH869" s="1749">
        <v>0</v>
      </c>
      <c r="FI869" s="1749">
        <v>0</v>
      </c>
    </row>
    <row r="870" spans="1:165">
      <c r="A870" s="1749">
        <v>901</v>
      </c>
      <c r="B870" s="1749" t="s">
        <v>1090</v>
      </c>
      <c r="C870" s="1749" t="s">
        <v>1044</v>
      </c>
      <c r="D870" s="1749" t="s">
        <v>650</v>
      </c>
      <c r="E870" s="1749" t="s">
        <v>97</v>
      </c>
      <c r="F870" s="1749" t="s">
        <v>97</v>
      </c>
      <c r="G870" s="1749" t="s">
        <v>97</v>
      </c>
      <c r="H870" s="1749" t="s">
        <v>2334</v>
      </c>
      <c r="I870" s="1749" t="s">
        <v>97</v>
      </c>
      <c r="J870" s="1749" t="s">
        <v>2329</v>
      </c>
      <c r="K870" s="1750">
        <v>44682</v>
      </c>
      <c r="L870" s="1749">
        <v>280</v>
      </c>
      <c r="M870" s="1749">
        <v>140</v>
      </c>
      <c r="N870" s="1749">
        <v>0</v>
      </c>
      <c r="O870" s="1749">
        <v>0</v>
      </c>
      <c r="P870" s="1749">
        <v>0</v>
      </c>
      <c r="Q870" s="1749">
        <v>0</v>
      </c>
      <c r="R870" s="1749">
        <v>13.8</v>
      </c>
      <c r="S870" s="1749"/>
      <c r="T870" s="1749"/>
      <c r="U870" s="1749">
        <v>3864</v>
      </c>
      <c r="V870" s="1749"/>
      <c r="W870" s="1749">
        <v>3864</v>
      </c>
      <c r="X870" s="1749">
        <v>1817.2</v>
      </c>
      <c r="Y870" s="1749">
        <v>0</v>
      </c>
      <c r="Z870" s="1749">
        <v>0</v>
      </c>
      <c r="AA870" s="1749">
        <v>0</v>
      </c>
      <c r="AB870" s="1749">
        <v>0</v>
      </c>
      <c r="AC870" s="1749">
        <v>0</v>
      </c>
      <c r="AD870" s="1749">
        <v>0</v>
      </c>
      <c r="AE870" s="1749">
        <v>3858.4903363416761</v>
      </c>
      <c r="AF870" s="1749"/>
      <c r="AG870" s="1749"/>
      <c r="AH870" s="1749"/>
      <c r="AI870" s="1749">
        <v>0</v>
      </c>
      <c r="AJ870" s="1749">
        <v>0</v>
      </c>
      <c r="AK870" s="1749">
        <v>0</v>
      </c>
      <c r="AL870" s="1749">
        <v>0</v>
      </c>
      <c r="AM870" s="1749"/>
      <c r="AN870" s="1749">
        <v>6.3277764538767238</v>
      </c>
      <c r="AO870" s="1749">
        <v>0</v>
      </c>
      <c r="AP870" s="1749">
        <v>0</v>
      </c>
      <c r="AQ870" s="1749">
        <v>0</v>
      </c>
      <c r="AR870" s="1749">
        <v>0</v>
      </c>
      <c r="AS870" s="1749"/>
      <c r="AT870" s="1749"/>
      <c r="AU870" s="1749">
        <v>0</v>
      </c>
      <c r="AV870" s="1749">
        <v>0</v>
      </c>
      <c r="AW870" s="1749">
        <v>0</v>
      </c>
      <c r="AX870" s="1749"/>
      <c r="AY870" s="1749"/>
      <c r="AZ870" s="1749">
        <v>0</v>
      </c>
      <c r="BA870" s="1749"/>
      <c r="BB870" s="1749">
        <v>0</v>
      </c>
      <c r="BC870" s="1749">
        <v>0</v>
      </c>
      <c r="BD870" s="1749">
        <v>0</v>
      </c>
      <c r="BE870" s="1749">
        <v>0</v>
      </c>
      <c r="BF870" s="1749"/>
      <c r="BG870" s="1749">
        <v>0</v>
      </c>
      <c r="BH870" s="1749">
        <v>0</v>
      </c>
      <c r="BI870" s="1749">
        <v>1.91</v>
      </c>
      <c r="BJ870" s="1749">
        <v>0</v>
      </c>
      <c r="BK870" s="1749">
        <v>0</v>
      </c>
      <c r="BL870" s="1749">
        <v>0</v>
      </c>
      <c r="BM870" s="1749"/>
      <c r="BN870" s="1749"/>
      <c r="BO870" s="1749">
        <v>908.6</v>
      </c>
      <c r="BP870" s="1749"/>
      <c r="BQ870" s="1749"/>
      <c r="BR870" s="1749"/>
      <c r="BS870" s="1749"/>
      <c r="BT870" s="1749"/>
      <c r="BU870" s="1749"/>
      <c r="BV870" s="1749">
        <v>0</v>
      </c>
      <c r="BW870" s="1749"/>
      <c r="BX870" s="1749"/>
      <c r="BY870" s="1749"/>
      <c r="BZ870" s="1749"/>
      <c r="CA870" s="1749"/>
      <c r="CB870" s="1749"/>
      <c r="CC870" s="1749"/>
      <c r="CD870" s="1749"/>
      <c r="CE870" s="1749"/>
      <c r="CF870" s="1749"/>
      <c r="CG870" s="1749"/>
      <c r="CH870" s="1749"/>
      <c r="CI870" s="1749">
        <v>908.6</v>
      </c>
      <c r="CJ870" s="1749">
        <v>-1023.43</v>
      </c>
      <c r="CK870" s="1749"/>
      <c r="CL870" s="1749"/>
      <c r="CM870" s="1749"/>
      <c r="CN870" s="1749"/>
      <c r="CO870" s="1749">
        <v>-2046.8000000000002</v>
      </c>
      <c r="CP870" s="1749">
        <v>0</v>
      </c>
      <c r="CQ870" s="1749">
        <v>31</v>
      </c>
      <c r="CR870" s="1749">
        <v>-75.862858053289159</v>
      </c>
      <c r="CS870" s="1749">
        <v>0</v>
      </c>
      <c r="CT870" s="1749">
        <v>0</v>
      </c>
      <c r="CU870" s="1749">
        <v>0</v>
      </c>
      <c r="CV870" s="1749">
        <v>0</v>
      </c>
      <c r="CW870" s="1749"/>
      <c r="CX870" s="1749"/>
      <c r="CY870" s="1749"/>
      <c r="CZ870" s="1749">
        <v>0</v>
      </c>
      <c r="DA870" s="1749">
        <v>0</v>
      </c>
      <c r="DB870" s="1749">
        <v>0</v>
      </c>
      <c r="DC870" s="1749"/>
      <c r="DD870" s="1749"/>
      <c r="DE870" s="1749">
        <v>0</v>
      </c>
      <c r="DF870" s="1749">
        <v>0</v>
      </c>
      <c r="DG870" s="1749">
        <v>0</v>
      </c>
      <c r="DH870" s="1749">
        <v>0</v>
      </c>
      <c r="DI870" s="1749">
        <v>0</v>
      </c>
      <c r="DJ870" s="1749"/>
      <c r="DK870" s="1749">
        <v>0</v>
      </c>
      <c r="DL870" s="1749">
        <v>0</v>
      </c>
      <c r="DM870" s="1749"/>
      <c r="DN870" s="1749">
        <v>0</v>
      </c>
      <c r="DO870" s="1749">
        <v>0</v>
      </c>
      <c r="DP870" s="1749">
        <v>-0.40319063910440001</v>
      </c>
      <c r="DQ870" s="1749">
        <v>0</v>
      </c>
      <c r="DR870" s="1749">
        <v>-75.459667414184764</v>
      </c>
      <c r="DS870" s="1749"/>
      <c r="DT870" s="1749"/>
      <c r="DU870" s="1749">
        <v>3858.4903363416761</v>
      </c>
      <c r="DV870" s="1749"/>
      <c r="DW870" s="1749">
        <v>0</v>
      </c>
      <c r="DX870" s="1749">
        <v>0</v>
      </c>
      <c r="DY870" s="1749">
        <v>-2046.8</v>
      </c>
      <c r="DZ870" s="1749"/>
      <c r="EA870" s="1749">
        <v>0</v>
      </c>
      <c r="EB870" s="1749"/>
      <c r="EC870" s="1749">
        <v>-1970.9258256231014</v>
      </c>
      <c r="ED870" s="1749"/>
      <c r="EE870" s="1749">
        <v>0</v>
      </c>
      <c r="EF870" s="1749">
        <v>0</v>
      </c>
      <c r="EG870" s="1749"/>
      <c r="EH870" s="1749">
        <v>0</v>
      </c>
      <c r="EI870" s="1749">
        <v>0</v>
      </c>
      <c r="EJ870" s="1749">
        <v>0</v>
      </c>
      <c r="EK870" s="1749">
        <v>0</v>
      </c>
      <c r="EL870" s="1749">
        <v>0</v>
      </c>
      <c r="EM870" s="1749"/>
      <c r="EN870" s="1749"/>
      <c r="EO870" s="1749">
        <v>0</v>
      </c>
      <c r="EP870" s="1749">
        <v>0</v>
      </c>
      <c r="EQ870" s="1749"/>
      <c r="ER870" s="1749">
        <v>0</v>
      </c>
      <c r="ES870" s="1749"/>
      <c r="ET870" s="1749">
        <v>0</v>
      </c>
      <c r="EU870" s="1749"/>
      <c r="EV870" s="1749">
        <v>246</v>
      </c>
      <c r="EW870" s="1749"/>
      <c r="EX870" s="1749"/>
      <c r="EY870" s="1749"/>
      <c r="EZ870" s="1749"/>
      <c r="FA870" s="1749">
        <v>0</v>
      </c>
      <c r="FB870" s="1749"/>
      <c r="FC870" s="1749"/>
      <c r="FD870" s="1749"/>
      <c r="FE870" s="1749"/>
      <c r="FF870" s="1749">
        <v>0</v>
      </c>
      <c r="FG870" s="1749">
        <v>0</v>
      </c>
      <c r="FH870" s="1749">
        <v>0</v>
      </c>
      <c r="FI870" s="1749">
        <v>0</v>
      </c>
    </row>
    <row r="871" spans="1:165">
      <c r="A871" s="1749">
        <v>902</v>
      </c>
      <c r="B871" s="1749" t="s">
        <v>1090</v>
      </c>
      <c r="C871" s="1749" t="s">
        <v>1044</v>
      </c>
      <c r="D871" s="1749" t="s">
        <v>650</v>
      </c>
      <c r="E871" s="1749" t="s">
        <v>97</v>
      </c>
      <c r="F871" s="1749" t="s">
        <v>97</v>
      </c>
      <c r="G871" s="1749" t="s">
        <v>97</v>
      </c>
      <c r="H871" s="1749" t="s">
        <v>2335</v>
      </c>
      <c r="I871" s="1749" t="s">
        <v>97</v>
      </c>
      <c r="J871" s="1749" t="s">
        <v>2329</v>
      </c>
      <c r="K871" s="1750">
        <v>44682</v>
      </c>
      <c r="L871" s="1749">
        <v>730</v>
      </c>
      <c r="M871" s="1749">
        <v>365</v>
      </c>
      <c r="N871" s="1749">
        <v>0</v>
      </c>
      <c r="O871" s="1749">
        <v>0</v>
      </c>
      <c r="P871" s="1749">
        <v>0</v>
      </c>
      <c r="Q871" s="1749">
        <v>0</v>
      </c>
      <c r="R871" s="1749">
        <v>13.8</v>
      </c>
      <c r="S871" s="1749"/>
      <c r="T871" s="1749"/>
      <c r="U871" s="1749">
        <v>10074</v>
      </c>
      <c r="V871" s="1749"/>
      <c r="W871" s="1749">
        <v>10074</v>
      </c>
      <c r="X871" s="1749">
        <v>4737.7</v>
      </c>
      <c r="Y871" s="1749">
        <v>0</v>
      </c>
      <c r="Z871" s="1749">
        <v>0</v>
      </c>
      <c r="AA871" s="1749">
        <v>0</v>
      </c>
      <c r="AB871" s="1749">
        <v>0</v>
      </c>
      <c r="AC871" s="1749">
        <v>0</v>
      </c>
      <c r="AD871" s="1749">
        <v>0</v>
      </c>
      <c r="AE871" s="1749">
        <v>10059.635519747941</v>
      </c>
      <c r="AF871" s="1749"/>
      <c r="AG871" s="1749"/>
      <c r="AH871" s="1749"/>
      <c r="AI871" s="1749">
        <v>0</v>
      </c>
      <c r="AJ871" s="1749">
        <v>0</v>
      </c>
      <c r="AK871" s="1749">
        <v>0</v>
      </c>
      <c r="AL871" s="1749">
        <v>0</v>
      </c>
      <c r="AM871" s="1749"/>
      <c r="AN871" s="1749">
        <v>16.497417183321456</v>
      </c>
      <c r="AO871" s="1749">
        <v>0</v>
      </c>
      <c r="AP871" s="1749">
        <v>0</v>
      </c>
      <c r="AQ871" s="1749">
        <v>0</v>
      </c>
      <c r="AR871" s="1749">
        <v>0</v>
      </c>
      <c r="AS871" s="1749"/>
      <c r="AT871" s="1749"/>
      <c r="AU871" s="1749">
        <v>0</v>
      </c>
      <c r="AV871" s="1749">
        <v>0</v>
      </c>
      <c r="AW871" s="1749">
        <v>0</v>
      </c>
      <c r="AX871" s="1749"/>
      <c r="AY871" s="1749"/>
      <c r="AZ871" s="1749">
        <v>0</v>
      </c>
      <c r="BA871" s="1749"/>
      <c r="BB871" s="1749">
        <v>0</v>
      </c>
      <c r="BC871" s="1749">
        <v>0</v>
      </c>
      <c r="BD871" s="1749">
        <v>0</v>
      </c>
      <c r="BE871" s="1749">
        <v>0</v>
      </c>
      <c r="BF871" s="1749"/>
      <c r="BG871" s="1749">
        <v>0</v>
      </c>
      <c r="BH871" s="1749">
        <v>0</v>
      </c>
      <c r="BI871" s="1749">
        <v>4.9800000000000004</v>
      </c>
      <c r="BJ871" s="1749">
        <v>0</v>
      </c>
      <c r="BK871" s="1749">
        <v>0</v>
      </c>
      <c r="BL871" s="1749">
        <v>0</v>
      </c>
      <c r="BM871" s="1749"/>
      <c r="BN871" s="1749"/>
      <c r="BO871" s="1749">
        <v>2368.85</v>
      </c>
      <c r="BP871" s="1749"/>
      <c r="BQ871" s="1749"/>
      <c r="BR871" s="1749"/>
      <c r="BS871" s="1749"/>
      <c r="BT871" s="1749"/>
      <c r="BU871" s="1749"/>
      <c r="BV871" s="1749">
        <v>0</v>
      </c>
      <c r="BW871" s="1749"/>
      <c r="BX871" s="1749"/>
      <c r="BY871" s="1749"/>
      <c r="BZ871" s="1749"/>
      <c r="CA871" s="1749"/>
      <c r="CB871" s="1749"/>
      <c r="CC871" s="1749"/>
      <c r="CD871" s="1749"/>
      <c r="CE871" s="1749"/>
      <c r="CF871" s="1749"/>
      <c r="CG871" s="1749"/>
      <c r="CH871" s="1749"/>
      <c r="CI871" s="1749">
        <v>2368.85</v>
      </c>
      <c r="CJ871" s="1749">
        <v>-2668.1800000000007</v>
      </c>
      <c r="CK871" s="1749"/>
      <c r="CL871" s="1749"/>
      <c r="CM871" s="1749"/>
      <c r="CN871" s="1749"/>
      <c r="CO871" s="1749">
        <v>-5336.3</v>
      </c>
      <c r="CP871" s="1749">
        <v>0</v>
      </c>
      <c r="CQ871" s="1749">
        <v>31</v>
      </c>
      <c r="CR871" s="1749">
        <v>-197.78530849607532</v>
      </c>
      <c r="CS871" s="1749">
        <v>0</v>
      </c>
      <c r="CT871" s="1749">
        <v>0</v>
      </c>
      <c r="CU871" s="1749">
        <v>0</v>
      </c>
      <c r="CV871" s="1749">
        <v>0</v>
      </c>
      <c r="CW871" s="1749"/>
      <c r="CX871" s="1749"/>
      <c r="CY871" s="1749"/>
      <c r="CZ871" s="1749">
        <v>0</v>
      </c>
      <c r="DA871" s="1749">
        <v>0</v>
      </c>
      <c r="DB871" s="1749">
        <v>0</v>
      </c>
      <c r="DC871" s="1749"/>
      <c r="DD871" s="1749"/>
      <c r="DE871" s="1749">
        <v>0</v>
      </c>
      <c r="DF871" s="1749">
        <v>0</v>
      </c>
      <c r="DG871" s="1749">
        <v>0</v>
      </c>
      <c r="DH871" s="1749">
        <v>0</v>
      </c>
      <c r="DI871" s="1749">
        <v>0</v>
      </c>
      <c r="DJ871" s="1749"/>
      <c r="DK871" s="1749">
        <v>0</v>
      </c>
      <c r="DL871" s="1749">
        <v>0</v>
      </c>
      <c r="DM871" s="1749"/>
      <c r="DN871" s="1749">
        <v>0</v>
      </c>
      <c r="DO871" s="1749">
        <v>0</v>
      </c>
      <c r="DP871" s="1749">
        <v>-1.0511755948078978</v>
      </c>
      <c r="DQ871" s="1749">
        <v>0</v>
      </c>
      <c r="DR871" s="1749">
        <v>-196.73413290126743</v>
      </c>
      <c r="DS871" s="1749"/>
      <c r="DT871" s="1749"/>
      <c r="DU871" s="1749">
        <v>10059.635519747941</v>
      </c>
      <c r="DV871" s="1749"/>
      <c r="DW871" s="1749">
        <v>0</v>
      </c>
      <c r="DX871" s="1749">
        <v>0</v>
      </c>
      <c r="DY871" s="1749">
        <v>-5336.3</v>
      </c>
      <c r="DZ871" s="1749"/>
      <c r="EA871" s="1749">
        <v>0</v>
      </c>
      <c r="EB871" s="1749"/>
      <c r="EC871" s="1749">
        <v>-5138.485188231657</v>
      </c>
      <c r="ED871" s="1749"/>
      <c r="EE871" s="1749">
        <v>0</v>
      </c>
      <c r="EF871" s="1749">
        <v>0</v>
      </c>
      <c r="EG871" s="1749"/>
      <c r="EH871" s="1749">
        <v>0</v>
      </c>
      <c r="EI871" s="1749">
        <v>0</v>
      </c>
      <c r="EJ871" s="1749">
        <v>0</v>
      </c>
      <c r="EK871" s="1749">
        <v>0</v>
      </c>
      <c r="EL871" s="1749">
        <v>0</v>
      </c>
      <c r="EM871" s="1749"/>
      <c r="EN871" s="1749"/>
      <c r="EO871" s="1749">
        <v>0</v>
      </c>
      <c r="EP871" s="1749">
        <v>0</v>
      </c>
      <c r="EQ871" s="1749"/>
      <c r="ER871" s="1749">
        <v>0</v>
      </c>
      <c r="ES871" s="1749"/>
      <c r="ET871" s="1749">
        <v>0</v>
      </c>
      <c r="EU871" s="1749"/>
      <c r="EV871" s="1749">
        <v>246</v>
      </c>
      <c r="EW871" s="1749"/>
      <c r="EX871" s="1749"/>
      <c r="EY871" s="1749"/>
      <c r="EZ871" s="1749"/>
      <c r="FA871" s="1749">
        <v>0</v>
      </c>
      <c r="FB871" s="1749"/>
      <c r="FC871" s="1749"/>
      <c r="FD871" s="1749"/>
      <c r="FE871" s="1749"/>
      <c r="FF871" s="1749">
        <v>0</v>
      </c>
      <c r="FG871" s="1749">
        <v>0</v>
      </c>
      <c r="FH871" s="1749">
        <v>0</v>
      </c>
      <c r="FI871" s="1749">
        <v>0</v>
      </c>
    </row>
    <row r="872" spans="1:165">
      <c r="A872" s="1749">
        <v>903</v>
      </c>
      <c r="B872" s="1749" t="s">
        <v>1090</v>
      </c>
      <c r="C872" s="1749" t="s">
        <v>1044</v>
      </c>
      <c r="D872" s="1749" t="s">
        <v>650</v>
      </c>
      <c r="E872" s="1749" t="s">
        <v>97</v>
      </c>
      <c r="F872" s="1749" t="s">
        <v>97</v>
      </c>
      <c r="G872" s="1749" t="s">
        <v>97</v>
      </c>
      <c r="H872" s="1749" t="s">
        <v>2336</v>
      </c>
      <c r="I872" s="1749" t="s">
        <v>97</v>
      </c>
      <c r="J872" s="1749" t="s">
        <v>2329</v>
      </c>
      <c r="K872" s="1750">
        <v>44682</v>
      </c>
      <c r="L872" s="1749">
        <v>561</v>
      </c>
      <c r="M872" s="1749">
        <v>280.5</v>
      </c>
      <c r="N872" s="1749">
        <v>0</v>
      </c>
      <c r="O872" s="1749">
        <v>0</v>
      </c>
      <c r="P872" s="1749">
        <v>0</v>
      </c>
      <c r="Q872" s="1749">
        <v>0</v>
      </c>
      <c r="R872" s="1749">
        <v>13.8</v>
      </c>
      <c r="S872" s="1749"/>
      <c r="T872" s="1749"/>
      <c r="U872" s="1749">
        <v>7741.8</v>
      </c>
      <c r="V872" s="1749"/>
      <c r="W872" s="1749">
        <v>7741.8</v>
      </c>
      <c r="X872" s="1749">
        <v>3640.8900000000003</v>
      </c>
      <c r="Y872" s="1749">
        <v>0</v>
      </c>
      <c r="Z872" s="1749">
        <v>0</v>
      </c>
      <c r="AA872" s="1749">
        <v>0</v>
      </c>
      <c r="AB872" s="1749">
        <v>0</v>
      </c>
      <c r="AC872" s="1749">
        <v>0</v>
      </c>
      <c r="AD872" s="1749">
        <v>0</v>
      </c>
      <c r="AE872" s="1749">
        <v>7730.7609953131432</v>
      </c>
      <c r="AF872" s="1749"/>
      <c r="AG872" s="1749"/>
      <c r="AH872" s="1749"/>
      <c r="AI872" s="1749">
        <v>0</v>
      </c>
      <c r="AJ872" s="1749">
        <v>0</v>
      </c>
      <c r="AK872" s="1749">
        <v>0</v>
      </c>
      <c r="AL872" s="1749">
        <v>0</v>
      </c>
      <c r="AM872" s="1749"/>
      <c r="AN872" s="1749">
        <v>12.678152109374436</v>
      </c>
      <c r="AO872" s="1749">
        <v>0</v>
      </c>
      <c r="AP872" s="1749">
        <v>0</v>
      </c>
      <c r="AQ872" s="1749">
        <v>0</v>
      </c>
      <c r="AR872" s="1749">
        <v>0</v>
      </c>
      <c r="AS872" s="1749"/>
      <c r="AT872" s="1749"/>
      <c r="AU872" s="1749">
        <v>0</v>
      </c>
      <c r="AV872" s="1749">
        <v>0</v>
      </c>
      <c r="AW872" s="1749">
        <v>0</v>
      </c>
      <c r="AX872" s="1749"/>
      <c r="AY872" s="1749"/>
      <c r="AZ872" s="1749">
        <v>0</v>
      </c>
      <c r="BA872" s="1749"/>
      <c r="BB872" s="1749">
        <v>0</v>
      </c>
      <c r="BC872" s="1749">
        <v>0</v>
      </c>
      <c r="BD872" s="1749">
        <v>0</v>
      </c>
      <c r="BE872" s="1749">
        <v>0</v>
      </c>
      <c r="BF872" s="1749"/>
      <c r="BG872" s="1749">
        <v>0</v>
      </c>
      <c r="BH872" s="1749">
        <v>0</v>
      </c>
      <c r="BI872" s="1749">
        <v>3.82</v>
      </c>
      <c r="BJ872" s="1749">
        <v>0</v>
      </c>
      <c r="BK872" s="1749">
        <v>0</v>
      </c>
      <c r="BL872" s="1749">
        <v>0</v>
      </c>
      <c r="BM872" s="1749"/>
      <c r="BN872" s="1749"/>
      <c r="BO872" s="1749">
        <v>1820.4450000000002</v>
      </c>
      <c r="BP872" s="1749"/>
      <c r="BQ872" s="1749"/>
      <c r="BR872" s="1749"/>
      <c r="BS872" s="1749"/>
      <c r="BT872" s="1749"/>
      <c r="BU872" s="1749"/>
      <c r="BV872" s="1749">
        <v>0</v>
      </c>
      <c r="BW872" s="1749"/>
      <c r="BX872" s="1749"/>
      <c r="BY872" s="1749"/>
      <c r="BZ872" s="1749"/>
      <c r="CA872" s="1749"/>
      <c r="CB872" s="1749"/>
      <c r="CC872" s="1749"/>
      <c r="CD872" s="1749"/>
      <c r="CE872" s="1749"/>
      <c r="CF872" s="1749"/>
      <c r="CG872" s="1749"/>
      <c r="CH872" s="1749"/>
      <c r="CI872" s="1749">
        <v>1820.4450000000002</v>
      </c>
      <c r="CJ872" s="1749">
        <v>-2050.4850000000006</v>
      </c>
      <c r="CK872" s="1749"/>
      <c r="CL872" s="1749"/>
      <c r="CM872" s="1749"/>
      <c r="CN872" s="1749"/>
      <c r="CO872" s="1749">
        <v>-4100.91</v>
      </c>
      <c r="CP872" s="1749">
        <v>0</v>
      </c>
      <c r="CQ872" s="1749">
        <v>31</v>
      </c>
      <c r="CR872" s="1749">
        <v>-151.99665488534006</v>
      </c>
      <c r="CS872" s="1749">
        <v>0</v>
      </c>
      <c r="CT872" s="1749">
        <v>0</v>
      </c>
      <c r="CU872" s="1749">
        <v>0</v>
      </c>
      <c r="CV872" s="1749">
        <v>0</v>
      </c>
      <c r="CW872" s="1749"/>
      <c r="CX872" s="1749"/>
      <c r="CY872" s="1749"/>
      <c r="CZ872" s="1749">
        <v>0</v>
      </c>
      <c r="DA872" s="1749">
        <v>0</v>
      </c>
      <c r="DB872" s="1749">
        <v>0</v>
      </c>
      <c r="DC872" s="1749"/>
      <c r="DD872" s="1749"/>
      <c r="DE872" s="1749">
        <v>0</v>
      </c>
      <c r="DF872" s="1749">
        <v>0</v>
      </c>
      <c r="DG872" s="1749">
        <v>0</v>
      </c>
      <c r="DH872" s="1749">
        <v>0</v>
      </c>
      <c r="DI872" s="1749">
        <v>0</v>
      </c>
      <c r="DJ872" s="1749"/>
      <c r="DK872" s="1749">
        <v>0</v>
      </c>
      <c r="DL872" s="1749">
        <v>0</v>
      </c>
      <c r="DM872" s="1749"/>
      <c r="DN872" s="1749">
        <v>0</v>
      </c>
      <c r="DO872" s="1749">
        <v>0</v>
      </c>
      <c r="DP872" s="1749">
        <v>-0.80782124477702943</v>
      </c>
      <c r="DQ872" s="1749">
        <v>0</v>
      </c>
      <c r="DR872" s="1749">
        <v>-151.18883364056305</v>
      </c>
      <c r="DS872" s="1749"/>
      <c r="DT872" s="1749"/>
      <c r="DU872" s="1749">
        <v>7730.7609953131432</v>
      </c>
      <c r="DV872" s="1749"/>
      <c r="DW872" s="1749">
        <v>0</v>
      </c>
      <c r="DX872" s="1749">
        <v>0</v>
      </c>
      <c r="DY872" s="1749">
        <v>-4100.91</v>
      </c>
      <c r="DZ872" s="1749"/>
      <c r="EA872" s="1749">
        <v>0</v>
      </c>
      <c r="EB872" s="1749"/>
      <c r="EC872" s="1749">
        <v>-3948.890672051999</v>
      </c>
      <c r="ED872" s="1749"/>
      <c r="EE872" s="1749">
        <v>0</v>
      </c>
      <c r="EF872" s="1749">
        <v>0</v>
      </c>
      <c r="EG872" s="1749"/>
      <c r="EH872" s="1749">
        <v>0</v>
      </c>
      <c r="EI872" s="1749">
        <v>0</v>
      </c>
      <c r="EJ872" s="1749">
        <v>0</v>
      </c>
      <c r="EK872" s="1749">
        <v>0</v>
      </c>
      <c r="EL872" s="1749">
        <v>0</v>
      </c>
      <c r="EM872" s="1749"/>
      <c r="EN872" s="1749"/>
      <c r="EO872" s="1749">
        <v>0</v>
      </c>
      <c r="EP872" s="1749">
        <v>0</v>
      </c>
      <c r="EQ872" s="1749"/>
      <c r="ER872" s="1749">
        <v>0</v>
      </c>
      <c r="ES872" s="1749"/>
      <c r="ET872" s="1749">
        <v>0</v>
      </c>
      <c r="EU872" s="1749"/>
      <c r="EV872" s="1749">
        <v>246</v>
      </c>
      <c r="EW872" s="1749"/>
      <c r="EX872" s="1749"/>
      <c r="EY872" s="1749"/>
      <c r="EZ872" s="1749"/>
      <c r="FA872" s="1749">
        <v>0</v>
      </c>
      <c r="FB872" s="1749"/>
      <c r="FC872" s="1749"/>
      <c r="FD872" s="1749"/>
      <c r="FE872" s="1749"/>
      <c r="FF872" s="1749">
        <v>0</v>
      </c>
      <c r="FG872" s="1749">
        <v>0</v>
      </c>
      <c r="FH872" s="1749">
        <v>0</v>
      </c>
      <c r="FI872" s="1749">
        <v>0</v>
      </c>
    </row>
    <row r="873" spans="1:165">
      <c r="A873" s="1749">
        <v>904</v>
      </c>
      <c r="B873" s="1749" t="s">
        <v>1090</v>
      </c>
      <c r="C873" s="1749" t="s">
        <v>1044</v>
      </c>
      <c r="D873" s="1749" t="s">
        <v>650</v>
      </c>
      <c r="E873" s="1749" t="s">
        <v>97</v>
      </c>
      <c r="F873" s="1749" t="s">
        <v>97</v>
      </c>
      <c r="G873" s="1749" t="s">
        <v>97</v>
      </c>
      <c r="H873" s="1749" t="s">
        <v>2337</v>
      </c>
      <c r="I873" s="1749" t="s">
        <v>97</v>
      </c>
      <c r="J873" s="1749" t="s">
        <v>2329</v>
      </c>
      <c r="K873" s="1750">
        <v>44682</v>
      </c>
      <c r="L873" s="1749">
        <v>379</v>
      </c>
      <c r="M873" s="1749">
        <v>189.5</v>
      </c>
      <c r="N873" s="1749">
        <v>0</v>
      </c>
      <c r="O873" s="1749">
        <v>0</v>
      </c>
      <c r="P873" s="1749">
        <v>0</v>
      </c>
      <c r="Q873" s="1749">
        <v>0</v>
      </c>
      <c r="R873" s="1749">
        <v>13.8</v>
      </c>
      <c r="S873" s="1749"/>
      <c r="T873" s="1749"/>
      <c r="U873" s="1749">
        <v>5230.2</v>
      </c>
      <c r="V873" s="1749"/>
      <c r="W873" s="1749">
        <v>5230.2</v>
      </c>
      <c r="X873" s="1749">
        <v>2459.71</v>
      </c>
      <c r="Y873" s="1749">
        <v>0</v>
      </c>
      <c r="Z873" s="1749">
        <v>0</v>
      </c>
      <c r="AA873" s="1749">
        <v>0</v>
      </c>
      <c r="AB873" s="1749">
        <v>0</v>
      </c>
      <c r="AC873" s="1749">
        <v>0</v>
      </c>
      <c r="AD873" s="1749">
        <v>0</v>
      </c>
      <c r="AE873" s="1749">
        <v>5222.742276691054</v>
      </c>
      <c r="AF873" s="1749"/>
      <c r="AG873" s="1749"/>
      <c r="AH873" s="1749"/>
      <c r="AI873" s="1749">
        <v>0</v>
      </c>
      <c r="AJ873" s="1749">
        <v>0</v>
      </c>
      <c r="AK873" s="1749">
        <v>0</v>
      </c>
      <c r="AL873" s="1749">
        <v>0</v>
      </c>
      <c r="AM873" s="1749"/>
      <c r="AN873" s="1749">
        <v>8.5650974143545646</v>
      </c>
      <c r="AO873" s="1749">
        <v>0</v>
      </c>
      <c r="AP873" s="1749">
        <v>0</v>
      </c>
      <c r="AQ873" s="1749">
        <v>0</v>
      </c>
      <c r="AR873" s="1749">
        <v>0</v>
      </c>
      <c r="AS873" s="1749"/>
      <c r="AT873" s="1749"/>
      <c r="AU873" s="1749">
        <v>0</v>
      </c>
      <c r="AV873" s="1749">
        <v>0</v>
      </c>
      <c r="AW873" s="1749">
        <v>0</v>
      </c>
      <c r="AX873" s="1749"/>
      <c r="AY873" s="1749"/>
      <c r="AZ873" s="1749">
        <v>0</v>
      </c>
      <c r="BA873" s="1749"/>
      <c r="BB873" s="1749">
        <v>0</v>
      </c>
      <c r="BC873" s="1749">
        <v>0</v>
      </c>
      <c r="BD873" s="1749">
        <v>0</v>
      </c>
      <c r="BE873" s="1749">
        <v>0</v>
      </c>
      <c r="BF873" s="1749"/>
      <c r="BG873" s="1749">
        <v>0</v>
      </c>
      <c r="BH873" s="1749">
        <v>0</v>
      </c>
      <c r="BI873" s="1749">
        <v>2.58</v>
      </c>
      <c r="BJ873" s="1749">
        <v>0</v>
      </c>
      <c r="BK873" s="1749">
        <v>0</v>
      </c>
      <c r="BL873" s="1749">
        <v>0</v>
      </c>
      <c r="BM873" s="1749"/>
      <c r="BN873" s="1749"/>
      <c r="BO873" s="1749">
        <v>1229.855</v>
      </c>
      <c r="BP873" s="1749"/>
      <c r="BQ873" s="1749"/>
      <c r="BR873" s="1749"/>
      <c r="BS873" s="1749"/>
      <c r="BT873" s="1749"/>
      <c r="BU873" s="1749"/>
      <c r="BV873" s="1749">
        <v>0</v>
      </c>
      <c r="BW873" s="1749"/>
      <c r="BX873" s="1749"/>
      <c r="BY873" s="1749"/>
      <c r="BZ873" s="1749"/>
      <c r="CA873" s="1749"/>
      <c r="CB873" s="1749"/>
      <c r="CC873" s="1749"/>
      <c r="CD873" s="1749"/>
      <c r="CE873" s="1749"/>
      <c r="CF873" s="1749"/>
      <c r="CG873" s="1749"/>
      <c r="CH873" s="1749"/>
      <c r="CI873" s="1749">
        <v>1229.855</v>
      </c>
      <c r="CJ873" s="1749">
        <v>-1385.2750000000005</v>
      </c>
      <c r="CK873" s="1749"/>
      <c r="CL873" s="1749"/>
      <c r="CM873" s="1749"/>
      <c r="CN873" s="1749"/>
      <c r="CO873" s="1749">
        <v>-2770.4900000000002</v>
      </c>
      <c r="CP873" s="1749">
        <v>0</v>
      </c>
      <c r="CQ873" s="1749">
        <v>31</v>
      </c>
      <c r="CR873" s="1749">
        <v>-102.68579715070211</v>
      </c>
      <c r="CS873" s="1749">
        <v>0</v>
      </c>
      <c r="CT873" s="1749">
        <v>0</v>
      </c>
      <c r="CU873" s="1749">
        <v>0</v>
      </c>
      <c r="CV873" s="1749">
        <v>0</v>
      </c>
      <c r="CW873" s="1749"/>
      <c r="CX873" s="1749"/>
      <c r="CY873" s="1749"/>
      <c r="CZ873" s="1749">
        <v>0</v>
      </c>
      <c r="DA873" s="1749">
        <v>0</v>
      </c>
      <c r="DB873" s="1749">
        <v>0</v>
      </c>
      <c r="DC873" s="1749"/>
      <c r="DD873" s="1749"/>
      <c r="DE873" s="1749">
        <v>0</v>
      </c>
      <c r="DF873" s="1749">
        <v>0</v>
      </c>
      <c r="DG873" s="1749">
        <v>0</v>
      </c>
      <c r="DH873" s="1749">
        <v>0</v>
      </c>
      <c r="DI873" s="1749">
        <v>0</v>
      </c>
      <c r="DJ873" s="1749"/>
      <c r="DK873" s="1749">
        <v>0</v>
      </c>
      <c r="DL873" s="1749">
        <v>0</v>
      </c>
      <c r="DM873" s="1749"/>
      <c r="DN873" s="1749">
        <v>0</v>
      </c>
      <c r="DO873" s="1749">
        <v>0</v>
      </c>
      <c r="DP873" s="1749">
        <v>-0.5457473293591697</v>
      </c>
      <c r="DQ873" s="1749">
        <v>0</v>
      </c>
      <c r="DR873" s="1749">
        <v>-102.14004982134294</v>
      </c>
      <c r="DS873" s="1749"/>
      <c r="DT873" s="1749"/>
      <c r="DU873" s="1749">
        <v>5222.742276691054</v>
      </c>
      <c r="DV873" s="1749"/>
      <c r="DW873" s="1749">
        <v>0</v>
      </c>
      <c r="DX873" s="1749">
        <v>0</v>
      </c>
      <c r="DY873" s="1749">
        <v>-2770.49</v>
      </c>
      <c r="DZ873" s="1749"/>
      <c r="EA873" s="1749">
        <v>0</v>
      </c>
      <c r="EB873" s="1749"/>
      <c r="EC873" s="1749">
        <v>-2667.7888853969835</v>
      </c>
      <c r="ED873" s="1749"/>
      <c r="EE873" s="1749">
        <v>0</v>
      </c>
      <c r="EF873" s="1749">
        <v>0</v>
      </c>
      <c r="EG873" s="1749"/>
      <c r="EH873" s="1749">
        <v>0</v>
      </c>
      <c r="EI873" s="1749">
        <v>0</v>
      </c>
      <c r="EJ873" s="1749">
        <v>0</v>
      </c>
      <c r="EK873" s="1749">
        <v>0</v>
      </c>
      <c r="EL873" s="1749">
        <v>0</v>
      </c>
      <c r="EM873" s="1749"/>
      <c r="EN873" s="1749"/>
      <c r="EO873" s="1749">
        <v>0</v>
      </c>
      <c r="EP873" s="1749">
        <v>0</v>
      </c>
      <c r="EQ873" s="1749"/>
      <c r="ER873" s="1749">
        <v>0</v>
      </c>
      <c r="ES873" s="1749"/>
      <c r="ET873" s="1749">
        <v>0</v>
      </c>
      <c r="EU873" s="1749"/>
      <c r="EV873" s="1749">
        <v>246</v>
      </c>
      <c r="EW873" s="1749"/>
      <c r="EX873" s="1749"/>
      <c r="EY873" s="1749"/>
      <c r="EZ873" s="1749"/>
      <c r="FA873" s="1749">
        <v>0</v>
      </c>
      <c r="FB873" s="1749"/>
      <c r="FC873" s="1749"/>
      <c r="FD873" s="1749"/>
      <c r="FE873" s="1749"/>
      <c r="FF873" s="1749">
        <v>0</v>
      </c>
      <c r="FG873" s="1749">
        <v>0</v>
      </c>
      <c r="FH873" s="1749">
        <v>0</v>
      </c>
      <c r="FI873" s="1749">
        <v>0</v>
      </c>
    </row>
    <row r="874" spans="1:165">
      <c r="A874" s="1749">
        <v>905</v>
      </c>
      <c r="B874" s="1749" t="s">
        <v>1090</v>
      </c>
      <c r="C874" s="1749" t="s">
        <v>1044</v>
      </c>
      <c r="D874" s="1749" t="s">
        <v>650</v>
      </c>
      <c r="E874" s="1749" t="s">
        <v>97</v>
      </c>
      <c r="F874" s="1749" t="s">
        <v>97</v>
      </c>
      <c r="G874" s="1749" t="s">
        <v>97</v>
      </c>
      <c r="H874" s="1749" t="s">
        <v>2338</v>
      </c>
      <c r="I874" s="1749" t="s">
        <v>97</v>
      </c>
      <c r="J874" s="1749" t="s">
        <v>2329</v>
      </c>
      <c r="K874" s="1750">
        <v>44682</v>
      </c>
      <c r="L874" s="1749">
        <v>718</v>
      </c>
      <c r="M874" s="1749">
        <v>359</v>
      </c>
      <c r="N874" s="1749">
        <v>0</v>
      </c>
      <c r="O874" s="1749">
        <v>0</v>
      </c>
      <c r="P874" s="1749">
        <v>0</v>
      </c>
      <c r="Q874" s="1749">
        <v>0</v>
      </c>
      <c r="R874" s="1749">
        <v>13.8</v>
      </c>
      <c r="S874" s="1749"/>
      <c r="T874" s="1749"/>
      <c r="U874" s="1749">
        <v>9908.4</v>
      </c>
      <c r="V874" s="1749"/>
      <c r="W874" s="1749">
        <v>9908.4</v>
      </c>
      <c r="X874" s="1749">
        <v>4659.82</v>
      </c>
      <c r="Y874" s="1749">
        <v>0</v>
      </c>
      <c r="Z874" s="1749">
        <v>0</v>
      </c>
      <c r="AA874" s="1749">
        <v>0</v>
      </c>
      <c r="AB874" s="1749">
        <v>0</v>
      </c>
      <c r="AC874" s="1749">
        <v>0</v>
      </c>
      <c r="AD874" s="1749">
        <v>0</v>
      </c>
      <c r="AE874" s="1749">
        <v>9894.2716481904408</v>
      </c>
      <c r="AF874" s="1749"/>
      <c r="AG874" s="1749"/>
      <c r="AH874" s="1749"/>
      <c r="AI874" s="1749">
        <v>0</v>
      </c>
      <c r="AJ874" s="1749">
        <v>0</v>
      </c>
      <c r="AK874" s="1749">
        <v>0</v>
      </c>
      <c r="AL874" s="1749">
        <v>0</v>
      </c>
      <c r="AM874" s="1749"/>
      <c r="AN874" s="1749">
        <v>16.226226763869597</v>
      </c>
      <c r="AO874" s="1749">
        <v>0</v>
      </c>
      <c r="AP874" s="1749">
        <v>0</v>
      </c>
      <c r="AQ874" s="1749">
        <v>0</v>
      </c>
      <c r="AR874" s="1749">
        <v>0</v>
      </c>
      <c r="AS874" s="1749"/>
      <c r="AT874" s="1749"/>
      <c r="AU874" s="1749">
        <v>0</v>
      </c>
      <c r="AV874" s="1749">
        <v>0</v>
      </c>
      <c r="AW874" s="1749">
        <v>0</v>
      </c>
      <c r="AX874" s="1749"/>
      <c r="AY874" s="1749"/>
      <c r="AZ874" s="1749">
        <v>0</v>
      </c>
      <c r="BA874" s="1749"/>
      <c r="BB874" s="1749">
        <v>0</v>
      </c>
      <c r="BC874" s="1749">
        <v>0</v>
      </c>
      <c r="BD874" s="1749">
        <v>0</v>
      </c>
      <c r="BE874" s="1749">
        <v>0</v>
      </c>
      <c r="BF874" s="1749"/>
      <c r="BG874" s="1749">
        <v>0</v>
      </c>
      <c r="BH874" s="1749">
        <v>0</v>
      </c>
      <c r="BI874" s="1749">
        <v>4.9000000000000004</v>
      </c>
      <c r="BJ874" s="1749">
        <v>0</v>
      </c>
      <c r="BK874" s="1749">
        <v>0</v>
      </c>
      <c r="BL874" s="1749">
        <v>0</v>
      </c>
      <c r="BM874" s="1749"/>
      <c r="BN874" s="1749"/>
      <c r="BO874" s="1749">
        <v>2329.91</v>
      </c>
      <c r="BP874" s="1749"/>
      <c r="BQ874" s="1749"/>
      <c r="BR874" s="1749"/>
      <c r="BS874" s="1749"/>
      <c r="BT874" s="1749"/>
      <c r="BU874" s="1749"/>
      <c r="BV874" s="1749">
        <v>0</v>
      </c>
      <c r="BW874" s="1749"/>
      <c r="BX874" s="1749"/>
      <c r="BY874" s="1749"/>
      <c r="BZ874" s="1749"/>
      <c r="CA874" s="1749"/>
      <c r="CB874" s="1749"/>
      <c r="CC874" s="1749"/>
      <c r="CD874" s="1749"/>
      <c r="CE874" s="1749"/>
      <c r="CF874" s="1749"/>
      <c r="CG874" s="1749"/>
      <c r="CH874" s="1749"/>
      <c r="CI874" s="1749">
        <v>2329.91</v>
      </c>
      <c r="CJ874" s="1749">
        <v>-2624.3200000000006</v>
      </c>
      <c r="CK874" s="1749"/>
      <c r="CL874" s="1749"/>
      <c r="CM874" s="1749"/>
      <c r="CN874" s="1749"/>
      <c r="CO874" s="1749">
        <v>-5248.58</v>
      </c>
      <c r="CP874" s="1749">
        <v>0</v>
      </c>
      <c r="CQ874" s="1749">
        <v>31</v>
      </c>
      <c r="CR874" s="1749">
        <v>-194.53404315093434</v>
      </c>
      <c r="CS874" s="1749">
        <v>0</v>
      </c>
      <c r="CT874" s="1749">
        <v>0</v>
      </c>
      <c r="CU874" s="1749">
        <v>0</v>
      </c>
      <c r="CV874" s="1749">
        <v>0</v>
      </c>
      <c r="CW874" s="1749"/>
      <c r="CX874" s="1749"/>
      <c r="CY874" s="1749"/>
      <c r="CZ874" s="1749">
        <v>0</v>
      </c>
      <c r="DA874" s="1749">
        <v>0</v>
      </c>
      <c r="DB874" s="1749">
        <v>0</v>
      </c>
      <c r="DC874" s="1749"/>
      <c r="DD874" s="1749"/>
      <c r="DE874" s="1749">
        <v>0</v>
      </c>
      <c r="DF874" s="1749">
        <v>0</v>
      </c>
      <c r="DG874" s="1749">
        <v>0</v>
      </c>
      <c r="DH874" s="1749">
        <v>0</v>
      </c>
      <c r="DI874" s="1749">
        <v>0</v>
      </c>
      <c r="DJ874" s="1749"/>
      <c r="DK874" s="1749">
        <v>0</v>
      </c>
      <c r="DL874" s="1749">
        <v>0</v>
      </c>
      <c r="DM874" s="1749"/>
      <c r="DN874" s="1749">
        <v>0</v>
      </c>
      <c r="DO874" s="1749">
        <v>0</v>
      </c>
      <c r="DP874" s="1749">
        <v>-1.0338959959891376</v>
      </c>
      <c r="DQ874" s="1749">
        <v>0</v>
      </c>
      <c r="DR874" s="1749">
        <v>-193.50014715494521</v>
      </c>
      <c r="DS874" s="1749"/>
      <c r="DT874" s="1749"/>
      <c r="DU874" s="1749">
        <v>9894.2716481904408</v>
      </c>
      <c r="DV874" s="1749"/>
      <c r="DW874" s="1749">
        <v>0</v>
      </c>
      <c r="DX874" s="1749">
        <v>0</v>
      </c>
      <c r="DY874" s="1749">
        <v>-5248.58</v>
      </c>
      <c r="DZ874" s="1749"/>
      <c r="EA874" s="1749">
        <v>0</v>
      </c>
      <c r="EB874" s="1749"/>
      <c r="EC874" s="1749">
        <v>-5054.0169385620957</v>
      </c>
      <c r="ED874" s="1749"/>
      <c r="EE874" s="1749">
        <v>0</v>
      </c>
      <c r="EF874" s="1749">
        <v>0</v>
      </c>
      <c r="EG874" s="1749"/>
      <c r="EH874" s="1749">
        <v>0</v>
      </c>
      <c r="EI874" s="1749">
        <v>0</v>
      </c>
      <c r="EJ874" s="1749">
        <v>0</v>
      </c>
      <c r="EK874" s="1749">
        <v>0</v>
      </c>
      <c r="EL874" s="1749">
        <v>0</v>
      </c>
      <c r="EM874" s="1749"/>
      <c r="EN874" s="1749"/>
      <c r="EO874" s="1749">
        <v>0</v>
      </c>
      <c r="EP874" s="1749">
        <v>0</v>
      </c>
      <c r="EQ874" s="1749"/>
      <c r="ER874" s="1749">
        <v>0</v>
      </c>
      <c r="ES874" s="1749"/>
      <c r="ET874" s="1749">
        <v>0</v>
      </c>
      <c r="EU874" s="1749"/>
      <c r="EV874" s="1749">
        <v>246</v>
      </c>
      <c r="EW874" s="1749"/>
      <c r="EX874" s="1749"/>
      <c r="EY874" s="1749"/>
      <c r="EZ874" s="1749"/>
      <c r="FA874" s="1749">
        <v>0</v>
      </c>
      <c r="FB874" s="1749"/>
      <c r="FC874" s="1749"/>
      <c r="FD874" s="1749"/>
      <c r="FE874" s="1749"/>
      <c r="FF874" s="1749">
        <v>0</v>
      </c>
      <c r="FG874" s="1749">
        <v>0</v>
      </c>
      <c r="FH874" s="1749">
        <v>0</v>
      </c>
      <c r="FI874" s="1749">
        <v>0</v>
      </c>
    </row>
    <row r="875" spans="1:165">
      <c r="A875" s="264">
        <v>906</v>
      </c>
      <c r="B875" s="264" t="s">
        <v>2327</v>
      </c>
      <c r="C875" s="264" t="s">
        <v>1044</v>
      </c>
      <c r="D875" s="264" t="s">
        <v>650</v>
      </c>
      <c r="E875" s="264" t="s">
        <v>97</v>
      </c>
      <c r="F875" s="264" t="s">
        <v>97</v>
      </c>
      <c r="G875" s="264" t="s">
        <v>97</v>
      </c>
      <c r="H875" s="264" t="s">
        <v>2328</v>
      </c>
      <c r="I875" s="264" t="s">
        <v>97</v>
      </c>
      <c r="J875" s="264" t="s">
        <v>2329</v>
      </c>
      <c r="K875" s="1748">
        <v>44713</v>
      </c>
      <c r="L875" s="264">
        <v>880</v>
      </c>
      <c r="M875" s="264">
        <v>440</v>
      </c>
      <c r="N875" s="264">
        <v>0</v>
      </c>
      <c r="O875" s="264">
        <v>0</v>
      </c>
      <c r="P875" s="264">
        <v>0</v>
      </c>
      <c r="Q875" s="264">
        <v>0</v>
      </c>
      <c r="R875" s="264">
        <v>13.8</v>
      </c>
      <c r="S875" s="264"/>
      <c r="T875" s="264"/>
      <c r="U875" s="264">
        <v>12144</v>
      </c>
      <c r="V875" s="264"/>
      <c r="W875" s="264">
        <v>12144</v>
      </c>
      <c r="X875" s="264">
        <v>5711.2</v>
      </c>
      <c r="Y875" s="264">
        <v>0</v>
      </c>
      <c r="Z875" s="264">
        <v>0</v>
      </c>
      <c r="AA875" s="264">
        <v>0</v>
      </c>
      <c r="AB875" s="264">
        <v>0</v>
      </c>
      <c r="AC875" s="264">
        <v>0</v>
      </c>
      <c r="AD875" s="264">
        <v>0</v>
      </c>
      <c r="AE875" s="264">
        <v>12126.683914216695</v>
      </c>
      <c r="AF875" s="264"/>
      <c r="AG875" s="264"/>
      <c r="AH875" s="264"/>
      <c r="AI875" s="264">
        <v>0</v>
      </c>
      <c r="AJ875" s="264">
        <v>0</v>
      </c>
      <c r="AK875" s="264">
        <v>0</v>
      </c>
      <c r="AL875" s="264">
        <v>0</v>
      </c>
      <c r="AM875" s="264"/>
      <c r="AN875" s="264">
        <v>19.887297426469704</v>
      </c>
      <c r="AO875" s="264">
        <v>0</v>
      </c>
      <c r="AP875" s="264">
        <v>0</v>
      </c>
      <c r="AQ875" s="264">
        <v>0</v>
      </c>
      <c r="AR875" s="264">
        <v>0</v>
      </c>
      <c r="AS875" s="264"/>
      <c r="AT875" s="264"/>
      <c r="AU875" s="264">
        <v>0</v>
      </c>
      <c r="AV875" s="264">
        <v>0</v>
      </c>
      <c r="AW875" s="264">
        <v>0</v>
      </c>
      <c r="AX875" s="264"/>
      <c r="AY875" s="264"/>
      <c r="AZ875" s="264">
        <v>0</v>
      </c>
      <c r="BA875" s="264"/>
      <c r="BB875" s="264">
        <v>0</v>
      </c>
      <c r="BC875" s="264">
        <v>0</v>
      </c>
      <c r="BD875" s="264">
        <v>0</v>
      </c>
      <c r="BE875" s="264">
        <v>0</v>
      </c>
      <c r="BF875" s="264"/>
      <c r="BG875" s="264">
        <v>0</v>
      </c>
      <c r="BH875" s="264">
        <v>0</v>
      </c>
      <c r="BI875" s="264">
        <v>6</v>
      </c>
      <c r="BJ875" s="264">
        <v>0</v>
      </c>
      <c r="BK875" s="264">
        <v>0</v>
      </c>
      <c r="BL875" s="264">
        <v>0</v>
      </c>
      <c r="BM875" s="264"/>
      <c r="BN875" s="264"/>
      <c r="BO875" s="264">
        <v>2855.6</v>
      </c>
      <c r="BP875" s="264"/>
      <c r="BQ875" s="264"/>
      <c r="BR875" s="264"/>
      <c r="BS875" s="264"/>
      <c r="BT875" s="264"/>
      <c r="BU875" s="264"/>
      <c r="BV875" s="264">
        <v>0</v>
      </c>
      <c r="BW875" s="264"/>
      <c r="BX875" s="264"/>
      <c r="BY875" s="264"/>
      <c r="BZ875" s="264"/>
      <c r="CA875" s="264"/>
      <c r="CB875" s="264"/>
      <c r="CC875" s="264"/>
      <c r="CD875" s="264"/>
      <c r="CE875" s="264"/>
      <c r="CF875" s="264"/>
      <c r="CG875" s="264"/>
      <c r="CH875" s="264"/>
      <c r="CI875" s="264">
        <v>2855.6</v>
      </c>
      <c r="CJ875" s="264">
        <v>-3216.4300000000007</v>
      </c>
      <c r="CK875" s="264"/>
      <c r="CL875" s="264"/>
      <c r="CM875" s="264"/>
      <c r="CN875" s="264"/>
      <c r="CO875" s="264">
        <v>-6432.8</v>
      </c>
      <c r="CP875" s="264">
        <v>0</v>
      </c>
      <c r="CQ875" s="264">
        <v>30</v>
      </c>
      <c r="CR875" s="264">
        <v>-238.42612531033737</v>
      </c>
      <c r="CS875" s="264">
        <v>0</v>
      </c>
      <c r="CT875" s="264">
        <v>0</v>
      </c>
      <c r="CU875" s="264">
        <v>0</v>
      </c>
      <c r="CV875" s="264">
        <v>0</v>
      </c>
      <c r="CW875" s="264"/>
      <c r="CX875" s="264"/>
      <c r="CY875" s="264"/>
      <c r="CZ875" s="264">
        <v>0</v>
      </c>
      <c r="DA875" s="264">
        <v>0</v>
      </c>
      <c r="DB875" s="264">
        <v>0</v>
      </c>
      <c r="DC875" s="264"/>
      <c r="DD875" s="264"/>
      <c r="DE875" s="264">
        <v>0</v>
      </c>
      <c r="DF875" s="264">
        <v>0</v>
      </c>
      <c r="DG875" s="264">
        <v>0</v>
      </c>
      <c r="DH875" s="264">
        <v>0</v>
      </c>
      <c r="DI875" s="264">
        <v>0</v>
      </c>
      <c r="DJ875" s="264"/>
      <c r="DK875" s="264">
        <v>0</v>
      </c>
      <c r="DL875" s="264">
        <v>0</v>
      </c>
      <c r="DM875" s="264"/>
      <c r="DN875" s="264">
        <v>0</v>
      </c>
      <c r="DO875" s="264">
        <v>0</v>
      </c>
      <c r="DP875" s="264">
        <v>-1.2671705800424</v>
      </c>
      <c r="DQ875" s="264">
        <v>0</v>
      </c>
      <c r="DR875" s="264">
        <v>-237.15895473029497</v>
      </c>
      <c r="DS875" s="264"/>
      <c r="DT875" s="264"/>
      <c r="DU875" s="264">
        <v>12126.683914216695</v>
      </c>
      <c r="DV875" s="264"/>
      <c r="DW875" s="264">
        <v>0</v>
      </c>
      <c r="DX875" s="264">
        <v>0</v>
      </c>
      <c r="DY875" s="264">
        <v>-6432.8</v>
      </c>
      <c r="DZ875" s="264"/>
      <c r="EA875" s="264">
        <v>0</v>
      </c>
      <c r="EB875" s="264"/>
      <c r="EC875" s="264">
        <v>-6194.3383091011747</v>
      </c>
      <c r="ED875" s="264"/>
      <c r="EE875" s="264">
        <v>0</v>
      </c>
      <c r="EF875" s="264">
        <v>0</v>
      </c>
      <c r="EG875" s="264"/>
      <c r="EH875" s="264">
        <v>0</v>
      </c>
      <c r="EI875" s="264">
        <v>0</v>
      </c>
      <c r="EJ875" s="264">
        <v>0</v>
      </c>
      <c r="EK875" s="264">
        <v>0</v>
      </c>
      <c r="EL875" s="264">
        <v>0</v>
      </c>
      <c r="EM875" s="264"/>
      <c r="EN875" s="264"/>
      <c r="EO875" s="264">
        <v>0</v>
      </c>
      <c r="EP875" s="264">
        <v>0</v>
      </c>
      <c r="EQ875" s="264"/>
      <c r="ER875" s="264">
        <v>0</v>
      </c>
      <c r="ES875" s="264"/>
      <c r="ET875" s="264">
        <v>0</v>
      </c>
      <c r="EU875" s="264"/>
      <c r="EV875" s="264">
        <v>246</v>
      </c>
      <c r="EW875" s="264"/>
      <c r="EX875" s="264"/>
      <c r="EY875" s="264"/>
      <c r="EZ875" s="264"/>
      <c r="FA875" s="264">
        <v>0</v>
      </c>
      <c r="FB875" s="264"/>
      <c r="FC875" s="264"/>
      <c r="FD875" s="264"/>
      <c r="FE875" s="264"/>
      <c r="FF875" s="264">
        <v>0</v>
      </c>
      <c r="FG875" s="264">
        <v>0</v>
      </c>
      <c r="FH875" s="264">
        <v>0</v>
      </c>
      <c r="FI875" s="264">
        <v>0</v>
      </c>
    </row>
    <row r="876" spans="1:165">
      <c r="A876" s="264">
        <v>907</v>
      </c>
      <c r="B876" s="264" t="s">
        <v>2327</v>
      </c>
      <c r="C876" s="264" t="s">
        <v>1044</v>
      </c>
      <c r="D876" s="264" t="s">
        <v>650</v>
      </c>
      <c r="E876" s="264" t="s">
        <v>97</v>
      </c>
      <c r="F876" s="264" t="s">
        <v>97</v>
      </c>
      <c r="G876" s="264" t="s">
        <v>97</v>
      </c>
      <c r="H876" s="264" t="s">
        <v>2330</v>
      </c>
      <c r="I876" s="264" t="s">
        <v>97</v>
      </c>
      <c r="J876" s="264" t="s">
        <v>2329</v>
      </c>
      <c r="K876" s="1748">
        <v>44713</v>
      </c>
      <c r="L876" s="264">
        <v>520</v>
      </c>
      <c r="M876" s="264">
        <v>260</v>
      </c>
      <c r="N876" s="264">
        <v>0</v>
      </c>
      <c r="O876" s="264">
        <v>0</v>
      </c>
      <c r="P876" s="264">
        <v>0</v>
      </c>
      <c r="Q876" s="264">
        <v>0</v>
      </c>
      <c r="R876" s="264">
        <v>13.8</v>
      </c>
      <c r="S876" s="264"/>
      <c r="T876" s="264"/>
      <c r="U876" s="264">
        <v>7176</v>
      </c>
      <c r="V876" s="264"/>
      <c r="W876" s="264">
        <v>7176</v>
      </c>
      <c r="X876" s="264">
        <v>3374.8</v>
      </c>
      <c r="Y876" s="264">
        <v>0</v>
      </c>
      <c r="Z876" s="264">
        <v>0</v>
      </c>
      <c r="AA876" s="264">
        <v>0</v>
      </c>
      <c r="AB876" s="264">
        <v>0</v>
      </c>
      <c r="AC876" s="264">
        <v>0</v>
      </c>
      <c r="AD876" s="264">
        <v>0</v>
      </c>
      <c r="AE876" s="264">
        <v>7165.767767491684</v>
      </c>
      <c r="AF876" s="264"/>
      <c r="AG876" s="264"/>
      <c r="AH876" s="264"/>
      <c r="AI876" s="264">
        <v>0</v>
      </c>
      <c r="AJ876" s="264">
        <v>0</v>
      </c>
      <c r="AK876" s="264">
        <v>0</v>
      </c>
      <c r="AL876" s="264">
        <v>0</v>
      </c>
      <c r="AM876" s="264"/>
      <c r="AN876" s="264">
        <v>11.751584842913916</v>
      </c>
      <c r="AO876" s="264">
        <v>0</v>
      </c>
      <c r="AP876" s="264">
        <v>0</v>
      </c>
      <c r="AQ876" s="264">
        <v>0</v>
      </c>
      <c r="AR876" s="264">
        <v>0</v>
      </c>
      <c r="AS876" s="264"/>
      <c r="AT876" s="264"/>
      <c r="AU876" s="264">
        <v>0</v>
      </c>
      <c r="AV876" s="264">
        <v>0</v>
      </c>
      <c r="AW876" s="264">
        <v>0</v>
      </c>
      <c r="AX876" s="264"/>
      <c r="AY876" s="264"/>
      <c r="AZ876" s="264">
        <v>0</v>
      </c>
      <c r="BA876" s="264"/>
      <c r="BB876" s="264">
        <v>0</v>
      </c>
      <c r="BC876" s="264">
        <v>0</v>
      </c>
      <c r="BD876" s="264">
        <v>0</v>
      </c>
      <c r="BE876" s="264">
        <v>0</v>
      </c>
      <c r="BF876" s="264"/>
      <c r="BG876" s="264">
        <v>0</v>
      </c>
      <c r="BH876" s="264">
        <v>0</v>
      </c>
      <c r="BI876" s="264">
        <v>3.54</v>
      </c>
      <c r="BJ876" s="264">
        <v>0</v>
      </c>
      <c r="BK876" s="264">
        <v>0</v>
      </c>
      <c r="BL876" s="264">
        <v>0</v>
      </c>
      <c r="BM876" s="264"/>
      <c r="BN876" s="264"/>
      <c r="BO876" s="264">
        <v>1687.4</v>
      </c>
      <c r="BP876" s="264"/>
      <c r="BQ876" s="264"/>
      <c r="BR876" s="264"/>
      <c r="BS876" s="264"/>
      <c r="BT876" s="264"/>
      <c r="BU876" s="264"/>
      <c r="BV876" s="264">
        <v>0</v>
      </c>
      <c r="BW876" s="264"/>
      <c r="BX876" s="264"/>
      <c r="BY876" s="264"/>
      <c r="BZ876" s="264"/>
      <c r="CA876" s="264"/>
      <c r="CB876" s="264"/>
      <c r="CC876" s="264"/>
      <c r="CD876" s="264"/>
      <c r="CE876" s="264"/>
      <c r="CF876" s="264"/>
      <c r="CG876" s="264"/>
      <c r="CH876" s="264"/>
      <c r="CI876" s="264">
        <v>1687.4</v>
      </c>
      <c r="CJ876" s="264">
        <v>-1900.6300000000006</v>
      </c>
      <c r="CK876" s="264"/>
      <c r="CL876" s="264"/>
      <c r="CM876" s="264"/>
      <c r="CN876" s="264"/>
      <c r="CO876" s="264">
        <v>-3801.2000000000003</v>
      </c>
      <c r="CP876" s="264">
        <v>0</v>
      </c>
      <c r="CQ876" s="264">
        <v>30</v>
      </c>
      <c r="CR876" s="264">
        <v>-140.88816495610848</v>
      </c>
      <c r="CS876" s="264">
        <v>0</v>
      </c>
      <c r="CT876" s="264">
        <v>0</v>
      </c>
      <c r="CU876" s="264">
        <v>0</v>
      </c>
      <c r="CV876" s="264">
        <v>0</v>
      </c>
      <c r="CW876" s="264"/>
      <c r="CX876" s="264"/>
      <c r="CY876" s="264"/>
      <c r="CZ876" s="264">
        <v>0</v>
      </c>
      <c r="DA876" s="264">
        <v>0</v>
      </c>
      <c r="DB876" s="264">
        <v>0</v>
      </c>
      <c r="DC876" s="264"/>
      <c r="DD876" s="264"/>
      <c r="DE876" s="264">
        <v>0</v>
      </c>
      <c r="DF876" s="264">
        <v>0</v>
      </c>
      <c r="DG876" s="264">
        <v>0</v>
      </c>
      <c r="DH876" s="264">
        <v>0</v>
      </c>
      <c r="DI876" s="264">
        <v>0</v>
      </c>
      <c r="DJ876" s="264"/>
      <c r="DK876" s="264">
        <v>0</v>
      </c>
      <c r="DL876" s="264">
        <v>0</v>
      </c>
      <c r="DM876" s="264"/>
      <c r="DN876" s="264">
        <v>0</v>
      </c>
      <c r="DO876" s="264">
        <v>0</v>
      </c>
      <c r="DP876" s="264">
        <v>-0.74878261547960001</v>
      </c>
      <c r="DQ876" s="264">
        <v>0</v>
      </c>
      <c r="DR876" s="264">
        <v>-140.13938234062886</v>
      </c>
      <c r="DS876" s="264"/>
      <c r="DT876" s="264"/>
      <c r="DU876" s="264">
        <v>7165.767767491684</v>
      </c>
      <c r="DV876" s="264"/>
      <c r="DW876" s="264">
        <v>0</v>
      </c>
      <c r="DX876" s="264">
        <v>0</v>
      </c>
      <c r="DY876" s="264">
        <v>-3801.2</v>
      </c>
      <c r="DZ876" s="264"/>
      <c r="EA876" s="264">
        <v>0</v>
      </c>
      <c r="EB876" s="264"/>
      <c r="EC876" s="264">
        <v>-3660.2908190143312</v>
      </c>
      <c r="ED876" s="264"/>
      <c r="EE876" s="264">
        <v>0</v>
      </c>
      <c r="EF876" s="264">
        <v>0</v>
      </c>
      <c r="EG876" s="264"/>
      <c r="EH876" s="264">
        <v>0</v>
      </c>
      <c r="EI876" s="264">
        <v>0</v>
      </c>
      <c r="EJ876" s="264">
        <v>0</v>
      </c>
      <c r="EK876" s="264">
        <v>0</v>
      </c>
      <c r="EL876" s="264">
        <v>0</v>
      </c>
      <c r="EM876" s="264"/>
      <c r="EN876" s="264"/>
      <c r="EO876" s="264">
        <v>0</v>
      </c>
      <c r="EP876" s="264">
        <v>0</v>
      </c>
      <c r="EQ876" s="264"/>
      <c r="ER876" s="264">
        <v>0</v>
      </c>
      <c r="ES876" s="264"/>
      <c r="ET876" s="264">
        <v>0</v>
      </c>
      <c r="EU876" s="264"/>
      <c r="EV876" s="264">
        <v>246</v>
      </c>
      <c r="EW876" s="264"/>
      <c r="EX876" s="264"/>
      <c r="EY876" s="264"/>
      <c r="EZ876" s="264"/>
      <c r="FA876" s="264">
        <v>0</v>
      </c>
      <c r="FB876" s="264"/>
      <c r="FC876" s="264"/>
      <c r="FD876" s="264"/>
      <c r="FE876" s="264"/>
      <c r="FF876" s="264">
        <v>0</v>
      </c>
      <c r="FG876" s="264">
        <v>0</v>
      </c>
      <c r="FH876" s="264">
        <v>0</v>
      </c>
      <c r="FI876" s="264">
        <v>0</v>
      </c>
    </row>
    <row r="877" spans="1:165">
      <c r="A877" s="264">
        <v>908</v>
      </c>
      <c r="B877" s="264" t="s">
        <v>2327</v>
      </c>
      <c r="C877" s="264" t="s">
        <v>1044</v>
      </c>
      <c r="D877" s="264" t="s">
        <v>650</v>
      </c>
      <c r="E877" s="264" t="s">
        <v>97</v>
      </c>
      <c r="F877" s="264" t="s">
        <v>97</v>
      </c>
      <c r="G877" s="264" t="s">
        <v>97</v>
      </c>
      <c r="H877" s="264" t="s">
        <v>2331</v>
      </c>
      <c r="I877" s="264" t="s">
        <v>97</v>
      </c>
      <c r="J877" s="264" t="s">
        <v>2329</v>
      </c>
      <c r="K877" s="1748">
        <v>44713</v>
      </c>
      <c r="L877" s="264">
        <v>1000</v>
      </c>
      <c r="M877" s="264">
        <v>500</v>
      </c>
      <c r="N877" s="264">
        <v>0</v>
      </c>
      <c r="O877" s="264">
        <v>0</v>
      </c>
      <c r="P877" s="264">
        <v>0</v>
      </c>
      <c r="Q877" s="264">
        <v>0</v>
      </c>
      <c r="R877" s="264">
        <v>13.8</v>
      </c>
      <c r="S877" s="264"/>
      <c r="T877" s="264"/>
      <c r="U877" s="264">
        <v>13800</v>
      </c>
      <c r="V877" s="264"/>
      <c r="W877" s="264">
        <v>13800</v>
      </c>
      <c r="X877" s="264">
        <v>6490</v>
      </c>
      <c r="Y877" s="264">
        <v>0</v>
      </c>
      <c r="Z877" s="264">
        <v>0</v>
      </c>
      <c r="AA877" s="264">
        <v>0</v>
      </c>
      <c r="AB877" s="264">
        <v>0</v>
      </c>
      <c r="AC877" s="264">
        <v>0</v>
      </c>
      <c r="AD877" s="264">
        <v>0</v>
      </c>
      <c r="AE877" s="264">
        <v>13780.322629791699</v>
      </c>
      <c r="AF877" s="264"/>
      <c r="AG877" s="264"/>
      <c r="AH877" s="264"/>
      <c r="AI877" s="264">
        <v>0</v>
      </c>
      <c r="AJ877" s="264">
        <v>0</v>
      </c>
      <c r="AK877" s="264">
        <v>0</v>
      </c>
      <c r="AL877" s="264">
        <v>0</v>
      </c>
      <c r="AM877" s="264"/>
      <c r="AN877" s="264">
        <v>22.5992016209883</v>
      </c>
      <c r="AO877" s="264">
        <v>0</v>
      </c>
      <c r="AP877" s="264">
        <v>0</v>
      </c>
      <c r="AQ877" s="264">
        <v>0</v>
      </c>
      <c r="AR877" s="264">
        <v>0</v>
      </c>
      <c r="AS877" s="264"/>
      <c r="AT877" s="264"/>
      <c r="AU877" s="264">
        <v>0</v>
      </c>
      <c r="AV877" s="264">
        <v>0</v>
      </c>
      <c r="AW877" s="264">
        <v>0</v>
      </c>
      <c r="AX877" s="264"/>
      <c r="AY877" s="264"/>
      <c r="AZ877" s="264">
        <v>0</v>
      </c>
      <c r="BA877" s="264"/>
      <c r="BB877" s="264">
        <v>0</v>
      </c>
      <c r="BC877" s="264">
        <v>0</v>
      </c>
      <c r="BD877" s="264">
        <v>0</v>
      </c>
      <c r="BE877" s="264">
        <v>0</v>
      </c>
      <c r="BF877" s="264"/>
      <c r="BG877" s="264">
        <v>0</v>
      </c>
      <c r="BH877" s="264">
        <v>0</v>
      </c>
      <c r="BI877" s="264">
        <v>6.82</v>
      </c>
      <c r="BJ877" s="264">
        <v>0</v>
      </c>
      <c r="BK877" s="264">
        <v>0</v>
      </c>
      <c r="BL877" s="264">
        <v>0</v>
      </c>
      <c r="BM877" s="264"/>
      <c r="BN877" s="264"/>
      <c r="BO877" s="264">
        <v>3245</v>
      </c>
      <c r="BP877" s="264"/>
      <c r="BQ877" s="264"/>
      <c r="BR877" s="264"/>
      <c r="BS877" s="264"/>
      <c r="BT877" s="264"/>
      <c r="BU877" s="264"/>
      <c r="BV877" s="264">
        <v>0</v>
      </c>
      <c r="BW877" s="264"/>
      <c r="BX877" s="264"/>
      <c r="BY877" s="264"/>
      <c r="BZ877" s="264"/>
      <c r="CA877" s="264"/>
      <c r="CB877" s="264"/>
      <c r="CC877" s="264"/>
      <c r="CD877" s="264"/>
      <c r="CE877" s="264"/>
      <c r="CF877" s="264"/>
      <c r="CG877" s="264"/>
      <c r="CH877" s="264"/>
      <c r="CI877" s="264">
        <v>3245</v>
      </c>
      <c r="CJ877" s="264">
        <v>-3655.0300000000007</v>
      </c>
      <c r="CK877" s="264"/>
      <c r="CL877" s="264"/>
      <c r="CM877" s="264"/>
      <c r="CN877" s="264"/>
      <c r="CO877" s="264">
        <v>-7310.0000000000009</v>
      </c>
      <c r="CP877" s="264">
        <v>0</v>
      </c>
      <c r="CQ877" s="264">
        <v>30</v>
      </c>
      <c r="CR877" s="264">
        <v>-270.93877876174702</v>
      </c>
      <c r="CS877" s="264">
        <v>0</v>
      </c>
      <c r="CT877" s="264">
        <v>0</v>
      </c>
      <c r="CU877" s="264">
        <v>0</v>
      </c>
      <c r="CV877" s="264">
        <v>0</v>
      </c>
      <c r="CW877" s="264"/>
      <c r="CX877" s="264"/>
      <c r="CY877" s="264"/>
      <c r="CZ877" s="264">
        <v>0</v>
      </c>
      <c r="DA877" s="264">
        <v>0</v>
      </c>
      <c r="DB877" s="264">
        <v>0</v>
      </c>
      <c r="DC877" s="264"/>
      <c r="DD877" s="264"/>
      <c r="DE877" s="264">
        <v>0</v>
      </c>
      <c r="DF877" s="264">
        <v>0</v>
      </c>
      <c r="DG877" s="264">
        <v>0</v>
      </c>
      <c r="DH877" s="264">
        <v>0</v>
      </c>
      <c r="DI877" s="264">
        <v>0</v>
      </c>
      <c r="DJ877" s="264"/>
      <c r="DK877" s="264">
        <v>0</v>
      </c>
      <c r="DL877" s="264">
        <v>0</v>
      </c>
      <c r="DM877" s="264"/>
      <c r="DN877" s="264">
        <v>0</v>
      </c>
      <c r="DO877" s="264">
        <v>0</v>
      </c>
      <c r="DP877" s="264">
        <v>-1.4399665682300018</v>
      </c>
      <c r="DQ877" s="264">
        <v>0</v>
      </c>
      <c r="DR877" s="264">
        <v>-269.49881219351704</v>
      </c>
      <c r="DS877" s="264"/>
      <c r="DT877" s="264"/>
      <c r="DU877" s="264">
        <v>13780.322629791699</v>
      </c>
      <c r="DV877" s="264"/>
      <c r="DW877" s="264">
        <v>0</v>
      </c>
      <c r="DX877" s="264">
        <v>0</v>
      </c>
      <c r="DY877" s="264">
        <v>-7310</v>
      </c>
      <c r="DZ877" s="264"/>
      <c r="EA877" s="264">
        <v>0</v>
      </c>
      <c r="EB877" s="264"/>
      <c r="EC877" s="264">
        <v>-7039.0208057967893</v>
      </c>
      <c r="ED877" s="264"/>
      <c r="EE877" s="264">
        <v>0</v>
      </c>
      <c r="EF877" s="264">
        <v>0</v>
      </c>
      <c r="EG877" s="264"/>
      <c r="EH877" s="264">
        <v>0</v>
      </c>
      <c r="EI877" s="264">
        <v>0</v>
      </c>
      <c r="EJ877" s="264">
        <v>0</v>
      </c>
      <c r="EK877" s="264">
        <v>0</v>
      </c>
      <c r="EL877" s="264">
        <v>0</v>
      </c>
      <c r="EM877" s="264"/>
      <c r="EN877" s="264"/>
      <c r="EO877" s="264">
        <v>0</v>
      </c>
      <c r="EP877" s="264">
        <v>0</v>
      </c>
      <c r="EQ877" s="264"/>
      <c r="ER877" s="264">
        <v>0</v>
      </c>
      <c r="ES877" s="264"/>
      <c r="ET877" s="264">
        <v>0</v>
      </c>
      <c r="EU877" s="264"/>
      <c r="EV877" s="264">
        <v>246</v>
      </c>
      <c r="EW877" s="264"/>
      <c r="EX877" s="264"/>
      <c r="EY877" s="264"/>
      <c r="EZ877" s="264"/>
      <c r="FA877" s="264">
        <v>0</v>
      </c>
      <c r="FB877" s="264"/>
      <c r="FC877" s="264"/>
      <c r="FD877" s="264"/>
      <c r="FE877" s="264"/>
      <c r="FF877" s="264">
        <v>0</v>
      </c>
      <c r="FG877" s="264">
        <v>0</v>
      </c>
      <c r="FH877" s="264">
        <v>0</v>
      </c>
      <c r="FI877" s="264">
        <v>0</v>
      </c>
    </row>
    <row r="878" spans="1:165">
      <c r="A878" s="264">
        <v>909</v>
      </c>
      <c r="B878" s="264" t="s">
        <v>2327</v>
      </c>
      <c r="C878" s="264" t="s">
        <v>1044</v>
      </c>
      <c r="D878" s="264" t="s">
        <v>650</v>
      </c>
      <c r="E878" s="264" t="s">
        <v>97</v>
      </c>
      <c r="F878" s="264" t="s">
        <v>97</v>
      </c>
      <c r="G878" s="264" t="s">
        <v>97</v>
      </c>
      <c r="H878" s="264" t="s">
        <v>2332</v>
      </c>
      <c r="I878" s="264" t="s">
        <v>97</v>
      </c>
      <c r="J878" s="264" t="s">
        <v>2329</v>
      </c>
      <c r="K878" s="1748">
        <v>44713</v>
      </c>
      <c r="L878" s="264">
        <v>800</v>
      </c>
      <c r="M878" s="264">
        <v>400</v>
      </c>
      <c r="N878" s="264">
        <v>0</v>
      </c>
      <c r="O878" s="264">
        <v>0</v>
      </c>
      <c r="P878" s="264">
        <v>0</v>
      </c>
      <c r="Q878" s="264">
        <v>0</v>
      </c>
      <c r="R878" s="264">
        <v>13.8</v>
      </c>
      <c r="S878" s="264"/>
      <c r="T878" s="264"/>
      <c r="U878" s="264">
        <v>11040</v>
      </c>
      <c r="V878" s="264"/>
      <c r="W878" s="264">
        <v>11040</v>
      </c>
      <c r="X878" s="264">
        <v>5192</v>
      </c>
      <c r="Y878" s="264">
        <v>0</v>
      </c>
      <c r="Z878" s="264">
        <v>0</v>
      </c>
      <c r="AA878" s="264">
        <v>0</v>
      </c>
      <c r="AB878" s="264">
        <v>0</v>
      </c>
      <c r="AC878" s="264">
        <v>0</v>
      </c>
      <c r="AD878" s="264">
        <v>0</v>
      </c>
      <c r="AE878" s="264">
        <v>11024.258103833359</v>
      </c>
      <c r="AF878" s="264"/>
      <c r="AG878" s="264"/>
      <c r="AH878" s="264"/>
      <c r="AI878" s="264">
        <v>0</v>
      </c>
      <c r="AJ878" s="264">
        <v>0</v>
      </c>
      <c r="AK878" s="264">
        <v>0</v>
      </c>
      <c r="AL878" s="264">
        <v>0</v>
      </c>
      <c r="AM878" s="264"/>
      <c r="AN878" s="264">
        <v>18.079361296790637</v>
      </c>
      <c r="AO878" s="264">
        <v>0</v>
      </c>
      <c r="AP878" s="264">
        <v>0</v>
      </c>
      <c r="AQ878" s="264">
        <v>0</v>
      </c>
      <c r="AR878" s="264">
        <v>0</v>
      </c>
      <c r="AS878" s="264"/>
      <c r="AT878" s="264"/>
      <c r="AU878" s="264">
        <v>0</v>
      </c>
      <c r="AV878" s="264">
        <v>0</v>
      </c>
      <c r="AW878" s="264">
        <v>0</v>
      </c>
      <c r="AX878" s="264"/>
      <c r="AY878" s="264"/>
      <c r="AZ878" s="264">
        <v>0</v>
      </c>
      <c r="BA878" s="264"/>
      <c r="BB878" s="264">
        <v>0</v>
      </c>
      <c r="BC878" s="264">
        <v>0</v>
      </c>
      <c r="BD878" s="264">
        <v>0</v>
      </c>
      <c r="BE878" s="264">
        <v>0</v>
      </c>
      <c r="BF878" s="264"/>
      <c r="BG878" s="264">
        <v>0</v>
      </c>
      <c r="BH878" s="264">
        <v>0</v>
      </c>
      <c r="BI878" s="264">
        <v>5.46</v>
      </c>
      <c r="BJ878" s="264">
        <v>0</v>
      </c>
      <c r="BK878" s="264">
        <v>0</v>
      </c>
      <c r="BL878" s="264">
        <v>0</v>
      </c>
      <c r="BM878" s="264"/>
      <c r="BN878" s="264"/>
      <c r="BO878" s="264">
        <v>2596</v>
      </c>
      <c r="BP878" s="264"/>
      <c r="BQ878" s="264"/>
      <c r="BR878" s="264"/>
      <c r="BS878" s="264"/>
      <c r="BT878" s="264"/>
      <c r="BU878" s="264"/>
      <c r="BV878" s="264">
        <v>0</v>
      </c>
      <c r="BW878" s="264"/>
      <c r="BX878" s="264"/>
      <c r="BY878" s="264"/>
      <c r="BZ878" s="264"/>
      <c r="CA878" s="264"/>
      <c r="CB878" s="264"/>
      <c r="CC878" s="264"/>
      <c r="CD878" s="264"/>
      <c r="CE878" s="264"/>
      <c r="CF878" s="264"/>
      <c r="CG878" s="264"/>
      <c r="CH878" s="264"/>
      <c r="CI878" s="264">
        <v>2596</v>
      </c>
      <c r="CJ878" s="264">
        <v>-2924.0300000000007</v>
      </c>
      <c r="CK878" s="264"/>
      <c r="CL878" s="264"/>
      <c r="CM878" s="264"/>
      <c r="CN878" s="264"/>
      <c r="CO878" s="264">
        <v>-5848</v>
      </c>
      <c r="CP878" s="264">
        <v>0</v>
      </c>
      <c r="CQ878" s="264">
        <v>30</v>
      </c>
      <c r="CR878" s="264">
        <v>-216.75102300939761</v>
      </c>
      <c r="CS878" s="264">
        <v>0</v>
      </c>
      <c r="CT878" s="264">
        <v>0</v>
      </c>
      <c r="CU878" s="264">
        <v>0</v>
      </c>
      <c r="CV878" s="264">
        <v>0</v>
      </c>
      <c r="CW878" s="264"/>
      <c r="CX878" s="264"/>
      <c r="CY878" s="264"/>
      <c r="CZ878" s="264">
        <v>0</v>
      </c>
      <c r="DA878" s="264">
        <v>0</v>
      </c>
      <c r="DB878" s="264">
        <v>0</v>
      </c>
      <c r="DC878" s="264"/>
      <c r="DD878" s="264"/>
      <c r="DE878" s="264">
        <v>0</v>
      </c>
      <c r="DF878" s="264">
        <v>0</v>
      </c>
      <c r="DG878" s="264">
        <v>0</v>
      </c>
      <c r="DH878" s="264">
        <v>0</v>
      </c>
      <c r="DI878" s="264">
        <v>0</v>
      </c>
      <c r="DJ878" s="264"/>
      <c r="DK878" s="264">
        <v>0</v>
      </c>
      <c r="DL878" s="264">
        <v>0</v>
      </c>
      <c r="DM878" s="264"/>
      <c r="DN878" s="264">
        <v>0</v>
      </c>
      <c r="DO878" s="264">
        <v>0</v>
      </c>
      <c r="DP878" s="264">
        <v>-1.1519732545839965</v>
      </c>
      <c r="DQ878" s="264">
        <v>0</v>
      </c>
      <c r="DR878" s="264">
        <v>-215.59904975481362</v>
      </c>
      <c r="DS878" s="264"/>
      <c r="DT878" s="264"/>
      <c r="DU878" s="264">
        <v>11024.258103833359</v>
      </c>
      <c r="DV878" s="264"/>
      <c r="DW878" s="264">
        <v>0</v>
      </c>
      <c r="DX878" s="264">
        <v>0</v>
      </c>
      <c r="DY878" s="264">
        <v>-5848</v>
      </c>
      <c r="DZ878" s="264"/>
      <c r="EA878" s="264">
        <v>0</v>
      </c>
      <c r="EB878" s="264"/>
      <c r="EC878" s="264">
        <v>-5631.2166446374313</v>
      </c>
      <c r="ED878" s="264"/>
      <c r="EE878" s="264">
        <v>0</v>
      </c>
      <c r="EF878" s="264">
        <v>0</v>
      </c>
      <c r="EG878" s="264"/>
      <c r="EH878" s="264">
        <v>0</v>
      </c>
      <c r="EI878" s="264">
        <v>0</v>
      </c>
      <c r="EJ878" s="264">
        <v>0</v>
      </c>
      <c r="EK878" s="264">
        <v>0</v>
      </c>
      <c r="EL878" s="264">
        <v>0</v>
      </c>
      <c r="EM878" s="264"/>
      <c r="EN878" s="264"/>
      <c r="EO878" s="264">
        <v>0</v>
      </c>
      <c r="EP878" s="264">
        <v>0</v>
      </c>
      <c r="EQ878" s="264"/>
      <c r="ER878" s="264">
        <v>0</v>
      </c>
      <c r="ES878" s="264"/>
      <c r="ET878" s="264">
        <v>0</v>
      </c>
      <c r="EU878" s="264"/>
      <c r="EV878" s="264">
        <v>246</v>
      </c>
      <c r="EW878" s="264"/>
      <c r="EX878" s="264"/>
      <c r="EY878" s="264"/>
      <c r="EZ878" s="264"/>
      <c r="FA878" s="264">
        <v>0</v>
      </c>
      <c r="FB878" s="264"/>
      <c r="FC878" s="264"/>
      <c r="FD878" s="264"/>
      <c r="FE878" s="264"/>
      <c r="FF878" s="264">
        <v>0</v>
      </c>
      <c r="FG878" s="264">
        <v>0</v>
      </c>
      <c r="FH878" s="264">
        <v>0</v>
      </c>
      <c r="FI878" s="264">
        <v>0</v>
      </c>
    </row>
    <row r="879" spans="1:165">
      <c r="A879" s="264">
        <v>910</v>
      </c>
      <c r="B879" s="264" t="s">
        <v>2327</v>
      </c>
      <c r="C879" s="264" t="s">
        <v>1044</v>
      </c>
      <c r="D879" s="264" t="s">
        <v>650</v>
      </c>
      <c r="E879" s="264" t="s">
        <v>97</v>
      </c>
      <c r="F879" s="264" t="s">
        <v>97</v>
      </c>
      <c r="G879" s="264" t="s">
        <v>97</v>
      </c>
      <c r="H879" s="264" t="s">
        <v>2333</v>
      </c>
      <c r="I879" s="264" t="s">
        <v>97</v>
      </c>
      <c r="J879" s="264" t="s">
        <v>2329</v>
      </c>
      <c r="K879" s="1748">
        <v>44713</v>
      </c>
      <c r="L879" s="264">
        <v>270</v>
      </c>
      <c r="M879" s="264">
        <v>135</v>
      </c>
      <c r="N879" s="264">
        <v>0</v>
      </c>
      <c r="O879" s="264">
        <v>0</v>
      </c>
      <c r="P879" s="264">
        <v>0</v>
      </c>
      <c r="Q879" s="264">
        <v>0</v>
      </c>
      <c r="R879" s="264">
        <v>13.8</v>
      </c>
      <c r="S879" s="264"/>
      <c r="T879" s="264"/>
      <c r="U879" s="264">
        <v>3726</v>
      </c>
      <c r="V879" s="264"/>
      <c r="W879" s="264">
        <v>3726</v>
      </c>
      <c r="X879" s="264">
        <v>1752.3</v>
      </c>
      <c r="Y879" s="264">
        <v>0</v>
      </c>
      <c r="Z879" s="264">
        <v>0</v>
      </c>
      <c r="AA879" s="264">
        <v>0</v>
      </c>
      <c r="AB879" s="264">
        <v>0</v>
      </c>
      <c r="AC879" s="264">
        <v>0</v>
      </c>
      <c r="AD879" s="264">
        <v>0</v>
      </c>
      <c r="AE879" s="264">
        <v>3720.6871100437588</v>
      </c>
      <c r="AF879" s="264"/>
      <c r="AG879" s="264"/>
      <c r="AH879" s="264"/>
      <c r="AI879" s="264">
        <v>0</v>
      </c>
      <c r="AJ879" s="264">
        <v>0</v>
      </c>
      <c r="AK879" s="264">
        <v>0</v>
      </c>
      <c r="AL879" s="264">
        <v>0</v>
      </c>
      <c r="AM879" s="264"/>
      <c r="AN879" s="264">
        <v>6.1017844376668409</v>
      </c>
      <c r="AO879" s="264">
        <v>0</v>
      </c>
      <c r="AP879" s="264">
        <v>0</v>
      </c>
      <c r="AQ879" s="264">
        <v>0</v>
      </c>
      <c r="AR879" s="264">
        <v>0</v>
      </c>
      <c r="AS879" s="264"/>
      <c r="AT879" s="264"/>
      <c r="AU879" s="264">
        <v>0</v>
      </c>
      <c r="AV879" s="264">
        <v>0</v>
      </c>
      <c r="AW879" s="264">
        <v>0</v>
      </c>
      <c r="AX879" s="264"/>
      <c r="AY879" s="264"/>
      <c r="AZ879" s="264">
        <v>0</v>
      </c>
      <c r="BA879" s="264"/>
      <c r="BB879" s="264">
        <v>0</v>
      </c>
      <c r="BC879" s="264">
        <v>0</v>
      </c>
      <c r="BD879" s="264">
        <v>0</v>
      </c>
      <c r="BE879" s="264">
        <v>0</v>
      </c>
      <c r="BF879" s="264"/>
      <c r="BG879" s="264">
        <v>0</v>
      </c>
      <c r="BH879" s="264">
        <v>0</v>
      </c>
      <c r="BI879" s="264">
        <v>1.84</v>
      </c>
      <c r="BJ879" s="264">
        <v>0</v>
      </c>
      <c r="BK879" s="264">
        <v>0</v>
      </c>
      <c r="BL879" s="264">
        <v>0</v>
      </c>
      <c r="BM879" s="264"/>
      <c r="BN879" s="264"/>
      <c r="BO879" s="264">
        <v>876.15</v>
      </c>
      <c r="BP879" s="264"/>
      <c r="BQ879" s="264"/>
      <c r="BR879" s="264"/>
      <c r="BS879" s="264"/>
      <c r="BT879" s="264"/>
      <c r="BU879" s="264"/>
      <c r="BV879" s="264">
        <v>0</v>
      </c>
      <c r="BW879" s="264"/>
      <c r="BX879" s="264"/>
      <c r="BY879" s="264"/>
      <c r="BZ879" s="264"/>
      <c r="CA879" s="264"/>
      <c r="CB879" s="264"/>
      <c r="CC879" s="264"/>
      <c r="CD879" s="264"/>
      <c r="CE879" s="264"/>
      <c r="CF879" s="264"/>
      <c r="CG879" s="264"/>
      <c r="CH879" s="264"/>
      <c r="CI879" s="264">
        <v>876.15</v>
      </c>
      <c r="CJ879" s="264">
        <v>-986.88</v>
      </c>
      <c r="CK879" s="264"/>
      <c r="CL879" s="264"/>
      <c r="CM879" s="264"/>
      <c r="CN879" s="264"/>
      <c r="CO879" s="264">
        <v>-1973.7</v>
      </c>
      <c r="CP879" s="264">
        <v>0</v>
      </c>
      <c r="CQ879" s="264">
        <v>30</v>
      </c>
      <c r="CR879" s="264">
        <v>-73.153470265671686</v>
      </c>
      <c r="CS879" s="264">
        <v>0</v>
      </c>
      <c r="CT879" s="264">
        <v>0</v>
      </c>
      <c r="CU879" s="264">
        <v>0</v>
      </c>
      <c r="CV879" s="264">
        <v>0</v>
      </c>
      <c r="CW879" s="264"/>
      <c r="CX879" s="264"/>
      <c r="CY879" s="264"/>
      <c r="CZ879" s="264">
        <v>0</v>
      </c>
      <c r="DA879" s="264">
        <v>0</v>
      </c>
      <c r="DB879" s="264">
        <v>0</v>
      </c>
      <c r="DC879" s="264"/>
      <c r="DD879" s="264"/>
      <c r="DE879" s="264">
        <v>0</v>
      </c>
      <c r="DF879" s="264">
        <v>0</v>
      </c>
      <c r="DG879" s="264">
        <v>0</v>
      </c>
      <c r="DH879" s="264">
        <v>0</v>
      </c>
      <c r="DI879" s="264">
        <v>0</v>
      </c>
      <c r="DJ879" s="264"/>
      <c r="DK879" s="264">
        <v>0</v>
      </c>
      <c r="DL879" s="264">
        <v>0</v>
      </c>
      <c r="DM879" s="264"/>
      <c r="DN879" s="264">
        <v>0</v>
      </c>
      <c r="DO879" s="264">
        <v>0</v>
      </c>
      <c r="DP879" s="264">
        <v>-0.38879097342209956</v>
      </c>
      <c r="DQ879" s="264">
        <v>0</v>
      </c>
      <c r="DR879" s="264">
        <v>-72.764679292249596</v>
      </c>
      <c r="DS879" s="264"/>
      <c r="DT879" s="264"/>
      <c r="DU879" s="264">
        <v>3720.6871100437588</v>
      </c>
      <c r="DV879" s="264"/>
      <c r="DW879" s="264">
        <v>0</v>
      </c>
      <c r="DX879" s="264">
        <v>0</v>
      </c>
      <c r="DY879" s="264">
        <v>-1973.7</v>
      </c>
      <c r="DZ879" s="264"/>
      <c r="EA879" s="264">
        <v>0</v>
      </c>
      <c r="EB879" s="264"/>
      <c r="EC879" s="264">
        <v>-1900.5356175651332</v>
      </c>
      <c r="ED879" s="264"/>
      <c r="EE879" s="264">
        <v>0</v>
      </c>
      <c r="EF879" s="264">
        <v>0</v>
      </c>
      <c r="EG879" s="264"/>
      <c r="EH879" s="264">
        <v>0</v>
      </c>
      <c r="EI879" s="264">
        <v>0</v>
      </c>
      <c r="EJ879" s="264">
        <v>0</v>
      </c>
      <c r="EK879" s="264">
        <v>0</v>
      </c>
      <c r="EL879" s="264">
        <v>0</v>
      </c>
      <c r="EM879" s="264"/>
      <c r="EN879" s="264"/>
      <c r="EO879" s="264">
        <v>0</v>
      </c>
      <c r="EP879" s="264">
        <v>0</v>
      </c>
      <c r="EQ879" s="264"/>
      <c r="ER879" s="264">
        <v>0</v>
      </c>
      <c r="ES879" s="264"/>
      <c r="ET879" s="264">
        <v>0</v>
      </c>
      <c r="EU879" s="264"/>
      <c r="EV879" s="264">
        <v>246</v>
      </c>
      <c r="EW879" s="264"/>
      <c r="EX879" s="264"/>
      <c r="EY879" s="264"/>
      <c r="EZ879" s="264"/>
      <c r="FA879" s="264">
        <v>0</v>
      </c>
      <c r="FB879" s="264"/>
      <c r="FC879" s="264"/>
      <c r="FD879" s="264"/>
      <c r="FE879" s="264"/>
      <c r="FF879" s="264">
        <v>0</v>
      </c>
      <c r="FG879" s="264">
        <v>0</v>
      </c>
      <c r="FH879" s="264">
        <v>0</v>
      </c>
      <c r="FI879" s="264">
        <v>0</v>
      </c>
    </row>
    <row r="880" spans="1:165">
      <c r="A880" s="264">
        <v>911</v>
      </c>
      <c r="B880" s="264" t="s">
        <v>2327</v>
      </c>
      <c r="C880" s="264" t="s">
        <v>1044</v>
      </c>
      <c r="D880" s="264" t="s">
        <v>650</v>
      </c>
      <c r="E880" s="264" t="s">
        <v>97</v>
      </c>
      <c r="F880" s="264" t="s">
        <v>97</v>
      </c>
      <c r="G880" s="264" t="s">
        <v>97</v>
      </c>
      <c r="H880" s="264" t="s">
        <v>2334</v>
      </c>
      <c r="I880" s="264" t="s">
        <v>97</v>
      </c>
      <c r="J880" s="264" t="s">
        <v>2329</v>
      </c>
      <c r="K880" s="1748">
        <v>44713</v>
      </c>
      <c r="L880" s="264">
        <v>280</v>
      </c>
      <c r="M880" s="264">
        <v>140</v>
      </c>
      <c r="N880" s="264">
        <v>0</v>
      </c>
      <c r="O880" s="264">
        <v>0</v>
      </c>
      <c r="P880" s="264">
        <v>0</v>
      </c>
      <c r="Q880" s="264">
        <v>0</v>
      </c>
      <c r="R880" s="264">
        <v>13.8</v>
      </c>
      <c r="S880" s="264"/>
      <c r="T880" s="264"/>
      <c r="U880" s="264">
        <v>3864</v>
      </c>
      <c r="V880" s="264"/>
      <c r="W880" s="264">
        <v>3864</v>
      </c>
      <c r="X880" s="264">
        <v>1817.2</v>
      </c>
      <c r="Y880" s="264">
        <v>0</v>
      </c>
      <c r="Z880" s="264">
        <v>0</v>
      </c>
      <c r="AA880" s="264">
        <v>0</v>
      </c>
      <c r="AB880" s="264">
        <v>0</v>
      </c>
      <c r="AC880" s="264">
        <v>0</v>
      </c>
      <c r="AD880" s="264">
        <v>0</v>
      </c>
      <c r="AE880" s="264">
        <v>3858.4903363416761</v>
      </c>
      <c r="AF880" s="264"/>
      <c r="AG880" s="264"/>
      <c r="AH880" s="264"/>
      <c r="AI880" s="264">
        <v>0</v>
      </c>
      <c r="AJ880" s="264">
        <v>0</v>
      </c>
      <c r="AK880" s="264">
        <v>0</v>
      </c>
      <c r="AL880" s="264">
        <v>0</v>
      </c>
      <c r="AM880" s="264"/>
      <c r="AN880" s="264">
        <v>6.3277764538767238</v>
      </c>
      <c r="AO880" s="264">
        <v>0</v>
      </c>
      <c r="AP880" s="264">
        <v>0</v>
      </c>
      <c r="AQ880" s="264">
        <v>0</v>
      </c>
      <c r="AR880" s="264">
        <v>0</v>
      </c>
      <c r="AS880" s="264"/>
      <c r="AT880" s="264"/>
      <c r="AU880" s="264">
        <v>0</v>
      </c>
      <c r="AV880" s="264">
        <v>0</v>
      </c>
      <c r="AW880" s="264">
        <v>0</v>
      </c>
      <c r="AX880" s="264"/>
      <c r="AY880" s="264"/>
      <c r="AZ880" s="264">
        <v>0</v>
      </c>
      <c r="BA880" s="264"/>
      <c r="BB880" s="264">
        <v>0</v>
      </c>
      <c r="BC880" s="264">
        <v>0</v>
      </c>
      <c r="BD880" s="264">
        <v>0</v>
      </c>
      <c r="BE880" s="264">
        <v>0</v>
      </c>
      <c r="BF880" s="264"/>
      <c r="BG880" s="264">
        <v>0</v>
      </c>
      <c r="BH880" s="264">
        <v>0</v>
      </c>
      <c r="BI880" s="264">
        <v>1.91</v>
      </c>
      <c r="BJ880" s="264">
        <v>0</v>
      </c>
      <c r="BK880" s="264">
        <v>0</v>
      </c>
      <c r="BL880" s="264">
        <v>0</v>
      </c>
      <c r="BM880" s="264"/>
      <c r="BN880" s="264"/>
      <c r="BO880" s="264">
        <v>908.6</v>
      </c>
      <c r="BP880" s="264"/>
      <c r="BQ880" s="264"/>
      <c r="BR880" s="264"/>
      <c r="BS880" s="264"/>
      <c r="BT880" s="264"/>
      <c r="BU880" s="264"/>
      <c r="BV880" s="264">
        <v>0</v>
      </c>
      <c r="BW880" s="264"/>
      <c r="BX880" s="264"/>
      <c r="BY880" s="264"/>
      <c r="BZ880" s="264"/>
      <c r="CA880" s="264"/>
      <c r="CB880" s="264"/>
      <c r="CC880" s="264"/>
      <c r="CD880" s="264"/>
      <c r="CE880" s="264"/>
      <c r="CF880" s="264"/>
      <c r="CG880" s="264"/>
      <c r="CH880" s="264"/>
      <c r="CI880" s="264">
        <v>908.6</v>
      </c>
      <c r="CJ880" s="264">
        <v>-1023.43</v>
      </c>
      <c r="CK880" s="264"/>
      <c r="CL880" s="264"/>
      <c r="CM880" s="264"/>
      <c r="CN880" s="264"/>
      <c r="CO880" s="264">
        <v>-2046.8000000000002</v>
      </c>
      <c r="CP880" s="264">
        <v>0</v>
      </c>
      <c r="CQ880" s="264">
        <v>30</v>
      </c>
      <c r="CR880" s="264">
        <v>-75.862858053289159</v>
      </c>
      <c r="CS880" s="264">
        <v>0</v>
      </c>
      <c r="CT880" s="264">
        <v>0</v>
      </c>
      <c r="CU880" s="264">
        <v>0</v>
      </c>
      <c r="CV880" s="264">
        <v>0</v>
      </c>
      <c r="CW880" s="264"/>
      <c r="CX880" s="264"/>
      <c r="CY880" s="264"/>
      <c r="CZ880" s="264">
        <v>0</v>
      </c>
      <c r="DA880" s="264">
        <v>0</v>
      </c>
      <c r="DB880" s="264">
        <v>0</v>
      </c>
      <c r="DC880" s="264"/>
      <c r="DD880" s="264"/>
      <c r="DE880" s="264">
        <v>0</v>
      </c>
      <c r="DF880" s="264">
        <v>0</v>
      </c>
      <c r="DG880" s="264">
        <v>0</v>
      </c>
      <c r="DH880" s="264">
        <v>0</v>
      </c>
      <c r="DI880" s="264">
        <v>0</v>
      </c>
      <c r="DJ880" s="264"/>
      <c r="DK880" s="264">
        <v>0</v>
      </c>
      <c r="DL880" s="264">
        <v>0</v>
      </c>
      <c r="DM880" s="264"/>
      <c r="DN880" s="264">
        <v>0</v>
      </c>
      <c r="DO880" s="264">
        <v>0</v>
      </c>
      <c r="DP880" s="264">
        <v>-0.40319063910440001</v>
      </c>
      <c r="DQ880" s="264">
        <v>0</v>
      </c>
      <c r="DR880" s="264">
        <v>-75.459667414184764</v>
      </c>
      <c r="DS880" s="264"/>
      <c r="DT880" s="264"/>
      <c r="DU880" s="264">
        <v>3858.4903363416761</v>
      </c>
      <c r="DV880" s="264"/>
      <c r="DW880" s="264">
        <v>0</v>
      </c>
      <c r="DX880" s="264">
        <v>0</v>
      </c>
      <c r="DY880" s="264">
        <v>-2046.8</v>
      </c>
      <c r="DZ880" s="264"/>
      <c r="EA880" s="264">
        <v>0</v>
      </c>
      <c r="EB880" s="264"/>
      <c r="EC880" s="264">
        <v>-1970.9258256231014</v>
      </c>
      <c r="ED880" s="264"/>
      <c r="EE880" s="264">
        <v>0</v>
      </c>
      <c r="EF880" s="264">
        <v>0</v>
      </c>
      <c r="EG880" s="264"/>
      <c r="EH880" s="264">
        <v>0</v>
      </c>
      <c r="EI880" s="264">
        <v>0</v>
      </c>
      <c r="EJ880" s="264">
        <v>0</v>
      </c>
      <c r="EK880" s="264">
        <v>0</v>
      </c>
      <c r="EL880" s="264">
        <v>0</v>
      </c>
      <c r="EM880" s="264"/>
      <c r="EN880" s="264"/>
      <c r="EO880" s="264">
        <v>0</v>
      </c>
      <c r="EP880" s="264">
        <v>0</v>
      </c>
      <c r="EQ880" s="264"/>
      <c r="ER880" s="264">
        <v>0</v>
      </c>
      <c r="ES880" s="264"/>
      <c r="ET880" s="264">
        <v>0</v>
      </c>
      <c r="EU880" s="264"/>
      <c r="EV880" s="264">
        <v>246</v>
      </c>
      <c r="EW880" s="264"/>
      <c r="EX880" s="264"/>
      <c r="EY880" s="264"/>
      <c r="EZ880" s="264"/>
      <c r="FA880" s="264">
        <v>0</v>
      </c>
      <c r="FB880" s="264"/>
      <c r="FC880" s="264"/>
      <c r="FD880" s="264"/>
      <c r="FE880" s="264"/>
      <c r="FF880" s="264">
        <v>0</v>
      </c>
      <c r="FG880" s="264">
        <v>0</v>
      </c>
      <c r="FH880" s="264">
        <v>0</v>
      </c>
      <c r="FI880" s="264">
        <v>0</v>
      </c>
    </row>
    <row r="881" spans="1:165">
      <c r="A881" s="264">
        <v>912</v>
      </c>
      <c r="B881" s="264" t="s">
        <v>2327</v>
      </c>
      <c r="C881" s="264" t="s">
        <v>1044</v>
      </c>
      <c r="D881" s="264" t="s">
        <v>650</v>
      </c>
      <c r="E881" s="264" t="s">
        <v>97</v>
      </c>
      <c r="F881" s="264" t="s">
        <v>97</v>
      </c>
      <c r="G881" s="264" t="s">
        <v>97</v>
      </c>
      <c r="H881" s="264" t="s">
        <v>2335</v>
      </c>
      <c r="I881" s="264" t="s">
        <v>97</v>
      </c>
      <c r="J881" s="264" t="s">
        <v>2329</v>
      </c>
      <c r="K881" s="1748">
        <v>44713</v>
      </c>
      <c r="L881" s="264">
        <v>730</v>
      </c>
      <c r="M881" s="264">
        <v>365</v>
      </c>
      <c r="N881" s="264">
        <v>0</v>
      </c>
      <c r="O881" s="264">
        <v>0</v>
      </c>
      <c r="P881" s="264">
        <v>0</v>
      </c>
      <c r="Q881" s="264">
        <v>0</v>
      </c>
      <c r="R881" s="264">
        <v>13.8</v>
      </c>
      <c r="S881" s="264"/>
      <c r="T881" s="264"/>
      <c r="U881" s="264">
        <v>10074</v>
      </c>
      <c r="V881" s="264"/>
      <c r="W881" s="264">
        <v>10074</v>
      </c>
      <c r="X881" s="264">
        <v>4737.7</v>
      </c>
      <c r="Y881" s="264">
        <v>0</v>
      </c>
      <c r="Z881" s="264">
        <v>0</v>
      </c>
      <c r="AA881" s="264">
        <v>0</v>
      </c>
      <c r="AB881" s="264">
        <v>0</v>
      </c>
      <c r="AC881" s="264">
        <v>0</v>
      </c>
      <c r="AD881" s="264">
        <v>0</v>
      </c>
      <c r="AE881" s="264">
        <v>10059.635519747941</v>
      </c>
      <c r="AF881" s="264"/>
      <c r="AG881" s="264"/>
      <c r="AH881" s="264"/>
      <c r="AI881" s="264">
        <v>0</v>
      </c>
      <c r="AJ881" s="264">
        <v>0</v>
      </c>
      <c r="AK881" s="264">
        <v>0</v>
      </c>
      <c r="AL881" s="264">
        <v>0</v>
      </c>
      <c r="AM881" s="264"/>
      <c r="AN881" s="264">
        <v>16.497417183321456</v>
      </c>
      <c r="AO881" s="264">
        <v>0</v>
      </c>
      <c r="AP881" s="264">
        <v>0</v>
      </c>
      <c r="AQ881" s="264">
        <v>0</v>
      </c>
      <c r="AR881" s="264">
        <v>0</v>
      </c>
      <c r="AS881" s="264"/>
      <c r="AT881" s="264"/>
      <c r="AU881" s="264">
        <v>0</v>
      </c>
      <c r="AV881" s="264">
        <v>0</v>
      </c>
      <c r="AW881" s="264">
        <v>0</v>
      </c>
      <c r="AX881" s="264"/>
      <c r="AY881" s="264"/>
      <c r="AZ881" s="264">
        <v>0</v>
      </c>
      <c r="BA881" s="264"/>
      <c r="BB881" s="264">
        <v>0</v>
      </c>
      <c r="BC881" s="264">
        <v>0</v>
      </c>
      <c r="BD881" s="264">
        <v>0</v>
      </c>
      <c r="BE881" s="264">
        <v>0</v>
      </c>
      <c r="BF881" s="264"/>
      <c r="BG881" s="264">
        <v>0</v>
      </c>
      <c r="BH881" s="264">
        <v>0</v>
      </c>
      <c r="BI881" s="264">
        <v>4.9800000000000004</v>
      </c>
      <c r="BJ881" s="264">
        <v>0</v>
      </c>
      <c r="BK881" s="264">
        <v>0</v>
      </c>
      <c r="BL881" s="264">
        <v>0</v>
      </c>
      <c r="BM881" s="264"/>
      <c r="BN881" s="264"/>
      <c r="BO881" s="264">
        <v>2368.85</v>
      </c>
      <c r="BP881" s="264"/>
      <c r="BQ881" s="264"/>
      <c r="BR881" s="264"/>
      <c r="BS881" s="264"/>
      <c r="BT881" s="264"/>
      <c r="BU881" s="264"/>
      <c r="BV881" s="264">
        <v>0</v>
      </c>
      <c r="BW881" s="264"/>
      <c r="BX881" s="264"/>
      <c r="BY881" s="264"/>
      <c r="BZ881" s="264"/>
      <c r="CA881" s="264"/>
      <c r="CB881" s="264"/>
      <c r="CC881" s="264"/>
      <c r="CD881" s="264"/>
      <c r="CE881" s="264"/>
      <c r="CF881" s="264"/>
      <c r="CG881" s="264"/>
      <c r="CH881" s="264"/>
      <c r="CI881" s="264">
        <v>2368.85</v>
      </c>
      <c r="CJ881" s="264">
        <v>-2668.1800000000007</v>
      </c>
      <c r="CK881" s="264"/>
      <c r="CL881" s="264"/>
      <c r="CM881" s="264"/>
      <c r="CN881" s="264"/>
      <c r="CO881" s="264">
        <v>-5336.3</v>
      </c>
      <c r="CP881" s="264">
        <v>0</v>
      </c>
      <c r="CQ881" s="264">
        <v>30</v>
      </c>
      <c r="CR881" s="264">
        <v>-197.78530849607532</v>
      </c>
      <c r="CS881" s="264">
        <v>0</v>
      </c>
      <c r="CT881" s="264">
        <v>0</v>
      </c>
      <c r="CU881" s="264">
        <v>0</v>
      </c>
      <c r="CV881" s="264">
        <v>0</v>
      </c>
      <c r="CW881" s="264"/>
      <c r="CX881" s="264"/>
      <c r="CY881" s="264"/>
      <c r="CZ881" s="264">
        <v>0</v>
      </c>
      <c r="DA881" s="264">
        <v>0</v>
      </c>
      <c r="DB881" s="264">
        <v>0</v>
      </c>
      <c r="DC881" s="264"/>
      <c r="DD881" s="264"/>
      <c r="DE881" s="264">
        <v>0</v>
      </c>
      <c r="DF881" s="264">
        <v>0</v>
      </c>
      <c r="DG881" s="264">
        <v>0</v>
      </c>
      <c r="DH881" s="264">
        <v>0</v>
      </c>
      <c r="DI881" s="264">
        <v>0</v>
      </c>
      <c r="DJ881" s="264"/>
      <c r="DK881" s="264">
        <v>0</v>
      </c>
      <c r="DL881" s="264">
        <v>0</v>
      </c>
      <c r="DM881" s="264"/>
      <c r="DN881" s="264">
        <v>0</v>
      </c>
      <c r="DO881" s="264">
        <v>0</v>
      </c>
      <c r="DP881" s="264">
        <v>-1.0511755948078978</v>
      </c>
      <c r="DQ881" s="264">
        <v>0</v>
      </c>
      <c r="DR881" s="264">
        <v>-196.73413290126743</v>
      </c>
      <c r="DS881" s="264"/>
      <c r="DT881" s="264"/>
      <c r="DU881" s="264">
        <v>10059.635519747941</v>
      </c>
      <c r="DV881" s="264"/>
      <c r="DW881" s="264">
        <v>0</v>
      </c>
      <c r="DX881" s="264">
        <v>0</v>
      </c>
      <c r="DY881" s="264">
        <v>-5336.3</v>
      </c>
      <c r="DZ881" s="264"/>
      <c r="EA881" s="264">
        <v>0</v>
      </c>
      <c r="EB881" s="264"/>
      <c r="EC881" s="264">
        <v>-5138.485188231657</v>
      </c>
      <c r="ED881" s="264"/>
      <c r="EE881" s="264">
        <v>0</v>
      </c>
      <c r="EF881" s="264">
        <v>0</v>
      </c>
      <c r="EG881" s="264"/>
      <c r="EH881" s="264">
        <v>0</v>
      </c>
      <c r="EI881" s="264">
        <v>0</v>
      </c>
      <c r="EJ881" s="264">
        <v>0</v>
      </c>
      <c r="EK881" s="264">
        <v>0</v>
      </c>
      <c r="EL881" s="264">
        <v>0</v>
      </c>
      <c r="EM881" s="264"/>
      <c r="EN881" s="264"/>
      <c r="EO881" s="264">
        <v>0</v>
      </c>
      <c r="EP881" s="264">
        <v>0</v>
      </c>
      <c r="EQ881" s="264"/>
      <c r="ER881" s="264">
        <v>0</v>
      </c>
      <c r="ES881" s="264"/>
      <c r="ET881" s="264">
        <v>0</v>
      </c>
      <c r="EU881" s="264"/>
      <c r="EV881" s="264">
        <v>246</v>
      </c>
      <c r="EW881" s="264"/>
      <c r="EX881" s="264"/>
      <c r="EY881" s="264"/>
      <c r="EZ881" s="264"/>
      <c r="FA881" s="264">
        <v>0</v>
      </c>
      <c r="FB881" s="264"/>
      <c r="FC881" s="264"/>
      <c r="FD881" s="264"/>
      <c r="FE881" s="264"/>
      <c r="FF881" s="264">
        <v>0</v>
      </c>
      <c r="FG881" s="264">
        <v>0</v>
      </c>
      <c r="FH881" s="264">
        <v>0</v>
      </c>
      <c r="FI881" s="264">
        <v>0</v>
      </c>
    </row>
    <row r="882" spans="1:165">
      <c r="A882" s="264">
        <v>913</v>
      </c>
      <c r="B882" s="264" t="s">
        <v>2327</v>
      </c>
      <c r="C882" s="264" t="s">
        <v>1044</v>
      </c>
      <c r="D882" s="264" t="s">
        <v>650</v>
      </c>
      <c r="E882" s="264" t="s">
        <v>97</v>
      </c>
      <c r="F882" s="264" t="s">
        <v>97</v>
      </c>
      <c r="G882" s="264" t="s">
        <v>97</v>
      </c>
      <c r="H882" s="264" t="s">
        <v>2336</v>
      </c>
      <c r="I882" s="264" t="s">
        <v>97</v>
      </c>
      <c r="J882" s="264" t="s">
        <v>2329</v>
      </c>
      <c r="K882" s="1748">
        <v>44713</v>
      </c>
      <c r="L882" s="264">
        <v>561</v>
      </c>
      <c r="M882" s="264">
        <v>280.5</v>
      </c>
      <c r="N882" s="264">
        <v>0</v>
      </c>
      <c r="O882" s="264">
        <v>0</v>
      </c>
      <c r="P882" s="264">
        <v>0</v>
      </c>
      <c r="Q882" s="264">
        <v>0</v>
      </c>
      <c r="R882" s="264">
        <v>13.8</v>
      </c>
      <c r="S882" s="264"/>
      <c r="T882" s="264"/>
      <c r="U882" s="264">
        <v>7741.8</v>
      </c>
      <c r="V882" s="264"/>
      <c r="W882" s="264">
        <v>7741.8</v>
      </c>
      <c r="X882" s="264">
        <v>3640.8900000000003</v>
      </c>
      <c r="Y882" s="264">
        <v>0</v>
      </c>
      <c r="Z882" s="264">
        <v>0</v>
      </c>
      <c r="AA882" s="264">
        <v>0</v>
      </c>
      <c r="AB882" s="264">
        <v>0</v>
      </c>
      <c r="AC882" s="264">
        <v>0</v>
      </c>
      <c r="AD882" s="264">
        <v>0</v>
      </c>
      <c r="AE882" s="264">
        <v>7730.7609953131432</v>
      </c>
      <c r="AF882" s="264"/>
      <c r="AG882" s="264"/>
      <c r="AH882" s="264"/>
      <c r="AI882" s="264">
        <v>0</v>
      </c>
      <c r="AJ882" s="264">
        <v>0</v>
      </c>
      <c r="AK882" s="264">
        <v>0</v>
      </c>
      <c r="AL882" s="264">
        <v>0</v>
      </c>
      <c r="AM882" s="264"/>
      <c r="AN882" s="264">
        <v>12.678152109374436</v>
      </c>
      <c r="AO882" s="264">
        <v>0</v>
      </c>
      <c r="AP882" s="264">
        <v>0</v>
      </c>
      <c r="AQ882" s="264">
        <v>0</v>
      </c>
      <c r="AR882" s="264">
        <v>0</v>
      </c>
      <c r="AS882" s="264"/>
      <c r="AT882" s="264"/>
      <c r="AU882" s="264">
        <v>0</v>
      </c>
      <c r="AV882" s="264">
        <v>0</v>
      </c>
      <c r="AW882" s="264">
        <v>0</v>
      </c>
      <c r="AX882" s="264"/>
      <c r="AY882" s="264"/>
      <c r="AZ882" s="264">
        <v>0</v>
      </c>
      <c r="BA882" s="264"/>
      <c r="BB882" s="264">
        <v>0</v>
      </c>
      <c r="BC882" s="264">
        <v>0</v>
      </c>
      <c r="BD882" s="264">
        <v>0</v>
      </c>
      <c r="BE882" s="264">
        <v>0</v>
      </c>
      <c r="BF882" s="264"/>
      <c r="BG882" s="264">
        <v>0</v>
      </c>
      <c r="BH882" s="264">
        <v>0</v>
      </c>
      <c r="BI882" s="264">
        <v>3.82</v>
      </c>
      <c r="BJ882" s="264">
        <v>0</v>
      </c>
      <c r="BK882" s="264">
        <v>0</v>
      </c>
      <c r="BL882" s="264">
        <v>0</v>
      </c>
      <c r="BM882" s="264"/>
      <c r="BN882" s="264"/>
      <c r="BO882" s="264">
        <v>1820.4450000000002</v>
      </c>
      <c r="BP882" s="264"/>
      <c r="BQ882" s="264"/>
      <c r="BR882" s="264"/>
      <c r="BS882" s="264"/>
      <c r="BT882" s="264"/>
      <c r="BU882" s="264"/>
      <c r="BV882" s="264">
        <v>0</v>
      </c>
      <c r="BW882" s="264"/>
      <c r="BX882" s="264"/>
      <c r="BY882" s="264"/>
      <c r="BZ882" s="264"/>
      <c r="CA882" s="264"/>
      <c r="CB882" s="264"/>
      <c r="CC882" s="264"/>
      <c r="CD882" s="264"/>
      <c r="CE882" s="264"/>
      <c r="CF882" s="264"/>
      <c r="CG882" s="264"/>
      <c r="CH882" s="264"/>
      <c r="CI882" s="264">
        <v>1820.4450000000002</v>
      </c>
      <c r="CJ882" s="264">
        <v>-2050.4850000000006</v>
      </c>
      <c r="CK882" s="264"/>
      <c r="CL882" s="264"/>
      <c r="CM882" s="264"/>
      <c r="CN882" s="264"/>
      <c r="CO882" s="264">
        <v>-4100.91</v>
      </c>
      <c r="CP882" s="264">
        <v>0</v>
      </c>
      <c r="CQ882" s="264">
        <v>30</v>
      </c>
      <c r="CR882" s="264">
        <v>-151.99665488534006</v>
      </c>
      <c r="CS882" s="264">
        <v>0</v>
      </c>
      <c r="CT882" s="264">
        <v>0</v>
      </c>
      <c r="CU882" s="264">
        <v>0</v>
      </c>
      <c r="CV882" s="264">
        <v>0</v>
      </c>
      <c r="CW882" s="264"/>
      <c r="CX882" s="264"/>
      <c r="CY882" s="264"/>
      <c r="CZ882" s="264">
        <v>0</v>
      </c>
      <c r="DA882" s="264">
        <v>0</v>
      </c>
      <c r="DB882" s="264">
        <v>0</v>
      </c>
      <c r="DC882" s="264"/>
      <c r="DD882" s="264"/>
      <c r="DE882" s="264">
        <v>0</v>
      </c>
      <c r="DF882" s="264">
        <v>0</v>
      </c>
      <c r="DG882" s="264">
        <v>0</v>
      </c>
      <c r="DH882" s="264">
        <v>0</v>
      </c>
      <c r="DI882" s="264">
        <v>0</v>
      </c>
      <c r="DJ882" s="264"/>
      <c r="DK882" s="264">
        <v>0</v>
      </c>
      <c r="DL882" s="264">
        <v>0</v>
      </c>
      <c r="DM882" s="264"/>
      <c r="DN882" s="264">
        <v>0</v>
      </c>
      <c r="DO882" s="264">
        <v>0</v>
      </c>
      <c r="DP882" s="264">
        <v>-0.80782124477702943</v>
      </c>
      <c r="DQ882" s="264">
        <v>0</v>
      </c>
      <c r="DR882" s="264">
        <v>-151.18883364056305</v>
      </c>
      <c r="DS882" s="264"/>
      <c r="DT882" s="264"/>
      <c r="DU882" s="264">
        <v>7730.7609953131432</v>
      </c>
      <c r="DV882" s="264"/>
      <c r="DW882" s="264">
        <v>0</v>
      </c>
      <c r="DX882" s="264">
        <v>0</v>
      </c>
      <c r="DY882" s="264">
        <v>-4100.91</v>
      </c>
      <c r="DZ882" s="264"/>
      <c r="EA882" s="264">
        <v>0</v>
      </c>
      <c r="EB882" s="264"/>
      <c r="EC882" s="264">
        <v>-3948.890672051999</v>
      </c>
      <c r="ED882" s="264"/>
      <c r="EE882" s="264">
        <v>0</v>
      </c>
      <c r="EF882" s="264">
        <v>0</v>
      </c>
      <c r="EG882" s="264"/>
      <c r="EH882" s="264">
        <v>0</v>
      </c>
      <c r="EI882" s="264">
        <v>0</v>
      </c>
      <c r="EJ882" s="264">
        <v>0</v>
      </c>
      <c r="EK882" s="264">
        <v>0</v>
      </c>
      <c r="EL882" s="264">
        <v>0</v>
      </c>
      <c r="EM882" s="264"/>
      <c r="EN882" s="264"/>
      <c r="EO882" s="264">
        <v>0</v>
      </c>
      <c r="EP882" s="264">
        <v>0</v>
      </c>
      <c r="EQ882" s="264"/>
      <c r="ER882" s="264">
        <v>0</v>
      </c>
      <c r="ES882" s="264"/>
      <c r="ET882" s="264">
        <v>0</v>
      </c>
      <c r="EU882" s="264"/>
      <c r="EV882" s="264">
        <v>246</v>
      </c>
      <c r="EW882" s="264"/>
      <c r="EX882" s="264"/>
      <c r="EY882" s="264"/>
      <c r="EZ882" s="264"/>
      <c r="FA882" s="264">
        <v>0</v>
      </c>
      <c r="FB882" s="264"/>
      <c r="FC882" s="264"/>
      <c r="FD882" s="264"/>
      <c r="FE882" s="264"/>
      <c r="FF882" s="264">
        <v>0</v>
      </c>
      <c r="FG882" s="264">
        <v>0</v>
      </c>
      <c r="FH882" s="264">
        <v>0</v>
      </c>
      <c r="FI882" s="264">
        <v>0</v>
      </c>
    </row>
    <row r="883" spans="1:165">
      <c r="A883" s="264">
        <v>914</v>
      </c>
      <c r="B883" s="264" t="s">
        <v>2327</v>
      </c>
      <c r="C883" s="264" t="s">
        <v>1044</v>
      </c>
      <c r="D883" s="264" t="s">
        <v>650</v>
      </c>
      <c r="E883" s="264" t="s">
        <v>97</v>
      </c>
      <c r="F883" s="264" t="s">
        <v>97</v>
      </c>
      <c r="G883" s="264" t="s">
        <v>97</v>
      </c>
      <c r="H883" s="264" t="s">
        <v>2337</v>
      </c>
      <c r="I883" s="264" t="s">
        <v>97</v>
      </c>
      <c r="J883" s="264" t="s">
        <v>2329</v>
      </c>
      <c r="K883" s="1748">
        <v>44713</v>
      </c>
      <c r="L883" s="264">
        <v>379</v>
      </c>
      <c r="M883" s="264">
        <v>189.5</v>
      </c>
      <c r="N883" s="264">
        <v>0</v>
      </c>
      <c r="O883" s="264">
        <v>0</v>
      </c>
      <c r="P883" s="264">
        <v>0</v>
      </c>
      <c r="Q883" s="264">
        <v>0</v>
      </c>
      <c r="R883" s="264">
        <v>13.8</v>
      </c>
      <c r="S883" s="264"/>
      <c r="T883" s="264"/>
      <c r="U883" s="264">
        <v>5230.2</v>
      </c>
      <c r="V883" s="264"/>
      <c r="W883" s="264">
        <v>5230.2</v>
      </c>
      <c r="X883" s="264">
        <v>2459.71</v>
      </c>
      <c r="Y883" s="264">
        <v>0</v>
      </c>
      <c r="Z883" s="264">
        <v>0</v>
      </c>
      <c r="AA883" s="264">
        <v>0</v>
      </c>
      <c r="AB883" s="264">
        <v>0</v>
      </c>
      <c r="AC883" s="264">
        <v>0</v>
      </c>
      <c r="AD883" s="264">
        <v>0</v>
      </c>
      <c r="AE883" s="264">
        <v>5222.742276691054</v>
      </c>
      <c r="AF883" s="264"/>
      <c r="AG883" s="264"/>
      <c r="AH883" s="264"/>
      <c r="AI883" s="264">
        <v>0</v>
      </c>
      <c r="AJ883" s="264">
        <v>0</v>
      </c>
      <c r="AK883" s="264">
        <v>0</v>
      </c>
      <c r="AL883" s="264">
        <v>0</v>
      </c>
      <c r="AM883" s="264"/>
      <c r="AN883" s="264">
        <v>8.5650974143545646</v>
      </c>
      <c r="AO883" s="264">
        <v>0</v>
      </c>
      <c r="AP883" s="264">
        <v>0</v>
      </c>
      <c r="AQ883" s="264">
        <v>0</v>
      </c>
      <c r="AR883" s="264">
        <v>0</v>
      </c>
      <c r="AS883" s="264"/>
      <c r="AT883" s="264"/>
      <c r="AU883" s="264">
        <v>0</v>
      </c>
      <c r="AV883" s="264">
        <v>0</v>
      </c>
      <c r="AW883" s="264">
        <v>0</v>
      </c>
      <c r="AX883" s="264"/>
      <c r="AY883" s="264"/>
      <c r="AZ883" s="264">
        <v>0</v>
      </c>
      <c r="BA883" s="264"/>
      <c r="BB883" s="264">
        <v>0</v>
      </c>
      <c r="BC883" s="264">
        <v>0</v>
      </c>
      <c r="BD883" s="264">
        <v>0</v>
      </c>
      <c r="BE883" s="264">
        <v>0</v>
      </c>
      <c r="BF883" s="264"/>
      <c r="BG883" s="264">
        <v>0</v>
      </c>
      <c r="BH883" s="264">
        <v>0</v>
      </c>
      <c r="BI883" s="264">
        <v>2.58</v>
      </c>
      <c r="BJ883" s="264">
        <v>0</v>
      </c>
      <c r="BK883" s="264">
        <v>0</v>
      </c>
      <c r="BL883" s="264">
        <v>0</v>
      </c>
      <c r="BM883" s="264"/>
      <c r="BN883" s="264"/>
      <c r="BO883" s="264">
        <v>1229.855</v>
      </c>
      <c r="BP883" s="264"/>
      <c r="BQ883" s="264"/>
      <c r="BR883" s="264"/>
      <c r="BS883" s="264"/>
      <c r="BT883" s="264"/>
      <c r="BU883" s="264"/>
      <c r="BV883" s="264">
        <v>0</v>
      </c>
      <c r="BW883" s="264"/>
      <c r="BX883" s="264"/>
      <c r="BY883" s="264"/>
      <c r="BZ883" s="264"/>
      <c r="CA883" s="264"/>
      <c r="CB883" s="264"/>
      <c r="CC883" s="264"/>
      <c r="CD883" s="264"/>
      <c r="CE883" s="264"/>
      <c r="CF883" s="264"/>
      <c r="CG883" s="264"/>
      <c r="CH883" s="264"/>
      <c r="CI883" s="264">
        <v>1229.855</v>
      </c>
      <c r="CJ883" s="264">
        <v>-1385.2750000000005</v>
      </c>
      <c r="CK883" s="264"/>
      <c r="CL883" s="264"/>
      <c r="CM883" s="264"/>
      <c r="CN883" s="264"/>
      <c r="CO883" s="264">
        <v>-2770.4900000000002</v>
      </c>
      <c r="CP883" s="264">
        <v>0</v>
      </c>
      <c r="CQ883" s="264">
        <v>30</v>
      </c>
      <c r="CR883" s="264">
        <v>-102.68579715070211</v>
      </c>
      <c r="CS883" s="264">
        <v>0</v>
      </c>
      <c r="CT883" s="264">
        <v>0</v>
      </c>
      <c r="CU883" s="264">
        <v>0</v>
      </c>
      <c r="CV883" s="264">
        <v>0</v>
      </c>
      <c r="CW883" s="264"/>
      <c r="CX883" s="264"/>
      <c r="CY883" s="264"/>
      <c r="CZ883" s="264">
        <v>0</v>
      </c>
      <c r="DA883" s="264">
        <v>0</v>
      </c>
      <c r="DB883" s="264">
        <v>0</v>
      </c>
      <c r="DC883" s="264"/>
      <c r="DD883" s="264"/>
      <c r="DE883" s="264">
        <v>0</v>
      </c>
      <c r="DF883" s="264">
        <v>0</v>
      </c>
      <c r="DG883" s="264">
        <v>0</v>
      </c>
      <c r="DH883" s="264">
        <v>0</v>
      </c>
      <c r="DI883" s="264">
        <v>0</v>
      </c>
      <c r="DJ883" s="264"/>
      <c r="DK883" s="264">
        <v>0</v>
      </c>
      <c r="DL883" s="264">
        <v>0</v>
      </c>
      <c r="DM883" s="264"/>
      <c r="DN883" s="264">
        <v>0</v>
      </c>
      <c r="DO883" s="264">
        <v>0</v>
      </c>
      <c r="DP883" s="264">
        <v>-0.5457473293591697</v>
      </c>
      <c r="DQ883" s="264">
        <v>0</v>
      </c>
      <c r="DR883" s="264">
        <v>-102.14004982134294</v>
      </c>
      <c r="DS883" s="264"/>
      <c r="DT883" s="264"/>
      <c r="DU883" s="264">
        <v>5222.742276691054</v>
      </c>
      <c r="DV883" s="264"/>
      <c r="DW883" s="264">
        <v>0</v>
      </c>
      <c r="DX883" s="264">
        <v>0</v>
      </c>
      <c r="DY883" s="264">
        <v>-2770.49</v>
      </c>
      <c r="DZ883" s="264"/>
      <c r="EA883" s="264">
        <v>0</v>
      </c>
      <c r="EB883" s="264"/>
      <c r="EC883" s="264">
        <v>-2667.7888853969835</v>
      </c>
      <c r="ED883" s="264"/>
      <c r="EE883" s="264">
        <v>0</v>
      </c>
      <c r="EF883" s="264">
        <v>0</v>
      </c>
      <c r="EG883" s="264"/>
      <c r="EH883" s="264">
        <v>0</v>
      </c>
      <c r="EI883" s="264">
        <v>0</v>
      </c>
      <c r="EJ883" s="264">
        <v>0</v>
      </c>
      <c r="EK883" s="264">
        <v>0</v>
      </c>
      <c r="EL883" s="264">
        <v>0</v>
      </c>
      <c r="EM883" s="264"/>
      <c r="EN883" s="264"/>
      <c r="EO883" s="264">
        <v>0</v>
      </c>
      <c r="EP883" s="264">
        <v>0</v>
      </c>
      <c r="EQ883" s="264"/>
      <c r="ER883" s="264">
        <v>0</v>
      </c>
      <c r="ES883" s="264"/>
      <c r="ET883" s="264">
        <v>0</v>
      </c>
      <c r="EU883" s="264"/>
      <c r="EV883" s="264">
        <v>246</v>
      </c>
      <c r="EW883" s="264"/>
      <c r="EX883" s="264"/>
      <c r="EY883" s="264"/>
      <c r="EZ883" s="264"/>
      <c r="FA883" s="264">
        <v>0</v>
      </c>
      <c r="FB883" s="264"/>
      <c r="FC883" s="264"/>
      <c r="FD883" s="264"/>
      <c r="FE883" s="264"/>
      <c r="FF883" s="264">
        <v>0</v>
      </c>
      <c r="FG883" s="264">
        <v>0</v>
      </c>
      <c r="FH883" s="264">
        <v>0</v>
      </c>
      <c r="FI883" s="264">
        <v>0</v>
      </c>
    </row>
    <row r="884" spans="1:165">
      <c r="A884" s="264">
        <v>915</v>
      </c>
      <c r="B884" s="264" t="s">
        <v>2327</v>
      </c>
      <c r="C884" s="264" t="s">
        <v>1044</v>
      </c>
      <c r="D884" s="264" t="s">
        <v>650</v>
      </c>
      <c r="E884" s="264" t="s">
        <v>97</v>
      </c>
      <c r="F884" s="264" t="s">
        <v>97</v>
      </c>
      <c r="G884" s="264" t="s">
        <v>97</v>
      </c>
      <c r="H884" s="264" t="s">
        <v>2338</v>
      </c>
      <c r="I884" s="264" t="s">
        <v>97</v>
      </c>
      <c r="J884" s="264" t="s">
        <v>2329</v>
      </c>
      <c r="K884" s="1748">
        <v>44713</v>
      </c>
      <c r="L884" s="264">
        <v>718</v>
      </c>
      <c r="M884" s="264">
        <v>359</v>
      </c>
      <c r="N884" s="264">
        <v>0</v>
      </c>
      <c r="O884" s="264">
        <v>0</v>
      </c>
      <c r="P884" s="264">
        <v>0</v>
      </c>
      <c r="Q884" s="264">
        <v>0</v>
      </c>
      <c r="R884" s="264">
        <v>13.8</v>
      </c>
      <c r="S884" s="264"/>
      <c r="T884" s="264"/>
      <c r="U884" s="264">
        <v>9908.4</v>
      </c>
      <c r="V884" s="264"/>
      <c r="W884" s="264">
        <v>9908.4</v>
      </c>
      <c r="X884" s="264">
        <v>4659.82</v>
      </c>
      <c r="Y884" s="264">
        <v>0</v>
      </c>
      <c r="Z884" s="264">
        <v>0</v>
      </c>
      <c r="AA884" s="264">
        <v>0</v>
      </c>
      <c r="AB884" s="264">
        <v>0</v>
      </c>
      <c r="AC884" s="264">
        <v>0</v>
      </c>
      <c r="AD884" s="264">
        <v>0</v>
      </c>
      <c r="AE884" s="264">
        <v>9894.2716481904408</v>
      </c>
      <c r="AF884" s="264"/>
      <c r="AG884" s="264"/>
      <c r="AH884" s="264"/>
      <c r="AI884" s="264">
        <v>0</v>
      </c>
      <c r="AJ884" s="264">
        <v>0</v>
      </c>
      <c r="AK884" s="264">
        <v>0</v>
      </c>
      <c r="AL884" s="264">
        <v>0</v>
      </c>
      <c r="AM884" s="264"/>
      <c r="AN884" s="264">
        <v>16.226226763869597</v>
      </c>
      <c r="AO884" s="264">
        <v>0</v>
      </c>
      <c r="AP884" s="264">
        <v>0</v>
      </c>
      <c r="AQ884" s="264">
        <v>0</v>
      </c>
      <c r="AR884" s="264">
        <v>0</v>
      </c>
      <c r="AS884" s="264"/>
      <c r="AT884" s="264"/>
      <c r="AU884" s="264">
        <v>0</v>
      </c>
      <c r="AV884" s="264">
        <v>0</v>
      </c>
      <c r="AW884" s="264">
        <v>0</v>
      </c>
      <c r="AX884" s="264"/>
      <c r="AY884" s="264"/>
      <c r="AZ884" s="264">
        <v>0</v>
      </c>
      <c r="BA884" s="264"/>
      <c r="BB884" s="264">
        <v>0</v>
      </c>
      <c r="BC884" s="264">
        <v>0</v>
      </c>
      <c r="BD884" s="264">
        <v>0</v>
      </c>
      <c r="BE884" s="264">
        <v>0</v>
      </c>
      <c r="BF884" s="264"/>
      <c r="BG884" s="264">
        <v>0</v>
      </c>
      <c r="BH884" s="264">
        <v>0</v>
      </c>
      <c r="BI884" s="264">
        <v>4.9000000000000004</v>
      </c>
      <c r="BJ884" s="264">
        <v>0</v>
      </c>
      <c r="BK884" s="264">
        <v>0</v>
      </c>
      <c r="BL884" s="264">
        <v>0</v>
      </c>
      <c r="BM884" s="264"/>
      <c r="BN884" s="264"/>
      <c r="BO884" s="264">
        <v>2329.91</v>
      </c>
      <c r="BP884" s="264"/>
      <c r="BQ884" s="264"/>
      <c r="BR884" s="264"/>
      <c r="BS884" s="264"/>
      <c r="BT884" s="264"/>
      <c r="BU884" s="264"/>
      <c r="BV884" s="264">
        <v>0</v>
      </c>
      <c r="BW884" s="264"/>
      <c r="BX884" s="264"/>
      <c r="BY884" s="264"/>
      <c r="BZ884" s="264"/>
      <c r="CA884" s="264"/>
      <c r="CB884" s="264"/>
      <c r="CC884" s="264"/>
      <c r="CD884" s="264"/>
      <c r="CE884" s="264"/>
      <c r="CF884" s="264"/>
      <c r="CG884" s="264"/>
      <c r="CH884" s="264"/>
      <c r="CI884" s="264">
        <v>2329.91</v>
      </c>
      <c r="CJ884" s="264">
        <v>-2624.3200000000006</v>
      </c>
      <c r="CK884" s="264"/>
      <c r="CL884" s="264"/>
      <c r="CM884" s="264"/>
      <c r="CN884" s="264"/>
      <c r="CO884" s="264">
        <v>-5248.58</v>
      </c>
      <c r="CP884" s="264">
        <v>0</v>
      </c>
      <c r="CQ884" s="264">
        <v>30</v>
      </c>
      <c r="CR884" s="264">
        <v>-194.53404315093434</v>
      </c>
      <c r="CS884" s="264">
        <v>0</v>
      </c>
      <c r="CT884" s="264">
        <v>0</v>
      </c>
      <c r="CU884" s="264">
        <v>0</v>
      </c>
      <c r="CV884" s="264">
        <v>0</v>
      </c>
      <c r="CW884" s="264"/>
      <c r="CX884" s="264"/>
      <c r="CY884" s="264"/>
      <c r="CZ884" s="264">
        <v>0</v>
      </c>
      <c r="DA884" s="264">
        <v>0</v>
      </c>
      <c r="DB884" s="264">
        <v>0</v>
      </c>
      <c r="DC884" s="264"/>
      <c r="DD884" s="264"/>
      <c r="DE884" s="264">
        <v>0</v>
      </c>
      <c r="DF884" s="264">
        <v>0</v>
      </c>
      <c r="DG884" s="264">
        <v>0</v>
      </c>
      <c r="DH884" s="264">
        <v>0</v>
      </c>
      <c r="DI884" s="264">
        <v>0</v>
      </c>
      <c r="DJ884" s="264"/>
      <c r="DK884" s="264">
        <v>0</v>
      </c>
      <c r="DL884" s="264">
        <v>0</v>
      </c>
      <c r="DM884" s="264"/>
      <c r="DN884" s="264">
        <v>0</v>
      </c>
      <c r="DO884" s="264">
        <v>0</v>
      </c>
      <c r="DP884" s="264">
        <v>-1.0338959959891376</v>
      </c>
      <c r="DQ884" s="264">
        <v>0</v>
      </c>
      <c r="DR884" s="264">
        <v>-193.50014715494521</v>
      </c>
      <c r="DS884" s="264"/>
      <c r="DT884" s="264"/>
      <c r="DU884" s="264">
        <v>9894.2716481904408</v>
      </c>
      <c r="DV884" s="264"/>
      <c r="DW884" s="264">
        <v>0</v>
      </c>
      <c r="DX884" s="264">
        <v>0</v>
      </c>
      <c r="DY884" s="264">
        <v>-5248.58</v>
      </c>
      <c r="DZ884" s="264"/>
      <c r="EA884" s="264">
        <v>0</v>
      </c>
      <c r="EB884" s="264"/>
      <c r="EC884" s="264">
        <v>-5054.0169385620957</v>
      </c>
      <c r="ED884" s="264"/>
      <c r="EE884" s="264">
        <v>0</v>
      </c>
      <c r="EF884" s="264">
        <v>0</v>
      </c>
      <c r="EG884" s="264"/>
      <c r="EH884" s="264">
        <v>0</v>
      </c>
      <c r="EI884" s="264">
        <v>0</v>
      </c>
      <c r="EJ884" s="264">
        <v>0</v>
      </c>
      <c r="EK884" s="264">
        <v>0</v>
      </c>
      <c r="EL884" s="264">
        <v>0</v>
      </c>
      <c r="EM884" s="264"/>
      <c r="EN884" s="264"/>
      <c r="EO884" s="264">
        <v>0</v>
      </c>
      <c r="EP884" s="264">
        <v>0</v>
      </c>
      <c r="EQ884" s="264"/>
      <c r="ER884" s="264">
        <v>0</v>
      </c>
      <c r="ES884" s="264"/>
      <c r="ET884" s="264">
        <v>0</v>
      </c>
      <c r="EU884" s="264"/>
      <c r="EV884" s="264">
        <v>246</v>
      </c>
      <c r="EW884" s="264"/>
      <c r="EX884" s="264"/>
      <c r="EY884" s="264"/>
      <c r="EZ884" s="264"/>
      <c r="FA884" s="264">
        <v>0</v>
      </c>
      <c r="FB884" s="264"/>
      <c r="FC884" s="264"/>
      <c r="FD884" s="264"/>
      <c r="FE884" s="264"/>
      <c r="FF884" s="264">
        <v>0</v>
      </c>
      <c r="FG884" s="264">
        <v>0</v>
      </c>
      <c r="FH884" s="264">
        <v>0</v>
      </c>
      <c r="FI884" s="264">
        <v>0</v>
      </c>
    </row>
    <row r="885" spans="1:165">
      <c r="K885" s="265"/>
      <c r="L885" s="265"/>
      <c r="M885" s="265"/>
      <c r="N885" s="265"/>
      <c r="O885" s="265"/>
      <c r="P885" s="265"/>
      <c r="Q885" s="265"/>
      <c r="BR885" s="265"/>
      <c r="BS885" s="265"/>
      <c r="BT885" s="265"/>
      <c r="BU885" s="265"/>
      <c r="BV885" s="265"/>
      <c r="CJ885" s="265"/>
      <c r="CO885" s="265"/>
      <c r="CP885" s="265"/>
      <c r="CQ885" s="265"/>
      <c r="CR885" s="265"/>
      <c r="CS885" s="265"/>
      <c r="CT885" s="265"/>
      <c r="CU885" s="265"/>
      <c r="CV885" s="265"/>
      <c r="CW885" s="265"/>
      <c r="CX885" s="265"/>
      <c r="CY885" s="265"/>
      <c r="CZ885" s="265"/>
      <c r="DA885" s="265"/>
      <c r="DB885" s="265"/>
      <c r="DC885" s="265"/>
      <c r="DD885" s="265"/>
      <c r="DE885" s="265"/>
      <c r="DF885" s="265"/>
      <c r="DG885" s="265"/>
      <c r="DH885" s="265"/>
      <c r="DI885" s="265"/>
      <c r="DJ885" s="265"/>
      <c r="DK885" s="265"/>
      <c r="DL885" s="265"/>
      <c r="DM885" s="265"/>
      <c r="DN885" s="265"/>
      <c r="DO885" s="265"/>
      <c r="DP885" s="265"/>
      <c r="DQ885" s="265"/>
      <c r="DR885" s="265"/>
      <c r="DS885" s="265"/>
    </row>
    <row r="886" spans="1:165">
      <c r="K886" s="265"/>
      <c r="L886" s="265"/>
      <c r="M886" s="265"/>
      <c r="N886" s="265"/>
      <c r="O886" s="265"/>
      <c r="P886" s="265"/>
      <c r="Q886" s="265"/>
      <c r="BR886" s="265"/>
      <c r="BS886" s="265"/>
      <c r="BT886" s="265"/>
      <c r="BU886" s="265"/>
      <c r="BV886" s="265"/>
      <c r="CJ886" s="265"/>
      <c r="CO886" s="265"/>
      <c r="CP886" s="265"/>
      <c r="CQ886" s="265"/>
      <c r="CR886" s="265"/>
      <c r="CS886" s="265"/>
      <c r="CT886" s="265"/>
      <c r="CU886" s="265"/>
      <c r="CV886" s="265"/>
      <c r="CW886" s="265"/>
      <c r="CX886" s="265"/>
      <c r="CY886" s="265"/>
      <c r="CZ886" s="265"/>
      <c r="DA886" s="265"/>
      <c r="DB886" s="265"/>
      <c r="DC886" s="265"/>
      <c r="DD886" s="265"/>
      <c r="DE886" s="265"/>
      <c r="DF886" s="265"/>
      <c r="DG886" s="265"/>
      <c r="DH886" s="265"/>
      <c r="DI886" s="265"/>
      <c r="DJ886" s="265"/>
      <c r="DK886" s="265"/>
      <c r="DL886" s="265"/>
      <c r="DM886" s="265"/>
      <c r="DN886" s="265"/>
      <c r="DO886" s="265"/>
      <c r="DP886" s="265"/>
      <c r="DQ886" s="265"/>
      <c r="DR886" s="265"/>
      <c r="DS886" s="265"/>
    </row>
    <row r="887" spans="1:165">
      <c r="K887" s="265"/>
      <c r="L887" s="265"/>
      <c r="M887" s="265"/>
      <c r="N887" s="265"/>
      <c r="O887" s="265"/>
      <c r="P887" s="265"/>
      <c r="Q887" s="265"/>
      <c r="BR887" s="265"/>
      <c r="BS887" s="265"/>
      <c r="BT887" s="265"/>
      <c r="BU887" s="265"/>
      <c r="BV887" s="265"/>
      <c r="CJ887" s="265"/>
      <c r="CO887" s="265"/>
      <c r="CP887" s="265"/>
      <c r="CQ887" s="265"/>
      <c r="CR887" s="265"/>
      <c r="CS887" s="265"/>
      <c r="CT887" s="265"/>
      <c r="CU887" s="265"/>
      <c r="CV887" s="265"/>
      <c r="CW887" s="265"/>
      <c r="CX887" s="265"/>
      <c r="CY887" s="265"/>
      <c r="CZ887" s="265"/>
      <c r="DA887" s="265"/>
      <c r="DB887" s="265"/>
      <c r="DC887" s="265"/>
      <c r="DD887" s="265"/>
      <c r="DE887" s="265"/>
      <c r="DF887" s="265"/>
      <c r="DG887" s="265"/>
      <c r="DH887" s="265"/>
      <c r="DI887" s="265"/>
      <c r="DJ887" s="265"/>
      <c r="DK887" s="265"/>
      <c r="DL887" s="265"/>
      <c r="DM887" s="265"/>
      <c r="DN887" s="265"/>
      <c r="DO887" s="265"/>
      <c r="DP887" s="265"/>
      <c r="DQ887" s="265"/>
      <c r="DR887" s="265"/>
      <c r="DS887" s="265"/>
    </row>
    <row r="888" spans="1:165">
      <c r="K888" s="265"/>
      <c r="L888" s="265"/>
      <c r="M888" s="265"/>
      <c r="N888" s="265"/>
      <c r="O888" s="265"/>
      <c r="P888" s="265"/>
      <c r="Q888" s="265"/>
      <c r="BR888" s="265"/>
      <c r="BS888" s="265"/>
      <c r="BT888" s="265"/>
      <c r="BU888" s="265"/>
      <c r="BV888" s="265"/>
      <c r="CJ888" s="265"/>
      <c r="CO888" s="265"/>
      <c r="CP888" s="265"/>
      <c r="CQ888" s="265"/>
      <c r="CR888" s="265"/>
      <c r="CS888" s="265"/>
      <c r="CT888" s="265"/>
      <c r="CU888" s="265"/>
      <c r="CV888" s="265"/>
      <c r="CW888" s="265"/>
      <c r="CX888" s="265"/>
      <c r="CY888" s="265"/>
      <c r="CZ888" s="265"/>
      <c r="DA888" s="265"/>
      <c r="DB888" s="265"/>
      <c r="DC888" s="265"/>
      <c r="DD888" s="265"/>
      <c r="DE888" s="265"/>
      <c r="DF888" s="265"/>
      <c r="DG888" s="265"/>
      <c r="DH888" s="265"/>
      <c r="DI888" s="265"/>
      <c r="DJ888" s="265"/>
      <c r="DK888" s="265"/>
      <c r="DL888" s="265"/>
      <c r="DM888" s="265"/>
      <c r="DN888" s="265"/>
      <c r="DO888" s="265"/>
      <c r="DP888" s="265"/>
      <c r="DQ888" s="265"/>
      <c r="DR888" s="265"/>
      <c r="DS888" s="265"/>
    </row>
    <row r="889" spans="1:165">
      <c r="K889" s="265"/>
      <c r="L889" s="265"/>
      <c r="M889" s="265"/>
      <c r="N889" s="265"/>
      <c r="O889" s="265"/>
      <c r="P889" s="265"/>
      <c r="Q889" s="265"/>
      <c r="BR889" s="265"/>
      <c r="BS889" s="265"/>
      <c r="BT889" s="265"/>
      <c r="BU889" s="265"/>
      <c r="BV889" s="265"/>
      <c r="CJ889" s="265"/>
      <c r="CO889" s="265"/>
      <c r="CP889" s="265"/>
      <c r="CQ889" s="265"/>
      <c r="CR889" s="265"/>
      <c r="CS889" s="265"/>
      <c r="CT889" s="265"/>
      <c r="CU889" s="265"/>
      <c r="CV889" s="265"/>
      <c r="CW889" s="265"/>
      <c r="CX889" s="265"/>
      <c r="CY889" s="265"/>
      <c r="CZ889" s="265"/>
      <c r="DA889" s="265"/>
      <c r="DB889" s="265"/>
      <c r="DC889" s="265"/>
      <c r="DD889" s="265"/>
      <c r="DE889" s="265"/>
      <c r="DF889" s="265"/>
      <c r="DG889" s="265"/>
      <c r="DH889" s="265"/>
      <c r="DI889" s="265"/>
      <c r="DJ889" s="265"/>
      <c r="DK889" s="265"/>
      <c r="DL889" s="265"/>
      <c r="DM889" s="265"/>
      <c r="DN889" s="265"/>
      <c r="DO889" s="265"/>
      <c r="DP889" s="265"/>
      <c r="DQ889" s="265"/>
      <c r="DR889" s="265"/>
      <c r="DS889" s="265"/>
    </row>
    <row r="890" spans="1:165">
      <c r="K890" s="265"/>
      <c r="L890" s="265"/>
      <c r="M890" s="265"/>
      <c r="N890" s="265"/>
      <c r="O890" s="265"/>
      <c r="P890" s="265"/>
      <c r="Q890" s="265"/>
      <c r="BR890" s="265"/>
      <c r="BS890" s="265"/>
      <c r="BT890" s="265"/>
      <c r="BU890" s="265"/>
      <c r="BV890" s="265"/>
      <c r="CJ890" s="265"/>
      <c r="CO890" s="265"/>
      <c r="CP890" s="265"/>
      <c r="CQ890" s="265"/>
      <c r="CR890" s="265"/>
      <c r="CS890" s="265"/>
      <c r="CT890" s="265"/>
      <c r="CU890" s="265"/>
      <c r="CV890" s="265"/>
      <c r="CW890" s="265"/>
      <c r="CX890" s="265"/>
      <c r="CY890" s="265"/>
      <c r="CZ890" s="265"/>
      <c r="DA890" s="265"/>
      <c r="DB890" s="265"/>
      <c r="DC890" s="265"/>
      <c r="DD890" s="265"/>
      <c r="DE890" s="265"/>
      <c r="DF890" s="265"/>
      <c r="DG890" s="265"/>
      <c r="DH890" s="265"/>
      <c r="DI890" s="265"/>
      <c r="DJ890" s="265"/>
      <c r="DK890" s="265"/>
      <c r="DL890" s="265"/>
      <c r="DM890" s="265"/>
      <c r="DN890" s="265"/>
      <c r="DO890" s="265"/>
      <c r="DP890" s="265"/>
      <c r="DQ890" s="265"/>
      <c r="DR890" s="265"/>
      <c r="DS890" s="265"/>
    </row>
    <row r="891" spans="1:165">
      <c r="K891" s="265"/>
      <c r="L891" s="265"/>
      <c r="M891" s="265"/>
      <c r="N891" s="265"/>
      <c r="O891" s="265"/>
      <c r="P891" s="265"/>
      <c r="Q891" s="265"/>
      <c r="BR891" s="265"/>
      <c r="BS891" s="265"/>
      <c r="BT891" s="265"/>
      <c r="BU891" s="265"/>
      <c r="BV891" s="265"/>
      <c r="CJ891" s="265"/>
      <c r="CO891" s="265"/>
      <c r="CP891" s="265"/>
      <c r="CQ891" s="265"/>
      <c r="CR891" s="265"/>
      <c r="CS891" s="265"/>
      <c r="CT891" s="265"/>
      <c r="CU891" s="265"/>
      <c r="CV891" s="265"/>
      <c r="CW891" s="265"/>
      <c r="CX891" s="265"/>
      <c r="CY891" s="265"/>
      <c r="CZ891" s="265"/>
      <c r="DA891" s="265"/>
      <c r="DB891" s="265"/>
      <c r="DC891" s="265"/>
      <c r="DD891" s="265"/>
      <c r="DE891" s="265"/>
      <c r="DF891" s="265"/>
      <c r="DG891" s="265"/>
      <c r="DH891" s="265"/>
      <c r="DI891" s="265"/>
      <c r="DJ891" s="265"/>
      <c r="DK891" s="265"/>
      <c r="DL891" s="265"/>
      <c r="DM891" s="265"/>
      <c r="DN891" s="265"/>
      <c r="DO891" s="265"/>
      <c r="DP891" s="265"/>
      <c r="DQ891" s="265"/>
      <c r="DR891" s="265"/>
      <c r="DS891" s="265"/>
    </row>
    <row r="892" spans="1:165">
      <c r="K892" s="265"/>
      <c r="L892" s="265"/>
      <c r="M892" s="265"/>
      <c r="N892" s="265"/>
      <c r="O892" s="265"/>
      <c r="P892" s="265"/>
      <c r="Q892" s="265"/>
      <c r="BR892" s="265"/>
      <c r="BS892" s="265"/>
      <c r="BT892" s="265"/>
      <c r="BU892" s="265"/>
      <c r="BV892" s="265"/>
      <c r="CJ892" s="265"/>
      <c r="CO892" s="265"/>
      <c r="CP892" s="265"/>
      <c r="CQ892" s="265"/>
      <c r="CR892" s="265"/>
      <c r="CS892" s="265"/>
      <c r="CT892" s="265"/>
      <c r="CU892" s="265"/>
      <c r="CV892" s="265"/>
      <c r="CW892" s="265"/>
      <c r="CX892" s="265"/>
      <c r="CY892" s="265"/>
      <c r="CZ892" s="265"/>
      <c r="DA892" s="265"/>
      <c r="DB892" s="265"/>
      <c r="DC892" s="265"/>
      <c r="DD892" s="265"/>
      <c r="DE892" s="265"/>
      <c r="DF892" s="265"/>
      <c r="DG892" s="265"/>
      <c r="DH892" s="265"/>
      <c r="DI892" s="265"/>
      <c r="DJ892" s="265"/>
      <c r="DK892" s="265"/>
      <c r="DL892" s="265"/>
      <c r="DM892" s="265"/>
      <c r="DN892" s="265"/>
      <c r="DO892" s="265"/>
      <c r="DP892" s="265"/>
      <c r="DQ892" s="265"/>
      <c r="DR892" s="265"/>
      <c r="DS892" s="265"/>
    </row>
    <row r="893" spans="1:165">
      <c r="K893" s="265"/>
      <c r="L893" s="265"/>
      <c r="M893" s="265"/>
      <c r="N893" s="265"/>
      <c r="O893" s="265"/>
      <c r="P893" s="265"/>
      <c r="Q893" s="265"/>
      <c r="BR893" s="265"/>
      <c r="BS893" s="265"/>
      <c r="BT893" s="265"/>
      <c r="BU893" s="265"/>
      <c r="BV893" s="265"/>
      <c r="CJ893" s="265"/>
      <c r="CO893" s="265"/>
      <c r="CP893" s="265"/>
      <c r="CQ893" s="265"/>
      <c r="CR893" s="265"/>
      <c r="CS893" s="265"/>
      <c r="CT893" s="265"/>
      <c r="CU893" s="265"/>
      <c r="CV893" s="265"/>
      <c r="CW893" s="265"/>
      <c r="CX893" s="265"/>
      <c r="CY893" s="265"/>
      <c r="CZ893" s="265"/>
      <c r="DA893" s="265"/>
      <c r="DB893" s="265"/>
      <c r="DC893" s="265"/>
      <c r="DD893" s="265"/>
      <c r="DE893" s="265"/>
      <c r="DF893" s="265"/>
      <c r="DG893" s="265"/>
      <c r="DH893" s="265"/>
      <c r="DI893" s="265"/>
      <c r="DJ893" s="265"/>
      <c r="DK893" s="265"/>
      <c r="DL893" s="265"/>
      <c r="DM893" s="265"/>
      <c r="DN893" s="265"/>
      <c r="DO893" s="265"/>
      <c r="DP893" s="265"/>
      <c r="DQ893" s="265"/>
      <c r="DR893" s="265"/>
      <c r="DS893" s="265"/>
    </row>
    <row r="894" spans="1:165">
      <c r="K894" s="265"/>
      <c r="L894" s="265"/>
      <c r="M894" s="265"/>
      <c r="N894" s="265"/>
      <c r="O894" s="265"/>
      <c r="P894" s="265"/>
      <c r="Q894" s="265"/>
      <c r="BR894" s="265"/>
      <c r="BS894" s="265"/>
      <c r="BT894" s="265"/>
      <c r="BU894" s="265"/>
      <c r="BV894" s="265"/>
      <c r="CJ894" s="265"/>
      <c r="CO894" s="265"/>
      <c r="CP894" s="265"/>
      <c r="CQ894" s="265"/>
      <c r="CR894" s="265"/>
      <c r="CS894" s="265"/>
      <c r="CT894" s="265"/>
      <c r="CU894" s="265"/>
      <c r="CV894" s="265"/>
      <c r="CW894" s="265"/>
      <c r="CX894" s="265"/>
      <c r="CY894" s="265"/>
      <c r="CZ894" s="265"/>
      <c r="DA894" s="265"/>
      <c r="DB894" s="265"/>
      <c r="DC894" s="265"/>
      <c r="DD894" s="265"/>
      <c r="DE894" s="265"/>
      <c r="DF894" s="265"/>
      <c r="DG894" s="265"/>
      <c r="DH894" s="265"/>
      <c r="DI894" s="265"/>
      <c r="DJ894" s="265"/>
      <c r="DK894" s="265"/>
      <c r="DL894" s="265"/>
      <c r="DM894" s="265"/>
      <c r="DN894" s="265"/>
      <c r="DO894" s="265"/>
      <c r="DP894" s="265"/>
      <c r="DQ894" s="265"/>
      <c r="DR894" s="265"/>
      <c r="DS894" s="265"/>
    </row>
    <row r="895" spans="1:165">
      <c r="K895" s="265"/>
      <c r="L895" s="265"/>
      <c r="M895" s="265"/>
      <c r="N895" s="265"/>
      <c r="O895" s="265"/>
      <c r="P895" s="265"/>
      <c r="Q895" s="265"/>
      <c r="BR895" s="265"/>
      <c r="BS895" s="265"/>
      <c r="BT895" s="265"/>
      <c r="BU895" s="265"/>
      <c r="BV895" s="265"/>
      <c r="CJ895" s="265"/>
      <c r="CO895" s="265"/>
      <c r="CP895" s="265"/>
      <c r="CQ895" s="265"/>
      <c r="CR895" s="265"/>
      <c r="CS895" s="265"/>
      <c r="CT895" s="265"/>
      <c r="CU895" s="265"/>
      <c r="CV895" s="265"/>
      <c r="CW895" s="265"/>
      <c r="CX895" s="265"/>
      <c r="CY895" s="265"/>
      <c r="CZ895" s="265"/>
      <c r="DA895" s="265"/>
      <c r="DB895" s="265"/>
      <c r="DC895" s="265"/>
      <c r="DD895" s="265"/>
      <c r="DE895" s="265"/>
      <c r="DF895" s="265"/>
      <c r="DG895" s="265"/>
      <c r="DH895" s="265"/>
      <c r="DI895" s="265"/>
      <c r="DJ895" s="265"/>
      <c r="DK895" s="265"/>
      <c r="DL895" s="265"/>
      <c r="DM895" s="265"/>
      <c r="DN895" s="265"/>
      <c r="DO895" s="265"/>
      <c r="DP895" s="265"/>
      <c r="DQ895" s="265"/>
      <c r="DR895" s="265"/>
      <c r="DS895" s="265"/>
    </row>
    <row r="896" spans="1:165">
      <c r="K896" s="265"/>
      <c r="L896" s="265"/>
      <c r="M896" s="265"/>
      <c r="N896" s="265"/>
      <c r="O896" s="265"/>
      <c r="P896" s="265"/>
      <c r="Q896" s="265"/>
      <c r="BR896" s="265"/>
      <c r="BS896" s="265"/>
      <c r="BT896" s="265"/>
      <c r="BU896" s="265"/>
      <c r="BV896" s="265"/>
      <c r="CJ896" s="265"/>
      <c r="CO896" s="265"/>
      <c r="CP896" s="265"/>
      <c r="CQ896" s="265"/>
      <c r="CR896" s="265"/>
      <c r="CS896" s="265"/>
      <c r="CT896" s="265"/>
      <c r="CU896" s="265"/>
      <c r="CV896" s="265"/>
      <c r="CW896" s="265"/>
      <c r="CX896" s="265"/>
      <c r="CY896" s="265"/>
      <c r="CZ896" s="265"/>
      <c r="DA896" s="265"/>
      <c r="DB896" s="265"/>
      <c r="DC896" s="265"/>
      <c r="DD896" s="265"/>
      <c r="DE896" s="265"/>
      <c r="DF896" s="265"/>
      <c r="DG896" s="265"/>
      <c r="DH896" s="265"/>
      <c r="DI896" s="265"/>
      <c r="DJ896" s="265"/>
      <c r="DK896" s="265"/>
      <c r="DL896" s="265"/>
      <c r="DM896" s="265"/>
      <c r="DN896" s="265"/>
      <c r="DO896" s="265"/>
      <c r="DP896" s="265"/>
      <c r="DQ896" s="265"/>
      <c r="DR896" s="265"/>
      <c r="DS896" s="265"/>
    </row>
    <row r="897" spans="129:146" s="265" customFormat="1">
      <c r="DY897" s="290"/>
      <c r="EC897" s="290"/>
      <c r="EP897" s="290"/>
    </row>
    <row r="898" spans="129:146" s="265" customFormat="1">
      <c r="DY898" s="290"/>
      <c r="EC898" s="290"/>
      <c r="EP898" s="290"/>
    </row>
    <row r="899" spans="129:146" s="265" customFormat="1">
      <c r="DY899" s="290"/>
      <c r="EC899" s="290"/>
      <c r="EP899" s="290"/>
    </row>
    <row r="900" spans="129:146" s="265" customFormat="1">
      <c r="DY900" s="290"/>
      <c r="EC900" s="290"/>
      <c r="EP900" s="290"/>
    </row>
    <row r="901" spans="129:146" s="265" customFormat="1">
      <c r="DY901" s="290"/>
      <c r="EC901" s="290"/>
      <c r="EP901" s="290"/>
    </row>
    <row r="902" spans="129:146" s="265" customFormat="1">
      <c r="DY902" s="290"/>
      <c r="EC902" s="290"/>
      <c r="EP902" s="290"/>
    </row>
    <row r="903" spans="129:146" s="265" customFormat="1">
      <c r="DY903" s="290"/>
      <c r="EC903" s="290"/>
      <c r="EP903" s="290"/>
    </row>
    <row r="904" spans="129:146" s="265" customFormat="1">
      <c r="DY904" s="290"/>
      <c r="EC904" s="290"/>
      <c r="EP904" s="290"/>
    </row>
    <row r="905" spans="129:146" s="265" customFormat="1">
      <c r="DY905" s="290"/>
      <c r="EC905" s="290"/>
      <c r="EP905" s="290"/>
    </row>
    <row r="906" spans="129:146" s="265" customFormat="1">
      <c r="DY906" s="290"/>
      <c r="EC906" s="290"/>
      <c r="EP906" s="290"/>
    </row>
    <row r="907" spans="129:146" s="265" customFormat="1">
      <c r="DY907" s="290"/>
      <c r="EC907" s="290"/>
      <c r="EP907" s="290"/>
    </row>
    <row r="908" spans="129:146" s="265" customFormat="1">
      <c r="DY908" s="290"/>
      <c r="EC908" s="290"/>
      <c r="EP908" s="290"/>
    </row>
    <row r="909" spans="129:146" s="265" customFormat="1">
      <c r="DY909" s="290"/>
      <c r="EC909" s="290"/>
      <c r="EP909" s="290"/>
    </row>
    <row r="910" spans="129:146" s="265" customFormat="1">
      <c r="DY910" s="290"/>
      <c r="EC910" s="290"/>
      <c r="EP910" s="290"/>
    </row>
    <row r="911" spans="129:146" s="265" customFormat="1">
      <c r="DY911" s="290"/>
      <c r="EC911" s="290"/>
      <c r="EP911" s="290"/>
    </row>
    <row r="912" spans="129:146" s="265" customFormat="1">
      <c r="DY912" s="290"/>
      <c r="EC912" s="290"/>
      <c r="EP912" s="290"/>
    </row>
    <row r="913" spans="129:146" s="265" customFormat="1">
      <c r="DY913" s="290"/>
      <c r="EC913" s="290"/>
      <c r="EP913" s="290"/>
    </row>
    <row r="914" spans="129:146" s="265" customFormat="1">
      <c r="DY914" s="290"/>
      <c r="EC914" s="290"/>
      <c r="EP914" s="290"/>
    </row>
    <row r="915" spans="129:146" s="265" customFormat="1">
      <c r="DY915" s="290"/>
      <c r="EC915" s="290"/>
      <c r="EP915" s="290"/>
    </row>
    <row r="916" spans="129:146" s="265" customFormat="1">
      <c r="DY916" s="290"/>
      <c r="EC916" s="290"/>
      <c r="EP916" s="290"/>
    </row>
    <row r="917" spans="129:146" s="265" customFormat="1">
      <c r="DY917" s="290"/>
      <c r="EC917" s="290"/>
      <c r="EP917" s="290"/>
    </row>
    <row r="918" spans="129:146" s="265" customFormat="1">
      <c r="DY918" s="290"/>
      <c r="EC918" s="290"/>
      <c r="EP918" s="290"/>
    </row>
    <row r="919" spans="129:146" s="265" customFormat="1">
      <c r="DY919" s="290"/>
      <c r="EC919" s="290"/>
      <c r="EP919" s="290"/>
    </row>
    <row r="920" spans="129:146" s="265" customFormat="1">
      <c r="DY920" s="290"/>
      <c r="EC920" s="290"/>
      <c r="EP920" s="290"/>
    </row>
    <row r="921" spans="129:146" s="265" customFormat="1">
      <c r="DY921" s="290"/>
      <c r="EC921" s="290"/>
      <c r="EP921" s="290"/>
    </row>
    <row r="922" spans="129:146" s="265" customFormat="1">
      <c r="DY922" s="290"/>
      <c r="EC922" s="290"/>
      <c r="EP922" s="290"/>
    </row>
    <row r="923" spans="129:146" s="265" customFormat="1">
      <c r="DY923" s="290"/>
      <c r="EC923" s="290"/>
      <c r="EP923" s="290"/>
    </row>
    <row r="924" spans="129:146" s="265" customFormat="1">
      <c r="DY924" s="290"/>
      <c r="EC924" s="290"/>
      <c r="EP924" s="290"/>
    </row>
    <row r="925" spans="129:146" s="265" customFormat="1">
      <c r="DY925" s="290"/>
      <c r="EC925" s="290"/>
      <c r="EP925" s="290"/>
    </row>
    <row r="926" spans="129:146" s="265" customFormat="1">
      <c r="DY926" s="290"/>
      <c r="EC926" s="290"/>
      <c r="EP926" s="290"/>
    </row>
    <row r="927" spans="129:146" s="265" customFormat="1">
      <c r="DY927" s="290"/>
      <c r="EC927" s="290"/>
      <c r="EP927" s="290"/>
    </row>
    <row r="928" spans="129:146" s="265" customFormat="1">
      <c r="DY928" s="290"/>
      <c r="EC928" s="290"/>
      <c r="EP928" s="290"/>
    </row>
    <row r="929" spans="129:146" s="265" customFormat="1">
      <c r="DY929" s="290"/>
      <c r="EC929" s="290"/>
      <c r="EP929" s="290"/>
    </row>
    <row r="930" spans="129:146" s="265" customFormat="1">
      <c r="DY930" s="290"/>
      <c r="EC930" s="290"/>
      <c r="EP930" s="290"/>
    </row>
    <row r="931" spans="129:146" s="265" customFormat="1">
      <c r="DY931" s="290"/>
      <c r="EC931" s="290"/>
      <c r="EP931" s="290"/>
    </row>
    <row r="932" spans="129:146" s="265" customFormat="1">
      <c r="DY932" s="290"/>
      <c r="EC932" s="290"/>
      <c r="EP932" s="290"/>
    </row>
    <row r="933" spans="129:146" s="265" customFormat="1">
      <c r="DY933" s="290"/>
      <c r="EC933" s="290"/>
      <c r="EP933" s="290"/>
    </row>
    <row r="934" spans="129:146" s="265" customFormat="1">
      <c r="DY934" s="290"/>
      <c r="EC934" s="290"/>
      <c r="EP934" s="290"/>
    </row>
    <row r="935" spans="129:146" s="265" customFormat="1">
      <c r="DY935" s="290"/>
      <c r="EC935" s="290"/>
      <c r="EP935" s="290"/>
    </row>
    <row r="936" spans="129:146" s="265" customFormat="1">
      <c r="DY936" s="290"/>
      <c r="EC936" s="290"/>
      <c r="EP936" s="290"/>
    </row>
    <row r="937" spans="129:146" s="265" customFormat="1">
      <c r="DY937" s="290"/>
      <c r="EC937" s="290"/>
      <c r="EP937" s="290"/>
    </row>
    <row r="938" spans="129:146" s="265" customFormat="1">
      <c r="DY938" s="290"/>
      <c r="EC938" s="290"/>
      <c r="EP938" s="290"/>
    </row>
    <row r="939" spans="129:146" s="265" customFormat="1">
      <c r="DY939" s="290"/>
      <c r="EC939" s="290"/>
      <c r="EP939" s="290"/>
    </row>
    <row r="940" spans="129:146" s="265" customFormat="1">
      <c r="DY940" s="290"/>
      <c r="EC940" s="290"/>
      <c r="EP940" s="290"/>
    </row>
    <row r="941" spans="129:146" s="265" customFormat="1">
      <c r="DY941" s="290"/>
      <c r="EC941" s="290"/>
      <c r="EP941" s="290"/>
    </row>
    <row r="942" spans="129:146" s="265" customFormat="1">
      <c r="DY942" s="290"/>
      <c r="EC942" s="290"/>
      <c r="EP942" s="290"/>
    </row>
    <row r="943" spans="129:146" s="265" customFormat="1">
      <c r="DY943" s="290"/>
      <c r="EC943" s="290"/>
      <c r="EP943" s="290"/>
    </row>
    <row r="944" spans="129:146" s="265" customFormat="1">
      <c r="DY944" s="290"/>
      <c r="EC944" s="290"/>
      <c r="EP944" s="290"/>
    </row>
    <row r="945" spans="129:146" s="265" customFormat="1">
      <c r="DY945" s="290"/>
      <c r="EC945" s="290"/>
      <c r="EP945" s="290"/>
    </row>
    <row r="946" spans="129:146" s="265" customFormat="1">
      <c r="DY946" s="290"/>
      <c r="EC946" s="290"/>
      <c r="EP946" s="290"/>
    </row>
    <row r="947" spans="129:146" s="265" customFormat="1">
      <c r="DY947" s="290"/>
      <c r="EC947" s="290"/>
      <c r="EP947" s="290"/>
    </row>
    <row r="948" spans="129:146" s="265" customFormat="1">
      <c r="DY948" s="290"/>
      <c r="EC948" s="290"/>
      <c r="EP948" s="290"/>
    </row>
    <row r="949" spans="129:146" s="265" customFormat="1">
      <c r="DY949" s="290"/>
      <c r="EC949" s="290"/>
      <c r="EP949" s="290"/>
    </row>
    <row r="950" spans="129:146" s="265" customFormat="1">
      <c r="DY950" s="290"/>
      <c r="EC950" s="290"/>
      <c r="EP950" s="290"/>
    </row>
    <row r="951" spans="129:146" s="265" customFormat="1">
      <c r="DY951" s="290"/>
      <c r="EC951" s="290"/>
      <c r="EP951" s="290"/>
    </row>
    <row r="952" spans="129:146" s="265" customFormat="1">
      <c r="DY952" s="290"/>
      <c r="EC952" s="290"/>
      <c r="EP952" s="290"/>
    </row>
    <row r="953" spans="129:146" s="265" customFormat="1">
      <c r="DY953" s="290"/>
      <c r="EC953" s="290"/>
      <c r="EP953" s="290"/>
    </row>
    <row r="954" spans="129:146" s="265" customFormat="1">
      <c r="DY954" s="290"/>
      <c r="EC954" s="290"/>
      <c r="EP954" s="290"/>
    </row>
    <row r="955" spans="129:146" s="265" customFormat="1">
      <c r="DY955" s="290"/>
      <c r="EC955" s="290"/>
      <c r="EP955" s="290"/>
    </row>
    <row r="956" spans="129:146" s="265" customFormat="1">
      <c r="DY956" s="290"/>
      <c r="EC956" s="290"/>
      <c r="EP956" s="290"/>
    </row>
    <row r="957" spans="129:146" s="265" customFormat="1">
      <c r="DY957" s="290"/>
      <c r="EC957" s="290"/>
      <c r="EP957" s="290"/>
    </row>
    <row r="958" spans="129:146" s="265" customFormat="1">
      <c r="DY958" s="290"/>
      <c r="EC958" s="290"/>
      <c r="EP958" s="290"/>
    </row>
    <row r="959" spans="129:146" s="265" customFormat="1">
      <c r="DY959" s="290"/>
      <c r="EC959" s="290"/>
      <c r="EP959" s="290"/>
    </row>
    <row r="960" spans="129:146" s="265" customFormat="1">
      <c r="DY960" s="290"/>
      <c r="EC960" s="290"/>
      <c r="EP960" s="290"/>
    </row>
    <row r="961" spans="129:146" s="265" customFormat="1">
      <c r="DY961" s="290"/>
      <c r="EC961" s="290"/>
      <c r="EP961" s="290"/>
    </row>
    <row r="962" spans="129:146" s="265" customFormat="1">
      <c r="DY962" s="290"/>
      <c r="EC962" s="290"/>
      <c r="EP962" s="290"/>
    </row>
    <row r="963" spans="129:146" s="265" customFormat="1">
      <c r="DY963" s="290"/>
      <c r="EC963" s="290"/>
      <c r="EP963" s="290"/>
    </row>
    <row r="964" spans="129:146" s="265" customFormat="1">
      <c r="DY964" s="290"/>
      <c r="EC964" s="290"/>
      <c r="EP964" s="290"/>
    </row>
    <row r="965" spans="129:146" s="265" customFormat="1">
      <c r="DY965" s="290"/>
      <c r="EC965" s="290"/>
      <c r="EP965" s="290"/>
    </row>
    <row r="966" spans="129:146" s="265" customFormat="1">
      <c r="DY966" s="290"/>
      <c r="EC966" s="290"/>
      <c r="EP966" s="290"/>
    </row>
    <row r="967" spans="129:146" s="265" customFormat="1">
      <c r="DY967" s="290"/>
      <c r="EC967" s="290"/>
      <c r="EP967" s="290"/>
    </row>
    <row r="968" spans="129:146" s="265" customFormat="1">
      <c r="DY968" s="290"/>
      <c r="EC968" s="290"/>
      <c r="EP968" s="290"/>
    </row>
    <row r="969" spans="129:146" s="265" customFormat="1">
      <c r="DY969" s="290"/>
      <c r="EC969" s="290"/>
      <c r="EP969" s="290"/>
    </row>
    <row r="970" spans="129:146" s="265" customFormat="1">
      <c r="DY970" s="290"/>
      <c r="EC970" s="290"/>
      <c r="EP970" s="290"/>
    </row>
    <row r="971" spans="129:146" s="265" customFormat="1">
      <c r="DY971" s="290"/>
      <c r="EC971" s="290"/>
      <c r="EP971" s="290"/>
    </row>
    <row r="972" spans="129:146" s="265" customFormat="1">
      <c r="DY972" s="290"/>
      <c r="EC972" s="290"/>
      <c r="EP972" s="290"/>
    </row>
    <row r="973" spans="129:146" s="265" customFormat="1">
      <c r="DY973" s="290"/>
      <c r="EC973" s="290"/>
      <c r="EP973" s="290"/>
    </row>
    <row r="974" spans="129:146" s="265" customFormat="1">
      <c r="DY974" s="290"/>
      <c r="EC974" s="290"/>
      <c r="EP974" s="290"/>
    </row>
    <row r="975" spans="129:146" s="265" customFormat="1">
      <c r="DY975" s="290"/>
      <c r="EC975" s="290"/>
      <c r="EP975" s="290"/>
    </row>
    <row r="976" spans="129:146" s="265" customFormat="1">
      <c r="DY976" s="290"/>
      <c r="EC976" s="290"/>
      <c r="EP976" s="290"/>
    </row>
    <row r="977" spans="129:146" s="265" customFormat="1">
      <c r="DY977" s="290"/>
      <c r="EC977" s="290"/>
      <c r="EP977" s="290"/>
    </row>
    <row r="978" spans="129:146" s="265" customFormat="1">
      <c r="DY978" s="290"/>
      <c r="EC978" s="290"/>
      <c r="EP978" s="290"/>
    </row>
    <row r="979" spans="129:146" s="265" customFormat="1">
      <c r="DY979" s="290"/>
      <c r="EC979" s="290"/>
      <c r="EP979" s="290"/>
    </row>
    <row r="980" spans="129:146" s="265" customFormat="1">
      <c r="DY980" s="290"/>
      <c r="EC980" s="290"/>
      <c r="EP980" s="290"/>
    </row>
    <row r="981" spans="129:146" s="265" customFormat="1">
      <c r="DY981" s="290"/>
      <c r="EC981" s="290"/>
      <c r="EP981" s="290"/>
    </row>
    <row r="982" spans="129:146" s="265" customFormat="1">
      <c r="DY982" s="290"/>
      <c r="EC982" s="290"/>
      <c r="EP982" s="290"/>
    </row>
    <row r="983" spans="129:146" s="265" customFormat="1">
      <c r="DY983" s="290"/>
      <c r="EC983" s="290"/>
      <c r="EP983" s="290"/>
    </row>
    <row r="984" spans="129:146" s="265" customFormat="1">
      <c r="DY984" s="290"/>
      <c r="EC984" s="290"/>
      <c r="EP984" s="290"/>
    </row>
    <row r="985" spans="129:146" s="265" customFormat="1">
      <c r="DY985" s="290"/>
      <c r="EC985" s="290"/>
      <c r="EP985" s="290"/>
    </row>
    <row r="986" spans="129:146" s="265" customFormat="1">
      <c r="DY986" s="290"/>
      <c r="EC986" s="290"/>
      <c r="EP986" s="290"/>
    </row>
    <row r="987" spans="129:146" s="265" customFormat="1">
      <c r="DY987" s="290"/>
      <c r="EC987" s="290"/>
      <c r="EP987" s="290"/>
    </row>
    <row r="988" spans="129:146" s="265" customFormat="1">
      <c r="DY988" s="290"/>
      <c r="EC988" s="290"/>
      <c r="EP988" s="290"/>
    </row>
    <row r="989" spans="129:146" s="265" customFormat="1">
      <c r="DY989" s="290"/>
      <c r="EC989" s="290"/>
      <c r="EP989" s="290"/>
    </row>
    <row r="990" spans="129:146" s="265" customFormat="1">
      <c r="DY990" s="290"/>
      <c r="EC990" s="290"/>
      <c r="EP990" s="290"/>
    </row>
    <row r="991" spans="129:146" s="265" customFormat="1">
      <c r="DY991" s="290"/>
      <c r="EC991" s="290"/>
      <c r="EP991" s="290"/>
    </row>
    <row r="992" spans="129:146" s="265" customFormat="1">
      <c r="DY992" s="290"/>
      <c r="EC992" s="290"/>
      <c r="EP992" s="290"/>
    </row>
    <row r="993" spans="129:146" s="265" customFormat="1">
      <c r="DY993" s="290"/>
      <c r="EC993" s="290"/>
      <c r="EP993" s="290"/>
    </row>
    <row r="994" spans="129:146" s="265" customFormat="1">
      <c r="DY994" s="290"/>
      <c r="EC994" s="290"/>
      <c r="EP994" s="290"/>
    </row>
    <row r="995" spans="129:146" s="265" customFormat="1">
      <c r="DY995" s="290"/>
      <c r="EC995" s="290"/>
      <c r="EP995" s="290"/>
    </row>
    <row r="996" spans="129:146" s="265" customFormat="1">
      <c r="DY996" s="290"/>
      <c r="EC996" s="290"/>
      <c r="EP996" s="290"/>
    </row>
    <row r="997" spans="129:146" s="265" customFormat="1">
      <c r="DY997" s="290"/>
      <c r="EC997" s="290"/>
      <c r="EP997" s="290"/>
    </row>
    <row r="998" spans="129:146" s="265" customFormat="1">
      <c r="DY998" s="290"/>
      <c r="EC998" s="290"/>
      <c r="EP998" s="290"/>
    </row>
    <row r="999" spans="129:146" s="265" customFormat="1">
      <c r="DY999" s="290"/>
      <c r="EC999" s="290"/>
      <c r="EP999" s="290"/>
    </row>
    <row r="1000" spans="129:146" s="265" customFormat="1">
      <c r="DY1000" s="290"/>
      <c r="EC1000" s="290"/>
      <c r="EP1000" s="290"/>
    </row>
    <row r="1001" spans="129:146" s="265" customFormat="1">
      <c r="DY1001" s="290"/>
      <c r="EC1001" s="290"/>
      <c r="EP1001" s="290"/>
    </row>
    <row r="1002" spans="129:146" s="265" customFormat="1">
      <c r="DY1002" s="290"/>
      <c r="EC1002" s="290"/>
      <c r="EP1002" s="290"/>
    </row>
    <row r="1003" spans="129:146" s="265" customFormat="1">
      <c r="DY1003" s="290"/>
      <c r="EC1003" s="290"/>
      <c r="EP1003" s="290"/>
    </row>
    <row r="1004" spans="129:146" s="265" customFormat="1">
      <c r="DY1004" s="290"/>
      <c r="EC1004" s="290"/>
      <c r="EP1004" s="290"/>
    </row>
    <row r="1005" spans="129:146" s="265" customFormat="1">
      <c r="DY1005" s="290"/>
      <c r="EC1005" s="290"/>
      <c r="EP1005" s="290"/>
    </row>
    <row r="1006" spans="129:146" s="265" customFormat="1">
      <c r="DY1006" s="290"/>
      <c r="EC1006" s="290"/>
      <c r="EP1006" s="290"/>
    </row>
    <row r="1007" spans="129:146" s="265" customFormat="1">
      <c r="DY1007" s="290"/>
      <c r="EC1007" s="290"/>
      <c r="EP1007" s="290"/>
    </row>
    <row r="1008" spans="129:146" s="265" customFormat="1">
      <c r="DY1008" s="290"/>
      <c r="EC1008" s="290"/>
      <c r="EP1008" s="290"/>
    </row>
    <row r="1009" spans="129:146" s="265" customFormat="1">
      <c r="DY1009" s="290"/>
      <c r="EC1009" s="290"/>
      <c r="EP1009" s="290"/>
    </row>
    <row r="1010" spans="129:146" s="265" customFormat="1">
      <c r="DY1010" s="290"/>
      <c r="EC1010" s="290"/>
      <c r="EP1010" s="290"/>
    </row>
    <row r="1011" spans="129:146" s="265" customFormat="1">
      <c r="DY1011" s="290"/>
      <c r="EC1011" s="290"/>
      <c r="EP1011" s="290"/>
    </row>
    <row r="1012" spans="129:146" s="265" customFormat="1">
      <c r="DY1012" s="290"/>
      <c r="EC1012" s="290"/>
      <c r="EP1012" s="290"/>
    </row>
    <row r="1013" spans="129:146" s="265" customFormat="1">
      <c r="DY1013" s="290"/>
      <c r="EC1013" s="290"/>
      <c r="EP1013" s="290"/>
    </row>
    <row r="1014" spans="129:146" s="265" customFormat="1">
      <c r="DY1014" s="290"/>
      <c r="EC1014" s="290"/>
      <c r="EP1014" s="290"/>
    </row>
    <row r="1015" spans="129:146" s="265" customFormat="1">
      <c r="DY1015" s="290"/>
      <c r="EC1015" s="290"/>
      <c r="EP1015" s="290"/>
    </row>
    <row r="1016" spans="129:146" s="265" customFormat="1">
      <c r="DY1016" s="290"/>
      <c r="EC1016" s="290"/>
      <c r="EP1016" s="290"/>
    </row>
    <row r="1017" spans="129:146" s="265" customFormat="1">
      <c r="DY1017" s="290"/>
      <c r="EC1017" s="290"/>
      <c r="EP1017" s="290"/>
    </row>
    <row r="1018" spans="129:146" s="265" customFormat="1">
      <c r="DY1018" s="290"/>
      <c r="EC1018" s="290"/>
      <c r="EP1018" s="290"/>
    </row>
    <row r="1019" spans="129:146" s="265" customFormat="1">
      <c r="DY1019" s="290"/>
      <c r="EC1019" s="290"/>
      <c r="EP1019" s="290"/>
    </row>
    <row r="1020" spans="129:146" s="265" customFormat="1">
      <c r="DY1020" s="290"/>
      <c r="EC1020" s="290"/>
      <c r="EP1020" s="290"/>
    </row>
    <row r="1021" spans="129:146" s="265" customFormat="1">
      <c r="DY1021" s="290"/>
      <c r="EC1021" s="290"/>
      <c r="EP1021" s="290"/>
    </row>
    <row r="1022" spans="129:146" s="265" customFormat="1">
      <c r="DY1022" s="290"/>
      <c r="EC1022" s="290"/>
      <c r="EP1022" s="290"/>
    </row>
    <row r="1023" spans="129:146" s="265" customFormat="1">
      <c r="DY1023" s="290"/>
      <c r="EC1023" s="290"/>
      <c r="EP1023" s="290"/>
    </row>
    <row r="1024" spans="129:146" s="265" customFormat="1">
      <c r="DY1024" s="290"/>
      <c r="EC1024" s="290"/>
      <c r="EP1024" s="290"/>
    </row>
    <row r="1025" spans="129:146" s="265" customFormat="1">
      <c r="DY1025" s="290"/>
      <c r="EC1025" s="290"/>
      <c r="EP1025" s="290"/>
    </row>
    <row r="1026" spans="129:146" s="265" customFormat="1">
      <c r="DY1026" s="290"/>
      <c r="EC1026" s="290"/>
      <c r="EP1026" s="290"/>
    </row>
    <row r="1027" spans="129:146" s="265" customFormat="1">
      <c r="DY1027" s="290"/>
      <c r="EC1027" s="290"/>
      <c r="EP1027" s="290"/>
    </row>
    <row r="1028" spans="129:146" s="265" customFormat="1">
      <c r="DY1028" s="290"/>
      <c r="EC1028" s="290"/>
      <c r="EP1028" s="290"/>
    </row>
    <row r="1029" spans="129:146" s="265" customFormat="1">
      <c r="DY1029" s="290"/>
      <c r="EC1029" s="290"/>
      <c r="EP1029" s="290"/>
    </row>
    <row r="1030" spans="129:146" s="265" customFormat="1">
      <c r="DY1030" s="290"/>
      <c r="EC1030" s="290"/>
      <c r="EP1030" s="290"/>
    </row>
    <row r="1031" spans="129:146" s="265" customFormat="1">
      <c r="DY1031" s="290"/>
      <c r="EC1031" s="290"/>
      <c r="EP1031" s="290"/>
    </row>
    <row r="1032" spans="129:146" s="265" customFormat="1">
      <c r="DY1032" s="290"/>
      <c r="EC1032" s="290"/>
      <c r="EP1032" s="290"/>
    </row>
    <row r="1033" spans="129:146" s="265" customFormat="1">
      <c r="DY1033" s="290"/>
      <c r="EC1033" s="290"/>
      <c r="EP1033" s="290"/>
    </row>
    <row r="1034" spans="129:146" s="265" customFormat="1">
      <c r="DY1034" s="290"/>
      <c r="EC1034" s="290"/>
      <c r="EP1034" s="290"/>
    </row>
    <row r="1035" spans="129:146" s="265" customFormat="1">
      <c r="DY1035" s="290"/>
      <c r="EC1035" s="290"/>
      <c r="EP1035" s="290"/>
    </row>
    <row r="1036" spans="129:146" s="265" customFormat="1">
      <c r="DY1036" s="290"/>
      <c r="EC1036" s="290"/>
      <c r="EP1036" s="290"/>
    </row>
    <row r="1037" spans="129:146" s="265" customFormat="1">
      <c r="DY1037" s="290"/>
      <c r="EC1037" s="290"/>
      <c r="EP1037" s="290"/>
    </row>
    <row r="1038" spans="129:146" s="265" customFormat="1">
      <c r="DY1038" s="290"/>
      <c r="EC1038" s="290"/>
      <c r="EP1038" s="290"/>
    </row>
    <row r="1039" spans="129:146" s="265" customFormat="1">
      <c r="DY1039" s="290"/>
      <c r="EC1039" s="290"/>
      <c r="EP1039" s="290"/>
    </row>
    <row r="1040" spans="129:146" s="265" customFormat="1">
      <c r="DY1040" s="290"/>
      <c r="EC1040" s="290"/>
      <c r="EP1040" s="290"/>
    </row>
    <row r="1041" spans="129:146" s="265" customFormat="1">
      <c r="DY1041" s="290"/>
      <c r="EC1041" s="290"/>
      <c r="EP1041" s="290"/>
    </row>
    <row r="1042" spans="129:146" s="265" customFormat="1">
      <c r="DY1042" s="290"/>
      <c r="EC1042" s="290"/>
      <c r="EP1042" s="290"/>
    </row>
    <row r="1043" spans="129:146" s="265" customFormat="1">
      <c r="DY1043" s="290"/>
      <c r="EC1043" s="290"/>
      <c r="EP1043" s="290"/>
    </row>
    <row r="1044" spans="129:146" s="265" customFormat="1">
      <c r="DY1044" s="290"/>
      <c r="EC1044" s="290"/>
      <c r="EP1044" s="290"/>
    </row>
    <row r="1045" spans="129:146" s="265" customFormat="1">
      <c r="DY1045" s="290"/>
      <c r="EC1045" s="290"/>
      <c r="EP1045" s="290"/>
    </row>
    <row r="1046" spans="129:146" s="265" customFormat="1">
      <c r="DY1046" s="290"/>
      <c r="EC1046" s="290"/>
      <c r="EP1046" s="290"/>
    </row>
    <row r="1047" spans="129:146" s="265" customFormat="1">
      <c r="DY1047" s="290"/>
      <c r="EC1047" s="290"/>
      <c r="EP1047" s="290"/>
    </row>
    <row r="1048" spans="129:146" s="265" customFormat="1">
      <c r="DY1048" s="290"/>
      <c r="EC1048" s="290"/>
      <c r="EP1048" s="290"/>
    </row>
    <row r="1049" spans="129:146" s="265" customFormat="1">
      <c r="DY1049" s="290"/>
      <c r="EC1049" s="290"/>
      <c r="EP1049" s="290"/>
    </row>
    <row r="1050" spans="129:146" s="265" customFormat="1">
      <c r="DY1050" s="290"/>
      <c r="EC1050" s="290"/>
      <c r="EP1050" s="290"/>
    </row>
    <row r="1051" spans="129:146" s="265" customFormat="1">
      <c r="DY1051" s="290"/>
      <c r="EC1051" s="290"/>
      <c r="EP1051" s="290"/>
    </row>
    <row r="1052" spans="129:146" s="265" customFormat="1">
      <c r="DY1052" s="290"/>
      <c r="EC1052" s="290"/>
      <c r="EP1052" s="290"/>
    </row>
    <row r="1053" spans="129:146" s="265" customFormat="1">
      <c r="DY1053" s="290"/>
      <c r="EC1053" s="290"/>
      <c r="EP1053" s="290"/>
    </row>
    <row r="1054" spans="129:146" s="265" customFormat="1">
      <c r="DY1054" s="290"/>
      <c r="EC1054" s="290"/>
      <c r="EP1054" s="290"/>
    </row>
    <row r="1055" spans="129:146" s="265" customFormat="1">
      <c r="DY1055" s="290"/>
      <c r="EC1055" s="290"/>
      <c r="EP1055" s="290"/>
    </row>
    <row r="1056" spans="129:146" s="265" customFormat="1">
      <c r="DY1056" s="290"/>
      <c r="EC1056" s="290"/>
      <c r="EP1056" s="290"/>
    </row>
    <row r="1057" spans="129:146" s="265" customFormat="1">
      <c r="DY1057" s="290"/>
      <c r="EC1057" s="290"/>
      <c r="EP1057" s="290"/>
    </row>
    <row r="1058" spans="129:146" s="265" customFormat="1">
      <c r="DY1058" s="290"/>
      <c r="EC1058" s="290"/>
      <c r="EP1058" s="290"/>
    </row>
    <row r="1059" spans="129:146" s="265" customFormat="1">
      <c r="DY1059" s="290"/>
      <c r="EC1059" s="290"/>
      <c r="EP1059" s="290"/>
    </row>
    <row r="1060" spans="129:146" s="265" customFormat="1">
      <c r="DY1060" s="290"/>
      <c r="EC1060" s="290"/>
      <c r="EP1060" s="290"/>
    </row>
    <row r="1061" spans="129:146" s="265" customFormat="1">
      <c r="DY1061" s="290"/>
      <c r="EC1061" s="290"/>
      <c r="EP1061" s="290"/>
    </row>
    <row r="1062" spans="129:146" s="265" customFormat="1">
      <c r="DY1062" s="290"/>
      <c r="EC1062" s="290"/>
      <c r="EP1062" s="290"/>
    </row>
    <row r="1063" spans="129:146" s="265" customFormat="1">
      <c r="DY1063" s="290"/>
      <c r="EC1063" s="290"/>
      <c r="EP1063" s="290"/>
    </row>
    <row r="1064" spans="129:146" s="265" customFormat="1">
      <c r="DY1064" s="290"/>
      <c r="EC1064" s="290"/>
      <c r="EP1064" s="290"/>
    </row>
    <row r="1065" spans="129:146" s="265" customFormat="1">
      <c r="DY1065" s="290"/>
      <c r="EC1065" s="290"/>
      <c r="EP1065" s="290"/>
    </row>
    <row r="1066" spans="129:146" s="265" customFormat="1">
      <c r="DY1066" s="290"/>
      <c r="EC1066" s="290"/>
      <c r="EP1066" s="290"/>
    </row>
    <row r="1067" spans="129:146" s="265" customFormat="1">
      <c r="DY1067" s="290"/>
      <c r="EC1067" s="290"/>
      <c r="EP1067" s="290"/>
    </row>
    <row r="1068" spans="129:146" s="265" customFormat="1">
      <c r="DY1068" s="290"/>
      <c r="EC1068" s="290"/>
      <c r="EP1068" s="290"/>
    </row>
    <row r="1069" spans="129:146" s="265" customFormat="1">
      <c r="DY1069" s="290"/>
      <c r="EC1069" s="290"/>
      <c r="EP1069" s="290"/>
    </row>
    <row r="1070" spans="129:146" s="265" customFormat="1">
      <c r="DY1070" s="290"/>
      <c r="EC1070" s="290"/>
      <c r="EP1070" s="290"/>
    </row>
    <row r="1071" spans="129:146" s="265" customFormat="1">
      <c r="DY1071" s="290"/>
      <c r="EC1071" s="290"/>
      <c r="EP1071" s="290"/>
    </row>
    <row r="1072" spans="129:146" s="265" customFormat="1">
      <c r="DY1072" s="290"/>
      <c r="EC1072" s="290"/>
      <c r="EP1072" s="290"/>
    </row>
    <row r="1073" spans="129:146" s="265" customFormat="1">
      <c r="DY1073" s="290"/>
      <c r="EC1073" s="290"/>
      <c r="EP1073" s="290"/>
    </row>
    <row r="1074" spans="129:146" s="265" customFormat="1">
      <c r="DY1074" s="290"/>
      <c r="EC1074" s="290"/>
      <c r="EP1074" s="290"/>
    </row>
    <row r="1075" spans="129:146" s="265" customFormat="1">
      <c r="DY1075" s="290"/>
      <c r="EC1075" s="290"/>
      <c r="EP1075" s="290"/>
    </row>
    <row r="1076" spans="129:146" s="265" customFormat="1">
      <c r="DY1076" s="290"/>
      <c r="EC1076" s="290"/>
      <c r="EP1076" s="290"/>
    </row>
    <row r="1077" spans="129:146" s="265" customFormat="1">
      <c r="DY1077" s="290"/>
      <c r="EC1077" s="290"/>
      <c r="EP1077" s="290"/>
    </row>
    <row r="1078" spans="129:146" s="265" customFormat="1">
      <c r="DY1078" s="290"/>
      <c r="EC1078" s="290"/>
      <c r="EP1078" s="290"/>
    </row>
    <row r="1079" spans="129:146" s="265" customFormat="1">
      <c r="DY1079" s="290"/>
      <c r="EC1079" s="290"/>
      <c r="EP1079" s="290"/>
    </row>
    <row r="1080" spans="129:146" s="265" customFormat="1">
      <c r="DY1080" s="290"/>
      <c r="EC1080" s="290"/>
      <c r="EP1080" s="290"/>
    </row>
    <row r="1081" spans="129:146" s="265" customFormat="1">
      <c r="DY1081" s="290"/>
      <c r="EC1081" s="290"/>
      <c r="EP1081" s="290"/>
    </row>
    <row r="1082" spans="129:146" s="265" customFormat="1">
      <c r="DY1082" s="290"/>
      <c r="EC1082" s="290"/>
      <c r="EP1082" s="290"/>
    </row>
    <row r="1083" spans="129:146" s="265" customFormat="1">
      <c r="DY1083" s="290"/>
      <c r="EC1083" s="290"/>
      <c r="EP1083" s="290"/>
    </row>
    <row r="1084" spans="129:146" s="265" customFormat="1">
      <c r="DY1084" s="290"/>
      <c r="EC1084" s="290"/>
      <c r="EP1084" s="290"/>
    </row>
    <row r="1085" spans="129:146" s="265" customFormat="1">
      <c r="DY1085" s="290"/>
      <c r="EC1085" s="290"/>
      <c r="EP1085" s="290"/>
    </row>
    <row r="1086" spans="129:146" s="265" customFormat="1">
      <c r="DY1086" s="290"/>
      <c r="EC1086" s="290"/>
      <c r="EP1086" s="290"/>
    </row>
    <row r="1087" spans="129:146" s="265" customFormat="1">
      <c r="DY1087" s="290"/>
      <c r="EC1087" s="290"/>
      <c r="EP1087" s="290"/>
    </row>
    <row r="1088" spans="129:146" s="265" customFormat="1">
      <c r="DY1088" s="290"/>
      <c r="EC1088" s="290"/>
      <c r="EP1088" s="290"/>
    </row>
    <row r="1089" spans="129:146" s="265" customFormat="1">
      <c r="DY1089" s="290"/>
      <c r="EC1089" s="290"/>
      <c r="EP1089" s="290"/>
    </row>
    <row r="1090" spans="129:146" s="265" customFormat="1">
      <c r="DY1090" s="290"/>
      <c r="EC1090" s="290"/>
      <c r="EP1090" s="290"/>
    </row>
    <row r="1091" spans="129:146" s="265" customFormat="1">
      <c r="DY1091" s="290"/>
      <c r="EC1091" s="290"/>
      <c r="EP1091" s="290"/>
    </row>
    <row r="1092" spans="129:146" s="265" customFormat="1">
      <c r="DY1092" s="290"/>
      <c r="EC1092" s="290"/>
      <c r="EP1092" s="290"/>
    </row>
    <row r="1093" spans="129:146" s="265" customFormat="1">
      <c r="DY1093" s="290"/>
      <c r="EC1093" s="290"/>
      <c r="EP1093" s="290"/>
    </row>
    <row r="1094" spans="129:146" s="265" customFormat="1">
      <c r="DY1094" s="290"/>
      <c r="EC1094" s="290"/>
      <c r="EP1094" s="290"/>
    </row>
    <row r="1095" spans="129:146" s="265" customFormat="1">
      <c r="DY1095" s="290"/>
      <c r="EC1095" s="290"/>
      <c r="EP1095" s="290"/>
    </row>
    <row r="1096" spans="129:146" s="265" customFormat="1">
      <c r="DY1096" s="290"/>
      <c r="EC1096" s="290"/>
      <c r="EP1096" s="290"/>
    </row>
    <row r="1097" spans="129:146" s="265" customFormat="1">
      <c r="DY1097" s="290"/>
      <c r="EC1097" s="290"/>
      <c r="EP1097" s="290"/>
    </row>
    <row r="1098" spans="129:146" s="265" customFormat="1">
      <c r="DY1098" s="290"/>
      <c r="EC1098" s="290"/>
      <c r="EP1098" s="290"/>
    </row>
    <row r="1099" spans="129:146" s="265" customFormat="1">
      <c r="DY1099" s="290"/>
      <c r="EC1099" s="290"/>
      <c r="EP1099" s="290"/>
    </row>
    <row r="1100" spans="129:146" s="265" customFormat="1">
      <c r="DY1100" s="290"/>
      <c r="EC1100" s="290"/>
      <c r="EP1100" s="290"/>
    </row>
    <row r="1101" spans="129:146" s="265" customFormat="1">
      <c r="DY1101" s="290"/>
      <c r="EC1101" s="290"/>
      <c r="EP1101" s="290"/>
    </row>
    <row r="1102" spans="129:146" s="265" customFormat="1">
      <c r="DY1102" s="290"/>
      <c r="EC1102" s="290"/>
      <c r="EP1102" s="290"/>
    </row>
    <row r="1103" spans="129:146" s="265" customFormat="1">
      <c r="DY1103" s="290"/>
      <c r="EC1103" s="290"/>
      <c r="EP1103" s="290"/>
    </row>
    <row r="1104" spans="129:146" s="265" customFormat="1">
      <c r="DY1104" s="290"/>
      <c r="EC1104" s="290"/>
      <c r="EP1104" s="290"/>
    </row>
    <row r="1105" spans="129:146" s="265" customFormat="1">
      <c r="DY1105" s="290"/>
      <c r="EC1105" s="290"/>
      <c r="EP1105" s="290"/>
    </row>
    <row r="1106" spans="129:146" s="265" customFormat="1">
      <c r="DY1106" s="290"/>
      <c r="EC1106" s="290"/>
      <c r="EP1106" s="290"/>
    </row>
    <row r="1107" spans="129:146" s="265" customFormat="1">
      <c r="DY1107" s="290"/>
      <c r="EC1107" s="290"/>
      <c r="EP1107" s="290"/>
    </row>
    <row r="1108" spans="129:146" s="265" customFormat="1">
      <c r="DY1108" s="290"/>
      <c r="EC1108" s="290"/>
      <c r="EP1108" s="290"/>
    </row>
    <row r="1109" spans="129:146" s="265" customFormat="1">
      <c r="DY1109" s="290"/>
      <c r="EC1109" s="290"/>
      <c r="EP1109" s="290"/>
    </row>
    <row r="1110" spans="129:146" s="265" customFormat="1">
      <c r="DY1110" s="290"/>
      <c r="EC1110" s="290"/>
      <c r="EP1110" s="290"/>
    </row>
    <row r="1111" spans="129:146" s="265" customFormat="1">
      <c r="DY1111" s="290"/>
      <c r="EC1111" s="290"/>
      <c r="EP1111" s="290"/>
    </row>
    <row r="1112" spans="129:146" s="265" customFormat="1">
      <c r="DY1112" s="290"/>
      <c r="EC1112" s="290"/>
      <c r="EP1112" s="290"/>
    </row>
    <row r="1113" spans="129:146" s="265" customFormat="1">
      <c r="DY1113" s="290"/>
      <c r="EC1113" s="290"/>
      <c r="EP1113" s="290"/>
    </row>
    <row r="1114" spans="129:146" s="265" customFormat="1">
      <c r="DY1114" s="290"/>
      <c r="EC1114" s="290"/>
      <c r="EP1114" s="290"/>
    </row>
    <row r="1115" spans="129:146" s="265" customFormat="1">
      <c r="DY1115" s="290"/>
      <c r="EC1115" s="290"/>
      <c r="EP1115" s="290"/>
    </row>
    <row r="1116" spans="129:146" s="265" customFormat="1">
      <c r="DY1116" s="290"/>
      <c r="EC1116" s="290"/>
      <c r="EP1116" s="290"/>
    </row>
    <row r="1117" spans="129:146" s="265" customFormat="1">
      <c r="DY1117" s="290"/>
      <c r="EC1117" s="290"/>
      <c r="EP1117" s="290"/>
    </row>
    <row r="1118" spans="129:146" s="265" customFormat="1">
      <c r="DY1118" s="290"/>
      <c r="EC1118" s="290"/>
      <c r="EP1118" s="290"/>
    </row>
    <row r="1119" spans="129:146" s="265" customFormat="1">
      <c r="DY1119" s="290"/>
      <c r="EC1119" s="290"/>
      <c r="EP1119" s="290"/>
    </row>
    <row r="1120" spans="129:146" s="265" customFormat="1">
      <c r="DY1120" s="290"/>
      <c r="EC1120" s="290"/>
      <c r="EP1120" s="290"/>
    </row>
    <row r="1121" spans="129:146" s="265" customFormat="1">
      <c r="DY1121" s="290"/>
      <c r="EC1121" s="290"/>
      <c r="EP1121" s="290"/>
    </row>
    <row r="1122" spans="129:146" s="265" customFormat="1">
      <c r="DY1122" s="290"/>
      <c r="EC1122" s="290"/>
      <c r="EP1122" s="290"/>
    </row>
    <row r="1123" spans="129:146" s="265" customFormat="1">
      <c r="DY1123" s="290"/>
      <c r="EC1123" s="290"/>
      <c r="EP1123" s="290"/>
    </row>
    <row r="1124" spans="129:146" s="265" customFormat="1">
      <c r="DY1124" s="290"/>
      <c r="EC1124" s="290"/>
      <c r="EP1124" s="290"/>
    </row>
    <row r="1125" spans="129:146" s="265" customFormat="1">
      <c r="DY1125" s="290"/>
      <c r="EC1125" s="290"/>
      <c r="EP1125" s="290"/>
    </row>
    <row r="1126" spans="129:146" s="265" customFormat="1">
      <c r="DY1126" s="290"/>
      <c r="EC1126" s="290"/>
      <c r="EP1126" s="290"/>
    </row>
    <row r="1127" spans="129:146" s="265" customFormat="1">
      <c r="DY1127" s="290"/>
      <c r="EC1127" s="290"/>
      <c r="EP1127" s="290"/>
    </row>
    <row r="1128" spans="129:146" s="265" customFormat="1">
      <c r="DY1128" s="290"/>
      <c r="EC1128" s="290"/>
      <c r="EP1128" s="290"/>
    </row>
    <row r="1129" spans="129:146" s="265" customFormat="1">
      <c r="DY1129" s="290"/>
      <c r="EC1129" s="290"/>
      <c r="EP1129" s="290"/>
    </row>
    <row r="1130" spans="129:146" s="265" customFormat="1">
      <c r="DY1130" s="290"/>
      <c r="EC1130" s="290"/>
      <c r="EP1130" s="290"/>
    </row>
    <row r="1131" spans="129:146" s="265" customFormat="1">
      <c r="DY1131" s="290"/>
      <c r="EC1131" s="290"/>
      <c r="EP1131" s="290"/>
    </row>
    <row r="1132" spans="129:146" s="265" customFormat="1">
      <c r="DY1132" s="290"/>
      <c r="EC1132" s="290"/>
      <c r="EP1132" s="290"/>
    </row>
    <row r="1133" spans="129:146" s="265" customFormat="1">
      <c r="DY1133" s="290"/>
      <c r="EC1133" s="290"/>
      <c r="EP1133" s="290"/>
    </row>
    <row r="1134" spans="129:146" s="265" customFormat="1">
      <c r="DY1134" s="290"/>
      <c r="EC1134" s="290"/>
      <c r="EP1134" s="290"/>
    </row>
    <row r="1135" spans="129:146" s="265" customFormat="1">
      <c r="DY1135" s="290"/>
      <c r="EC1135" s="290"/>
      <c r="EP1135" s="290"/>
    </row>
    <row r="1136" spans="129:146" s="265" customFormat="1">
      <c r="DY1136" s="290"/>
      <c r="EC1136" s="290"/>
      <c r="EP1136" s="290"/>
    </row>
    <row r="1137" spans="129:146" s="265" customFormat="1">
      <c r="DY1137" s="290"/>
      <c r="EC1137" s="290"/>
      <c r="EP1137" s="290"/>
    </row>
    <row r="1138" spans="129:146" s="265" customFormat="1">
      <c r="DY1138" s="290"/>
      <c r="EC1138" s="290"/>
      <c r="EP1138" s="290"/>
    </row>
    <row r="1139" spans="129:146" s="265" customFormat="1">
      <c r="DY1139" s="290"/>
      <c r="EC1139" s="290"/>
      <c r="EP1139" s="290"/>
    </row>
    <row r="1140" spans="129:146" s="265" customFormat="1">
      <c r="DY1140" s="290"/>
      <c r="EC1140" s="290"/>
      <c r="EP1140" s="290"/>
    </row>
    <row r="1141" spans="129:146" s="265" customFormat="1">
      <c r="DY1141" s="290"/>
      <c r="EC1141" s="290"/>
      <c r="EP1141" s="290"/>
    </row>
    <row r="1142" spans="129:146" s="265" customFormat="1">
      <c r="DY1142" s="290"/>
      <c r="EC1142" s="290"/>
      <c r="EP1142" s="290"/>
    </row>
    <row r="1143" spans="129:146" s="265" customFormat="1">
      <c r="DY1143" s="290"/>
      <c r="EC1143" s="290"/>
      <c r="EP1143" s="290"/>
    </row>
    <row r="1144" spans="129:146" s="265" customFormat="1">
      <c r="DY1144" s="290"/>
      <c r="EC1144" s="290"/>
      <c r="EP1144" s="290"/>
    </row>
    <row r="1145" spans="129:146" s="265" customFormat="1">
      <c r="DY1145" s="290"/>
      <c r="EC1145" s="290"/>
      <c r="EP1145" s="290"/>
    </row>
    <row r="1146" spans="129:146" s="265" customFormat="1">
      <c r="DY1146" s="290"/>
      <c r="EC1146" s="290"/>
      <c r="EP1146" s="290"/>
    </row>
    <row r="1147" spans="129:146" s="265" customFormat="1">
      <c r="DY1147" s="290"/>
      <c r="EC1147" s="290"/>
      <c r="EP1147" s="290"/>
    </row>
    <row r="1148" spans="129:146" s="265" customFormat="1">
      <c r="DY1148" s="290"/>
      <c r="EC1148" s="290"/>
      <c r="EP1148" s="290"/>
    </row>
    <row r="1149" spans="129:146" s="265" customFormat="1">
      <c r="DY1149" s="290"/>
      <c r="EC1149" s="290"/>
      <c r="EP1149" s="290"/>
    </row>
    <row r="1150" spans="129:146" s="265" customFormat="1">
      <c r="DY1150" s="290"/>
      <c r="EC1150" s="290"/>
      <c r="EP1150" s="290"/>
    </row>
    <row r="1151" spans="129:146" s="265" customFormat="1">
      <c r="DY1151" s="290"/>
      <c r="EC1151" s="290"/>
      <c r="EP1151" s="290"/>
    </row>
    <row r="1152" spans="129:146" s="265" customFormat="1">
      <c r="DY1152" s="290"/>
      <c r="EC1152" s="290"/>
      <c r="EP1152" s="290"/>
    </row>
    <row r="1153" spans="129:146" s="265" customFormat="1">
      <c r="DY1153" s="290"/>
      <c r="EC1153" s="290"/>
      <c r="EP1153" s="290"/>
    </row>
    <row r="1154" spans="129:146" s="265" customFormat="1">
      <c r="DY1154" s="290"/>
      <c r="EC1154" s="290"/>
      <c r="EP1154" s="290"/>
    </row>
    <row r="1155" spans="129:146" s="265" customFormat="1">
      <c r="DY1155" s="290"/>
      <c r="EC1155" s="290"/>
      <c r="EP1155" s="290"/>
    </row>
    <row r="1156" spans="129:146" s="265" customFormat="1">
      <c r="DY1156" s="290"/>
      <c r="EC1156" s="290"/>
      <c r="EP1156" s="290"/>
    </row>
    <row r="1157" spans="129:146" s="265" customFormat="1">
      <c r="DY1157" s="290"/>
      <c r="EC1157" s="290"/>
      <c r="EP1157" s="290"/>
    </row>
    <row r="1158" spans="129:146" s="265" customFormat="1">
      <c r="DY1158" s="290"/>
      <c r="EC1158" s="290"/>
      <c r="EP1158" s="290"/>
    </row>
    <row r="1159" spans="129:146" s="265" customFormat="1">
      <c r="DY1159" s="290"/>
      <c r="EC1159" s="290"/>
      <c r="EP1159" s="290"/>
    </row>
    <row r="1160" spans="129:146" s="265" customFormat="1">
      <c r="DY1160" s="290"/>
      <c r="EC1160" s="290"/>
      <c r="EP1160" s="290"/>
    </row>
    <row r="1161" spans="129:146" s="265" customFormat="1">
      <c r="DY1161" s="290"/>
      <c r="EC1161" s="290"/>
      <c r="EP1161" s="290"/>
    </row>
    <row r="1162" spans="129:146" s="265" customFormat="1">
      <c r="DY1162" s="290"/>
      <c r="EC1162" s="290"/>
      <c r="EP1162" s="290"/>
    </row>
    <row r="1163" spans="129:146" s="265" customFormat="1">
      <c r="DY1163" s="290"/>
      <c r="EC1163" s="290"/>
      <c r="EP1163" s="290"/>
    </row>
    <row r="1164" spans="129:146" s="265" customFormat="1">
      <c r="DY1164" s="290"/>
      <c r="EC1164" s="290"/>
      <c r="EP1164" s="290"/>
    </row>
    <row r="1165" spans="129:146" s="265" customFormat="1">
      <c r="DY1165" s="290"/>
      <c r="EC1165" s="290"/>
      <c r="EP1165" s="290"/>
    </row>
    <row r="1166" spans="129:146" s="265" customFormat="1">
      <c r="DY1166" s="290"/>
      <c r="EC1166" s="290"/>
      <c r="EP1166" s="290"/>
    </row>
    <row r="1167" spans="129:146" s="265" customFormat="1">
      <c r="DY1167" s="290"/>
      <c r="EC1167" s="290"/>
      <c r="EP1167" s="290"/>
    </row>
    <row r="1168" spans="129:146" s="265" customFormat="1">
      <c r="DY1168" s="290"/>
      <c r="EC1168" s="290"/>
      <c r="EP1168" s="290"/>
    </row>
    <row r="1169" spans="129:146" s="265" customFormat="1">
      <c r="DY1169" s="290"/>
      <c r="EC1169" s="290"/>
      <c r="EP1169" s="290"/>
    </row>
    <row r="1170" spans="129:146" s="265" customFormat="1">
      <c r="DY1170" s="290"/>
      <c r="EC1170" s="290"/>
      <c r="EP1170" s="290"/>
    </row>
    <row r="1171" spans="129:146" s="265" customFormat="1">
      <c r="DY1171" s="290"/>
      <c r="EC1171" s="290"/>
      <c r="EP1171" s="290"/>
    </row>
    <row r="1172" spans="129:146" s="265" customFormat="1">
      <c r="DY1172" s="290"/>
      <c r="EC1172" s="290"/>
      <c r="EP1172" s="290"/>
    </row>
    <row r="1173" spans="129:146" s="265" customFormat="1">
      <c r="DY1173" s="290"/>
      <c r="EC1173" s="290"/>
      <c r="EP1173" s="290"/>
    </row>
    <row r="1174" spans="129:146" s="265" customFormat="1">
      <c r="DY1174" s="290"/>
      <c r="EC1174" s="290"/>
      <c r="EP1174" s="290"/>
    </row>
    <row r="1175" spans="129:146" s="265" customFormat="1">
      <c r="DY1175" s="290"/>
      <c r="EC1175" s="290"/>
      <c r="EP1175" s="290"/>
    </row>
    <row r="1176" spans="129:146" s="265" customFormat="1">
      <c r="DY1176" s="290"/>
      <c r="EC1176" s="290"/>
      <c r="EP1176" s="290"/>
    </row>
    <row r="1177" spans="129:146" s="265" customFormat="1">
      <c r="DY1177" s="290"/>
      <c r="EC1177" s="290"/>
      <c r="EP1177" s="290"/>
    </row>
    <row r="1178" spans="129:146" s="265" customFormat="1">
      <c r="DY1178" s="290"/>
      <c r="EC1178" s="290"/>
      <c r="EP1178" s="290"/>
    </row>
    <row r="1179" spans="129:146" s="265" customFormat="1">
      <c r="DY1179" s="290"/>
      <c r="EC1179" s="290"/>
      <c r="EP1179" s="290"/>
    </row>
    <row r="1180" spans="129:146" s="265" customFormat="1">
      <c r="DY1180" s="290"/>
      <c r="EC1180" s="290"/>
      <c r="EP1180" s="290"/>
    </row>
    <row r="1181" spans="129:146" s="265" customFormat="1">
      <c r="DY1181" s="290"/>
      <c r="EC1181" s="290"/>
      <c r="EP1181" s="290"/>
    </row>
    <row r="1182" spans="129:146" s="265" customFormat="1">
      <c r="DY1182" s="290"/>
      <c r="EC1182" s="290"/>
      <c r="EP1182" s="290"/>
    </row>
    <row r="1183" spans="129:146" s="265" customFormat="1">
      <c r="DY1183" s="290"/>
      <c r="EC1183" s="290"/>
      <c r="EP1183" s="290"/>
    </row>
    <row r="1184" spans="129:146" s="265" customFormat="1">
      <c r="DY1184" s="290"/>
      <c r="EC1184" s="290"/>
      <c r="EP1184" s="290"/>
    </row>
    <row r="1185" spans="11:123">
      <c r="K1185" s="265"/>
      <c r="L1185" s="265"/>
      <c r="M1185" s="265"/>
      <c r="N1185" s="265"/>
      <c r="O1185" s="265"/>
      <c r="P1185" s="265"/>
      <c r="Q1185" s="265"/>
      <c r="BR1185" s="265"/>
      <c r="BS1185" s="265"/>
      <c r="BT1185" s="265"/>
      <c r="BU1185" s="265"/>
      <c r="BV1185" s="265"/>
      <c r="CJ1185" s="265"/>
      <c r="CO1185" s="265"/>
      <c r="CP1185" s="265"/>
      <c r="CQ1185" s="265"/>
      <c r="CR1185" s="265"/>
      <c r="CS1185" s="265"/>
      <c r="CT1185" s="265"/>
      <c r="CU1185" s="265"/>
      <c r="CV1185" s="265"/>
      <c r="CW1185" s="265"/>
      <c r="CX1185" s="265"/>
      <c r="CY1185" s="265"/>
      <c r="CZ1185" s="265"/>
      <c r="DA1185" s="265"/>
      <c r="DB1185" s="265"/>
      <c r="DC1185" s="265"/>
      <c r="DD1185" s="265"/>
      <c r="DE1185" s="265"/>
      <c r="DF1185" s="265"/>
      <c r="DG1185" s="265"/>
      <c r="DH1185" s="265"/>
      <c r="DI1185" s="265"/>
      <c r="DJ1185" s="265"/>
      <c r="DK1185" s="265"/>
      <c r="DL1185" s="265"/>
      <c r="DM1185" s="265"/>
      <c r="DN1185" s="265"/>
      <c r="DO1185" s="265"/>
      <c r="DP1185" s="265"/>
      <c r="DQ1185" s="265"/>
      <c r="DR1185" s="265"/>
      <c r="DS1185" s="265"/>
    </row>
    <row r="1186" spans="11:123">
      <c r="K1186" s="265"/>
      <c r="L1186" s="265"/>
      <c r="M1186" s="265"/>
      <c r="N1186" s="265"/>
      <c r="O1186" s="265"/>
      <c r="P1186" s="265"/>
      <c r="Q1186" s="265"/>
      <c r="BR1186" s="265"/>
      <c r="BS1186" s="265"/>
      <c r="BT1186" s="265"/>
      <c r="BU1186" s="265"/>
      <c r="BV1186" s="265"/>
      <c r="CJ1186" s="265"/>
      <c r="CO1186" s="265"/>
      <c r="CP1186" s="265"/>
      <c r="CQ1186" s="265"/>
      <c r="CR1186" s="265"/>
      <c r="CS1186" s="265"/>
      <c r="CT1186" s="265"/>
      <c r="CU1186" s="265"/>
      <c r="CV1186" s="265"/>
      <c r="CW1186" s="265"/>
      <c r="CX1186" s="265"/>
      <c r="CY1186" s="265"/>
      <c r="CZ1186" s="265"/>
      <c r="DA1186" s="265"/>
      <c r="DB1186" s="265"/>
      <c r="DC1186" s="265"/>
      <c r="DD1186" s="265"/>
      <c r="DE1186" s="265"/>
      <c r="DF1186" s="265"/>
      <c r="DG1186" s="265"/>
      <c r="DH1186" s="265"/>
      <c r="DI1186" s="265"/>
      <c r="DJ1186" s="265"/>
      <c r="DK1186" s="265"/>
      <c r="DL1186" s="265"/>
      <c r="DM1186" s="265"/>
      <c r="DN1186" s="265"/>
      <c r="DO1186" s="265"/>
      <c r="DP1186" s="265"/>
      <c r="DQ1186" s="265"/>
      <c r="DR1186" s="265"/>
      <c r="DS1186" s="265"/>
    </row>
    <row r="1187" spans="11:123">
      <c r="K1187" s="265"/>
      <c r="L1187" s="265"/>
      <c r="M1187" s="265"/>
      <c r="N1187" s="265"/>
      <c r="O1187" s="265"/>
      <c r="P1187" s="265"/>
      <c r="Q1187" s="265"/>
      <c r="BR1187" s="265"/>
      <c r="BS1187" s="265"/>
      <c r="BT1187" s="265"/>
      <c r="BU1187" s="265"/>
      <c r="BV1187" s="265"/>
      <c r="CJ1187" s="265"/>
      <c r="CO1187" s="265"/>
      <c r="CP1187" s="265"/>
      <c r="CQ1187" s="265"/>
      <c r="CR1187" s="265"/>
      <c r="CS1187" s="265"/>
      <c r="CT1187" s="265"/>
      <c r="CU1187" s="265"/>
      <c r="CV1187" s="265"/>
      <c r="CW1187" s="265"/>
      <c r="CX1187" s="265"/>
      <c r="CY1187" s="265"/>
      <c r="CZ1187" s="265"/>
      <c r="DA1187" s="265"/>
      <c r="DB1187" s="265"/>
      <c r="DC1187" s="265"/>
      <c r="DD1187" s="265"/>
      <c r="DE1187" s="265"/>
      <c r="DF1187" s="265"/>
      <c r="DG1187" s="265"/>
      <c r="DH1187" s="265"/>
      <c r="DI1187" s="265"/>
      <c r="DJ1187" s="265"/>
      <c r="DK1187" s="265"/>
      <c r="DL1187" s="265"/>
      <c r="DM1187" s="265"/>
      <c r="DN1187" s="265"/>
      <c r="DO1187" s="265"/>
      <c r="DP1187" s="265"/>
      <c r="DQ1187" s="265"/>
      <c r="DR1187" s="265"/>
      <c r="DS1187" s="265"/>
    </row>
    <row r="1188" spans="11:123">
      <c r="K1188" s="265"/>
      <c r="L1188" s="265"/>
      <c r="M1188" s="265"/>
      <c r="N1188" s="265"/>
      <c r="O1188" s="265"/>
      <c r="P1188" s="265"/>
      <c r="Q1188" s="265"/>
      <c r="BR1188" s="265"/>
      <c r="BS1188" s="265"/>
      <c r="BT1188" s="265"/>
      <c r="BU1188" s="265"/>
      <c r="BV1188" s="265"/>
      <c r="CJ1188" s="265"/>
      <c r="CO1188" s="265"/>
      <c r="CP1188" s="265"/>
      <c r="CQ1188" s="265"/>
      <c r="CR1188" s="265"/>
      <c r="CS1188" s="265"/>
      <c r="CT1188" s="265"/>
      <c r="CU1188" s="265"/>
      <c r="CV1188" s="265"/>
      <c r="CW1188" s="265"/>
      <c r="CX1188" s="265"/>
      <c r="CY1188" s="265"/>
      <c r="CZ1188" s="265"/>
      <c r="DA1188" s="265"/>
      <c r="DB1188" s="265"/>
      <c r="DC1188" s="265"/>
      <c r="DD1188" s="265"/>
      <c r="DE1188" s="265"/>
      <c r="DF1188" s="265"/>
      <c r="DG1188" s="265"/>
      <c r="DH1188" s="265"/>
      <c r="DI1188" s="265"/>
      <c r="DJ1188" s="265"/>
      <c r="DK1188" s="265"/>
      <c r="DL1188" s="265"/>
      <c r="DM1188" s="265"/>
      <c r="DN1188" s="265"/>
      <c r="DO1188" s="265"/>
      <c r="DP1188" s="265"/>
      <c r="DQ1188" s="265"/>
      <c r="DR1188" s="265"/>
      <c r="DS1188" s="265"/>
    </row>
    <row r="1189" spans="11:123">
      <c r="K1189" s="265"/>
      <c r="L1189" s="265"/>
      <c r="M1189" s="265"/>
      <c r="N1189" s="265"/>
      <c r="O1189" s="265"/>
      <c r="P1189" s="265"/>
      <c r="Q1189" s="265"/>
      <c r="BR1189" s="265"/>
      <c r="BS1189" s="265"/>
      <c r="BT1189" s="265"/>
      <c r="BU1189" s="265"/>
      <c r="BV1189" s="265"/>
      <c r="CJ1189" s="265"/>
      <c r="CO1189" s="265"/>
      <c r="CP1189" s="265"/>
      <c r="CQ1189" s="265"/>
      <c r="CR1189" s="265"/>
      <c r="CS1189" s="265"/>
      <c r="CT1189" s="265"/>
      <c r="CU1189" s="265"/>
      <c r="CV1189" s="265"/>
      <c r="CW1189" s="265"/>
      <c r="CX1189" s="265"/>
      <c r="CY1189" s="265"/>
      <c r="CZ1189" s="265"/>
      <c r="DA1189" s="265"/>
      <c r="DB1189" s="265"/>
      <c r="DC1189" s="265"/>
      <c r="DD1189" s="265"/>
      <c r="DE1189" s="265"/>
      <c r="DF1189" s="265"/>
      <c r="DG1189" s="265"/>
      <c r="DH1189" s="265"/>
      <c r="DI1189" s="265"/>
      <c r="DJ1189" s="265"/>
      <c r="DK1189" s="265"/>
      <c r="DL1189" s="265"/>
      <c r="DM1189" s="265"/>
      <c r="DN1189" s="265"/>
      <c r="DO1189" s="265"/>
      <c r="DP1189" s="265"/>
      <c r="DQ1189" s="265"/>
      <c r="DR1189" s="265"/>
      <c r="DS1189" s="265"/>
    </row>
    <row r="1190" spans="11:123">
      <c r="K1190" s="265"/>
      <c r="L1190" s="265"/>
      <c r="M1190" s="265"/>
      <c r="N1190" s="265"/>
      <c r="O1190" s="265"/>
      <c r="P1190" s="265"/>
      <c r="Q1190" s="265"/>
      <c r="BR1190" s="265"/>
      <c r="BS1190" s="265"/>
      <c r="BT1190" s="265"/>
      <c r="BU1190" s="265"/>
      <c r="BV1190" s="265"/>
      <c r="CJ1190" s="265"/>
      <c r="CO1190" s="265"/>
      <c r="CP1190" s="265"/>
      <c r="CQ1190" s="265"/>
      <c r="CR1190" s="265"/>
      <c r="CS1190" s="265"/>
      <c r="CT1190" s="265"/>
      <c r="CU1190" s="265"/>
      <c r="CV1190" s="265"/>
      <c r="CW1190" s="265"/>
      <c r="CX1190" s="265"/>
      <c r="CY1190" s="265"/>
      <c r="CZ1190" s="265"/>
      <c r="DA1190" s="265"/>
      <c r="DB1190" s="265"/>
      <c r="DC1190" s="265"/>
      <c r="DD1190" s="265"/>
      <c r="DE1190" s="265"/>
      <c r="DF1190" s="265"/>
      <c r="DG1190" s="265"/>
      <c r="DH1190" s="265"/>
      <c r="DI1190" s="265"/>
      <c r="DJ1190" s="265"/>
      <c r="DK1190" s="265"/>
      <c r="DL1190" s="265"/>
      <c r="DM1190" s="265"/>
      <c r="DN1190" s="265"/>
      <c r="DO1190" s="265"/>
      <c r="DP1190" s="265"/>
      <c r="DQ1190" s="265"/>
      <c r="DR1190" s="265"/>
      <c r="DS1190" s="265"/>
    </row>
    <row r="1191" spans="11:123">
      <c r="K1191" s="265"/>
      <c r="L1191" s="265"/>
      <c r="M1191" s="265"/>
      <c r="N1191" s="265"/>
      <c r="O1191" s="265"/>
      <c r="P1191" s="265"/>
      <c r="Q1191" s="265"/>
      <c r="BR1191" s="265"/>
      <c r="BS1191" s="265"/>
      <c r="BT1191" s="265"/>
      <c r="BU1191" s="265"/>
      <c r="BV1191" s="265"/>
      <c r="CJ1191" s="265"/>
      <c r="CO1191" s="265"/>
      <c r="CP1191" s="265"/>
      <c r="CQ1191" s="265"/>
      <c r="CR1191" s="265"/>
      <c r="CS1191" s="265"/>
      <c r="CT1191" s="265"/>
      <c r="CU1191" s="265"/>
      <c r="CV1191" s="265"/>
      <c r="CW1191" s="265"/>
      <c r="CX1191" s="265"/>
      <c r="CY1191" s="265"/>
      <c r="CZ1191" s="265"/>
      <c r="DA1191" s="265"/>
      <c r="DB1191" s="265"/>
      <c r="DC1191" s="265"/>
      <c r="DD1191" s="265"/>
      <c r="DE1191" s="265"/>
      <c r="DF1191" s="265"/>
      <c r="DG1191" s="265"/>
      <c r="DH1191" s="265"/>
      <c r="DI1191" s="265"/>
      <c r="DJ1191" s="265"/>
      <c r="DK1191" s="265"/>
      <c r="DL1191" s="265"/>
      <c r="DM1191" s="265"/>
      <c r="DN1191" s="265"/>
      <c r="DO1191" s="265"/>
      <c r="DP1191" s="265"/>
      <c r="DQ1191" s="265"/>
      <c r="DR1191" s="265"/>
      <c r="DS1191" s="265"/>
    </row>
    <row r="1192" spans="11:123">
      <c r="L1192" s="265"/>
      <c r="M1192" s="265"/>
      <c r="N1192" s="265"/>
      <c r="O1192" s="265"/>
      <c r="P1192" s="265"/>
      <c r="Q1192" s="265"/>
      <c r="BR1192" s="265"/>
      <c r="BS1192" s="265"/>
      <c r="BT1192" s="265"/>
      <c r="BU1192" s="265"/>
      <c r="BV1192" s="265"/>
    </row>
    <row r="1193" spans="11:123">
      <c r="L1193" s="265"/>
      <c r="M1193" s="265"/>
      <c r="N1193" s="265"/>
      <c r="O1193" s="265"/>
      <c r="P1193" s="265"/>
      <c r="Q1193" s="265"/>
      <c r="BR1193" s="265"/>
      <c r="BS1193" s="265"/>
      <c r="BT1193" s="265"/>
      <c r="BU1193" s="265"/>
      <c r="BV1193" s="265"/>
    </row>
    <row r="1194" spans="11:123">
      <c r="L1194" s="265"/>
      <c r="M1194" s="265"/>
      <c r="N1194" s="265"/>
      <c r="O1194" s="265"/>
      <c r="P1194" s="265"/>
      <c r="Q1194" s="265"/>
      <c r="BR1194" s="265"/>
      <c r="BS1194" s="265"/>
      <c r="BT1194" s="265"/>
      <c r="BU1194" s="265"/>
      <c r="BV1194" s="265"/>
    </row>
    <row r="1195" spans="11:123">
      <c r="L1195" s="265"/>
      <c r="M1195" s="265"/>
      <c r="N1195" s="265"/>
      <c r="O1195" s="265"/>
      <c r="P1195" s="265"/>
      <c r="Q1195" s="265"/>
      <c r="BR1195" s="265"/>
      <c r="BS1195" s="265"/>
      <c r="BT1195" s="265"/>
      <c r="BU1195" s="265"/>
      <c r="BV1195" s="265"/>
    </row>
    <row r="1196" spans="11:123">
      <c r="L1196" s="265"/>
      <c r="M1196" s="265"/>
      <c r="N1196" s="265"/>
      <c r="O1196" s="265"/>
      <c r="P1196" s="265"/>
      <c r="Q1196" s="265"/>
      <c r="BR1196" s="265"/>
      <c r="BS1196" s="265"/>
      <c r="BT1196" s="265"/>
      <c r="BU1196" s="265"/>
      <c r="BV1196" s="265"/>
    </row>
    <row r="1197" spans="11:123">
      <c r="L1197" s="265"/>
      <c r="M1197" s="265"/>
      <c r="N1197" s="265"/>
      <c r="O1197" s="265"/>
      <c r="P1197" s="265"/>
      <c r="Q1197" s="265"/>
      <c r="BR1197" s="265"/>
      <c r="BS1197" s="265"/>
      <c r="BT1197" s="265"/>
      <c r="BU1197" s="265"/>
      <c r="BV1197" s="265"/>
    </row>
    <row r="1198" spans="11:123">
      <c r="L1198" s="265"/>
      <c r="M1198" s="265"/>
      <c r="N1198" s="265"/>
      <c r="O1198" s="265"/>
      <c r="P1198" s="265"/>
      <c r="Q1198" s="265"/>
      <c r="BR1198" s="265"/>
      <c r="BS1198" s="265"/>
      <c r="BT1198" s="265"/>
      <c r="BU1198" s="265"/>
      <c r="BV1198" s="265"/>
    </row>
    <row r="1199" spans="11:123">
      <c r="L1199" s="265"/>
      <c r="M1199" s="265"/>
      <c r="N1199" s="265"/>
      <c r="O1199" s="265"/>
      <c r="P1199" s="265"/>
      <c r="Q1199" s="265"/>
      <c r="BR1199" s="265"/>
      <c r="BS1199" s="265"/>
      <c r="BT1199" s="265"/>
      <c r="BU1199" s="265"/>
      <c r="BV1199" s="265"/>
    </row>
    <row r="1200" spans="11:123">
      <c r="L1200" s="265"/>
      <c r="M1200" s="265"/>
      <c r="N1200" s="265"/>
      <c r="O1200" s="265"/>
      <c r="P1200" s="265"/>
      <c r="Q1200" s="265"/>
      <c r="BR1200" s="265"/>
      <c r="BS1200" s="265"/>
      <c r="BT1200" s="265"/>
      <c r="BU1200" s="265"/>
      <c r="BV1200" s="265"/>
    </row>
    <row r="1201" spans="12:74">
      <c r="L1201" s="265"/>
      <c r="M1201" s="265"/>
      <c r="N1201" s="265"/>
      <c r="O1201" s="265"/>
      <c r="P1201" s="265"/>
      <c r="Q1201" s="265"/>
      <c r="BR1201" s="265"/>
      <c r="BS1201" s="265"/>
      <c r="BT1201" s="265"/>
      <c r="BU1201" s="265"/>
      <c r="BV1201" s="265"/>
    </row>
    <row r="1202" spans="12:74">
      <c r="L1202" s="265"/>
      <c r="M1202" s="265"/>
      <c r="N1202" s="265"/>
      <c r="O1202" s="265"/>
      <c r="P1202" s="265"/>
      <c r="Q1202" s="265"/>
      <c r="BR1202" s="265"/>
      <c r="BS1202" s="265"/>
      <c r="BT1202" s="265"/>
      <c r="BU1202" s="265"/>
      <c r="BV1202" s="265"/>
    </row>
    <row r="1203" spans="12:74">
      <c r="L1203" s="265"/>
      <c r="M1203" s="265"/>
      <c r="N1203" s="265"/>
      <c r="O1203" s="265"/>
      <c r="P1203" s="265"/>
      <c r="Q1203" s="265"/>
      <c r="BR1203" s="265"/>
      <c r="BS1203" s="265"/>
      <c r="BT1203" s="265"/>
      <c r="BU1203" s="265"/>
      <c r="BV1203" s="265"/>
    </row>
    <row r="1204" spans="12:74">
      <c r="L1204" s="265"/>
      <c r="M1204" s="265"/>
      <c r="N1204" s="265"/>
      <c r="O1204" s="265"/>
      <c r="P1204" s="265"/>
      <c r="Q1204" s="265"/>
      <c r="BR1204" s="265"/>
      <c r="BS1204" s="265"/>
      <c r="BT1204" s="265"/>
      <c r="BU1204" s="265"/>
      <c r="BV1204" s="265"/>
    </row>
    <row r="1205" spans="12:74">
      <c r="L1205" s="265"/>
      <c r="M1205" s="265"/>
      <c r="N1205" s="265"/>
      <c r="O1205" s="265"/>
      <c r="P1205" s="265"/>
      <c r="Q1205" s="265"/>
      <c r="BR1205" s="265"/>
      <c r="BS1205" s="265"/>
      <c r="BT1205" s="265"/>
      <c r="BU1205" s="265"/>
      <c r="BV1205" s="265"/>
    </row>
    <row r="1206" spans="12:74">
      <c r="L1206" s="265"/>
      <c r="M1206" s="265"/>
      <c r="N1206" s="265"/>
      <c r="O1206" s="265"/>
      <c r="P1206" s="265"/>
      <c r="Q1206" s="265"/>
      <c r="BR1206" s="265"/>
      <c r="BS1206" s="265"/>
      <c r="BT1206" s="265"/>
      <c r="BU1206" s="265"/>
      <c r="BV1206" s="265"/>
    </row>
    <row r="1207" spans="12:74">
      <c r="L1207" s="265"/>
      <c r="M1207" s="265"/>
      <c r="N1207" s="265"/>
      <c r="O1207" s="265"/>
      <c r="P1207" s="265"/>
      <c r="Q1207" s="265"/>
      <c r="BR1207" s="265"/>
      <c r="BS1207" s="265"/>
      <c r="BT1207" s="265"/>
      <c r="BU1207" s="265"/>
      <c r="BV1207" s="265"/>
    </row>
    <row r="1208" spans="12:74">
      <c r="L1208" s="265"/>
      <c r="M1208" s="265"/>
      <c r="N1208" s="265"/>
      <c r="O1208" s="265"/>
      <c r="P1208" s="265"/>
      <c r="Q1208" s="265"/>
      <c r="BR1208" s="265"/>
      <c r="BS1208" s="265"/>
      <c r="BT1208" s="265"/>
      <c r="BU1208" s="265"/>
      <c r="BV1208" s="265"/>
    </row>
    <row r="1209" spans="12:74">
      <c r="L1209" s="265"/>
      <c r="M1209" s="265"/>
      <c r="N1209" s="265"/>
      <c r="O1209" s="265"/>
      <c r="P1209" s="265"/>
      <c r="Q1209" s="265"/>
      <c r="BR1209" s="265"/>
      <c r="BS1209" s="265"/>
      <c r="BT1209" s="265"/>
      <c r="BU1209" s="265"/>
      <c r="BV1209" s="265"/>
    </row>
    <row r="1210" spans="12:74">
      <c r="L1210" s="265"/>
      <c r="M1210" s="265"/>
      <c r="N1210" s="265"/>
      <c r="O1210" s="265"/>
      <c r="P1210" s="265"/>
      <c r="Q1210" s="265"/>
      <c r="BR1210" s="265"/>
      <c r="BS1210" s="265"/>
      <c r="BT1210" s="265"/>
      <c r="BU1210" s="265"/>
      <c r="BV1210" s="265"/>
    </row>
    <row r="1211" spans="12:74">
      <c r="L1211" s="265"/>
      <c r="M1211" s="265"/>
      <c r="N1211" s="265"/>
      <c r="O1211" s="265"/>
      <c r="P1211" s="265"/>
      <c r="Q1211" s="265"/>
      <c r="BR1211" s="265"/>
      <c r="BS1211" s="265"/>
      <c r="BT1211" s="265"/>
      <c r="BU1211" s="265"/>
      <c r="BV1211" s="265"/>
    </row>
    <row r="1212" spans="12:74">
      <c r="L1212" s="265"/>
      <c r="M1212" s="265"/>
      <c r="N1212" s="265"/>
      <c r="O1212" s="265"/>
      <c r="P1212" s="265"/>
      <c r="Q1212" s="265"/>
      <c r="BR1212" s="265"/>
      <c r="BS1212" s="265"/>
      <c r="BT1212" s="265"/>
      <c r="BU1212" s="265"/>
      <c r="BV1212" s="265"/>
    </row>
    <row r="1213" spans="12:74">
      <c r="L1213" s="265"/>
      <c r="M1213" s="265"/>
      <c r="N1213" s="265"/>
      <c r="O1213" s="265"/>
      <c r="P1213" s="265"/>
      <c r="Q1213" s="265"/>
      <c r="BR1213" s="265"/>
      <c r="BS1213" s="265"/>
      <c r="BT1213" s="265"/>
      <c r="BU1213" s="265"/>
      <c r="BV1213" s="265"/>
    </row>
    <row r="1214" spans="12:74">
      <c r="L1214" s="265"/>
      <c r="M1214" s="265"/>
      <c r="N1214" s="265"/>
      <c r="O1214" s="265"/>
      <c r="P1214" s="265"/>
      <c r="Q1214" s="265"/>
      <c r="BR1214" s="265"/>
      <c r="BS1214" s="265"/>
      <c r="BT1214" s="265"/>
      <c r="BU1214" s="265"/>
      <c r="BV1214" s="265"/>
    </row>
    <row r="1215" spans="12:74">
      <c r="L1215" s="265"/>
      <c r="M1215" s="265"/>
      <c r="N1215" s="265"/>
      <c r="O1215" s="265"/>
      <c r="P1215" s="265"/>
      <c r="Q1215" s="265"/>
      <c r="BR1215" s="265"/>
      <c r="BS1215" s="265"/>
      <c r="BT1215" s="265"/>
      <c r="BU1215" s="265"/>
      <c r="BV1215" s="265"/>
    </row>
    <row r="1216" spans="12:74">
      <c r="L1216" s="265"/>
      <c r="M1216" s="265"/>
      <c r="N1216" s="265"/>
      <c r="O1216" s="265"/>
      <c r="P1216" s="265"/>
      <c r="Q1216" s="265"/>
      <c r="BR1216" s="265"/>
      <c r="BS1216" s="265"/>
      <c r="BT1216" s="265"/>
      <c r="BU1216" s="265"/>
      <c r="BV1216" s="265"/>
    </row>
    <row r="1217" spans="12:74">
      <c r="L1217" s="265"/>
      <c r="M1217" s="265"/>
      <c r="N1217" s="265"/>
      <c r="O1217" s="265"/>
      <c r="P1217" s="265"/>
      <c r="Q1217" s="265"/>
      <c r="BR1217" s="265"/>
      <c r="BS1217" s="265"/>
      <c r="BT1217" s="265"/>
      <c r="BU1217" s="265"/>
      <c r="BV1217" s="265"/>
    </row>
    <row r="1218" spans="12:74">
      <c r="L1218" s="265"/>
      <c r="M1218" s="265"/>
      <c r="N1218" s="265"/>
      <c r="O1218" s="265"/>
      <c r="P1218" s="265"/>
      <c r="Q1218" s="265"/>
      <c r="BR1218" s="265"/>
      <c r="BS1218" s="265"/>
      <c r="BT1218" s="265"/>
      <c r="BU1218" s="265"/>
      <c r="BV1218" s="265"/>
    </row>
    <row r="1219" spans="12:74">
      <c r="L1219" s="265"/>
      <c r="M1219" s="265"/>
      <c r="N1219" s="265"/>
      <c r="O1219" s="265"/>
      <c r="P1219" s="265"/>
      <c r="Q1219" s="265"/>
      <c r="BR1219" s="265"/>
      <c r="BS1219" s="265"/>
      <c r="BT1219" s="265"/>
      <c r="BU1219" s="265"/>
      <c r="BV1219" s="265"/>
    </row>
    <row r="1220" spans="12:74">
      <c r="L1220" s="265"/>
      <c r="M1220" s="265"/>
      <c r="N1220" s="265"/>
      <c r="O1220" s="265"/>
      <c r="P1220" s="265"/>
      <c r="Q1220" s="265"/>
      <c r="BR1220" s="265"/>
      <c r="BS1220" s="265"/>
      <c r="BT1220" s="265"/>
      <c r="BU1220" s="265"/>
      <c r="BV1220" s="265"/>
    </row>
    <row r="1221" spans="12:74">
      <c r="L1221" s="265"/>
      <c r="M1221" s="265"/>
      <c r="N1221" s="265"/>
      <c r="O1221" s="265"/>
      <c r="P1221" s="265"/>
      <c r="Q1221" s="265"/>
      <c r="BR1221" s="265"/>
      <c r="BS1221" s="265"/>
      <c r="BT1221" s="265"/>
      <c r="BU1221" s="265"/>
      <c r="BV1221" s="265"/>
    </row>
    <row r="1222" spans="12:74">
      <c r="L1222" s="265"/>
      <c r="M1222" s="265"/>
      <c r="N1222" s="265"/>
      <c r="O1222" s="265"/>
      <c r="P1222" s="265"/>
      <c r="Q1222" s="265"/>
      <c r="BR1222" s="265"/>
      <c r="BS1222" s="265"/>
      <c r="BT1222" s="265"/>
      <c r="BU1222" s="265"/>
      <c r="BV1222" s="265"/>
    </row>
    <row r="1223" spans="12:74">
      <c r="L1223" s="265"/>
      <c r="M1223" s="265"/>
      <c r="N1223" s="265"/>
      <c r="O1223" s="265"/>
      <c r="P1223" s="265"/>
      <c r="Q1223" s="265"/>
      <c r="BR1223" s="265"/>
      <c r="BS1223" s="265"/>
      <c r="BT1223" s="265"/>
      <c r="BU1223" s="265"/>
      <c r="BV1223" s="265"/>
    </row>
    <row r="1224" spans="12:74">
      <c r="L1224" s="265"/>
      <c r="M1224" s="265"/>
      <c r="N1224" s="265"/>
      <c r="O1224" s="265"/>
      <c r="P1224" s="265"/>
      <c r="Q1224" s="265"/>
      <c r="BR1224" s="265"/>
      <c r="BS1224" s="265"/>
      <c r="BT1224" s="265"/>
      <c r="BU1224" s="265"/>
      <c r="BV1224" s="265"/>
    </row>
    <row r="1225" spans="12:74">
      <c r="L1225" s="265"/>
      <c r="M1225" s="265"/>
      <c r="N1225" s="265"/>
      <c r="O1225" s="265"/>
      <c r="P1225" s="265"/>
      <c r="Q1225" s="265"/>
      <c r="BR1225" s="265"/>
      <c r="BS1225" s="265"/>
      <c r="BT1225" s="265"/>
      <c r="BU1225" s="265"/>
      <c r="BV1225" s="265"/>
    </row>
    <row r="1226" spans="12:74">
      <c r="L1226" s="265"/>
      <c r="M1226" s="265"/>
      <c r="N1226" s="265"/>
      <c r="O1226" s="265"/>
      <c r="P1226" s="265"/>
      <c r="Q1226" s="265"/>
      <c r="BR1226" s="265"/>
      <c r="BS1226" s="265"/>
      <c r="BT1226" s="265"/>
      <c r="BU1226" s="265"/>
      <c r="BV1226" s="265"/>
    </row>
    <row r="1227" spans="12:74">
      <c r="L1227" s="265"/>
      <c r="M1227" s="265"/>
      <c r="N1227" s="265"/>
      <c r="O1227" s="265"/>
      <c r="P1227" s="265"/>
      <c r="Q1227" s="265"/>
      <c r="BR1227" s="265"/>
      <c r="BS1227" s="265"/>
      <c r="BT1227" s="265"/>
      <c r="BU1227" s="265"/>
      <c r="BV1227" s="265"/>
    </row>
    <row r="1228" spans="12:74">
      <c r="L1228" s="265"/>
      <c r="M1228" s="265"/>
      <c r="N1228" s="265"/>
      <c r="O1228" s="265"/>
      <c r="P1228" s="265"/>
      <c r="Q1228" s="265"/>
      <c r="BR1228" s="265"/>
      <c r="BS1228" s="265"/>
      <c r="BT1228" s="265"/>
      <c r="BU1228" s="265"/>
      <c r="BV1228" s="265"/>
    </row>
    <row r="1229" spans="12:74">
      <c r="L1229" s="265"/>
      <c r="M1229" s="265"/>
      <c r="N1229" s="265"/>
      <c r="O1229" s="265"/>
      <c r="P1229" s="265"/>
      <c r="Q1229" s="265"/>
      <c r="BR1229" s="265"/>
      <c r="BS1229" s="265"/>
      <c r="BT1229" s="265"/>
      <c r="BU1229" s="265"/>
      <c r="BV1229" s="265"/>
    </row>
    <row r="1230" spans="12:74">
      <c r="L1230" s="265"/>
      <c r="M1230" s="265"/>
      <c r="N1230" s="265"/>
      <c r="O1230" s="265"/>
      <c r="P1230" s="265"/>
      <c r="Q1230" s="265"/>
      <c r="BR1230" s="265"/>
      <c r="BS1230" s="265"/>
      <c r="BT1230" s="265"/>
      <c r="BU1230" s="265"/>
      <c r="BV1230" s="265"/>
    </row>
    <row r="1231" spans="12:74">
      <c r="L1231" s="265"/>
      <c r="M1231" s="265"/>
      <c r="N1231" s="265"/>
      <c r="O1231" s="265"/>
      <c r="P1231" s="265"/>
      <c r="Q1231" s="265"/>
      <c r="BR1231" s="265"/>
      <c r="BS1231" s="265"/>
      <c r="BT1231" s="265"/>
      <c r="BU1231" s="265"/>
      <c r="BV1231" s="265"/>
    </row>
    <row r="1232" spans="12:74">
      <c r="L1232" s="265"/>
      <c r="M1232" s="265"/>
      <c r="N1232" s="265"/>
      <c r="O1232" s="265"/>
      <c r="P1232" s="265"/>
      <c r="Q1232" s="265"/>
      <c r="BR1232" s="265"/>
      <c r="BS1232" s="265"/>
      <c r="BT1232" s="265"/>
      <c r="BU1232" s="265"/>
      <c r="BV1232" s="265"/>
    </row>
    <row r="1233" spans="12:74">
      <c r="L1233" s="265"/>
      <c r="M1233" s="265"/>
      <c r="N1233" s="265"/>
      <c r="O1233" s="265"/>
      <c r="P1233" s="265"/>
      <c r="Q1233" s="265"/>
      <c r="BR1233" s="265"/>
      <c r="BS1233" s="265"/>
      <c r="BT1233" s="265"/>
      <c r="BU1233" s="265"/>
      <c r="BV1233" s="265"/>
    </row>
    <row r="1234" spans="12:74">
      <c r="L1234" s="265"/>
      <c r="M1234" s="265"/>
      <c r="N1234" s="265"/>
      <c r="O1234" s="265"/>
      <c r="P1234" s="265"/>
      <c r="Q1234" s="265"/>
      <c r="BR1234" s="265"/>
      <c r="BS1234" s="265"/>
      <c r="BT1234" s="265"/>
      <c r="BU1234" s="265"/>
      <c r="BV1234" s="265"/>
    </row>
    <row r="1235" spans="12:74">
      <c r="L1235" s="265"/>
      <c r="M1235" s="265"/>
      <c r="N1235" s="265"/>
      <c r="O1235" s="265"/>
      <c r="P1235" s="265"/>
      <c r="Q1235" s="265"/>
      <c r="BR1235" s="265"/>
      <c r="BS1235" s="265"/>
      <c r="BT1235" s="265"/>
      <c r="BU1235" s="265"/>
      <c r="BV1235" s="265"/>
    </row>
    <row r="1236" spans="12:74">
      <c r="L1236" s="265"/>
      <c r="M1236" s="265"/>
      <c r="N1236" s="265"/>
      <c r="O1236" s="265"/>
      <c r="P1236" s="265"/>
      <c r="Q1236" s="265"/>
      <c r="BR1236" s="265"/>
      <c r="BS1236" s="265"/>
      <c r="BT1236" s="265"/>
      <c r="BU1236" s="265"/>
      <c r="BV1236" s="265"/>
    </row>
    <row r="1237" spans="12:74">
      <c r="L1237" s="265"/>
      <c r="M1237" s="265"/>
      <c r="N1237" s="265"/>
      <c r="O1237" s="265"/>
      <c r="P1237" s="265"/>
      <c r="Q1237" s="265"/>
      <c r="BR1237" s="265"/>
      <c r="BS1237" s="265"/>
      <c r="BT1237" s="265"/>
      <c r="BU1237" s="265"/>
      <c r="BV1237" s="265"/>
    </row>
    <row r="1238" spans="12:74">
      <c r="L1238" s="265"/>
      <c r="M1238" s="265"/>
      <c r="N1238" s="265"/>
      <c r="O1238" s="265"/>
      <c r="P1238" s="265"/>
      <c r="Q1238" s="265"/>
      <c r="BR1238" s="265"/>
      <c r="BS1238" s="265"/>
      <c r="BT1238" s="265"/>
      <c r="BU1238" s="265"/>
      <c r="BV1238" s="265"/>
    </row>
    <row r="1239" spans="12:74">
      <c r="L1239" s="265"/>
      <c r="M1239" s="265"/>
      <c r="N1239" s="265"/>
      <c r="O1239" s="265"/>
      <c r="P1239" s="265"/>
      <c r="Q1239" s="265"/>
      <c r="BR1239" s="265"/>
      <c r="BS1239" s="265"/>
      <c r="BT1239" s="265"/>
      <c r="BU1239" s="265"/>
      <c r="BV1239" s="265"/>
    </row>
    <row r="1240" spans="12:74">
      <c r="L1240" s="265"/>
      <c r="M1240" s="265"/>
      <c r="N1240" s="265"/>
      <c r="O1240" s="265"/>
      <c r="P1240" s="265"/>
      <c r="Q1240" s="265"/>
      <c r="BR1240" s="265"/>
      <c r="BS1240" s="265"/>
      <c r="BT1240" s="265"/>
      <c r="BU1240" s="265"/>
      <c r="BV1240" s="265"/>
    </row>
    <row r="1241" spans="12:74">
      <c r="L1241" s="265"/>
      <c r="M1241" s="265"/>
      <c r="N1241" s="265"/>
      <c r="O1241" s="265"/>
      <c r="P1241" s="265"/>
      <c r="Q1241" s="265"/>
      <c r="BR1241" s="265"/>
      <c r="BS1241" s="265"/>
      <c r="BT1241" s="265"/>
      <c r="BU1241" s="265"/>
      <c r="BV1241" s="265"/>
    </row>
    <row r="1242" spans="12:74">
      <c r="L1242" s="265"/>
      <c r="M1242" s="265"/>
      <c r="N1242" s="265"/>
      <c r="O1242" s="265"/>
      <c r="P1242" s="265"/>
      <c r="Q1242" s="265"/>
      <c r="BR1242" s="265"/>
      <c r="BS1242" s="265"/>
      <c r="BT1242" s="265"/>
      <c r="BU1242" s="265"/>
      <c r="BV1242" s="265"/>
    </row>
    <row r="1243" spans="12:74">
      <c r="L1243" s="265"/>
      <c r="M1243" s="265"/>
      <c r="N1243" s="265"/>
      <c r="O1243" s="265"/>
      <c r="P1243" s="265"/>
      <c r="Q1243" s="265"/>
      <c r="BR1243" s="265"/>
      <c r="BS1243" s="265"/>
      <c r="BT1243" s="265"/>
      <c r="BU1243" s="265"/>
      <c r="BV1243" s="265"/>
    </row>
    <row r="1244" spans="12:74">
      <c r="L1244" s="265"/>
      <c r="M1244" s="265"/>
      <c r="N1244" s="265"/>
      <c r="O1244" s="265"/>
      <c r="P1244" s="265"/>
      <c r="Q1244" s="265"/>
      <c r="BR1244" s="265"/>
      <c r="BS1244" s="265"/>
      <c r="BT1244" s="265"/>
      <c r="BU1244" s="265"/>
      <c r="BV1244" s="265"/>
    </row>
    <row r="1245" spans="12:74">
      <c r="L1245" s="265"/>
      <c r="M1245" s="265"/>
      <c r="N1245" s="265"/>
      <c r="O1245" s="265"/>
      <c r="P1245" s="265"/>
      <c r="Q1245" s="265"/>
      <c r="BR1245" s="265"/>
      <c r="BS1245" s="265"/>
      <c r="BT1245" s="265"/>
      <c r="BU1245" s="265"/>
      <c r="BV1245" s="265"/>
    </row>
    <row r="1246" spans="12:74">
      <c r="L1246" s="265"/>
      <c r="M1246" s="265"/>
      <c r="N1246" s="265"/>
      <c r="O1246" s="265"/>
      <c r="P1246" s="265"/>
      <c r="Q1246" s="265"/>
      <c r="BR1246" s="265"/>
      <c r="BS1246" s="265"/>
      <c r="BT1246" s="265"/>
      <c r="BU1246" s="265"/>
      <c r="BV1246" s="265"/>
    </row>
    <row r="1247" spans="12:74">
      <c r="L1247" s="265"/>
      <c r="M1247" s="265"/>
      <c r="N1247" s="265"/>
      <c r="O1247" s="265"/>
      <c r="P1247" s="265"/>
      <c r="Q1247" s="265"/>
      <c r="BR1247" s="265"/>
      <c r="BS1247" s="265"/>
      <c r="BT1247" s="265"/>
      <c r="BU1247" s="265"/>
      <c r="BV1247" s="265"/>
    </row>
    <row r="1248" spans="12:74">
      <c r="L1248" s="265"/>
      <c r="M1248" s="265"/>
      <c r="N1248" s="265"/>
      <c r="O1248" s="265"/>
      <c r="P1248" s="265"/>
      <c r="Q1248" s="265"/>
      <c r="BR1248" s="265"/>
      <c r="BS1248" s="265"/>
      <c r="BT1248" s="265"/>
      <c r="BU1248" s="265"/>
      <c r="BV1248" s="265"/>
    </row>
    <row r="1249" spans="12:74">
      <c r="L1249" s="265"/>
      <c r="M1249" s="265"/>
      <c r="N1249" s="265"/>
      <c r="O1249" s="265"/>
      <c r="P1249" s="265"/>
      <c r="Q1249" s="265"/>
      <c r="BR1249" s="265"/>
      <c r="BS1249" s="265"/>
      <c r="BT1249" s="265"/>
      <c r="BU1249" s="265"/>
      <c r="BV1249" s="265"/>
    </row>
    <row r="1250" spans="12:74">
      <c r="L1250" s="265"/>
      <c r="M1250" s="265"/>
      <c r="N1250" s="265"/>
      <c r="O1250" s="265"/>
      <c r="P1250" s="265"/>
      <c r="Q1250" s="265"/>
      <c r="BR1250" s="265"/>
      <c r="BS1250" s="265"/>
      <c r="BT1250" s="265"/>
      <c r="BU1250" s="265"/>
      <c r="BV1250" s="265"/>
    </row>
    <row r="1251" spans="12:74">
      <c r="L1251" s="265"/>
      <c r="M1251" s="265"/>
      <c r="N1251" s="265"/>
      <c r="O1251" s="265"/>
      <c r="P1251" s="265"/>
      <c r="Q1251" s="265"/>
      <c r="BR1251" s="265"/>
      <c r="BS1251" s="265"/>
      <c r="BT1251" s="265"/>
      <c r="BU1251" s="265"/>
      <c r="BV1251" s="265"/>
    </row>
    <row r="1252" spans="12:74">
      <c r="L1252" s="265"/>
      <c r="M1252" s="265"/>
      <c r="N1252" s="265"/>
      <c r="O1252" s="265"/>
      <c r="P1252" s="265"/>
      <c r="Q1252" s="265"/>
      <c r="BR1252" s="265"/>
      <c r="BS1252" s="265"/>
      <c r="BT1252" s="265"/>
      <c r="BU1252" s="265"/>
      <c r="BV1252" s="265"/>
    </row>
    <row r="1253" spans="12:74">
      <c r="L1253" s="265"/>
      <c r="M1253" s="265"/>
      <c r="N1253" s="265"/>
      <c r="O1253" s="265"/>
      <c r="P1253" s="265"/>
      <c r="Q1253" s="265"/>
      <c r="BR1253" s="265"/>
      <c r="BS1253" s="265"/>
      <c r="BT1253" s="265"/>
      <c r="BU1253" s="265"/>
      <c r="BV1253" s="265"/>
    </row>
    <row r="1254" spans="12:74">
      <c r="L1254" s="265"/>
      <c r="M1254" s="265"/>
      <c r="N1254" s="265"/>
      <c r="O1254" s="265"/>
      <c r="P1254" s="265"/>
      <c r="Q1254" s="265"/>
      <c r="BR1254" s="265"/>
      <c r="BS1254" s="265"/>
      <c r="BT1254" s="265"/>
      <c r="BU1254" s="265"/>
      <c r="BV1254" s="265"/>
    </row>
    <row r="1255" spans="12:74">
      <c r="L1255" s="265"/>
      <c r="M1255" s="265"/>
      <c r="N1255" s="265"/>
      <c r="O1255" s="265"/>
      <c r="P1255" s="265"/>
      <c r="Q1255" s="265"/>
      <c r="BR1255" s="265"/>
      <c r="BS1255" s="265"/>
      <c r="BT1255" s="265"/>
      <c r="BU1255" s="265"/>
      <c r="BV1255" s="265"/>
    </row>
    <row r="1256" spans="12:74">
      <c r="L1256" s="265"/>
      <c r="M1256" s="265"/>
      <c r="N1256" s="265"/>
      <c r="O1256" s="265"/>
      <c r="P1256" s="265"/>
      <c r="Q1256" s="265"/>
      <c r="BR1256" s="265"/>
      <c r="BS1256" s="265"/>
      <c r="BT1256" s="265"/>
      <c r="BU1256" s="265"/>
      <c r="BV1256" s="265"/>
    </row>
    <row r="1257" spans="12:74">
      <c r="L1257" s="265"/>
      <c r="M1257" s="265"/>
      <c r="N1257" s="265"/>
      <c r="O1257" s="265"/>
      <c r="P1257" s="265"/>
      <c r="Q1257" s="265"/>
      <c r="BR1257" s="265"/>
      <c r="BS1257" s="265"/>
      <c r="BT1257" s="265"/>
      <c r="BU1257" s="265"/>
      <c r="BV1257" s="265"/>
    </row>
    <row r="1258" spans="12:74">
      <c r="L1258" s="265"/>
      <c r="M1258" s="265"/>
      <c r="N1258" s="265"/>
      <c r="O1258" s="265"/>
      <c r="P1258" s="265"/>
      <c r="Q1258" s="265"/>
      <c r="BR1258" s="265"/>
      <c r="BS1258" s="265"/>
      <c r="BT1258" s="265"/>
      <c r="BU1258" s="265"/>
      <c r="BV1258" s="265"/>
    </row>
    <row r="1259" spans="12:74">
      <c r="L1259" s="265"/>
      <c r="M1259" s="265"/>
      <c r="N1259" s="265"/>
      <c r="O1259" s="265"/>
      <c r="P1259" s="265"/>
      <c r="Q1259" s="265"/>
      <c r="BR1259" s="265"/>
      <c r="BS1259" s="265"/>
      <c r="BT1259" s="265"/>
      <c r="BU1259" s="265"/>
      <c r="BV1259" s="265"/>
    </row>
    <row r="1260" spans="12:74">
      <c r="L1260" s="265"/>
      <c r="M1260" s="265"/>
      <c r="N1260" s="265"/>
      <c r="O1260" s="265"/>
      <c r="P1260" s="265"/>
      <c r="Q1260" s="265"/>
      <c r="BR1260" s="265"/>
      <c r="BS1260" s="265"/>
      <c r="BT1260" s="265"/>
      <c r="BU1260" s="265"/>
      <c r="BV1260" s="265"/>
    </row>
    <row r="1261" spans="12:74">
      <c r="L1261" s="265"/>
      <c r="M1261" s="265"/>
      <c r="N1261" s="265"/>
      <c r="O1261" s="265"/>
      <c r="P1261" s="265"/>
      <c r="Q1261" s="265"/>
      <c r="BR1261" s="265"/>
      <c r="BS1261" s="265"/>
      <c r="BT1261" s="265"/>
      <c r="BU1261" s="265"/>
      <c r="BV1261" s="265"/>
    </row>
    <row r="1262" spans="12:74">
      <c r="L1262" s="265"/>
      <c r="M1262" s="265"/>
      <c r="N1262" s="265"/>
      <c r="O1262" s="265"/>
      <c r="P1262" s="265"/>
      <c r="Q1262" s="265"/>
      <c r="BR1262" s="265"/>
      <c r="BS1262" s="265"/>
      <c r="BT1262" s="265"/>
      <c r="BU1262" s="265"/>
      <c r="BV1262" s="265"/>
    </row>
    <row r="1263" spans="12:74">
      <c r="L1263" s="265"/>
      <c r="M1263" s="265"/>
      <c r="N1263" s="265"/>
      <c r="O1263" s="265"/>
      <c r="P1263" s="265"/>
      <c r="Q1263" s="265"/>
      <c r="BR1263" s="265"/>
      <c r="BS1263" s="265"/>
      <c r="BT1263" s="265"/>
      <c r="BU1263" s="265"/>
      <c r="BV1263" s="265"/>
    </row>
    <row r="1264" spans="12:74">
      <c r="L1264" s="265"/>
      <c r="M1264" s="265"/>
      <c r="N1264" s="265"/>
      <c r="O1264" s="265"/>
      <c r="P1264" s="265"/>
      <c r="Q1264" s="265"/>
      <c r="BR1264" s="265"/>
      <c r="BS1264" s="265"/>
      <c r="BT1264" s="265"/>
      <c r="BU1264" s="265"/>
      <c r="BV1264" s="265"/>
    </row>
    <row r="1265" spans="12:74">
      <c r="L1265" s="265"/>
      <c r="M1265" s="265"/>
      <c r="N1265" s="265"/>
      <c r="O1265" s="265"/>
      <c r="P1265" s="265"/>
      <c r="Q1265" s="265"/>
      <c r="BR1265" s="265"/>
      <c r="BS1265" s="265"/>
      <c r="BT1265" s="265"/>
      <c r="BU1265" s="265"/>
      <c r="BV1265" s="265"/>
    </row>
    <row r="1266" spans="12:74">
      <c r="L1266" s="265"/>
      <c r="M1266" s="265"/>
      <c r="N1266" s="265"/>
      <c r="O1266" s="265"/>
      <c r="P1266" s="265"/>
      <c r="Q1266" s="265"/>
      <c r="BR1266" s="265"/>
      <c r="BS1266" s="265"/>
      <c r="BT1266" s="265"/>
      <c r="BU1266" s="265"/>
      <c r="BV1266" s="265"/>
    </row>
    <row r="1267" spans="12:74">
      <c r="L1267" s="265"/>
      <c r="M1267" s="265"/>
      <c r="N1267" s="265"/>
      <c r="O1267" s="265"/>
      <c r="P1267" s="265"/>
      <c r="Q1267" s="265"/>
      <c r="BR1267" s="265"/>
      <c r="BS1267" s="265"/>
      <c r="BT1267" s="265"/>
      <c r="BU1267" s="265"/>
      <c r="BV1267" s="265"/>
    </row>
    <row r="1268" spans="12:74">
      <c r="L1268" s="265"/>
      <c r="M1268" s="265"/>
      <c r="N1268" s="265"/>
      <c r="O1268" s="265"/>
      <c r="P1268" s="265"/>
      <c r="Q1268" s="265"/>
      <c r="BR1268" s="265"/>
      <c r="BS1268" s="265"/>
      <c r="BT1268" s="265"/>
      <c r="BU1268" s="265"/>
      <c r="BV1268" s="265"/>
    </row>
    <row r="1269" spans="12:74">
      <c r="L1269" s="265"/>
      <c r="M1269" s="265"/>
      <c r="N1269" s="265"/>
      <c r="O1269" s="265"/>
      <c r="P1269" s="265"/>
      <c r="Q1269" s="265"/>
      <c r="BR1269" s="265"/>
      <c r="BS1269" s="265"/>
      <c r="BT1269" s="265"/>
      <c r="BU1269" s="265"/>
      <c r="BV1269" s="265"/>
    </row>
    <row r="1270" spans="12:74">
      <c r="L1270" s="265"/>
      <c r="M1270" s="265"/>
      <c r="N1270" s="265"/>
      <c r="O1270" s="265"/>
      <c r="P1270" s="265"/>
      <c r="Q1270" s="265"/>
      <c r="BR1270" s="265"/>
      <c r="BS1270" s="265"/>
      <c r="BT1270" s="265"/>
      <c r="BU1270" s="265"/>
      <c r="BV1270" s="265"/>
    </row>
    <row r="1271" spans="12:74">
      <c r="L1271" s="265"/>
      <c r="M1271" s="265"/>
      <c r="N1271" s="265"/>
      <c r="O1271" s="265"/>
      <c r="P1271" s="265"/>
      <c r="Q1271" s="265"/>
      <c r="BR1271" s="265"/>
      <c r="BS1271" s="265"/>
      <c r="BT1271" s="265"/>
      <c r="BU1271" s="265"/>
      <c r="BV1271" s="265"/>
    </row>
    <row r="1272" spans="12:74">
      <c r="L1272" s="265"/>
      <c r="M1272" s="265"/>
      <c r="N1272" s="265"/>
      <c r="O1272" s="265"/>
      <c r="P1272" s="265"/>
      <c r="Q1272" s="265"/>
      <c r="BR1272" s="265"/>
      <c r="BS1272" s="265"/>
      <c r="BT1272" s="265"/>
      <c r="BU1272" s="265"/>
      <c r="BV1272" s="265"/>
    </row>
    <row r="1273" spans="12:74">
      <c r="L1273" s="265"/>
      <c r="M1273" s="265"/>
      <c r="N1273" s="265"/>
      <c r="O1273" s="265"/>
      <c r="P1273" s="265"/>
      <c r="Q1273" s="265"/>
      <c r="BR1273" s="265"/>
      <c r="BS1273" s="265"/>
      <c r="BT1273" s="265"/>
      <c r="BU1273" s="265"/>
      <c r="BV1273" s="265"/>
    </row>
    <row r="1274" spans="12:74">
      <c r="L1274" s="265"/>
      <c r="M1274" s="265"/>
      <c r="N1274" s="265"/>
      <c r="O1274" s="265"/>
      <c r="P1274" s="265"/>
      <c r="Q1274" s="265"/>
      <c r="BR1274" s="265"/>
      <c r="BS1274" s="265"/>
      <c r="BT1274" s="265"/>
      <c r="BU1274" s="265"/>
      <c r="BV1274" s="265"/>
    </row>
    <row r="1275" spans="12:74">
      <c r="L1275" s="265"/>
      <c r="M1275" s="265"/>
      <c r="N1275" s="265"/>
      <c r="O1275" s="265"/>
      <c r="P1275" s="265"/>
      <c r="Q1275" s="265"/>
      <c r="BR1275" s="265"/>
      <c r="BS1275" s="265"/>
      <c r="BT1275" s="265"/>
      <c r="BU1275" s="265"/>
      <c r="BV1275" s="265"/>
    </row>
    <row r="1276" spans="12:74">
      <c r="L1276" s="265"/>
      <c r="M1276" s="265"/>
      <c r="N1276" s="265"/>
      <c r="O1276" s="265"/>
      <c r="P1276" s="265"/>
      <c r="Q1276" s="265"/>
      <c r="BR1276" s="265"/>
      <c r="BS1276" s="265"/>
      <c r="BT1276" s="265"/>
      <c r="BU1276" s="265"/>
      <c r="BV1276" s="265"/>
    </row>
    <row r="1277" spans="12:74">
      <c r="L1277" s="265"/>
      <c r="M1277" s="265"/>
      <c r="N1277" s="265"/>
      <c r="O1277" s="265"/>
      <c r="P1277" s="265"/>
      <c r="Q1277" s="265"/>
      <c r="BR1277" s="265"/>
      <c r="BS1277" s="265"/>
      <c r="BT1277" s="265"/>
      <c r="BU1277" s="265"/>
      <c r="BV1277" s="265"/>
    </row>
    <row r="1278" spans="12:74">
      <c r="L1278" s="265"/>
      <c r="M1278" s="265"/>
      <c r="N1278" s="265"/>
      <c r="O1278" s="265"/>
      <c r="P1278" s="265"/>
      <c r="Q1278" s="265"/>
      <c r="BR1278" s="265"/>
      <c r="BS1278" s="265"/>
      <c r="BT1278" s="265"/>
      <c r="BU1278" s="265"/>
      <c r="BV1278" s="265"/>
    </row>
    <row r="1279" spans="12:74">
      <c r="L1279" s="265"/>
      <c r="M1279" s="265"/>
      <c r="N1279" s="265"/>
      <c r="O1279" s="265"/>
      <c r="P1279" s="265"/>
      <c r="Q1279" s="265"/>
      <c r="BR1279" s="265"/>
      <c r="BS1279" s="265"/>
      <c r="BT1279" s="265"/>
      <c r="BU1279" s="265"/>
      <c r="BV1279" s="265"/>
    </row>
    <row r="1280" spans="12:74">
      <c r="L1280" s="265"/>
      <c r="M1280" s="265"/>
      <c r="N1280" s="265"/>
      <c r="O1280" s="265"/>
      <c r="P1280" s="265"/>
      <c r="Q1280" s="265"/>
      <c r="BR1280" s="265"/>
      <c r="BS1280" s="265"/>
      <c r="BT1280" s="265"/>
      <c r="BU1280" s="265"/>
      <c r="BV1280" s="265"/>
    </row>
    <row r="1281" spans="12:74">
      <c r="L1281" s="265"/>
      <c r="M1281" s="265"/>
      <c r="N1281" s="265"/>
      <c r="O1281" s="265"/>
      <c r="P1281" s="265"/>
      <c r="Q1281" s="265"/>
      <c r="BR1281" s="265"/>
      <c r="BS1281" s="265"/>
      <c r="BT1281" s="265"/>
      <c r="BU1281" s="265"/>
      <c r="BV1281" s="265"/>
    </row>
    <row r="1282" spans="12:74">
      <c r="L1282" s="265"/>
      <c r="M1282" s="265"/>
      <c r="N1282" s="265"/>
      <c r="O1282" s="265"/>
      <c r="P1282" s="265"/>
      <c r="Q1282" s="265"/>
      <c r="BR1282" s="265"/>
      <c r="BS1282" s="265"/>
      <c r="BT1282" s="265"/>
      <c r="BU1282" s="265"/>
      <c r="BV1282" s="265"/>
    </row>
    <row r="1283" spans="12:74">
      <c r="L1283" s="265"/>
      <c r="M1283" s="265"/>
      <c r="N1283" s="265"/>
      <c r="O1283" s="265"/>
      <c r="P1283" s="265"/>
      <c r="Q1283" s="265"/>
      <c r="BR1283" s="265"/>
      <c r="BS1283" s="265"/>
      <c r="BT1283" s="265"/>
      <c r="BU1283" s="265"/>
      <c r="BV1283" s="265"/>
    </row>
    <row r="1284" spans="12:74">
      <c r="L1284" s="265"/>
      <c r="M1284" s="265"/>
      <c r="N1284" s="265"/>
      <c r="O1284" s="265"/>
      <c r="P1284" s="265"/>
      <c r="Q1284" s="265"/>
      <c r="BR1284" s="265"/>
      <c r="BS1284" s="265"/>
      <c r="BT1284" s="265"/>
      <c r="BU1284" s="265"/>
      <c r="BV1284" s="265"/>
    </row>
    <row r="1285" spans="12:74">
      <c r="L1285" s="265"/>
      <c r="M1285" s="265"/>
      <c r="N1285" s="265"/>
      <c r="O1285" s="265"/>
      <c r="P1285" s="265"/>
      <c r="Q1285" s="265"/>
      <c r="BR1285" s="265"/>
      <c r="BS1285" s="265"/>
      <c r="BT1285" s="265"/>
      <c r="BU1285" s="265"/>
      <c r="BV1285" s="265"/>
    </row>
    <row r="1286" spans="12:74">
      <c r="L1286" s="265"/>
      <c r="M1286" s="265"/>
      <c r="N1286" s="265"/>
      <c r="O1286" s="265"/>
      <c r="P1286" s="265"/>
      <c r="Q1286" s="265"/>
      <c r="BR1286" s="265"/>
      <c r="BS1286" s="265"/>
      <c r="BT1286" s="265"/>
      <c r="BU1286" s="265"/>
      <c r="BV1286" s="265"/>
    </row>
    <row r="1287" spans="12:74">
      <c r="L1287" s="265"/>
      <c r="M1287" s="265"/>
      <c r="N1287" s="265"/>
      <c r="O1287" s="265"/>
      <c r="P1287" s="265"/>
      <c r="Q1287" s="265"/>
      <c r="BR1287" s="265"/>
      <c r="BS1287" s="265"/>
      <c r="BT1287" s="265"/>
      <c r="BU1287" s="265"/>
      <c r="BV1287" s="265"/>
    </row>
    <row r="1288" spans="12:74">
      <c r="L1288" s="265"/>
      <c r="M1288" s="265"/>
      <c r="N1288" s="265"/>
      <c r="O1288" s="265"/>
      <c r="P1288" s="265"/>
      <c r="Q1288" s="265"/>
      <c r="BR1288" s="265"/>
      <c r="BS1288" s="265"/>
      <c r="BT1288" s="265"/>
      <c r="BU1288" s="265"/>
      <c r="BV1288" s="265"/>
    </row>
    <row r="1289" spans="12:74">
      <c r="L1289" s="265"/>
      <c r="M1289" s="265"/>
      <c r="N1289" s="265"/>
      <c r="O1289" s="265"/>
      <c r="P1289" s="265"/>
      <c r="Q1289" s="265"/>
      <c r="BR1289" s="265"/>
      <c r="BS1289" s="265"/>
      <c r="BT1289" s="265"/>
      <c r="BU1289" s="265"/>
      <c r="BV1289" s="265"/>
    </row>
    <row r="1290" spans="12:74">
      <c r="L1290" s="265"/>
      <c r="M1290" s="265"/>
      <c r="N1290" s="265"/>
      <c r="O1290" s="265"/>
      <c r="P1290" s="265"/>
      <c r="Q1290" s="265"/>
      <c r="BR1290" s="265"/>
      <c r="BS1290" s="265"/>
      <c r="BT1290" s="265"/>
      <c r="BU1290" s="265"/>
      <c r="BV1290" s="265"/>
    </row>
    <row r="1291" spans="12:74">
      <c r="L1291" s="265"/>
      <c r="M1291" s="265"/>
      <c r="N1291" s="265"/>
      <c r="O1291" s="265"/>
      <c r="P1291" s="265"/>
      <c r="Q1291" s="265"/>
      <c r="BR1291" s="265"/>
      <c r="BS1291" s="265"/>
      <c r="BT1291" s="265"/>
      <c r="BU1291" s="265"/>
      <c r="BV1291" s="265"/>
    </row>
    <row r="1292" spans="12:74">
      <c r="L1292" s="265"/>
      <c r="M1292" s="265"/>
      <c r="N1292" s="265"/>
      <c r="O1292" s="265"/>
      <c r="P1292" s="265"/>
      <c r="Q1292" s="265"/>
      <c r="BR1292" s="265"/>
      <c r="BS1292" s="265"/>
      <c r="BT1292" s="265"/>
      <c r="BU1292" s="265"/>
      <c r="BV1292" s="265"/>
    </row>
    <row r="1293" spans="12:74">
      <c r="L1293" s="265"/>
      <c r="M1293" s="265"/>
      <c r="N1293" s="265"/>
      <c r="O1293" s="265"/>
      <c r="P1293" s="265"/>
      <c r="Q1293" s="265"/>
      <c r="BR1293" s="265"/>
      <c r="BS1293" s="265"/>
      <c r="BT1293" s="265"/>
      <c r="BU1293" s="265"/>
      <c r="BV1293" s="265"/>
    </row>
    <row r="1294" spans="12:74">
      <c r="L1294" s="265"/>
      <c r="M1294" s="265"/>
      <c r="N1294" s="265"/>
      <c r="O1294" s="265"/>
      <c r="P1294" s="265"/>
      <c r="Q1294" s="265"/>
      <c r="BR1294" s="265"/>
      <c r="BS1294" s="265"/>
      <c r="BT1294" s="265"/>
      <c r="BU1294" s="265"/>
      <c r="BV1294" s="265"/>
    </row>
    <row r="1295" spans="12:74">
      <c r="L1295" s="265"/>
      <c r="M1295" s="265"/>
      <c r="N1295" s="265"/>
      <c r="O1295" s="265"/>
      <c r="P1295" s="265"/>
      <c r="Q1295" s="265"/>
      <c r="BR1295" s="265"/>
      <c r="BS1295" s="265"/>
      <c r="BT1295" s="265"/>
      <c r="BU1295" s="265"/>
      <c r="BV1295" s="265"/>
    </row>
    <row r="1296" spans="12:74">
      <c r="L1296" s="265"/>
      <c r="M1296" s="265"/>
      <c r="N1296" s="265"/>
      <c r="O1296" s="265"/>
      <c r="P1296" s="265"/>
      <c r="Q1296" s="265"/>
      <c r="BR1296" s="265"/>
      <c r="BS1296" s="265"/>
      <c r="BT1296" s="265"/>
      <c r="BU1296" s="265"/>
      <c r="BV1296" s="265"/>
    </row>
    <row r="1297" spans="12:74">
      <c r="L1297" s="265"/>
      <c r="M1297" s="265"/>
      <c r="N1297" s="265"/>
      <c r="O1297" s="265"/>
      <c r="P1297" s="265"/>
      <c r="Q1297" s="265"/>
      <c r="BR1297" s="265"/>
      <c r="BS1297" s="265"/>
      <c r="BT1297" s="265"/>
      <c r="BU1297" s="265"/>
      <c r="BV1297" s="265"/>
    </row>
    <row r="1298" spans="12:74">
      <c r="L1298" s="265"/>
      <c r="M1298" s="265"/>
      <c r="N1298" s="265"/>
      <c r="O1298" s="265"/>
      <c r="P1298" s="265"/>
      <c r="Q1298" s="265"/>
      <c r="BR1298" s="265"/>
      <c r="BS1298" s="265"/>
      <c r="BT1298" s="265"/>
      <c r="BU1298" s="265"/>
      <c r="BV1298" s="265"/>
    </row>
    <row r="1299" spans="12:74">
      <c r="L1299" s="265"/>
      <c r="M1299" s="265"/>
      <c r="N1299" s="265"/>
      <c r="O1299" s="265"/>
      <c r="P1299" s="265"/>
      <c r="Q1299" s="265"/>
      <c r="BR1299" s="265"/>
      <c r="BS1299" s="265"/>
      <c r="BT1299" s="265"/>
      <c r="BU1299" s="265"/>
      <c r="BV1299" s="265"/>
    </row>
    <row r="1300" spans="12:74">
      <c r="L1300" s="265"/>
      <c r="M1300" s="265"/>
      <c r="N1300" s="265"/>
      <c r="O1300" s="265"/>
      <c r="P1300" s="265"/>
      <c r="Q1300" s="265"/>
      <c r="BR1300" s="265"/>
      <c r="BS1300" s="265"/>
      <c r="BT1300" s="265"/>
      <c r="BU1300" s="265"/>
      <c r="BV1300" s="265"/>
    </row>
    <row r="1301" spans="12:74">
      <c r="L1301" s="265"/>
      <c r="M1301" s="265"/>
      <c r="N1301" s="265"/>
      <c r="O1301" s="265"/>
      <c r="P1301" s="265"/>
      <c r="Q1301" s="265"/>
      <c r="BR1301" s="265"/>
      <c r="BS1301" s="265"/>
      <c r="BT1301" s="265"/>
      <c r="BU1301" s="265"/>
      <c r="BV1301" s="265"/>
    </row>
    <row r="1302" spans="12:74">
      <c r="L1302" s="265"/>
      <c r="M1302" s="265"/>
      <c r="N1302" s="265"/>
      <c r="O1302" s="265"/>
      <c r="P1302" s="265"/>
      <c r="Q1302" s="265"/>
      <c r="BR1302" s="265"/>
      <c r="BS1302" s="265"/>
      <c r="BT1302" s="265"/>
      <c r="BU1302" s="265"/>
      <c r="BV1302" s="265"/>
    </row>
    <row r="1303" spans="12:74">
      <c r="L1303" s="265"/>
      <c r="M1303" s="265"/>
      <c r="N1303" s="265"/>
      <c r="O1303" s="265"/>
      <c r="P1303" s="265"/>
      <c r="Q1303" s="265"/>
      <c r="BR1303" s="265"/>
      <c r="BS1303" s="265"/>
      <c r="BT1303" s="265"/>
      <c r="BU1303" s="265"/>
      <c r="BV1303" s="265"/>
    </row>
    <row r="1304" spans="12:74">
      <c r="L1304" s="265"/>
      <c r="M1304" s="265"/>
      <c r="N1304" s="265"/>
      <c r="O1304" s="265"/>
      <c r="P1304" s="265"/>
      <c r="Q1304" s="265"/>
      <c r="BR1304" s="265"/>
      <c r="BS1304" s="265"/>
      <c r="BT1304" s="265"/>
      <c r="BU1304" s="265"/>
      <c r="BV1304" s="265"/>
    </row>
    <row r="1305" spans="12:74">
      <c r="L1305" s="265"/>
      <c r="M1305" s="265"/>
      <c r="N1305" s="265"/>
      <c r="O1305" s="265"/>
      <c r="P1305" s="265"/>
      <c r="Q1305" s="265"/>
      <c r="BR1305" s="265"/>
      <c r="BS1305" s="265"/>
      <c r="BT1305" s="265"/>
      <c r="BU1305" s="265"/>
      <c r="BV1305" s="265"/>
    </row>
    <row r="1306" spans="12:74">
      <c r="L1306" s="265"/>
      <c r="M1306" s="265"/>
      <c r="N1306" s="265"/>
      <c r="O1306" s="265"/>
      <c r="P1306" s="265"/>
      <c r="Q1306" s="265"/>
      <c r="BR1306" s="265"/>
      <c r="BS1306" s="265"/>
      <c r="BT1306" s="265"/>
      <c r="BU1306" s="265"/>
      <c r="BV1306" s="265"/>
    </row>
    <row r="1307" spans="12:74">
      <c r="L1307" s="265"/>
      <c r="M1307" s="265"/>
      <c r="N1307" s="265"/>
      <c r="O1307" s="265"/>
      <c r="P1307" s="265"/>
      <c r="Q1307" s="265"/>
      <c r="BR1307" s="265"/>
      <c r="BS1307" s="265"/>
      <c r="BT1307" s="265"/>
      <c r="BU1307" s="265"/>
      <c r="BV1307" s="265"/>
    </row>
    <row r="1308" spans="12:74">
      <c r="L1308" s="265"/>
      <c r="M1308" s="265"/>
      <c r="N1308" s="265"/>
      <c r="O1308" s="265"/>
      <c r="P1308" s="265"/>
      <c r="Q1308" s="265"/>
      <c r="BR1308" s="265"/>
      <c r="BS1308" s="265"/>
      <c r="BT1308" s="265"/>
      <c r="BU1308" s="265"/>
      <c r="BV1308" s="265"/>
    </row>
    <row r="1309" spans="12:74">
      <c r="L1309" s="265"/>
      <c r="M1309" s="265"/>
      <c r="N1309" s="265"/>
      <c r="O1309" s="265"/>
      <c r="P1309" s="265"/>
      <c r="Q1309" s="265"/>
      <c r="BR1309" s="265"/>
      <c r="BS1309" s="265"/>
      <c r="BT1309" s="265"/>
      <c r="BU1309" s="265"/>
      <c r="BV1309" s="265"/>
    </row>
    <row r="1310" spans="12:74">
      <c r="L1310" s="265"/>
      <c r="M1310" s="265"/>
      <c r="N1310" s="265"/>
      <c r="O1310" s="265"/>
      <c r="P1310" s="265"/>
      <c r="Q1310" s="265"/>
      <c r="BR1310" s="265"/>
      <c r="BS1310" s="265"/>
      <c r="BT1310" s="265"/>
      <c r="BU1310" s="265"/>
      <c r="BV1310" s="265"/>
    </row>
    <row r="1311" spans="12:74">
      <c r="L1311" s="265"/>
      <c r="M1311" s="265"/>
      <c r="N1311" s="265"/>
      <c r="O1311" s="265"/>
      <c r="P1311" s="265"/>
      <c r="Q1311" s="265"/>
      <c r="BR1311" s="265"/>
      <c r="BS1311" s="265"/>
      <c r="BT1311" s="265"/>
      <c r="BU1311" s="265"/>
      <c r="BV1311" s="265"/>
    </row>
    <row r="1312" spans="12:74">
      <c r="L1312" s="265"/>
      <c r="M1312" s="265"/>
      <c r="N1312" s="265"/>
      <c r="O1312" s="265"/>
      <c r="P1312" s="265"/>
      <c r="Q1312" s="265"/>
      <c r="BR1312" s="265"/>
      <c r="BS1312" s="265"/>
      <c r="BT1312" s="265"/>
      <c r="BU1312" s="265"/>
      <c r="BV1312" s="265"/>
    </row>
    <row r="1313" spans="12:74">
      <c r="L1313" s="265"/>
      <c r="M1313" s="265"/>
      <c r="N1313" s="265"/>
      <c r="O1313" s="265"/>
      <c r="P1313" s="265"/>
      <c r="Q1313" s="265"/>
      <c r="BR1313" s="265"/>
      <c r="BS1313" s="265"/>
      <c r="BT1313" s="265"/>
      <c r="BU1313" s="265"/>
      <c r="BV1313" s="265"/>
    </row>
    <row r="1314" spans="12:74">
      <c r="L1314" s="265"/>
      <c r="M1314" s="265"/>
      <c r="N1314" s="265"/>
      <c r="O1314" s="265"/>
      <c r="P1314" s="265"/>
      <c r="Q1314" s="265"/>
      <c r="BR1314" s="265"/>
      <c r="BS1314" s="265"/>
      <c r="BT1314" s="265"/>
      <c r="BU1314" s="265"/>
      <c r="BV1314" s="265"/>
    </row>
    <row r="1315" spans="12:74">
      <c r="L1315" s="265"/>
      <c r="M1315" s="265"/>
      <c r="N1315" s="265"/>
      <c r="O1315" s="265"/>
      <c r="P1315" s="265"/>
      <c r="Q1315" s="265"/>
      <c r="BR1315" s="265"/>
      <c r="BS1315" s="265"/>
      <c r="BT1315" s="265"/>
      <c r="BU1315" s="265"/>
      <c r="BV1315" s="265"/>
    </row>
    <row r="1316" spans="12:74">
      <c r="L1316" s="265"/>
      <c r="M1316" s="265"/>
      <c r="N1316" s="265"/>
      <c r="O1316" s="265"/>
      <c r="P1316" s="265"/>
      <c r="Q1316" s="265"/>
      <c r="BR1316" s="265"/>
      <c r="BS1316" s="265"/>
      <c r="BT1316" s="265"/>
      <c r="BU1316" s="265"/>
      <c r="BV1316" s="265"/>
    </row>
    <row r="1317" spans="12:74">
      <c r="L1317" s="265"/>
      <c r="M1317" s="265"/>
      <c r="N1317" s="265"/>
      <c r="O1317" s="265"/>
      <c r="P1317" s="265"/>
      <c r="Q1317" s="265"/>
      <c r="BR1317" s="265"/>
      <c r="BS1317" s="265"/>
      <c r="BT1317" s="265"/>
      <c r="BU1317" s="265"/>
      <c r="BV1317" s="265"/>
    </row>
    <row r="1318" spans="12:74">
      <c r="L1318" s="265"/>
      <c r="M1318" s="265"/>
      <c r="N1318" s="265"/>
      <c r="O1318" s="265"/>
      <c r="P1318" s="265"/>
      <c r="Q1318" s="265"/>
      <c r="BR1318" s="265"/>
      <c r="BS1318" s="265"/>
      <c r="BT1318" s="265"/>
      <c r="BU1318" s="265"/>
      <c r="BV1318" s="265"/>
    </row>
    <row r="1319" spans="12:74">
      <c r="L1319" s="265"/>
      <c r="M1319" s="265"/>
      <c r="N1319" s="265"/>
      <c r="O1319" s="265"/>
      <c r="P1319" s="265"/>
      <c r="Q1319" s="265"/>
      <c r="BR1319" s="265"/>
      <c r="BS1319" s="265"/>
      <c r="BT1319" s="265"/>
      <c r="BU1319" s="265"/>
      <c r="BV1319" s="265"/>
    </row>
    <row r="1320" spans="12:74">
      <c r="L1320" s="265"/>
      <c r="M1320" s="265"/>
      <c r="N1320" s="265"/>
      <c r="O1320" s="265"/>
      <c r="P1320" s="265"/>
      <c r="Q1320" s="265"/>
      <c r="BR1320" s="265"/>
      <c r="BS1320" s="265"/>
      <c r="BT1320" s="265"/>
      <c r="BU1320" s="265"/>
      <c r="BV1320" s="265"/>
    </row>
    <row r="1321" spans="12:74">
      <c r="L1321" s="265"/>
      <c r="M1321" s="265"/>
      <c r="N1321" s="265"/>
      <c r="O1321" s="265"/>
      <c r="P1321" s="265"/>
      <c r="Q1321" s="265"/>
      <c r="BR1321" s="265"/>
      <c r="BS1321" s="265"/>
      <c r="BT1321" s="265"/>
      <c r="BU1321" s="265"/>
      <c r="BV1321" s="265"/>
    </row>
    <row r="1322" spans="12:74">
      <c r="L1322" s="265"/>
      <c r="M1322" s="265"/>
      <c r="N1322" s="265"/>
      <c r="O1322" s="265"/>
      <c r="P1322" s="265"/>
      <c r="Q1322" s="265"/>
      <c r="BR1322" s="265"/>
      <c r="BS1322" s="265"/>
      <c r="BT1322" s="265"/>
      <c r="BU1322" s="265"/>
      <c r="BV1322" s="265"/>
    </row>
    <row r="1323" spans="12:74">
      <c r="L1323" s="265"/>
      <c r="M1323" s="265"/>
      <c r="N1323" s="265"/>
      <c r="O1323" s="265"/>
      <c r="P1323" s="265"/>
      <c r="Q1323" s="265"/>
      <c r="BR1323" s="265"/>
      <c r="BS1323" s="265"/>
      <c r="BT1323" s="265"/>
      <c r="BU1323" s="265"/>
      <c r="BV1323" s="265"/>
    </row>
    <row r="1324" spans="12:74">
      <c r="L1324" s="265"/>
      <c r="M1324" s="265"/>
      <c r="N1324" s="265"/>
      <c r="O1324" s="265"/>
      <c r="P1324" s="265"/>
      <c r="Q1324" s="265"/>
      <c r="BR1324" s="265"/>
      <c r="BS1324" s="265"/>
      <c r="BT1324" s="265"/>
      <c r="BU1324" s="265"/>
      <c r="BV1324" s="265"/>
    </row>
    <row r="1325" spans="12:74">
      <c r="L1325" s="265"/>
      <c r="M1325" s="265"/>
      <c r="N1325" s="265"/>
      <c r="O1325" s="265"/>
      <c r="P1325" s="265"/>
      <c r="Q1325" s="265"/>
      <c r="BR1325" s="265"/>
      <c r="BS1325" s="265"/>
      <c r="BT1325" s="265"/>
      <c r="BU1325" s="265"/>
      <c r="BV1325" s="265"/>
    </row>
    <row r="1326" spans="12:74">
      <c r="L1326" s="265"/>
      <c r="M1326" s="265"/>
      <c r="N1326" s="265"/>
      <c r="O1326" s="265"/>
      <c r="P1326" s="265"/>
      <c r="Q1326" s="265"/>
      <c r="BR1326" s="265"/>
      <c r="BS1326" s="265"/>
      <c r="BT1326" s="265"/>
      <c r="BU1326" s="265"/>
      <c r="BV1326" s="265"/>
    </row>
    <row r="1327" spans="12:74">
      <c r="L1327" s="265"/>
      <c r="M1327" s="265"/>
      <c r="N1327" s="265"/>
      <c r="O1327" s="265"/>
      <c r="P1327" s="265"/>
      <c r="Q1327" s="265"/>
      <c r="BR1327" s="265"/>
      <c r="BS1327" s="265"/>
      <c r="BT1327" s="265"/>
      <c r="BU1327" s="265"/>
      <c r="BV1327" s="265"/>
    </row>
    <row r="1328" spans="12:74">
      <c r="L1328" s="265"/>
      <c r="M1328" s="265"/>
      <c r="N1328" s="265"/>
      <c r="O1328" s="265"/>
      <c r="P1328" s="265"/>
      <c r="Q1328" s="265"/>
      <c r="BR1328" s="265"/>
      <c r="BS1328" s="265"/>
      <c r="BT1328" s="265"/>
      <c r="BU1328" s="265"/>
      <c r="BV1328" s="265"/>
    </row>
    <row r="1329" spans="12:74">
      <c r="L1329" s="265"/>
      <c r="M1329" s="265"/>
      <c r="N1329" s="265"/>
      <c r="O1329" s="265"/>
      <c r="P1329" s="265"/>
      <c r="Q1329" s="265"/>
      <c r="BR1329" s="265"/>
      <c r="BS1329" s="265"/>
      <c r="BT1329" s="265"/>
      <c r="BU1329" s="265"/>
      <c r="BV1329" s="265"/>
    </row>
    <row r="1330" spans="12:74">
      <c r="L1330" s="265"/>
      <c r="M1330" s="265"/>
      <c r="N1330" s="265"/>
      <c r="O1330" s="265"/>
      <c r="P1330" s="265"/>
      <c r="Q1330" s="265"/>
      <c r="BR1330" s="265"/>
      <c r="BS1330" s="265"/>
      <c r="BT1330" s="265"/>
      <c r="BU1330" s="265"/>
      <c r="BV1330" s="265"/>
    </row>
    <row r="1331" spans="12:74">
      <c r="L1331" s="265"/>
      <c r="M1331" s="265"/>
      <c r="N1331" s="265"/>
      <c r="O1331" s="265"/>
      <c r="P1331" s="265"/>
      <c r="Q1331" s="265"/>
      <c r="BR1331" s="265"/>
      <c r="BS1331" s="265"/>
      <c r="BT1331" s="265"/>
      <c r="BU1331" s="265"/>
      <c r="BV1331" s="265"/>
    </row>
    <row r="1332" spans="12:74">
      <c r="L1332" s="265"/>
      <c r="M1332" s="265"/>
      <c r="N1332" s="265"/>
      <c r="O1332" s="265"/>
      <c r="P1332" s="265"/>
      <c r="Q1332" s="265"/>
      <c r="BR1332" s="265"/>
      <c r="BS1332" s="265"/>
      <c r="BT1332" s="265"/>
      <c r="BU1332" s="265"/>
      <c r="BV1332" s="265"/>
    </row>
    <row r="1333" spans="12:74">
      <c r="L1333" s="265"/>
      <c r="M1333" s="265"/>
      <c r="N1333" s="265"/>
      <c r="O1333" s="265"/>
      <c r="P1333" s="265"/>
      <c r="Q1333" s="265"/>
      <c r="BR1333" s="265"/>
      <c r="BS1333" s="265"/>
      <c r="BT1333" s="265"/>
      <c r="BU1333" s="265"/>
      <c r="BV1333" s="265"/>
    </row>
    <row r="1334" spans="12:74">
      <c r="L1334" s="265"/>
      <c r="M1334" s="265"/>
      <c r="N1334" s="265"/>
      <c r="O1334" s="265"/>
      <c r="P1334" s="265"/>
      <c r="Q1334" s="265"/>
      <c r="BR1334" s="265"/>
      <c r="BS1334" s="265"/>
      <c r="BT1334" s="265"/>
      <c r="BU1334" s="265"/>
      <c r="BV1334" s="265"/>
    </row>
    <row r="1335" spans="12:74">
      <c r="L1335" s="265"/>
      <c r="M1335" s="265"/>
      <c r="N1335" s="265"/>
      <c r="O1335" s="265"/>
      <c r="P1335" s="265"/>
      <c r="Q1335" s="265"/>
      <c r="BR1335" s="265"/>
      <c r="BS1335" s="265"/>
      <c r="BT1335" s="265"/>
      <c r="BU1335" s="265"/>
      <c r="BV1335" s="265"/>
    </row>
    <row r="1336" spans="12:74">
      <c r="L1336" s="265"/>
      <c r="M1336" s="265"/>
      <c r="N1336" s="265"/>
      <c r="O1336" s="265"/>
      <c r="P1336" s="265"/>
      <c r="Q1336" s="265"/>
      <c r="BR1336" s="265"/>
      <c r="BS1336" s="265"/>
      <c r="BT1336" s="265"/>
      <c r="BU1336" s="265"/>
      <c r="BV1336" s="265"/>
    </row>
    <row r="1337" spans="12:74">
      <c r="L1337" s="265"/>
      <c r="M1337" s="265"/>
      <c r="N1337" s="265"/>
      <c r="O1337" s="265"/>
      <c r="P1337" s="265"/>
      <c r="Q1337" s="265"/>
      <c r="BR1337" s="265"/>
      <c r="BS1337" s="265"/>
      <c r="BT1337" s="265"/>
      <c r="BU1337" s="265"/>
      <c r="BV1337" s="265"/>
    </row>
    <row r="1338" spans="12:74">
      <c r="L1338" s="265"/>
      <c r="M1338" s="265"/>
      <c r="N1338" s="265"/>
      <c r="O1338" s="265"/>
      <c r="P1338" s="265"/>
      <c r="Q1338" s="265"/>
      <c r="BR1338" s="265"/>
      <c r="BS1338" s="265"/>
      <c r="BT1338" s="265"/>
      <c r="BU1338" s="265"/>
      <c r="BV1338" s="265"/>
    </row>
    <row r="1339" spans="12:74">
      <c r="L1339" s="265"/>
      <c r="M1339" s="265"/>
      <c r="N1339" s="265"/>
      <c r="O1339" s="265"/>
      <c r="P1339" s="265"/>
      <c r="Q1339" s="265"/>
      <c r="BR1339" s="265"/>
      <c r="BS1339" s="265"/>
      <c r="BT1339" s="265"/>
      <c r="BU1339" s="265"/>
      <c r="BV1339" s="265"/>
    </row>
    <row r="1340" spans="12:74">
      <c r="L1340" s="265"/>
      <c r="M1340" s="265"/>
      <c r="N1340" s="265"/>
      <c r="O1340" s="265"/>
      <c r="P1340" s="265"/>
      <c r="Q1340" s="265"/>
      <c r="BR1340" s="265"/>
      <c r="BS1340" s="265"/>
      <c r="BT1340" s="265"/>
      <c r="BU1340" s="265"/>
      <c r="BV1340" s="265"/>
    </row>
    <row r="1341" spans="12:74">
      <c r="L1341" s="265"/>
      <c r="M1341" s="265"/>
      <c r="N1341" s="265"/>
      <c r="O1341" s="265"/>
      <c r="P1341" s="265"/>
      <c r="Q1341" s="265"/>
      <c r="BR1341" s="265"/>
      <c r="BS1341" s="265"/>
      <c r="BT1341" s="265"/>
      <c r="BU1341" s="265"/>
      <c r="BV1341" s="265"/>
    </row>
    <row r="1342" spans="12:74">
      <c r="L1342" s="265"/>
      <c r="M1342" s="265"/>
      <c r="N1342" s="265"/>
      <c r="O1342" s="265"/>
      <c r="P1342" s="265"/>
      <c r="Q1342" s="265"/>
      <c r="BR1342" s="265"/>
      <c r="BS1342" s="265"/>
      <c r="BT1342" s="265"/>
      <c r="BU1342" s="265"/>
      <c r="BV1342" s="265"/>
    </row>
    <row r="1343" spans="12:74">
      <c r="L1343" s="265"/>
      <c r="M1343" s="265"/>
      <c r="N1343" s="265"/>
      <c r="O1343" s="265"/>
      <c r="P1343" s="265"/>
      <c r="Q1343" s="265"/>
      <c r="BR1343" s="265"/>
      <c r="BS1343" s="265"/>
      <c r="BT1343" s="265"/>
      <c r="BU1343" s="265"/>
      <c r="BV1343" s="265"/>
    </row>
    <row r="1344" spans="12:74">
      <c r="L1344" s="265"/>
      <c r="M1344" s="265"/>
      <c r="N1344" s="265"/>
      <c r="O1344" s="265"/>
      <c r="P1344" s="265"/>
      <c r="Q1344" s="265"/>
      <c r="BR1344" s="265"/>
      <c r="BS1344" s="265"/>
      <c r="BT1344" s="265"/>
      <c r="BU1344" s="265"/>
      <c r="BV1344" s="265"/>
    </row>
    <row r="1345" spans="12:74">
      <c r="L1345" s="265"/>
      <c r="M1345" s="265"/>
      <c r="N1345" s="265"/>
      <c r="O1345" s="265"/>
      <c r="P1345" s="265"/>
      <c r="Q1345" s="265"/>
      <c r="BR1345" s="265"/>
      <c r="BS1345" s="265"/>
      <c r="BT1345" s="265"/>
      <c r="BU1345" s="265"/>
      <c r="BV1345" s="265"/>
    </row>
    <row r="1346" spans="12:74">
      <c r="L1346" s="265"/>
      <c r="M1346" s="265"/>
      <c r="N1346" s="265"/>
      <c r="O1346" s="265"/>
      <c r="P1346" s="265"/>
      <c r="Q1346" s="265"/>
      <c r="BR1346" s="265"/>
      <c r="BS1346" s="265"/>
      <c r="BT1346" s="265"/>
      <c r="BU1346" s="265"/>
      <c r="BV1346" s="265"/>
    </row>
    <row r="1347" spans="12:74">
      <c r="L1347" s="265"/>
      <c r="M1347" s="265"/>
      <c r="N1347" s="265"/>
      <c r="O1347" s="265"/>
      <c r="P1347" s="265"/>
      <c r="Q1347" s="265"/>
      <c r="BR1347" s="265"/>
      <c r="BS1347" s="265"/>
      <c r="BT1347" s="265"/>
      <c r="BU1347" s="265"/>
      <c r="BV1347" s="265"/>
    </row>
    <row r="1348" spans="12:74">
      <c r="L1348" s="265"/>
      <c r="M1348" s="265"/>
      <c r="N1348" s="265"/>
      <c r="O1348" s="265"/>
      <c r="P1348" s="265"/>
      <c r="Q1348" s="265"/>
      <c r="BR1348" s="265"/>
      <c r="BS1348" s="265"/>
      <c r="BT1348" s="265"/>
      <c r="BU1348" s="265"/>
      <c r="BV1348" s="265"/>
    </row>
    <row r="1349" spans="12:74">
      <c r="L1349" s="265"/>
      <c r="M1349" s="265"/>
      <c r="N1349" s="265"/>
      <c r="O1349" s="265"/>
      <c r="P1349" s="265"/>
      <c r="Q1349" s="265"/>
      <c r="BR1349" s="265"/>
      <c r="BS1349" s="265"/>
      <c r="BT1349" s="265"/>
      <c r="BU1349" s="265"/>
      <c r="BV1349" s="265"/>
    </row>
    <row r="1350" spans="12:74">
      <c r="L1350" s="265"/>
      <c r="M1350" s="265"/>
      <c r="N1350" s="265"/>
      <c r="O1350" s="265"/>
      <c r="P1350" s="265"/>
      <c r="Q1350" s="265"/>
      <c r="BR1350" s="265"/>
      <c r="BS1350" s="265"/>
      <c r="BT1350" s="265"/>
      <c r="BU1350" s="265"/>
      <c r="BV1350" s="265"/>
    </row>
    <row r="1351" spans="12:74">
      <c r="L1351" s="265"/>
      <c r="M1351" s="265"/>
      <c r="N1351" s="265"/>
      <c r="O1351" s="265"/>
      <c r="P1351" s="265"/>
      <c r="Q1351" s="265"/>
      <c r="BR1351" s="265"/>
      <c r="BS1351" s="265"/>
      <c r="BT1351" s="265"/>
      <c r="BU1351" s="265"/>
      <c r="BV1351" s="265"/>
    </row>
    <row r="1352" spans="12:74">
      <c r="L1352" s="265"/>
      <c r="M1352" s="265"/>
      <c r="N1352" s="265"/>
      <c r="O1352" s="265"/>
      <c r="P1352" s="265"/>
      <c r="Q1352" s="265"/>
      <c r="BR1352" s="265"/>
      <c r="BS1352" s="265"/>
      <c r="BT1352" s="265"/>
      <c r="BU1352" s="265"/>
      <c r="BV1352" s="265"/>
    </row>
    <row r="1353" spans="12:74">
      <c r="L1353" s="265"/>
      <c r="M1353" s="265"/>
      <c r="N1353" s="265"/>
      <c r="O1353" s="265"/>
      <c r="P1353" s="265"/>
      <c r="Q1353" s="265"/>
      <c r="BR1353" s="265"/>
      <c r="BS1353" s="265"/>
      <c r="BT1353" s="265"/>
      <c r="BU1353" s="265"/>
      <c r="BV1353" s="265"/>
    </row>
    <row r="1354" spans="12:74">
      <c r="L1354" s="265"/>
      <c r="M1354" s="265"/>
      <c r="N1354" s="265"/>
      <c r="O1354" s="265"/>
      <c r="P1354" s="265"/>
      <c r="Q1354" s="265"/>
      <c r="BR1354" s="265"/>
      <c r="BS1354" s="265"/>
      <c r="BT1354" s="265"/>
      <c r="BU1354" s="265"/>
      <c r="BV1354" s="265"/>
    </row>
    <row r="1355" spans="12:74">
      <c r="L1355" s="265"/>
      <c r="M1355" s="265"/>
      <c r="N1355" s="265"/>
      <c r="O1355" s="265"/>
      <c r="P1355" s="265"/>
      <c r="Q1355" s="265"/>
      <c r="BR1355" s="265"/>
      <c r="BS1355" s="265"/>
      <c r="BT1355" s="265"/>
      <c r="BU1355" s="265"/>
      <c r="BV1355" s="265"/>
    </row>
    <row r="1356" spans="12:74">
      <c r="L1356" s="265"/>
      <c r="M1356" s="265"/>
      <c r="N1356" s="265"/>
      <c r="O1356" s="265"/>
      <c r="P1356" s="265"/>
      <c r="Q1356" s="265"/>
      <c r="BR1356" s="265"/>
      <c r="BS1356" s="265"/>
      <c r="BT1356" s="265"/>
      <c r="BU1356" s="265"/>
      <c r="BV1356" s="265"/>
    </row>
    <row r="1357" spans="12:74">
      <c r="L1357" s="265"/>
      <c r="M1357" s="265"/>
      <c r="N1357" s="265"/>
      <c r="O1357" s="265"/>
      <c r="P1357" s="265"/>
      <c r="Q1357" s="265"/>
      <c r="BR1357" s="265"/>
      <c r="BS1357" s="265"/>
      <c r="BT1357" s="265"/>
      <c r="BU1357" s="265"/>
      <c r="BV1357" s="265"/>
    </row>
    <row r="1358" spans="12:74">
      <c r="L1358" s="265"/>
      <c r="M1358" s="265"/>
      <c r="N1358" s="265"/>
      <c r="O1358" s="265"/>
      <c r="P1358" s="265"/>
      <c r="Q1358" s="265"/>
      <c r="BR1358" s="265"/>
      <c r="BS1358" s="265"/>
      <c r="BT1358" s="265"/>
      <c r="BU1358" s="265"/>
      <c r="BV1358" s="265"/>
    </row>
    <row r="1359" spans="12:74">
      <c r="L1359" s="265"/>
      <c r="M1359" s="265"/>
      <c r="N1359" s="265"/>
      <c r="O1359" s="265"/>
      <c r="P1359" s="265"/>
      <c r="Q1359" s="265"/>
      <c r="BR1359" s="265"/>
      <c r="BS1359" s="265"/>
      <c r="BT1359" s="265"/>
      <c r="BU1359" s="265"/>
      <c r="BV1359" s="265"/>
    </row>
    <row r="1360" spans="12:74">
      <c r="L1360" s="265"/>
      <c r="M1360" s="265"/>
      <c r="N1360" s="265"/>
      <c r="O1360" s="265"/>
      <c r="P1360" s="265"/>
      <c r="Q1360" s="265"/>
      <c r="BR1360" s="265"/>
      <c r="BS1360" s="265"/>
      <c r="BT1360" s="265"/>
      <c r="BU1360" s="265"/>
      <c r="BV1360" s="265"/>
    </row>
    <row r="1361" spans="12:74">
      <c r="L1361" s="265"/>
      <c r="M1361" s="265"/>
      <c r="N1361" s="265"/>
      <c r="O1361" s="265"/>
      <c r="P1361" s="265"/>
      <c r="Q1361" s="265"/>
      <c r="BR1361" s="265"/>
      <c r="BS1361" s="265"/>
      <c r="BT1361" s="265"/>
      <c r="BU1361" s="265"/>
      <c r="BV1361" s="265"/>
    </row>
    <row r="1362" spans="12:74">
      <c r="L1362" s="265"/>
      <c r="M1362" s="265"/>
      <c r="N1362" s="265"/>
      <c r="O1362" s="265"/>
      <c r="P1362" s="265"/>
      <c r="Q1362" s="265"/>
      <c r="BR1362" s="265"/>
      <c r="BS1362" s="265"/>
      <c r="BT1362" s="265"/>
      <c r="BU1362" s="265"/>
      <c r="BV1362" s="265"/>
    </row>
    <row r="1363" spans="12:74">
      <c r="L1363" s="265"/>
      <c r="M1363" s="265"/>
      <c r="N1363" s="265"/>
      <c r="O1363" s="265"/>
      <c r="P1363" s="265"/>
      <c r="Q1363" s="265"/>
      <c r="BR1363" s="265"/>
      <c r="BS1363" s="265"/>
      <c r="BT1363" s="265"/>
      <c r="BU1363" s="265"/>
      <c r="BV1363" s="265"/>
    </row>
    <row r="1364" spans="12:74">
      <c r="L1364" s="265"/>
      <c r="M1364" s="265"/>
      <c r="N1364" s="265"/>
      <c r="O1364" s="265"/>
      <c r="P1364" s="265"/>
      <c r="Q1364" s="265"/>
      <c r="BR1364" s="265"/>
      <c r="BS1364" s="265"/>
      <c r="BT1364" s="265"/>
      <c r="BU1364" s="265"/>
      <c r="BV1364" s="265"/>
    </row>
    <row r="1365" spans="12:74">
      <c r="L1365" s="265"/>
      <c r="M1365" s="265"/>
      <c r="N1365" s="265"/>
      <c r="O1365" s="265"/>
      <c r="P1365" s="265"/>
      <c r="Q1365" s="265"/>
      <c r="BR1365" s="265"/>
      <c r="BS1365" s="265"/>
      <c r="BT1365" s="265"/>
      <c r="BU1365" s="265"/>
      <c r="BV1365" s="265"/>
    </row>
    <row r="1366" spans="12:74">
      <c r="L1366" s="265"/>
      <c r="M1366" s="265"/>
      <c r="N1366" s="265"/>
      <c r="O1366" s="265"/>
      <c r="P1366" s="265"/>
      <c r="Q1366" s="265"/>
      <c r="BR1366" s="265"/>
      <c r="BS1366" s="265"/>
      <c r="BT1366" s="265"/>
      <c r="BU1366" s="265"/>
      <c r="BV1366" s="265"/>
    </row>
    <row r="1367" spans="12:74">
      <c r="L1367" s="265"/>
      <c r="M1367" s="265"/>
      <c r="N1367" s="265"/>
      <c r="O1367" s="265"/>
      <c r="P1367" s="265"/>
      <c r="Q1367" s="265"/>
      <c r="BR1367" s="265"/>
      <c r="BS1367" s="265"/>
      <c r="BT1367" s="265"/>
      <c r="BU1367" s="265"/>
      <c r="BV1367" s="265"/>
    </row>
    <row r="1368" spans="12:74">
      <c r="L1368" s="265"/>
      <c r="M1368" s="265"/>
      <c r="N1368" s="265"/>
      <c r="O1368" s="265"/>
      <c r="P1368" s="265"/>
      <c r="Q1368" s="265"/>
      <c r="BR1368" s="265"/>
      <c r="BS1368" s="265"/>
      <c r="BT1368" s="265"/>
      <c r="BU1368" s="265"/>
      <c r="BV1368" s="265"/>
    </row>
    <row r="1369" spans="12:74">
      <c r="L1369" s="265"/>
      <c r="M1369" s="265"/>
      <c r="N1369" s="265"/>
      <c r="O1369" s="265"/>
      <c r="P1369" s="265"/>
      <c r="Q1369" s="265"/>
      <c r="BR1369" s="265"/>
      <c r="BS1369" s="265"/>
      <c r="BT1369" s="265"/>
      <c r="BU1369" s="265"/>
      <c r="BV1369" s="265"/>
    </row>
    <row r="1370" spans="12:74">
      <c r="L1370" s="265"/>
      <c r="M1370" s="265"/>
      <c r="N1370" s="265"/>
      <c r="O1370" s="265"/>
      <c r="P1370" s="265"/>
      <c r="Q1370" s="265"/>
      <c r="BR1370" s="265"/>
      <c r="BS1370" s="265"/>
      <c r="BT1370" s="265"/>
      <c r="BU1370" s="265"/>
      <c r="BV1370" s="265"/>
    </row>
    <row r="1371" spans="12:74">
      <c r="L1371" s="265"/>
      <c r="M1371" s="265"/>
      <c r="N1371" s="265"/>
      <c r="O1371" s="265"/>
      <c r="P1371" s="265"/>
      <c r="Q1371" s="265"/>
      <c r="BR1371" s="265"/>
      <c r="BS1371" s="265"/>
      <c r="BT1371" s="265"/>
      <c r="BU1371" s="265"/>
      <c r="BV1371" s="265"/>
    </row>
    <row r="1372" spans="12:74">
      <c r="L1372" s="265"/>
      <c r="M1372" s="265"/>
      <c r="N1372" s="265"/>
      <c r="O1372" s="265"/>
      <c r="P1372" s="265"/>
      <c r="Q1372" s="265"/>
      <c r="BR1372" s="265"/>
      <c r="BS1372" s="265"/>
      <c r="BT1372" s="265"/>
      <c r="BU1372" s="265"/>
      <c r="BV1372" s="265"/>
    </row>
    <row r="1373" spans="12:74">
      <c r="L1373" s="265"/>
      <c r="M1373" s="265"/>
      <c r="N1373" s="265"/>
      <c r="O1373" s="265"/>
      <c r="P1373" s="265"/>
      <c r="Q1373" s="265"/>
      <c r="BR1373" s="265"/>
      <c r="BS1373" s="265"/>
      <c r="BT1373" s="265"/>
      <c r="BU1373" s="265"/>
      <c r="BV1373" s="265"/>
    </row>
    <row r="1374" spans="12:74">
      <c r="L1374" s="265"/>
      <c r="M1374" s="265"/>
      <c r="N1374" s="265"/>
      <c r="O1374" s="265"/>
      <c r="P1374" s="265"/>
      <c r="Q1374" s="265"/>
      <c r="BR1374" s="265"/>
      <c r="BS1374" s="265"/>
      <c r="BT1374" s="265"/>
      <c r="BU1374" s="265"/>
      <c r="BV1374" s="265"/>
    </row>
    <row r="1375" spans="12:74">
      <c r="L1375" s="265"/>
      <c r="M1375" s="265"/>
      <c r="N1375" s="265"/>
      <c r="O1375" s="265"/>
      <c r="P1375" s="265"/>
      <c r="Q1375" s="265"/>
      <c r="BR1375" s="265"/>
      <c r="BS1375" s="265"/>
      <c r="BT1375" s="265"/>
      <c r="BU1375" s="265"/>
      <c r="BV1375" s="265"/>
    </row>
    <row r="1376" spans="12:74">
      <c r="L1376" s="265"/>
      <c r="M1376" s="265"/>
      <c r="N1376" s="265"/>
      <c r="O1376" s="265"/>
      <c r="P1376" s="265"/>
      <c r="Q1376" s="265"/>
      <c r="BR1376" s="265"/>
      <c r="BS1376" s="265"/>
      <c r="BT1376" s="265"/>
      <c r="BU1376" s="265"/>
      <c r="BV1376" s="265"/>
    </row>
    <row r="1377" spans="12:74">
      <c r="L1377" s="265"/>
      <c r="M1377" s="265"/>
      <c r="N1377" s="265"/>
      <c r="O1377" s="265"/>
      <c r="P1377" s="265"/>
      <c r="Q1377" s="265"/>
      <c r="BR1377" s="265"/>
      <c r="BS1377" s="265"/>
      <c r="BT1377" s="265"/>
      <c r="BU1377" s="265"/>
      <c r="BV1377" s="265"/>
    </row>
    <row r="1378" spans="12:74">
      <c r="L1378" s="265"/>
      <c r="M1378" s="265"/>
      <c r="N1378" s="265"/>
      <c r="O1378" s="265"/>
      <c r="P1378" s="265"/>
      <c r="Q1378" s="265"/>
      <c r="BR1378" s="265"/>
      <c r="BS1378" s="265"/>
      <c r="BT1378" s="265"/>
      <c r="BU1378" s="265"/>
      <c r="BV1378" s="265"/>
    </row>
    <row r="1379" spans="12:74">
      <c r="L1379" s="265"/>
      <c r="M1379" s="265"/>
      <c r="N1379" s="265"/>
      <c r="O1379" s="265"/>
      <c r="P1379" s="265"/>
      <c r="Q1379" s="265"/>
      <c r="BR1379" s="265"/>
      <c r="BS1379" s="265"/>
      <c r="BT1379" s="265"/>
      <c r="BU1379" s="265"/>
      <c r="BV1379" s="265"/>
    </row>
    <row r="1380" spans="12:74">
      <c r="L1380" s="265"/>
      <c r="M1380" s="265"/>
      <c r="N1380" s="265"/>
      <c r="O1380" s="265"/>
      <c r="P1380" s="265"/>
      <c r="Q1380" s="265"/>
      <c r="BR1380" s="265"/>
      <c r="BS1380" s="265"/>
      <c r="BT1380" s="265"/>
      <c r="BU1380" s="265"/>
      <c r="BV1380" s="265"/>
    </row>
    <row r="1381" spans="12:74">
      <c r="L1381" s="265"/>
      <c r="M1381" s="265"/>
      <c r="N1381" s="265"/>
      <c r="O1381" s="265"/>
      <c r="P1381" s="265"/>
      <c r="Q1381" s="265"/>
      <c r="BR1381" s="265"/>
      <c r="BS1381" s="265"/>
      <c r="BT1381" s="265"/>
      <c r="BU1381" s="265"/>
      <c r="BV1381" s="265"/>
    </row>
    <row r="1382" spans="12:74">
      <c r="L1382" s="265"/>
      <c r="M1382" s="265"/>
      <c r="N1382" s="265"/>
      <c r="O1382" s="265"/>
      <c r="P1382" s="265"/>
      <c r="Q1382" s="265"/>
      <c r="BR1382" s="265"/>
      <c r="BS1382" s="265"/>
      <c r="BT1382" s="265"/>
      <c r="BU1382" s="265"/>
      <c r="BV1382" s="265"/>
    </row>
    <row r="1383" spans="12:74">
      <c r="L1383" s="265"/>
      <c r="M1383" s="265"/>
      <c r="N1383" s="265"/>
      <c r="O1383" s="265"/>
      <c r="P1383" s="265"/>
      <c r="Q1383" s="265"/>
      <c r="BR1383" s="265"/>
      <c r="BS1383" s="265"/>
      <c r="BT1383" s="265"/>
      <c r="BU1383" s="265"/>
      <c r="BV1383" s="265"/>
    </row>
    <row r="1384" spans="12:74">
      <c r="L1384" s="265"/>
      <c r="M1384" s="265"/>
      <c r="N1384" s="265"/>
      <c r="O1384" s="265"/>
      <c r="P1384" s="265"/>
      <c r="Q1384" s="265"/>
      <c r="BR1384" s="265"/>
      <c r="BS1384" s="265"/>
      <c r="BT1384" s="265"/>
      <c r="BU1384" s="265"/>
      <c r="BV1384" s="265"/>
    </row>
    <row r="1385" spans="12:74">
      <c r="L1385" s="265"/>
      <c r="M1385" s="265"/>
      <c r="N1385" s="265"/>
      <c r="O1385" s="265"/>
      <c r="P1385" s="265"/>
      <c r="Q1385" s="265"/>
      <c r="BR1385" s="265"/>
      <c r="BS1385" s="265"/>
      <c r="BT1385" s="265"/>
      <c r="BU1385" s="265"/>
      <c r="BV1385" s="265"/>
    </row>
    <row r="1386" spans="12:74">
      <c r="L1386" s="265"/>
      <c r="M1386" s="265"/>
      <c r="N1386" s="265"/>
      <c r="O1386" s="265"/>
      <c r="P1386" s="265"/>
      <c r="Q1386" s="265"/>
      <c r="BR1386" s="265"/>
      <c r="BS1386" s="265"/>
      <c r="BT1386" s="265"/>
      <c r="BU1386" s="265"/>
      <c r="BV1386" s="265"/>
    </row>
    <row r="1387" spans="12:74">
      <c r="L1387" s="265"/>
      <c r="M1387" s="265"/>
      <c r="N1387" s="265"/>
      <c r="O1387" s="265"/>
      <c r="P1387" s="265"/>
      <c r="Q1387" s="265"/>
      <c r="BR1387" s="265"/>
      <c r="BS1387" s="265"/>
      <c r="BT1387" s="265"/>
      <c r="BU1387" s="265"/>
      <c r="BV1387" s="265"/>
    </row>
    <row r="1388" spans="12:74">
      <c r="L1388" s="265"/>
      <c r="M1388" s="265"/>
      <c r="N1388" s="265"/>
      <c r="O1388" s="265"/>
      <c r="P1388" s="265"/>
      <c r="Q1388" s="265"/>
      <c r="BR1388" s="265"/>
      <c r="BS1388" s="265"/>
      <c r="BT1388" s="265"/>
      <c r="BU1388" s="265"/>
      <c r="BV1388" s="265"/>
    </row>
    <row r="1389" spans="12:74">
      <c r="L1389" s="265"/>
      <c r="M1389" s="265"/>
      <c r="N1389" s="265"/>
      <c r="O1389" s="265"/>
      <c r="P1389" s="265"/>
      <c r="Q1389" s="265"/>
      <c r="BR1389" s="265"/>
      <c r="BS1389" s="265"/>
      <c r="BT1389" s="265"/>
      <c r="BU1389" s="265"/>
      <c r="BV1389" s="265"/>
    </row>
    <row r="1390" spans="12:74">
      <c r="L1390" s="265"/>
      <c r="M1390" s="265"/>
      <c r="N1390" s="265"/>
      <c r="O1390" s="265"/>
      <c r="P1390" s="265"/>
      <c r="Q1390" s="265"/>
      <c r="BR1390" s="265"/>
      <c r="BS1390" s="265"/>
      <c r="BT1390" s="265"/>
      <c r="BU1390" s="265"/>
      <c r="BV1390" s="265"/>
    </row>
    <row r="1391" spans="12:74">
      <c r="L1391" s="265"/>
      <c r="M1391" s="265"/>
      <c r="N1391" s="265"/>
      <c r="O1391" s="265"/>
      <c r="P1391" s="265"/>
      <c r="Q1391" s="265"/>
      <c r="BR1391" s="265"/>
      <c r="BS1391" s="265"/>
      <c r="BT1391" s="265"/>
      <c r="BU1391" s="265"/>
      <c r="BV1391" s="265"/>
    </row>
    <row r="1392" spans="12:74">
      <c r="L1392" s="265"/>
      <c r="M1392" s="265"/>
      <c r="N1392" s="265"/>
      <c r="O1392" s="265"/>
      <c r="P1392" s="265"/>
      <c r="Q1392" s="265"/>
      <c r="BR1392" s="265"/>
      <c r="BS1392" s="265"/>
      <c r="BT1392" s="265"/>
      <c r="BU1392" s="265"/>
      <c r="BV1392" s="265"/>
    </row>
    <row r="1393" spans="12:74">
      <c r="L1393" s="265"/>
      <c r="M1393" s="265"/>
      <c r="N1393" s="265"/>
      <c r="O1393" s="265"/>
      <c r="P1393" s="265"/>
      <c r="Q1393" s="265"/>
      <c r="BR1393" s="265"/>
      <c r="BS1393" s="265"/>
      <c r="BT1393" s="265"/>
      <c r="BU1393" s="265"/>
      <c r="BV1393" s="265"/>
    </row>
    <row r="1394" spans="12:74">
      <c r="L1394" s="265"/>
      <c r="M1394" s="265"/>
      <c r="N1394" s="265"/>
      <c r="O1394" s="265"/>
      <c r="P1394" s="265"/>
      <c r="Q1394" s="265"/>
      <c r="BR1394" s="265"/>
      <c r="BS1394" s="265"/>
      <c r="BT1394" s="265"/>
      <c r="BU1394" s="265"/>
      <c r="BV1394" s="265"/>
    </row>
    <row r="1395" spans="12:74">
      <c r="L1395" s="265"/>
      <c r="M1395" s="265"/>
      <c r="N1395" s="265"/>
      <c r="O1395" s="265"/>
      <c r="P1395" s="265"/>
      <c r="Q1395" s="265"/>
      <c r="BR1395" s="265"/>
      <c r="BS1395" s="265"/>
      <c r="BT1395" s="265"/>
      <c r="BU1395" s="265"/>
      <c r="BV1395" s="265"/>
    </row>
    <row r="1396" spans="12:74">
      <c r="L1396" s="265"/>
      <c r="M1396" s="265"/>
      <c r="N1396" s="265"/>
      <c r="O1396" s="265"/>
      <c r="P1396" s="265"/>
      <c r="Q1396" s="265"/>
      <c r="BR1396" s="265"/>
      <c r="BS1396" s="265"/>
      <c r="BT1396" s="265"/>
      <c r="BU1396" s="265"/>
      <c r="BV1396" s="265"/>
    </row>
    <row r="1397" spans="12:74">
      <c r="L1397" s="265"/>
      <c r="M1397" s="265"/>
      <c r="N1397" s="265"/>
      <c r="O1397" s="265"/>
      <c r="P1397" s="265"/>
      <c r="Q1397" s="265"/>
      <c r="BR1397" s="265"/>
      <c r="BS1397" s="265"/>
      <c r="BT1397" s="265"/>
      <c r="BU1397" s="265"/>
      <c r="BV1397" s="265"/>
    </row>
    <row r="1398" spans="12:74">
      <c r="L1398" s="265"/>
      <c r="M1398" s="265"/>
      <c r="N1398" s="265"/>
      <c r="O1398" s="265"/>
      <c r="P1398" s="265"/>
      <c r="Q1398" s="265"/>
      <c r="BR1398" s="265"/>
      <c r="BS1398" s="265"/>
      <c r="BT1398" s="265"/>
      <c r="BU1398" s="265"/>
      <c r="BV1398" s="265"/>
    </row>
    <row r="1399" spans="12:74">
      <c r="L1399" s="265"/>
      <c r="M1399" s="265"/>
      <c r="N1399" s="265"/>
      <c r="O1399" s="265"/>
      <c r="P1399" s="265"/>
      <c r="Q1399" s="265"/>
      <c r="BR1399" s="265"/>
      <c r="BS1399" s="265"/>
      <c r="BT1399" s="265"/>
      <c r="BU1399" s="265"/>
      <c r="BV1399" s="265"/>
    </row>
    <row r="1400" spans="12:74">
      <c r="L1400" s="265"/>
      <c r="M1400" s="265"/>
      <c r="N1400" s="265"/>
      <c r="O1400" s="265"/>
      <c r="P1400" s="265"/>
      <c r="Q1400" s="265"/>
      <c r="BR1400" s="265"/>
      <c r="BS1400" s="265"/>
      <c r="BT1400" s="265"/>
      <c r="BU1400" s="265"/>
      <c r="BV1400" s="265"/>
    </row>
    <row r="1401" spans="12:74">
      <c r="L1401" s="265"/>
      <c r="M1401" s="265"/>
      <c r="N1401" s="265"/>
      <c r="O1401" s="265"/>
      <c r="P1401" s="265"/>
      <c r="Q1401" s="265"/>
      <c r="BR1401" s="265"/>
      <c r="BS1401" s="265"/>
      <c r="BT1401" s="265"/>
      <c r="BU1401" s="265"/>
      <c r="BV1401" s="265"/>
    </row>
    <row r="1402" spans="12:74">
      <c r="L1402" s="265"/>
      <c r="M1402" s="265"/>
      <c r="N1402" s="265"/>
      <c r="O1402" s="265"/>
      <c r="P1402" s="265"/>
      <c r="Q1402" s="265"/>
      <c r="BR1402" s="265"/>
      <c r="BS1402" s="265"/>
      <c r="BT1402" s="265"/>
      <c r="BU1402" s="265"/>
      <c r="BV1402" s="265"/>
    </row>
    <row r="1403" spans="12:74">
      <c r="L1403" s="265"/>
      <c r="M1403" s="265"/>
      <c r="N1403" s="265"/>
      <c r="O1403" s="265"/>
      <c r="P1403" s="265"/>
      <c r="Q1403" s="265"/>
      <c r="BR1403" s="265"/>
      <c r="BS1403" s="265"/>
      <c r="BT1403" s="265"/>
      <c r="BU1403" s="265"/>
      <c r="BV1403" s="265"/>
    </row>
    <row r="1404" spans="12:74">
      <c r="L1404" s="265"/>
      <c r="M1404" s="265"/>
      <c r="N1404" s="265"/>
      <c r="O1404" s="265"/>
      <c r="P1404" s="265"/>
      <c r="Q1404" s="265"/>
      <c r="BR1404" s="265"/>
      <c r="BS1404" s="265"/>
      <c r="BT1404" s="265"/>
      <c r="BU1404" s="265"/>
      <c r="BV1404" s="265"/>
    </row>
    <row r="1405" spans="12:74">
      <c r="L1405" s="265"/>
      <c r="M1405" s="265"/>
      <c r="N1405" s="265"/>
      <c r="O1405" s="265"/>
      <c r="P1405" s="265"/>
      <c r="Q1405" s="265"/>
      <c r="BR1405" s="265"/>
      <c r="BS1405" s="265"/>
      <c r="BT1405" s="265"/>
      <c r="BU1405" s="265"/>
      <c r="BV1405" s="265"/>
    </row>
    <row r="1406" spans="12:74">
      <c r="L1406" s="265"/>
      <c r="M1406" s="265"/>
      <c r="N1406" s="265"/>
      <c r="O1406" s="265"/>
      <c r="P1406" s="265"/>
      <c r="Q1406" s="265"/>
      <c r="BR1406" s="265"/>
      <c r="BS1406" s="265"/>
      <c r="BT1406" s="265"/>
      <c r="BU1406" s="265"/>
      <c r="BV1406" s="265"/>
    </row>
    <row r="1407" spans="12:74">
      <c r="L1407" s="265"/>
      <c r="M1407" s="265"/>
      <c r="N1407" s="265"/>
      <c r="O1407" s="265"/>
      <c r="P1407" s="265"/>
      <c r="Q1407" s="265"/>
      <c r="BR1407" s="265"/>
      <c r="BS1407" s="265"/>
      <c r="BT1407" s="265"/>
      <c r="BU1407" s="265"/>
      <c r="BV1407" s="265"/>
    </row>
    <row r="1408" spans="12:74">
      <c r="L1408" s="265"/>
      <c r="M1408" s="265"/>
      <c r="N1408" s="265"/>
      <c r="O1408" s="265"/>
      <c r="P1408" s="265"/>
      <c r="Q1408" s="265"/>
      <c r="BR1408" s="265"/>
      <c r="BS1408" s="265"/>
      <c r="BT1408" s="265"/>
      <c r="BU1408" s="265"/>
      <c r="BV1408" s="265"/>
    </row>
    <row r="1409" spans="12:74">
      <c r="L1409" s="265"/>
      <c r="M1409" s="265"/>
      <c r="N1409" s="265"/>
      <c r="O1409" s="265"/>
      <c r="P1409" s="265"/>
      <c r="Q1409" s="265"/>
      <c r="BR1409" s="265"/>
      <c r="BS1409" s="265"/>
      <c r="BT1409" s="265"/>
      <c r="BU1409" s="265"/>
      <c r="BV1409" s="265"/>
    </row>
    <row r="1410" spans="12:74">
      <c r="L1410" s="265"/>
      <c r="M1410" s="265"/>
      <c r="N1410" s="265"/>
      <c r="O1410" s="265"/>
      <c r="P1410" s="265"/>
      <c r="Q1410" s="265"/>
      <c r="BR1410" s="265"/>
      <c r="BS1410" s="265"/>
      <c r="BT1410" s="265"/>
      <c r="BU1410" s="265"/>
      <c r="BV1410" s="265"/>
    </row>
    <row r="1411" spans="12:74">
      <c r="L1411" s="265"/>
      <c r="M1411" s="265"/>
      <c r="N1411" s="265"/>
      <c r="O1411" s="265"/>
      <c r="P1411" s="265"/>
      <c r="Q1411" s="265"/>
      <c r="BR1411" s="265"/>
      <c r="BS1411" s="265"/>
      <c r="BT1411" s="265"/>
      <c r="BU1411" s="265"/>
      <c r="BV1411" s="265"/>
    </row>
    <row r="1412" spans="12:74">
      <c r="L1412" s="265"/>
      <c r="M1412" s="265"/>
      <c r="N1412" s="265"/>
      <c r="O1412" s="265"/>
      <c r="P1412" s="265"/>
      <c r="Q1412" s="265"/>
      <c r="BR1412" s="265"/>
      <c r="BS1412" s="265"/>
      <c r="BT1412" s="265"/>
      <c r="BU1412" s="265"/>
      <c r="BV1412" s="265"/>
    </row>
    <row r="1413" spans="12:74">
      <c r="L1413" s="265"/>
      <c r="M1413" s="265"/>
      <c r="N1413" s="265"/>
      <c r="O1413" s="265"/>
      <c r="P1413" s="265"/>
      <c r="Q1413" s="265"/>
      <c r="BR1413" s="265"/>
      <c r="BS1413" s="265"/>
      <c r="BT1413" s="265"/>
      <c r="BU1413" s="265"/>
      <c r="BV1413" s="265"/>
    </row>
    <row r="1414" spans="12:74">
      <c r="L1414" s="265"/>
      <c r="M1414" s="265"/>
      <c r="N1414" s="265"/>
      <c r="O1414" s="265"/>
      <c r="P1414" s="265"/>
      <c r="Q1414" s="265"/>
      <c r="BR1414" s="265"/>
      <c r="BS1414" s="265"/>
      <c r="BT1414" s="265"/>
      <c r="BU1414" s="265"/>
      <c r="BV1414" s="265"/>
    </row>
    <row r="1415" spans="12:74">
      <c r="L1415" s="265"/>
      <c r="M1415" s="265"/>
      <c r="N1415" s="265"/>
      <c r="O1415" s="265"/>
      <c r="P1415" s="265"/>
      <c r="Q1415" s="265"/>
      <c r="BR1415" s="265"/>
      <c r="BS1415" s="265"/>
      <c r="BT1415" s="265"/>
      <c r="BU1415" s="265"/>
      <c r="BV1415" s="265"/>
    </row>
    <row r="1416" spans="12:74">
      <c r="L1416" s="265"/>
      <c r="M1416" s="265"/>
      <c r="N1416" s="265"/>
      <c r="O1416" s="265"/>
      <c r="P1416" s="265"/>
      <c r="Q1416" s="265"/>
      <c r="BR1416" s="265"/>
      <c r="BS1416" s="265"/>
      <c r="BT1416" s="265"/>
      <c r="BU1416" s="265"/>
      <c r="BV1416" s="265"/>
    </row>
    <row r="1417" spans="12:74">
      <c r="L1417" s="265"/>
      <c r="M1417" s="265"/>
      <c r="N1417" s="265"/>
      <c r="O1417" s="265"/>
      <c r="P1417" s="265"/>
      <c r="Q1417" s="265"/>
      <c r="BR1417" s="265"/>
      <c r="BS1417" s="265"/>
      <c r="BT1417" s="265"/>
      <c r="BU1417" s="265"/>
      <c r="BV1417" s="265"/>
    </row>
    <row r="1418" spans="12:74">
      <c r="L1418" s="265"/>
      <c r="M1418" s="265"/>
      <c r="N1418" s="265"/>
      <c r="O1418" s="265"/>
      <c r="P1418" s="265"/>
      <c r="Q1418" s="265"/>
      <c r="BR1418" s="265"/>
      <c r="BS1418" s="265"/>
      <c r="BT1418" s="265"/>
      <c r="BU1418" s="265"/>
      <c r="BV1418" s="265"/>
    </row>
    <row r="1419" spans="12:74">
      <c r="L1419" s="265"/>
      <c r="M1419" s="265"/>
      <c r="N1419" s="265"/>
      <c r="O1419" s="265"/>
      <c r="P1419" s="265"/>
      <c r="Q1419" s="265"/>
      <c r="BR1419" s="265"/>
      <c r="BS1419" s="265"/>
      <c r="BT1419" s="265"/>
      <c r="BU1419" s="265"/>
      <c r="BV1419" s="265"/>
    </row>
    <row r="1420" spans="12:74">
      <c r="L1420" s="265"/>
      <c r="M1420" s="265"/>
      <c r="N1420" s="265"/>
      <c r="O1420" s="265"/>
      <c r="P1420" s="265"/>
      <c r="Q1420" s="265"/>
      <c r="BR1420" s="265"/>
      <c r="BS1420" s="265"/>
      <c r="BT1420" s="265"/>
      <c r="BU1420" s="265"/>
      <c r="BV1420" s="265"/>
    </row>
    <row r="1421" spans="12:74">
      <c r="L1421" s="265"/>
      <c r="M1421" s="265"/>
      <c r="N1421" s="265"/>
      <c r="O1421" s="265"/>
      <c r="P1421" s="265"/>
      <c r="Q1421" s="265"/>
      <c r="BR1421" s="265"/>
      <c r="BS1421" s="265"/>
      <c r="BT1421" s="265"/>
      <c r="BU1421" s="265"/>
      <c r="BV1421" s="265"/>
    </row>
    <row r="1422" spans="12:74">
      <c r="L1422" s="265"/>
      <c r="M1422" s="265"/>
      <c r="N1422" s="265"/>
      <c r="O1422" s="265"/>
      <c r="P1422" s="265"/>
      <c r="Q1422" s="265"/>
      <c r="BR1422" s="265"/>
      <c r="BS1422" s="265"/>
      <c r="BT1422" s="265"/>
      <c r="BU1422" s="265"/>
      <c r="BV1422" s="265"/>
    </row>
    <row r="1423" spans="12:74">
      <c r="L1423" s="265"/>
      <c r="M1423" s="265"/>
      <c r="N1423" s="265"/>
      <c r="O1423" s="265"/>
      <c r="P1423" s="265"/>
      <c r="Q1423" s="265"/>
      <c r="BR1423" s="265"/>
      <c r="BS1423" s="265"/>
      <c r="BT1423" s="265"/>
      <c r="BU1423" s="265"/>
      <c r="BV1423" s="265"/>
    </row>
    <row r="1424" spans="12:74">
      <c r="L1424" s="265"/>
      <c r="M1424" s="265"/>
      <c r="N1424" s="265"/>
      <c r="O1424" s="265"/>
      <c r="P1424" s="265"/>
      <c r="Q1424" s="265"/>
      <c r="BR1424" s="265"/>
      <c r="BS1424" s="265"/>
      <c r="BT1424" s="265"/>
      <c r="BU1424" s="265"/>
      <c r="BV1424" s="265"/>
    </row>
    <row r="1425" spans="12:74">
      <c r="L1425" s="265"/>
      <c r="M1425" s="265"/>
      <c r="N1425" s="265"/>
      <c r="O1425" s="265"/>
      <c r="P1425" s="265"/>
      <c r="Q1425" s="265"/>
      <c r="BR1425" s="265"/>
      <c r="BS1425" s="265"/>
      <c r="BT1425" s="265"/>
      <c r="BU1425" s="265"/>
      <c r="BV1425" s="265"/>
    </row>
    <row r="1426" spans="12:74">
      <c r="L1426" s="265"/>
      <c r="M1426" s="265"/>
      <c r="N1426" s="265"/>
      <c r="O1426" s="265"/>
      <c r="P1426" s="265"/>
      <c r="Q1426" s="265"/>
      <c r="BR1426" s="265"/>
      <c r="BS1426" s="265"/>
      <c r="BT1426" s="265"/>
      <c r="BU1426" s="265"/>
      <c r="BV1426" s="265"/>
    </row>
    <row r="1427" spans="12:74">
      <c r="L1427" s="265"/>
      <c r="M1427" s="265"/>
      <c r="N1427" s="265"/>
      <c r="O1427" s="265"/>
      <c r="P1427" s="265"/>
      <c r="Q1427" s="265"/>
      <c r="BR1427" s="265"/>
      <c r="BS1427" s="265"/>
      <c r="BT1427" s="265"/>
      <c r="BU1427" s="265"/>
      <c r="BV1427" s="265"/>
    </row>
    <row r="1428" spans="12:74">
      <c r="L1428" s="265"/>
      <c r="M1428" s="265"/>
      <c r="N1428" s="265"/>
      <c r="O1428" s="265"/>
      <c r="P1428" s="265"/>
      <c r="Q1428" s="265"/>
      <c r="BR1428" s="265"/>
      <c r="BS1428" s="265"/>
      <c r="BT1428" s="265"/>
      <c r="BU1428" s="265"/>
      <c r="BV1428" s="265"/>
    </row>
    <row r="1429" spans="12:74">
      <c r="L1429" s="265"/>
      <c r="M1429" s="265"/>
      <c r="N1429" s="265"/>
      <c r="O1429" s="265"/>
      <c r="P1429" s="265"/>
      <c r="Q1429" s="265"/>
      <c r="BR1429" s="265"/>
      <c r="BS1429" s="265"/>
      <c r="BT1429" s="265"/>
      <c r="BU1429" s="265"/>
      <c r="BV1429" s="265"/>
    </row>
    <row r="1430" spans="12:74">
      <c r="L1430" s="265"/>
      <c r="M1430" s="265"/>
      <c r="N1430" s="265"/>
      <c r="O1430" s="265"/>
      <c r="P1430" s="265"/>
      <c r="Q1430" s="265"/>
      <c r="BR1430" s="265"/>
      <c r="BS1430" s="265"/>
      <c r="BT1430" s="265"/>
      <c r="BU1430" s="265"/>
      <c r="BV1430" s="265"/>
    </row>
    <row r="1431" spans="12:74">
      <c r="L1431" s="265"/>
      <c r="M1431" s="265"/>
      <c r="N1431" s="265"/>
      <c r="O1431" s="265"/>
      <c r="P1431" s="265"/>
      <c r="Q1431" s="265"/>
      <c r="BR1431" s="265"/>
      <c r="BS1431" s="265"/>
      <c r="BT1431" s="265"/>
      <c r="BU1431" s="265"/>
      <c r="BV1431" s="265"/>
    </row>
    <row r="1432" spans="12:74">
      <c r="L1432" s="265"/>
      <c r="M1432" s="265"/>
      <c r="N1432" s="265"/>
      <c r="O1432" s="265"/>
      <c r="P1432" s="265"/>
      <c r="Q1432" s="265"/>
      <c r="BR1432" s="265"/>
      <c r="BS1432" s="265"/>
      <c r="BT1432" s="265"/>
      <c r="BU1432" s="265"/>
      <c r="BV1432" s="265"/>
    </row>
    <row r="1433" spans="12:74">
      <c r="L1433" s="265"/>
      <c r="M1433" s="265"/>
      <c r="N1433" s="265"/>
      <c r="O1433" s="265"/>
      <c r="P1433" s="265"/>
      <c r="Q1433" s="265"/>
      <c r="BR1433" s="265"/>
      <c r="BS1433" s="265"/>
      <c r="BT1433" s="265"/>
      <c r="BU1433" s="265"/>
      <c r="BV1433" s="265"/>
    </row>
    <row r="1434" spans="12:74">
      <c r="L1434" s="265"/>
      <c r="M1434" s="265"/>
      <c r="N1434" s="265"/>
      <c r="O1434" s="265"/>
      <c r="P1434" s="265"/>
      <c r="Q1434" s="265"/>
      <c r="BR1434" s="265"/>
      <c r="BS1434" s="265"/>
      <c r="BT1434" s="265"/>
      <c r="BU1434" s="265"/>
      <c r="BV1434" s="265"/>
    </row>
    <row r="1435" spans="12:74">
      <c r="L1435" s="265"/>
      <c r="M1435" s="265"/>
      <c r="N1435" s="265"/>
      <c r="O1435" s="265"/>
      <c r="P1435" s="265"/>
      <c r="Q1435" s="265"/>
      <c r="BR1435" s="265"/>
      <c r="BS1435" s="265"/>
      <c r="BT1435" s="265"/>
      <c r="BU1435" s="265"/>
      <c r="BV1435" s="265"/>
    </row>
    <row r="1436" spans="12:74">
      <c r="L1436" s="265"/>
      <c r="M1436" s="265"/>
      <c r="N1436" s="265"/>
      <c r="O1436" s="265"/>
      <c r="P1436" s="265"/>
      <c r="Q1436" s="265"/>
      <c r="BR1436" s="265"/>
      <c r="BS1436" s="265"/>
      <c r="BT1436" s="265"/>
      <c r="BU1436" s="265"/>
      <c r="BV1436" s="265"/>
    </row>
    <row r="1437" spans="12:74">
      <c r="L1437" s="265"/>
      <c r="M1437" s="265"/>
      <c r="N1437" s="265"/>
      <c r="O1437" s="265"/>
      <c r="P1437" s="265"/>
      <c r="Q1437" s="265"/>
      <c r="BR1437" s="265"/>
      <c r="BS1437" s="265"/>
      <c r="BT1437" s="265"/>
      <c r="BU1437" s="265"/>
      <c r="BV1437" s="265"/>
    </row>
    <row r="1438" spans="12:74">
      <c r="L1438" s="265"/>
      <c r="M1438" s="265"/>
      <c r="N1438" s="265"/>
      <c r="O1438" s="265"/>
      <c r="P1438" s="265"/>
      <c r="Q1438" s="265"/>
      <c r="BR1438" s="265"/>
      <c r="BS1438" s="265"/>
      <c r="BT1438" s="265"/>
      <c r="BU1438" s="265"/>
      <c r="BV1438" s="265"/>
    </row>
    <row r="1439" spans="12:74">
      <c r="L1439" s="265"/>
      <c r="M1439" s="265"/>
      <c r="N1439" s="265"/>
      <c r="O1439" s="265"/>
      <c r="P1439" s="265"/>
      <c r="Q1439" s="265"/>
      <c r="BR1439" s="265"/>
      <c r="BS1439" s="265"/>
      <c r="BT1439" s="265"/>
      <c r="BU1439" s="265"/>
      <c r="BV1439" s="265"/>
    </row>
    <row r="1440" spans="12:74">
      <c r="L1440" s="265"/>
      <c r="M1440" s="265"/>
      <c r="N1440" s="265"/>
      <c r="O1440" s="265"/>
      <c r="P1440" s="265"/>
      <c r="Q1440" s="265"/>
      <c r="BR1440" s="265"/>
      <c r="BS1440" s="265"/>
      <c r="BT1440" s="265"/>
      <c r="BU1440" s="265"/>
      <c r="BV1440" s="265"/>
    </row>
    <row r="1441" spans="12:74">
      <c r="L1441" s="265"/>
      <c r="M1441" s="265"/>
      <c r="N1441" s="265"/>
      <c r="O1441" s="265"/>
      <c r="P1441" s="265"/>
      <c r="Q1441" s="265"/>
      <c r="BR1441" s="265"/>
      <c r="BS1441" s="265"/>
      <c r="BT1441" s="265"/>
      <c r="BU1441" s="265"/>
      <c r="BV1441" s="265"/>
    </row>
    <row r="1442" spans="12:74">
      <c r="L1442" s="265"/>
      <c r="M1442" s="265"/>
      <c r="N1442" s="265"/>
      <c r="O1442" s="265"/>
      <c r="P1442" s="265"/>
      <c r="Q1442" s="265"/>
      <c r="BR1442" s="265"/>
      <c r="BS1442" s="265"/>
      <c r="BT1442" s="265"/>
      <c r="BU1442" s="265"/>
      <c r="BV1442" s="265"/>
    </row>
    <row r="1443" spans="12:74">
      <c r="L1443" s="265"/>
      <c r="M1443" s="265"/>
      <c r="N1443" s="265"/>
      <c r="O1443" s="265"/>
      <c r="P1443" s="265"/>
      <c r="Q1443" s="265"/>
      <c r="BR1443" s="265"/>
      <c r="BS1443" s="265"/>
      <c r="BT1443" s="265"/>
      <c r="BU1443" s="265"/>
      <c r="BV1443" s="265"/>
    </row>
    <row r="1444" spans="12:74">
      <c r="L1444" s="265"/>
      <c r="M1444" s="265"/>
      <c r="N1444" s="265"/>
      <c r="O1444" s="265"/>
      <c r="P1444" s="265"/>
      <c r="Q1444" s="265"/>
      <c r="BR1444" s="265"/>
      <c r="BS1444" s="265"/>
      <c r="BT1444" s="265"/>
      <c r="BU1444" s="265"/>
      <c r="BV1444" s="265"/>
    </row>
    <row r="1445" spans="12:74">
      <c r="L1445" s="265"/>
      <c r="M1445" s="265"/>
      <c r="N1445" s="265"/>
      <c r="O1445" s="265"/>
      <c r="P1445" s="265"/>
      <c r="Q1445" s="265"/>
      <c r="BR1445" s="265"/>
      <c r="BS1445" s="265"/>
      <c r="BT1445" s="265"/>
      <c r="BU1445" s="265"/>
      <c r="BV1445" s="265"/>
    </row>
    <row r="1446" spans="12:74">
      <c r="L1446" s="265"/>
      <c r="M1446" s="265"/>
      <c r="N1446" s="265"/>
      <c r="O1446" s="265"/>
      <c r="P1446" s="265"/>
      <c r="Q1446" s="265"/>
      <c r="BR1446" s="265"/>
      <c r="BS1446" s="265"/>
      <c r="BT1446" s="265"/>
      <c r="BU1446" s="265"/>
      <c r="BV1446" s="265"/>
    </row>
    <row r="1447" spans="12:74">
      <c r="L1447" s="265"/>
      <c r="M1447" s="265"/>
      <c r="N1447" s="265"/>
      <c r="O1447" s="265"/>
      <c r="P1447" s="265"/>
      <c r="Q1447" s="265"/>
      <c r="BR1447" s="265"/>
      <c r="BS1447" s="265"/>
      <c r="BT1447" s="265"/>
      <c r="BU1447" s="265"/>
      <c r="BV1447" s="265"/>
    </row>
    <row r="1448" spans="12:74">
      <c r="L1448" s="265"/>
      <c r="M1448" s="265"/>
      <c r="N1448" s="265"/>
      <c r="O1448" s="265"/>
      <c r="P1448" s="265"/>
      <c r="Q1448" s="265"/>
      <c r="BR1448" s="265"/>
      <c r="BS1448" s="265"/>
      <c r="BT1448" s="265"/>
      <c r="BU1448" s="265"/>
      <c r="BV1448" s="265"/>
    </row>
    <row r="1449" spans="12:74">
      <c r="L1449" s="265"/>
      <c r="M1449" s="265"/>
      <c r="N1449" s="265"/>
      <c r="O1449" s="265"/>
      <c r="P1449" s="265"/>
      <c r="Q1449" s="265"/>
      <c r="BR1449" s="265"/>
      <c r="BS1449" s="265"/>
      <c r="BT1449" s="265"/>
      <c r="BU1449" s="265"/>
      <c r="BV1449" s="265"/>
    </row>
    <row r="1450" spans="12:74">
      <c r="L1450" s="265"/>
      <c r="M1450" s="265"/>
      <c r="N1450" s="265"/>
      <c r="O1450" s="265"/>
      <c r="P1450" s="265"/>
      <c r="Q1450" s="265"/>
      <c r="BR1450" s="265"/>
      <c r="BS1450" s="265"/>
      <c r="BT1450" s="265"/>
      <c r="BU1450" s="265"/>
      <c r="BV1450" s="265"/>
    </row>
    <row r="1451" spans="12:74">
      <c r="L1451" s="265"/>
      <c r="M1451" s="265"/>
      <c r="N1451" s="265"/>
      <c r="O1451" s="265"/>
      <c r="P1451" s="265"/>
      <c r="Q1451" s="265"/>
      <c r="BR1451" s="265"/>
      <c r="BS1451" s="265"/>
      <c r="BT1451" s="265"/>
      <c r="BU1451" s="265"/>
      <c r="BV1451" s="265"/>
    </row>
    <row r="1452" spans="12:74">
      <c r="L1452" s="265"/>
      <c r="M1452" s="265"/>
      <c r="N1452" s="265"/>
      <c r="O1452" s="265"/>
      <c r="P1452" s="265"/>
      <c r="Q1452" s="265"/>
      <c r="BR1452" s="265"/>
      <c r="BS1452" s="265"/>
      <c r="BT1452" s="265"/>
      <c r="BU1452" s="265"/>
      <c r="BV1452" s="265"/>
    </row>
    <row r="1453" spans="12:74">
      <c r="L1453" s="265"/>
      <c r="M1453" s="265"/>
      <c r="N1453" s="265"/>
      <c r="O1453" s="265"/>
      <c r="P1453" s="265"/>
      <c r="Q1453" s="265"/>
      <c r="BR1453" s="265"/>
      <c r="BS1453" s="265"/>
      <c r="BT1453" s="265"/>
      <c r="BU1453" s="265"/>
      <c r="BV1453" s="265"/>
    </row>
    <row r="1454" spans="12:74">
      <c r="L1454" s="265"/>
      <c r="M1454" s="265"/>
      <c r="N1454" s="265"/>
      <c r="O1454" s="265"/>
      <c r="P1454" s="265"/>
      <c r="Q1454" s="265"/>
      <c r="BR1454" s="265"/>
      <c r="BS1454" s="265"/>
      <c r="BT1454" s="265"/>
      <c r="BU1454" s="265"/>
      <c r="BV1454" s="265"/>
    </row>
    <row r="1455" spans="12:74">
      <c r="L1455" s="265"/>
      <c r="M1455" s="265"/>
      <c r="N1455" s="265"/>
      <c r="O1455" s="265"/>
      <c r="P1455" s="265"/>
      <c r="Q1455" s="265"/>
      <c r="BR1455" s="265"/>
      <c r="BS1455" s="265"/>
      <c r="BT1455" s="265"/>
      <c r="BU1455" s="265"/>
      <c r="BV1455" s="265"/>
    </row>
    <row r="1456" spans="12:74">
      <c r="L1456" s="265"/>
      <c r="M1456" s="265"/>
      <c r="N1456" s="265"/>
      <c r="O1456" s="265"/>
      <c r="P1456" s="265"/>
      <c r="Q1456" s="265"/>
      <c r="BR1456" s="265"/>
      <c r="BS1456" s="265"/>
      <c r="BT1456" s="265"/>
      <c r="BU1456" s="265"/>
      <c r="BV1456" s="265"/>
    </row>
    <row r="1457" spans="12:74">
      <c r="L1457" s="265"/>
      <c r="M1457" s="265"/>
      <c r="N1457" s="265"/>
      <c r="O1457" s="265"/>
      <c r="P1457" s="265"/>
      <c r="Q1457" s="265"/>
      <c r="BR1457" s="265"/>
      <c r="BS1457" s="265"/>
      <c r="BT1457" s="265"/>
      <c r="BU1457" s="265"/>
      <c r="BV1457" s="265"/>
    </row>
    <row r="1458" spans="12:74">
      <c r="L1458" s="265"/>
      <c r="M1458" s="265"/>
      <c r="N1458" s="265"/>
      <c r="O1458" s="265"/>
      <c r="P1458" s="265"/>
      <c r="Q1458" s="265"/>
      <c r="BR1458" s="265"/>
      <c r="BS1458" s="265"/>
      <c r="BT1458" s="265"/>
      <c r="BU1458" s="265"/>
      <c r="BV1458" s="265"/>
    </row>
    <row r="1459" spans="12:74">
      <c r="L1459" s="265"/>
      <c r="M1459" s="265"/>
      <c r="N1459" s="265"/>
      <c r="O1459" s="265"/>
      <c r="P1459" s="265"/>
      <c r="Q1459" s="265"/>
      <c r="BR1459" s="265"/>
      <c r="BS1459" s="265"/>
      <c r="BT1459" s="265"/>
      <c r="BU1459" s="265"/>
      <c r="BV1459" s="265"/>
    </row>
    <row r="1460" spans="12:74">
      <c r="L1460" s="265"/>
      <c r="M1460" s="265"/>
      <c r="N1460" s="265"/>
      <c r="O1460" s="265"/>
      <c r="P1460" s="265"/>
      <c r="Q1460" s="265"/>
      <c r="BR1460" s="265"/>
      <c r="BS1460" s="265"/>
      <c r="BT1460" s="265"/>
      <c r="BU1460" s="265"/>
      <c r="BV1460" s="265"/>
    </row>
    <row r="1461" spans="12:74">
      <c r="L1461" s="265"/>
      <c r="M1461" s="265"/>
      <c r="N1461" s="265"/>
      <c r="O1461" s="265"/>
      <c r="P1461" s="265"/>
      <c r="Q1461" s="265"/>
      <c r="BR1461" s="265"/>
      <c r="BS1461" s="265"/>
      <c r="BT1461" s="265"/>
      <c r="BU1461" s="265"/>
      <c r="BV1461" s="265"/>
    </row>
    <row r="1462" spans="12:74">
      <c r="L1462" s="265"/>
      <c r="M1462" s="265"/>
      <c r="N1462" s="265"/>
      <c r="O1462" s="265"/>
      <c r="P1462" s="265"/>
      <c r="Q1462" s="265"/>
      <c r="BR1462" s="265"/>
      <c r="BS1462" s="265"/>
      <c r="BT1462" s="265"/>
      <c r="BU1462" s="265"/>
      <c r="BV1462" s="265"/>
    </row>
    <row r="1463" spans="12:74">
      <c r="L1463" s="265"/>
      <c r="M1463" s="265"/>
      <c r="N1463" s="265"/>
      <c r="O1463" s="265"/>
      <c r="P1463" s="265"/>
      <c r="Q1463" s="265"/>
      <c r="BR1463" s="265"/>
      <c r="BS1463" s="265"/>
      <c r="BT1463" s="265"/>
      <c r="BU1463" s="265"/>
      <c r="BV1463" s="265"/>
    </row>
    <row r="1464" spans="12:74">
      <c r="L1464" s="265"/>
      <c r="M1464" s="265"/>
      <c r="N1464" s="265"/>
      <c r="O1464" s="265"/>
      <c r="P1464" s="265"/>
      <c r="Q1464" s="265"/>
      <c r="BR1464" s="265"/>
      <c r="BS1464" s="265"/>
      <c r="BT1464" s="265"/>
      <c r="BU1464" s="265"/>
      <c r="BV1464" s="265"/>
    </row>
    <row r="1465" spans="12:74">
      <c r="L1465" s="265"/>
      <c r="M1465" s="265"/>
      <c r="N1465" s="265"/>
      <c r="O1465" s="265"/>
      <c r="P1465" s="265"/>
      <c r="Q1465" s="265"/>
      <c r="BR1465" s="265"/>
      <c r="BS1465" s="265"/>
      <c r="BT1465" s="265"/>
      <c r="BU1465" s="265"/>
      <c r="BV1465" s="265"/>
    </row>
    <row r="1466" spans="12:74">
      <c r="L1466" s="265"/>
      <c r="M1466" s="265"/>
      <c r="N1466" s="265"/>
      <c r="O1466" s="265"/>
      <c r="P1466" s="265"/>
      <c r="Q1466" s="265"/>
      <c r="BR1466" s="265"/>
      <c r="BS1466" s="265"/>
      <c r="BT1466" s="265"/>
      <c r="BU1466" s="265"/>
      <c r="BV1466" s="265"/>
    </row>
    <row r="1467" spans="12:74">
      <c r="L1467" s="265"/>
      <c r="M1467" s="265"/>
      <c r="N1467" s="265"/>
      <c r="O1467" s="265"/>
      <c r="P1467" s="265"/>
      <c r="Q1467" s="265"/>
      <c r="BR1467" s="265"/>
      <c r="BS1467" s="265"/>
      <c r="BT1467" s="265"/>
      <c r="BU1467" s="265"/>
      <c r="BV1467" s="265"/>
    </row>
    <row r="1468" spans="12:74">
      <c r="L1468" s="265"/>
      <c r="M1468" s="265"/>
      <c r="N1468" s="265"/>
      <c r="O1468" s="265"/>
      <c r="P1468" s="265"/>
      <c r="Q1468" s="265"/>
      <c r="BR1468" s="265"/>
      <c r="BS1468" s="265"/>
      <c r="BT1468" s="265"/>
      <c r="BU1468" s="265"/>
      <c r="BV1468" s="265"/>
    </row>
    <row r="1469" spans="12:74">
      <c r="L1469" s="265"/>
      <c r="M1469" s="265"/>
      <c r="N1469" s="265"/>
      <c r="O1469" s="265"/>
      <c r="P1469" s="265"/>
      <c r="Q1469" s="265"/>
      <c r="BR1469" s="265"/>
      <c r="BS1469" s="265"/>
      <c r="BT1469" s="265"/>
      <c r="BU1469" s="265"/>
      <c r="BV1469" s="265"/>
    </row>
    <row r="1470" spans="12:74">
      <c r="L1470" s="265"/>
      <c r="M1470" s="265"/>
      <c r="N1470" s="265"/>
      <c r="O1470" s="265"/>
      <c r="P1470" s="265"/>
      <c r="Q1470" s="265"/>
      <c r="BR1470" s="265"/>
      <c r="BS1470" s="265"/>
      <c r="BT1470" s="265"/>
      <c r="BU1470" s="265"/>
      <c r="BV1470" s="265"/>
    </row>
    <row r="1471" spans="12:74">
      <c r="L1471" s="265"/>
      <c r="M1471" s="265"/>
      <c r="N1471" s="265"/>
      <c r="O1471" s="265"/>
      <c r="P1471" s="265"/>
      <c r="Q1471" s="265"/>
      <c r="BR1471" s="265"/>
      <c r="BS1471" s="265"/>
      <c r="BT1471" s="265"/>
      <c r="BU1471" s="265"/>
      <c r="BV1471" s="265"/>
    </row>
    <row r="1472" spans="12:74">
      <c r="L1472" s="265"/>
      <c r="M1472" s="265"/>
      <c r="N1472" s="265"/>
      <c r="O1472" s="265"/>
      <c r="P1472" s="265"/>
      <c r="Q1472" s="265"/>
      <c r="BR1472" s="265"/>
      <c r="BS1472" s="265"/>
      <c r="BT1472" s="265"/>
      <c r="BU1472" s="265"/>
      <c r="BV1472" s="265"/>
    </row>
    <row r="1473" spans="12:74">
      <c r="L1473" s="265"/>
      <c r="M1473" s="265"/>
      <c r="N1473" s="265"/>
      <c r="O1473" s="265"/>
      <c r="P1473" s="265"/>
      <c r="Q1473" s="265"/>
      <c r="BR1473" s="265"/>
      <c r="BS1473" s="265"/>
      <c r="BT1473" s="265"/>
      <c r="BU1473" s="265"/>
      <c r="BV1473" s="265"/>
    </row>
    <row r="1474" spans="12:74">
      <c r="L1474" s="265"/>
      <c r="M1474" s="265"/>
      <c r="N1474" s="265"/>
      <c r="O1474" s="265"/>
      <c r="P1474" s="265"/>
      <c r="Q1474" s="265"/>
      <c r="BR1474" s="265"/>
      <c r="BS1474" s="265"/>
      <c r="BT1474" s="265"/>
      <c r="BU1474" s="265"/>
      <c r="BV1474" s="265"/>
    </row>
    <row r="1475" spans="12:74">
      <c r="L1475" s="265"/>
      <c r="M1475" s="265"/>
      <c r="N1475" s="265"/>
      <c r="O1475" s="265"/>
      <c r="P1475" s="265"/>
      <c r="Q1475" s="265"/>
      <c r="BR1475" s="265"/>
      <c r="BS1475" s="265"/>
      <c r="BT1475" s="265"/>
      <c r="BU1475" s="265"/>
      <c r="BV1475" s="265"/>
    </row>
    <row r="1476" spans="12:74">
      <c r="L1476" s="265"/>
      <c r="M1476" s="265"/>
      <c r="N1476" s="265"/>
      <c r="O1476" s="265"/>
      <c r="P1476" s="265"/>
      <c r="Q1476" s="265"/>
      <c r="BR1476" s="265"/>
      <c r="BS1476" s="265"/>
      <c r="BT1476" s="265"/>
      <c r="BU1476" s="265"/>
      <c r="BV1476" s="265"/>
    </row>
    <row r="1477" spans="12:74">
      <c r="L1477" s="265"/>
      <c r="M1477" s="265"/>
      <c r="N1477" s="265"/>
      <c r="O1477" s="265"/>
      <c r="P1477" s="265"/>
      <c r="Q1477" s="265"/>
      <c r="BR1477" s="265"/>
      <c r="BS1477" s="265"/>
      <c r="BT1477" s="265"/>
      <c r="BU1477" s="265"/>
      <c r="BV1477" s="265"/>
    </row>
    <row r="1478" spans="12:74">
      <c r="L1478" s="265"/>
      <c r="M1478" s="265"/>
      <c r="N1478" s="265"/>
      <c r="O1478" s="265"/>
      <c r="P1478" s="265"/>
      <c r="Q1478" s="265"/>
      <c r="BR1478" s="265"/>
      <c r="BS1478" s="265"/>
      <c r="BT1478" s="265"/>
      <c r="BU1478" s="265"/>
      <c r="BV1478" s="265"/>
    </row>
    <row r="1479" spans="12:74">
      <c r="L1479" s="265"/>
      <c r="M1479" s="265"/>
      <c r="N1479" s="265"/>
      <c r="O1479" s="265"/>
      <c r="P1479" s="265"/>
      <c r="Q1479" s="265"/>
      <c r="BR1479" s="265"/>
      <c r="BS1479" s="265"/>
      <c r="BT1479" s="265"/>
      <c r="BU1479" s="265"/>
      <c r="BV1479" s="265"/>
    </row>
    <row r="1480" spans="12:74">
      <c r="L1480" s="265"/>
      <c r="M1480" s="265"/>
      <c r="N1480" s="265"/>
      <c r="O1480" s="265"/>
      <c r="P1480" s="265"/>
      <c r="Q1480" s="265"/>
      <c r="BR1480" s="265"/>
      <c r="BS1480" s="265"/>
      <c r="BT1480" s="265"/>
      <c r="BU1480" s="265"/>
      <c r="BV1480" s="265"/>
    </row>
    <row r="1481" spans="12:74">
      <c r="L1481" s="265"/>
      <c r="M1481" s="265"/>
      <c r="N1481" s="265"/>
      <c r="O1481" s="265"/>
      <c r="P1481" s="265"/>
      <c r="Q1481" s="265"/>
      <c r="BR1481" s="265"/>
      <c r="BS1481" s="265"/>
      <c r="BT1481" s="265"/>
      <c r="BU1481" s="265"/>
      <c r="BV1481" s="265"/>
    </row>
    <row r="1482" spans="12:74">
      <c r="L1482" s="265"/>
      <c r="M1482" s="265"/>
      <c r="N1482" s="265"/>
      <c r="O1482" s="265"/>
      <c r="P1482" s="265"/>
      <c r="Q1482" s="265"/>
      <c r="BR1482" s="265"/>
      <c r="BS1482" s="265"/>
      <c r="BT1482" s="265"/>
      <c r="BU1482" s="265"/>
      <c r="BV1482" s="265"/>
    </row>
    <row r="1483" spans="12:74">
      <c r="L1483" s="265"/>
      <c r="M1483" s="265"/>
      <c r="N1483" s="265"/>
      <c r="O1483" s="265"/>
      <c r="P1483" s="265"/>
      <c r="Q1483" s="265"/>
      <c r="BR1483" s="265"/>
      <c r="BS1483" s="265"/>
      <c r="BT1483" s="265"/>
      <c r="BU1483" s="265"/>
      <c r="BV1483" s="265"/>
    </row>
    <row r="1484" spans="12:74">
      <c r="L1484" s="265"/>
      <c r="M1484" s="265"/>
      <c r="N1484" s="265"/>
      <c r="O1484" s="265"/>
      <c r="P1484" s="265"/>
      <c r="Q1484" s="265"/>
      <c r="BR1484" s="265"/>
      <c r="BS1484" s="265"/>
      <c r="BT1484" s="265"/>
      <c r="BU1484" s="265"/>
      <c r="BV1484" s="265"/>
    </row>
    <row r="1485" spans="12:74">
      <c r="L1485" s="265"/>
      <c r="M1485" s="265"/>
      <c r="N1485" s="265"/>
      <c r="O1485" s="265"/>
      <c r="P1485" s="265"/>
      <c r="Q1485" s="265"/>
      <c r="BR1485" s="265"/>
      <c r="BS1485" s="265"/>
      <c r="BT1485" s="265"/>
      <c r="BU1485" s="265"/>
      <c r="BV1485" s="265"/>
    </row>
    <row r="1486" spans="12:74">
      <c r="L1486" s="265"/>
      <c r="M1486" s="265"/>
      <c r="N1486" s="265"/>
      <c r="O1486" s="265"/>
      <c r="P1486" s="265"/>
      <c r="Q1486" s="265"/>
      <c r="BR1486" s="265"/>
      <c r="BS1486" s="265"/>
      <c r="BT1486" s="265"/>
      <c r="BU1486" s="265"/>
      <c r="BV1486" s="265"/>
    </row>
    <row r="1487" spans="12:74">
      <c r="L1487" s="265"/>
      <c r="M1487" s="265"/>
      <c r="N1487" s="265"/>
      <c r="O1487" s="265"/>
      <c r="P1487" s="265"/>
      <c r="Q1487" s="265"/>
      <c r="BR1487" s="265"/>
      <c r="BS1487" s="265"/>
      <c r="BT1487" s="265"/>
      <c r="BU1487" s="265"/>
      <c r="BV1487" s="265"/>
    </row>
    <row r="1488" spans="12:74">
      <c r="L1488" s="265"/>
      <c r="M1488" s="265"/>
      <c r="N1488" s="265"/>
      <c r="O1488" s="265"/>
      <c r="P1488" s="265"/>
      <c r="Q1488" s="265"/>
      <c r="BR1488" s="265"/>
      <c r="BS1488" s="265"/>
      <c r="BT1488" s="265"/>
      <c r="BU1488" s="265"/>
      <c r="BV1488" s="265"/>
    </row>
    <row r="1489" spans="12:74">
      <c r="L1489" s="265"/>
      <c r="M1489" s="265"/>
      <c r="N1489" s="265"/>
      <c r="O1489" s="265"/>
      <c r="P1489" s="265"/>
      <c r="Q1489" s="265"/>
      <c r="BR1489" s="265"/>
      <c r="BS1489" s="265"/>
      <c r="BT1489" s="265"/>
      <c r="BU1489" s="265"/>
      <c r="BV1489" s="265"/>
    </row>
    <row r="1490" spans="12:74">
      <c r="L1490" s="265"/>
      <c r="M1490" s="265"/>
      <c r="N1490" s="265"/>
      <c r="O1490" s="265"/>
      <c r="P1490" s="265"/>
      <c r="Q1490" s="265"/>
      <c r="BR1490" s="265"/>
      <c r="BS1490" s="265"/>
      <c r="BT1490" s="265"/>
      <c r="BU1490" s="265"/>
      <c r="BV1490" s="265"/>
    </row>
    <row r="1491" spans="12:74">
      <c r="L1491" s="265"/>
      <c r="M1491" s="265"/>
      <c r="N1491" s="265"/>
      <c r="O1491" s="265"/>
      <c r="P1491" s="265"/>
      <c r="Q1491" s="265"/>
      <c r="BR1491" s="265"/>
      <c r="BS1491" s="265"/>
      <c r="BT1491" s="265"/>
      <c r="BU1491" s="265"/>
      <c r="BV1491" s="265"/>
    </row>
    <row r="1492" spans="12:74">
      <c r="L1492" s="265"/>
      <c r="M1492" s="265"/>
      <c r="N1492" s="265"/>
      <c r="O1492" s="265"/>
      <c r="P1492" s="265"/>
      <c r="Q1492" s="265"/>
      <c r="BR1492" s="265"/>
      <c r="BS1492" s="265"/>
      <c r="BT1492" s="265"/>
      <c r="BU1492" s="265"/>
      <c r="BV1492" s="265"/>
    </row>
    <row r="1493" spans="12:74">
      <c r="L1493" s="265"/>
      <c r="M1493" s="265"/>
      <c r="N1493" s="265"/>
      <c r="O1493" s="265"/>
      <c r="P1493" s="265"/>
      <c r="Q1493" s="265"/>
      <c r="BR1493" s="265"/>
      <c r="BS1493" s="265"/>
      <c r="BT1493" s="265"/>
      <c r="BU1493" s="265"/>
      <c r="BV1493" s="265"/>
    </row>
    <row r="1494" spans="12:74">
      <c r="L1494" s="265"/>
      <c r="M1494" s="265"/>
      <c r="N1494" s="265"/>
      <c r="O1494" s="265"/>
      <c r="P1494" s="265"/>
      <c r="Q1494" s="265"/>
      <c r="BR1494" s="265"/>
      <c r="BS1494" s="265"/>
      <c r="BT1494" s="265"/>
      <c r="BU1494" s="265"/>
      <c r="BV1494" s="265"/>
    </row>
    <row r="1495" spans="12:74">
      <c r="L1495" s="265"/>
      <c r="M1495" s="265"/>
      <c r="N1495" s="265"/>
      <c r="O1495" s="265"/>
      <c r="P1495" s="265"/>
      <c r="Q1495" s="265"/>
      <c r="BR1495" s="265"/>
      <c r="BS1495" s="265"/>
      <c r="BT1495" s="265"/>
      <c r="BU1495" s="265"/>
      <c r="BV1495" s="265"/>
    </row>
    <row r="1496" spans="12:74">
      <c r="L1496" s="265"/>
      <c r="M1496" s="265"/>
      <c r="N1496" s="265"/>
      <c r="O1496" s="265"/>
      <c r="P1496" s="265"/>
      <c r="Q1496" s="265"/>
      <c r="BR1496" s="265"/>
      <c r="BS1496" s="265"/>
      <c r="BT1496" s="265"/>
      <c r="BU1496" s="265"/>
      <c r="BV1496" s="265"/>
    </row>
    <row r="1497" spans="12:74">
      <c r="L1497" s="265"/>
      <c r="M1497" s="265"/>
      <c r="N1497" s="265"/>
      <c r="O1497" s="265"/>
      <c r="P1497" s="265"/>
      <c r="Q1497" s="265"/>
      <c r="BR1497" s="265"/>
      <c r="BS1497" s="265"/>
      <c r="BT1497" s="265"/>
      <c r="BU1497" s="265"/>
      <c r="BV1497" s="265"/>
    </row>
    <row r="1498" spans="12:74">
      <c r="L1498" s="265"/>
      <c r="M1498" s="265"/>
      <c r="N1498" s="265"/>
      <c r="O1498" s="265"/>
      <c r="P1498" s="265"/>
      <c r="Q1498" s="265"/>
      <c r="BR1498" s="265"/>
      <c r="BS1498" s="265"/>
      <c r="BT1498" s="265"/>
      <c r="BU1498" s="265"/>
      <c r="BV1498" s="265"/>
    </row>
    <row r="1499" spans="12:74">
      <c r="L1499" s="265"/>
      <c r="M1499" s="265"/>
      <c r="N1499" s="265"/>
      <c r="O1499" s="265"/>
      <c r="P1499" s="265"/>
      <c r="Q1499" s="265"/>
      <c r="BR1499" s="265"/>
      <c r="BS1499" s="265"/>
      <c r="BT1499" s="265"/>
      <c r="BU1499" s="265"/>
      <c r="BV1499" s="265"/>
    </row>
    <row r="1500" spans="12:74">
      <c r="L1500" s="265"/>
      <c r="M1500" s="265"/>
      <c r="N1500" s="265"/>
      <c r="O1500" s="265"/>
      <c r="P1500" s="265"/>
      <c r="Q1500" s="265"/>
      <c r="BR1500" s="265"/>
      <c r="BS1500" s="265"/>
      <c r="BT1500" s="265"/>
      <c r="BU1500" s="265"/>
      <c r="BV1500" s="265"/>
    </row>
    <row r="1501" spans="12:74">
      <c r="L1501" s="265"/>
      <c r="M1501" s="265"/>
      <c r="N1501" s="265"/>
      <c r="O1501" s="265"/>
      <c r="P1501" s="265"/>
      <c r="Q1501" s="265"/>
      <c r="BR1501" s="265"/>
      <c r="BS1501" s="265"/>
      <c r="BT1501" s="265"/>
      <c r="BU1501" s="265"/>
      <c r="BV1501" s="265"/>
    </row>
    <row r="1502" spans="12:74">
      <c r="L1502" s="265"/>
      <c r="M1502" s="265"/>
      <c r="N1502" s="265"/>
      <c r="O1502" s="265"/>
      <c r="P1502" s="265"/>
      <c r="Q1502" s="265"/>
      <c r="BR1502" s="265"/>
      <c r="BS1502" s="265"/>
      <c r="BT1502" s="265"/>
      <c r="BU1502" s="265"/>
      <c r="BV1502" s="265"/>
    </row>
    <row r="1503" spans="12:74">
      <c r="L1503" s="265"/>
      <c r="M1503" s="265"/>
      <c r="N1503" s="265"/>
      <c r="O1503" s="265"/>
      <c r="P1503" s="265"/>
      <c r="Q1503" s="265"/>
      <c r="BR1503" s="265"/>
      <c r="BS1503" s="265"/>
      <c r="BT1503" s="265"/>
      <c r="BU1503" s="265"/>
      <c r="BV1503" s="265"/>
    </row>
    <row r="1504" spans="12:74">
      <c r="L1504" s="265"/>
      <c r="M1504" s="265"/>
      <c r="N1504" s="265"/>
      <c r="O1504" s="265"/>
      <c r="P1504" s="265"/>
      <c r="Q1504" s="265"/>
      <c r="BR1504" s="265"/>
      <c r="BS1504" s="265"/>
      <c r="BT1504" s="265"/>
      <c r="BU1504" s="265"/>
      <c r="BV1504" s="265"/>
    </row>
    <row r="1505" spans="12:74">
      <c r="L1505" s="265"/>
      <c r="M1505" s="265"/>
      <c r="N1505" s="265"/>
      <c r="O1505" s="265"/>
      <c r="P1505" s="265"/>
      <c r="Q1505" s="265"/>
      <c r="BR1505" s="265"/>
      <c r="BS1505" s="265"/>
      <c r="BT1505" s="265"/>
      <c r="BU1505" s="265"/>
      <c r="BV1505" s="265"/>
    </row>
    <row r="1506" spans="12:74">
      <c r="L1506" s="265"/>
      <c r="M1506" s="265"/>
      <c r="N1506" s="265"/>
      <c r="O1506" s="265"/>
      <c r="P1506" s="265"/>
      <c r="Q1506" s="265"/>
      <c r="BR1506" s="265"/>
      <c r="BS1506" s="265"/>
      <c r="BT1506" s="265"/>
      <c r="BU1506" s="265"/>
      <c r="BV1506" s="265"/>
    </row>
    <row r="1507" spans="12:74">
      <c r="L1507" s="265"/>
      <c r="M1507" s="265"/>
      <c r="N1507" s="265"/>
      <c r="O1507" s="265"/>
      <c r="P1507" s="265"/>
      <c r="Q1507" s="265"/>
      <c r="BR1507" s="265"/>
      <c r="BS1507" s="265"/>
      <c r="BT1507" s="265"/>
      <c r="BU1507" s="265"/>
      <c r="BV1507" s="265"/>
    </row>
    <row r="1508" spans="12:74">
      <c r="L1508" s="265"/>
      <c r="M1508" s="265"/>
      <c r="N1508" s="265"/>
      <c r="O1508" s="265"/>
      <c r="P1508" s="265"/>
      <c r="Q1508" s="265"/>
      <c r="BR1508" s="265"/>
      <c r="BS1508" s="265"/>
      <c r="BT1508" s="265"/>
      <c r="BU1508" s="265"/>
      <c r="BV1508" s="265"/>
    </row>
    <row r="1509" spans="12:74">
      <c r="L1509" s="265"/>
      <c r="M1509" s="265"/>
      <c r="N1509" s="265"/>
      <c r="O1509" s="265"/>
      <c r="P1509" s="265"/>
      <c r="Q1509" s="265"/>
      <c r="BR1509" s="265"/>
      <c r="BS1509" s="265"/>
      <c r="BT1509" s="265"/>
      <c r="BU1509" s="265"/>
      <c r="BV1509" s="265"/>
    </row>
    <row r="1510" spans="12:74">
      <c r="L1510" s="265"/>
      <c r="M1510" s="265"/>
      <c r="N1510" s="265"/>
      <c r="O1510" s="265"/>
      <c r="P1510" s="265"/>
      <c r="Q1510" s="265"/>
      <c r="BR1510" s="265"/>
      <c r="BS1510" s="265"/>
      <c r="BT1510" s="265"/>
      <c r="BU1510" s="265"/>
      <c r="BV1510" s="265"/>
    </row>
    <row r="1511" spans="12:74">
      <c r="L1511" s="265"/>
      <c r="M1511" s="265"/>
      <c r="N1511" s="265"/>
      <c r="O1511" s="265"/>
      <c r="P1511" s="265"/>
      <c r="Q1511" s="265"/>
      <c r="BR1511" s="265"/>
      <c r="BS1511" s="265"/>
      <c r="BT1511" s="265"/>
      <c r="BU1511" s="265"/>
      <c r="BV1511" s="265"/>
    </row>
    <row r="1512" spans="12:74">
      <c r="L1512" s="265"/>
      <c r="M1512" s="265"/>
      <c r="N1512" s="265"/>
      <c r="O1512" s="265"/>
      <c r="P1512" s="265"/>
      <c r="Q1512" s="265"/>
      <c r="BR1512" s="265"/>
      <c r="BS1512" s="265"/>
      <c r="BT1512" s="265"/>
      <c r="BU1512" s="265"/>
      <c r="BV1512" s="265"/>
    </row>
    <row r="1513" spans="12:74">
      <c r="L1513" s="265"/>
      <c r="M1513" s="265"/>
      <c r="N1513" s="265"/>
      <c r="O1513" s="265"/>
      <c r="P1513" s="265"/>
      <c r="Q1513" s="265"/>
      <c r="BR1513" s="265"/>
      <c r="BS1513" s="265"/>
      <c r="BT1513" s="265"/>
      <c r="BU1513" s="265"/>
      <c r="BV1513" s="265"/>
    </row>
    <row r="1514" spans="12:74">
      <c r="L1514" s="265"/>
      <c r="M1514" s="265"/>
      <c r="N1514" s="265"/>
      <c r="O1514" s="265"/>
      <c r="P1514" s="265"/>
      <c r="Q1514" s="265"/>
      <c r="BR1514" s="265"/>
      <c r="BS1514" s="265"/>
      <c r="BT1514" s="265"/>
      <c r="BU1514" s="265"/>
      <c r="BV1514" s="265"/>
    </row>
    <row r="1515" spans="12:74">
      <c r="L1515" s="265"/>
      <c r="M1515" s="265"/>
      <c r="N1515" s="265"/>
      <c r="O1515" s="265"/>
      <c r="P1515" s="265"/>
      <c r="Q1515" s="265"/>
      <c r="BR1515" s="265"/>
      <c r="BS1515" s="265"/>
      <c r="BT1515" s="265"/>
      <c r="BU1515" s="265"/>
      <c r="BV1515" s="265"/>
    </row>
    <row r="1516" spans="12:74">
      <c r="L1516" s="265"/>
      <c r="M1516" s="265"/>
      <c r="N1516" s="265"/>
      <c r="O1516" s="265"/>
      <c r="P1516" s="265"/>
      <c r="Q1516" s="265"/>
      <c r="BR1516" s="265"/>
      <c r="BS1516" s="265"/>
      <c r="BT1516" s="265"/>
      <c r="BU1516" s="265"/>
      <c r="BV1516" s="265"/>
    </row>
    <row r="1517" spans="12:74">
      <c r="L1517" s="265"/>
      <c r="M1517" s="265"/>
      <c r="N1517" s="265"/>
      <c r="O1517" s="265"/>
      <c r="P1517" s="265"/>
      <c r="Q1517" s="265"/>
      <c r="BR1517" s="265"/>
      <c r="BS1517" s="265"/>
      <c r="BT1517" s="265"/>
      <c r="BU1517" s="265"/>
      <c r="BV1517" s="265"/>
    </row>
    <row r="1518" spans="12:74">
      <c r="L1518" s="265"/>
      <c r="M1518" s="265"/>
      <c r="N1518" s="265"/>
      <c r="O1518" s="265"/>
      <c r="P1518" s="265"/>
      <c r="Q1518" s="265"/>
      <c r="BR1518" s="265"/>
      <c r="BS1518" s="265"/>
      <c r="BT1518" s="265"/>
      <c r="BU1518" s="265"/>
      <c r="BV1518" s="265"/>
    </row>
    <row r="1519" spans="12:74">
      <c r="L1519" s="265"/>
      <c r="M1519" s="265"/>
      <c r="N1519" s="265"/>
      <c r="O1519" s="265"/>
      <c r="P1519" s="265"/>
      <c r="Q1519" s="265"/>
      <c r="BR1519" s="265"/>
      <c r="BS1519" s="265"/>
      <c r="BT1519" s="265"/>
      <c r="BU1519" s="265"/>
      <c r="BV1519" s="265"/>
    </row>
    <row r="1520" spans="12:74">
      <c r="L1520" s="265"/>
      <c r="M1520" s="265"/>
      <c r="N1520" s="265"/>
      <c r="O1520" s="265"/>
      <c r="P1520" s="265"/>
      <c r="Q1520" s="265"/>
      <c r="BR1520" s="265"/>
      <c r="BS1520" s="265"/>
      <c r="BT1520" s="265"/>
      <c r="BU1520" s="265"/>
      <c r="BV1520" s="265"/>
    </row>
    <row r="1521" spans="12:74">
      <c r="L1521" s="265"/>
      <c r="M1521" s="265"/>
      <c r="N1521" s="265"/>
      <c r="O1521" s="265"/>
      <c r="P1521" s="265"/>
      <c r="Q1521" s="265"/>
      <c r="BR1521" s="265"/>
      <c r="BS1521" s="265"/>
      <c r="BT1521" s="265"/>
      <c r="BU1521" s="265"/>
      <c r="BV1521" s="265"/>
    </row>
    <row r="1522" spans="12:74">
      <c r="L1522" s="265"/>
      <c r="M1522" s="265"/>
      <c r="N1522" s="265"/>
      <c r="O1522" s="265"/>
      <c r="P1522" s="265"/>
      <c r="Q1522" s="265"/>
      <c r="BR1522" s="265"/>
      <c r="BS1522" s="265"/>
      <c r="BT1522" s="265"/>
      <c r="BU1522" s="265"/>
      <c r="BV1522" s="265"/>
    </row>
    <row r="1523" spans="12:74">
      <c r="L1523" s="265"/>
      <c r="M1523" s="265"/>
      <c r="N1523" s="265"/>
      <c r="O1523" s="265"/>
      <c r="P1523" s="265"/>
      <c r="Q1523" s="265"/>
      <c r="BR1523" s="265"/>
      <c r="BS1523" s="265"/>
      <c r="BT1523" s="265"/>
      <c r="BU1523" s="265"/>
      <c r="BV1523" s="265"/>
    </row>
    <row r="1524" spans="12:74">
      <c r="L1524" s="265"/>
      <c r="M1524" s="265"/>
      <c r="N1524" s="265"/>
      <c r="O1524" s="265"/>
      <c r="P1524" s="265"/>
      <c r="Q1524" s="265"/>
      <c r="BR1524" s="265"/>
      <c r="BS1524" s="265"/>
      <c r="BT1524" s="265"/>
      <c r="BU1524" s="265"/>
      <c r="BV1524" s="265"/>
    </row>
    <row r="1525" spans="12:74">
      <c r="L1525" s="265"/>
      <c r="M1525" s="265"/>
      <c r="N1525" s="265"/>
      <c r="O1525" s="265"/>
      <c r="P1525" s="265"/>
      <c r="Q1525" s="265"/>
      <c r="BR1525" s="265"/>
      <c r="BS1525" s="265"/>
      <c r="BT1525" s="265"/>
      <c r="BU1525" s="265"/>
      <c r="BV1525" s="265"/>
    </row>
    <row r="1526" spans="12:74">
      <c r="L1526" s="265"/>
      <c r="M1526" s="265"/>
      <c r="N1526" s="265"/>
      <c r="O1526" s="265"/>
      <c r="P1526" s="265"/>
      <c r="Q1526" s="265"/>
      <c r="BR1526" s="265"/>
      <c r="BS1526" s="265"/>
      <c r="BT1526" s="265"/>
      <c r="BU1526" s="265"/>
      <c r="BV1526" s="265"/>
    </row>
    <row r="1527" spans="12:74">
      <c r="L1527" s="265"/>
      <c r="M1527" s="265"/>
      <c r="N1527" s="265"/>
      <c r="O1527" s="265"/>
      <c r="P1527" s="265"/>
      <c r="Q1527" s="265"/>
      <c r="BR1527" s="265"/>
      <c r="BS1527" s="265"/>
      <c r="BT1527" s="265"/>
      <c r="BU1527" s="265"/>
      <c r="BV1527" s="265"/>
    </row>
    <row r="1528" spans="12:74">
      <c r="L1528" s="265"/>
      <c r="M1528" s="265"/>
      <c r="N1528" s="265"/>
      <c r="O1528" s="265"/>
      <c r="P1528" s="265"/>
      <c r="Q1528" s="265"/>
      <c r="BR1528" s="265"/>
      <c r="BS1528" s="265"/>
      <c r="BT1528" s="265"/>
      <c r="BU1528" s="265"/>
      <c r="BV1528" s="265"/>
    </row>
    <row r="1529" spans="12:74">
      <c r="L1529" s="265"/>
      <c r="M1529" s="265"/>
      <c r="N1529" s="265"/>
      <c r="O1529" s="265"/>
      <c r="P1529" s="265"/>
      <c r="Q1529" s="265"/>
      <c r="BR1529" s="265"/>
      <c r="BS1529" s="265"/>
      <c r="BT1529" s="265"/>
      <c r="BU1529" s="265"/>
      <c r="BV1529" s="265"/>
    </row>
    <row r="1530" spans="12:74">
      <c r="L1530" s="265"/>
      <c r="M1530" s="265"/>
      <c r="N1530" s="265"/>
      <c r="O1530" s="265"/>
      <c r="P1530" s="265"/>
      <c r="Q1530" s="265"/>
      <c r="BR1530" s="265"/>
      <c r="BS1530" s="265"/>
      <c r="BT1530" s="265"/>
      <c r="BU1530" s="265"/>
      <c r="BV1530" s="265"/>
    </row>
    <row r="1531" spans="12:74">
      <c r="L1531" s="265"/>
      <c r="M1531" s="265"/>
      <c r="N1531" s="265"/>
      <c r="O1531" s="265"/>
      <c r="P1531" s="265"/>
      <c r="Q1531" s="265"/>
      <c r="BR1531" s="265"/>
      <c r="BS1531" s="265"/>
      <c r="BT1531" s="265"/>
      <c r="BU1531" s="265"/>
      <c r="BV1531" s="265"/>
    </row>
    <row r="1532" spans="12:74">
      <c r="L1532" s="265"/>
      <c r="M1532" s="265"/>
      <c r="N1532" s="265"/>
      <c r="O1532" s="265"/>
      <c r="P1532" s="265"/>
      <c r="Q1532" s="265"/>
      <c r="BR1532" s="265"/>
      <c r="BS1532" s="265"/>
      <c r="BT1532" s="265"/>
      <c r="BU1532" s="265"/>
      <c r="BV1532" s="265"/>
    </row>
    <row r="1533" spans="12:74">
      <c r="L1533" s="265"/>
      <c r="M1533" s="265"/>
      <c r="N1533" s="265"/>
      <c r="O1533" s="265"/>
      <c r="P1533" s="265"/>
      <c r="Q1533" s="265"/>
      <c r="BR1533" s="265"/>
      <c r="BS1533" s="265"/>
      <c r="BT1533" s="265"/>
      <c r="BU1533" s="265"/>
      <c r="BV1533" s="265"/>
    </row>
    <row r="1534" spans="12:74">
      <c r="L1534" s="265"/>
      <c r="M1534" s="265"/>
      <c r="N1534" s="265"/>
      <c r="O1534" s="265"/>
      <c r="P1534" s="265"/>
      <c r="Q1534" s="265"/>
      <c r="BR1534" s="265"/>
      <c r="BS1534" s="265"/>
      <c r="BT1534" s="265"/>
      <c r="BU1534" s="265"/>
      <c r="BV1534" s="265"/>
    </row>
    <row r="1535" spans="12:74">
      <c r="L1535" s="265"/>
      <c r="M1535" s="265"/>
      <c r="N1535" s="265"/>
      <c r="O1535" s="265"/>
      <c r="P1535" s="265"/>
      <c r="Q1535" s="265"/>
      <c r="BR1535" s="265"/>
      <c r="BS1535" s="265"/>
      <c r="BT1535" s="265"/>
      <c r="BU1535" s="265"/>
      <c r="BV1535" s="265"/>
    </row>
    <row r="1536" spans="12:74">
      <c r="L1536" s="265"/>
      <c r="M1536" s="265"/>
      <c r="N1536" s="265"/>
      <c r="O1536" s="265"/>
      <c r="P1536" s="265"/>
      <c r="Q1536" s="265"/>
      <c r="BR1536" s="265"/>
      <c r="BS1536" s="265"/>
      <c r="BT1536" s="265"/>
      <c r="BU1536" s="265"/>
      <c r="BV1536" s="265"/>
    </row>
    <row r="1537" spans="12:74">
      <c r="L1537" s="265"/>
      <c r="M1537" s="265"/>
      <c r="N1537" s="265"/>
      <c r="O1537" s="265"/>
      <c r="P1537" s="265"/>
      <c r="Q1537" s="265"/>
      <c r="BR1537" s="265"/>
      <c r="BS1537" s="265"/>
      <c r="BT1537" s="265"/>
      <c r="BU1537" s="265"/>
      <c r="BV1537" s="265"/>
    </row>
    <row r="1538" spans="12:74">
      <c r="L1538" s="265"/>
      <c r="M1538" s="265"/>
      <c r="N1538" s="265"/>
      <c r="O1538" s="265"/>
      <c r="P1538" s="265"/>
      <c r="Q1538" s="265"/>
      <c r="BR1538" s="265"/>
      <c r="BS1538" s="265"/>
      <c r="BT1538" s="265"/>
      <c r="BU1538" s="265"/>
      <c r="BV1538" s="265"/>
    </row>
    <row r="1539" spans="12:74">
      <c r="L1539" s="265"/>
      <c r="M1539" s="265"/>
      <c r="N1539" s="265"/>
      <c r="O1539" s="265"/>
      <c r="P1539" s="265"/>
      <c r="Q1539" s="265"/>
      <c r="BR1539" s="265"/>
      <c r="BS1539" s="265"/>
      <c r="BT1539" s="265"/>
      <c r="BU1539" s="265"/>
      <c r="BV1539" s="265"/>
    </row>
    <row r="1540" spans="12:74">
      <c r="L1540" s="265"/>
      <c r="M1540" s="265"/>
      <c r="N1540" s="265"/>
      <c r="O1540" s="265"/>
      <c r="P1540" s="265"/>
      <c r="Q1540" s="265"/>
      <c r="BR1540" s="265"/>
      <c r="BS1540" s="265"/>
      <c r="BT1540" s="265"/>
      <c r="BU1540" s="265"/>
      <c r="BV1540" s="265"/>
    </row>
    <row r="1541" spans="12:74">
      <c r="L1541" s="265"/>
      <c r="M1541" s="265"/>
      <c r="N1541" s="265"/>
      <c r="O1541" s="265"/>
      <c r="P1541" s="265"/>
      <c r="Q1541" s="265"/>
      <c r="BR1541" s="265"/>
      <c r="BS1541" s="265"/>
      <c r="BT1541" s="265"/>
      <c r="BU1541" s="265"/>
      <c r="BV1541" s="265"/>
    </row>
    <row r="1542" spans="12:74">
      <c r="L1542" s="265"/>
      <c r="M1542" s="265"/>
      <c r="N1542" s="265"/>
      <c r="O1542" s="265"/>
      <c r="P1542" s="265"/>
      <c r="Q1542" s="265"/>
      <c r="BR1542" s="265"/>
      <c r="BS1542" s="265"/>
      <c r="BT1542" s="265"/>
      <c r="BU1542" s="265"/>
      <c r="BV1542" s="265"/>
    </row>
    <row r="1543" spans="12:74">
      <c r="L1543" s="265"/>
      <c r="M1543" s="265"/>
      <c r="N1543" s="265"/>
      <c r="O1543" s="265"/>
      <c r="P1543" s="265"/>
      <c r="Q1543" s="265"/>
      <c r="BR1543" s="265"/>
      <c r="BS1543" s="265"/>
      <c r="BT1543" s="265"/>
      <c r="BU1543" s="265"/>
      <c r="BV1543" s="265"/>
    </row>
    <row r="1544" spans="12:74">
      <c r="L1544" s="265"/>
      <c r="M1544" s="265"/>
      <c r="N1544" s="265"/>
      <c r="O1544" s="265"/>
      <c r="P1544" s="265"/>
      <c r="Q1544" s="265"/>
      <c r="BR1544" s="265"/>
      <c r="BS1544" s="265"/>
      <c r="BT1544" s="265"/>
      <c r="BU1544" s="265"/>
      <c r="BV1544" s="265"/>
    </row>
    <row r="1545" spans="12:74">
      <c r="L1545" s="265"/>
      <c r="M1545" s="265"/>
      <c r="N1545" s="265"/>
      <c r="O1545" s="265"/>
      <c r="P1545" s="265"/>
      <c r="Q1545" s="265"/>
      <c r="BR1545" s="265"/>
      <c r="BS1545" s="265"/>
      <c r="BT1545" s="265"/>
      <c r="BU1545" s="265"/>
      <c r="BV1545" s="265"/>
    </row>
    <row r="1546" spans="12:74">
      <c r="L1546" s="265"/>
      <c r="M1546" s="265"/>
      <c r="N1546" s="265"/>
      <c r="O1546" s="265"/>
      <c r="P1546" s="265"/>
      <c r="Q1546" s="265"/>
      <c r="BR1546" s="265"/>
      <c r="BS1546" s="265"/>
      <c r="BT1546" s="265"/>
      <c r="BU1546" s="265"/>
      <c r="BV1546" s="265"/>
    </row>
    <row r="1547" spans="12:74">
      <c r="L1547" s="265"/>
      <c r="M1547" s="265"/>
      <c r="N1547" s="265"/>
      <c r="O1547" s="265"/>
      <c r="P1547" s="265"/>
      <c r="Q1547" s="265"/>
      <c r="BR1547" s="265"/>
      <c r="BS1547" s="265"/>
      <c r="BT1547" s="265"/>
      <c r="BU1547" s="265"/>
      <c r="BV1547" s="265"/>
    </row>
    <row r="1548" spans="12:74">
      <c r="L1548" s="265"/>
      <c r="M1548" s="265"/>
      <c r="N1548" s="265"/>
      <c r="O1548" s="265"/>
      <c r="P1548" s="265"/>
      <c r="Q1548" s="265"/>
      <c r="BR1548" s="265"/>
      <c r="BS1548" s="265"/>
      <c r="BT1548" s="265"/>
      <c r="BU1548" s="265"/>
      <c r="BV1548" s="265"/>
    </row>
    <row r="1549" spans="12:74">
      <c r="L1549" s="265"/>
      <c r="M1549" s="265"/>
      <c r="N1549" s="265"/>
      <c r="O1549" s="265"/>
      <c r="P1549" s="265"/>
      <c r="Q1549" s="265"/>
      <c r="BR1549" s="265"/>
      <c r="BS1549" s="265"/>
      <c r="BT1549" s="265"/>
      <c r="BU1549" s="265"/>
      <c r="BV1549" s="265"/>
    </row>
    <row r="1550" spans="12:74">
      <c r="L1550" s="265"/>
      <c r="M1550" s="265"/>
      <c r="N1550" s="265"/>
      <c r="O1550" s="265"/>
      <c r="P1550" s="265"/>
      <c r="Q1550" s="265"/>
      <c r="BR1550" s="265"/>
      <c r="BS1550" s="265"/>
      <c r="BT1550" s="265"/>
      <c r="BU1550" s="265"/>
      <c r="BV1550" s="265"/>
    </row>
    <row r="1551" spans="12:74">
      <c r="L1551" s="265"/>
      <c r="M1551" s="265"/>
      <c r="N1551" s="265"/>
      <c r="O1551" s="265"/>
      <c r="P1551" s="265"/>
      <c r="Q1551" s="265"/>
      <c r="BR1551" s="265"/>
      <c r="BS1551" s="265"/>
      <c r="BT1551" s="265"/>
      <c r="BU1551" s="265"/>
      <c r="BV1551" s="265"/>
    </row>
    <row r="1552" spans="12:74">
      <c r="L1552" s="265"/>
      <c r="M1552" s="265"/>
      <c r="N1552" s="265"/>
      <c r="O1552" s="265"/>
      <c r="P1552" s="265"/>
      <c r="Q1552" s="265"/>
      <c r="BR1552" s="265"/>
      <c r="BS1552" s="265"/>
      <c r="BT1552" s="265"/>
      <c r="BU1552" s="265"/>
      <c r="BV1552" s="265"/>
    </row>
    <row r="1553" spans="12:74">
      <c r="L1553" s="265"/>
      <c r="M1553" s="265"/>
      <c r="N1553" s="265"/>
      <c r="O1553" s="265"/>
      <c r="P1553" s="265"/>
      <c r="Q1553" s="265"/>
      <c r="BR1553" s="265"/>
      <c r="BS1553" s="265"/>
      <c r="BT1553" s="265"/>
      <c r="BU1553" s="265"/>
      <c r="BV1553" s="265"/>
    </row>
    <row r="1554" spans="12:74">
      <c r="L1554" s="265"/>
      <c r="M1554" s="265"/>
      <c r="N1554" s="265"/>
      <c r="O1554" s="265"/>
      <c r="P1554" s="265"/>
      <c r="Q1554" s="265"/>
      <c r="BR1554" s="265"/>
      <c r="BS1554" s="265"/>
      <c r="BT1554" s="265"/>
      <c r="BU1554" s="265"/>
      <c r="BV1554" s="265"/>
    </row>
    <row r="1555" spans="12:74">
      <c r="L1555" s="265"/>
      <c r="M1555" s="265"/>
      <c r="N1555" s="265"/>
      <c r="O1555" s="265"/>
      <c r="P1555" s="265"/>
      <c r="Q1555" s="265"/>
      <c r="BR1555" s="265"/>
      <c r="BS1555" s="265"/>
      <c r="BT1555" s="265"/>
      <c r="BU1555" s="265"/>
      <c r="BV1555" s="265"/>
    </row>
    <row r="1556" spans="12:74">
      <c r="L1556" s="265"/>
      <c r="M1556" s="265"/>
      <c r="N1556" s="265"/>
      <c r="O1556" s="265"/>
      <c r="P1556" s="265"/>
      <c r="Q1556" s="265"/>
      <c r="BR1556" s="265"/>
      <c r="BS1556" s="265"/>
      <c r="BT1556" s="265"/>
      <c r="BU1556" s="265"/>
      <c r="BV1556" s="265"/>
    </row>
    <row r="1557" spans="12:74">
      <c r="L1557" s="265"/>
      <c r="M1557" s="265"/>
      <c r="N1557" s="265"/>
      <c r="O1557" s="265"/>
      <c r="P1557" s="265"/>
      <c r="Q1557" s="265"/>
      <c r="BR1557" s="265"/>
      <c r="BS1557" s="265"/>
      <c r="BT1557" s="265"/>
      <c r="BU1557" s="265"/>
      <c r="BV1557" s="265"/>
    </row>
    <row r="1558" spans="12:74">
      <c r="L1558" s="265"/>
      <c r="M1558" s="265"/>
      <c r="N1558" s="265"/>
      <c r="O1558" s="265"/>
      <c r="P1558" s="265"/>
      <c r="Q1558" s="265"/>
      <c r="BR1558" s="265"/>
      <c r="BS1558" s="265"/>
      <c r="BT1558" s="265"/>
      <c r="BU1558" s="265"/>
      <c r="BV1558" s="265"/>
    </row>
    <row r="1559" spans="12:74">
      <c r="L1559" s="265"/>
      <c r="M1559" s="265"/>
      <c r="N1559" s="265"/>
      <c r="O1559" s="265"/>
      <c r="P1559" s="265"/>
      <c r="Q1559" s="265"/>
      <c r="BR1559" s="265"/>
      <c r="BS1559" s="265"/>
      <c r="BT1559" s="265"/>
      <c r="BU1559" s="265"/>
      <c r="BV1559" s="265"/>
    </row>
    <row r="1560" spans="12:74">
      <c r="L1560" s="265"/>
      <c r="M1560" s="265"/>
      <c r="N1560" s="265"/>
      <c r="O1560" s="265"/>
      <c r="P1560" s="265"/>
      <c r="Q1560" s="265"/>
      <c r="BR1560" s="265"/>
      <c r="BS1560" s="265"/>
      <c r="BT1560" s="265"/>
      <c r="BU1560" s="265"/>
      <c r="BV1560" s="265"/>
    </row>
    <row r="1561" spans="12:74">
      <c r="L1561" s="265"/>
      <c r="M1561" s="265"/>
      <c r="N1561" s="265"/>
      <c r="O1561" s="265"/>
      <c r="P1561" s="265"/>
      <c r="Q1561" s="265"/>
      <c r="BR1561" s="265"/>
      <c r="BS1561" s="265"/>
      <c r="BT1561" s="265"/>
      <c r="BU1561" s="265"/>
      <c r="BV1561" s="265"/>
    </row>
    <row r="1562" spans="12:74">
      <c r="L1562" s="265"/>
      <c r="M1562" s="265"/>
      <c r="N1562" s="265"/>
      <c r="O1562" s="265"/>
      <c r="P1562" s="265"/>
      <c r="Q1562" s="265"/>
      <c r="BR1562" s="265"/>
      <c r="BS1562" s="265"/>
      <c r="BT1562" s="265"/>
      <c r="BU1562" s="265"/>
      <c r="BV1562" s="265"/>
    </row>
    <row r="1563" spans="12:74">
      <c r="L1563" s="265"/>
      <c r="M1563" s="265"/>
      <c r="N1563" s="265"/>
      <c r="O1563" s="265"/>
      <c r="P1563" s="265"/>
      <c r="Q1563" s="265"/>
      <c r="BR1563" s="265"/>
      <c r="BS1563" s="265"/>
      <c r="BT1563" s="265"/>
      <c r="BU1563" s="265"/>
      <c r="BV1563" s="265"/>
    </row>
    <row r="1564" spans="12:74">
      <c r="L1564" s="265"/>
      <c r="M1564" s="265"/>
      <c r="N1564" s="265"/>
      <c r="O1564" s="265"/>
      <c r="P1564" s="265"/>
      <c r="Q1564" s="265"/>
      <c r="BR1564" s="265"/>
      <c r="BS1564" s="265"/>
      <c r="BT1564" s="265"/>
      <c r="BU1564" s="265"/>
      <c r="BV1564" s="265"/>
    </row>
    <row r="1565" spans="12:74">
      <c r="L1565" s="265"/>
      <c r="M1565" s="265"/>
      <c r="N1565" s="265"/>
      <c r="O1565" s="265"/>
      <c r="P1565" s="265"/>
      <c r="Q1565" s="265"/>
      <c r="BR1565" s="265"/>
      <c r="BS1565" s="265"/>
      <c r="BT1565" s="265"/>
      <c r="BU1565" s="265"/>
      <c r="BV1565" s="265"/>
    </row>
    <row r="1566" spans="12:74">
      <c r="L1566" s="265"/>
      <c r="M1566" s="265"/>
      <c r="N1566" s="265"/>
      <c r="O1566" s="265"/>
      <c r="P1566" s="265"/>
      <c r="Q1566" s="265"/>
      <c r="BR1566" s="265"/>
      <c r="BS1566" s="265"/>
      <c r="BT1566" s="265"/>
      <c r="BU1566" s="265"/>
      <c r="BV1566" s="265"/>
    </row>
    <row r="1567" spans="12:74">
      <c r="L1567" s="265"/>
      <c r="M1567" s="265"/>
      <c r="N1567" s="265"/>
      <c r="O1567" s="265"/>
      <c r="P1567" s="265"/>
      <c r="Q1567" s="265"/>
      <c r="BR1567" s="265"/>
      <c r="BS1567" s="265"/>
      <c r="BT1567" s="265"/>
      <c r="BU1567" s="265"/>
      <c r="BV1567" s="265"/>
    </row>
    <row r="1568" spans="12:74">
      <c r="L1568" s="265"/>
      <c r="M1568" s="265"/>
      <c r="N1568" s="265"/>
      <c r="O1568" s="265"/>
      <c r="P1568" s="265"/>
      <c r="Q1568" s="265"/>
      <c r="BR1568" s="265"/>
      <c r="BS1568" s="265"/>
      <c r="BT1568" s="265"/>
      <c r="BU1568" s="265"/>
      <c r="BV1568" s="265"/>
    </row>
    <row r="1569" spans="12:74">
      <c r="L1569" s="265"/>
      <c r="M1569" s="265"/>
      <c r="N1569" s="265"/>
      <c r="O1569" s="265"/>
      <c r="P1569" s="265"/>
      <c r="Q1569" s="265"/>
      <c r="BR1569" s="265"/>
      <c r="BS1569" s="265"/>
      <c r="BT1569" s="265"/>
      <c r="BU1569" s="265"/>
      <c r="BV1569" s="265"/>
    </row>
    <row r="1570" spans="12:74">
      <c r="L1570" s="265"/>
      <c r="M1570" s="265"/>
      <c r="N1570" s="265"/>
      <c r="O1570" s="265"/>
      <c r="P1570" s="265"/>
      <c r="Q1570" s="265"/>
      <c r="BR1570" s="265"/>
      <c r="BS1570" s="265"/>
      <c r="BT1570" s="265"/>
      <c r="BU1570" s="265"/>
      <c r="BV1570" s="265"/>
    </row>
    <row r="1571" spans="12:74">
      <c r="L1571" s="265"/>
      <c r="M1571" s="265"/>
      <c r="N1571" s="265"/>
      <c r="O1571" s="265"/>
      <c r="P1571" s="265"/>
      <c r="Q1571" s="265"/>
      <c r="BR1571" s="265"/>
      <c r="BS1571" s="265"/>
      <c r="BT1571" s="265"/>
      <c r="BU1571" s="265"/>
      <c r="BV1571" s="265"/>
    </row>
    <row r="1572" spans="12:74">
      <c r="L1572" s="265"/>
      <c r="M1572" s="265"/>
      <c r="N1572" s="265"/>
      <c r="O1572" s="265"/>
      <c r="P1572" s="265"/>
      <c r="Q1572" s="265"/>
      <c r="BR1572" s="265"/>
      <c r="BS1572" s="265"/>
      <c r="BT1572" s="265"/>
      <c r="BU1572" s="265"/>
      <c r="BV1572" s="265"/>
    </row>
    <row r="1573" spans="12:74">
      <c r="L1573" s="265"/>
      <c r="M1573" s="265"/>
      <c r="N1573" s="265"/>
      <c r="O1573" s="265"/>
      <c r="P1573" s="265"/>
      <c r="Q1573" s="265"/>
      <c r="BR1573" s="265"/>
      <c r="BS1573" s="265"/>
      <c r="BT1573" s="265"/>
      <c r="BU1573" s="265"/>
      <c r="BV1573" s="265"/>
    </row>
    <row r="1574" spans="12:74">
      <c r="L1574" s="265"/>
      <c r="M1574" s="265"/>
      <c r="N1574" s="265"/>
      <c r="O1574" s="265"/>
      <c r="P1574" s="265"/>
      <c r="Q1574" s="265"/>
      <c r="BR1574" s="265"/>
      <c r="BS1574" s="265"/>
      <c r="BT1574" s="265"/>
      <c r="BU1574" s="265"/>
      <c r="BV1574" s="265"/>
    </row>
    <row r="1575" spans="12:74">
      <c r="L1575" s="265"/>
      <c r="M1575" s="265"/>
      <c r="N1575" s="265"/>
      <c r="O1575" s="265"/>
      <c r="P1575" s="265"/>
      <c r="Q1575" s="265"/>
      <c r="BR1575" s="265"/>
      <c r="BS1575" s="265"/>
      <c r="BT1575" s="265"/>
      <c r="BU1575" s="265"/>
      <c r="BV1575" s="265"/>
    </row>
    <row r="1576" spans="12:74">
      <c r="L1576" s="265"/>
      <c r="M1576" s="265"/>
      <c r="N1576" s="265"/>
      <c r="O1576" s="265"/>
      <c r="P1576" s="265"/>
      <c r="Q1576" s="265"/>
      <c r="BR1576" s="265"/>
      <c r="BS1576" s="265"/>
      <c r="BT1576" s="265"/>
      <c r="BU1576" s="265"/>
      <c r="BV1576" s="265"/>
    </row>
    <row r="1577" spans="12:74">
      <c r="L1577" s="265"/>
      <c r="M1577" s="265"/>
      <c r="N1577" s="265"/>
      <c r="O1577" s="265"/>
      <c r="P1577" s="265"/>
      <c r="Q1577" s="265"/>
      <c r="BR1577" s="265"/>
      <c r="BS1577" s="265"/>
      <c r="BT1577" s="265"/>
      <c r="BU1577" s="265"/>
      <c r="BV1577" s="265"/>
    </row>
    <row r="1578" spans="12:74">
      <c r="L1578" s="265"/>
      <c r="M1578" s="265"/>
      <c r="N1578" s="265"/>
      <c r="O1578" s="265"/>
      <c r="P1578" s="265"/>
      <c r="Q1578" s="265"/>
      <c r="BR1578" s="265"/>
      <c r="BS1578" s="265"/>
      <c r="BT1578" s="265"/>
      <c r="BU1578" s="265"/>
      <c r="BV1578" s="265"/>
    </row>
    <row r="1579" spans="12:74">
      <c r="L1579" s="265"/>
      <c r="M1579" s="265"/>
      <c r="N1579" s="265"/>
      <c r="O1579" s="265"/>
      <c r="P1579" s="265"/>
      <c r="Q1579" s="265"/>
      <c r="BR1579" s="265"/>
      <c r="BS1579" s="265"/>
      <c r="BT1579" s="265"/>
      <c r="BU1579" s="265"/>
      <c r="BV1579" s="265"/>
    </row>
    <row r="1580" spans="12:74">
      <c r="L1580" s="265"/>
      <c r="M1580" s="265"/>
      <c r="N1580" s="265"/>
      <c r="O1580" s="265"/>
      <c r="P1580" s="265"/>
      <c r="Q1580" s="265"/>
      <c r="BR1580" s="265"/>
      <c r="BS1580" s="265"/>
      <c r="BT1580" s="265"/>
      <c r="BU1580" s="265"/>
      <c r="BV1580" s="265"/>
    </row>
    <row r="1581" spans="12:74">
      <c r="L1581" s="265"/>
      <c r="M1581" s="265"/>
      <c r="N1581" s="265"/>
      <c r="O1581" s="265"/>
      <c r="P1581" s="265"/>
      <c r="Q1581" s="265"/>
      <c r="BR1581" s="265"/>
      <c r="BS1581" s="265"/>
      <c r="BT1581" s="265"/>
      <c r="BU1581" s="265"/>
      <c r="BV1581" s="265"/>
    </row>
    <row r="1582" spans="12:74">
      <c r="L1582" s="265"/>
      <c r="M1582" s="265"/>
      <c r="N1582" s="265"/>
      <c r="O1582" s="265"/>
      <c r="P1582" s="265"/>
      <c r="Q1582" s="265"/>
      <c r="BR1582" s="265"/>
      <c r="BS1582" s="265"/>
      <c r="BT1582" s="265"/>
      <c r="BU1582" s="265"/>
      <c r="BV1582" s="265"/>
    </row>
    <row r="1583" spans="12:74">
      <c r="L1583" s="265"/>
      <c r="M1583" s="265"/>
      <c r="N1583" s="265"/>
      <c r="O1583" s="265"/>
      <c r="P1583" s="265"/>
      <c r="Q1583" s="265"/>
      <c r="BR1583" s="265"/>
      <c r="BS1583" s="265"/>
      <c r="BT1583" s="265"/>
      <c r="BU1583" s="265"/>
      <c r="BV1583" s="265"/>
    </row>
    <row r="1584" spans="12:74">
      <c r="L1584" s="265"/>
      <c r="M1584" s="265"/>
      <c r="N1584" s="265"/>
      <c r="O1584" s="265"/>
      <c r="P1584" s="265"/>
      <c r="Q1584" s="265"/>
      <c r="BR1584" s="265"/>
      <c r="BS1584" s="265"/>
      <c r="BT1584" s="265"/>
      <c r="BU1584" s="265"/>
      <c r="BV1584" s="265"/>
    </row>
    <row r="1585" spans="12:74">
      <c r="L1585" s="265"/>
      <c r="M1585" s="265"/>
      <c r="N1585" s="265"/>
      <c r="O1585" s="265"/>
      <c r="P1585" s="265"/>
      <c r="Q1585" s="265"/>
      <c r="BR1585" s="265"/>
      <c r="BS1585" s="265"/>
      <c r="BT1585" s="265"/>
      <c r="BU1585" s="265"/>
      <c r="BV1585" s="265"/>
    </row>
    <row r="1586" spans="12:74">
      <c r="L1586" s="265"/>
      <c r="M1586" s="265"/>
      <c r="N1586" s="265"/>
      <c r="O1586" s="265"/>
      <c r="P1586" s="265"/>
      <c r="Q1586" s="265"/>
      <c r="BR1586" s="265"/>
      <c r="BS1586" s="265"/>
      <c r="BT1586" s="265"/>
      <c r="BU1586" s="265"/>
      <c r="BV1586" s="265"/>
    </row>
    <row r="1587" spans="12:74">
      <c r="L1587" s="265"/>
      <c r="M1587" s="265"/>
      <c r="N1587" s="265"/>
      <c r="O1587" s="265"/>
      <c r="P1587" s="265"/>
      <c r="Q1587" s="265"/>
      <c r="BR1587" s="265"/>
      <c r="BS1587" s="265"/>
      <c r="BT1587" s="265"/>
      <c r="BU1587" s="265"/>
      <c r="BV1587" s="265"/>
    </row>
    <row r="1588" spans="12:74">
      <c r="L1588" s="265"/>
      <c r="M1588" s="265"/>
      <c r="N1588" s="265"/>
      <c r="O1588" s="265"/>
      <c r="P1588" s="265"/>
      <c r="Q1588" s="265"/>
      <c r="BR1588" s="265"/>
      <c r="BS1588" s="265"/>
      <c r="BT1588" s="265"/>
      <c r="BU1588" s="265"/>
      <c r="BV1588" s="265"/>
    </row>
    <row r="1589" spans="12:74">
      <c r="L1589" s="265"/>
      <c r="M1589" s="265"/>
      <c r="N1589" s="265"/>
      <c r="O1589" s="265"/>
      <c r="P1589" s="265"/>
      <c r="Q1589" s="265"/>
      <c r="BR1589" s="265"/>
      <c r="BS1589" s="265"/>
      <c r="BT1589" s="265"/>
      <c r="BU1589" s="265"/>
      <c r="BV1589" s="265"/>
    </row>
    <row r="1590" spans="12:74">
      <c r="L1590" s="265"/>
      <c r="M1590" s="265"/>
      <c r="N1590" s="265"/>
      <c r="O1590" s="265"/>
      <c r="P1590" s="265"/>
      <c r="Q1590" s="265"/>
      <c r="BR1590" s="265"/>
      <c r="BS1590" s="265"/>
      <c r="BT1590" s="265"/>
      <c r="BU1590" s="265"/>
      <c r="BV1590" s="265"/>
    </row>
    <row r="1591" spans="12:74">
      <c r="L1591" s="265"/>
      <c r="M1591" s="265"/>
      <c r="N1591" s="265"/>
      <c r="O1591" s="265"/>
      <c r="P1591" s="265"/>
      <c r="Q1591" s="265"/>
      <c r="BR1591" s="265"/>
      <c r="BS1591" s="265"/>
      <c r="BT1591" s="265"/>
      <c r="BU1591" s="265"/>
      <c r="BV1591" s="265"/>
    </row>
    <row r="1592" spans="12:74">
      <c r="L1592" s="265"/>
      <c r="M1592" s="265"/>
      <c r="N1592" s="265"/>
      <c r="O1592" s="265"/>
      <c r="P1592" s="265"/>
      <c r="Q1592" s="265"/>
      <c r="BR1592" s="265"/>
      <c r="BS1592" s="265"/>
      <c r="BT1592" s="265"/>
      <c r="BU1592" s="265"/>
      <c r="BV1592" s="265"/>
    </row>
    <row r="1593" spans="12:74">
      <c r="L1593" s="265"/>
      <c r="M1593" s="265"/>
      <c r="N1593" s="265"/>
      <c r="O1593" s="265"/>
      <c r="P1593" s="265"/>
      <c r="Q1593" s="265"/>
      <c r="BR1593" s="265"/>
      <c r="BS1593" s="265"/>
      <c r="BT1593" s="265"/>
      <c r="BU1593" s="265"/>
      <c r="BV1593" s="265"/>
    </row>
    <row r="1594" spans="12:74">
      <c r="L1594" s="265"/>
      <c r="M1594" s="265"/>
      <c r="N1594" s="265"/>
      <c r="O1594" s="265"/>
      <c r="P1594" s="265"/>
      <c r="Q1594" s="265"/>
      <c r="BR1594" s="265"/>
      <c r="BS1594" s="265"/>
      <c r="BT1594" s="265"/>
      <c r="BU1594" s="265"/>
      <c r="BV1594" s="265"/>
    </row>
    <row r="1595" spans="12:74">
      <c r="L1595" s="265"/>
      <c r="M1595" s="265"/>
      <c r="N1595" s="265"/>
      <c r="O1595" s="265"/>
      <c r="P1595" s="265"/>
      <c r="Q1595" s="265"/>
      <c r="BR1595" s="265"/>
      <c r="BS1595" s="265"/>
      <c r="BT1595" s="265"/>
      <c r="BU1595" s="265"/>
      <c r="BV1595" s="265"/>
    </row>
    <row r="1596" spans="12:74">
      <c r="L1596" s="265"/>
      <c r="M1596" s="265"/>
      <c r="N1596" s="265"/>
      <c r="O1596" s="265"/>
      <c r="P1596" s="265"/>
      <c r="Q1596" s="265"/>
      <c r="BR1596" s="265"/>
      <c r="BS1596" s="265"/>
      <c r="BT1596" s="265"/>
      <c r="BU1596" s="265"/>
      <c r="BV1596" s="265"/>
    </row>
    <row r="1597" spans="12:74">
      <c r="L1597" s="265"/>
      <c r="M1597" s="265"/>
      <c r="N1597" s="265"/>
      <c r="O1597" s="265"/>
      <c r="P1597" s="265"/>
      <c r="Q1597" s="265"/>
      <c r="BR1597" s="265"/>
      <c r="BS1597" s="265"/>
      <c r="BT1597" s="265"/>
      <c r="BU1597" s="265"/>
      <c r="BV1597" s="265"/>
    </row>
    <row r="1598" spans="12:74">
      <c r="L1598" s="265"/>
      <c r="M1598" s="265"/>
      <c r="N1598" s="265"/>
      <c r="O1598" s="265"/>
      <c r="P1598" s="265"/>
      <c r="Q1598" s="265"/>
      <c r="BR1598" s="265"/>
      <c r="BS1598" s="265"/>
      <c r="BT1598" s="265"/>
      <c r="BU1598" s="265"/>
      <c r="BV1598" s="265"/>
    </row>
    <row r="1599" spans="12:74">
      <c r="L1599" s="265"/>
      <c r="M1599" s="265"/>
      <c r="N1599" s="265"/>
      <c r="O1599" s="265"/>
      <c r="P1599" s="265"/>
      <c r="Q1599" s="265"/>
      <c r="BR1599" s="265"/>
      <c r="BS1599" s="265"/>
      <c r="BT1599" s="265"/>
      <c r="BU1599" s="265"/>
      <c r="BV1599" s="265"/>
    </row>
    <row r="1600" spans="12:74">
      <c r="L1600" s="265"/>
      <c r="M1600" s="265"/>
      <c r="N1600" s="265"/>
      <c r="O1600" s="265"/>
      <c r="P1600" s="265"/>
      <c r="Q1600" s="265"/>
      <c r="BR1600" s="265"/>
      <c r="BS1600" s="265"/>
      <c r="BT1600" s="265"/>
      <c r="BU1600" s="265"/>
      <c r="BV1600" s="265"/>
    </row>
    <row r="1601" spans="12:74">
      <c r="L1601" s="265"/>
      <c r="M1601" s="265"/>
      <c r="N1601" s="265"/>
      <c r="O1601" s="265"/>
      <c r="P1601" s="265"/>
      <c r="Q1601" s="265"/>
      <c r="BR1601" s="265"/>
      <c r="BS1601" s="265"/>
      <c r="BT1601" s="265"/>
      <c r="BU1601" s="265"/>
      <c r="BV1601" s="265"/>
    </row>
    <row r="1602" spans="12:74">
      <c r="L1602" s="265"/>
      <c r="M1602" s="265"/>
      <c r="N1602" s="265"/>
      <c r="O1602" s="265"/>
      <c r="P1602" s="265"/>
      <c r="Q1602" s="265"/>
      <c r="BR1602" s="265"/>
      <c r="BS1602" s="265"/>
      <c r="BT1602" s="265"/>
      <c r="BU1602" s="265"/>
      <c r="BV1602" s="265"/>
    </row>
    <row r="1603" spans="12:74">
      <c r="L1603" s="265"/>
      <c r="M1603" s="265"/>
      <c r="N1603" s="265"/>
      <c r="O1603" s="265"/>
      <c r="P1603" s="265"/>
      <c r="Q1603" s="265"/>
      <c r="BR1603" s="265"/>
      <c r="BS1603" s="265"/>
      <c r="BT1603" s="265"/>
      <c r="BU1603" s="265"/>
      <c r="BV1603" s="265"/>
    </row>
    <row r="1604" spans="12:74">
      <c r="L1604" s="265"/>
      <c r="M1604" s="265"/>
      <c r="N1604" s="265"/>
      <c r="O1604" s="265"/>
      <c r="P1604" s="265"/>
      <c r="Q1604" s="265"/>
      <c r="BR1604" s="265"/>
      <c r="BS1604" s="265"/>
      <c r="BT1604" s="265"/>
      <c r="BU1604" s="265"/>
      <c r="BV1604" s="265"/>
    </row>
    <row r="1605" spans="12:74">
      <c r="L1605" s="265"/>
      <c r="M1605" s="265"/>
      <c r="N1605" s="265"/>
      <c r="O1605" s="265"/>
      <c r="P1605" s="265"/>
      <c r="Q1605" s="265"/>
      <c r="BR1605" s="265"/>
      <c r="BS1605" s="265"/>
      <c r="BT1605" s="265"/>
      <c r="BU1605" s="265"/>
      <c r="BV1605" s="265"/>
    </row>
    <row r="1606" spans="12:74">
      <c r="L1606" s="265"/>
      <c r="M1606" s="265"/>
      <c r="N1606" s="265"/>
      <c r="O1606" s="265"/>
      <c r="P1606" s="265"/>
      <c r="Q1606" s="265"/>
      <c r="BR1606" s="265"/>
      <c r="BS1606" s="265"/>
      <c r="BT1606" s="265"/>
      <c r="BU1606" s="265"/>
      <c r="BV1606" s="265"/>
    </row>
    <row r="1607" spans="12:74">
      <c r="L1607" s="265"/>
      <c r="M1607" s="265"/>
      <c r="N1607" s="265"/>
      <c r="O1607" s="265"/>
      <c r="P1607" s="265"/>
      <c r="Q1607" s="265"/>
      <c r="BR1607" s="265"/>
      <c r="BS1607" s="265"/>
      <c r="BT1607" s="265"/>
      <c r="BU1607" s="265"/>
      <c r="BV1607" s="265"/>
    </row>
    <row r="1608" spans="12:74">
      <c r="L1608" s="265"/>
      <c r="M1608" s="265"/>
      <c r="N1608" s="265"/>
      <c r="O1608" s="265"/>
      <c r="P1608" s="265"/>
      <c r="Q1608" s="265"/>
      <c r="BR1608" s="265"/>
      <c r="BS1608" s="265"/>
      <c r="BT1608" s="265"/>
      <c r="BU1608" s="265"/>
      <c r="BV1608" s="265"/>
    </row>
    <row r="1609" spans="12:74">
      <c r="L1609" s="265"/>
      <c r="M1609" s="265"/>
      <c r="N1609" s="265"/>
      <c r="O1609" s="265"/>
      <c r="P1609" s="265"/>
      <c r="Q1609" s="265"/>
      <c r="BR1609" s="265"/>
      <c r="BS1609" s="265"/>
      <c r="BT1609" s="265"/>
      <c r="BU1609" s="265"/>
      <c r="BV1609" s="265"/>
    </row>
    <row r="1610" spans="12:74">
      <c r="L1610" s="265"/>
      <c r="M1610" s="265"/>
      <c r="N1610" s="265"/>
      <c r="O1610" s="265"/>
      <c r="P1610" s="265"/>
      <c r="Q1610" s="265"/>
      <c r="BR1610" s="265"/>
      <c r="BS1610" s="265"/>
      <c r="BT1610" s="265"/>
      <c r="BU1610" s="265"/>
      <c r="BV1610" s="265"/>
    </row>
    <row r="1611" spans="12:74">
      <c r="L1611" s="265"/>
      <c r="M1611" s="265"/>
      <c r="N1611" s="265"/>
      <c r="O1611" s="265"/>
      <c r="P1611" s="265"/>
      <c r="Q1611" s="265"/>
      <c r="BR1611" s="265"/>
      <c r="BS1611" s="265"/>
      <c r="BT1611" s="265"/>
      <c r="BU1611" s="265"/>
      <c r="BV1611" s="265"/>
    </row>
    <row r="1612" spans="12:74">
      <c r="L1612" s="265"/>
      <c r="M1612" s="265"/>
      <c r="N1612" s="265"/>
      <c r="O1612" s="265"/>
      <c r="P1612" s="265"/>
      <c r="Q1612" s="265"/>
      <c r="BR1612" s="265"/>
      <c r="BS1612" s="265"/>
      <c r="BT1612" s="265"/>
      <c r="BU1612" s="265"/>
      <c r="BV1612" s="265"/>
    </row>
    <row r="1613" spans="12:74">
      <c r="L1613" s="265"/>
      <c r="M1613" s="265"/>
      <c r="N1613" s="265"/>
      <c r="O1613" s="265"/>
      <c r="P1613" s="265"/>
      <c r="Q1613" s="265"/>
      <c r="BR1613" s="265"/>
      <c r="BS1613" s="265"/>
      <c r="BT1613" s="265"/>
      <c r="BU1613" s="265"/>
      <c r="BV1613" s="265"/>
    </row>
    <row r="1614" spans="12:74">
      <c r="L1614" s="265"/>
      <c r="M1614" s="265"/>
      <c r="N1614" s="265"/>
      <c r="O1614" s="265"/>
      <c r="P1614" s="265"/>
      <c r="Q1614" s="265"/>
      <c r="BR1614" s="265"/>
      <c r="BS1614" s="265"/>
      <c r="BT1614" s="265"/>
      <c r="BU1614" s="265"/>
      <c r="BV1614" s="265"/>
    </row>
    <row r="1615" spans="12:74">
      <c r="L1615" s="265"/>
      <c r="M1615" s="265"/>
      <c r="N1615" s="265"/>
      <c r="O1615" s="265"/>
      <c r="P1615" s="265"/>
      <c r="Q1615" s="265"/>
      <c r="BR1615" s="265"/>
      <c r="BS1615" s="265"/>
      <c r="BT1615" s="265"/>
      <c r="BU1615" s="265"/>
      <c r="BV1615" s="265"/>
    </row>
    <row r="1616" spans="12:74">
      <c r="L1616" s="265"/>
      <c r="M1616" s="265"/>
      <c r="N1616" s="265"/>
      <c r="O1616" s="265"/>
      <c r="P1616" s="265"/>
      <c r="Q1616" s="265"/>
      <c r="BR1616" s="265"/>
      <c r="BS1616" s="265"/>
      <c r="BT1616" s="265"/>
      <c r="BU1616" s="265"/>
      <c r="BV1616" s="265"/>
    </row>
    <row r="1617" spans="12:74">
      <c r="L1617" s="265"/>
      <c r="M1617" s="265"/>
      <c r="N1617" s="265"/>
      <c r="O1617" s="265"/>
      <c r="P1617" s="265"/>
      <c r="Q1617" s="265"/>
      <c r="BR1617" s="265"/>
      <c r="BS1617" s="265"/>
      <c r="BT1617" s="265"/>
      <c r="BU1617" s="265"/>
      <c r="BV1617" s="265"/>
    </row>
    <row r="1618" spans="12:74">
      <c r="L1618" s="265"/>
      <c r="M1618" s="265"/>
      <c r="N1618" s="265"/>
      <c r="O1618" s="265"/>
      <c r="P1618" s="265"/>
      <c r="Q1618" s="265"/>
      <c r="BR1618" s="265"/>
      <c r="BS1618" s="265"/>
      <c r="BT1618" s="265"/>
      <c r="BU1618" s="265"/>
      <c r="BV1618" s="265"/>
    </row>
    <row r="1619" spans="12:74">
      <c r="L1619" s="265"/>
      <c r="M1619" s="265"/>
      <c r="N1619" s="265"/>
      <c r="O1619" s="265"/>
      <c r="P1619" s="265"/>
      <c r="Q1619" s="265"/>
      <c r="BR1619" s="265"/>
      <c r="BS1619" s="265"/>
      <c r="BT1619" s="265"/>
      <c r="BU1619" s="265"/>
      <c r="BV1619" s="265"/>
    </row>
    <row r="1620" spans="12:74">
      <c r="L1620" s="265"/>
      <c r="M1620" s="265"/>
      <c r="N1620" s="265"/>
      <c r="O1620" s="265"/>
      <c r="P1620" s="265"/>
      <c r="Q1620" s="265"/>
      <c r="BR1620" s="265"/>
      <c r="BS1620" s="265"/>
      <c r="BT1620" s="265"/>
      <c r="BU1620" s="265"/>
      <c r="BV1620" s="265"/>
    </row>
    <row r="1621" spans="12:74">
      <c r="L1621" s="265"/>
      <c r="M1621" s="265"/>
      <c r="N1621" s="265"/>
      <c r="O1621" s="265"/>
      <c r="P1621" s="265"/>
      <c r="Q1621" s="265"/>
      <c r="BR1621" s="265"/>
      <c r="BS1621" s="265"/>
      <c r="BT1621" s="265"/>
      <c r="BU1621" s="265"/>
      <c r="BV1621" s="265"/>
    </row>
    <row r="1622" spans="12:74">
      <c r="L1622" s="265"/>
      <c r="M1622" s="265"/>
      <c r="N1622" s="265"/>
      <c r="O1622" s="265"/>
      <c r="P1622" s="265"/>
      <c r="Q1622" s="265"/>
      <c r="BR1622" s="265"/>
      <c r="BS1622" s="265"/>
      <c r="BT1622" s="265"/>
      <c r="BU1622" s="265"/>
      <c r="BV1622" s="265"/>
    </row>
    <row r="1623" spans="12:74">
      <c r="L1623" s="265"/>
      <c r="M1623" s="265"/>
      <c r="N1623" s="265"/>
      <c r="O1623" s="265"/>
      <c r="P1623" s="265"/>
      <c r="Q1623" s="265"/>
      <c r="BR1623" s="265"/>
      <c r="BS1623" s="265"/>
      <c r="BT1623" s="265"/>
      <c r="BU1623" s="265"/>
      <c r="BV1623" s="265"/>
    </row>
    <row r="1624" spans="12:74">
      <c r="L1624" s="265"/>
      <c r="M1624" s="265"/>
      <c r="N1624" s="265"/>
      <c r="O1624" s="265"/>
      <c r="P1624" s="265"/>
      <c r="Q1624" s="265"/>
      <c r="BR1624" s="265"/>
      <c r="BS1624" s="265"/>
      <c r="BT1624" s="265"/>
      <c r="BU1624" s="265"/>
      <c r="BV1624" s="265"/>
    </row>
    <row r="1625" spans="12:74">
      <c r="L1625" s="265"/>
      <c r="M1625" s="265"/>
      <c r="N1625" s="265"/>
      <c r="O1625" s="265"/>
      <c r="P1625" s="265"/>
      <c r="Q1625" s="265"/>
      <c r="BR1625" s="265"/>
      <c r="BS1625" s="265"/>
      <c r="BT1625" s="265"/>
      <c r="BU1625" s="265"/>
      <c r="BV1625" s="265"/>
    </row>
    <row r="1626" spans="12:74">
      <c r="L1626" s="265"/>
      <c r="M1626" s="265"/>
      <c r="N1626" s="265"/>
      <c r="O1626" s="265"/>
      <c r="P1626" s="265"/>
      <c r="Q1626" s="265"/>
      <c r="BR1626" s="265"/>
      <c r="BS1626" s="265"/>
      <c r="BT1626" s="265"/>
      <c r="BU1626" s="265"/>
      <c r="BV1626" s="265"/>
    </row>
    <row r="1627" spans="12:74">
      <c r="L1627" s="265"/>
      <c r="M1627" s="265"/>
      <c r="N1627" s="265"/>
      <c r="O1627" s="265"/>
      <c r="P1627" s="265"/>
      <c r="Q1627" s="265"/>
      <c r="BR1627" s="265"/>
      <c r="BS1627" s="265"/>
      <c r="BT1627" s="265"/>
      <c r="BU1627" s="265"/>
      <c r="BV1627" s="265"/>
    </row>
    <row r="1628" spans="12:74">
      <c r="L1628" s="265"/>
      <c r="M1628" s="265"/>
      <c r="N1628" s="265"/>
      <c r="O1628" s="265"/>
      <c r="P1628" s="265"/>
      <c r="Q1628" s="265"/>
      <c r="BR1628" s="265"/>
      <c r="BS1628" s="265"/>
      <c r="BT1628" s="265"/>
      <c r="BU1628" s="265"/>
      <c r="BV1628" s="265"/>
    </row>
    <row r="1629" spans="12:74">
      <c r="L1629" s="265"/>
      <c r="M1629" s="265"/>
      <c r="N1629" s="265"/>
      <c r="O1629" s="265"/>
      <c r="P1629" s="265"/>
      <c r="Q1629" s="265"/>
      <c r="BR1629" s="265"/>
      <c r="BS1629" s="265"/>
      <c r="BT1629" s="265"/>
      <c r="BU1629" s="265"/>
      <c r="BV1629" s="265"/>
    </row>
    <row r="1630" spans="12:74">
      <c r="L1630" s="265"/>
      <c r="M1630" s="265"/>
      <c r="N1630" s="265"/>
      <c r="O1630" s="265"/>
      <c r="P1630" s="265"/>
      <c r="Q1630" s="265"/>
      <c r="BR1630" s="265"/>
      <c r="BS1630" s="265"/>
      <c r="BT1630" s="265"/>
      <c r="BU1630" s="265"/>
      <c r="BV1630" s="265"/>
    </row>
    <row r="1631" spans="12:74">
      <c r="L1631" s="265"/>
      <c r="M1631" s="265"/>
      <c r="N1631" s="265"/>
      <c r="O1631" s="265"/>
      <c r="P1631" s="265"/>
      <c r="Q1631" s="265"/>
      <c r="BR1631" s="265"/>
      <c r="BS1631" s="265"/>
      <c r="BT1631" s="265"/>
      <c r="BU1631" s="265"/>
      <c r="BV1631" s="265"/>
    </row>
    <row r="1632" spans="12:74">
      <c r="L1632" s="265"/>
      <c r="M1632" s="265"/>
      <c r="N1632" s="265"/>
      <c r="O1632" s="265"/>
      <c r="P1632" s="265"/>
      <c r="Q1632" s="265"/>
      <c r="BR1632" s="265"/>
      <c r="BS1632" s="265"/>
      <c r="BT1632" s="265"/>
      <c r="BU1632" s="265"/>
      <c r="BV1632" s="265"/>
    </row>
    <row r="1633" spans="12:74">
      <c r="L1633" s="265"/>
      <c r="M1633" s="265"/>
      <c r="N1633" s="265"/>
      <c r="O1633" s="265"/>
      <c r="P1633" s="265"/>
      <c r="Q1633" s="265"/>
      <c r="BR1633" s="265"/>
      <c r="BS1633" s="265"/>
      <c r="BT1633" s="265"/>
      <c r="BU1633" s="265"/>
      <c r="BV1633" s="265"/>
    </row>
    <row r="1634" spans="12:74">
      <c r="L1634" s="265"/>
      <c r="M1634" s="265"/>
      <c r="N1634" s="265"/>
      <c r="O1634" s="265"/>
      <c r="P1634" s="265"/>
      <c r="Q1634" s="265"/>
      <c r="BR1634" s="265"/>
      <c r="BS1634" s="265"/>
      <c r="BT1634" s="265"/>
      <c r="BU1634" s="265"/>
      <c r="BV1634" s="265"/>
    </row>
    <row r="1635" spans="12:74">
      <c r="L1635" s="265"/>
      <c r="M1635" s="265"/>
      <c r="N1635" s="265"/>
      <c r="O1635" s="265"/>
      <c r="P1635" s="265"/>
      <c r="Q1635" s="265"/>
      <c r="BR1635" s="265"/>
      <c r="BS1635" s="265"/>
      <c r="BT1635" s="265"/>
      <c r="BU1635" s="265"/>
      <c r="BV1635" s="265"/>
    </row>
    <row r="1636" spans="12:74">
      <c r="L1636" s="265"/>
      <c r="M1636" s="265"/>
      <c r="N1636" s="265"/>
      <c r="O1636" s="265"/>
      <c r="P1636" s="265"/>
      <c r="Q1636" s="265"/>
      <c r="BR1636" s="265"/>
      <c r="BS1636" s="265"/>
      <c r="BT1636" s="265"/>
      <c r="BU1636" s="265"/>
      <c r="BV1636" s="265"/>
    </row>
    <row r="1637" spans="12:74">
      <c r="L1637" s="265"/>
      <c r="M1637" s="265"/>
      <c r="N1637" s="265"/>
      <c r="O1637" s="265"/>
      <c r="P1637" s="265"/>
      <c r="Q1637" s="265"/>
      <c r="BR1637" s="265"/>
      <c r="BS1637" s="265"/>
      <c r="BT1637" s="265"/>
      <c r="BU1637" s="265"/>
      <c r="BV1637" s="265"/>
    </row>
    <row r="1638" spans="12:74">
      <c r="L1638" s="265"/>
      <c r="M1638" s="265"/>
      <c r="N1638" s="265"/>
      <c r="O1638" s="265"/>
      <c r="P1638" s="265"/>
      <c r="Q1638" s="265"/>
      <c r="BR1638" s="265"/>
      <c r="BS1638" s="265"/>
      <c r="BT1638" s="265"/>
      <c r="BU1638" s="265"/>
      <c r="BV1638" s="265"/>
    </row>
    <row r="1639" spans="12:74">
      <c r="L1639" s="265"/>
      <c r="M1639" s="265"/>
      <c r="N1639" s="265"/>
      <c r="O1639" s="265"/>
      <c r="P1639" s="265"/>
      <c r="Q1639" s="265"/>
      <c r="BR1639" s="265"/>
      <c r="BS1639" s="265"/>
      <c r="BT1639" s="265"/>
      <c r="BU1639" s="265"/>
      <c r="BV1639" s="265"/>
    </row>
    <row r="1640" spans="12:74">
      <c r="L1640" s="265"/>
      <c r="M1640" s="265"/>
      <c r="N1640" s="265"/>
      <c r="O1640" s="265"/>
      <c r="P1640" s="265"/>
      <c r="Q1640" s="265"/>
      <c r="BR1640" s="265"/>
      <c r="BS1640" s="265"/>
      <c r="BT1640" s="265"/>
      <c r="BU1640" s="265"/>
      <c r="BV1640" s="265"/>
    </row>
    <row r="1641" spans="12:74">
      <c r="L1641" s="265"/>
      <c r="M1641" s="265"/>
      <c r="N1641" s="265"/>
      <c r="O1641" s="265"/>
      <c r="P1641" s="265"/>
      <c r="Q1641" s="265"/>
      <c r="BR1641" s="265"/>
      <c r="BS1641" s="265"/>
      <c r="BT1641" s="265"/>
      <c r="BU1641" s="265"/>
      <c r="BV1641" s="265"/>
    </row>
    <row r="1642" spans="12:74">
      <c r="L1642" s="265"/>
      <c r="M1642" s="265"/>
      <c r="N1642" s="265"/>
      <c r="O1642" s="265"/>
      <c r="P1642" s="265"/>
      <c r="Q1642" s="265"/>
      <c r="BR1642" s="265"/>
      <c r="BS1642" s="265"/>
      <c r="BT1642" s="265"/>
      <c r="BU1642" s="265"/>
      <c r="BV1642" s="265"/>
    </row>
    <row r="1643" spans="12:74">
      <c r="L1643" s="265"/>
      <c r="M1643" s="265"/>
      <c r="N1643" s="265"/>
      <c r="O1643" s="265"/>
      <c r="P1643" s="265"/>
      <c r="Q1643" s="265"/>
      <c r="BR1643" s="265"/>
      <c r="BS1643" s="265"/>
      <c r="BT1643" s="265"/>
      <c r="BU1643" s="265"/>
      <c r="BV1643" s="265"/>
    </row>
    <row r="1644" spans="12:74">
      <c r="L1644" s="265"/>
      <c r="M1644" s="265"/>
      <c r="N1644" s="265"/>
      <c r="O1644" s="265"/>
      <c r="P1644" s="265"/>
      <c r="Q1644" s="265"/>
      <c r="BR1644" s="265"/>
      <c r="BS1644" s="265"/>
      <c r="BT1644" s="265"/>
      <c r="BU1644" s="265"/>
      <c r="BV1644" s="265"/>
    </row>
    <row r="1645" spans="12:74">
      <c r="L1645" s="265"/>
      <c r="M1645" s="265"/>
      <c r="N1645" s="265"/>
      <c r="O1645" s="265"/>
      <c r="P1645" s="265"/>
      <c r="Q1645" s="265"/>
      <c r="BR1645" s="265"/>
      <c r="BS1645" s="265"/>
      <c r="BT1645" s="265"/>
      <c r="BU1645" s="265"/>
      <c r="BV1645" s="265"/>
    </row>
    <row r="1646" spans="12:74">
      <c r="L1646" s="265"/>
      <c r="M1646" s="265"/>
      <c r="N1646" s="265"/>
      <c r="O1646" s="265"/>
      <c r="P1646" s="265"/>
      <c r="Q1646" s="265"/>
      <c r="BR1646" s="265"/>
      <c r="BS1646" s="265"/>
      <c r="BT1646" s="265"/>
      <c r="BU1646" s="265"/>
      <c r="BV1646" s="265"/>
    </row>
    <row r="1647" spans="12:74">
      <c r="L1647" s="265"/>
      <c r="M1647" s="265"/>
      <c r="N1647" s="265"/>
      <c r="O1647" s="265"/>
      <c r="P1647" s="265"/>
      <c r="Q1647" s="265"/>
      <c r="BR1647" s="265"/>
      <c r="BS1647" s="265"/>
      <c r="BT1647" s="265"/>
      <c r="BU1647" s="265"/>
      <c r="BV1647" s="265"/>
    </row>
    <row r="1648" spans="12:74">
      <c r="L1648" s="265"/>
      <c r="M1648" s="265"/>
      <c r="N1648" s="265"/>
      <c r="O1648" s="265"/>
      <c r="P1648" s="265"/>
      <c r="Q1648" s="265"/>
      <c r="BR1648" s="265"/>
      <c r="BS1648" s="265"/>
      <c r="BT1648" s="265"/>
      <c r="BU1648" s="265"/>
      <c r="BV1648" s="265"/>
    </row>
    <row r="1649" spans="12:74">
      <c r="L1649" s="265"/>
      <c r="M1649" s="265"/>
      <c r="N1649" s="265"/>
      <c r="O1649" s="265"/>
      <c r="P1649" s="265"/>
      <c r="Q1649" s="265"/>
      <c r="BR1649" s="265"/>
      <c r="BS1649" s="265"/>
      <c r="BT1649" s="265"/>
      <c r="BU1649" s="265"/>
      <c r="BV1649" s="265"/>
    </row>
    <row r="1650" spans="12:74">
      <c r="L1650" s="265"/>
      <c r="M1650" s="265"/>
      <c r="N1650" s="265"/>
      <c r="O1650" s="265"/>
      <c r="P1650" s="265"/>
      <c r="Q1650" s="265"/>
      <c r="BR1650" s="265"/>
      <c r="BS1650" s="265"/>
      <c r="BT1650" s="265"/>
      <c r="BU1650" s="265"/>
      <c r="BV1650" s="265"/>
    </row>
    <row r="1651" spans="12:74">
      <c r="L1651" s="265"/>
      <c r="M1651" s="265"/>
      <c r="N1651" s="265"/>
      <c r="O1651" s="265"/>
      <c r="P1651" s="265"/>
      <c r="Q1651" s="265"/>
      <c r="BR1651" s="265"/>
      <c r="BS1651" s="265"/>
      <c r="BT1651" s="265"/>
      <c r="BU1651" s="265"/>
      <c r="BV1651" s="265"/>
    </row>
    <row r="1652" spans="12:74">
      <c r="L1652" s="265"/>
      <c r="M1652" s="265"/>
      <c r="N1652" s="265"/>
      <c r="O1652" s="265"/>
      <c r="P1652" s="265"/>
      <c r="Q1652" s="265"/>
      <c r="BR1652" s="265"/>
      <c r="BS1652" s="265"/>
      <c r="BT1652" s="265"/>
      <c r="BU1652" s="265"/>
      <c r="BV1652" s="265"/>
    </row>
    <row r="1653" spans="12:74">
      <c r="L1653" s="265"/>
      <c r="M1653" s="265"/>
      <c r="N1653" s="265"/>
      <c r="O1653" s="265"/>
      <c r="P1653" s="265"/>
      <c r="Q1653" s="265"/>
      <c r="BR1653" s="265"/>
      <c r="BS1653" s="265"/>
      <c r="BT1653" s="265"/>
      <c r="BU1653" s="265"/>
      <c r="BV1653" s="265"/>
    </row>
    <row r="1654" spans="12:74">
      <c r="L1654" s="265"/>
      <c r="M1654" s="265"/>
      <c r="N1654" s="265"/>
      <c r="O1654" s="265"/>
      <c r="P1654" s="265"/>
      <c r="Q1654" s="265"/>
      <c r="BR1654" s="265"/>
      <c r="BS1654" s="265"/>
      <c r="BT1654" s="265"/>
      <c r="BU1654" s="265"/>
      <c r="BV1654" s="265"/>
    </row>
    <row r="1655" spans="12:74">
      <c r="L1655" s="265"/>
      <c r="M1655" s="265"/>
      <c r="N1655" s="265"/>
      <c r="O1655" s="265"/>
      <c r="P1655" s="265"/>
      <c r="Q1655" s="265"/>
      <c r="BR1655" s="265"/>
      <c r="BS1655" s="265"/>
      <c r="BT1655" s="265"/>
      <c r="BU1655" s="265"/>
      <c r="BV1655" s="265"/>
    </row>
    <row r="1656" spans="12:74">
      <c r="L1656" s="265"/>
      <c r="M1656" s="265"/>
      <c r="N1656" s="265"/>
      <c r="O1656" s="265"/>
      <c r="P1656" s="265"/>
      <c r="Q1656" s="265"/>
      <c r="BR1656" s="265"/>
      <c r="BS1656" s="265"/>
      <c r="BT1656" s="265"/>
      <c r="BU1656" s="265"/>
      <c r="BV1656" s="265"/>
    </row>
    <row r="1657" spans="12:74">
      <c r="L1657" s="265"/>
      <c r="M1657" s="265"/>
      <c r="N1657" s="265"/>
      <c r="O1657" s="265"/>
      <c r="P1657" s="265"/>
      <c r="Q1657" s="265"/>
      <c r="BR1657" s="265"/>
      <c r="BS1657" s="265"/>
      <c r="BT1657" s="265"/>
      <c r="BU1657" s="265"/>
      <c r="BV1657" s="265"/>
    </row>
    <row r="1658" spans="12:74">
      <c r="L1658" s="265"/>
      <c r="M1658" s="265"/>
      <c r="N1658" s="265"/>
      <c r="O1658" s="265"/>
      <c r="P1658" s="265"/>
      <c r="Q1658" s="265"/>
      <c r="BR1658" s="265"/>
      <c r="BS1658" s="265"/>
      <c r="BT1658" s="265"/>
      <c r="BU1658" s="265"/>
      <c r="BV1658" s="265"/>
    </row>
    <row r="1659" spans="12:74">
      <c r="L1659" s="265"/>
      <c r="M1659" s="265"/>
      <c r="N1659" s="265"/>
      <c r="O1659" s="265"/>
      <c r="P1659" s="265"/>
      <c r="Q1659" s="265"/>
      <c r="BR1659" s="265"/>
      <c r="BS1659" s="265"/>
      <c r="BT1659" s="265"/>
      <c r="BU1659" s="265"/>
      <c r="BV1659" s="265"/>
    </row>
    <row r="1660" spans="12:74">
      <c r="L1660" s="265"/>
      <c r="M1660" s="265"/>
      <c r="N1660" s="265"/>
      <c r="O1660" s="265"/>
      <c r="P1660" s="265"/>
      <c r="Q1660" s="265"/>
      <c r="BR1660" s="265"/>
      <c r="BS1660" s="265"/>
      <c r="BT1660" s="265"/>
      <c r="BU1660" s="265"/>
      <c r="BV1660" s="265"/>
    </row>
    <row r="1661" spans="12:74">
      <c r="L1661" s="265"/>
      <c r="M1661" s="265"/>
      <c r="N1661" s="265"/>
      <c r="O1661" s="265"/>
      <c r="P1661" s="265"/>
      <c r="Q1661" s="265"/>
      <c r="BR1661" s="265"/>
      <c r="BS1661" s="265"/>
      <c r="BT1661" s="265"/>
      <c r="BU1661" s="265"/>
      <c r="BV1661" s="265"/>
    </row>
    <row r="1662" spans="12:74">
      <c r="L1662" s="265"/>
      <c r="M1662" s="265"/>
      <c r="N1662" s="265"/>
      <c r="O1662" s="265"/>
      <c r="P1662" s="265"/>
      <c r="Q1662" s="265"/>
      <c r="BR1662" s="265"/>
      <c r="BS1662" s="265"/>
      <c r="BT1662" s="265"/>
      <c r="BU1662" s="265"/>
      <c r="BV1662" s="265"/>
    </row>
    <row r="1663" spans="12:74">
      <c r="L1663" s="265"/>
      <c r="M1663" s="265"/>
      <c r="N1663" s="265"/>
      <c r="O1663" s="265"/>
      <c r="P1663" s="265"/>
      <c r="Q1663" s="265"/>
      <c r="BR1663" s="265"/>
      <c r="BS1663" s="265"/>
      <c r="BT1663" s="265"/>
      <c r="BU1663" s="265"/>
      <c r="BV1663" s="265"/>
    </row>
    <row r="1664" spans="12:74">
      <c r="L1664" s="265"/>
      <c r="M1664" s="265"/>
      <c r="N1664" s="265"/>
      <c r="O1664" s="265"/>
      <c r="P1664" s="265"/>
      <c r="Q1664" s="265"/>
      <c r="BR1664" s="265"/>
      <c r="BS1664" s="265"/>
      <c r="BT1664" s="265"/>
      <c r="BU1664" s="265"/>
      <c r="BV1664" s="265"/>
    </row>
    <row r="1665" spans="12:74">
      <c r="L1665" s="265"/>
      <c r="M1665" s="265"/>
      <c r="N1665" s="265"/>
      <c r="O1665" s="265"/>
      <c r="P1665" s="265"/>
      <c r="Q1665" s="265"/>
      <c r="BR1665" s="265"/>
      <c r="BS1665" s="265"/>
      <c r="BT1665" s="265"/>
      <c r="BU1665" s="265"/>
      <c r="BV1665" s="265"/>
    </row>
    <row r="1666" spans="12:74">
      <c r="L1666" s="265"/>
      <c r="M1666" s="265"/>
      <c r="N1666" s="265"/>
      <c r="O1666" s="265"/>
      <c r="P1666" s="265"/>
      <c r="Q1666" s="265"/>
      <c r="BR1666" s="265"/>
      <c r="BS1666" s="265"/>
      <c r="BT1666" s="265"/>
      <c r="BU1666" s="265"/>
      <c r="BV1666" s="265"/>
    </row>
    <row r="1667" spans="12:74">
      <c r="L1667" s="265"/>
      <c r="M1667" s="265"/>
      <c r="N1667" s="265"/>
      <c r="O1667" s="265"/>
      <c r="P1667" s="265"/>
      <c r="Q1667" s="265"/>
      <c r="BR1667" s="265"/>
      <c r="BS1667" s="265"/>
      <c r="BT1667" s="265"/>
      <c r="BU1667" s="265"/>
      <c r="BV1667" s="265"/>
    </row>
    <row r="1668" spans="12:74">
      <c r="L1668" s="265"/>
      <c r="M1668" s="265"/>
      <c r="N1668" s="265"/>
      <c r="O1668" s="265"/>
      <c r="P1668" s="265"/>
      <c r="Q1668" s="265"/>
      <c r="BR1668" s="265"/>
      <c r="BS1668" s="265"/>
      <c r="BT1668" s="265"/>
      <c r="BU1668" s="265"/>
      <c r="BV1668" s="265"/>
    </row>
    <row r="1669" spans="12:74">
      <c r="L1669" s="265"/>
      <c r="M1669" s="265"/>
      <c r="N1669" s="265"/>
      <c r="O1669" s="265"/>
      <c r="P1669" s="265"/>
      <c r="Q1669" s="265"/>
      <c r="BR1669" s="265"/>
      <c r="BS1669" s="265"/>
      <c r="BT1669" s="265"/>
      <c r="BU1669" s="265"/>
      <c r="BV1669" s="265"/>
    </row>
    <row r="1670" spans="12:74">
      <c r="L1670" s="265"/>
      <c r="M1670" s="265"/>
      <c r="N1670" s="265"/>
      <c r="O1670" s="265"/>
      <c r="P1670" s="265"/>
      <c r="Q1670" s="265"/>
      <c r="BR1670" s="265"/>
      <c r="BS1670" s="265"/>
      <c r="BT1670" s="265"/>
      <c r="BU1670" s="265"/>
      <c r="BV1670" s="265"/>
    </row>
    <row r="1671" spans="12:74">
      <c r="L1671" s="265"/>
      <c r="M1671" s="265"/>
      <c r="N1671" s="265"/>
      <c r="O1671" s="265"/>
      <c r="P1671" s="265"/>
      <c r="Q1671" s="265"/>
      <c r="BR1671" s="265"/>
      <c r="BS1671" s="265"/>
      <c r="BT1671" s="265"/>
      <c r="BU1671" s="265"/>
      <c r="BV1671" s="265"/>
    </row>
    <row r="1672" spans="12:74">
      <c r="L1672" s="265"/>
      <c r="M1672" s="265"/>
      <c r="N1672" s="265"/>
      <c r="O1672" s="265"/>
      <c r="P1672" s="265"/>
      <c r="Q1672" s="265"/>
      <c r="BR1672" s="265"/>
      <c r="BS1672" s="265"/>
      <c r="BT1672" s="265"/>
      <c r="BU1672" s="265"/>
      <c r="BV1672" s="265"/>
    </row>
    <row r="1673" spans="12:74">
      <c r="L1673" s="265"/>
      <c r="M1673" s="265"/>
      <c r="N1673" s="265"/>
      <c r="O1673" s="265"/>
      <c r="P1673" s="265"/>
      <c r="Q1673" s="265"/>
      <c r="BR1673" s="265"/>
      <c r="BS1673" s="265"/>
      <c r="BT1673" s="265"/>
      <c r="BU1673" s="265"/>
      <c r="BV1673" s="265"/>
    </row>
    <row r="1674" spans="12:74">
      <c r="L1674" s="265"/>
      <c r="M1674" s="265"/>
      <c r="N1674" s="265"/>
      <c r="O1674" s="265"/>
      <c r="P1674" s="265"/>
      <c r="Q1674" s="265"/>
      <c r="BR1674" s="265"/>
      <c r="BS1674" s="265"/>
      <c r="BT1674" s="265"/>
      <c r="BU1674" s="265"/>
      <c r="BV1674" s="265"/>
    </row>
    <row r="1675" spans="12:74">
      <c r="L1675" s="265"/>
      <c r="M1675" s="265"/>
      <c r="N1675" s="265"/>
      <c r="O1675" s="265"/>
      <c r="P1675" s="265"/>
      <c r="Q1675" s="265"/>
      <c r="BR1675" s="265"/>
      <c r="BS1675" s="265"/>
      <c r="BT1675" s="265"/>
      <c r="BU1675" s="265"/>
      <c r="BV1675" s="265"/>
    </row>
    <row r="1676" spans="12:74">
      <c r="L1676" s="265"/>
      <c r="M1676" s="265"/>
      <c r="N1676" s="265"/>
      <c r="O1676" s="265"/>
      <c r="P1676" s="265"/>
      <c r="Q1676" s="265"/>
      <c r="BR1676" s="265"/>
      <c r="BS1676" s="265"/>
      <c r="BT1676" s="265"/>
      <c r="BU1676" s="265"/>
      <c r="BV1676" s="265"/>
    </row>
    <row r="1677" spans="12:74">
      <c r="L1677" s="265"/>
      <c r="M1677" s="265"/>
      <c r="N1677" s="265"/>
      <c r="O1677" s="265"/>
      <c r="P1677" s="265"/>
      <c r="Q1677" s="265"/>
      <c r="BR1677" s="265"/>
      <c r="BS1677" s="265"/>
      <c r="BT1677" s="265"/>
      <c r="BU1677" s="265"/>
      <c r="BV1677" s="265"/>
    </row>
    <row r="1678" spans="12:74">
      <c r="L1678" s="265"/>
      <c r="M1678" s="265"/>
      <c r="N1678" s="265"/>
      <c r="O1678" s="265"/>
      <c r="P1678" s="265"/>
      <c r="Q1678" s="265"/>
      <c r="BR1678" s="265"/>
      <c r="BS1678" s="265"/>
      <c r="BT1678" s="265"/>
      <c r="BU1678" s="265"/>
      <c r="BV1678" s="265"/>
    </row>
    <row r="1679" spans="12:74">
      <c r="L1679" s="265"/>
      <c r="M1679" s="265"/>
      <c r="N1679" s="265"/>
      <c r="O1679" s="265"/>
      <c r="P1679" s="265"/>
      <c r="Q1679" s="265"/>
      <c r="BR1679" s="265"/>
      <c r="BS1679" s="265"/>
      <c r="BT1679" s="265"/>
      <c r="BU1679" s="265"/>
      <c r="BV1679" s="265"/>
    </row>
    <row r="1680" spans="12:74">
      <c r="L1680" s="265"/>
      <c r="M1680" s="265"/>
      <c r="N1680" s="265"/>
      <c r="O1680" s="265"/>
      <c r="P1680" s="265"/>
      <c r="Q1680" s="265"/>
      <c r="BR1680" s="265"/>
      <c r="BS1680" s="265"/>
      <c r="BT1680" s="265"/>
      <c r="BU1680" s="265"/>
      <c r="BV1680" s="265"/>
    </row>
    <row r="1681" spans="12:74">
      <c r="L1681" s="265"/>
      <c r="M1681" s="265"/>
      <c r="N1681" s="265"/>
      <c r="O1681" s="265"/>
      <c r="P1681" s="265"/>
      <c r="Q1681" s="265"/>
      <c r="BR1681" s="265"/>
      <c r="BS1681" s="265"/>
      <c r="BT1681" s="265"/>
      <c r="BU1681" s="265"/>
      <c r="BV1681" s="265"/>
    </row>
    <row r="1682" spans="12:74">
      <c r="L1682" s="265"/>
      <c r="M1682" s="265"/>
      <c r="N1682" s="265"/>
      <c r="O1682" s="265"/>
      <c r="P1682" s="265"/>
      <c r="Q1682" s="265"/>
      <c r="BR1682" s="265"/>
      <c r="BS1682" s="265"/>
      <c r="BT1682" s="265"/>
      <c r="BU1682" s="265"/>
      <c r="BV1682" s="265"/>
    </row>
    <row r="1683" spans="12:74">
      <c r="L1683" s="265"/>
      <c r="M1683" s="265"/>
      <c r="N1683" s="265"/>
      <c r="O1683" s="265"/>
      <c r="P1683" s="265"/>
      <c r="Q1683" s="265"/>
      <c r="BR1683" s="265"/>
      <c r="BS1683" s="265"/>
      <c r="BT1683" s="265"/>
      <c r="BU1683" s="265"/>
      <c r="BV1683" s="265"/>
    </row>
    <row r="1684" spans="12:74">
      <c r="L1684" s="265"/>
      <c r="M1684" s="265"/>
      <c r="N1684" s="265"/>
      <c r="O1684" s="265"/>
      <c r="P1684" s="265"/>
      <c r="Q1684" s="265"/>
      <c r="BR1684" s="265"/>
      <c r="BS1684" s="265"/>
      <c r="BT1684" s="265"/>
      <c r="BU1684" s="265"/>
      <c r="BV1684" s="265"/>
    </row>
    <row r="1685" spans="12:74">
      <c r="L1685" s="265"/>
      <c r="M1685" s="265"/>
      <c r="N1685" s="265"/>
      <c r="O1685" s="265"/>
      <c r="P1685" s="265"/>
      <c r="Q1685" s="265"/>
      <c r="BR1685" s="265"/>
      <c r="BS1685" s="265"/>
      <c r="BT1685" s="265"/>
      <c r="BU1685" s="265"/>
      <c r="BV1685" s="265"/>
    </row>
    <row r="1686" spans="12:74">
      <c r="L1686" s="265"/>
      <c r="M1686" s="265"/>
      <c r="N1686" s="265"/>
      <c r="O1686" s="265"/>
      <c r="P1686" s="265"/>
      <c r="Q1686" s="265"/>
      <c r="BR1686" s="265"/>
      <c r="BS1686" s="265"/>
      <c r="BT1686" s="265"/>
      <c r="BU1686" s="265"/>
      <c r="BV1686" s="265"/>
    </row>
    <row r="1687" spans="12:74">
      <c r="L1687" s="265"/>
      <c r="M1687" s="265"/>
      <c r="N1687" s="265"/>
      <c r="O1687" s="265"/>
      <c r="P1687" s="265"/>
      <c r="Q1687" s="265"/>
      <c r="BR1687" s="265"/>
      <c r="BS1687" s="265"/>
      <c r="BT1687" s="265"/>
      <c r="BU1687" s="265"/>
      <c r="BV1687" s="265"/>
    </row>
    <row r="1688" spans="12:74">
      <c r="L1688" s="265"/>
      <c r="M1688" s="265"/>
      <c r="N1688" s="265"/>
      <c r="O1688" s="265"/>
      <c r="P1688" s="265"/>
      <c r="Q1688" s="265"/>
      <c r="BR1688" s="265"/>
      <c r="BS1688" s="265"/>
      <c r="BT1688" s="265"/>
      <c r="BU1688" s="265"/>
      <c r="BV1688" s="265"/>
    </row>
    <row r="1689" spans="12:74">
      <c r="L1689" s="265"/>
      <c r="M1689" s="265"/>
      <c r="N1689" s="265"/>
      <c r="O1689" s="265"/>
      <c r="P1689" s="265"/>
      <c r="Q1689" s="265"/>
      <c r="BR1689" s="265"/>
      <c r="BS1689" s="265"/>
      <c r="BT1689" s="265"/>
      <c r="BU1689" s="265"/>
      <c r="BV1689" s="265"/>
    </row>
    <row r="1690" spans="12:74">
      <c r="L1690" s="265"/>
      <c r="M1690" s="265"/>
      <c r="N1690" s="265"/>
      <c r="O1690" s="265"/>
      <c r="P1690" s="265"/>
      <c r="Q1690" s="265"/>
      <c r="BR1690" s="265"/>
      <c r="BS1690" s="265"/>
      <c r="BT1690" s="265"/>
      <c r="BU1690" s="265"/>
      <c r="BV1690" s="265"/>
    </row>
    <row r="1691" spans="12:74">
      <c r="L1691" s="265"/>
      <c r="M1691" s="265"/>
      <c r="N1691" s="265"/>
      <c r="O1691" s="265"/>
      <c r="P1691" s="265"/>
      <c r="Q1691" s="265"/>
      <c r="BR1691" s="265"/>
      <c r="BS1691" s="265"/>
      <c r="BT1691" s="265"/>
      <c r="BU1691" s="265"/>
      <c r="BV1691" s="265"/>
    </row>
    <row r="1692" spans="12:74">
      <c r="L1692" s="265"/>
      <c r="M1692" s="265"/>
      <c r="N1692" s="265"/>
      <c r="O1692" s="265"/>
      <c r="P1692" s="265"/>
      <c r="Q1692" s="265"/>
      <c r="BR1692" s="265"/>
      <c r="BS1692" s="265"/>
      <c r="BT1692" s="265"/>
      <c r="BU1692" s="265"/>
      <c r="BV1692" s="265"/>
    </row>
    <row r="1693" spans="12:74">
      <c r="L1693" s="265"/>
      <c r="M1693" s="265"/>
      <c r="N1693" s="265"/>
      <c r="O1693" s="265"/>
      <c r="P1693" s="265"/>
      <c r="Q1693" s="265"/>
      <c r="BR1693" s="265"/>
      <c r="BS1693" s="265"/>
      <c r="BT1693" s="265"/>
      <c r="BU1693" s="265"/>
      <c r="BV1693" s="265"/>
    </row>
    <row r="1694" spans="12:74">
      <c r="L1694" s="265"/>
      <c r="M1694" s="265"/>
      <c r="N1694" s="265"/>
      <c r="O1694" s="265"/>
      <c r="P1694" s="265"/>
      <c r="Q1694" s="265"/>
      <c r="BR1694" s="265"/>
      <c r="BS1694" s="265"/>
      <c r="BT1694" s="265"/>
      <c r="BU1694" s="265"/>
      <c r="BV1694" s="265"/>
    </row>
    <row r="1695" spans="12:74">
      <c r="L1695" s="265"/>
      <c r="M1695" s="265"/>
      <c r="N1695" s="265"/>
      <c r="O1695" s="265"/>
      <c r="P1695" s="265"/>
      <c r="Q1695" s="265"/>
      <c r="BR1695" s="265"/>
      <c r="BS1695" s="265"/>
      <c r="BT1695" s="265"/>
      <c r="BU1695" s="265"/>
      <c r="BV1695" s="265"/>
    </row>
    <row r="1696" spans="12:74">
      <c r="L1696" s="265"/>
      <c r="M1696" s="265"/>
      <c r="N1696" s="265"/>
      <c r="O1696" s="265"/>
      <c r="P1696" s="265"/>
      <c r="Q1696" s="265"/>
      <c r="BR1696" s="265"/>
      <c r="BS1696" s="265"/>
      <c r="BT1696" s="265"/>
      <c r="BU1696" s="265"/>
      <c r="BV1696" s="265"/>
    </row>
    <row r="1697" spans="12:74">
      <c r="L1697" s="265"/>
      <c r="M1697" s="265"/>
      <c r="N1697" s="265"/>
      <c r="O1697" s="265"/>
      <c r="P1697" s="265"/>
      <c r="Q1697" s="265"/>
      <c r="BR1697" s="265"/>
      <c r="BS1697" s="265"/>
      <c r="BT1697" s="265"/>
      <c r="BU1697" s="265"/>
      <c r="BV1697" s="265"/>
    </row>
    <row r="1698" spans="12:74">
      <c r="L1698" s="265"/>
      <c r="M1698" s="265"/>
      <c r="N1698" s="265"/>
      <c r="O1698" s="265"/>
      <c r="P1698" s="265"/>
      <c r="Q1698" s="265"/>
      <c r="BR1698" s="265"/>
      <c r="BS1698" s="265"/>
      <c r="BT1698" s="265"/>
      <c r="BU1698" s="265"/>
      <c r="BV1698" s="265"/>
    </row>
    <row r="1699" spans="12:74">
      <c r="L1699" s="265"/>
      <c r="M1699" s="265"/>
      <c r="N1699" s="265"/>
      <c r="O1699" s="265"/>
      <c r="P1699" s="265"/>
      <c r="Q1699" s="265"/>
      <c r="BR1699" s="265"/>
      <c r="BS1699" s="265"/>
      <c r="BT1699" s="265"/>
      <c r="BU1699" s="265"/>
      <c r="BV1699" s="265"/>
    </row>
    <row r="1700" spans="12:74">
      <c r="L1700" s="265"/>
      <c r="M1700" s="265"/>
      <c r="N1700" s="265"/>
      <c r="O1700" s="265"/>
      <c r="P1700" s="265"/>
      <c r="Q1700" s="265"/>
      <c r="BR1700" s="265"/>
      <c r="BS1700" s="265"/>
      <c r="BT1700" s="265"/>
      <c r="BU1700" s="265"/>
      <c r="BV1700" s="265"/>
    </row>
    <row r="1701" spans="12:74">
      <c r="L1701" s="265"/>
      <c r="M1701" s="265"/>
      <c r="N1701" s="265"/>
      <c r="O1701" s="265"/>
      <c r="P1701" s="265"/>
      <c r="Q1701" s="265"/>
      <c r="BR1701" s="265"/>
      <c r="BS1701" s="265"/>
      <c r="BT1701" s="265"/>
      <c r="BU1701" s="265"/>
      <c r="BV1701" s="265"/>
    </row>
    <row r="1702" spans="12:74">
      <c r="L1702" s="265"/>
      <c r="M1702" s="265"/>
      <c r="N1702" s="265"/>
      <c r="O1702" s="265"/>
      <c r="P1702" s="265"/>
      <c r="Q1702" s="265"/>
      <c r="BR1702" s="265"/>
      <c r="BS1702" s="265"/>
      <c r="BT1702" s="265"/>
      <c r="BU1702" s="265"/>
      <c r="BV1702" s="265"/>
    </row>
    <row r="1703" spans="12:74">
      <c r="L1703" s="265"/>
      <c r="M1703" s="265"/>
      <c r="N1703" s="265"/>
      <c r="O1703" s="265"/>
      <c r="P1703" s="265"/>
      <c r="Q1703" s="265"/>
      <c r="BR1703" s="265"/>
      <c r="BS1703" s="265"/>
      <c r="BT1703" s="265"/>
      <c r="BU1703" s="265"/>
      <c r="BV1703" s="265"/>
    </row>
    <row r="1704" spans="12:74">
      <c r="L1704" s="265"/>
      <c r="M1704" s="265"/>
      <c r="N1704" s="265"/>
      <c r="O1704" s="265"/>
      <c r="P1704" s="265"/>
      <c r="Q1704" s="265"/>
      <c r="BR1704" s="265"/>
      <c r="BS1704" s="265"/>
      <c r="BT1704" s="265"/>
      <c r="BU1704" s="265"/>
      <c r="BV1704" s="265"/>
    </row>
    <row r="1705" spans="12:74">
      <c r="L1705" s="265"/>
      <c r="M1705" s="265"/>
      <c r="N1705" s="265"/>
      <c r="O1705" s="265"/>
      <c r="P1705" s="265"/>
      <c r="Q1705" s="265"/>
      <c r="BR1705" s="265"/>
      <c r="BS1705" s="265"/>
      <c r="BT1705" s="265"/>
      <c r="BU1705" s="265"/>
      <c r="BV1705" s="265"/>
    </row>
    <row r="1706" spans="12:74">
      <c r="L1706" s="265"/>
      <c r="M1706" s="265"/>
      <c r="N1706" s="265"/>
      <c r="O1706" s="265"/>
      <c r="P1706" s="265"/>
      <c r="Q1706" s="265"/>
      <c r="BR1706" s="265"/>
      <c r="BS1706" s="265"/>
      <c r="BT1706" s="265"/>
      <c r="BU1706" s="265"/>
      <c r="BV1706" s="265"/>
    </row>
    <row r="1707" spans="12:74">
      <c r="L1707" s="265"/>
      <c r="M1707" s="265"/>
      <c r="N1707" s="265"/>
      <c r="O1707" s="265"/>
      <c r="P1707" s="265"/>
      <c r="Q1707" s="265"/>
      <c r="BR1707" s="265"/>
      <c r="BS1707" s="265"/>
      <c r="BT1707" s="265"/>
      <c r="BU1707" s="265"/>
      <c r="BV1707" s="265"/>
    </row>
    <row r="1708" spans="12:74">
      <c r="L1708" s="265"/>
      <c r="M1708" s="265"/>
      <c r="N1708" s="265"/>
      <c r="O1708" s="265"/>
      <c r="P1708" s="265"/>
      <c r="Q1708" s="265"/>
      <c r="BR1708" s="265"/>
      <c r="BS1708" s="265"/>
      <c r="BT1708" s="265"/>
      <c r="BU1708" s="265"/>
      <c r="BV1708" s="265"/>
    </row>
    <row r="1709" spans="12:74">
      <c r="L1709" s="265"/>
      <c r="M1709" s="265"/>
      <c r="N1709" s="265"/>
      <c r="O1709" s="265"/>
      <c r="P1709" s="265"/>
      <c r="Q1709" s="265"/>
      <c r="BR1709" s="265"/>
      <c r="BS1709" s="265"/>
      <c r="BT1709" s="265"/>
      <c r="BU1709" s="265"/>
      <c r="BV1709" s="265"/>
    </row>
    <row r="1710" spans="12:74">
      <c r="L1710" s="265"/>
      <c r="M1710" s="265"/>
      <c r="N1710" s="265"/>
      <c r="O1710" s="265"/>
      <c r="P1710" s="265"/>
      <c r="Q1710" s="265"/>
      <c r="BR1710" s="265"/>
      <c r="BS1710" s="265"/>
      <c r="BT1710" s="265"/>
      <c r="BU1710" s="265"/>
      <c r="BV1710" s="265"/>
    </row>
    <row r="1711" spans="12:74">
      <c r="L1711" s="265"/>
      <c r="M1711" s="265"/>
      <c r="N1711" s="265"/>
      <c r="O1711" s="265"/>
      <c r="P1711" s="265"/>
      <c r="Q1711" s="265"/>
      <c r="BR1711" s="265"/>
      <c r="BS1711" s="265"/>
      <c r="BT1711" s="265"/>
      <c r="BU1711" s="265"/>
      <c r="BV1711" s="265"/>
    </row>
    <row r="1712" spans="12:74">
      <c r="L1712" s="265"/>
      <c r="M1712" s="265"/>
      <c r="N1712" s="265"/>
      <c r="O1712" s="265"/>
      <c r="P1712" s="265"/>
      <c r="Q1712" s="265"/>
      <c r="BR1712" s="265"/>
      <c r="BS1712" s="265"/>
      <c r="BT1712" s="265"/>
      <c r="BU1712" s="265"/>
      <c r="BV1712" s="265"/>
    </row>
    <row r="1713" spans="12:74">
      <c r="L1713" s="265"/>
      <c r="M1713" s="265"/>
      <c r="N1713" s="265"/>
      <c r="O1713" s="265"/>
      <c r="P1713" s="265"/>
      <c r="Q1713" s="265"/>
      <c r="BR1713" s="265"/>
      <c r="BS1713" s="265"/>
      <c r="BT1713" s="265"/>
      <c r="BU1713" s="265"/>
      <c r="BV1713" s="265"/>
    </row>
    <row r="1714" spans="12:74">
      <c r="L1714" s="265"/>
      <c r="M1714" s="265"/>
      <c r="N1714" s="265"/>
      <c r="O1714" s="265"/>
      <c r="P1714" s="265"/>
      <c r="Q1714" s="265"/>
      <c r="BR1714" s="265"/>
      <c r="BS1714" s="265"/>
      <c r="BT1714" s="265"/>
      <c r="BU1714" s="265"/>
      <c r="BV1714" s="265"/>
    </row>
    <row r="1715" spans="12:74">
      <c r="L1715" s="265"/>
      <c r="M1715" s="265"/>
      <c r="N1715" s="265"/>
      <c r="O1715" s="265"/>
      <c r="P1715" s="265"/>
      <c r="Q1715" s="265"/>
      <c r="BR1715" s="265"/>
      <c r="BS1715" s="265"/>
      <c r="BT1715" s="265"/>
      <c r="BU1715" s="265"/>
      <c r="BV1715" s="265"/>
    </row>
    <row r="1716" spans="12:74">
      <c r="L1716" s="265"/>
      <c r="M1716" s="265"/>
      <c r="N1716" s="265"/>
      <c r="O1716" s="265"/>
      <c r="P1716" s="265"/>
      <c r="Q1716" s="265"/>
      <c r="BR1716" s="265"/>
      <c r="BS1716" s="265"/>
      <c r="BT1716" s="265"/>
      <c r="BU1716" s="265"/>
      <c r="BV1716" s="265"/>
    </row>
    <row r="1717" spans="12:74">
      <c r="L1717" s="265"/>
      <c r="M1717" s="265"/>
      <c r="N1717" s="265"/>
      <c r="O1717" s="265"/>
      <c r="P1717" s="265"/>
      <c r="Q1717" s="265"/>
      <c r="BR1717" s="265"/>
      <c r="BS1717" s="265"/>
      <c r="BT1717" s="265"/>
      <c r="BU1717" s="265"/>
      <c r="BV1717" s="265"/>
    </row>
    <row r="1718" spans="12:74">
      <c r="L1718" s="265"/>
      <c r="M1718" s="265"/>
      <c r="N1718" s="265"/>
      <c r="O1718" s="265"/>
      <c r="P1718" s="265"/>
      <c r="Q1718" s="265"/>
      <c r="BR1718" s="265"/>
      <c r="BS1718" s="265"/>
      <c r="BT1718" s="265"/>
      <c r="BU1718" s="265"/>
      <c r="BV1718" s="265"/>
    </row>
    <row r="1719" spans="12:74">
      <c r="L1719" s="265"/>
      <c r="M1719" s="265"/>
      <c r="N1719" s="265"/>
      <c r="O1719" s="265"/>
      <c r="P1719" s="265"/>
      <c r="Q1719" s="265"/>
      <c r="BR1719" s="265"/>
      <c r="BS1719" s="265"/>
      <c r="BT1719" s="265"/>
      <c r="BU1719" s="265"/>
      <c r="BV1719" s="265"/>
    </row>
    <row r="1720" spans="12:74">
      <c r="L1720" s="265"/>
      <c r="M1720" s="265"/>
      <c r="N1720" s="265"/>
      <c r="O1720" s="265"/>
      <c r="P1720" s="265"/>
      <c r="Q1720" s="265"/>
      <c r="BR1720" s="265"/>
      <c r="BS1720" s="265"/>
      <c r="BT1720" s="265"/>
      <c r="BU1720" s="265"/>
      <c r="BV1720" s="265"/>
    </row>
    <row r="1721" spans="12:74">
      <c r="L1721" s="265"/>
      <c r="M1721" s="265"/>
      <c r="N1721" s="265"/>
      <c r="O1721" s="265"/>
      <c r="P1721" s="265"/>
      <c r="Q1721" s="265"/>
      <c r="BR1721" s="265"/>
      <c r="BS1721" s="265"/>
      <c r="BT1721" s="265"/>
      <c r="BU1721" s="265"/>
      <c r="BV1721" s="265"/>
    </row>
    <row r="1722" spans="12:74">
      <c r="L1722" s="265"/>
      <c r="M1722" s="265"/>
      <c r="N1722" s="265"/>
      <c r="O1722" s="265"/>
      <c r="P1722" s="265"/>
      <c r="Q1722" s="265"/>
      <c r="BR1722" s="265"/>
      <c r="BS1722" s="265"/>
      <c r="BT1722" s="265"/>
      <c r="BU1722" s="265"/>
      <c r="BV1722" s="265"/>
    </row>
    <row r="1723" spans="12:74">
      <c r="L1723" s="265"/>
      <c r="M1723" s="265"/>
      <c r="N1723" s="265"/>
      <c r="O1723" s="265"/>
      <c r="P1723" s="265"/>
      <c r="Q1723" s="265"/>
      <c r="BR1723" s="265"/>
      <c r="BS1723" s="265"/>
      <c r="BT1723" s="265"/>
      <c r="BU1723" s="265"/>
      <c r="BV1723" s="265"/>
    </row>
    <row r="1724" spans="12:74">
      <c r="L1724" s="265"/>
      <c r="M1724" s="265"/>
      <c r="N1724" s="265"/>
      <c r="O1724" s="265"/>
      <c r="P1724" s="265"/>
      <c r="Q1724" s="265"/>
      <c r="BR1724" s="265"/>
      <c r="BS1724" s="265"/>
      <c r="BT1724" s="265"/>
      <c r="BU1724" s="265"/>
      <c r="BV1724" s="265"/>
    </row>
    <row r="1725" spans="12:74">
      <c r="L1725" s="265"/>
      <c r="M1725" s="265"/>
      <c r="N1725" s="265"/>
      <c r="O1725" s="265"/>
      <c r="P1725" s="265"/>
      <c r="Q1725" s="265"/>
      <c r="BR1725" s="265"/>
      <c r="BS1725" s="265"/>
      <c r="BT1725" s="265"/>
      <c r="BU1725" s="265"/>
      <c r="BV1725" s="265"/>
    </row>
    <row r="1726" spans="12:74">
      <c r="L1726" s="265"/>
      <c r="M1726" s="265"/>
      <c r="N1726" s="265"/>
      <c r="O1726" s="265"/>
      <c r="P1726" s="265"/>
      <c r="Q1726" s="265"/>
      <c r="BR1726" s="265"/>
      <c r="BS1726" s="265"/>
      <c r="BT1726" s="265"/>
      <c r="BU1726" s="265"/>
      <c r="BV1726" s="265"/>
    </row>
    <row r="1727" spans="12:74">
      <c r="L1727" s="265"/>
      <c r="M1727" s="265"/>
      <c r="N1727" s="265"/>
      <c r="O1727" s="265"/>
      <c r="P1727" s="265"/>
      <c r="Q1727" s="265"/>
      <c r="BR1727" s="265"/>
      <c r="BS1727" s="265"/>
      <c r="BT1727" s="265"/>
      <c r="BU1727" s="265"/>
      <c r="BV1727" s="265"/>
    </row>
    <row r="1728" spans="12:74">
      <c r="L1728" s="265"/>
      <c r="M1728" s="265"/>
      <c r="N1728" s="265"/>
      <c r="O1728" s="265"/>
      <c r="P1728" s="265"/>
      <c r="Q1728" s="265"/>
      <c r="BR1728" s="265"/>
      <c r="BS1728" s="265"/>
      <c r="BT1728" s="265"/>
      <c r="BU1728" s="265"/>
      <c r="BV1728" s="265"/>
    </row>
    <row r="1729" spans="12:74">
      <c r="L1729" s="265"/>
      <c r="M1729" s="265"/>
      <c r="N1729" s="265"/>
      <c r="O1729" s="265"/>
      <c r="P1729" s="265"/>
      <c r="Q1729" s="265"/>
      <c r="BR1729" s="265"/>
      <c r="BS1729" s="265"/>
      <c r="BT1729" s="265"/>
      <c r="BU1729" s="265"/>
      <c r="BV1729" s="265"/>
    </row>
    <row r="1730" spans="12:74">
      <c r="L1730" s="265"/>
      <c r="M1730" s="265"/>
      <c r="N1730" s="265"/>
      <c r="O1730" s="265"/>
      <c r="P1730" s="265"/>
      <c r="Q1730" s="265"/>
      <c r="BR1730" s="265"/>
      <c r="BS1730" s="265"/>
      <c r="BT1730" s="265"/>
      <c r="BU1730" s="265"/>
      <c r="BV1730" s="265"/>
    </row>
    <row r="1731" spans="12:74">
      <c r="L1731" s="265"/>
      <c r="M1731" s="265"/>
      <c r="N1731" s="265"/>
      <c r="O1731" s="265"/>
      <c r="P1731" s="265"/>
      <c r="Q1731" s="265"/>
      <c r="BR1731" s="265"/>
      <c r="BS1731" s="265"/>
      <c r="BT1731" s="265"/>
      <c r="BU1731" s="265"/>
      <c r="BV1731" s="265"/>
    </row>
    <row r="1732" spans="12:74">
      <c r="L1732" s="265"/>
      <c r="M1732" s="265"/>
      <c r="N1732" s="265"/>
      <c r="O1732" s="265"/>
      <c r="P1732" s="265"/>
      <c r="Q1732" s="265"/>
      <c r="BR1732" s="265"/>
      <c r="BS1732" s="265"/>
      <c r="BT1732" s="265"/>
      <c r="BU1732" s="265"/>
      <c r="BV1732" s="265"/>
    </row>
    <row r="1733" spans="12:74">
      <c r="L1733" s="265"/>
      <c r="M1733" s="265"/>
      <c r="N1733" s="265"/>
      <c r="O1733" s="265"/>
      <c r="P1733" s="265"/>
      <c r="Q1733" s="265"/>
      <c r="BR1733" s="265"/>
      <c r="BS1733" s="265"/>
      <c r="BT1733" s="265"/>
      <c r="BU1733" s="265"/>
      <c r="BV1733" s="265"/>
    </row>
    <row r="1734" spans="12:74">
      <c r="L1734" s="265"/>
      <c r="M1734" s="265"/>
      <c r="N1734" s="265"/>
      <c r="O1734" s="265"/>
      <c r="P1734" s="265"/>
      <c r="Q1734" s="265"/>
      <c r="BR1734" s="265"/>
      <c r="BS1734" s="265"/>
      <c r="BT1734" s="265"/>
      <c r="BU1734" s="265"/>
      <c r="BV1734" s="265"/>
    </row>
    <row r="1735" spans="12:74">
      <c r="L1735" s="265"/>
      <c r="M1735" s="265"/>
      <c r="N1735" s="265"/>
      <c r="O1735" s="265"/>
      <c r="P1735" s="265"/>
      <c r="Q1735" s="265"/>
      <c r="BR1735" s="265"/>
      <c r="BS1735" s="265"/>
      <c r="BT1735" s="265"/>
      <c r="BU1735" s="265"/>
      <c r="BV1735" s="265"/>
    </row>
    <row r="1736" spans="12:74">
      <c r="L1736" s="265"/>
      <c r="M1736" s="265"/>
      <c r="N1736" s="265"/>
      <c r="O1736" s="265"/>
      <c r="P1736" s="265"/>
      <c r="Q1736" s="265"/>
      <c r="BR1736" s="265"/>
      <c r="BS1736" s="265"/>
      <c r="BT1736" s="265"/>
      <c r="BU1736" s="265"/>
      <c r="BV1736" s="265"/>
    </row>
    <row r="1737" spans="12:74">
      <c r="L1737" s="265"/>
      <c r="M1737" s="265"/>
      <c r="N1737" s="265"/>
      <c r="O1737" s="265"/>
      <c r="P1737" s="265"/>
      <c r="Q1737" s="265"/>
      <c r="BR1737" s="265"/>
      <c r="BS1737" s="265"/>
      <c r="BT1737" s="265"/>
      <c r="BU1737" s="265"/>
      <c r="BV1737" s="265"/>
    </row>
    <row r="1738" spans="12:74">
      <c r="L1738" s="265"/>
      <c r="M1738" s="265"/>
      <c r="N1738" s="265"/>
      <c r="O1738" s="265"/>
      <c r="P1738" s="265"/>
      <c r="Q1738" s="265"/>
      <c r="BR1738" s="265"/>
      <c r="BS1738" s="265"/>
      <c r="BT1738" s="265"/>
      <c r="BU1738" s="265"/>
      <c r="BV1738" s="265"/>
    </row>
    <row r="1739" spans="12:74">
      <c r="L1739" s="265"/>
      <c r="M1739" s="265"/>
      <c r="N1739" s="265"/>
      <c r="O1739" s="265"/>
      <c r="P1739" s="265"/>
      <c r="Q1739" s="265"/>
      <c r="BR1739" s="265"/>
      <c r="BS1739" s="265"/>
      <c r="BT1739" s="265"/>
      <c r="BU1739" s="265"/>
      <c r="BV1739" s="265"/>
    </row>
    <row r="1740" spans="12:74">
      <c r="L1740" s="265"/>
      <c r="M1740" s="265"/>
      <c r="N1740" s="265"/>
      <c r="O1740" s="265"/>
      <c r="P1740" s="265"/>
      <c r="Q1740" s="265"/>
      <c r="BR1740" s="265"/>
      <c r="BS1740" s="265"/>
      <c r="BT1740" s="265"/>
      <c r="BU1740" s="265"/>
      <c r="BV1740" s="265"/>
    </row>
    <row r="1741" spans="12:74">
      <c r="L1741" s="265"/>
      <c r="M1741" s="265"/>
      <c r="N1741" s="265"/>
      <c r="O1741" s="265"/>
      <c r="P1741" s="265"/>
      <c r="Q1741" s="265"/>
      <c r="BR1741" s="265"/>
      <c r="BS1741" s="265"/>
      <c r="BT1741" s="265"/>
      <c r="BU1741" s="265"/>
      <c r="BV1741" s="265"/>
    </row>
    <row r="1742" spans="12:74">
      <c r="L1742" s="265"/>
      <c r="M1742" s="265"/>
      <c r="N1742" s="265"/>
      <c r="O1742" s="265"/>
      <c r="P1742" s="265"/>
      <c r="Q1742" s="265"/>
      <c r="BR1742" s="265"/>
      <c r="BS1742" s="265"/>
      <c r="BT1742" s="265"/>
      <c r="BU1742" s="265"/>
      <c r="BV1742" s="265"/>
    </row>
    <row r="1743" spans="12:74">
      <c r="L1743" s="265"/>
      <c r="M1743" s="265"/>
      <c r="N1743" s="265"/>
      <c r="O1743" s="265"/>
      <c r="P1743" s="265"/>
      <c r="Q1743" s="265"/>
      <c r="BR1743" s="265"/>
      <c r="BS1743" s="265"/>
      <c r="BT1743" s="265"/>
      <c r="BU1743" s="265"/>
      <c r="BV1743" s="265"/>
    </row>
    <row r="1744" spans="12:74">
      <c r="L1744" s="265"/>
      <c r="M1744" s="265"/>
      <c r="N1744" s="265"/>
      <c r="O1744" s="265"/>
      <c r="P1744" s="265"/>
      <c r="Q1744" s="265"/>
      <c r="BR1744" s="265"/>
      <c r="BS1744" s="265"/>
      <c r="BT1744" s="265"/>
      <c r="BU1744" s="265"/>
      <c r="BV1744" s="265"/>
    </row>
    <row r="1745" spans="12:74">
      <c r="L1745" s="265"/>
      <c r="M1745" s="265"/>
      <c r="N1745" s="265"/>
      <c r="O1745" s="265"/>
      <c r="P1745" s="265"/>
      <c r="Q1745" s="265"/>
      <c r="BR1745" s="265"/>
      <c r="BS1745" s="265"/>
      <c r="BT1745" s="265"/>
      <c r="BU1745" s="265"/>
      <c r="BV1745" s="265"/>
    </row>
    <row r="1746" spans="12:74">
      <c r="L1746" s="265"/>
      <c r="M1746" s="265"/>
      <c r="N1746" s="265"/>
      <c r="O1746" s="265"/>
      <c r="P1746" s="265"/>
      <c r="Q1746" s="265"/>
      <c r="BR1746" s="265"/>
      <c r="BS1746" s="265"/>
      <c r="BT1746" s="265"/>
      <c r="BU1746" s="265"/>
      <c r="BV1746" s="265"/>
    </row>
    <row r="1747" spans="12:74">
      <c r="L1747" s="265"/>
      <c r="M1747" s="265"/>
      <c r="N1747" s="265"/>
      <c r="O1747" s="265"/>
      <c r="P1747" s="265"/>
      <c r="Q1747" s="265"/>
      <c r="BR1747" s="265"/>
      <c r="BS1747" s="265"/>
      <c r="BT1747" s="265"/>
      <c r="BU1747" s="265"/>
      <c r="BV1747" s="265"/>
    </row>
    <row r="1748" spans="12:74">
      <c r="L1748" s="265"/>
      <c r="M1748" s="265"/>
      <c r="N1748" s="265"/>
      <c r="O1748" s="265"/>
      <c r="P1748" s="265"/>
      <c r="Q1748" s="265"/>
      <c r="BR1748" s="265"/>
      <c r="BS1748" s="265"/>
      <c r="BT1748" s="265"/>
      <c r="BU1748" s="265"/>
      <c r="BV1748" s="265"/>
    </row>
    <row r="1749" spans="12:74">
      <c r="L1749" s="265"/>
      <c r="M1749" s="265"/>
      <c r="N1749" s="265"/>
      <c r="O1749" s="265"/>
      <c r="P1749" s="265"/>
      <c r="Q1749" s="265"/>
      <c r="BR1749" s="265"/>
      <c r="BS1749" s="265"/>
      <c r="BT1749" s="265"/>
      <c r="BU1749" s="265"/>
      <c r="BV1749" s="265"/>
    </row>
    <row r="1750" spans="12:74">
      <c r="L1750" s="265"/>
      <c r="M1750" s="265"/>
      <c r="N1750" s="265"/>
      <c r="O1750" s="265"/>
      <c r="P1750" s="265"/>
      <c r="Q1750" s="265"/>
      <c r="BR1750" s="265"/>
      <c r="BS1750" s="265"/>
      <c r="BT1750" s="265"/>
      <c r="BU1750" s="265"/>
      <c r="BV1750" s="265"/>
    </row>
    <row r="1751" spans="12:74">
      <c r="L1751" s="265"/>
      <c r="M1751" s="265"/>
      <c r="N1751" s="265"/>
      <c r="O1751" s="265"/>
      <c r="P1751" s="265"/>
      <c r="Q1751" s="265"/>
      <c r="BR1751" s="265"/>
      <c r="BS1751" s="265"/>
      <c r="BT1751" s="265"/>
      <c r="BU1751" s="265"/>
      <c r="BV1751" s="265"/>
    </row>
    <row r="1752" spans="12:74">
      <c r="L1752" s="265"/>
      <c r="M1752" s="265"/>
      <c r="N1752" s="265"/>
      <c r="O1752" s="265"/>
      <c r="P1752" s="265"/>
      <c r="Q1752" s="265"/>
      <c r="BR1752" s="265"/>
      <c r="BS1752" s="265"/>
      <c r="BT1752" s="265"/>
      <c r="BU1752" s="265"/>
      <c r="BV1752" s="265"/>
    </row>
    <row r="1753" spans="12:74">
      <c r="L1753" s="265"/>
      <c r="M1753" s="265"/>
      <c r="N1753" s="265"/>
      <c r="O1753" s="265"/>
      <c r="P1753" s="265"/>
      <c r="Q1753" s="265"/>
      <c r="BR1753" s="265"/>
      <c r="BS1753" s="265"/>
      <c r="BT1753" s="265"/>
      <c r="BU1753" s="265"/>
      <c r="BV1753" s="265"/>
    </row>
    <row r="1754" spans="12:74">
      <c r="L1754" s="265"/>
      <c r="M1754" s="265"/>
      <c r="N1754" s="265"/>
      <c r="O1754" s="265"/>
      <c r="P1754" s="265"/>
      <c r="Q1754" s="265"/>
      <c r="BR1754" s="265"/>
      <c r="BS1754" s="265"/>
      <c r="BT1754" s="265"/>
      <c r="BU1754" s="265"/>
      <c r="BV1754" s="265"/>
    </row>
    <row r="1755" spans="12:74">
      <c r="L1755" s="265"/>
      <c r="M1755" s="265"/>
      <c r="N1755" s="265"/>
      <c r="O1755" s="265"/>
      <c r="P1755" s="265"/>
      <c r="Q1755" s="265"/>
      <c r="BR1755" s="265"/>
      <c r="BS1755" s="265"/>
      <c r="BT1755" s="265"/>
      <c r="BU1755" s="265"/>
      <c r="BV1755" s="265"/>
    </row>
    <row r="1756" spans="12:74">
      <c r="L1756" s="265"/>
      <c r="M1756" s="265"/>
      <c r="N1756" s="265"/>
      <c r="O1756" s="265"/>
      <c r="P1756" s="265"/>
      <c r="Q1756" s="265"/>
      <c r="BR1756" s="265"/>
      <c r="BS1756" s="265"/>
      <c r="BT1756" s="265"/>
      <c r="BU1756" s="265"/>
      <c r="BV1756" s="265"/>
    </row>
    <row r="1757" spans="12:74">
      <c r="L1757" s="265"/>
      <c r="M1757" s="265"/>
      <c r="N1757" s="265"/>
      <c r="O1757" s="265"/>
      <c r="P1757" s="265"/>
      <c r="Q1757" s="265"/>
      <c r="BR1757" s="265"/>
      <c r="BS1757" s="265"/>
      <c r="BT1757" s="265"/>
      <c r="BU1757" s="265"/>
      <c r="BV1757" s="265"/>
    </row>
    <row r="1758" spans="12:74">
      <c r="L1758" s="265"/>
      <c r="M1758" s="265"/>
      <c r="N1758" s="265"/>
      <c r="O1758" s="265"/>
      <c r="P1758" s="265"/>
      <c r="Q1758" s="265"/>
      <c r="BR1758" s="265"/>
      <c r="BS1758" s="265"/>
      <c r="BT1758" s="265"/>
      <c r="BU1758" s="265"/>
      <c r="BV1758" s="265"/>
    </row>
    <row r="1759" spans="12:74">
      <c r="L1759" s="265"/>
      <c r="M1759" s="265"/>
      <c r="N1759" s="265"/>
      <c r="O1759" s="265"/>
      <c r="P1759" s="265"/>
      <c r="Q1759" s="265"/>
      <c r="BR1759" s="265"/>
      <c r="BS1759" s="265"/>
      <c r="BT1759" s="265"/>
      <c r="BU1759" s="265"/>
      <c r="BV1759" s="265"/>
    </row>
    <row r="1760" spans="12:74">
      <c r="L1760" s="265"/>
      <c r="M1760" s="265"/>
      <c r="N1760" s="265"/>
      <c r="O1760" s="265"/>
      <c r="P1760" s="265"/>
      <c r="Q1760" s="265"/>
      <c r="BR1760" s="265"/>
      <c r="BS1760" s="265"/>
      <c r="BT1760" s="265"/>
      <c r="BU1760" s="265"/>
      <c r="BV1760" s="265"/>
    </row>
    <row r="1761" spans="12:74">
      <c r="L1761" s="265"/>
      <c r="M1761" s="265"/>
      <c r="N1761" s="265"/>
      <c r="O1761" s="265"/>
      <c r="P1761" s="265"/>
      <c r="Q1761" s="265"/>
      <c r="BR1761" s="265"/>
      <c r="BS1761" s="265"/>
      <c r="BT1761" s="265"/>
      <c r="BU1761" s="265"/>
      <c r="BV1761" s="265"/>
    </row>
    <row r="1762" spans="12:74">
      <c r="L1762" s="265"/>
      <c r="M1762" s="265"/>
      <c r="N1762" s="265"/>
      <c r="O1762" s="265"/>
      <c r="P1762" s="265"/>
      <c r="Q1762" s="265"/>
      <c r="BR1762" s="265"/>
      <c r="BS1762" s="265"/>
      <c r="BT1762" s="265"/>
      <c r="BU1762" s="265"/>
      <c r="BV1762" s="265"/>
    </row>
    <row r="1763" spans="12:74">
      <c r="L1763" s="265"/>
      <c r="M1763" s="265"/>
      <c r="N1763" s="265"/>
      <c r="O1763" s="265"/>
      <c r="P1763" s="265"/>
      <c r="Q1763" s="265"/>
      <c r="BR1763" s="265"/>
      <c r="BS1763" s="265"/>
      <c r="BT1763" s="265"/>
      <c r="BU1763" s="265"/>
      <c r="BV1763" s="265"/>
    </row>
    <row r="1764" spans="12:74">
      <c r="L1764" s="265"/>
      <c r="M1764" s="265"/>
      <c r="N1764" s="265"/>
      <c r="O1764" s="265"/>
      <c r="P1764" s="265"/>
      <c r="Q1764" s="265"/>
      <c r="BR1764" s="265"/>
      <c r="BS1764" s="265"/>
      <c r="BT1764" s="265"/>
      <c r="BU1764" s="265"/>
      <c r="BV1764" s="265"/>
    </row>
    <row r="1765" spans="12:74">
      <c r="L1765" s="265"/>
      <c r="M1765" s="265"/>
      <c r="N1765" s="265"/>
      <c r="O1765" s="265"/>
      <c r="P1765" s="265"/>
      <c r="Q1765" s="265"/>
      <c r="BR1765" s="265"/>
      <c r="BS1765" s="265"/>
      <c r="BT1765" s="265"/>
      <c r="BU1765" s="265"/>
      <c r="BV1765" s="265"/>
    </row>
    <row r="1766" spans="12:74">
      <c r="L1766" s="265"/>
      <c r="M1766" s="265"/>
      <c r="N1766" s="265"/>
      <c r="O1766" s="265"/>
      <c r="P1766" s="265"/>
      <c r="Q1766" s="265"/>
      <c r="BR1766" s="265"/>
      <c r="BS1766" s="265"/>
      <c r="BT1766" s="265"/>
      <c r="BU1766" s="265"/>
      <c r="BV1766" s="265"/>
    </row>
    <row r="1767" spans="12:74">
      <c r="L1767" s="265"/>
      <c r="M1767" s="265"/>
      <c r="N1767" s="265"/>
      <c r="O1767" s="265"/>
      <c r="P1767" s="265"/>
      <c r="Q1767" s="265"/>
      <c r="BR1767" s="265"/>
      <c r="BS1767" s="265"/>
      <c r="BT1767" s="265"/>
      <c r="BU1767" s="265"/>
      <c r="BV1767" s="265"/>
    </row>
    <row r="1768" spans="12:74">
      <c r="L1768" s="265"/>
      <c r="M1768" s="265"/>
      <c r="N1768" s="265"/>
      <c r="O1768" s="265"/>
      <c r="P1768" s="265"/>
      <c r="Q1768" s="265"/>
      <c r="BR1768" s="265"/>
      <c r="BS1768" s="265"/>
      <c r="BT1768" s="265"/>
      <c r="BU1768" s="265"/>
      <c r="BV1768" s="265"/>
    </row>
    <row r="1769" spans="12:74">
      <c r="L1769" s="265"/>
      <c r="M1769" s="265"/>
      <c r="N1769" s="265"/>
      <c r="O1769" s="265"/>
      <c r="P1769" s="265"/>
      <c r="Q1769" s="265"/>
      <c r="BR1769" s="265"/>
      <c r="BS1769" s="265"/>
      <c r="BT1769" s="265"/>
      <c r="BU1769" s="265"/>
      <c r="BV1769" s="265"/>
    </row>
    <row r="1770" spans="12:74">
      <c r="L1770" s="265"/>
      <c r="M1770" s="265"/>
      <c r="N1770" s="265"/>
      <c r="O1770" s="265"/>
      <c r="P1770" s="265"/>
      <c r="Q1770" s="265"/>
      <c r="BR1770" s="265"/>
      <c r="BS1770" s="265"/>
      <c r="BT1770" s="265"/>
      <c r="BU1770" s="265"/>
      <c r="BV1770" s="265"/>
    </row>
    <row r="1771" spans="12:74">
      <c r="L1771" s="265"/>
      <c r="M1771" s="265"/>
      <c r="N1771" s="265"/>
      <c r="O1771" s="265"/>
      <c r="P1771" s="265"/>
      <c r="Q1771" s="265"/>
      <c r="BR1771" s="265"/>
      <c r="BS1771" s="265"/>
      <c r="BT1771" s="265"/>
      <c r="BU1771" s="265"/>
      <c r="BV1771" s="265"/>
    </row>
    <row r="1772" spans="12:74">
      <c r="L1772" s="265"/>
      <c r="M1772" s="265"/>
      <c r="N1772" s="265"/>
      <c r="O1772" s="265"/>
      <c r="P1772" s="265"/>
      <c r="Q1772" s="265"/>
      <c r="BR1772" s="265"/>
      <c r="BS1772" s="265"/>
      <c r="BT1772" s="265"/>
      <c r="BU1772" s="265"/>
      <c r="BV1772" s="265"/>
    </row>
    <row r="1773" spans="12:74">
      <c r="L1773" s="265"/>
      <c r="M1773" s="265"/>
      <c r="N1773" s="265"/>
      <c r="O1773" s="265"/>
      <c r="P1773" s="265"/>
      <c r="Q1773" s="265"/>
      <c r="BR1773" s="265"/>
      <c r="BS1773" s="265"/>
      <c r="BT1773" s="265"/>
      <c r="BU1773" s="265"/>
      <c r="BV1773" s="265"/>
    </row>
    <row r="1774" spans="12:74">
      <c r="L1774" s="265"/>
      <c r="M1774" s="265"/>
      <c r="N1774" s="265"/>
      <c r="O1774" s="265"/>
      <c r="P1774" s="265"/>
      <c r="Q1774" s="265"/>
      <c r="BR1774" s="265"/>
      <c r="BS1774" s="265"/>
      <c r="BT1774" s="265"/>
      <c r="BU1774" s="265"/>
      <c r="BV1774" s="265"/>
    </row>
    <row r="1775" spans="12:74">
      <c r="L1775" s="265"/>
      <c r="M1775" s="265"/>
      <c r="N1775" s="265"/>
      <c r="O1775" s="265"/>
      <c r="P1775" s="265"/>
      <c r="Q1775" s="265"/>
      <c r="BR1775" s="265"/>
      <c r="BS1775" s="265"/>
      <c r="BT1775" s="265"/>
      <c r="BU1775" s="265"/>
      <c r="BV1775" s="265"/>
    </row>
    <row r="1776" spans="12:74">
      <c r="L1776" s="265"/>
      <c r="M1776" s="265"/>
      <c r="N1776" s="265"/>
      <c r="O1776" s="265"/>
      <c r="P1776" s="265"/>
      <c r="Q1776" s="265"/>
      <c r="BR1776" s="265"/>
      <c r="BS1776" s="265"/>
      <c r="BT1776" s="265"/>
      <c r="BU1776" s="265"/>
      <c r="BV1776" s="265"/>
    </row>
    <row r="1777" spans="12:74">
      <c r="L1777" s="265"/>
      <c r="M1777" s="265"/>
      <c r="N1777" s="265"/>
      <c r="O1777" s="265"/>
      <c r="P1777" s="265"/>
      <c r="Q1777" s="265"/>
      <c r="BR1777" s="265"/>
      <c r="BS1777" s="265"/>
      <c r="BT1777" s="265"/>
      <c r="BU1777" s="265"/>
      <c r="BV1777" s="265"/>
    </row>
    <row r="1778" spans="12:74">
      <c r="L1778" s="265"/>
      <c r="M1778" s="265"/>
      <c r="N1778" s="265"/>
      <c r="O1778" s="265"/>
      <c r="P1778" s="265"/>
      <c r="Q1778" s="265"/>
      <c r="BR1778" s="265"/>
      <c r="BS1778" s="265"/>
      <c r="BT1778" s="265"/>
      <c r="BU1778" s="265"/>
      <c r="BV1778" s="265"/>
    </row>
    <row r="1779" spans="12:74">
      <c r="L1779" s="265"/>
      <c r="M1779" s="265"/>
      <c r="N1779" s="265"/>
      <c r="O1779" s="265"/>
      <c r="P1779" s="265"/>
      <c r="Q1779" s="265"/>
      <c r="BR1779" s="265"/>
      <c r="BS1779" s="265"/>
      <c r="BT1779" s="265"/>
      <c r="BU1779" s="265"/>
      <c r="BV1779" s="265"/>
    </row>
    <row r="1780" spans="12:74">
      <c r="L1780" s="265"/>
      <c r="M1780" s="265"/>
      <c r="N1780" s="265"/>
      <c r="O1780" s="265"/>
      <c r="P1780" s="265"/>
      <c r="Q1780" s="265"/>
      <c r="BR1780" s="265"/>
      <c r="BS1780" s="265"/>
      <c r="BT1780" s="265"/>
      <c r="BU1780" s="265"/>
      <c r="BV1780" s="265"/>
    </row>
    <row r="1781" spans="12:74">
      <c r="L1781" s="265"/>
      <c r="M1781" s="265"/>
      <c r="N1781" s="265"/>
      <c r="O1781" s="265"/>
      <c r="P1781" s="265"/>
      <c r="Q1781" s="265"/>
      <c r="BR1781" s="265"/>
      <c r="BS1781" s="265"/>
      <c r="BT1781" s="265"/>
      <c r="BU1781" s="265"/>
      <c r="BV1781" s="265"/>
    </row>
    <row r="1782" spans="12:74">
      <c r="L1782" s="265"/>
      <c r="M1782" s="265"/>
      <c r="N1782" s="265"/>
      <c r="O1782" s="265"/>
      <c r="P1782" s="265"/>
      <c r="Q1782" s="265"/>
      <c r="BR1782" s="265"/>
      <c r="BS1782" s="265"/>
      <c r="BT1782" s="265"/>
      <c r="BU1782" s="265"/>
      <c r="BV1782" s="265"/>
    </row>
    <row r="1783" spans="12:74">
      <c r="L1783" s="265"/>
      <c r="M1783" s="265"/>
      <c r="N1783" s="265"/>
      <c r="O1783" s="265"/>
      <c r="P1783" s="265"/>
      <c r="Q1783" s="265"/>
      <c r="BR1783" s="265"/>
      <c r="BS1783" s="265"/>
      <c r="BT1783" s="265"/>
      <c r="BU1783" s="265"/>
      <c r="BV1783" s="265"/>
    </row>
    <row r="1784" spans="12:74">
      <c r="L1784" s="265"/>
      <c r="M1784" s="265"/>
      <c r="N1784" s="265"/>
      <c r="O1784" s="265"/>
      <c r="P1784" s="265"/>
      <c r="Q1784" s="265"/>
      <c r="BR1784" s="265"/>
      <c r="BS1784" s="265"/>
      <c r="BT1784" s="265"/>
      <c r="BU1784" s="265"/>
      <c r="BV1784" s="265"/>
    </row>
    <row r="1785" spans="12:74">
      <c r="L1785" s="265"/>
      <c r="M1785" s="265"/>
      <c r="N1785" s="265"/>
      <c r="O1785" s="265"/>
      <c r="P1785" s="265"/>
      <c r="Q1785" s="265"/>
      <c r="BR1785" s="265"/>
      <c r="BS1785" s="265"/>
      <c r="BT1785" s="265"/>
      <c r="BU1785" s="265"/>
      <c r="BV1785" s="265"/>
    </row>
    <row r="1786" spans="12:74">
      <c r="L1786" s="265"/>
      <c r="M1786" s="265"/>
      <c r="N1786" s="265"/>
      <c r="O1786" s="265"/>
      <c r="P1786" s="265"/>
      <c r="Q1786" s="265"/>
      <c r="BR1786" s="265"/>
      <c r="BS1786" s="265"/>
      <c r="BT1786" s="265"/>
      <c r="BU1786" s="265"/>
      <c r="BV1786" s="265"/>
    </row>
    <row r="1787" spans="12:74">
      <c r="L1787" s="265"/>
      <c r="M1787" s="265"/>
      <c r="N1787" s="265"/>
      <c r="O1787" s="265"/>
      <c r="P1787" s="265"/>
      <c r="Q1787" s="265"/>
      <c r="BR1787" s="265"/>
      <c r="BS1787" s="265"/>
      <c r="BT1787" s="265"/>
      <c r="BU1787" s="265"/>
      <c r="BV1787" s="265"/>
    </row>
    <row r="1788" spans="12:74">
      <c r="L1788" s="265"/>
      <c r="M1788" s="265"/>
      <c r="N1788" s="265"/>
      <c r="O1788" s="265"/>
      <c r="P1788" s="265"/>
      <c r="Q1788" s="265"/>
      <c r="BR1788" s="265"/>
      <c r="BS1788" s="265"/>
      <c r="BT1788" s="265"/>
      <c r="BU1788" s="265"/>
      <c r="BV1788" s="265"/>
    </row>
    <row r="1789" spans="12:74">
      <c r="L1789" s="265"/>
      <c r="M1789" s="265"/>
      <c r="N1789" s="265"/>
      <c r="O1789" s="265"/>
      <c r="P1789" s="265"/>
      <c r="Q1789" s="265"/>
      <c r="BR1789" s="265"/>
      <c r="BS1789" s="265"/>
      <c r="BT1789" s="265"/>
      <c r="BU1789" s="265"/>
      <c r="BV1789" s="265"/>
    </row>
    <row r="1790" spans="12:74">
      <c r="L1790" s="265"/>
      <c r="M1790" s="265"/>
      <c r="N1790" s="265"/>
      <c r="O1790" s="265"/>
      <c r="P1790" s="265"/>
      <c r="Q1790" s="265"/>
      <c r="BR1790" s="265"/>
      <c r="BS1790" s="265"/>
      <c r="BT1790" s="265"/>
      <c r="BU1790" s="265"/>
      <c r="BV1790" s="265"/>
    </row>
    <row r="1791" spans="12:74">
      <c r="L1791" s="265"/>
      <c r="M1791" s="265"/>
      <c r="N1791" s="265"/>
      <c r="O1791" s="265"/>
      <c r="P1791" s="265"/>
      <c r="Q1791" s="265"/>
      <c r="BR1791" s="265"/>
      <c r="BS1791" s="265"/>
      <c r="BT1791" s="265"/>
      <c r="BU1791" s="265"/>
      <c r="BV1791" s="265"/>
    </row>
    <row r="1792" spans="12:74">
      <c r="L1792" s="265"/>
      <c r="M1792" s="265"/>
      <c r="N1792" s="265"/>
      <c r="O1792" s="265"/>
      <c r="P1792" s="265"/>
      <c r="Q1792" s="265"/>
      <c r="BR1792" s="265"/>
      <c r="BS1792" s="265"/>
      <c r="BT1792" s="265"/>
      <c r="BU1792" s="265"/>
      <c r="BV1792" s="265"/>
    </row>
    <row r="1793" spans="12:74">
      <c r="L1793" s="265"/>
      <c r="M1793" s="265"/>
      <c r="N1793" s="265"/>
      <c r="O1793" s="265"/>
      <c r="P1793" s="265"/>
      <c r="Q1793" s="265"/>
      <c r="BR1793" s="265"/>
      <c r="BS1793" s="265"/>
      <c r="BT1793" s="265"/>
      <c r="BU1793" s="265"/>
      <c r="BV1793" s="265"/>
    </row>
    <row r="1794" spans="12:74">
      <c r="L1794" s="265"/>
      <c r="M1794" s="265"/>
      <c r="N1794" s="265"/>
      <c r="O1794" s="265"/>
      <c r="P1794" s="265"/>
      <c r="Q1794" s="265"/>
      <c r="BR1794" s="265"/>
      <c r="BS1794" s="265"/>
      <c r="BT1794" s="265"/>
      <c r="BU1794" s="265"/>
      <c r="BV1794" s="265"/>
    </row>
    <row r="1795" spans="12:74">
      <c r="L1795" s="265"/>
      <c r="M1795" s="265"/>
      <c r="N1795" s="265"/>
      <c r="O1795" s="265"/>
      <c r="P1795" s="265"/>
      <c r="Q1795" s="265"/>
      <c r="BR1795" s="265"/>
      <c r="BS1795" s="265"/>
      <c r="BT1795" s="265"/>
      <c r="BU1795" s="265"/>
      <c r="BV1795" s="265"/>
    </row>
    <row r="1796" spans="12:74">
      <c r="L1796" s="265"/>
      <c r="M1796" s="265"/>
      <c r="N1796" s="265"/>
      <c r="O1796" s="265"/>
      <c r="P1796" s="265"/>
      <c r="Q1796" s="265"/>
      <c r="BR1796" s="265"/>
      <c r="BS1796" s="265"/>
      <c r="BT1796" s="265"/>
      <c r="BU1796" s="265"/>
      <c r="BV1796" s="265"/>
    </row>
    <row r="1797" spans="12:74">
      <c r="L1797" s="265"/>
      <c r="M1797" s="265"/>
      <c r="N1797" s="265"/>
      <c r="O1797" s="265"/>
      <c r="P1797" s="265"/>
      <c r="Q1797" s="265"/>
      <c r="BR1797" s="265"/>
      <c r="BS1797" s="265"/>
      <c r="BT1797" s="265"/>
      <c r="BU1797" s="265"/>
      <c r="BV1797" s="265"/>
    </row>
    <row r="1798" spans="12:74">
      <c r="L1798" s="265"/>
      <c r="M1798" s="265"/>
      <c r="N1798" s="265"/>
      <c r="O1798" s="265"/>
      <c r="P1798" s="265"/>
      <c r="Q1798" s="265"/>
      <c r="BR1798" s="265"/>
      <c r="BS1798" s="265"/>
      <c r="BT1798" s="265"/>
      <c r="BU1798" s="265"/>
      <c r="BV1798" s="265"/>
    </row>
    <row r="1799" spans="12:74">
      <c r="L1799" s="265"/>
      <c r="M1799" s="265"/>
      <c r="N1799" s="265"/>
      <c r="O1799" s="265"/>
      <c r="P1799" s="265"/>
      <c r="Q1799" s="265"/>
      <c r="BR1799" s="265"/>
      <c r="BS1799" s="265"/>
      <c r="BT1799" s="265"/>
      <c r="BU1799" s="265"/>
      <c r="BV1799" s="265"/>
    </row>
    <row r="1800" spans="12:74">
      <c r="L1800" s="265"/>
      <c r="M1800" s="265"/>
      <c r="N1800" s="265"/>
      <c r="O1800" s="265"/>
      <c r="P1800" s="265"/>
      <c r="Q1800" s="265"/>
      <c r="BR1800" s="265"/>
      <c r="BS1800" s="265"/>
      <c r="BT1800" s="265"/>
      <c r="BU1800" s="265"/>
      <c r="BV1800" s="265"/>
    </row>
    <row r="1801" spans="12:74">
      <c r="L1801" s="265"/>
      <c r="M1801" s="265"/>
      <c r="N1801" s="265"/>
      <c r="O1801" s="265"/>
      <c r="P1801" s="265"/>
      <c r="Q1801" s="265"/>
      <c r="BR1801" s="265"/>
      <c r="BS1801" s="265"/>
      <c r="BT1801" s="265"/>
      <c r="BU1801" s="265"/>
      <c r="BV1801" s="265"/>
    </row>
    <row r="1802" spans="12:74">
      <c r="L1802" s="265"/>
      <c r="M1802" s="265"/>
      <c r="N1802" s="265"/>
      <c r="O1802" s="265"/>
      <c r="P1802" s="265"/>
      <c r="Q1802" s="265"/>
      <c r="BR1802" s="265"/>
      <c r="BS1802" s="265"/>
      <c r="BT1802" s="265"/>
      <c r="BU1802" s="265"/>
      <c r="BV1802" s="265"/>
    </row>
    <row r="1803" spans="12:74">
      <c r="L1803" s="265"/>
      <c r="M1803" s="265"/>
      <c r="N1803" s="265"/>
      <c r="O1803" s="265"/>
      <c r="P1803" s="265"/>
      <c r="Q1803" s="265"/>
      <c r="BR1803" s="265"/>
      <c r="BS1803" s="265"/>
      <c r="BT1803" s="265"/>
      <c r="BU1803" s="265"/>
      <c r="BV1803" s="265"/>
    </row>
    <row r="1804" spans="12:74">
      <c r="L1804" s="265"/>
      <c r="M1804" s="265"/>
      <c r="N1804" s="265"/>
      <c r="O1804" s="265"/>
      <c r="P1804" s="265"/>
      <c r="Q1804" s="265"/>
      <c r="BR1804" s="265"/>
      <c r="BS1804" s="265"/>
      <c r="BT1804" s="265"/>
      <c r="BU1804" s="265"/>
      <c r="BV1804" s="265"/>
    </row>
    <row r="1805" spans="12:74">
      <c r="L1805" s="265"/>
      <c r="M1805" s="265"/>
      <c r="N1805" s="265"/>
      <c r="O1805" s="265"/>
      <c r="P1805" s="265"/>
      <c r="Q1805" s="265"/>
      <c r="BR1805" s="265"/>
      <c r="BS1805" s="265"/>
      <c r="BT1805" s="265"/>
      <c r="BU1805" s="265"/>
      <c r="BV1805" s="265"/>
    </row>
    <row r="1806" spans="12:74">
      <c r="L1806" s="265"/>
      <c r="M1806" s="265"/>
      <c r="N1806" s="265"/>
      <c r="O1806" s="265"/>
      <c r="P1806" s="265"/>
      <c r="Q1806" s="265"/>
      <c r="BR1806" s="265"/>
      <c r="BS1806" s="265"/>
      <c r="BT1806" s="265"/>
      <c r="BU1806" s="265"/>
      <c r="BV1806" s="265"/>
    </row>
    <row r="1807" spans="12:74">
      <c r="L1807" s="265"/>
      <c r="M1807" s="265"/>
      <c r="N1807" s="265"/>
      <c r="O1807" s="265"/>
      <c r="P1807" s="265"/>
      <c r="Q1807" s="265"/>
      <c r="BR1807" s="265"/>
      <c r="BS1807" s="265"/>
      <c r="BT1807" s="265"/>
      <c r="BU1807" s="265"/>
      <c r="BV1807" s="265"/>
    </row>
    <row r="1808" spans="12:74">
      <c r="L1808" s="265"/>
      <c r="M1808" s="265"/>
      <c r="N1808" s="265"/>
      <c r="O1808" s="265"/>
      <c r="P1808" s="265"/>
      <c r="Q1808" s="265"/>
      <c r="BR1808" s="265"/>
      <c r="BS1808" s="265"/>
      <c r="BT1808" s="265"/>
      <c r="BU1808" s="265"/>
      <c r="BV1808" s="265"/>
    </row>
    <row r="1809" spans="12:74">
      <c r="L1809" s="265"/>
      <c r="M1809" s="265"/>
      <c r="N1809" s="265"/>
      <c r="O1809" s="265"/>
      <c r="P1809" s="265"/>
      <c r="Q1809" s="265"/>
      <c r="BR1809" s="265"/>
      <c r="BS1809" s="265"/>
      <c r="BT1809" s="265"/>
      <c r="BU1809" s="265"/>
      <c r="BV1809" s="265"/>
    </row>
    <row r="1810" spans="12:74">
      <c r="L1810" s="265"/>
      <c r="M1810" s="265"/>
      <c r="N1810" s="265"/>
      <c r="O1810" s="265"/>
      <c r="P1810" s="265"/>
      <c r="Q1810" s="265"/>
      <c r="BR1810" s="265"/>
      <c r="BS1810" s="265"/>
      <c r="BT1810" s="265"/>
      <c r="BU1810" s="265"/>
      <c r="BV1810" s="265"/>
    </row>
    <row r="1811" spans="12:74">
      <c r="L1811" s="265"/>
      <c r="M1811" s="265"/>
      <c r="N1811" s="265"/>
      <c r="O1811" s="265"/>
      <c r="P1811" s="265"/>
      <c r="Q1811" s="265"/>
      <c r="BR1811" s="265"/>
      <c r="BS1811" s="265"/>
      <c r="BT1811" s="265"/>
      <c r="BU1811" s="265"/>
      <c r="BV1811" s="265"/>
    </row>
    <row r="1812" spans="12:74">
      <c r="L1812" s="265"/>
      <c r="M1812" s="265"/>
      <c r="N1812" s="265"/>
      <c r="O1812" s="265"/>
      <c r="P1812" s="265"/>
      <c r="Q1812" s="265"/>
      <c r="BR1812" s="265"/>
      <c r="BS1812" s="265"/>
      <c r="BT1812" s="265"/>
      <c r="BU1812" s="265"/>
      <c r="BV1812" s="265"/>
    </row>
    <row r="1813" spans="12:74">
      <c r="L1813" s="265"/>
      <c r="M1813" s="265"/>
      <c r="N1813" s="265"/>
      <c r="O1813" s="265"/>
      <c r="P1813" s="265"/>
      <c r="Q1813" s="265"/>
      <c r="BR1813" s="265"/>
      <c r="BS1813" s="265"/>
      <c r="BT1813" s="265"/>
      <c r="BU1813" s="265"/>
      <c r="BV1813" s="265"/>
    </row>
    <row r="1814" spans="12:74">
      <c r="L1814" s="265"/>
      <c r="M1814" s="265"/>
      <c r="N1814" s="265"/>
      <c r="O1814" s="265"/>
      <c r="P1814" s="265"/>
      <c r="Q1814" s="265"/>
      <c r="BR1814" s="265"/>
      <c r="BS1814" s="265"/>
      <c r="BT1814" s="265"/>
      <c r="BU1814" s="265"/>
      <c r="BV1814" s="265"/>
    </row>
    <row r="1815" spans="12:74">
      <c r="L1815" s="265"/>
      <c r="M1815" s="265"/>
      <c r="N1815" s="265"/>
      <c r="O1815" s="265"/>
      <c r="P1815" s="265"/>
      <c r="Q1815" s="265"/>
      <c r="BR1815" s="265"/>
      <c r="BS1815" s="265"/>
      <c r="BT1815" s="265"/>
      <c r="BU1815" s="265"/>
      <c r="BV1815" s="265"/>
    </row>
    <row r="1816" spans="12:74">
      <c r="L1816" s="265"/>
      <c r="M1816" s="265"/>
      <c r="N1816" s="265"/>
      <c r="O1816" s="265"/>
      <c r="P1816" s="265"/>
      <c r="Q1816" s="265"/>
      <c r="BR1816" s="265"/>
      <c r="BS1816" s="265"/>
      <c r="BT1816" s="265"/>
      <c r="BU1816" s="265"/>
      <c r="BV1816" s="265"/>
    </row>
    <row r="1817" spans="12:74">
      <c r="L1817" s="265"/>
      <c r="M1817" s="265"/>
      <c r="N1817" s="265"/>
      <c r="O1817" s="265"/>
      <c r="P1817" s="265"/>
      <c r="Q1817" s="265"/>
      <c r="BR1817" s="265"/>
      <c r="BS1817" s="265"/>
      <c r="BT1817" s="265"/>
      <c r="BU1817" s="265"/>
      <c r="BV1817" s="265"/>
    </row>
    <row r="1818" spans="12:74">
      <c r="L1818" s="265"/>
      <c r="M1818" s="265"/>
      <c r="N1818" s="265"/>
      <c r="O1818" s="265"/>
      <c r="P1818" s="265"/>
      <c r="Q1818" s="265"/>
      <c r="BR1818" s="265"/>
      <c r="BS1818" s="265"/>
      <c r="BT1818" s="265"/>
      <c r="BU1818" s="265"/>
      <c r="BV1818" s="265"/>
    </row>
    <row r="1819" spans="12:74">
      <c r="L1819" s="265"/>
      <c r="M1819" s="265"/>
      <c r="N1819" s="265"/>
      <c r="O1819" s="265"/>
      <c r="P1819" s="265"/>
      <c r="Q1819" s="265"/>
      <c r="BR1819" s="265"/>
      <c r="BS1819" s="265"/>
      <c r="BT1819" s="265"/>
      <c r="BU1819" s="265"/>
      <c r="BV1819" s="265"/>
    </row>
    <row r="1820" spans="12:74">
      <c r="L1820" s="265"/>
      <c r="M1820" s="265"/>
      <c r="N1820" s="265"/>
      <c r="O1820" s="265"/>
      <c r="P1820" s="265"/>
      <c r="Q1820" s="265"/>
      <c r="BR1820" s="265"/>
      <c r="BS1820" s="265"/>
      <c r="BT1820" s="265"/>
      <c r="BU1820" s="265"/>
      <c r="BV1820" s="265"/>
    </row>
    <row r="1821" spans="12:74">
      <c r="L1821" s="265"/>
      <c r="M1821" s="265"/>
      <c r="N1821" s="265"/>
      <c r="O1821" s="265"/>
      <c r="P1821" s="265"/>
      <c r="Q1821" s="265"/>
      <c r="BR1821" s="265"/>
      <c r="BS1821" s="265"/>
      <c r="BT1821" s="265"/>
      <c r="BU1821" s="265"/>
      <c r="BV1821" s="265"/>
    </row>
    <row r="1822" spans="12:74">
      <c r="L1822" s="265"/>
      <c r="M1822" s="265"/>
      <c r="N1822" s="265"/>
      <c r="O1822" s="265"/>
      <c r="P1822" s="265"/>
      <c r="Q1822" s="265"/>
      <c r="BR1822" s="265"/>
      <c r="BS1822" s="265"/>
      <c r="BT1822" s="265"/>
      <c r="BU1822" s="265"/>
      <c r="BV1822" s="265"/>
    </row>
    <row r="1823" spans="12:74">
      <c r="L1823" s="265"/>
      <c r="M1823" s="265"/>
      <c r="N1823" s="265"/>
      <c r="O1823" s="265"/>
      <c r="P1823" s="265"/>
      <c r="Q1823" s="265"/>
      <c r="BR1823" s="265"/>
      <c r="BS1823" s="265"/>
      <c r="BT1823" s="265"/>
      <c r="BU1823" s="265"/>
      <c r="BV1823" s="265"/>
    </row>
    <row r="1824" spans="12:74">
      <c r="L1824" s="265"/>
      <c r="M1824" s="265"/>
      <c r="N1824" s="265"/>
      <c r="O1824" s="265"/>
      <c r="P1824" s="265"/>
      <c r="Q1824" s="265"/>
      <c r="BR1824" s="265"/>
      <c r="BS1824" s="265"/>
      <c r="BT1824" s="265"/>
      <c r="BU1824" s="265"/>
      <c r="BV1824" s="265"/>
    </row>
    <row r="1825" spans="12:74">
      <c r="L1825" s="265"/>
      <c r="M1825" s="265"/>
      <c r="N1825" s="265"/>
      <c r="O1825" s="265"/>
      <c r="P1825" s="265"/>
      <c r="Q1825" s="265"/>
      <c r="BR1825" s="265"/>
      <c r="BS1825" s="265"/>
      <c r="BT1825" s="265"/>
      <c r="BU1825" s="265"/>
      <c r="BV1825" s="265"/>
    </row>
    <row r="1826" spans="12:74">
      <c r="L1826" s="265"/>
      <c r="M1826" s="265"/>
      <c r="N1826" s="265"/>
      <c r="O1826" s="265"/>
      <c r="P1826" s="265"/>
      <c r="Q1826" s="265"/>
      <c r="BR1826" s="265"/>
      <c r="BS1826" s="265"/>
      <c r="BT1826" s="265"/>
      <c r="BU1826" s="265"/>
      <c r="BV1826" s="265"/>
    </row>
    <row r="1827" spans="12:74">
      <c r="L1827" s="265"/>
      <c r="M1827" s="265"/>
      <c r="N1827" s="265"/>
      <c r="O1827" s="265"/>
      <c r="P1827" s="265"/>
      <c r="Q1827" s="265"/>
      <c r="BR1827" s="265"/>
      <c r="BS1827" s="265"/>
      <c r="BT1827" s="265"/>
      <c r="BU1827" s="265"/>
      <c r="BV1827" s="265"/>
    </row>
    <row r="1828" spans="12:74">
      <c r="L1828" s="265"/>
      <c r="M1828" s="265"/>
      <c r="N1828" s="265"/>
      <c r="O1828" s="265"/>
      <c r="P1828" s="265"/>
      <c r="Q1828" s="265"/>
      <c r="BR1828" s="265"/>
      <c r="BS1828" s="265"/>
      <c r="BT1828" s="265"/>
      <c r="BU1828" s="265"/>
      <c r="BV1828" s="265"/>
    </row>
    <row r="1829" spans="12:74">
      <c r="L1829" s="265"/>
      <c r="M1829" s="265"/>
      <c r="N1829" s="265"/>
      <c r="O1829" s="265"/>
      <c r="P1829" s="265"/>
      <c r="Q1829" s="265"/>
      <c r="BR1829" s="265"/>
      <c r="BS1829" s="265"/>
      <c r="BT1829" s="265"/>
      <c r="BU1829" s="265"/>
      <c r="BV1829" s="265"/>
    </row>
    <row r="1830" spans="12:74">
      <c r="L1830" s="265"/>
      <c r="M1830" s="265"/>
      <c r="N1830" s="265"/>
      <c r="O1830" s="265"/>
      <c r="P1830" s="265"/>
      <c r="Q1830" s="265"/>
      <c r="BR1830" s="265"/>
      <c r="BS1830" s="265"/>
      <c r="BT1830" s="265"/>
      <c r="BU1830" s="265"/>
      <c r="BV1830" s="265"/>
    </row>
    <row r="1831" spans="12:74">
      <c r="L1831" s="265"/>
      <c r="M1831" s="265"/>
      <c r="N1831" s="265"/>
      <c r="O1831" s="265"/>
      <c r="P1831" s="265"/>
      <c r="Q1831" s="265"/>
      <c r="BR1831" s="265"/>
      <c r="BS1831" s="265"/>
      <c r="BT1831" s="265"/>
      <c r="BU1831" s="265"/>
      <c r="BV1831" s="265"/>
    </row>
    <row r="1832" spans="12:74">
      <c r="L1832" s="265"/>
      <c r="M1832" s="265"/>
      <c r="N1832" s="265"/>
      <c r="O1832" s="265"/>
      <c r="P1832" s="265"/>
      <c r="Q1832" s="265"/>
      <c r="BR1832" s="265"/>
      <c r="BS1832" s="265"/>
      <c r="BT1832" s="265"/>
      <c r="BU1832" s="265"/>
      <c r="BV1832" s="265"/>
    </row>
    <row r="1833" spans="12:74">
      <c r="L1833" s="265"/>
      <c r="M1833" s="265"/>
      <c r="N1833" s="265"/>
      <c r="O1833" s="265"/>
      <c r="P1833" s="265"/>
      <c r="Q1833" s="265"/>
      <c r="BR1833" s="265"/>
      <c r="BS1833" s="265"/>
      <c r="BT1833" s="265"/>
      <c r="BU1833" s="265"/>
      <c r="BV1833" s="265"/>
    </row>
    <row r="1834" spans="12:74">
      <c r="L1834" s="265"/>
      <c r="M1834" s="265"/>
      <c r="N1834" s="265"/>
      <c r="O1834" s="265"/>
      <c r="P1834" s="265"/>
      <c r="Q1834" s="265"/>
      <c r="BR1834" s="265"/>
      <c r="BS1834" s="265"/>
      <c r="BT1834" s="265"/>
      <c r="BU1834" s="265"/>
      <c r="BV1834" s="265"/>
    </row>
    <row r="1835" spans="12:74">
      <c r="L1835" s="265"/>
      <c r="M1835" s="265"/>
      <c r="N1835" s="265"/>
      <c r="O1835" s="265"/>
      <c r="P1835" s="265"/>
      <c r="Q1835" s="265"/>
      <c r="BR1835" s="265"/>
      <c r="BS1835" s="265"/>
      <c r="BT1835" s="265"/>
      <c r="BU1835" s="265"/>
      <c r="BV1835" s="265"/>
    </row>
    <row r="1836" spans="12:74">
      <c r="L1836" s="265"/>
      <c r="M1836" s="265"/>
      <c r="N1836" s="265"/>
      <c r="O1836" s="265"/>
      <c r="P1836" s="265"/>
      <c r="Q1836" s="265"/>
      <c r="BR1836" s="265"/>
      <c r="BS1836" s="265"/>
      <c r="BT1836" s="265"/>
      <c r="BU1836" s="265"/>
      <c r="BV1836" s="265"/>
    </row>
    <row r="1837" spans="12:74">
      <c r="L1837" s="265"/>
      <c r="M1837" s="265"/>
      <c r="N1837" s="265"/>
      <c r="O1837" s="265"/>
      <c r="P1837" s="265"/>
      <c r="Q1837" s="265"/>
      <c r="BR1837" s="265"/>
      <c r="BS1837" s="265"/>
      <c r="BT1837" s="265"/>
      <c r="BU1837" s="265"/>
      <c r="BV1837" s="265"/>
    </row>
    <row r="1838" spans="12:74">
      <c r="L1838" s="265"/>
      <c r="M1838" s="265"/>
      <c r="N1838" s="265"/>
      <c r="O1838" s="265"/>
      <c r="P1838" s="265"/>
      <c r="Q1838" s="265"/>
      <c r="BR1838" s="265"/>
      <c r="BS1838" s="265"/>
      <c r="BT1838" s="265"/>
      <c r="BU1838" s="265"/>
      <c r="BV1838" s="265"/>
    </row>
    <row r="1839" spans="12:74">
      <c r="L1839" s="265"/>
      <c r="M1839" s="265"/>
      <c r="N1839" s="265"/>
      <c r="O1839" s="265"/>
      <c r="P1839" s="265"/>
      <c r="Q1839" s="265"/>
      <c r="BR1839" s="265"/>
      <c r="BS1839" s="265"/>
      <c r="BT1839" s="265"/>
      <c r="BU1839" s="265"/>
      <c r="BV1839" s="265"/>
    </row>
    <row r="1840" spans="12:74">
      <c r="L1840" s="265"/>
      <c r="M1840" s="265"/>
      <c r="N1840" s="265"/>
      <c r="O1840" s="265"/>
      <c r="P1840" s="265"/>
      <c r="Q1840" s="265"/>
      <c r="BR1840" s="265"/>
      <c r="BS1840" s="265"/>
      <c r="BT1840" s="265"/>
      <c r="BU1840" s="265"/>
      <c r="BV1840" s="265"/>
    </row>
    <row r="1841" spans="12:74">
      <c r="L1841" s="265"/>
      <c r="M1841" s="265"/>
      <c r="N1841" s="265"/>
      <c r="O1841" s="265"/>
      <c r="P1841" s="265"/>
      <c r="Q1841" s="265"/>
      <c r="BR1841" s="265"/>
      <c r="BS1841" s="265"/>
      <c r="BT1841" s="265"/>
      <c r="BU1841" s="265"/>
      <c r="BV1841" s="265"/>
    </row>
    <row r="1842" spans="12:74">
      <c r="L1842" s="265"/>
      <c r="M1842" s="265"/>
      <c r="N1842" s="265"/>
      <c r="O1842" s="265"/>
      <c r="P1842" s="265"/>
      <c r="Q1842" s="265"/>
      <c r="BR1842" s="265"/>
      <c r="BS1842" s="265"/>
      <c r="BT1842" s="265"/>
      <c r="BU1842" s="265"/>
      <c r="BV1842" s="265"/>
    </row>
    <row r="1843" spans="12:74">
      <c r="L1843" s="265"/>
      <c r="M1843" s="265"/>
      <c r="N1843" s="265"/>
      <c r="O1843" s="265"/>
      <c r="P1843" s="265"/>
      <c r="Q1843" s="265"/>
      <c r="BR1843" s="265"/>
      <c r="BS1843" s="265"/>
      <c r="BT1843" s="265"/>
      <c r="BU1843" s="265"/>
      <c r="BV1843" s="265"/>
    </row>
    <row r="1844" spans="12:74">
      <c r="L1844" s="265"/>
      <c r="M1844" s="265"/>
      <c r="N1844" s="265"/>
      <c r="O1844" s="265"/>
      <c r="P1844" s="265"/>
      <c r="Q1844" s="265"/>
      <c r="BR1844" s="265"/>
      <c r="BS1844" s="265"/>
      <c r="BT1844" s="265"/>
      <c r="BU1844" s="265"/>
      <c r="BV1844" s="265"/>
    </row>
    <row r="1845" spans="12:74">
      <c r="L1845" s="265"/>
      <c r="M1845" s="265"/>
      <c r="N1845" s="265"/>
      <c r="O1845" s="265"/>
      <c r="P1845" s="265"/>
      <c r="Q1845" s="265"/>
      <c r="BR1845" s="265"/>
      <c r="BS1845" s="265"/>
      <c r="BT1845" s="265"/>
      <c r="BU1845" s="265"/>
      <c r="BV1845" s="265"/>
    </row>
    <row r="1846" spans="12:74">
      <c r="L1846" s="265"/>
      <c r="M1846" s="265"/>
      <c r="N1846" s="265"/>
      <c r="O1846" s="265"/>
      <c r="P1846" s="265"/>
      <c r="Q1846" s="265"/>
      <c r="BR1846" s="265"/>
      <c r="BS1846" s="265"/>
      <c r="BT1846" s="265"/>
      <c r="BU1846" s="265"/>
      <c r="BV1846" s="265"/>
    </row>
    <row r="1847" spans="12:74">
      <c r="L1847" s="265"/>
      <c r="M1847" s="265"/>
      <c r="N1847" s="265"/>
      <c r="O1847" s="265"/>
      <c r="P1847" s="265"/>
      <c r="Q1847" s="265"/>
      <c r="BR1847" s="265"/>
      <c r="BS1847" s="265"/>
      <c r="BT1847" s="265"/>
      <c r="BU1847" s="265"/>
      <c r="BV1847" s="265"/>
    </row>
    <row r="1848" spans="12:74">
      <c r="L1848" s="265"/>
      <c r="M1848" s="265"/>
      <c r="N1848" s="265"/>
      <c r="O1848" s="265"/>
      <c r="P1848" s="265"/>
      <c r="Q1848" s="265"/>
      <c r="BR1848" s="265"/>
      <c r="BS1848" s="265"/>
      <c r="BT1848" s="265"/>
      <c r="BU1848" s="265"/>
      <c r="BV1848" s="265"/>
    </row>
    <row r="1849" spans="12:74">
      <c r="L1849" s="265"/>
      <c r="M1849" s="265"/>
      <c r="N1849" s="265"/>
      <c r="O1849" s="265"/>
      <c r="P1849" s="265"/>
      <c r="Q1849" s="265"/>
      <c r="BR1849" s="265"/>
      <c r="BS1849" s="265"/>
      <c r="BT1849" s="265"/>
      <c r="BU1849" s="265"/>
      <c r="BV1849" s="265"/>
    </row>
    <row r="1850" spans="12:74">
      <c r="L1850" s="265"/>
      <c r="M1850" s="265"/>
      <c r="N1850" s="265"/>
      <c r="O1850" s="265"/>
      <c r="P1850" s="265"/>
      <c r="Q1850" s="265"/>
      <c r="BR1850" s="265"/>
      <c r="BS1850" s="265"/>
      <c r="BT1850" s="265"/>
      <c r="BU1850" s="265"/>
      <c r="BV1850" s="265"/>
    </row>
    <row r="1851" spans="12:74">
      <c r="L1851" s="265"/>
      <c r="M1851" s="265"/>
      <c r="N1851" s="265"/>
      <c r="O1851" s="265"/>
      <c r="P1851" s="265"/>
      <c r="Q1851" s="265"/>
      <c r="BR1851" s="265"/>
      <c r="BS1851" s="265"/>
      <c r="BT1851" s="265"/>
      <c r="BU1851" s="265"/>
      <c r="BV1851" s="265"/>
    </row>
    <row r="1852" spans="12:74">
      <c r="L1852" s="265"/>
      <c r="M1852" s="265"/>
      <c r="N1852" s="265"/>
      <c r="O1852" s="265"/>
      <c r="P1852" s="265"/>
      <c r="Q1852" s="265"/>
      <c r="BR1852" s="265"/>
      <c r="BS1852" s="265"/>
      <c r="BT1852" s="265"/>
      <c r="BU1852" s="265"/>
      <c r="BV1852" s="265"/>
    </row>
    <row r="1853" spans="12:74">
      <c r="L1853" s="265"/>
      <c r="M1853" s="265"/>
      <c r="N1853" s="265"/>
      <c r="O1853" s="265"/>
      <c r="P1853" s="265"/>
      <c r="Q1853" s="265"/>
      <c r="BR1853" s="265"/>
      <c r="BS1853" s="265"/>
      <c r="BT1853" s="265"/>
      <c r="BU1853" s="265"/>
      <c r="BV1853" s="265"/>
    </row>
    <row r="1854" spans="12:74">
      <c r="L1854" s="265"/>
      <c r="M1854" s="265"/>
      <c r="N1854" s="265"/>
      <c r="O1854" s="265"/>
      <c r="P1854" s="265"/>
      <c r="Q1854" s="265"/>
      <c r="BR1854" s="265"/>
      <c r="BS1854" s="265"/>
      <c r="BT1854" s="265"/>
      <c r="BU1854" s="265"/>
      <c r="BV1854" s="265"/>
    </row>
    <row r="1855" spans="12:74">
      <c r="L1855" s="265"/>
      <c r="M1855" s="265"/>
      <c r="N1855" s="265"/>
      <c r="O1855" s="265"/>
      <c r="P1855" s="265"/>
      <c r="Q1855" s="265"/>
      <c r="BR1855" s="265"/>
      <c r="BS1855" s="265"/>
      <c r="BT1855" s="265"/>
      <c r="BU1855" s="265"/>
      <c r="BV1855" s="265"/>
    </row>
    <row r="1856" spans="12:74">
      <c r="L1856" s="265"/>
      <c r="M1856" s="265"/>
      <c r="N1856" s="265"/>
      <c r="O1856" s="265"/>
      <c r="P1856" s="265"/>
      <c r="Q1856" s="265"/>
      <c r="BR1856" s="265"/>
      <c r="BS1856" s="265"/>
      <c r="BT1856" s="265"/>
      <c r="BU1856" s="265"/>
      <c r="BV1856" s="265"/>
    </row>
    <row r="1857" spans="12:74">
      <c r="L1857" s="265"/>
      <c r="M1857" s="265"/>
      <c r="N1857" s="265"/>
      <c r="O1857" s="265"/>
      <c r="P1857" s="265"/>
      <c r="Q1857" s="265"/>
      <c r="BR1857" s="265"/>
      <c r="BS1857" s="265"/>
      <c r="BT1857" s="265"/>
      <c r="BU1857" s="265"/>
      <c r="BV1857" s="265"/>
    </row>
    <row r="1858" spans="12:74">
      <c r="L1858" s="265"/>
      <c r="M1858" s="265"/>
      <c r="N1858" s="265"/>
      <c r="O1858" s="265"/>
      <c r="P1858" s="265"/>
      <c r="Q1858" s="265"/>
      <c r="BR1858" s="265"/>
      <c r="BS1858" s="265"/>
      <c r="BT1858" s="265"/>
      <c r="BU1858" s="265"/>
      <c r="BV1858" s="265"/>
    </row>
    <row r="1859" spans="12:74">
      <c r="L1859" s="265"/>
      <c r="M1859" s="265"/>
      <c r="N1859" s="265"/>
      <c r="O1859" s="265"/>
      <c r="P1859" s="265"/>
      <c r="Q1859" s="265"/>
      <c r="BR1859" s="265"/>
      <c r="BS1859" s="265"/>
      <c r="BT1859" s="265"/>
      <c r="BU1859" s="265"/>
      <c r="BV1859" s="265"/>
    </row>
    <row r="1860" spans="12:74">
      <c r="L1860" s="265"/>
      <c r="M1860" s="265"/>
      <c r="N1860" s="265"/>
      <c r="O1860" s="265"/>
      <c r="P1860" s="265"/>
      <c r="Q1860" s="265"/>
      <c r="BR1860" s="265"/>
      <c r="BS1860" s="265"/>
      <c r="BT1860" s="265"/>
      <c r="BU1860" s="265"/>
      <c r="BV1860" s="265"/>
    </row>
    <row r="1861" spans="12:74">
      <c r="L1861" s="265"/>
      <c r="M1861" s="265"/>
      <c r="N1861" s="265"/>
      <c r="O1861" s="265"/>
      <c r="P1861" s="265"/>
      <c r="Q1861" s="265"/>
      <c r="BR1861" s="265"/>
      <c r="BS1861" s="265"/>
      <c r="BT1861" s="265"/>
      <c r="BU1861" s="265"/>
      <c r="BV1861" s="265"/>
    </row>
    <row r="1862" spans="12:74">
      <c r="L1862" s="265"/>
      <c r="M1862" s="265"/>
      <c r="N1862" s="265"/>
      <c r="O1862" s="265"/>
      <c r="P1862" s="265"/>
      <c r="Q1862" s="265"/>
      <c r="BR1862" s="265"/>
      <c r="BS1862" s="265"/>
      <c r="BT1862" s="265"/>
      <c r="BU1862" s="265"/>
      <c r="BV1862" s="265"/>
    </row>
    <row r="1863" spans="12:74">
      <c r="L1863" s="265"/>
      <c r="M1863" s="265"/>
      <c r="N1863" s="265"/>
      <c r="O1863" s="265"/>
      <c r="P1863" s="265"/>
      <c r="Q1863" s="265"/>
      <c r="BR1863" s="265"/>
      <c r="BS1863" s="265"/>
      <c r="BT1863" s="265"/>
      <c r="BU1863" s="265"/>
      <c r="BV1863" s="265"/>
    </row>
    <row r="1864" spans="12:74">
      <c r="L1864" s="265"/>
      <c r="M1864" s="265"/>
      <c r="N1864" s="265"/>
      <c r="O1864" s="265"/>
      <c r="P1864" s="265"/>
      <c r="Q1864" s="265"/>
      <c r="BR1864" s="265"/>
      <c r="BS1864" s="265"/>
      <c r="BT1864" s="265"/>
      <c r="BU1864" s="265"/>
      <c r="BV1864" s="265"/>
    </row>
    <row r="1865" spans="12:74">
      <c r="L1865" s="265"/>
      <c r="M1865" s="265"/>
      <c r="N1865" s="265"/>
      <c r="O1865" s="265"/>
      <c r="P1865" s="265"/>
      <c r="Q1865" s="265"/>
      <c r="BR1865" s="265"/>
      <c r="BS1865" s="265"/>
      <c r="BT1865" s="265"/>
      <c r="BU1865" s="265"/>
      <c r="BV1865" s="265"/>
    </row>
    <row r="1866" spans="12:74">
      <c r="L1866" s="265"/>
      <c r="M1866" s="265"/>
      <c r="N1866" s="265"/>
      <c r="O1866" s="265"/>
      <c r="P1866" s="265"/>
      <c r="Q1866" s="265"/>
      <c r="BR1866" s="265"/>
      <c r="BS1866" s="265"/>
      <c r="BT1866" s="265"/>
      <c r="BU1866" s="265"/>
      <c r="BV1866" s="265"/>
    </row>
    <row r="1867" spans="12:74">
      <c r="L1867" s="265"/>
      <c r="M1867" s="265"/>
      <c r="N1867" s="265"/>
      <c r="O1867" s="265"/>
      <c r="P1867" s="265"/>
      <c r="Q1867" s="265"/>
      <c r="BR1867" s="265"/>
      <c r="BS1867" s="265"/>
      <c r="BT1867" s="265"/>
      <c r="BU1867" s="265"/>
      <c r="BV1867" s="265"/>
    </row>
    <row r="1868" spans="12:74">
      <c r="L1868" s="265"/>
      <c r="M1868" s="265"/>
      <c r="N1868" s="265"/>
      <c r="O1868" s="265"/>
      <c r="P1868" s="265"/>
      <c r="Q1868" s="265"/>
      <c r="BR1868" s="265"/>
      <c r="BS1868" s="265"/>
      <c r="BT1868" s="265"/>
      <c r="BU1868" s="265"/>
      <c r="BV1868" s="265"/>
    </row>
    <row r="1869" spans="12:74">
      <c r="L1869" s="265"/>
      <c r="M1869" s="265"/>
      <c r="N1869" s="265"/>
      <c r="O1869" s="265"/>
      <c r="P1869" s="265"/>
      <c r="Q1869" s="265"/>
      <c r="BR1869" s="265"/>
      <c r="BS1869" s="265"/>
      <c r="BT1869" s="265"/>
      <c r="BU1869" s="265"/>
      <c r="BV1869" s="265"/>
    </row>
    <row r="1870" spans="12:74">
      <c r="L1870" s="265"/>
      <c r="M1870" s="265"/>
      <c r="N1870" s="265"/>
      <c r="O1870" s="265"/>
      <c r="P1870" s="265"/>
      <c r="Q1870" s="265"/>
      <c r="BR1870" s="265"/>
      <c r="BS1870" s="265"/>
      <c r="BT1870" s="265"/>
      <c r="BU1870" s="265"/>
      <c r="BV1870" s="265"/>
    </row>
    <row r="1871" spans="12:74">
      <c r="L1871" s="265"/>
      <c r="M1871" s="265"/>
      <c r="N1871" s="265"/>
      <c r="O1871" s="265"/>
      <c r="P1871" s="265"/>
      <c r="Q1871" s="265"/>
      <c r="BR1871" s="265"/>
      <c r="BS1871" s="265"/>
      <c r="BT1871" s="265"/>
      <c r="BU1871" s="265"/>
      <c r="BV1871" s="265"/>
    </row>
    <row r="1872" spans="12:74">
      <c r="L1872" s="265"/>
      <c r="M1872" s="265"/>
      <c r="N1872" s="265"/>
      <c r="O1872" s="265"/>
      <c r="P1872" s="265"/>
      <c r="Q1872" s="265"/>
      <c r="BR1872" s="265"/>
      <c r="BS1872" s="265"/>
      <c r="BT1872" s="265"/>
      <c r="BU1872" s="265"/>
      <c r="BV1872" s="265"/>
    </row>
    <row r="1873" spans="12:74">
      <c r="L1873" s="265"/>
      <c r="M1873" s="265"/>
      <c r="N1873" s="265"/>
      <c r="O1873" s="265"/>
      <c r="P1873" s="265"/>
      <c r="Q1873" s="265"/>
      <c r="BR1873" s="265"/>
      <c r="BS1873" s="265"/>
      <c r="BT1873" s="265"/>
      <c r="BU1873" s="265"/>
      <c r="BV1873" s="265"/>
    </row>
    <row r="1874" spans="12:74">
      <c r="L1874" s="265"/>
      <c r="M1874" s="265"/>
      <c r="N1874" s="265"/>
      <c r="O1874" s="265"/>
      <c r="P1874" s="265"/>
      <c r="Q1874" s="265"/>
      <c r="BR1874" s="265"/>
      <c r="BS1874" s="265"/>
      <c r="BT1874" s="265"/>
      <c r="BU1874" s="265"/>
      <c r="BV1874" s="265"/>
    </row>
    <row r="1875" spans="12:74">
      <c r="L1875" s="265"/>
      <c r="M1875" s="265"/>
      <c r="N1875" s="265"/>
      <c r="O1875" s="265"/>
      <c r="P1875" s="265"/>
      <c r="Q1875" s="265"/>
      <c r="BR1875" s="265"/>
      <c r="BS1875" s="265"/>
      <c r="BT1875" s="265"/>
      <c r="BU1875" s="265"/>
      <c r="BV1875" s="265"/>
    </row>
    <row r="1876" spans="12:74">
      <c r="L1876" s="265"/>
      <c r="M1876" s="265"/>
      <c r="N1876" s="265"/>
      <c r="O1876" s="265"/>
      <c r="P1876" s="265"/>
      <c r="Q1876" s="265"/>
      <c r="BR1876" s="265"/>
      <c r="BS1876" s="265"/>
      <c r="BT1876" s="265"/>
      <c r="BU1876" s="265"/>
      <c r="BV1876" s="265"/>
    </row>
    <row r="1877" spans="12:74">
      <c r="L1877" s="265"/>
      <c r="M1877" s="265"/>
      <c r="N1877" s="265"/>
      <c r="O1877" s="265"/>
      <c r="P1877" s="265"/>
      <c r="Q1877" s="265"/>
      <c r="BR1877" s="265"/>
      <c r="BS1877" s="265"/>
      <c r="BT1877" s="265"/>
      <c r="BU1877" s="265"/>
      <c r="BV1877" s="265"/>
    </row>
    <row r="1878" spans="12:74">
      <c r="L1878" s="265"/>
      <c r="M1878" s="265"/>
      <c r="N1878" s="265"/>
      <c r="O1878" s="265"/>
      <c r="P1878" s="265"/>
      <c r="Q1878" s="265"/>
      <c r="BR1878" s="265"/>
      <c r="BS1878" s="265"/>
      <c r="BT1878" s="265"/>
      <c r="BU1878" s="265"/>
      <c r="BV1878" s="265"/>
    </row>
    <row r="1879" spans="12:74">
      <c r="L1879" s="265"/>
      <c r="M1879" s="265"/>
      <c r="N1879" s="265"/>
      <c r="O1879" s="265"/>
      <c r="P1879" s="265"/>
      <c r="Q1879" s="265"/>
      <c r="BR1879" s="265"/>
      <c r="BS1879" s="265"/>
      <c r="BT1879" s="265"/>
      <c r="BU1879" s="265"/>
      <c r="BV1879" s="265"/>
    </row>
    <row r="1880" spans="12:74">
      <c r="L1880" s="265"/>
      <c r="M1880" s="265"/>
      <c r="N1880" s="265"/>
      <c r="O1880" s="265"/>
      <c r="P1880" s="265"/>
      <c r="Q1880" s="265"/>
      <c r="BR1880" s="265"/>
      <c r="BS1880" s="265"/>
      <c r="BT1880" s="265"/>
      <c r="BU1880" s="265"/>
      <c r="BV1880" s="265"/>
    </row>
    <row r="1881" spans="12:74">
      <c r="L1881" s="265"/>
      <c r="M1881" s="265"/>
      <c r="N1881" s="265"/>
      <c r="O1881" s="265"/>
      <c r="P1881" s="265"/>
      <c r="Q1881" s="265"/>
      <c r="BR1881" s="265"/>
      <c r="BS1881" s="265"/>
      <c r="BT1881" s="265"/>
      <c r="BU1881" s="265"/>
      <c r="BV1881" s="265"/>
    </row>
    <row r="1882" spans="12:74">
      <c r="L1882" s="265"/>
      <c r="M1882" s="265"/>
      <c r="N1882" s="265"/>
      <c r="O1882" s="265"/>
      <c r="P1882" s="265"/>
      <c r="Q1882" s="265"/>
      <c r="BR1882" s="265"/>
      <c r="BS1882" s="265"/>
      <c r="BT1882" s="265"/>
      <c r="BU1882" s="265"/>
      <c r="BV1882" s="265"/>
    </row>
    <row r="1883" spans="12:74">
      <c r="L1883" s="265"/>
      <c r="M1883" s="265"/>
      <c r="N1883" s="265"/>
      <c r="O1883" s="265"/>
      <c r="P1883" s="265"/>
      <c r="Q1883" s="265"/>
      <c r="BR1883" s="265"/>
      <c r="BS1883" s="265"/>
      <c r="BT1883" s="265"/>
      <c r="BU1883" s="265"/>
      <c r="BV1883" s="265"/>
    </row>
    <row r="1884" spans="12:74">
      <c r="L1884" s="265"/>
      <c r="M1884" s="265"/>
      <c r="N1884" s="265"/>
      <c r="O1884" s="265"/>
      <c r="P1884" s="265"/>
      <c r="Q1884" s="265"/>
      <c r="BR1884" s="265"/>
      <c r="BS1884" s="265"/>
      <c r="BT1884" s="265"/>
      <c r="BU1884" s="265"/>
      <c r="BV1884" s="265"/>
    </row>
    <row r="1885" spans="12:74">
      <c r="L1885" s="265"/>
      <c r="M1885" s="265"/>
      <c r="N1885" s="265"/>
      <c r="O1885" s="265"/>
      <c r="P1885" s="265"/>
      <c r="Q1885" s="265"/>
      <c r="BR1885" s="265"/>
      <c r="BS1885" s="265"/>
      <c r="BT1885" s="265"/>
      <c r="BU1885" s="265"/>
      <c r="BV1885" s="265"/>
    </row>
    <row r="1886" spans="12:74">
      <c r="L1886" s="265"/>
      <c r="M1886" s="265"/>
      <c r="N1886" s="265"/>
      <c r="O1886" s="265"/>
      <c r="P1886" s="265"/>
      <c r="Q1886" s="265"/>
      <c r="BR1886" s="265"/>
      <c r="BS1886" s="265"/>
      <c r="BT1886" s="265"/>
      <c r="BU1886" s="265"/>
      <c r="BV1886" s="265"/>
    </row>
    <row r="1887" spans="12:74">
      <c r="L1887" s="265"/>
      <c r="M1887" s="265"/>
      <c r="N1887" s="265"/>
      <c r="O1887" s="265"/>
      <c r="P1887" s="265"/>
      <c r="Q1887" s="265"/>
      <c r="BR1887" s="265"/>
      <c r="BS1887" s="265"/>
      <c r="BT1887" s="265"/>
      <c r="BU1887" s="265"/>
      <c r="BV1887" s="265"/>
    </row>
    <row r="1888" spans="12:74">
      <c r="L1888" s="265"/>
      <c r="M1888" s="265"/>
      <c r="N1888" s="265"/>
      <c r="O1888" s="265"/>
      <c r="P1888" s="265"/>
      <c r="Q1888" s="265"/>
      <c r="BR1888" s="265"/>
      <c r="BS1888" s="265"/>
      <c r="BT1888" s="265"/>
      <c r="BU1888" s="265"/>
      <c r="BV1888" s="265"/>
    </row>
    <row r="1889" spans="12:74">
      <c r="L1889" s="265"/>
      <c r="M1889" s="265"/>
      <c r="N1889" s="265"/>
      <c r="O1889" s="265"/>
      <c r="P1889" s="265"/>
      <c r="Q1889" s="265"/>
      <c r="BR1889" s="265"/>
      <c r="BS1889" s="265"/>
      <c r="BT1889" s="265"/>
      <c r="BU1889" s="265"/>
      <c r="BV1889" s="265"/>
    </row>
    <row r="1890" spans="12:74">
      <c r="L1890" s="265"/>
      <c r="M1890" s="265"/>
      <c r="N1890" s="265"/>
      <c r="O1890" s="265"/>
      <c r="P1890" s="265"/>
      <c r="Q1890" s="265"/>
      <c r="BR1890" s="265"/>
      <c r="BS1890" s="265"/>
      <c r="BT1890" s="265"/>
      <c r="BU1890" s="265"/>
      <c r="BV1890" s="265"/>
    </row>
    <row r="1891" spans="12:74">
      <c r="L1891" s="265"/>
      <c r="M1891" s="265"/>
      <c r="N1891" s="265"/>
      <c r="O1891" s="265"/>
      <c r="P1891" s="265"/>
      <c r="Q1891" s="265"/>
      <c r="BR1891" s="265"/>
      <c r="BS1891" s="265"/>
      <c r="BT1891" s="265"/>
      <c r="BU1891" s="265"/>
      <c r="BV1891" s="265"/>
    </row>
    <row r="1892" spans="12:74">
      <c r="L1892" s="265"/>
      <c r="M1892" s="265"/>
      <c r="N1892" s="265"/>
      <c r="O1892" s="265"/>
      <c r="P1892" s="265"/>
      <c r="Q1892" s="265"/>
      <c r="BR1892" s="265"/>
      <c r="BS1892" s="265"/>
      <c r="BT1892" s="265"/>
      <c r="BU1892" s="265"/>
      <c r="BV1892" s="265"/>
    </row>
    <row r="1893" spans="12:74">
      <c r="L1893" s="265"/>
      <c r="M1893" s="265"/>
      <c r="N1893" s="265"/>
      <c r="O1893" s="265"/>
      <c r="P1893" s="265"/>
      <c r="Q1893" s="265"/>
      <c r="BR1893" s="265"/>
      <c r="BS1893" s="265"/>
      <c r="BT1893" s="265"/>
      <c r="BU1893" s="265"/>
      <c r="BV1893" s="265"/>
    </row>
    <row r="1894" spans="12:74">
      <c r="L1894" s="265"/>
      <c r="M1894" s="265"/>
      <c r="N1894" s="265"/>
      <c r="O1894" s="265"/>
      <c r="P1894" s="265"/>
      <c r="Q1894" s="265"/>
      <c r="BR1894" s="265"/>
      <c r="BS1894" s="265"/>
      <c r="BT1894" s="265"/>
      <c r="BU1894" s="265"/>
      <c r="BV1894" s="265"/>
    </row>
    <row r="1895" spans="12:74">
      <c r="L1895" s="265"/>
      <c r="M1895" s="265"/>
      <c r="N1895" s="265"/>
      <c r="O1895" s="265"/>
      <c r="P1895" s="265"/>
      <c r="Q1895" s="265"/>
      <c r="BR1895" s="265"/>
      <c r="BS1895" s="265"/>
      <c r="BT1895" s="265"/>
      <c r="BU1895" s="265"/>
      <c r="BV1895" s="265"/>
    </row>
    <row r="1896" spans="12:74">
      <c r="L1896" s="265"/>
      <c r="M1896" s="265"/>
      <c r="N1896" s="265"/>
      <c r="O1896" s="265"/>
      <c r="P1896" s="265"/>
      <c r="Q1896" s="265"/>
      <c r="BR1896" s="265"/>
      <c r="BS1896" s="265"/>
      <c r="BT1896" s="265"/>
      <c r="BU1896" s="265"/>
      <c r="BV1896" s="265"/>
    </row>
    <row r="1897" spans="12:74">
      <c r="L1897" s="265"/>
      <c r="M1897" s="265"/>
      <c r="N1897" s="265"/>
      <c r="O1897" s="265"/>
      <c r="P1897" s="265"/>
      <c r="Q1897" s="265"/>
      <c r="BR1897" s="265"/>
      <c r="BS1897" s="265"/>
      <c r="BT1897" s="265"/>
      <c r="BU1897" s="265"/>
      <c r="BV1897" s="265"/>
    </row>
    <row r="1898" spans="12:74">
      <c r="L1898" s="265"/>
      <c r="M1898" s="265"/>
      <c r="N1898" s="265"/>
      <c r="O1898" s="265"/>
      <c r="P1898" s="265"/>
      <c r="Q1898" s="265"/>
      <c r="BR1898" s="265"/>
      <c r="BS1898" s="265"/>
      <c r="BT1898" s="265"/>
      <c r="BU1898" s="265"/>
      <c r="BV1898" s="265"/>
    </row>
    <row r="1899" spans="12:74">
      <c r="L1899" s="265"/>
      <c r="M1899" s="265"/>
      <c r="N1899" s="265"/>
      <c r="O1899" s="265"/>
      <c r="P1899" s="265"/>
      <c r="Q1899" s="265"/>
      <c r="BR1899" s="265"/>
      <c r="BS1899" s="265"/>
      <c r="BT1899" s="265"/>
      <c r="BU1899" s="265"/>
      <c r="BV1899" s="265"/>
    </row>
    <row r="1900" spans="12:74">
      <c r="L1900" s="265"/>
      <c r="M1900" s="265"/>
      <c r="N1900" s="265"/>
      <c r="O1900" s="265"/>
      <c r="P1900" s="265"/>
      <c r="Q1900" s="265"/>
      <c r="BR1900" s="265"/>
      <c r="BS1900" s="265"/>
      <c r="BT1900" s="265"/>
      <c r="BU1900" s="265"/>
      <c r="BV1900" s="265"/>
    </row>
    <row r="1901" spans="12:74">
      <c r="L1901" s="265"/>
      <c r="M1901" s="265"/>
      <c r="N1901" s="265"/>
      <c r="O1901" s="265"/>
      <c r="P1901" s="265"/>
      <c r="Q1901" s="265"/>
      <c r="BR1901" s="265"/>
      <c r="BS1901" s="265"/>
      <c r="BT1901" s="265"/>
      <c r="BU1901" s="265"/>
      <c r="BV1901" s="265"/>
    </row>
    <row r="1902" spans="12:74">
      <c r="L1902" s="265"/>
      <c r="M1902" s="265"/>
      <c r="N1902" s="265"/>
      <c r="O1902" s="265"/>
      <c r="P1902" s="265"/>
      <c r="Q1902" s="265"/>
      <c r="BR1902" s="265"/>
      <c r="BS1902" s="265"/>
      <c r="BT1902" s="265"/>
      <c r="BU1902" s="265"/>
      <c r="BV1902" s="265"/>
    </row>
    <row r="1903" spans="12:74">
      <c r="L1903" s="265"/>
      <c r="M1903" s="265"/>
      <c r="N1903" s="265"/>
      <c r="O1903" s="265"/>
      <c r="P1903" s="265"/>
      <c r="Q1903" s="265"/>
      <c r="BR1903" s="265"/>
      <c r="BS1903" s="265"/>
      <c r="BT1903" s="265"/>
      <c r="BU1903" s="265"/>
      <c r="BV1903" s="265"/>
    </row>
    <row r="1904" spans="12:74">
      <c r="L1904" s="265"/>
      <c r="M1904" s="265"/>
      <c r="N1904" s="265"/>
      <c r="O1904" s="265"/>
      <c r="P1904" s="265"/>
      <c r="Q1904" s="265"/>
      <c r="BR1904" s="265"/>
      <c r="BS1904" s="265"/>
      <c r="BT1904" s="265"/>
      <c r="BU1904" s="265"/>
      <c r="BV1904" s="265"/>
    </row>
    <row r="1905" spans="12:74">
      <c r="L1905" s="265"/>
      <c r="M1905" s="265"/>
      <c r="N1905" s="265"/>
      <c r="O1905" s="265"/>
      <c r="P1905" s="265"/>
      <c r="Q1905" s="265"/>
      <c r="BR1905" s="265"/>
      <c r="BS1905" s="265"/>
      <c r="BT1905" s="265"/>
      <c r="BU1905" s="265"/>
      <c r="BV1905" s="265"/>
    </row>
    <row r="1906" spans="12:74">
      <c r="L1906" s="265"/>
      <c r="M1906" s="265"/>
      <c r="N1906" s="265"/>
      <c r="O1906" s="265"/>
      <c r="P1906" s="265"/>
      <c r="Q1906" s="265"/>
      <c r="BR1906" s="265"/>
      <c r="BS1906" s="265"/>
      <c r="BT1906" s="265"/>
      <c r="BU1906" s="265"/>
      <c r="BV1906" s="265"/>
    </row>
    <row r="1907" spans="12:74">
      <c r="L1907" s="265"/>
      <c r="M1907" s="265"/>
      <c r="N1907" s="265"/>
      <c r="O1907" s="265"/>
      <c r="P1907" s="265"/>
      <c r="Q1907" s="265"/>
      <c r="BR1907" s="265"/>
      <c r="BS1907" s="265"/>
      <c r="BT1907" s="265"/>
      <c r="BU1907" s="265"/>
      <c r="BV1907" s="265"/>
    </row>
    <row r="1908" spans="12:74">
      <c r="L1908" s="265"/>
      <c r="M1908" s="265"/>
      <c r="N1908" s="265"/>
      <c r="O1908" s="265"/>
      <c r="P1908" s="265"/>
      <c r="Q1908" s="265"/>
      <c r="BR1908" s="265"/>
      <c r="BS1908" s="265"/>
      <c r="BT1908" s="265"/>
      <c r="BU1908" s="265"/>
      <c r="BV1908" s="265"/>
    </row>
    <row r="1909" spans="12:74">
      <c r="L1909" s="265"/>
      <c r="M1909" s="265"/>
      <c r="N1909" s="265"/>
      <c r="O1909" s="265"/>
      <c r="P1909" s="265"/>
      <c r="Q1909" s="265"/>
      <c r="BR1909" s="265"/>
      <c r="BS1909" s="265"/>
      <c r="BT1909" s="265"/>
      <c r="BU1909" s="265"/>
      <c r="BV1909" s="265"/>
    </row>
    <row r="1910" spans="12:74">
      <c r="L1910" s="265"/>
      <c r="M1910" s="265"/>
      <c r="N1910" s="265"/>
      <c r="O1910" s="265"/>
      <c r="P1910" s="265"/>
      <c r="Q1910" s="265"/>
      <c r="BR1910" s="265"/>
      <c r="BS1910" s="265"/>
      <c r="BT1910" s="265"/>
      <c r="BU1910" s="265"/>
      <c r="BV1910" s="265"/>
    </row>
    <row r="1911" spans="12:74">
      <c r="L1911" s="265"/>
      <c r="M1911" s="265"/>
      <c r="N1911" s="265"/>
      <c r="O1911" s="265"/>
      <c r="P1911" s="265"/>
      <c r="Q1911" s="265"/>
      <c r="BR1911" s="265"/>
      <c r="BS1911" s="265"/>
      <c r="BT1911" s="265"/>
      <c r="BU1911" s="265"/>
      <c r="BV1911" s="265"/>
    </row>
    <row r="1912" spans="12:74">
      <c r="L1912" s="265"/>
      <c r="M1912" s="265"/>
      <c r="N1912" s="265"/>
      <c r="O1912" s="265"/>
      <c r="P1912" s="265"/>
      <c r="Q1912" s="265"/>
      <c r="BR1912" s="265"/>
      <c r="BS1912" s="265"/>
      <c r="BT1912" s="265"/>
      <c r="BU1912" s="265"/>
      <c r="BV1912" s="265"/>
    </row>
    <row r="1913" spans="12:74">
      <c r="L1913" s="265"/>
      <c r="M1913" s="265"/>
      <c r="N1913" s="265"/>
      <c r="O1913" s="265"/>
      <c r="P1913" s="265"/>
      <c r="Q1913" s="265"/>
      <c r="BR1913" s="265"/>
      <c r="BS1913" s="265"/>
      <c r="BT1913" s="265"/>
      <c r="BU1913" s="265"/>
      <c r="BV1913" s="265"/>
    </row>
    <row r="1914" spans="12:74">
      <c r="L1914" s="265"/>
      <c r="M1914" s="265"/>
      <c r="N1914" s="265"/>
      <c r="O1914" s="265"/>
      <c r="P1914" s="265"/>
      <c r="Q1914" s="265"/>
      <c r="BR1914" s="265"/>
      <c r="BS1914" s="265"/>
      <c r="BT1914" s="265"/>
      <c r="BU1914" s="265"/>
      <c r="BV1914" s="265"/>
    </row>
    <row r="1915" spans="12:74">
      <c r="L1915" s="265"/>
      <c r="M1915" s="265"/>
      <c r="N1915" s="265"/>
      <c r="O1915" s="265"/>
      <c r="P1915" s="265"/>
      <c r="Q1915" s="265"/>
      <c r="BR1915" s="265"/>
      <c r="BS1915" s="265"/>
      <c r="BT1915" s="265"/>
      <c r="BU1915" s="265"/>
      <c r="BV1915" s="265"/>
    </row>
    <row r="1916" spans="12:74">
      <c r="L1916" s="265"/>
      <c r="M1916" s="265"/>
      <c r="N1916" s="265"/>
      <c r="O1916" s="265"/>
      <c r="P1916" s="265"/>
      <c r="Q1916" s="265"/>
      <c r="BR1916" s="265"/>
      <c r="BS1916" s="265"/>
      <c r="BT1916" s="265"/>
      <c r="BU1916" s="265"/>
      <c r="BV1916" s="265"/>
    </row>
    <row r="1917" spans="12:74">
      <c r="L1917" s="265"/>
      <c r="M1917" s="265"/>
      <c r="N1917" s="265"/>
      <c r="O1917" s="265"/>
      <c r="P1917" s="265"/>
      <c r="Q1917" s="265"/>
      <c r="BR1917" s="265"/>
      <c r="BS1917" s="265"/>
      <c r="BT1917" s="265"/>
      <c r="BU1917" s="265"/>
      <c r="BV1917" s="265"/>
    </row>
    <row r="1918" spans="12:74">
      <c r="L1918" s="265"/>
      <c r="M1918" s="265"/>
      <c r="N1918" s="265"/>
      <c r="O1918" s="265"/>
      <c r="P1918" s="265"/>
      <c r="Q1918" s="265"/>
      <c r="BR1918" s="265"/>
      <c r="BS1918" s="265"/>
      <c r="BT1918" s="265"/>
      <c r="BU1918" s="265"/>
      <c r="BV1918" s="265"/>
    </row>
    <row r="1919" spans="12:74">
      <c r="L1919" s="265"/>
      <c r="M1919" s="265"/>
      <c r="N1919" s="265"/>
      <c r="O1919" s="265"/>
      <c r="P1919" s="265"/>
      <c r="Q1919" s="265"/>
      <c r="BR1919" s="265"/>
      <c r="BS1919" s="265"/>
      <c r="BT1919" s="265"/>
      <c r="BU1919" s="265"/>
      <c r="BV1919" s="265"/>
    </row>
    <row r="1920" spans="12:74">
      <c r="L1920" s="265"/>
      <c r="M1920" s="265"/>
      <c r="N1920" s="265"/>
      <c r="O1920" s="265"/>
      <c r="P1920" s="265"/>
      <c r="Q1920" s="265"/>
      <c r="BR1920" s="265"/>
      <c r="BS1920" s="265"/>
      <c r="BT1920" s="265"/>
      <c r="BU1920" s="265"/>
      <c r="BV1920" s="265"/>
    </row>
    <row r="1921" spans="12:74">
      <c r="L1921" s="265"/>
      <c r="M1921" s="265"/>
      <c r="N1921" s="265"/>
      <c r="O1921" s="265"/>
      <c r="P1921" s="265"/>
      <c r="Q1921" s="265"/>
      <c r="BR1921" s="265"/>
      <c r="BS1921" s="265"/>
      <c r="BT1921" s="265"/>
      <c r="BU1921" s="265"/>
      <c r="BV1921" s="265"/>
    </row>
    <row r="1922" spans="12:74">
      <c r="L1922" s="265"/>
      <c r="M1922" s="265"/>
      <c r="N1922" s="265"/>
      <c r="O1922" s="265"/>
      <c r="P1922" s="265"/>
      <c r="Q1922" s="265"/>
      <c r="BR1922" s="265"/>
      <c r="BS1922" s="265"/>
      <c r="BT1922" s="265"/>
      <c r="BU1922" s="265"/>
      <c r="BV1922" s="265"/>
    </row>
    <row r="1923" spans="12:74">
      <c r="L1923" s="265"/>
      <c r="M1923" s="265"/>
      <c r="N1923" s="265"/>
      <c r="O1923" s="265"/>
      <c r="P1923" s="265"/>
      <c r="Q1923" s="265"/>
      <c r="BR1923" s="265"/>
      <c r="BS1923" s="265"/>
      <c r="BT1923" s="265"/>
      <c r="BU1923" s="265"/>
      <c r="BV1923" s="265"/>
    </row>
    <row r="1924" spans="12:74">
      <c r="L1924" s="265"/>
      <c r="M1924" s="265"/>
      <c r="N1924" s="265"/>
      <c r="O1924" s="265"/>
      <c r="P1924" s="265"/>
      <c r="Q1924" s="265"/>
      <c r="BR1924" s="265"/>
      <c r="BS1924" s="265"/>
      <c r="BT1924" s="265"/>
      <c r="BU1924" s="265"/>
      <c r="BV1924" s="265"/>
    </row>
    <row r="1925" spans="12:74">
      <c r="L1925" s="265"/>
      <c r="M1925" s="265"/>
      <c r="N1925" s="265"/>
      <c r="O1925" s="265"/>
      <c r="P1925" s="265"/>
      <c r="Q1925" s="265"/>
      <c r="BR1925" s="265"/>
      <c r="BS1925" s="265"/>
      <c r="BT1925" s="265"/>
      <c r="BU1925" s="265"/>
      <c r="BV1925" s="265"/>
    </row>
    <row r="1926" spans="12:74">
      <c r="L1926" s="265"/>
      <c r="M1926" s="265"/>
      <c r="N1926" s="265"/>
      <c r="O1926" s="265"/>
      <c r="P1926" s="265"/>
      <c r="Q1926" s="265"/>
      <c r="BR1926" s="265"/>
      <c r="BS1926" s="265"/>
      <c r="BT1926" s="265"/>
      <c r="BU1926" s="265"/>
      <c r="BV1926" s="265"/>
    </row>
    <row r="1927" spans="12:74">
      <c r="L1927" s="265"/>
      <c r="M1927" s="265"/>
      <c r="N1927" s="265"/>
      <c r="O1927" s="265"/>
      <c r="P1927" s="265"/>
      <c r="Q1927" s="265"/>
      <c r="BR1927" s="265"/>
      <c r="BS1927" s="265"/>
      <c r="BT1927" s="265"/>
      <c r="BU1927" s="265"/>
      <c r="BV1927" s="265"/>
    </row>
    <row r="1928" spans="12:74">
      <c r="L1928" s="265"/>
      <c r="M1928" s="265"/>
      <c r="N1928" s="265"/>
      <c r="O1928" s="265"/>
      <c r="P1928" s="265"/>
      <c r="Q1928" s="265"/>
      <c r="BR1928" s="265"/>
      <c r="BS1928" s="265"/>
      <c r="BT1928" s="265"/>
      <c r="BU1928" s="265"/>
      <c r="BV1928" s="265"/>
    </row>
    <row r="1929" spans="12:74">
      <c r="L1929" s="265"/>
      <c r="M1929" s="265"/>
      <c r="N1929" s="265"/>
      <c r="O1929" s="265"/>
      <c r="P1929" s="265"/>
      <c r="Q1929" s="265"/>
      <c r="BR1929" s="265"/>
      <c r="BS1929" s="265"/>
      <c r="BT1929" s="265"/>
      <c r="BU1929" s="265"/>
      <c r="BV1929" s="265"/>
    </row>
    <row r="1930" spans="12:74">
      <c r="L1930" s="265"/>
      <c r="M1930" s="265"/>
      <c r="N1930" s="265"/>
      <c r="O1930" s="265"/>
      <c r="P1930" s="265"/>
      <c r="Q1930" s="265"/>
      <c r="BR1930" s="265"/>
      <c r="BS1930" s="265"/>
      <c r="BT1930" s="265"/>
      <c r="BU1930" s="265"/>
      <c r="BV1930" s="265"/>
    </row>
    <row r="1931" spans="12:74">
      <c r="L1931" s="265"/>
      <c r="M1931" s="265"/>
      <c r="N1931" s="265"/>
      <c r="O1931" s="265"/>
      <c r="P1931" s="265"/>
      <c r="Q1931" s="265"/>
      <c r="BR1931" s="265"/>
      <c r="BS1931" s="265"/>
      <c r="BT1931" s="265"/>
      <c r="BU1931" s="265"/>
      <c r="BV1931" s="265"/>
    </row>
    <row r="1932" spans="12:74">
      <c r="L1932" s="265"/>
      <c r="M1932" s="265"/>
      <c r="N1932" s="265"/>
      <c r="O1932" s="265"/>
      <c r="P1932" s="265"/>
      <c r="Q1932" s="265"/>
      <c r="BR1932" s="265"/>
      <c r="BS1932" s="265"/>
      <c r="BT1932" s="265"/>
      <c r="BU1932" s="265"/>
      <c r="BV1932" s="265"/>
    </row>
    <row r="1933" spans="12:74">
      <c r="L1933" s="265"/>
      <c r="M1933" s="265"/>
      <c r="N1933" s="265"/>
      <c r="O1933" s="265"/>
      <c r="P1933" s="265"/>
      <c r="Q1933" s="265"/>
      <c r="BR1933" s="265"/>
      <c r="BS1933" s="265"/>
      <c r="BT1933" s="265"/>
      <c r="BU1933" s="265"/>
      <c r="BV1933" s="265"/>
    </row>
    <row r="1934" spans="12:74">
      <c r="L1934" s="265"/>
      <c r="M1934" s="265"/>
      <c r="N1934" s="265"/>
      <c r="O1934" s="265"/>
      <c r="P1934" s="265"/>
      <c r="Q1934" s="265"/>
      <c r="BR1934" s="265"/>
      <c r="BS1934" s="265"/>
      <c r="BT1934" s="265"/>
      <c r="BU1934" s="265"/>
      <c r="BV1934" s="265"/>
    </row>
    <row r="1935" spans="12:74">
      <c r="L1935" s="265"/>
      <c r="M1935" s="265"/>
      <c r="N1935" s="265"/>
      <c r="O1935" s="265"/>
      <c r="P1935" s="265"/>
      <c r="Q1935" s="265"/>
      <c r="BR1935" s="265"/>
      <c r="BS1935" s="265"/>
      <c r="BT1935" s="265"/>
      <c r="BU1935" s="265"/>
      <c r="BV1935" s="265"/>
    </row>
    <row r="1936" spans="12:74">
      <c r="L1936" s="265"/>
      <c r="M1936" s="265"/>
      <c r="N1936" s="265"/>
      <c r="O1936" s="265"/>
      <c r="P1936" s="265"/>
      <c r="Q1936" s="265"/>
      <c r="BR1936" s="265"/>
      <c r="BS1936" s="265"/>
      <c r="BT1936" s="265"/>
      <c r="BU1936" s="265"/>
      <c r="BV1936" s="265"/>
    </row>
    <row r="1937" spans="12:74">
      <c r="L1937" s="265"/>
      <c r="M1937" s="265"/>
      <c r="N1937" s="265"/>
      <c r="O1937" s="265"/>
      <c r="P1937" s="265"/>
      <c r="Q1937" s="265"/>
      <c r="BR1937" s="265"/>
      <c r="BS1937" s="265"/>
      <c r="BT1937" s="265"/>
      <c r="BU1937" s="265"/>
      <c r="BV1937" s="265"/>
    </row>
    <row r="1938" spans="12:74">
      <c r="L1938" s="265"/>
      <c r="M1938" s="265"/>
      <c r="N1938" s="265"/>
      <c r="O1938" s="265"/>
      <c r="P1938" s="265"/>
      <c r="Q1938" s="265"/>
      <c r="BR1938" s="265"/>
      <c r="BS1938" s="265"/>
      <c r="BT1938" s="265"/>
      <c r="BU1938" s="265"/>
      <c r="BV1938" s="265"/>
    </row>
    <row r="1939" spans="12:74">
      <c r="L1939" s="265"/>
      <c r="M1939" s="265"/>
      <c r="N1939" s="265"/>
      <c r="O1939" s="265"/>
      <c r="P1939" s="265"/>
      <c r="Q1939" s="265"/>
      <c r="BR1939" s="265"/>
      <c r="BS1939" s="265"/>
      <c r="BT1939" s="265"/>
      <c r="BU1939" s="265"/>
      <c r="BV1939" s="265"/>
    </row>
    <row r="1940" spans="12:74">
      <c r="L1940" s="265"/>
      <c r="M1940" s="265"/>
      <c r="N1940" s="265"/>
      <c r="O1940" s="265"/>
      <c r="P1940" s="265"/>
      <c r="Q1940" s="265"/>
      <c r="BR1940" s="265"/>
      <c r="BS1940" s="265"/>
      <c r="BT1940" s="265"/>
      <c r="BU1940" s="265"/>
      <c r="BV1940" s="265"/>
    </row>
    <row r="1941" spans="12:74">
      <c r="L1941" s="265"/>
      <c r="M1941" s="265"/>
      <c r="N1941" s="265"/>
      <c r="O1941" s="265"/>
      <c r="P1941" s="265"/>
      <c r="Q1941" s="265"/>
      <c r="BR1941" s="265"/>
      <c r="BS1941" s="265"/>
      <c r="BT1941" s="265"/>
      <c r="BU1941" s="265"/>
      <c r="BV1941" s="265"/>
    </row>
    <row r="1942" spans="12:74">
      <c r="L1942" s="265"/>
      <c r="M1942" s="265"/>
      <c r="N1942" s="265"/>
      <c r="O1942" s="265"/>
      <c r="P1942" s="265"/>
      <c r="Q1942" s="265"/>
      <c r="BR1942" s="265"/>
      <c r="BS1942" s="265"/>
      <c r="BT1942" s="265"/>
      <c r="BU1942" s="265"/>
      <c r="BV1942" s="265"/>
    </row>
    <row r="1943" spans="12:74">
      <c r="L1943" s="265"/>
      <c r="M1943" s="265"/>
      <c r="N1943" s="265"/>
      <c r="O1943" s="265"/>
      <c r="P1943" s="265"/>
      <c r="Q1943" s="265"/>
      <c r="BR1943" s="265"/>
      <c r="BS1943" s="265"/>
      <c r="BT1943" s="265"/>
      <c r="BU1943" s="265"/>
      <c r="BV1943" s="265"/>
    </row>
    <row r="1944" spans="12:74">
      <c r="L1944" s="265"/>
      <c r="M1944" s="265"/>
      <c r="N1944" s="265"/>
      <c r="O1944" s="265"/>
      <c r="P1944" s="265"/>
      <c r="Q1944" s="265"/>
      <c r="BR1944" s="265"/>
      <c r="BS1944" s="265"/>
      <c r="BT1944" s="265"/>
      <c r="BU1944" s="265"/>
      <c r="BV1944" s="265"/>
    </row>
    <row r="1945" spans="12:74">
      <c r="L1945" s="265"/>
      <c r="M1945" s="265"/>
      <c r="N1945" s="265"/>
      <c r="O1945" s="265"/>
      <c r="P1945" s="265"/>
      <c r="Q1945" s="265"/>
      <c r="BR1945" s="265"/>
      <c r="BS1945" s="265"/>
      <c r="BT1945" s="265"/>
      <c r="BU1945" s="265"/>
      <c r="BV1945" s="265"/>
    </row>
    <row r="1946" spans="12:74">
      <c r="L1946" s="265"/>
      <c r="M1946" s="265"/>
      <c r="N1946" s="265"/>
      <c r="O1946" s="265"/>
      <c r="P1946" s="265"/>
      <c r="Q1946" s="265"/>
      <c r="BR1946" s="265"/>
      <c r="BS1946" s="265"/>
      <c r="BT1946" s="265"/>
      <c r="BU1946" s="265"/>
      <c r="BV1946" s="265"/>
    </row>
    <row r="1947" spans="12:74">
      <c r="L1947" s="265"/>
      <c r="M1947" s="265"/>
      <c r="N1947" s="265"/>
      <c r="O1947" s="265"/>
      <c r="P1947" s="265"/>
      <c r="Q1947" s="265"/>
      <c r="BR1947" s="265"/>
      <c r="BS1947" s="265"/>
      <c r="BT1947" s="265"/>
      <c r="BU1947" s="265"/>
      <c r="BV1947" s="265"/>
    </row>
    <row r="1948" spans="12:74">
      <c r="L1948" s="265"/>
      <c r="M1948" s="265"/>
      <c r="N1948" s="265"/>
      <c r="O1948" s="265"/>
      <c r="P1948" s="265"/>
      <c r="Q1948" s="265"/>
      <c r="BR1948" s="265"/>
      <c r="BS1948" s="265"/>
      <c r="BT1948" s="265"/>
      <c r="BU1948" s="265"/>
      <c r="BV1948" s="265"/>
    </row>
    <row r="1949" spans="12:74">
      <c r="L1949" s="265"/>
      <c r="M1949" s="265"/>
      <c r="N1949" s="265"/>
      <c r="O1949" s="265"/>
      <c r="P1949" s="265"/>
      <c r="Q1949" s="265"/>
      <c r="BR1949" s="265"/>
      <c r="BS1949" s="265"/>
      <c r="BT1949" s="265"/>
      <c r="BU1949" s="265"/>
      <c r="BV1949" s="265"/>
    </row>
    <row r="1950" spans="12:74">
      <c r="L1950" s="265"/>
      <c r="M1950" s="265"/>
      <c r="N1950" s="265"/>
      <c r="O1950" s="265"/>
      <c r="P1950" s="265"/>
      <c r="Q1950" s="265"/>
      <c r="BR1950" s="265"/>
      <c r="BS1950" s="265"/>
      <c r="BT1950" s="265"/>
      <c r="BU1950" s="265"/>
      <c r="BV1950" s="265"/>
    </row>
    <row r="1951" spans="12:74">
      <c r="L1951" s="265"/>
      <c r="M1951" s="265"/>
      <c r="N1951" s="265"/>
      <c r="O1951" s="265"/>
      <c r="P1951" s="265"/>
      <c r="Q1951" s="265"/>
      <c r="BR1951" s="265"/>
      <c r="BS1951" s="265"/>
      <c r="BT1951" s="265"/>
      <c r="BU1951" s="265"/>
      <c r="BV1951" s="265"/>
    </row>
    <row r="1952" spans="12:74">
      <c r="L1952" s="265"/>
      <c r="M1952" s="265"/>
      <c r="N1952" s="265"/>
      <c r="O1952" s="265"/>
      <c r="P1952" s="265"/>
      <c r="Q1952" s="265"/>
      <c r="BR1952" s="265"/>
      <c r="BS1952" s="265"/>
      <c r="BT1952" s="265"/>
      <c r="BU1952" s="265"/>
      <c r="BV1952" s="265"/>
    </row>
    <row r="1953" spans="12:74">
      <c r="L1953" s="265"/>
      <c r="M1953" s="265"/>
      <c r="N1953" s="265"/>
      <c r="O1953" s="265"/>
      <c r="P1953" s="265"/>
      <c r="Q1953" s="265"/>
      <c r="BR1953" s="265"/>
      <c r="BS1953" s="265"/>
      <c r="BT1953" s="265"/>
      <c r="BU1953" s="265"/>
      <c r="BV1953" s="265"/>
    </row>
    <row r="1954" spans="12:74">
      <c r="L1954" s="265"/>
      <c r="M1954" s="265"/>
      <c r="N1954" s="265"/>
      <c r="O1954" s="265"/>
      <c r="P1954" s="265"/>
      <c r="Q1954" s="265"/>
      <c r="BR1954" s="265"/>
      <c r="BS1954" s="265"/>
      <c r="BT1954" s="265"/>
      <c r="BU1954" s="265"/>
      <c r="BV1954" s="265"/>
    </row>
    <row r="1955" spans="12:74">
      <c r="L1955" s="265"/>
      <c r="M1955" s="265"/>
      <c r="N1955" s="265"/>
      <c r="O1955" s="265"/>
      <c r="P1955" s="265"/>
      <c r="Q1955" s="265"/>
      <c r="BR1955" s="265"/>
      <c r="BS1955" s="265"/>
      <c r="BT1955" s="265"/>
      <c r="BU1955" s="265"/>
      <c r="BV1955" s="265"/>
    </row>
    <row r="1956" spans="12:74">
      <c r="L1956" s="265"/>
      <c r="M1956" s="265"/>
      <c r="N1956" s="265"/>
      <c r="O1956" s="265"/>
      <c r="P1956" s="265"/>
      <c r="Q1956" s="265"/>
      <c r="BR1956" s="265"/>
      <c r="BS1956" s="265"/>
      <c r="BT1956" s="265"/>
      <c r="BU1956" s="265"/>
      <c r="BV1956" s="265"/>
    </row>
    <row r="1957" spans="12:74">
      <c r="L1957" s="265"/>
      <c r="M1957" s="265"/>
      <c r="N1957" s="265"/>
      <c r="O1957" s="265"/>
      <c r="P1957" s="265"/>
      <c r="Q1957" s="265"/>
      <c r="BR1957" s="265"/>
      <c r="BS1957" s="265"/>
      <c r="BT1957" s="265"/>
      <c r="BU1957" s="265"/>
      <c r="BV1957" s="265"/>
    </row>
    <row r="1958" spans="12:74">
      <c r="L1958" s="265"/>
      <c r="M1958" s="265"/>
      <c r="N1958" s="265"/>
      <c r="O1958" s="265"/>
      <c r="P1958" s="265"/>
      <c r="Q1958" s="265"/>
      <c r="BR1958" s="265"/>
      <c r="BS1958" s="265"/>
      <c r="BT1958" s="265"/>
      <c r="BU1958" s="265"/>
      <c r="BV1958" s="265"/>
    </row>
    <row r="1959" spans="12:74">
      <c r="L1959" s="265"/>
      <c r="M1959" s="265"/>
      <c r="N1959" s="265"/>
      <c r="O1959" s="265"/>
      <c r="P1959" s="265"/>
      <c r="Q1959" s="265"/>
      <c r="BR1959" s="265"/>
      <c r="BS1959" s="265"/>
      <c r="BT1959" s="265"/>
      <c r="BU1959" s="265"/>
      <c r="BV1959" s="265"/>
    </row>
    <row r="1960" spans="12:74">
      <c r="L1960" s="265"/>
      <c r="M1960" s="265"/>
      <c r="N1960" s="265"/>
      <c r="O1960" s="265"/>
      <c r="P1960" s="265"/>
      <c r="Q1960" s="265"/>
      <c r="BR1960" s="265"/>
      <c r="BS1960" s="265"/>
      <c r="BT1960" s="265"/>
      <c r="BU1960" s="265"/>
      <c r="BV1960" s="265"/>
    </row>
    <row r="1961" spans="12:74">
      <c r="L1961" s="265"/>
      <c r="M1961" s="265"/>
      <c r="N1961" s="265"/>
      <c r="O1961" s="265"/>
      <c r="P1961" s="265"/>
      <c r="Q1961" s="265"/>
      <c r="BR1961" s="265"/>
      <c r="BS1961" s="265"/>
      <c r="BT1961" s="265"/>
      <c r="BU1961" s="265"/>
      <c r="BV1961" s="265"/>
    </row>
    <row r="1962" spans="12:74">
      <c r="L1962" s="265"/>
      <c r="M1962" s="265"/>
      <c r="N1962" s="265"/>
      <c r="O1962" s="265"/>
      <c r="P1962" s="265"/>
      <c r="Q1962" s="265"/>
      <c r="BR1962" s="265"/>
      <c r="BS1962" s="265"/>
      <c r="BT1962" s="265"/>
      <c r="BU1962" s="265"/>
      <c r="BV1962" s="265"/>
    </row>
    <row r="1963" spans="12:74">
      <c r="L1963" s="265"/>
      <c r="M1963" s="265"/>
      <c r="N1963" s="265"/>
      <c r="O1963" s="265"/>
      <c r="P1963" s="265"/>
      <c r="Q1963" s="265"/>
      <c r="BR1963" s="265"/>
      <c r="BS1963" s="265"/>
      <c r="BT1963" s="265"/>
      <c r="BU1963" s="265"/>
      <c r="BV1963" s="265"/>
    </row>
    <row r="1964" spans="12:74">
      <c r="L1964" s="265"/>
      <c r="M1964" s="265"/>
      <c r="N1964" s="265"/>
      <c r="O1964" s="265"/>
      <c r="P1964" s="265"/>
      <c r="Q1964" s="265"/>
      <c r="BR1964" s="265"/>
      <c r="BS1964" s="265"/>
      <c r="BT1964" s="265"/>
      <c r="BU1964" s="265"/>
      <c r="BV1964" s="265"/>
    </row>
    <row r="1965" spans="12:74">
      <c r="L1965" s="265"/>
      <c r="M1965" s="265"/>
      <c r="N1965" s="265"/>
      <c r="O1965" s="265"/>
      <c r="P1965" s="265"/>
      <c r="Q1965" s="265"/>
      <c r="BR1965" s="265"/>
      <c r="BS1965" s="265"/>
      <c r="BT1965" s="265"/>
      <c r="BU1965" s="265"/>
      <c r="BV1965" s="265"/>
    </row>
    <row r="1966" spans="12:74">
      <c r="L1966" s="265"/>
      <c r="M1966" s="265"/>
      <c r="N1966" s="265"/>
      <c r="O1966" s="265"/>
      <c r="P1966" s="265"/>
      <c r="Q1966" s="265"/>
      <c r="BR1966" s="265"/>
      <c r="BS1966" s="265"/>
      <c r="BT1966" s="265"/>
      <c r="BU1966" s="265"/>
      <c r="BV1966" s="265"/>
    </row>
    <row r="1967" spans="12:74">
      <c r="L1967" s="265"/>
      <c r="M1967" s="265"/>
      <c r="N1967" s="265"/>
      <c r="O1967" s="265"/>
      <c r="P1967" s="265"/>
      <c r="Q1967" s="265"/>
      <c r="BR1967" s="265"/>
      <c r="BS1967" s="265"/>
      <c r="BT1967" s="265"/>
      <c r="BU1967" s="265"/>
      <c r="BV1967" s="265"/>
    </row>
    <row r="1968" spans="12:74">
      <c r="L1968" s="265"/>
      <c r="M1968" s="265"/>
      <c r="N1968" s="265"/>
      <c r="O1968" s="265"/>
      <c r="P1968" s="265"/>
      <c r="Q1968" s="265"/>
      <c r="BR1968" s="265"/>
      <c r="BS1968" s="265"/>
      <c r="BT1968" s="265"/>
      <c r="BU1968" s="265"/>
      <c r="BV1968" s="265"/>
    </row>
    <row r="1969" spans="12:74">
      <c r="L1969" s="265"/>
      <c r="M1969" s="265"/>
      <c r="N1969" s="265"/>
      <c r="O1969" s="265"/>
      <c r="P1969" s="265"/>
      <c r="Q1969" s="265"/>
      <c r="BR1969" s="265"/>
      <c r="BS1969" s="265"/>
      <c r="BT1969" s="265"/>
      <c r="BU1969" s="265"/>
      <c r="BV1969" s="265"/>
    </row>
    <row r="1970" spans="12:74">
      <c r="L1970" s="265"/>
      <c r="M1970" s="265"/>
      <c r="N1970" s="265"/>
      <c r="O1970" s="265"/>
      <c r="P1970" s="265"/>
      <c r="Q1970" s="265"/>
      <c r="BR1970" s="265"/>
      <c r="BS1970" s="265"/>
      <c r="BT1970" s="265"/>
      <c r="BU1970" s="265"/>
      <c r="BV1970" s="265"/>
    </row>
    <row r="1971" spans="12:74">
      <c r="L1971" s="265"/>
      <c r="M1971" s="265"/>
      <c r="N1971" s="265"/>
      <c r="O1971" s="265"/>
      <c r="P1971" s="265"/>
      <c r="Q1971" s="265"/>
      <c r="BR1971" s="265"/>
      <c r="BS1971" s="265"/>
      <c r="BT1971" s="265"/>
      <c r="BU1971" s="265"/>
      <c r="BV1971" s="265"/>
    </row>
    <row r="1972" spans="12:74">
      <c r="L1972" s="265"/>
      <c r="M1972" s="265"/>
      <c r="N1972" s="265"/>
      <c r="O1972" s="265"/>
      <c r="P1972" s="265"/>
      <c r="Q1972" s="265"/>
      <c r="BR1972" s="265"/>
      <c r="BS1972" s="265"/>
      <c r="BT1972" s="265"/>
      <c r="BU1972" s="265"/>
      <c r="BV1972" s="265"/>
    </row>
    <row r="1973" spans="12:74">
      <c r="L1973" s="265"/>
      <c r="M1973" s="265"/>
      <c r="N1973" s="265"/>
      <c r="O1973" s="265"/>
      <c r="P1973" s="265"/>
      <c r="Q1973" s="265"/>
      <c r="BR1973" s="265"/>
      <c r="BS1973" s="265"/>
      <c r="BT1973" s="265"/>
      <c r="BU1973" s="265"/>
      <c r="BV1973" s="265"/>
    </row>
    <row r="1974" spans="12:74">
      <c r="L1974" s="265"/>
      <c r="M1974" s="265"/>
      <c r="N1974" s="265"/>
      <c r="O1974" s="265"/>
      <c r="P1974" s="265"/>
      <c r="Q1974" s="265"/>
      <c r="BR1974" s="265"/>
      <c r="BS1974" s="265"/>
      <c r="BT1974" s="265"/>
      <c r="BU1974" s="265"/>
      <c r="BV1974" s="265"/>
    </row>
    <row r="1975" spans="12:74">
      <c r="L1975" s="265"/>
      <c r="M1975" s="265"/>
      <c r="N1975" s="265"/>
      <c r="O1975" s="265"/>
      <c r="P1975" s="265"/>
      <c r="Q1975" s="265"/>
      <c r="BR1975" s="265"/>
      <c r="BS1975" s="265"/>
      <c r="BT1975" s="265"/>
      <c r="BU1975" s="265"/>
      <c r="BV1975" s="265"/>
    </row>
    <row r="1976" spans="12:74">
      <c r="L1976" s="265"/>
      <c r="M1976" s="265"/>
      <c r="N1976" s="265"/>
      <c r="O1976" s="265"/>
      <c r="P1976" s="265"/>
      <c r="Q1976" s="265"/>
      <c r="BR1976" s="265"/>
      <c r="BS1976" s="265"/>
      <c r="BT1976" s="265"/>
      <c r="BU1976" s="265"/>
      <c r="BV1976" s="265"/>
    </row>
    <row r="1977" spans="12:74">
      <c r="L1977" s="265"/>
      <c r="M1977" s="265"/>
      <c r="N1977" s="265"/>
      <c r="O1977" s="265"/>
      <c r="P1977" s="265"/>
      <c r="Q1977" s="265"/>
      <c r="BR1977" s="265"/>
      <c r="BS1977" s="265"/>
      <c r="BT1977" s="265"/>
      <c r="BU1977" s="265"/>
      <c r="BV1977" s="265"/>
    </row>
    <row r="1978" spans="12:74">
      <c r="L1978" s="265"/>
      <c r="M1978" s="265"/>
      <c r="N1978" s="265"/>
      <c r="O1978" s="265"/>
      <c r="P1978" s="265"/>
      <c r="Q1978" s="265"/>
      <c r="BR1978" s="265"/>
      <c r="BS1978" s="265"/>
      <c r="BT1978" s="265"/>
      <c r="BU1978" s="265"/>
      <c r="BV1978" s="265"/>
    </row>
    <row r="1979" spans="12:74">
      <c r="L1979" s="265"/>
      <c r="M1979" s="265"/>
      <c r="N1979" s="265"/>
      <c r="O1979" s="265"/>
      <c r="P1979" s="265"/>
      <c r="Q1979" s="265"/>
      <c r="BR1979" s="265"/>
      <c r="BS1979" s="265"/>
      <c r="BT1979" s="265"/>
      <c r="BU1979" s="265"/>
      <c r="BV1979" s="265"/>
    </row>
    <row r="1980" spans="12:74">
      <c r="L1980" s="265"/>
      <c r="M1980" s="265"/>
      <c r="N1980" s="265"/>
      <c r="O1980" s="265"/>
      <c r="P1980" s="265"/>
      <c r="Q1980" s="265"/>
      <c r="BR1980" s="265"/>
      <c r="BS1980" s="265"/>
      <c r="BT1980" s="265"/>
      <c r="BU1980" s="265"/>
      <c r="BV1980" s="265"/>
    </row>
    <row r="1981" spans="12:74">
      <c r="L1981" s="265"/>
      <c r="M1981" s="265"/>
      <c r="N1981" s="265"/>
      <c r="O1981" s="265"/>
      <c r="P1981" s="265"/>
      <c r="Q1981" s="265"/>
      <c r="BR1981" s="265"/>
      <c r="BS1981" s="265"/>
      <c r="BT1981" s="265"/>
      <c r="BU1981" s="265"/>
      <c r="BV1981" s="265"/>
    </row>
    <row r="1982" spans="12:74">
      <c r="L1982" s="265"/>
      <c r="M1982" s="265"/>
      <c r="N1982" s="265"/>
      <c r="O1982" s="265"/>
      <c r="P1982" s="265"/>
      <c r="Q1982" s="265"/>
      <c r="BR1982" s="265"/>
      <c r="BS1982" s="265"/>
      <c r="BT1982" s="265"/>
      <c r="BU1982" s="265"/>
      <c r="BV1982" s="265"/>
    </row>
    <row r="1983" spans="12:74">
      <c r="L1983" s="265"/>
      <c r="M1983" s="265"/>
      <c r="N1983" s="265"/>
      <c r="O1983" s="265"/>
      <c r="P1983" s="265"/>
      <c r="Q1983" s="265"/>
      <c r="BR1983" s="265"/>
      <c r="BS1983" s="265"/>
      <c r="BT1983" s="265"/>
      <c r="BU1983" s="265"/>
      <c r="BV1983" s="265"/>
    </row>
    <row r="1984" spans="12:74">
      <c r="L1984" s="265"/>
      <c r="M1984" s="265"/>
      <c r="N1984" s="265"/>
      <c r="O1984" s="265"/>
      <c r="P1984" s="265"/>
      <c r="Q1984" s="265"/>
      <c r="BR1984" s="265"/>
      <c r="BS1984" s="265"/>
      <c r="BT1984" s="265"/>
      <c r="BU1984" s="265"/>
      <c r="BV1984" s="265"/>
    </row>
    <row r="1985" spans="12:74">
      <c r="L1985" s="265"/>
      <c r="M1985" s="265"/>
      <c r="N1985" s="265"/>
      <c r="O1985" s="265"/>
      <c r="P1985" s="265"/>
      <c r="Q1985" s="265"/>
      <c r="BR1985" s="265"/>
      <c r="BS1985" s="265"/>
      <c r="BT1985" s="265"/>
      <c r="BU1985" s="265"/>
      <c r="BV1985" s="265"/>
    </row>
    <row r="1986" spans="12:74">
      <c r="L1986" s="265"/>
      <c r="M1986" s="265"/>
      <c r="N1986" s="265"/>
      <c r="O1986" s="265"/>
      <c r="P1986" s="265"/>
      <c r="Q1986" s="265"/>
      <c r="BR1986" s="265"/>
      <c r="BS1986" s="265"/>
      <c r="BT1986" s="265"/>
      <c r="BU1986" s="265"/>
      <c r="BV1986" s="265"/>
    </row>
    <row r="1987" spans="12:74">
      <c r="L1987" s="265"/>
      <c r="M1987" s="265"/>
      <c r="N1987" s="265"/>
      <c r="O1987" s="265"/>
      <c r="P1987" s="265"/>
      <c r="Q1987" s="265"/>
      <c r="BR1987" s="265"/>
      <c r="BS1987" s="265"/>
      <c r="BT1987" s="265"/>
      <c r="BU1987" s="265"/>
      <c r="BV1987" s="265"/>
    </row>
    <row r="1988" spans="12:74">
      <c r="L1988" s="265"/>
      <c r="M1988" s="265"/>
      <c r="N1988" s="265"/>
      <c r="O1988" s="265"/>
      <c r="P1988" s="265"/>
      <c r="Q1988" s="265"/>
      <c r="BR1988" s="265"/>
      <c r="BS1988" s="265"/>
      <c r="BT1988" s="265"/>
      <c r="BU1988" s="265"/>
      <c r="BV1988" s="265"/>
    </row>
    <row r="1989" spans="12:74">
      <c r="L1989" s="265"/>
      <c r="M1989" s="265"/>
      <c r="N1989" s="265"/>
      <c r="O1989" s="265"/>
      <c r="P1989" s="265"/>
      <c r="Q1989" s="265"/>
      <c r="BR1989" s="265"/>
      <c r="BS1989" s="265"/>
      <c r="BT1989" s="265"/>
      <c r="BU1989" s="265"/>
      <c r="BV1989" s="265"/>
    </row>
    <row r="1990" spans="12:74">
      <c r="L1990" s="265"/>
      <c r="M1990" s="265"/>
      <c r="N1990" s="265"/>
      <c r="O1990" s="265"/>
      <c r="P1990" s="265"/>
      <c r="Q1990" s="265"/>
      <c r="BR1990" s="265"/>
      <c r="BS1990" s="265"/>
      <c r="BT1990" s="265"/>
      <c r="BU1990" s="265"/>
      <c r="BV1990" s="265"/>
    </row>
    <row r="1991" spans="12:74">
      <c r="L1991" s="265"/>
      <c r="M1991" s="265"/>
      <c r="N1991" s="265"/>
      <c r="O1991" s="265"/>
      <c r="P1991" s="265"/>
      <c r="Q1991" s="265"/>
      <c r="BR1991" s="265"/>
      <c r="BS1991" s="265"/>
      <c r="BT1991" s="265"/>
      <c r="BU1991" s="265"/>
      <c r="BV1991" s="265"/>
    </row>
    <row r="1992" spans="12:74">
      <c r="L1992" s="265"/>
      <c r="M1992" s="265"/>
      <c r="N1992" s="265"/>
      <c r="O1992" s="265"/>
      <c r="P1992" s="265"/>
      <c r="Q1992" s="265"/>
      <c r="BR1992" s="265"/>
      <c r="BS1992" s="265"/>
      <c r="BT1992" s="265"/>
      <c r="BU1992" s="265"/>
      <c r="BV1992" s="265"/>
    </row>
    <row r="1993" spans="12:74">
      <c r="L1993" s="265"/>
      <c r="M1993" s="265"/>
      <c r="N1993" s="265"/>
      <c r="O1993" s="265"/>
      <c r="P1993" s="265"/>
      <c r="Q1993" s="265"/>
      <c r="BR1993" s="265"/>
      <c r="BS1993" s="265"/>
      <c r="BT1993" s="265"/>
      <c r="BU1993" s="265"/>
      <c r="BV1993" s="265"/>
    </row>
    <row r="1994" spans="12:74">
      <c r="L1994" s="265"/>
      <c r="M1994" s="265"/>
      <c r="N1994" s="265"/>
      <c r="O1994" s="265"/>
      <c r="P1994" s="265"/>
      <c r="Q1994" s="265"/>
      <c r="BR1994" s="265"/>
      <c r="BS1994" s="265"/>
      <c r="BT1994" s="265"/>
      <c r="BU1994" s="265"/>
      <c r="BV1994" s="265"/>
    </row>
    <row r="1995" spans="12:74">
      <c r="L1995" s="265"/>
      <c r="M1995" s="265"/>
      <c r="N1995" s="265"/>
      <c r="O1995" s="265"/>
      <c r="P1995" s="265"/>
      <c r="Q1995" s="265"/>
      <c r="BR1995" s="265"/>
      <c r="BS1995" s="265"/>
      <c r="BT1995" s="265"/>
      <c r="BU1995" s="265"/>
      <c r="BV1995" s="265"/>
    </row>
    <row r="1996" spans="12:74">
      <c r="L1996" s="265"/>
      <c r="M1996" s="265"/>
      <c r="N1996" s="265"/>
      <c r="O1996" s="265"/>
      <c r="P1996" s="265"/>
      <c r="Q1996" s="265"/>
      <c r="BR1996" s="265"/>
      <c r="BS1996" s="265"/>
      <c r="BT1996" s="265"/>
      <c r="BU1996" s="265"/>
      <c r="BV1996" s="265"/>
    </row>
    <row r="1997" spans="12:74">
      <c r="L1997" s="265"/>
      <c r="M1997" s="265"/>
      <c r="N1997" s="265"/>
      <c r="O1997" s="265"/>
      <c r="P1997" s="265"/>
      <c r="Q1997" s="265"/>
      <c r="BR1997" s="265"/>
      <c r="BS1997" s="265"/>
      <c r="BT1997" s="265"/>
      <c r="BU1997" s="265"/>
      <c r="BV1997" s="265"/>
    </row>
    <row r="1998" spans="12:74">
      <c r="L1998" s="265"/>
      <c r="M1998" s="265"/>
      <c r="N1998" s="265"/>
      <c r="O1998" s="265"/>
      <c r="P1998" s="265"/>
      <c r="Q1998" s="265"/>
      <c r="BR1998" s="265"/>
      <c r="BS1998" s="265"/>
      <c r="BT1998" s="265"/>
      <c r="BU1998" s="265"/>
      <c r="BV1998" s="265"/>
    </row>
    <row r="1999" spans="12:74">
      <c r="L1999" s="265"/>
      <c r="M1999" s="265"/>
      <c r="N1999" s="265"/>
      <c r="O1999" s="265"/>
      <c r="P1999" s="265"/>
      <c r="Q1999" s="265"/>
      <c r="BR1999" s="265"/>
      <c r="BS1999" s="265"/>
      <c r="BT1999" s="265"/>
      <c r="BU1999" s="265"/>
      <c r="BV1999" s="265"/>
    </row>
    <row r="2000" spans="12:74">
      <c r="L2000" s="265"/>
      <c r="M2000" s="265"/>
      <c r="N2000" s="265"/>
      <c r="O2000" s="265"/>
      <c r="P2000" s="265"/>
      <c r="Q2000" s="265"/>
      <c r="BR2000" s="265"/>
      <c r="BS2000" s="265"/>
      <c r="BT2000" s="265"/>
      <c r="BU2000" s="265"/>
      <c r="BV2000" s="265"/>
    </row>
    <row r="2001" spans="12:74">
      <c r="L2001" s="265"/>
      <c r="M2001" s="265"/>
      <c r="N2001" s="265"/>
      <c r="O2001" s="265"/>
      <c r="P2001" s="265"/>
      <c r="Q2001" s="265"/>
      <c r="BR2001" s="265"/>
      <c r="BS2001" s="265"/>
      <c r="BT2001" s="265"/>
      <c r="BU2001" s="265"/>
      <c r="BV2001" s="265"/>
    </row>
    <row r="2002" spans="12:74">
      <c r="L2002" s="265"/>
      <c r="M2002" s="265"/>
      <c r="N2002" s="265"/>
      <c r="O2002" s="265"/>
      <c r="P2002" s="265"/>
      <c r="Q2002" s="265"/>
      <c r="BR2002" s="265"/>
      <c r="BS2002" s="265"/>
      <c r="BT2002" s="265"/>
      <c r="BU2002" s="265"/>
      <c r="BV2002" s="265"/>
    </row>
    <row r="2003" spans="12:74">
      <c r="L2003" s="265"/>
      <c r="M2003" s="265"/>
      <c r="N2003" s="265"/>
      <c r="O2003" s="265"/>
      <c r="P2003" s="265"/>
      <c r="Q2003" s="265"/>
      <c r="BR2003" s="265"/>
      <c r="BS2003" s="265"/>
      <c r="BT2003" s="265"/>
      <c r="BU2003" s="265"/>
      <c r="BV2003" s="265"/>
    </row>
    <row r="2004" spans="12:74">
      <c r="L2004" s="265"/>
      <c r="M2004" s="265"/>
      <c r="N2004" s="265"/>
      <c r="O2004" s="265"/>
      <c r="P2004" s="265"/>
      <c r="Q2004" s="265"/>
      <c r="BR2004" s="265"/>
      <c r="BS2004" s="265"/>
      <c r="BT2004" s="265"/>
      <c r="BU2004" s="265"/>
      <c r="BV2004" s="265"/>
    </row>
    <row r="2005" spans="12:74">
      <c r="L2005" s="265"/>
      <c r="M2005" s="265"/>
      <c r="N2005" s="265"/>
      <c r="O2005" s="265"/>
      <c r="P2005" s="265"/>
      <c r="Q2005" s="265"/>
      <c r="BR2005" s="265"/>
      <c r="BS2005" s="265"/>
      <c r="BT2005" s="265"/>
      <c r="BU2005" s="265"/>
      <c r="BV2005" s="265"/>
    </row>
    <row r="2006" spans="12:74">
      <c r="L2006" s="265"/>
      <c r="M2006" s="265"/>
      <c r="N2006" s="265"/>
      <c r="O2006" s="265"/>
      <c r="P2006" s="265"/>
      <c r="Q2006" s="265"/>
      <c r="BR2006" s="265"/>
      <c r="BS2006" s="265"/>
      <c r="BT2006" s="265"/>
      <c r="BU2006" s="265"/>
      <c r="BV2006" s="265"/>
    </row>
    <row r="2007" spans="12:74">
      <c r="L2007" s="265"/>
      <c r="M2007" s="265"/>
      <c r="N2007" s="265"/>
      <c r="O2007" s="265"/>
      <c r="P2007" s="265"/>
      <c r="Q2007" s="265"/>
      <c r="BR2007" s="265"/>
      <c r="BS2007" s="265"/>
      <c r="BT2007" s="265"/>
      <c r="BU2007" s="265"/>
      <c r="BV2007" s="265"/>
    </row>
    <row r="2008" spans="12:74">
      <c r="L2008" s="265"/>
      <c r="M2008" s="265"/>
      <c r="N2008" s="265"/>
      <c r="O2008" s="265"/>
      <c r="P2008" s="265"/>
      <c r="Q2008" s="265"/>
      <c r="BR2008" s="265"/>
      <c r="BS2008" s="265"/>
      <c r="BT2008" s="265"/>
      <c r="BU2008" s="265"/>
      <c r="BV2008" s="265"/>
    </row>
    <row r="2009" spans="12:74">
      <c r="L2009" s="265"/>
      <c r="M2009" s="265"/>
      <c r="N2009" s="265"/>
      <c r="O2009" s="265"/>
      <c r="P2009" s="265"/>
      <c r="Q2009" s="265"/>
      <c r="BR2009" s="265"/>
      <c r="BS2009" s="265"/>
      <c r="BT2009" s="265"/>
      <c r="BU2009" s="265"/>
      <c r="BV2009" s="265"/>
    </row>
    <row r="2010" spans="12:74">
      <c r="L2010" s="265"/>
      <c r="M2010" s="265"/>
      <c r="N2010" s="265"/>
      <c r="O2010" s="265"/>
      <c r="P2010" s="265"/>
      <c r="Q2010" s="265"/>
      <c r="BR2010" s="265"/>
      <c r="BS2010" s="265"/>
      <c r="BT2010" s="265"/>
      <c r="BU2010" s="265"/>
      <c r="BV2010" s="265"/>
    </row>
    <row r="2011" spans="12:74">
      <c r="L2011" s="265"/>
      <c r="M2011" s="265"/>
      <c r="N2011" s="265"/>
      <c r="O2011" s="265"/>
      <c r="P2011" s="265"/>
      <c r="Q2011" s="265"/>
      <c r="BR2011" s="265"/>
      <c r="BS2011" s="265"/>
      <c r="BT2011" s="265"/>
      <c r="BU2011" s="265"/>
      <c r="BV2011" s="265"/>
    </row>
    <row r="2012" spans="12:74">
      <c r="L2012" s="265"/>
      <c r="M2012" s="265"/>
      <c r="N2012" s="265"/>
      <c r="O2012" s="265"/>
      <c r="P2012" s="265"/>
      <c r="Q2012" s="265"/>
      <c r="BR2012" s="265"/>
      <c r="BS2012" s="265"/>
      <c r="BT2012" s="265"/>
      <c r="BU2012" s="265"/>
      <c r="BV2012" s="265"/>
    </row>
    <row r="2013" spans="12:74">
      <c r="L2013" s="265"/>
      <c r="M2013" s="265"/>
      <c r="N2013" s="265"/>
      <c r="O2013" s="265"/>
      <c r="P2013" s="265"/>
      <c r="Q2013" s="265"/>
      <c r="BR2013" s="265"/>
      <c r="BS2013" s="265"/>
      <c r="BT2013" s="265"/>
      <c r="BU2013" s="265"/>
      <c r="BV2013" s="265"/>
    </row>
    <row r="2014" spans="12:74">
      <c r="L2014" s="265"/>
      <c r="M2014" s="265"/>
      <c r="N2014" s="265"/>
      <c r="O2014" s="265"/>
      <c r="P2014" s="265"/>
      <c r="Q2014" s="265"/>
      <c r="BR2014" s="265"/>
      <c r="BS2014" s="265"/>
      <c r="BT2014" s="265"/>
      <c r="BU2014" s="265"/>
      <c r="BV2014" s="265"/>
    </row>
    <row r="2015" spans="12:74">
      <c r="L2015" s="265"/>
      <c r="M2015" s="265"/>
      <c r="N2015" s="265"/>
      <c r="O2015" s="265"/>
      <c r="P2015" s="265"/>
      <c r="Q2015" s="265"/>
      <c r="BR2015" s="265"/>
      <c r="BS2015" s="265"/>
      <c r="BT2015" s="265"/>
      <c r="BU2015" s="265"/>
      <c r="BV2015" s="265"/>
    </row>
    <row r="2016" spans="12:74">
      <c r="L2016" s="265"/>
      <c r="M2016" s="265"/>
      <c r="N2016" s="265"/>
      <c r="O2016" s="265"/>
      <c r="P2016" s="265"/>
      <c r="Q2016" s="265"/>
      <c r="BR2016" s="265"/>
      <c r="BS2016" s="265"/>
      <c r="BT2016" s="265"/>
      <c r="BU2016" s="265"/>
      <c r="BV2016" s="265"/>
    </row>
    <row r="2017" spans="12:74">
      <c r="L2017" s="265"/>
      <c r="M2017" s="265"/>
      <c r="N2017" s="265"/>
      <c r="O2017" s="265"/>
      <c r="P2017" s="265"/>
      <c r="Q2017" s="265"/>
      <c r="BR2017" s="265"/>
      <c r="BS2017" s="265"/>
      <c r="BT2017" s="265"/>
      <c r="BU2017" s="265"/>
      <c r="BV2017" s="265"/>
    </row>
    <row r="2018" spans="12:74">
      <c r="L2018" s="265"/>
      <c r="M2018" s="265"/>
      <c r="N2018" s="265"/>
      <c r="O2018" s="265"/>
      <c r="P2018" s="265"/>
      <c r="Q2018" s="265"/>
      <c r="BR2018" s="265"/>
      <c r="BS2018" s="265"/>
      <c r="BT2018" s="265"/>
      <c r="BU2018" s="265"/>
      <c r="BV2018" s="265"/>
    </row>
    <row r="2019" spans="12:74">
      <c r="L2019" s="265"/>
      <c r="M2019" s="265"/>
      <c r="N2019" s="265"/>
      <c r="O2019" s="265"/>
      <c r="P2019" s="265"/>
      <c r="Q2019" s="265"/>
      <c r="BR2019" s="265"/>
      <c r="BS2019" s="265"/>
      <c r="BT2019" s="265"/>
      <c r="BU2019" s="265"/>
      <c r="BV2019" s="265"/>
    </row>
    <row r="2020" spans="12:74">
      <c r="L2020" s="265"/>
      <c r="M2020" s="265"/>
      <c r="N2020" s="265"/>
      <c r="O2020" s="265"/>
      <c r="P2020" s="265"/>
      <c r="Q2020" s="265"/>
      <c r="BR2020" s="265"/>
      <c r="BS2020" s="265"/>
      <c r="BT2020" s="265"/>
      <c r="BU2020" s="265"/>
      <c r="BV2020" s="265"/>
    </row>
    <row r="2021" spans="12:74">
      <c r="L2021" s="265"/>
      <c r="M2021" s="265"/>
      <c r="N2021" s="265"/>
      <c r="O2021" s="265"/>
      <c r="P2021" s="265"/>
      <c r="Q2021" s="265"/>
      <c r="BR2021" s="265"/>
      <c r="BS2021" s="265"/>
      <c r="BT2021" s="265"/>
      <c r="BU2021" s="265"/>
      <c r="BV2021" s="265"/>
    </row>
    <row r="2022" spans="12:74">
      <c r="L2022" s="265"/>
      <c r="M2022" s="265"/>
      <c r="N2022" s="265"/>
      <c r="O2022" s="265"/>
      <c r="P2022" s="265"/>
      <c r="Q2022" s="265"/>
      <c r="BR2022" s="265"/>
      <c r="BS2022" s="265"/>
      <c r="BT2022" s="265"/>
      <c r="BU2022" s="265"/>
      <c r="BV2022" s="265"/>
    </row>
    <row r="2023" spans="12:74">
      <c r="L2023" s="265"/>
      <c r="M2023" s="265"/>
      <c r="N2023" s="265"/>
      <c r="O2023" s="265"/>
      <c r="P2023" s="265"/>
      <c r="Q2023" s="265"/>
      <c r="BR2023" s="265"/>
      <c r="BS2023" s="265"/>
      <c r="BT2023" s="265"/>
      <c r="BU2023" s="265"/>
      <c r="BV2023" s="265"/>
    </row>
    <row r="2024" spans="12:74">
      <c r="L2024" s="265"/>
      <c r="M2024" s="265"/>
      <c r="N2024" s="265"/>
      <c r="O2024" s="265"/>
      <c r="P2024" s="265"/>
      <c r="Q2024" s="265"/>
      <c r="BR2024" s="265"/>
      <c r="BS2024" s="265"/>
      <c r="BT2024" s="265"/>
      <c r="BU2024" s="265"/>
      <c r="BV2024" s="265"/>
    </row>
    <row r="2025" spans="12:74">
      <c r="L2025" s="265"/>
      <c r="M2025" s="265"/>
      <c r="N2025" s="265"/>
      <c r="O2025" s="265"/>
      <c r="P2025" s="265"/>
      <c r="Q2025" s="265"/>
      <c r="BR2025" s="265"/>
      <c r="BS2025" s="265"/>
      <c r="BT2025" s="265"/>
      <c r="BU2025" s="265"/>
      <c r="BV2025" s="265"/>
    </row>
    <row r="2026" spans="12:74">
      <c r="L2026" s="265"/>
      <c r="M2026" s="265"/>
      <c r="N2026" s="265"/>
      <c r="O2026" s="265"/>
      <c r="P2026" s="265"/>
      <c r="Q2026" s="265"/>
      <c r="BR2026" s="265"/>
      <c r="BS2026" s="265"/>
      <c r="BT2026" s="265"/>
      <c r="BU2026" s="265"/>
      <c r="BV2026" s="265"/>
    </row>
    <row r="2027" spans="12:74">
      <c r="L2027" s="265"/>
      <c r="M2027" s="265"/>
      <c r="N2027" s="265"/>
      <c r="O2027" s="265"/>
      <c r="P2027" s="265"/>
      <c r="Q2027" s="265"/>
      <c r="BR2027" s="265"/>
      <c r="BS2027" s="265"/>
      <c r="BT2027" s="265"/>
      <c r="BU2027" s="265"/>
      <c r="BV2027" s="265"/>
    </row>
    <row r="2028" spans="12:74">
      <c r="L2028" s="265"/>
      <c r="M2028" s="265"/>
      <c r="N2028" s="265"/>
      <c r="O2028" s="265"/>
      <c r="P2028" s="265"/>
      <c r="Q2028" s="265"/>
      <c r="BR2028" s="265"/>
      <c r="BS2028" s="265"/>
      <c r="BT2028" s="265"/>
      <c r="BU2028" s="265"/>
      <c r="BV2028" s="265"/>
    </row>
    <row r="2029" spans="12:74">
      <c r="L2029" s="265"/>
      <c r="M2029" s="265"/>
      <c r="N2029" s="265"/>
      <c r="O2029" s="265"/>
      <c r="P2029" s="265"/>
      <c r="Q2029" s="265"/>
      <c r="BR2029" s="265"/>
      <c r="BS2029" s="265"/>
      <c r="BT2029" s="265"/>
      <c r="BU2029" s="265"/>
      <c r="BV2029" s="265"/>
    </row>
    <row r="2030" spans="12:74">
      <c r="L2030" s="265"/>
      <c r="M2030" s="265"/>
      <c r="N2030" s="265"/>
      <c r="O2030" s="265"/>
      <c r="P2030" s="265"/>
      <c r="Q2030" s="265"/>
      <c r="BR2030" s="265"/>
      <c r="BS2030" s="265"/>
      <c r="BT2030" s="265"/>
      <c r="BU2030" s="265"/>
      <c r="BV2030" s="265"/>
    </row>
    <row r="2031" spans="12:74">
      <c r="L2031" s="265"/>
      <c r="M2031" s="265"/>
      <c r="N2031" s="265"/>
      <c r="O2031" s="265"/>
      <c r="P2031" s="265"/>
      <c r="Q2031" s="265"/>
      <c r="BR2031" s="265"/>
      <c r="BS2031" s="265"/>
      <c r="BT2031" s="265"/>
      <c r="BU2031" s="265"/>
      <c r="BV2031" s="265"/>
    </row>
    <row r="2032" spans="12:74">
      <c r="L2032" s="265"/>
      <c r="M2032" s="265"/>
      <c r="N2032" s="265"/>
      <c r="O2032" s="265"/>
      <c r="P2032" s="265"/>
      <c r="Q2032" s="265"/>
      <c r="BR2032" s="265"/>
      <c r="BS2032" s="265"/>
      <c r="BT2032" s="265"/>
      <c r="BU2032" s="265"/>
      <c r="BV2032" s="265"/>
    </row>
    <row r="2033" spans="12:74">
      <c r="L2033" s="265"/>
      <c r="M2033" s="265"/>
      <c r="N2033" s="265"/>
      <c r="O2033" s="265"/>
      <c r="P2033" s="265"/>
      <c r="Q2033" s="265"/>
      <c r="BR2033" s="265"/>
      <c r="BS2033" s="265"/>
      <c r="BT2033" s="265"/>
      <c r="BU2033" s="265"/>
      <c r="BV2033" s="265"/>
    </row>
    <row r="2034" spans="12:74">
      <c r="L2034" s="265"/>
      <c r="M2034" s="265"/>
      <c r="N2034" s="265"/>
      <c r="O2034" s="265"/>
      <c r="P2034" s="265"/>
      <c r="Q2034" s="265"/>
      <c r="BR2034" s="265"/>
      <c r="BS2034" s="265"/>
      <c r="BT2034" s="265"/>
      <c r="BU2034" s="265"/>
      <c r="BV2034" s="265"/>
    </row>
    <row r="2035" spans="12:74">
      <c r="L2035" s="265"/>
      <c r="M2035" s="265"/>
      <c r="N2035" s="265"/>
      <c r="O2035" s="265"/>
      <c r="P2035" s="265"/>
      <c r="Q2035" s="265"/>
      <c r="BR2035" s="265"/>
      <c r="BS2035" s="265"/>
      <c r="BT2035" s="265"/>
      <c r="BU2035" s="265"/>
      <c r="BV2035" s="265"/>
    </row>
    <row r="2036" spans="12:74">
      <c r="L2036" s="265"/>
      <c r="M2036" s="265"/>
      <c r="N2036" s="265"/>
      <c r="O2036" s="265"/>
      <c r="P2036" s="265"/>
      <c r="Q2036" s="265"/>
      <c r="BR2036" s="265"/>
      <c r="BS2036" s="265"/>
      <c r="BT2036" s="265"/>
      <c r="BU2036" s="265"/>
      <c r="BV2036" s="265"/>
    </row>
    <row r="2037" spans="12:74">
      <c r="L2037" s="265"/>
      <c r="M2037" s="265"/>
      <c r="N2037" s="265"/>
      <c r="O2037" s="265"/>
      <c r="P2037" s="265"/>
      <c r="Q2037" s="265"/>
      <c r="BR2037" s="265"/>
      <c r="BS2037" s="265"/>
      <c r="BT2037" s="265"/>
      <c r="BU2037" s="265"/>
      <c r="BV2037" s="265"/>
    </row>
    <row r="2038" spans="12:74">
      <c r="L2038" s="265"/>
      <c r="M2038" s="265"/>
      <c r="N2038" s="265"/>
      <c r="O2038" s="265"/>
      <c r="P2038" s="265"/>
      <c r="Q2038" s="265"/>
      <c r="BR2038" s="265"/>
      <c r="BS2038" s="265"/>
      <c r="BT2038" s="265"/>
      <c r="BU2038" s="265"/>
      <c r="BV2038" s="265"/>
    </row>
    <row r="2039" spans="12:74">
      <c r="L2039" s="265"/>
      <c r="M2039" s="265"/>
      <c r="N2039" s="265"/>
      <c r="O2039" s="265"/>
      <c r="P2039" s="265"/>
      <c r="Q2039" s="265"/>
      <c r="BR2039" s="265"/>
      <c r="BS2039" s="265"/>
      <c r="BT2039" s="265"/>
      <c r="BU2039" s="265"/>
      <c r="BV2039" s="265"/>
    </row>
    <row r="2040" spans="12:74">
      <c r="L2040" s="265"/>
      <c r="M2040" s="265"/>
      <c r="N2040" s="265"/>
      <c r="O2040" s="265"/>
      <c r="P2040" s="265"/>
      <c r="Q2040" s="265"/>
      <c r="BR2040" s="265"/>
      <c r="BS2040" s="265"/>
      <c r="BT2040" s="265"/>
      <c r="BU2040" s="265"/>
      <c r="BV2040" s="265"/>
    </row>
    <row r="2041" spans="12:74">
      <c r="L2041" s="265"/>
      <c r="M2041" s="265"/>
      <c r="N2041" s="265"/>
      <c r="O2041" s="265"/>
      <c r="P2041" s="265"/>
      <c r="Q2041" s="265"/>
      <c r="BR2041" s="265"/>
      <c r="BS2041" s="265"/>
      <c r="BT2041" s="265"/>
      <c r="BU2041" s="265"/>
      <c r="BV2041" s="265"/>
    </row>
    <row r="2042" spans="12:74">
      <c r="L2042" s="265"/>
      <c r="M2042" s="265"/>
      <c r="N2042" s="265"/>
      <c r="O2042" s="265"/>
      <c r="P2042" s="265"/>
      <c r="Q2042" s="265"/>
      <c r="BR2042" s="265"/>
      <c r="BS2042" s="265"/>
      <c r="BT2042" s="265"/>
      <c r="BU2042" s="265"/>
      <c r="BV2042" s="265"/>
    </row>
    <row r="2043" spans="12:74">
      <c r="L2043" s="265"/>
      <c r="M2043" s="265"/>
      <c r="N2043" s="265"/>
      <c r="O2043" s="265"/>
      <c r="P2043" s="265"/>
      <c r="Q2043" s="265"/>
      <c r="BR2043" s="265"/>
      <c r="BS2043" s="265"/>
      <c r="BT2043" s="265"/>
      <c r="BU2043" s="265"/>
      <c r="BV2043" s="265"/>
    </row>
    <row r="2044" spans="12:74">
      <c r="L2044" s="265"/>
      <c r="M2044" s="265"/>
      <c r="N2044" s="265"/>
      <c r="O2044" s="265"/>
      <c r="P2044" s="265"/>
      <c r="Q2044" s="265"/>
      <c r="BR2044" s="265"/>
      <c r="BS2044" s="265"/>
      <c r="BT2044" s="265"/>
      <c r="BU2044" s="265"/>
      <c r="BV2044" s="265"/>
    </row>
    <row r="2045" spans="12:74">
      <c r="L2045" s="265"/>
      <c r="M2045" s="265"/>
      <c r="N2045" s="265"/>
      <c r="O2045" s="265"/>
      <c r="P2045" s="265"/>
      <c r="Q2045" s="265"/>
      <c r="BR2045" s="265"/>
      <c r="BS2045" s="265"/>
      <c r="BT2045" s="265"/>
      <c r="BU2045" s="265"/>
      <c r="BV2045" s="265"/>
    </row>
    <row r="2046" spans="12:74">
      <c r="L2046" s="265"/>
      <c r="M2046" s="265"/>
      <c r="N2046" s="265"/>
      <c r="O2046" s="265"/>
      <c r="P2046" s="265"/>
      <c r="Q2046" s="265"/>
      <c r="BR2046" s="265"/>
      <c r="BS2046" s="265"/>
      <c r="BT2046" s="265"/>
      <c r="BU2046" s="265"/>
      <c r="BV2046" s="265"/>
    </row>
    <row r="2047" spans="12:74">
      <c r="L2047" s="265"/>
      <c r="M2047" s="265"/>
      <c r="N2047" s="265"/>
      <c r="O2047" s="265"/>
      <c r="P2047" s="265"/>
      <c r="Q2047" s="265"/>
      <c r="BR2047" s="265"/>
      <c r="BS2047" s="265"/>
      <c r="BT2047" s="265"/>
      <c r="BU2047" s="265"/>
      <c r="BV2047" s="265"/>
    </row>
    <row r="2048" spans="12:74">
      <c r="L2048" s="265"/>
      <c r="M2048" s="265"/>
      <c r="N2048" s="265"/>
      <c r="O2048" s="265"/>
      <c r="P2048" s="265"/>
      <c r="Q2048" s="265"/>
      <c r="BR2048" s="265"/>
      <c r="BS2048" s="265"/>
      <c r="BT2048" s="265"/>
      <c r="BU2048" s="265"/>
      <c r="BV2048" s="265"/>
    </row>
    <row r="2049" spans="12:74">
      <c r="L2049" s="265"/>
      <c r="M2049" s="265"/>
      <c r="N2049" s="265"/>
      <c r="O2049" s="265"/>
      <c r="P2049" s="265"/>
      <c r="Q2049" s="265"/>
      <c r="BR2049" s="265"/>
      <c r="BS2049" s="265"/>
      <c r="BT2049" s="265"/>
      <c r="BU2049" s="265"/>
      <c r="BV2049" s="265"/>
    </row>
    <row r="2050" spans="12:74">
      <c r="L2050" s="265"/>
      <c r="M2050" s="265"/>
      <c r="N2050" s="265"/>
      <c r="O2050" s="265"/>
      <c r="P2050" s="265"/>
      <c r="Q2050" s="265"/>
      <c r="BR2050" s="265"/>
      <c r="BS2050" s="265"/>
      <c r="BT2050" s="265"/>
      <c r="BU2050" s="265"/>
      <c r="BV2050" s="265"/>
    </row>
    <row r="2051" spans="12:74">
      <c r="L2051" s="265"/>
      <c r="M2051" s="265"/>
      <c r="N2051" s="265"/>
      <c r="O2051" s="265"/>
      <c r="P2051" s="265"/>
      <c r="Q2051" s="265"/>
      <c r="BR2051" s="265"/>
      <c r="BS2051" s="265"/>
      <c r="BT2051" s="265"/>
      <c r="BU2051" s="265"/>
      <c r="BV2051" s="265"/>
    </row>
    <row r="2052" spans="12:74">
      <c r="L2052" s="265"/>
      <c r="M2052" s="265"/>
      <c r="N2052" s="265"/>
      <c r="O2052" s="265"/>
      <c r="P2052" s="265"/>
      <c r="Q2052" s="265"/>
      <c r="BR2052" s="265"/>
      <c r="BS2052" s="265"/>
      <c r="BT2052" s="265"/>
      <c r="BU2052" s="265"/>
      <c r="BV2052" s="265"/>
    </row>
    <row r="2053" spans="12:74">
      <c r="L2053" s="265"/>
      <c r="M2053" s="265"/>
      <c r="N2053" s="265"/>
      <c r="O2053" s="265"/>
      <c r="P2053" s="265"/>
      <c r="Q2053" s="265"/>
      <c r="BR2053" s="265"/>
      <c r="BS2053" s="265"/>
      <c r="BT2053" s="265"/>
      <c r="BU2053" s="265"/>
      <c r="BV2053" s="265"/>
    </row>
    <row r="2054" spans="12:74">
      <c r="L2054" s="265"/>
      <c r="M2054" s="265"/>
      <c r="N2054" s="265"/>
      <c r="O2054" s="265"/>
      <c r="P2054" s="265"/>
      <c r="Q2054" s="265"/>
      <c r="BR2054" s="265"/>
      <c r="BS2054" s="265"/>
      <c r="BT2054" s="265"/>
      <c r="BU2054" s="265"/>
      <c r="BV2054" s="265"/>
    </row>
    <row r="2055" spans="12:74">
      <c r="L2055" s="265"/>
      <c r="M2055" s="265"/>
      <c r="N2055" s="265"/>
      <c r="O2055" s="265"/>
      <c r="P2055" s="265"/>
      <c r="Q2055" s="265"/>
      <c r="BR2055" s="265"/>
      <c r="BS2055" s="265"/>
      <c r="BT2055" s="265"/>
      <c r="BU2055" s="265"/>
      <c r="BV2055" s="265"/>
    </row>
    <row r="2056" spans="12:74">
      <c r="L2056" s="265"/>
      <c r="M2056" s="265"/>
      <c r="N2056" s="265"/>
      <c r="O2056" s="265"/>
      <c r="P2056" s="265"/>
      <c r="Q2056" s="265"/>
      <c r="BR2056" s="265"/>
      <c r="BS2056" s="265"/>
      <c r="BT2056" s="265"/>
      <c r="BU2056" s="265"/>
      <c r="BV2056" s="265"/>
    </row>
    <row r="2057" spans="12:74">
      <c r="L2057" s="265"/>
      <c r="M2057" s="265"/>
      <c r="N2057" s="265"/>
      <c r="O2057" s="265"/>
      <c r="P2057" s="265"/>
      <c r="Q2057" s="265"/>
      <c r="BR2057" s="265"/>
      <c r="BS2057" s="265"/>
      <c r="BT2057" s="265"/>
      <c r="BU2057" s="265"/>
      <c r="BV2057" s="265"/>
    </row>
    <row r="2058" spans="12:74">
      <c r="L2058" s="265"/>
      <c r="M2058" s="265"/>
      <c r="N2058" s="265"/>
      <c r="O2058" s="265"/>
      <c r="P2058" s="265"/>
      <c r="Q2058" s="265"/>
      <c r="BR2058" s="265"/>
      <c r="BS2058" s="265"/>
      <c r="BT2058" s="265"/>
      <c r="BU2058" s="265"/>
      <c r="BV2058" s="265"/>
    </row>
    <row r="2059" spans="12:74">
      <c r="L2059" s="265"/>
      <c r="M2059" s="265"/>
      <c r="N2059" s="265"/>
      <c r="O2059" s="265"/>
      <c r="P2059" s="265"/>
      <c r="Q2059" s="265"/>
      <c r="BR2059" s="265"/>
      <c r="BS2059" s="265"/>
      <c r="BT2059" s="265"/>
      <c r="BU2059" s="265"/>
      <c r="BV2059" s="265"/>
    </row>
    <row r="2060" spans="12:74">
      <c r="L2060" s="265"/>
      <c r="M2060" s="265"/>
      <c r="N2060" s="265"/>
      <c r="O2060" s="265"/>
      <c r="P2060" s="265"/>
      <c r="Q2060" s="265"/>
      <c r="BR2060" s="265"/>
      <c r="BS2060" s="265"/>
      <c r="BT2060" s="265"/>
      <c r="BU2060" s="265"/>
      <c r="BV2060" s="265"/>
    </row>
    <row r="2061" spans="12:74">
      <c r="L2061" s="265"/>
      <c r="M2061" s="265"/>
      <c r="N2061" s="265"/>
      <c r="O2061" s="265"/>
      <c r="P2061" s="265"/>
      <c r="Q2061" s="265"/>
      <c r="BR2061" s="265"/>
      <c r="BS2061" s="265"/>
      <c r="BT2061" s="265"/>
      <c r="BU2061" s="265"/>
      <c r="BV2061" s="265"/>
    </row>
    <row r="2062" spans="12:74">
      <c r="L2062" s="265"/>
      <c r="M2062" s="265"/>
      <c r="N2062" s="265"/>
      <c r="O2062" s="265"/>
      <c r="P2062" s="265"/>
      <c r="Q2062" s="265"/>
      <c r="BR2062" s="265"/>
      <c r="BS2062" s="265"/>
      <c r="BT2062" s="265"/>
      <c r="BU2062" s="265"/>
      <c r="BV2062" s="265"/>
    </row>
    <row r="2063" spans="12:74">
      <c r="L2063" s="265"/>
      <c r="M2063" s="265"/>
      <c r="N2063" s="265"/>
      <c r="O2063" s="265"/>
      <c r="P2063" s="265"/>
      <c r="Q2063" s="265"/>
      <c r="BR2063" s="265"/>
      <c r="BS2063" s="265"/>
      <c r="BT2063" s="265"/>
      <c r="BU2063" s="265"/>
      <c r="BV2063" s="265"/>
    </row>
    <row r="2064" spans="12:74">
      <c r="L2064" s="265"/>
      <c r="M2064" s="265"/>
      <c r="N2064" s="265"/>
      <c r="O2064" s="265"/>
      <c r="P2064" s="265"/>
      <c r="Q2064" s="265"/>
      <c r="BR2064" s="265"/>
      <c r="BS2064" s="265"/>
      <c r="BT2064" s="265"/>
      <c r="BU2064" s="265"/>
      <c r="BV2064" s="265"/>
    </row>
    <row r="2065" spans="12:74">
      <c r="L2065" s="265"/>
      <c r="M2065" s="265"/>
      <c r="N2065" s="265"/>
      <c r="O2065" s="265"/>
      <c r="P2065" s="265"/>
      <c r="Q2065" s="265"/>
      <c r="BR2065" s="265"/>
      <c r="BS2065" s="265"/>
      <c r="BT2065" s="265"/>
      <c r="BU2065" s="265"/>
      <c r="BV2065" s="265"/>
    </row>
    <row r="2066" spans="12:74">
      <c r="L2066" s="265"/>
      <c r="M2066" s="265"/>
      <c r="N2066" s="265"/>
      <c r="O2066" s="265"/>
      <c r="P2066" s="265"/>
      <c r="Q2066" s="265"/>
      <c r="BR2066" s="265"/>
      <c r="BS2066" s="265"/>
      <c r="BT2066" s="265"/>
      <c r="BU2066" s="265"/>
      <c r="BV2066" s="265"/>
    </row>
    <row r="2067" spans="12:74">
      <c r="L2067" s="265"/>
      <c r="M2067" s="265"/>
      <c r="N2067" s="265"/>
      <c r="O2067" s="265"/>
      <c r="P2067" s="265"/>
      <c r="Q2067" s="265"/>
      <c r="BR2067" s="265"/>
      <c r="BS2067" s="265"/>
      <c r="BT2067" s="265"/>
      <c r="BU2067" s="265"/>
      <c r="BV2067" s="265"/>
    </row>
    <row r="2068" spans="12:74">
      <c r="L2068" s="265"/>
      <c r="M2068" s="265"/>
      <c r="N2068" s="265"/>
      <c r="O2068" s="265"/>
      <c r="P2068" s="265"/>
      <c r="Q2068" s="265"/>
      <c r="BR2068" s="265"/>
      <c r="BS2068" s="265"/>
      <c r="BT2068" s="265"/>
      <c r="BU2068" s="265"/>
      <c r="BV2068" s="265"/>
    </row>
    <row r="2069" spans="12:74">
      <c r="L2069" s="265"/>
      <c r="M2069" s="265"/>
      <c r="N2069" s="265"/>
      <c r="O2069" s="265"/>
      <c r="P2069" s="265"/>
      <c r="Q2069" s="265"/>
      <c r="BR2069" s="265"/>
      <c r="BS2069" s="265"/>
      <c r="BT2069" s="265"/>
      <c r="BU2069" s="265"/>
      <c r="BV2069" s="265"/>
    </row>
    <row r="2070" spans="12:74">
      <c r="L2070" s="265"/>
      <c r="M2070" s="265"/>
      <c r="N2070" s="265"/>
      <c r="O2070" s="265"/>
      <c r="P2070" s="265"/>
      <c r="Q2070" s="265"/>
      <c r="BR2070" s="265"/>
      <c r="BS2070" s="265"/>
      <c r="BT2070" s="265"/>
      <c r="BU2070" s="265"/>
      <c r="BV2070" s="265"/>
    </row>
    <row r="2071" spans="12:74">
      <c r="L2071" s="265"/>
      <c r="M2071" s="265"/>
      <c r="N2071" s="265"/>
      <c r="O2071" s="265"/>
      <c r="P2071" s="265"/>
      <c r="Q2071" s="265"/>
      <c r="BR2071" s="265"/>
      <c r="BS2071" s="265"/>
      <c r="BT2071" s="265"/>
      <c r="BU2071" s="265"/>
      <c r="BV2071" s="265"/>
    </row>
    <row r="2072" spans="12:74">
      <c r="L2072" s="265"/>
      <c r="M2072" s="265"/>
      <c r="N2072" s="265"/>
      <c r="O2072" s="265"/>
      <c r="P2072" s="265"/>
      <c r="Q2072" s="265"/>
      <c r="BR2072" s="265"/>
      <c r="BS2072" s="265"/>
      <c r="BT2072" s="265"/>
      <c r="BU2072" s="265"/>
      <c r="BV2072" s="265"/>
    </row>
    <row r="2073" spans="12:74">
      <c r="L2073" s="265"/>
      <c r="M2073" s="265"/>
      <c r="N2073" s="265"/>
      <c r="O2073" s="265"/>
      <c r="P2073" s="265"/>
      <c r="Q2073" s="265"/>
      <c r="BR2073" s="265"/>
      <c r="BS2073" s="265"/>
      <c r="BT2073" s="265"/>
      <c r="BU2073" s="265"/>
      <c r="BV2073" s="265"/>
    </row>
    <row r="2074" spans="12:74">
      <c r="L2074" s="265"/>
      <c r="M2074" s="265"/>
      <c r="N2074" s="265"/>
      <c r="O2074" s="265"/>
      <c r="P2074" s="265"/>
      <c r="Q2074" s="265"/>
      <c r="BR2074" s="265"/>
      <c r="BS2074" s="265"/>
      <c r="BT2074" s="265"/>
      <c r="BU2074" s="265"/>
      <c r="BV2074" s="265"/>
    </row>
    <row r="2075" spans="12:74">
      <c r="L2075" s="265"/>
      <c r="M2075" s="265"/>
      <c r="N2075" s="265"/>
      <c r="O2075" s="265"/>
      <c r="P2075" s="265"/>
      <c r="Q2075" s="265"/>
      <c r="BR2075" s="265"/>
      <c r="BS2075" s="265"/>
      <c r="BT2075" s="265"/>
      <c r="BU2075" s="265"/>
      <c r="BV2075" s="265"/>
    </row>
    <row r="2076" spans="12:74">
      <c r="L2076" s="265"/>
      <c r="M2076" s="265"/>
      <c r="N2076" s="265"/>
      <c r="O2076" s="265"/>
      <c r="P2076" s="265"/>
      <c r="Q2076" s="265"/>
      <c r="BR2076" s="265"/>
      <c r="BS2076" s="265"/>
      <c r="BT2076" s="265"/>
      <c r="BU2076" s="265"/>
      <c r="BV2076" s="265"/>
    </row>
    <row r="2077" spans="12:74">
      <c r="L2077" s="265"/>
      <c r="M2077" s="265"/>
      <c r="N2077" s="265"/>
      <c r="O2077" s="265"/>
      <c r="P2077" s="265"/>
      <c r="Q2077" s="265"/>
      <c r="BR2077" s="265"/>
      <c r="BS2077" s="265"/>
      <c r="BT2077" s="265"/>
      <c r="BU2077" s="265"/>
      <c r="BV2077" s="265"/>
    </row>
    <row r="2078" spans="12:74">
      <c r="L2078" s="265"/>
      <c r="M2078" s="265"/>
      <c r="N2078" s="265"/>
      <c r="O2078" s="265"/>
      <c r="P2078" s="265"/>
      <c r="Q2078" s="265"/>
      <c r="BR2078" s="265"/>
      <c r="BS2078" s="265"/>
      <c r="BT2078" s="265"/>
      <c r="BU2078" s="265"/>
      <c r="BV2078" s="265"/>
    </row>
    <row r="2079" spans="12:74">
      <c r="L2079" s="265"/>
      <c r="M2079" s="265"/>
      <c r="N2079" s="265"/>
      <c r="O2079" s="265"/>
      <c r="P2079" s="265"/>
      <c r="Q2079" s="265"/>
      <c r="BR2079" s="265"/>
      <c r="BS2079" s="265"/>
      <c r="BT2079" s="265"/>
      <c r="BU2079" s="265"/>
      <c r="BV2079" s="265"/>
    </row>
    <row r="2080" spans="12:74">
      <c r="L2080" s="265"/>
      <c r="M2080" s="265"/>
      <c r="N2080" s="265"/>
      <c r="O2080" s="265"/>
      <c r="P2080" s="265"/>
      <c r="Q2080" s="265"/>
      <c r="BR2080" s="265"/>
      <c r="BS2080" s="265"/>
      <c r="BT2080" s="265"/>
      <c r="BU2080" s="265"/>
      <c r="BV2080" s="265"/>
    </row>
    <row r="2081" spans="12:74">
      <c r="L2081" s="265"/>
      <c r="M2081" s="265"/>
      <c r="N2081" s="265"/>
      <c r="O2081" s="265"/>
      <c r="P2081" s="265"/>
      <c r="Q2081" s="265"/>
      <c r="BR2081" s="265"/>
      <c r="BS2081" s="265"/>
      <c r="BT2081" s="265"/>
      <c r="BU2081" s="265"/>
      <c r="BV2081" s="265"/>
    </row>
    <row r="2082" spans="12:74">
      <c r="L2082" s="265"/>
      <c r="M2082" s="265"/>
      <c r="N2082" s="265"/>
      <c r="O2082" s="265"/>
      <c r="P2082" s="265"/>
      <c r="Q2082" s="265"/>
      <c r="BR2082" s="265"/>
      <c r="BS2082" s="265"/>
      <c r="BT2082" s="265"/>
      <c r="BU2082" s="265"/>
      <c r="BV2082" s="265"/>
    </row>
    <row r="2083" spans="12:74">
      <c r="L2083" s="265"/>
      <c r="M2083" s="265"/>
      <c r="N2083" s="265"/>
      <c r="O2083" s="265"/>
      <c r="P2083" s="265"/>
      <c r="Q2083" s="265"/>
      <c r="BR2083" s="265"/>
      <c r="BS2083" s="265"/>
      <c r="BT2083" s="265"/>
      <c r="BU2083" s="265"/>
      <c r="BV2083" s="265"/>
    </row>
    <row r="2084" spans="12:74">
      <c r="L2084" s="265"/>
      <c r="M2084" s="265"/>
      <c r="N2084" s="265"/>
      <c r="O2084" s="265"/>
      <c r="P2084" s="265"/>
      <c r="Q2084" s="265"/>
      <c r="BR2084" s="265"/>
      <c r="BS2084" s="265"/>
      <c r="BT2084" s="265"/>
      <c r="BU2084" s="265"/>
      <c r="BV2084" s="265"/>
    </row>
    <row r="2085" spans="12:74">
      <c r="L2085" s="265"/>
      <c r="M2085" s="265"/>
      <c r="N2085" s="265"/>
      <c r="O2085" s="265"/>
      <c r="P2085" s="265"/>
      <c r="Q2085" s="265"/>
      <c r="BR2085" s="265"/>
      <c r="BS2085" s="265"/>
      <c r="BT2085" s="265"/>
      <c r="BU2085" s="265"/>
      <c r="BV2085" s="265"/>
    </row>
    <row r="2086" spans="12:74">
      <c r="L2086" s="265"/>
      <c r="M2086" s="265"/>
      <c r="N2086" s="265"/>
      <c r="O2086" s="265"/>
      <c r="P2086" s="265"/>
      <c r="Q2086" s="265"/>
      <c r="BR2086" s="265"/>
      <c r="BS2086" s="265"/>
      <c r="BT2086" s="265"/>
      <c r="BU2086" s="265"/>
      <c r="BV2086" s="265"/>
    </row>
    <row r="2087" spans="12:74">
      <c r="L2087" s="265"/>
      <c r="M2087" s="265"/>
      <c r="N2087" s="265"/>
      <c r="O2087" s="265"/>
      <c r="P2087" s="265"/>
      <c r="Q2087" s="265"/>
      <c r="BR2087" s="265"/>
      <c r="BS2087" s="265"/>
      <c r="BT2087" s="265"/>
      <c r="BU2087" s="265"/>
      <c r="BV2087" s="265"/>
    </row>
    <row r="2088" spans="12:74">
      <c r="L2088" s="265"/>
      <c r="M2088" s="265"/>
      <c r="N2088" s="265"/>
      <c r="O2088" s="265"/>
      <c r="P2088" s="265"/>
      <c r="Q2088" s="265"/>
      <c r="BR2088" s="265"/>
      <c r="BS2088" s="265"/>
      <c r="BT2088" s="265"/>
      <c r="BU2088" s="265"/>
      <c r="BV2088" s="265"/>
    </row>
    <row r="2089" spans="12:74">
      <c r="L2089" s="265"/>
      <c r="M2089" s="265"/>
      <c r="N2089" s="265"/>
      <c r="O2089" s="265"/>
      <c r="P2089" s="265"/>
      <c r="Q2089" s="265"/>
      <c r="BR2089" s="265"/>
      <c r="BS2089" s="265"/>
      <c r="BT2089" s="265"/>
      <c r="BU2089" s="265"/>
      <c r="BV2089" s="265"/>
    </row>
    <row r="2090" spans="12:74">
      <c r="L2090" s="265"/>
      <c r="M2090" s="265"/>
      <c r="N2090" s="265"/>
      <c r="O2090" s="265"/>
      <c r="P2090" s="265"/>
      <c r="Q2090" s="265"/>
      <c r="BR2090" s="265"/>
      <c r="BS2090" s="265"/>
      <c r="BT2090" s="265"/>
      <c r="BU2090" s="265"/>
      <c r="BV2090" s="265"/>
    </row>
    <row r="2091" spans="12:74">
      <c r="L2091" s="265"/>
      <c r="M2091" s="265"/>
      <c r="N2091" s="265"/>
      <c r="O2091" s="265"/>
      <c r="P2091" s="265"/>
      <c r="Q2091" s="265"/>
      <c r="BR2091" s="265"/>
      <c r="BS2091" s="265"/>
      <c r="BT2091" s="265"/>
      <c r="BU2091" s="265"/>
      <c r="BV2091" s="265"/>
    </row>
    <row r="2092" spans="12:74">
      <c r="L2092" s="265"/>
      <c r="M2092" s="265"/>
      <c r="N2092" s="265"/>
      <c r="O2092" s="265"/>
      <c r="P2092" s="265"/>
      <c r="Q2092" s="265"/>
      <c r="BR2092" s="265"/>
      <c r="BS2092" s="265"/>
      <c r="BT2092" s="265"/>
      <c r="BU2092" s="265"/>
      <c r="BV2092" s="265"/>
    </row>
    <row r="2093" spans="12:74">
      <c r="L2093" s="265"/>
      <c r="M2093" s="265"/>
      <c r="N2093" s="265"/>
      <c r="O2093" s="265"/>
      <c r="P2093" s="265"/>
      <c r="Q2093" s="265"/>
      <c r="BR2093" s="265"/>
      <c r="BS2093" s="265"/>
      <c r="BT2093" s="265"/>
      <c r="BU2093" s="265"/>
      <c r="BV2093" s="265"/>
    </row>
    <row r="2094" spans="12:74">
      <c r="L2094" s="265"/>
      <c r="M2094" s="265"/>
      <c r="N2094" s="265"/>
      <c r="O2094" s="265"/>
      <c r="P2094" s="265"/>
      <c r="Q2094" s="265"/>
      <c r="BR2094" s="265"/>
      <c r="BS2094" s="265"/>
      <c r="BT2094" s="265"/>
      <c r="BU2094" s="265"/>
      <c r="BV2094" s="265"/>
    </row>
    <row r="2095" spans="12:74">
      <c r="L2095" s="265"/>
      <c r="M2095" s="265"/>
      <c r="N2095" s="265"/>
      <c r="O2095" s="265"/>
      <c r="P2095" s="265"/>
      <c r="Q2095" s="265"/>
      <c r="BR2095" s="265"/>
      <c r="BS2095" s="265"/>
      <c r="BT2095" s="265"/>
      <c r="BU2095" s="265"/>
      <c r="BV2095" s="265"/>
    </row>
    <row r="2096" spans="12:74">
      <c r="L2096" s="265"/>
      <c r="M2096" s="265"/>
      <c r="N2096" s="265"/>
      <c r="O2096" s="265"/>
      <c r="P2096" s="265"/>
      <c r="Q2096" s="265"/>
      <c r="BR2096" s="265"/>
      <c r="BS2096" s="265"/>
      <c r="BT2096" s="265"/>
      <c r="BU2096" s="265"/>
      <c r="BV2096" s="265"/>
    </row>
    <row r="2097" spans="12:74">
      <c r="L2097" s="265"/>
      <c r="M2097" s="265"/>
      <c r="N2097" s="265"/>
      <c r="O2097" s="265"/>
      <c r="P2097" s="265"/>
      <c r="Q2097" s="265"/>
      <c r="BR2097" s="265"/>
      <c r="BS2097" s="265"/>
      <c r="BT2097" s="265"/>
      <c r="BU2097" s="265"/>
      <c r="BV2097" s="265"/>
    </row>
    <row r="2098" spans="12:74">
      <c r="L2098" s="265"/>
      <c r="M2098" s="265"/>
      <c r="N2098" s="265"/>
      <c r="O2098" s="265"/>
      <c r="P2098" s="265"/>
      <c r="Q2098" s="265"/>
      <c r="BR2098" s="265"/>
      <c r="BS2098" s="265"/>
      <c r="BT2098" s="265"/>
      <c r="BU2098" s="265"/>
      <c r="BV2098" s="265"/>
    </row>
    <row r="2099" spans="12:74">
      <c r="L2099" s="265"/>
      <c r="M2099" s="265"/>
      <c r="N2099" s="265"/>
      <c r="O2099" s="265"/>
      <c r="P2099" s="265"/>
      <c r="Q2099" s="265"/>
      <c r="BR2099" s="265"/>
      <c r="BS2099" s="265"/>
      <c r="BT2099" s="265"/>
      <c r="BU2099" s="265"/>
      <c r="BV2099" s="265"/>
    </row>
    <row r="2100" spans="12:74">
      <c r="L2100" s="265"/>
      <c r="M2100" s="265"/>
      <c r="N2100" s="265"/>
      <c r="O2100" s="265"/>
      <c r="P2100" s="265"/>
      <c r="Q2100" s="265"/>
      <c r="BR2100" s="265"/>
      <c r="BS2100" s="265"/>
      <c r="BT2100" s="265"/>
      <c r="BU2100" s="265"/>
      <c r="BV2100" s="265"/>
    </row>
    <row r="2101" spans="12:74">
      <c r="L2101" s="265"/>
      <c r="M2101" s="265"/>
      <c r="N2101" s="265"/>
      <c r="O2101" s="265"/>
      <c r="P2101" s="265"/>
      <c r="Q2101" s="265"/>
      <c r="BR2101" s="265"/>
      <c r="BS2101" s="265"/>
      <c r="BT2101" s="265"/>
      <c r="BU2101" s="265"/>
      <c r="BV2101" s="265"/>
    </row>
    <row r="2102" spans="12:74">
      <c r="L2102" s="265"/>
      <c r="M2102" s="265"/>
      <c r="N2102" s="265"/>
      <c r="O2102" s="265"/>
      <c r="P2102" s="265"/>
      <c r="Q2102" s="265"/>
      <c r="BR2102" s="265"/>
      <c r="BS2102" s="265"/>
      <c r="BT2102" s="265"/>
      <c r="BU2102" s="265"/>
      <c r="BV2102" s="265"/>
    </row>
    <row r="2103" spans="12:74">
      <c r="L2103" s="265"/>
      <c r="M2103" s="265"/>
      <c r="N2103" s="265"/>
      <c r="O2103" s="265"/>
      <c r="P2103" s="265"/>
      <c r="Q2103" s="265"/>
      <c r="BR2103" s="265"/>
      <c r="BS2103" s="265"/>
      <c r="BT2103" s="265"/>
      <c r="BU2103" s="265"/>
      <c r="BV2103" s="265"/>
    </row>
    <row r="2104" spans="12:74">
      <c r="L2104" s="265"/>
      <c r="M2104" s="265"/>
      <c r="N2104" s="265"/>
      <c r="O2104" s="265"/>
      <c r="P2104" s="265"/>
      <c r="Q2104" s="265"/>
      <c r="BR2104" s="265"/>
      <c r="BS2104" s="265"/>
      <c r="BT2104" s="265"/>
      <c r="BU2104" s="265"/>
      <c r="BV2104" s="265"/>
    </row>
    <row r="2105" spans="12:74">
      <c r="L2105" s="265"/>
      <c r="M2105" s="265"/>
      <c r="N2105" s="265"/>
      <c r="O2105" s="265"/>
      <c r="P2105" s="265"/>
      <c r="Q2105" s="265"/>
      <c r="BR2105" s="265"/>
      <c r="BS2105" s="265"/>
      <c r="BT2105" s="265"/>
      <c r="BU2105" s="265"/>
      <c r="BV2105" s="265"/>
    </row>
    <row r="2106" spans="12:74">
      <c r="L2106" s="265"/>
      <c r="M2106" s="265"/>
      <c r="N2106" s="265"/>
      <c r="O2106" s="265"/>
      <c r="P2106" s="265"/>
      <c r="Q2106" s="265"/>
      <c r="BR2106" s="265"/>
      <c r="BS2106" s="265"/>
      <c r="BT2106" s="265"/>
      <c r="BU2106" s="265"/>
      <c r="BV2106" s="265"/>
    </row>
    <row r="2107" spans="12:74">
      <c r="L2107" s="265"/>
      <c r="M2107" s="265"/>
      <c r="N2107" s="265"/>
      <c r="O2107" s="265"/>
      <c r="P2107" s="265"/>
      <c r="Q2107" s="265"/>
      <c r="BR2107" s="265"/>
      <c r="BS2107" s="265"/>
      <c r="BT2107" s="265"/>
      <c r="BU2107" s="265"/>
      <c r="BV2107" s="265"/>
    </row>
    <row r="2108" spans="12:74">
      <c r="L2108" s="265"/>
      <c r="M2108" s="265"/>
      <c r="N2108" s="265"/>
      <c r="O2108" s="265"/>
      <c r="P2108" s="265"/>
      <c r="Q2108" s="265"/>
      <c r="BR2108" s="265"/>
      <c r="BS2108" s="265"/>
      <c r="BT2108" s="265"/>
      <c r="BU2108" s="265"/>
      <c r="BV2108" s="265"/>
    </row>
    <row r="2109" spans="12:74">
      <c r="L2109" s="265"/>
      <c r="M2109" s="265"/>
      <c r="N2109" s="265"/>
      <c r="O2109" s="265"/>
      <c r="P2109" s="265"/>
      <c r="Q2109" s="265"/>
      <c r="BR2109" s="265"/>
      <c r="BS2109" s="265"/>
      <c r="BT2109" s="265"/>
      <c r="BU2109" s="265"/>
      <c r="BV2109" s="265"/>
    </row>
    <row r="2110" spans="12:74">
      <c r="L2110" s="265"/>
      <c r="M2110" s="265"/>
      <c r="N2110" s="265"/>
      <c r="O2110" s="265"/>
      <c r="P2110" s="265"/>
      <c r="Q2110" s="265"/>
      <c r="BR2110" s="265"/>
      <c r="BS2110" s="265"/>
      <c r="BT2110" s="265"/>
      <c r="BU2110" s="265"/>
      <c r="BV2110" s="265"/>
    </row>
    <row r="2111" spans="12:74">
      <c r="L2111" s="265"/>
      <c r="M2111" s="265"/>
      <c r="N2111" s="265"/>
      <c r="O2111" s="265"/>
      <c r="P2111" s="265"/>
      <c r="Q2111" s="265"/>
      <c r="BR2111" s="265"/>
      <c r="BS2111" s="265"/>
      <c r="BT2111" s="265"/>
      <c r="BU2111" s="265"/>
      <c r="BV2111" s="265"/>
    </row>
    <row r="2112" spans="12:74">
      <c r="L2112" s="265"/>
      <c r="M2112" s="265"/>
      <c r="N2112" s="265"/>
      <c r="O2112" s="265"/>
      <c r="P2112" s="265"/>
      <c r="Q2112" s="265"/>
      <c r="BR2112" s="265"/>
      <c r="BS2112" s="265"/>
      <c r="BT2112" s="265"/>
      <c r="BU2112" s="265"/>
      <c r="BV2112" s="265"/>
    </row>
    <row r="2113" spans="12:74">
      <c r="L2113" s="265"/>
      <c r="M2113" s="265"/>
      <c r="N2113" s="265"/>
      <c r="O2113" s="265"/>
      <c r="P2113" s="265"/>
      <c r="Q2113" s="265"/>
      <c r="BR2113" s="265"/>
      <c r="BS2113" s="265"/>
      <c r="BT2113" s="265"/>
      <c r="BU2113" s="265"/>
      <c r="BV2113" s="265"/>
    </row>
    <row r="2114" spans="12:74">
      <c r="L2114" s="265"/>
      <c r="M2114" s="265"/>
      <c r="N2114" s="265"/>
      <c r="O2114" s="265"/>
      <c r="P2114" s="265"/>
      <c r="Q2114" s="265"/>
      <c r="BR2114" s="265"/>
      <c r="BS2114" s="265"/>
      <c r="BT2114" s="265"/>
      <c r="BU2114" s="265"/>
      <c r="BV2114" s="265"/>
    </row>
    <row r="2115" spans="12:74">
      <c r="L2115" s="265"/>
      <c r="M2115" s="265"/>
      <c r="N2115" s="265"/>
      <c r="O2115" s="265"/>
      <c r="P2115" s="265"/>
      <c r="Q2115" s="265"/>
      <c r="BR2115" s="265"/>
      <c r="BS2115" s="265"/>
      <c r="BT2115" s="265"/>
      <c r="BU2115" s="265"/>
      <c r="BV2115" s="265"/>
    </row>
    <row r="2116" spans="12:74">
      <c r="L2116" s="265"/>
      <c r="M2116" s="265"/>
      <c r="N2116" s="265"/>
      <c r="O2116" s="265"/>
      <c r="P2116" s="265"/>
      <c r="Q2116" s="265"/>
      <c r="BR2116" s="265"/>
      <c r="BS2116" s="265"/>
      <c r="BT2116" s="265"/>
      <c r="BU2116" s="265"/>
      <c r="BV2116" s="265"/>
    </row>
    <row r="2117" spans="12:74">
      <c r="L2117" s="265"/>
      <c r="M2117" s="265"/>
      <c r="N2117" s="265"/>
      <c r="O2117" s="265"/>
      <c r="P2117" s="265"/>
      <c r="Q2117" s="265"/>
      <c r="BR2117" s="265"/>
      <c r="BS2117" s="265"/>
      <c r="BT2117" s="265"/>
      <c r="BU2117" s="265"/>
      <c r="BV2117" s="265"/>
    </row>
    <row r="2118" spans="12:74">
      <c r="L2118" s="265"/>
      <c r="M2118" s="265"/>
      <c r="N2118" s="265"/>
      <c r="O2118" s="265"/>
      <c r="P2118" s="265"/>
      <c r="Q2118" s="265"/>
      <c r="BR2118" s="265"/>
      <c r="BS2118" s="265"/>
      <c r="BT2118" s="265"/>
      <c r="BU2118" s="265"/>
      <c r="BV2118" s="265"/>
    </row>
    <row r="2119" spans="12:74">
      <c r="L2119" s="265"/>
      <c r="M2119" s="265"/>
      <c r="N2119" s="265"/>
      <c r="O2119" s="265"/>
      <c r="P2119" s="265"/>
      <c r="Q2119" s="265"/>
      <c r="BR2119" s="265"/>
      <c r="BS2119" s="265"/>
      <c r="BT2119" s="265"/>
      <c r="BU2119" s="265"/>
      <c r="BV2119" s="265"/>
    </row>
    <row r="2120" spans="12:74">
      <c r="L2120" s="265"/>
      <c r="M2120" s="265"/>
      <c r="N2120" s="265"/>
      <c r="O2120" s="265"/>
      <c r="P2120" s="265"/>
      <c r="Q2120" s="265"/>
      <c r="BR2120" s="265"/>
      <c r="BS2120" s="265"/>
      <c r="BT2120" s="265"/>
      <c r="BU2120" s="265"/>
      <c r="BV2120" s="265"/>
    </row>
    <row r="2121" spans="12:74">
      <c r="L2121" s="265"/>
      <c r="M2121" s="265"/>
      <c r="N2121" s="265"/>
      <c r="O2121" s="265"/>
      <c r="P2121" s="265"/>
      <c r="Q2121" s="265"/>
      <c r="BR2121" s="265"/>
      <c r="BS2121" s="265"/>
      <c r="BT2121" s="265"/>
      <c r="BU2121" s="265"/>
      <c r="BV2121" s="265"/>
    </row>
    <row r="2122" spans="12:74">
      <c r="L2122" s="265"/>
      <c r="M2122" s="265"/>
      <c r="N2122" s="265"/>
      <c r="O2122" s="265"/>
      <c r="P2122" s="265"/>
      <c r="Q2122" s="265"/>
      <c r="BR2122" s="265"/>
      <c r="BS2122" s="265"/>
      <c r="BT2122" s="265"/>
      <c r="BU2122" s="265"/>
      <c r="BV2122" s="265"/>
    </row>
    <row r="2123" spans="12:74">
      <c r="L2123" s="265"/>
      <c r="M2123" s="265"/>
      <c r="N2123" s="265"/>
      <c r="O2123" s="265"/>
      <c r="P2123" s="265"/>
      <c r="Q2123" s="265"/>
      <c r="BR2123" s="265"/>
      <c r="BS2123" s="265"/>
      <c r="BT2123" s="265"/>
      <c r="BU2123" s="265"/>
      <c r="BV2123" s="265"/>
    </row>
    <row r="2124" spans="12:74">
      <c r="L2124" s="265"/>
      <c r="M2124" s="265"/>
      <c r="N2124" s="265"/>
      <c r="O2124" s="265"/>
      <c r="P2124" s="265"/>
      <c r="Q2124" s="265"/>
      <c r="BR2124" s="265"/>
      <c r="BS2124" s="265"/>
      <c r="BT2124" s="265"/>
      <c r="BU2124" s="265"/>
      <c r="BV2124" s="265"/>
    </row>
    <row r="2125" spans="12:74">
      <c r="L2125" s="265"/>
      <c r="M2125" s="265"/>
      <c r="N2125" s="265"/>
      <c r="O2125" s="265"/>
      <c r="P2125" s="265"/>
      <c r="Q2125" s="265"/>
      <c r="BR2125" s="265"/>
      <c r="BS2125" s="265"/>
      <c r="BT2125" s="265"/>
      <c r="BU2125" s="265"/>
      <c r="BV2125" s="265"/>
    </row>
    <row r="2126" spans="12:74">
      <c r="L2126" s="265"/>
      <c r="M2126" s="265"/>
      <c r="N2126" s="265"/>
      <c r="O2126" s="265"/>
      <c r="P2126" s="265"/>
      <c r="Q2126" s="265"/>
      <c r="BR2126" s="265"/>
      <c r="BS2126" s="265"/>
      <c r="BT2126" s="265"/>
      <c r="BU2126" s="265"/>
      <c r="BV2126" s="265"/>
    </row>
    <row r="2127" spans="12:74">
      <c r="L2127" s="265"/>
      <c r="M2127" s="265"/>
      <c r="N2127" s="265"/>
      <c r="O2127" s="265"/>
      <c r="P2127" s="265"/>
      <c r="Q2127" s="265"/>
      <c r="BR2127" s="265"/>
      <c r="BS2127" s="265"/>
      <c r="BT2127" s="265"/>
      <c r="BU2127" s="265"/>
      <c r="BV2127" s="265"/>
    </row>
    <row r="2128" spans="12:74">
      <c r="L2128" s="265"/>
      <c r="M2128" s="265"/>
      <c r="N2128" s="265"/>
      <c r="O2128" s="265"/>
      <c r="P2128" s="265"/>
      <c r="Q2128" s="265"/>
      <c r="BR2128" s="265"/>
      <c r="BS2128" s="265"/>
      <c r="BT2128" s="265"/>
      <c r="BU2128" s="265"/>
      <c r="BV2128" s="265"/>
    </row>
    <row r="2129" spans="12:74">
      <c r="L2129" s="265"/>
      <c r="M2129" s="265"/>
      <c r="N2129" s="265"/>
      <c r="O2129" s="265"/>
      <c r="P2129" s="265"/>
      <c r="Q2129" s="265"/>
      <c r="BR2129" s="265"/>
      <c r="BS2129" s="265"/>
      <c r="BT2129" s="265"/>
      <c r="BU2129" s="265"/>
      <c r="BV2129" s="265"/>
    </row>
    <row r="2130" spans="12:74">
      <c r="L2130" s="265"/>
      <c r="M2130" s="265"/>
      <c r="N2130" s="265"/>
      <c r="O2130" s="265"/>
      <c r="P2130" s="265"/>
      <c r="Q2130" s="265"/>
      <c r="BR2130" s="265"/>
      <c r="BS2130" s="265"/>
      <c r="BT2130" s="265"/>
      <c r="BU2130" s="265"/>
      <c r="BV2130" s="265"/>
    </row>
    <row r="2131" spans="12:74">
      <c r="L2131" s="265"/>
      <c r="M2131" s="265"/>
      <c r="N2131" s="265"/>
      <c r="O2131" s="265"/>
      <c r="P2131" s="265"/>
      <c r="Q2131" s="265"/>
      <c r="BR2131" s="265"/>
      <c r="BS2131" s="265"/>
      <c r="BT2131" s="265"/>
      <c r="BU2131" s="265"/>
      <c r="BV2131" s="265"/>
    </row>
    <row r="2132" spans="12:74">
      <c r="L2132" s="265"/>
      <c r="M2132" s="265"/>
      <c r="N2132" s="265"/>
      <c r="O2132" s="265"/>
      <c r="P2132" s="265"/>
      <c r="Q2132" s="265"/>
      <c r="BR2132" s="265"/>
      <c r="BS2132" s="265"/>
      <c r="BT2132" s="265"/>
      <c r="BU2132" s="265"/>
      <c r="BV2132" s="265"/>
    </row>
    <row r="2133" spans="12:74">
      <c r="L2133" s="265"/>
      <c r="M2133" s="265"/>
      <c r="N2133" s="265"/>
      <c r="O2133" s="265"/>
      <c r="P2133" s="265"/>
      <c r="Q2133" s="265"/>
      <c r="BR2133" s="265"/>
      <c r="BS2133" s="265"/>
      <c r="BT2133" s="265"/>
      <c r="BU2133" s="265"/>
      <c r="BV2133" s="265"/>
    </row>
    <row r="2134" spans="12:74">
      <c r="L2134" s="265"/>
      <c r="M2134" s="265"/>
      <c r="N2134" s="265"/>
      <c r="O2134" s="265"/>
      <c r="P2134" s="265"/>
      <c r="Q2134" s="265"/>
      <c r="BR2134" s="265"/>
      <c r="BS2134" s="265"/>
      <c r="BT2134" s="265"/>
      <c r="BU2134" s="265"/>
      <c r="BV2134" s="265"/>
    </row>
    <row r="2135" spans="12:74">
      <c r="L2135" s="265"/>
      <c r="M2135" s="265"/>
      <c r="N2135" s="265"/>
      <c r="O2135" s="265"/>
      <c r="P2135" s="265"/>
      <c r="Q2135" s="265"/>
      <c r="BR2135" s="265"/>
      <c r="BS2135" s="265"/>
      <c r="BT2135" s="265"/>
      <c r="BU2135" s="265"/>
      <c r="BV2135" s="265"/>
    </row>
    <row r="2136" spans="12:74">
      <c r="L2136" s="265"/>
      <c r="M2136" s="265"/>
      <c r="N2136" s="265"/>
      <c r="O2136" s="265"/>
      <c r="P2136" s="265"/>
      <c r="Q2136" s="265"/>
      <c r="BR2136" s="265"/>
      <c r="BS2136" s="265"/>
      <c r="BT2136" s="265"/>
      <c r="BU2136" s="265"/>
      <c r="BV2136" s="265"/>
    </row>
    <row r="2137" spans="12:74">
      <c r="L2137" s="265"/>
      <c r="M2137" s="265"/>
      <c r="N2137" s="265"/>
      <c r="O2137" s="265"/>
      <c r="P2137" s="265"/>
      <c r="Q2137" s="265"/>
      <c r="BR2137" s="265"/>
      <c r="BS2137" s="265"/>
      <c r="BT2137" s="265"/>
      <c r="BU2137" s="265"/>
      <c r="BV2137" s="265"/>
    </row>
    <row r="2138" spans="12:74">
      <c r="L2138" s="265"/>
      <c r="M2138" s="265"/>
      <c r="N2138" s="265"/>
      <c r="O2138" s="265"/>
      <c r="P2138" s="265"/>
      <c r="Q2138" s="265"/>
      <c r="BR2138" s="265"/>
      <c r="BS2138" s="265"/>
      <c r="BT2138" s="265"/>
      <c r="BU2138" s="265"/>
      <c r="BV2138" s="265"/>
    </row>
    <row r="2139" spans="12:74">
      <c r="L2139" s="265"/>
      <c r="M2139" s="265"/>
      <c r="N2139" s="265"/>
      <c r="O2139" s="265"/>
      <c r="P2139" s="265"/>
      <c r="Q2139" s="265"/>
      <c r="BR2139" s="265"/>
      <c r="BS2139" s="265"/>
      <c r="BT2139" s="265"/>
      <c r="BU2139" s="265"/>
      <c r="BV2139" s="265"/>
    </row>
    <row r="2140" spans="12:74">
      <c r="L2140" s="265"/>
      <c r="M2140" s="265"/>
      <c r="N2140" s="265"/>
      <c r="O2140" s="265"/>
      <c r="P2140" s="265"/>
      <c r="Q2140" s="265"/>
      <c r="BR2140" s="265"/>
      <c r="BS2140" s="265"/>
      <c r="BT2140" s="265"/>
      <c r="BU2140" s="265"/>
      <c r="BV2140" s="265"/>
    </row>
    <row r="2141" spans="12:74">
      <c r="L2141" s="265"/>
      <c r="M2141" s="265"/>
      <c r="N2141" s="265"/>
      <c r="O2141" s="265"/>
      <c r="P2141" s="265"/>
      <c r="Q2141" s="265"/>
      <c r="BR2141" s="265"/>
      <c r="BS2141" s="265"/>
      <c r="BT2141" s="265"/>
      <c r="BU2141" s="265"/>
      <c r="BV2141" s="265"/>
    </row>
    <row r="2142" spans="12:74">
      <c r="L2142" s="265"/>
      <c r="M2142" s="265"/>
      <c r="N2142" s="265"/>
      <c r="O2142" s="265"/>
      <c r="P2142" s="265"/>
      <c r="Q2142" s="265"/>
      <c r="BR2142" s="265"/>
      <c r="BS2142" s="265"/>
      <c r="BT2142" s="265"/>
      <c r="BU2142" s="265"/>
      <c r="BV2142" s="265"/>
    </row>
    <row r="2143" spans="12:74">
      <c r="L2143" s="265"/>
      <c r="M2143" s="265"/>
      <c r="N2143" s="265"/>
      <c r="O2143" s="265"/>
      <c r="P2143" s="265"/>
      <c r="Q2143" s="265"/>
      <c r="BR2143" s="265"/>
      <c r="BS2143" s="265"/>
      <c r="BT2143" s="265"/>
      <c r="BU2143" s="265"/>
      <c r="BV2143" s="265"/>
    </row>
    <row r="2144" spans="12:74">
      <c r="L2144" s="265"/>
      <c r="M2144" s="265"/>
      <c r="N2144" s="265"/>
      <c r="O2144" s="265"/>
      <c r="P2144" s="265"/>
      <c r="Q2144" s="265"/>
      <c r="BR2144" s="265"/>
      <c r="BS2144" s="265"/>
      <c r="BT2144" s="265"/>
      <c r="BU2144" s="265"/>
      <c r="BV2144" s="265"/>
    </row>
    <row r="2145" spans="12:74">
      <c r="L2145" s="265"/>
      <c r="M2145" s="265"/>
      <c r="N2145" s="265"/>
      <c r="O2145" s="265"/>
      <c r="P2145" s="265"/>
      <c r="Q2145" s="265"/>
      <c r="BR2145" s="265"/>
      <c r="BS2145" s="265"/>
      <c r="BT2145" s="265"/>
      <c r="BU2145" s="265"/>
      <c r="BV2145" s="265"/>
    </row>
    <row r="2146" spans="12:74">
      <c r="L2146" s="265"/>
      <c r="M2146" s="265"/>
      <c r="N2146" s="265"/>
      <c r="O2146" s="265"/>
      <c r="P2146" s="265"/>
      <c r="Q2146" s="265"/>
      <c r="BR2146" s="265"/>
      <c r="BS2146" s="265"/>
      <c r="BT2146" s="265"/>
      <c r="BU2146" s="265"/>
      <c r="BV2146" s="265"/>
    </row>
    <row r="2147" spans="12:74">
      <c r="L2147" s="265"/>
      <c r="M2147" s="265"/>
      <c r="N2147" s="265"/>
      <c r="O2147" s="265"/>
      <c r="P2147" s="265"/>
      <c r="Q2147" s="265"/>
      <c r="BR2147" s="265"/>
      <c r="BS2147" s="265"/>
      <c r="BT2147" s="265"/>
      <c r="BU2147" s="265"/>
      <c r="BV2147" s="265"/>
    </row>
    <row r="2148" spans="12:74">
      <c r="L2148" s="265"/>
      <c r="M2148" s="265"/>
      <c r="N2148" s="265"/>
      <c r="O2148" s="265"/>
      <c r="P2148" s="265"/>
      <c r="Q2148" s="265"/>
      <c r="BR2148" s="265"/>
      <c r="BS2148" s="265"/>
      <c r="BT2148" s="265"/>
      <c r="BU2148" s="265"/>
      <c r="BV2148" s="265"/>
    </row>
    <row r="2149" spans="12:74">
      <c r="L2149" s="265"/>
      <c r="M2149" s="265"/>
      <c r="N2149" s="265"/>
      <c r="O2149" s="265"/>
      <c r="P2149" s="265"/>
      <c r="Q2149" s="265"/>
      <c r="BR2149" s="265"/>
      <c r="BS2149" s="265"/>
      <c r="BT2149" s="265"/>
      <c r="BU2149" s="265"/>
      <c r="BV2149" s="265"/>
    </row>
    <row r="2150" spans="12:74">
      <c r="L2150" s="265"/>
      <c r="M2150" s="265"/>
      <c r="N2150" s="265"/>
      <c r="O2150" s="265"/>
      <c r="P2150" s="265"/>
      <c r="Q2150" s="265"/>
      <c r="BR2150" s="265"/>
      <c r="BS2150" s="265"/>
      <c r="BT2150" s="265"/>
      <c r="BU2150" s="265"/>
      <c r="BV2150" s="265"/>
    </row>
    <row r="2151" spans="12:74">
      <c r="L2151" s="265"/>
      <c r="M2151" s="265"/>
      <c r="N2151" s="265"/>
      <c r="O2151" s="265"/>
      <c r="P2151" s="265"/>
      <c r="Q2151" s="265"/>
      <c r="BR2151" s="265"/>
      <c r="BS2151" s="265"/>
      <c r="BT2151" s="265"/>
      <c r="BU2151" s="265"/>
      <c r="BV2151" s="265"/>
    </row>
    <row r="2152" spans="12:74">
      <c r="L2152" s="265"/>
      <c r="M2152" s="265"/>
      <c r="N2152" s="265"/>
      <c r="O2152" s="265"/>
      <c r="P2152" s="265"/>
      <c r="Q2152" s="265"/>
      <c r="BR2152" s="265"/>
      <c r="BS2152" s="265"/>
      <c r="BT2152" s="265"/>
      <c r="BU2152" s="265"/>
      <c r="BV2152" s="265"/>
    </row>
    <row r="2153" spans="12:74">
      <c r="L2153" s="265"/>
      <c r="M2153" s="265"/>
      <c r="N2153" s="265"/>
      <c r="O2153" s="265"/>
      <c r="P2153" s="265"/>
      <c r="Q2153" s="265"/>
      <c r="BR2153" s="265"/>
      <c r="BS2153" s="265"/>
      <c r="BT2153" s="265"/>
      <c r="BU2153" s="265"/>
      <c r="BV2153" s="265"/>
    </row>
    <row r="2154" spans="12:74">
      <c r="L2154" s="265"/>
      <c r="M2154" s="265"/>
      <c r="N2154" s="265"/>
      <c r="O2154" s="265"/>
      <c r="P2154" s="265"/>
      <c r="Q2154" s="265"/>
      <c r="BR2154" s="265"/>
      <c r="BS2154" s="265"/>
      <c r="BT2154" s="265"/>
      <c r="BU2154" s="265"/>
      <c r="BV2154" s="265"/>
    </row>
    <row r="2155" spans="12:74">
      <c r="L2155" s="265"/>
      <c r="M2155" s="265"/>
      <c r="N2155" s="265"/>
      <c r="O2155" s="265"/>
      <c r="P2155" s="265"/>
      <c r="Q2155" s="265"/>
      <c r="BR2155" s="265"/>
      <c r="BS2155" s="265"/>
      <c r="BT2155" s="265"/>
      <c r="BU2155" s="265"/>
      <c r="BV2155" s="265"/>
    </row>
    <row r="2156" spans="12:74">
      <c r="L2156" s="265"/>
      <c r="M2156" s="265"/>
      <c r="N2156" s="265"/>
      <c r="O2156" s="265"/>
      <c r="P2156" s="265"/>
      <c r="Q2156" s="265"/>
      <c r="BR2156" s="265"/>
      <c r="BS2156" s="265"/>
      <c r="BT2156" s="265"/>
      <c r="BU2156" s="265"/>
      <c r="BV2156" s="265"/>
    </row>
    <row r="2157" spans="12:74">
      <c r="L2157" s="265"/>
      <c r="M2157" s="265"/>
      <c r="N2157" s="265"/>
      <c r="O2157" s="265"/>
      <c r="P2157" s="265"/>
      <c r="Q2157" s="265"/>
      <c r="BR2157" s="265"/>
      <c r="BS2157" s="265"/>
      <c r="BT2157" s="265"/>
      <c r="BU2157" s="265"/>
      <c r="BV2157" s="265"/>
    </row>
    <row r="2158" spans="12:74">
      <c r="L2158" s="265"/>
      <c r="M2158" s="265"/>
      <c r="N2158" s="265"/>
      <c r="O2158" s="265"/>
      <c r="P2158" s="265"/>
      <c r="Q2158" s="265"/>
      <c r="BR2158" s="265"/>
      <c r="BS2158" s="265"/>
      <c r="BT2158" s="265"/>
      <c r="BU2158" s="265"/>
      <c r="BV2158" s="265"/>
    </row>
    <row r="2159" spans="12:74">
      <c r="L2159" s="265"/>
      <c r="M2159" s="265"/>
      <c r="N2159" s="265"/>
      <c r="O2159" s="265"/>
      <c r="P2159" s="265"/>
      <c r="Q2159" s="265"/>
      <c r="BR2159" s="265"/>
      <c r="BS2159" s="265"/>
      <c r="BT2159" s="265"/>
      <c r="BU2159" s="265"/>
      <c r="BV2159" s="265"/>
    </row>
    <row r="2160" spans="12:74">
      <c r="L2160" s="265"/>
      <c r="M2160" s="265"/>
      <c r="N2160" s="265"/>
      <c r="O2160" s="265"/>
      <c r="P2160" s="265"/>
      <c r="Q2160" s="265"/>
      <c r="BR2160" s="265"/>
      <c r="BS2160" s="265"/>
      <c r="BT2160" s="265"/>
      <c r="BU2160" s="265"/>
      <c r="BV2160" s="265"/>
    </row>
    <row r="2161" spans="12:74">
      <c r="L2161" s="265"/>
      <c r="M2161" s="265"/>
      <c r="N2161" s="265"/>
      <c r="O2161" s="265"/>
      <c r="P2161" s="265"/>
      <c r="Q2161" s="265"/>
      <c r="BR2161" s="265"/>
      <c r="BS2161" s="265"/>
      <c r="BT2161" s="265"/>
      <c r="BU2161" s="265"/>
      <c r="BV2161" s="265"/>
    </row>
    <row r="2162" spans="12:74">
      <c r="L2162" s="265"/>
      <c r="M2162" s="265"/>
      <c r="N2162" s="265"/>
      <c r="O2162" s="265"/>
      <c r="P2162" s="265"/>
      <c r="Q2162" s="265"/>
      <c r="BR2162" s="265"/>
      <c r="BS2162" s="265"/>
      <c r="BT2162" s="265"/>
      <c r="BU2162" s="265"/>
      <c r="BV2162" s="265"/>
    </row>
    <row r="2163" spans="12:74">
      <c r="L2163" s="265"/>
      <c r="M2163" s="265"/>
      <c r="N2163" s="265"/>
      <c r="O2163" s="265"/>
      <c r="P2163" s="265"/>
      <c r="Q2163" s="265"/>
      <c r="BR2163" s="265"/>
      <c r="BS2163" s="265"/>
      <c r="BT2163" s="265"/>
      <c r="BU2163" s="265"/>
      <c r="BV2163" s="265"/>
    </row>
    <row r="2164" spans="12:74">
      <c r="L2164" s="265"/>
      <c r="M2164" s="265"/>
      <c r="N2164" s="265"/>
      <c r="O2164" s="265"/>
      <c r="P2164" s="265"/>
      <c r="Q2164" s="265"/>
      <c r="BR2164" s="265"/>
      <c r="BS2164" s="265"/>
      <c r="BT2164" s="265"/>
      <c r="BU2164" s="265"/>
      <c r="BV2164" s="265"/>
    </row>
    <row r="2165" spans="12:74">
      <c r="L2165" s="265"/>
      <c r="M2165" s="265"/>
      <c r="N2165" s="265"/>
      <c r="O2165" s="265"/>
      <c r="P2165" s="265"/>
      <c r="Q2165" s="265"/>
      <c r="BR2165" s="265"/>
      <c r="BS2165" s="265"/>
      <c r="BT2165" s="265"/>
      <c r="BU2165" s="265"/>
      <c r="BV2165" s="265"/>
    </row>
    <row r="2166" spans="12:74">
      <c r="L2166" s="265"/>
      <c r="M2166" s="265"/>
      <c r="N2166" s="265"/>
      <c r="O2166" s="265"/>
      <c r="P2166" s="265"/>
      <c r="Q2166" s="265"/>
      <c r="BR2166" s="265"/>
      <c r="BS2166" s="265"/>
      <c r="BT2166" s="265"/>
      <c r="BU2166" s="265"/>
      <c r="BV2166" s="265"/>
    </row>
    <row r="2167" spans="12:74">
      <c r="L2167" s="265"/>
      <c r="M2167" s="265"/>
      <c r="N2167" s="265"/>
      <c r="O2167" s="265"/>
      <c r="P2167" s="265"/>
      <c r="Q2167" s="265"/>
      <c r="BR2167" s="265"/>
      <c r="BS2167" s="265"/>
      <c r="BT2167" s="265"/>
      <c r="BU2167" s="265"/>
      <c r="BV2167" s="265"/>
    </row>
    <row r="2168" spans="12:74">
      <c r="L2168" s="265"/>
      <c r="M2168" s="265"/>
      <c r="N2168" s="265"/>
      <c r="O2168" s="265"/>
      <c r="P2168" s="265"/>
      <c r="Q2168" s="265"/>
      <c r="BR2168" s="265"/>
      <c r="BS2168" s="265"/>
      <c r="BT2168" s="265"/>
      <c r="BU2168" s="265"/>
      <c r="BV2168" s="265"/>
    </row>
    <row r="2169" spans="12:74">
      <c r="L2169" s="265"/>
      <c r="M2169" s="265"/>
      <c r="N2169" s="265"/>
      <c r="O2169" s="265"/>
      <c r="P2169" s="265"/>
      <c r="Q2169" s="265"/>
      <c r="BR2169" s="265"/>
      <c r="BS2169" s="265"/>
      <c r="BT2169" s="265"/>
      <c r="BU2169" s="265"/>
      <c r="BV2169" s="265"/>
    </row>
    <row r="2170" spans="12:74">
      <c r="L2170" s="265"/>
      <c r="M2170" s="265"/>
      <c r="N2170" s="265"/>
      <c r="O2170" s="265"/>
      <c r="P2170" s="265"/>
      <c r="Q2170" s="265"/>
      <c r="BR2170" s="265"/>
      <c r="BS2170" s="265"/>
      <c r="BT2170" s="265"/>
      <c r="BU2170" s="265"/>
      <c r="BV2170" s="265"/>
    </row>
    <row r="2171" spans="12:74">
      <c r="L2171" s="265"/>
      <c r="M2171" s="265"/>
      <c r="N2171" s="265"/>
      <c r="O2171" s="265"/>
      <c r="P2171" s="265"/>
      <c r="Q2171" s="265"/>
      <c r="BR2171" s="265"/>
      <c r="BS2171" s="265"/>
      <c r="BT2171" s="265"/>
      <c r="BU2171" s="265"/>
      <c r="BV2171" s="265"/>
    </row>
    <row r="2172" spans="12:74">
      <c r="L2172" s="265"/>
      <c r="M2172" s="265"/>
      <c r="N2172" s="265"/>
      <c r="O2172" s="265"/>
      <c r="P2172" s="265"/>
      <c r="Q2172" s="265"/>
      <c r="BR2172" s="265"/>
      <c r="BS2172" s="265"/>
      <c r="BT2172" s="265"/>
      <c r="BU2172" s="265"/>
      <c r="BV2172" s="265"/>
    </row>
    <row r="2173" spans="12:74">
      <c r="L2173" s="265"/>
      <c r="M2173" s="265"/>
      <c r="N2173" s="265"/>
      <c r="O2173" s="265"/>
      <c r="P2173" s="265"/>
      <c r="Q2173" s="265"/>
      <c r="BR2173" s="265"/>
      <c r="BS2173" s="265"/>
      <c r="BT2173" s="265"/>
      <c r="BU2173" s="265"/>
      <c r="BV2173" s="265"/>
    </row>
    <row r="2174" spans="12:74">
      <c r="L2174" s="265"/>
      <c r="M2174" s="265"/>
      <c r="N2174" s="265"/>
      <c r="O2174" s="265"/>
      <c r="P2174" s="265"/>
      <c r="Q2174" s="265"/>
      <c r="BR2174" s="265"/>
      <c r="BS2174" s="265"/>
      <c r="BT2174" s="265"/>
      <c r="BU2174" s="265"/>
      <c r="BV2174" s="265"/>
    </row>
    <row r="2175" spans="12:74">
      <c r="L2175" s="265"/>
      <c r="M2175" s="265"/>
      <c r="N2175" s="265"/>
      <c r="O2175" s="265"/>
      <c r="P2175" s="265"/>
      <c r="Q2175" s="265"/>
      <c r="BR2175" s="265"/>
      <c r="BS2175" s="265"/>
      <c r="BT2175" s="265"/>
      <c r="BU2175" s="265"/>
      <c r="BV2175" s="265"/>
    </row>
    <row r="2176" spans="12:74">
      <c r="L2176" s="265"/>
      <c r="M2176" s="265"/>
      <c r="N2176" s="265"/>
      <c r="O2176" s="265"/>
      <c r="P2176" s="265"/>
      <c r="Q2176" s="265"/>
      <c r="BR2176" s="265"/>
      <c r="BS2176" s="265"/>
      <c r="BT2176" s="265"/>
      <c r="BU2176" s="265"/>
      <c r="BV2176" s="265"/>
    </row>
    <row r="2177" spans="12:74">
      <c r="L2177" s="265"/>
      <c r="M2177" s="265"/>
      <c r="N2177" s="265"/>
      <c r="O2177" s="265"/>
      <c r="P2177" s="265"/>
      <c r="Q2177" s="265"/>
      <c r="BR2177" s="265"/>
      <c r="BS2177" s="265"/>
      <c r="BT2177" s="265"/>
      <c r="BU2177" s="265"/>
      <c r="BV2177" s="265"/>
    </row>
    <row r="2178" spans="12:74">
      <c r="L2178" s="265"/>
      <c r="M2178" s="265"/>
      <c r="N2178" s="265"/>
      <c r="O2178" s="265"/>
      <c r="P2178" s="265"/>
      <c r="Q2178" s="265"/>
      <c r="BR2178" s="265"/>
      <c r="BS2178" s="265"/>
      <c r="BT2178" s="265"/>
      <c r="BU2178" s="265"/>
      <c r="BV2178" s="265"/>
    </row>
    <row r="2179" spans="12:74">
      <c r="L2179" s="265"/>
      <c r="M2179" s="265"/>
      <c r="N2179" s="265"/>
      <c r="O2179" s="265"/>
      <c r="P2179" s="265"/>
      <c r="Q2179" s="265"/>
      <c r="BR2179" s="265"/>
      <c r="BS2179" s="265"/>
      <c r="BT2179" s="265"/>
      <c r="BU2179" s="265"/>
      <c r="BV2179" s="265"/>
    </row>
    <row r="2180" spans="12:74">
      <c r="L2180" s="265"/>
      <c r="M2180" s="265"/>
      <c r="N2180" s="265"/>
      <c r="O2180" s="265"/>
      <c r="P2180" s="265"/>
      <c r="Q2180" s="265"/>
      <c r="BR2180" s="265"/>
      <c r="BS2180" s="265"/>
      <c r="BT2180" s="265"/>
      <c r="BU2180" s="265"/>
      <c r="BV2180" s="265"/>
    </row>
    <row r="2181" spans="12:74">
      <c r="L2181" s="265"/>
      <c r="M2181" s="265"/>
      <c r="N2181" s="265"/>
      <c r="O2181" s="265"/>
      <c r="P2181" s="265"/>
      <c r="Q2181" s="265"/>
      <c r="BR2181" s="265"/>
      <c r="BS2181" s="265"/>
      <c r="BT2181" s="265"/>
      <c r="BU2181" s="265"/>
      <c r="BV2181" s="265"/>
    </row>
    <row r="2182" spans="12:74">
      <c r="L2182" s="265"/>
      <c r="M2182" s="265"/>
      <c r="N2182" s="265"/>
      <c r="O2182" s="265"/>
      <c r="P2182" s="265"/>
      <c r="Q2182" s="265"/>
      <c r="BR2182" s="265"/>
      <c r="BS2182" s="265"/>
      <c r="BT2182" s="265"/>
      <c r="BU2182" s="265"/>
      <c r="BV2182" s="265"/>
    </row>
    <row r="2183" spans="12:74">
      <c r="L2183" s="265"/>
      <c r="M2183" s="265"/>
      <c r="N2183" s="265"/>
      <c r="O2183" s="265"/>
      <c r="P2183" s="265"/>
      <c r="Q2183" s="265"/>
      <c r="BR2183" s="265"/>
      <c r="BS2183" s="265"/>
      <c r="BT2183" s="265"/>
      <c r="BU2183" s="265"/>
      <c r="BV2183" s="265"/>
    </row>
    <row r="2184" spans="12:74">
      <c r="L2184" s="265"/>
      <c r="M2184" s="265"/>
      <c r="N2184" s="265"/>
      <c r="O2184" s="265"/>
      <c r="P2184" s="265"/>
      <c r="Q2184" s="265"/>
      <c r="BR2184" s="265"/>
      <c r="BS2184" s="265"/>
      <c r="BT2184" s="265"/>
      <c r="BU2184" s="265"/>
      <c r="BV2184" s="265"/>
    </row>
    <row r="2185" spans="12:74">
      <c r="L2185" s="265"/>
      <c r="M2185" s="265"/>
      <c r="N2185" s="265"/>
      <c r="O2185" s="265"/>
      <c r="P2185" s="265"/>
      <c r="Q2185" s="265"/>
      <c r="BR2185" s="265"/>
      <c r="BS2185" s="265"/>
      <c r="BT2185" s="265"/>
      <c r="BU2185" s="265"/>
      <c r="BV2185" s="265"/>
    </row>
    <row r="2186" spans="12:74">
      <c r="L2186" s="265"/>
      <c r="M2186" s="265"/>
      <c r="N2186" s="265"/>
      <c r="O2186" s="265"/>
      <c r="P2186" s="265"/>
      <c r="Q2186" s="265"/>
      <c r="BR2186" s="265"/>
      <c r="BS2186" s="265"/>
      <c r="BT2186" s="265"/>
      <c r="BU2186" s="265"/>
      <c r="BV2186" s="265"/>
    </row>
    <row r="2187" spans="12:74">
      <c r="L2187" s="265"/>
      <c r="M2187" s="265"/>
      <c r="N2187" s="265"/>
      <c r="O2187" s="265"/>
      <c r="P2187" s="265"/>
      <c r="Q2187" s="265"/>
      <c r="BR2187" s="265"/>
      <c r="BS2187" s="265"/>
      <c r="BT2187" s="265"/>
      <c r="BU2187" s="265"/>
      <c r="BV2187" s="265"/>
    </row>
    <row r="2188" spans="12:74">
      <c r="L2188" s="265"/>
      <c r="M2188" s="265"/>
      <c r="N2188" s="265"/>
      <c r="O2188" s="265"/>
      <c r="P2188" s="265"/>
      <c r="Q2188" s="265"/>
      <c r="BR2188" s="265"/>
      <c r="BS2188" s="265"/>
      <c r="BT2188" s="265"/>
      <c r="BU2188" s="265"/>
      <c r="BV2188" s="265"/>
    </row>
    <row r="2189" spans="12:74">
      <c r="L2189" s="265"/>
      <c r="M2189" s="265"/>
      <c r="N2189" s="265"/>
      <c r="O2189" s="265"/>
      <c r="P2189" s="265"/>
      <c r="Q2189" s="265"/>
      <c r="BR2189" s="265"/>
      <c r="BS2189" s="265"/>
      <c r="BT2189" s="265"/>
      <c r="BU2189" s="265"/>
      <c r="BV2189" s="265"/>
    </row>
    <row r="2190" spans="12:74">
      <c r="L2190" s="265"/>
      <c r="M2190" s="265"/>
      <c r="N2190" s="265"/>
      <c r="O2190" s="265"/>
      <c r="P2190" s="265"/>
      <c r="Q2190" s="265"/>
      <c r="BR2190" s="265"/>
      <c r="BS2190" s="265"/>
      <c r="BT2190" s="265"/>
      <c r="BU2190" s="265"/>
      <c r="BV2190" s="265"/>
    </row>
    <row r="2191" spans="12:74">
      <c r="L2191" s="265"/>
      <c r="M2191" s="265"/>
      <c r="N2191" s="265"/>
      <c r="O2191" s="265"/>
      <c r="P2191" s="265"/>
      <c r="Q2191" s="265"/>
      <c r="BR2191" s="265"/>
      <c r="BS2191" s="265"/>
      <c r="BT2191" s="265"/>
      <c r="BU2191" s="265"/>
      <c r="BV2191" s="265"/>
    </row>
    <row r="2192" spans="12:74">
      <c r="L2192" s="265"/>
      <c r="M2192" s="265"/>
      <c r="N2192" s="265"/>
      <c r="O2192" s="265"/>
      <c r="P2192" s="265"/>
      <c r="Q2192" s="265"/>
      <c r="BR2192" s="265"/>
      <c r="BS2192" s="265"/>
      <c r="BT2192" s="265"/>
      <c r="BU2192" s="265"/>
      <c r="BV2192" s="265"/>
    </row>
    <row r="2193" spans="12:74">
      <c r="L2193" s="265"/>
      <c r="M2193" s="265"/>
      <c r="N2193" s="265"/>
      <c r="O2193" s="265"/>
      <c r="P2193" s="265"/>
      <c r="Q2193" s="265"/>
      <c r="BR2193" s="265"/>
      <c r="BS2193" s="265"/>
      <c r="BT2193" s="265"/>
      <c r="BU2193" s="265"/>
      <c r="BV2193" s="265"/>
    </row>
    <row r="2194" spans="12:74">
      <c r="L2194" s="265"/>
      <c r="M2194" s="265"/>
      <c r="N2194" s="265"/>
      <c r="O2194" s="265"/>
      <c r="P2194" s="265"/>
      <c r="Q2194" s="265"/>
      <c r="BR2194" s="265"/>
      <c r="BS2194" s="265"/>
      <c r="BT2194" s="265"/>
      <c r="BU2194" s="265"/>
      <c r="BV2194" s="265"/>
    </row>
    <row r="2195" spans="12:74">
      <c r="L2195" s="265"/>
      <c r="M2195" s="265"/>
      <c r="N2195" s="265"/>
      <c r="O2195" s="265"/>
      <c r="P2195" s="265"/>
      <c r="Q2195" s="265"/>
      <c r="BR2195" s="265"/>
      <c r="BS2195" s="265"/>
      <c r="BT2195" s="265"/>
      <c r="BU2195" s="265"/>
      <c r="BV2195" s="265"/>
    </row>
    <row r="2196" spans="12:74">
      <c r="L2196" s="265"/>
      <c r="M2196" s="265"/>
      <c r="N2196" s="265"/>
      <c r="O2196" s="265"/>
      <c r="P2196" s="265"/>
      <c r="Q2196" s="265"/>
      <c r="BR2196" s="265"/>
      <c r="BS2196" s="265"/>
      <c r="BT2196" s="265"/>
      <c r="BU2196" s="265"/>
      <c r="BV2196" s="265"/>
    </row>
    <row r="2197" spans="12:74">
      <c r="L2197" s="265"/>
      <c r="M2197" s="265"/>
      <c r="N2197" s="265"/>
      <c r="O2197" s="265"/>
      <c r="P2197" s="265"/>
      <c r="Q2197" s="265"/>
      <c r="BR2197" s="265"/>
      <c r="BS2197" s="265"/>
      <c r="BT2197" s="265"/>
      <c r="BU2197" s="265"/>
      <c r="BV2197" s="265"/>
    </row>
    <row r="2198" spans="12:74">
      <c r="L2198" s="265"/>
      <c r="M2198" s="265"/>
      <c r="N2198" s="265"/>
      <c r="O2198" s="265"/>
      <c r="P2198" s="265"/>
      <c r="Q2198" s="265"/>
      <c r="BR2198" s="265"/>
      <c r="BS2198" s="265"/>
      <c r="BT2198" s="265"/>
      <c r="BU2198" s="265"/>
      <c r="BV2198" s="265"/>
    </row>
    <row r="2199" spans="12:74">
      <c r="L2199" s="265"/>
      <c r="M2199" s="265"/>
      <c r="N2199" s="265"/>
      <c r="O2199" s="265"/>
      <c r="P2199" s="265"/>
      <c r="Q2199" s="265"/>
      <c r="BR2199" s="265"/>
      <c r="BS2199" s="265"/>
      <c r="BT2199" s="265"/>
      <c r="BU2199" s="265"/>
      <c r="BV2199" s="265"/>
    </row>
    <row r="2200" spans="12:74">
      <c r="L2200" s="265"/>
      <c r="M2200" s="265"/>
      <c r="N2200" s="265"/>
      <c r="O2200" s="265"/>
      <c r="P2200" s="265"/>
      <c r="Q2200" s="265"/>
      <c r="BR2200" s="265"/>
      <c r="BS2200" s="265"/>
      <c r="BT2200" s="265"/>
      <c r="BU2200" s="265"/>
      <c r="BV2200" s="265"/>
    </row>
    <row r="2201" spans="12:74">
      <c r="L2201" s="265"/>
      <c r="M2201" s="265"/>
      <c r="N2201" s="265"/>
      <c r="O2201" s="265"/>
      <c r="P2201" s="265"/>
      <c r="Q2201" s="265"/>
      <c r="BR2201" s="265"/>
      <c r="BS2201" s="265"/>
      <c r="BT2201" s="265"/>
      <c r="BU2201" s="265"/>
      <c r="BV2201" s="265"/>
    </row>
    <row r="2202" spans="12:74">
      <c r="L2202" s="265"/>
      <c r="M2202" s="265"/>
      <c r="N2202" s="265"/>
      <c r="O2202" s="265"/>
      <c r="P2202" s="265"/>
      <c r="Q2202" s="265"/>
      <c r="BR2202" s="265"/>
      <c r="BS2202" s="265"/>
      <c r="BT2202" s="265"/>
      <c r="BU2202" s="265"/>
      <c r="BV2202" s="265"/>
    </row>
    <row r="2203" spans="12:74">
      <c r="L2203" s="265"/>
      <c r="M2203" s="265"/>
      <c r="N2203" s="265"/>
      <c r="O2203" s="265"/>
      <c r="P2203" s="265"/>
      <c r="Q2203" s="265"/>
      <c r="BR2203" s="265"/>
      <c r="BS2203" s="265"/>
      <c r="BT2203" s="265"/>
      <c r="BU2203" s="265"/>
      <c r="BV2203" s="265"/>
    </row>
    <row r="2204" spans="12:74">
      <c r="L2204" s="265"/>
      <c r="M2204" s="265"/>
      <c r="N2204" s="265"/>
      <c r="O2204" s="265"/>
      <c r="P2204" s="265"/>
      <c r="Q2204" s="265"/>
      <c r="BR2204" s="265"/>
      <c r="BS2204" s="265"/>
      <c r="BT2204" s="265"/>
      <c r="BU2204" s="265"/>
      <c r="BV2204" s="265"/>
    </row>
    <row r="2205" spans="12:74">
      <c r="L2205" s="265"/>
      <c r="M2205" s="265"/>
      <c r="N2205" s="265"/>
      <c r="O2205" s="265"/>
      <c r="P2205" s="265"/>
      <c r="Q2205" s="265"/>
      <c r="BR2205" s="265"/>
      <c r="BS2205" s="265"/>
      <c r="BT2205" s="265"/>
      <c r="BU2205" s="265"/>
      <c r="BV2205" s="265"/>
    </row>
    <row r="2206" spans="12:74">
      <c r="L2206" s="265"/>
      <c r="M2206" s="265"/>
      <c r="N2206" s="265"/>
      <c r="O2206" s="265"/>
      <c r="P2206" s="265"/>
      <c r="Q2206" s="265"/>
      <c r="BR2206" s="265"/>
      <c r="BS2206" s="265"/>
      <c r="BT2206" s="265"/>
      <c r="BU2206" s="265"/>
      <c r="BV2206" s="265"/>
    </row>
    <row r="2207" spans="12:74">
      <c r="L2207" s="265"/>
      <c r="M2207" s="265"/>
      <c r="N2207" s="265"/>
      <c r="O2207" s="265"/>
      <c r="P2207" s="265"/>
      <c r="Q2207" s="265"/>
      <c r="BR2207" s="265"/>
      <c r="BS2207" s="265"/>
      <c r="BT2207" s="265"/>
      <c r="BU2207" s="265"/>
      <c r="BV2207" s="265"/>
    </row>
    <row r="2208" spans="12:74">
      <c r="L2208" s="265"/>
      <c r="M2208" s="265"/>
      <c r="N2208" s="265"/>
      <c r="O2208" s="265"/>
      <c r="P2208" s="265"/>
      <c r="Q2208" s="265"/>
      <c r="BR2208" s="265"/>
      <c r="BS2208" s="265"/>
      <c r="BT2208" s="265"/>
      <c r="BU2208" s="265"/>
      <c r="BV2208" s="265"/>
    </row>
    <row r="2209" spans="12:74">
      <c r="L2209" s="265"/>
      <c r="M2209" s="265"/>
      <c r="N2209" s="265"/>
      <c r="O2209" s="265"/>
      <c r="P2209" s="265"/>
      <c r="Q2209" s="265"/>
      <c r="BR2209" s="265"/>
      <c r="BS2209" s="265"/>
      <c r="BT2209" s="265"/>
      <c r="BU2209" s="265"/>
      <c r="BV2209" s="265"/>
    </row>
    <row r="2210" spans="12:74">
      <c r="L2210" s="265"/>
      <c r="M2210" s="265"/>
      <c r="N2210" s="265"/>
      <c r="O2210" s="265"/>
      <c r="P2210" s="265"/>
      <c r="Q2210" s="265"/>
      <c r="BR2210" s="265"/>
      <c r="BS2210" s="265"/>
      <c r="BT2210" s="265"/>
      <c r="BU2210" s="265"/>
      <c r="BV2210" s="265"/>
    </row>
    <row r="2211" spans="12:74">
      <c r="L2211" s="265"/>
      <c r="M2211" s="265"/>
      <c r="N2211" s="265"/>
      <c r="O2211" s="265"/>
      <c r="P2211" s="265"/>
      <c r="Q2211" s="265"/>
      <c r="BR2211" s="265"/>
      <c r="BS2211" s="265"/>
      <c r="BT2211" s="265"/>
      <c r="BU2211" s="265"/>
      <c r="BV2211" s="265"/>
    </row>
    <row r="2212" spans="12:74">
      <c r="L2212" s="265"/>
      <c r="M2212" s="265"/>
      <c r="N2212" s="265"/>
      <c r="O2212" s="265"/>
      <c r="P2212" s="265"/>
      <c r="Q2212" s="265"/>
      <c r="BR2212" s="265"/>
      <c r="BS2212" s="265"/>
      <c r="BT2212" s="265"/>
      <c r="BU2212" s="265"/>
      <c r="BV2212" s="265"/>
    </row>
    <row r="2213" spans="12:74">
      <c r="L2213" s="265"/>
      <c r="M2213" s="265"/>
      <c r="N2213" s="265"/>
      <c r="O2213" s="265"/>
      <c r="P2213" s="265"/>
      <c r="Q2213" s="265"/>
      <c r="BR2213" s="265"/>
      <c r="BS2213" s="265"/>
      <c r="BT2213" s="265"/>
      <c r="BU2213" s="265"/>
      <c r="BV2213" s="265"/>
    </row>
    <row r="2214" spans="12:74">
      <c r="L2214" s="265"/>
      <c r="M2214" s="265"/>
      <c r="N2214" s="265"/>
      <c r="O2214" s="265"/>
      <c r="P2214" s="265"/>
      <c r="Q2214" s="265"/>
      <c r="BR2214" s="265"/>
      <c r="BS2214" s="265"/>
      <c r="BT2214" s="265"/>
      <c r="BU2214" s="265"/>
      <c r="BV2214" s="265"/>
    </row>
    <row r="2215" spans="12:74">
      <c r="L2215" s="265"/>
      <c r="M2215" s="265"/>
      <c r="N2215" s="265"/>
      <c r="O2215" s="265"/>
      <c r="P2215" s="265"/>
      <c r="Q2215" s="265"/>
      <c r="BR2215" s="265"/>
      <c r="BS2215" s="265"/>
      <c r="BT2215" s="265"/>
      <c r="BU2215" s="265"/>
      <c r="BV2215" s="265"/>
    </row>
    <row r="2216" spans="12:74">
      <c r="L2216" s="265"/>
      <c r="M2216" s="265"/>
      <c r="N2216" s="265"/>
      <c r="O2216" s="265"/>
      <c r="P2216" s="265"/>
      <c r="Q2216" s="265"/>
      <c r="BR2216" s="265"/>
      <c r="BS2216" s="265"/>
      <c r="BT2216" s="265"/>
      <c r="BU2216" s="265"/>
      <c r="BV2216" s="265"/>
    </row>
    <row r="2217" spans="12:74">
      <c r="L2217" s="265"/>
      <c r="M2217" s="265"/>
      <c r="N2217" s="265"/>
      <c r="O2217" s="265"/>
      <c r="P2217" s="265"/>
      <c r="Q2217" s="265"/>
      <c r="BR2217" s="265"/>
      <c r="BS2217" s="265"/>
      <c r="BT2217" s="265"/>
      <c r="BU2217" s="265"/>
      <c r="BV2217" s="265"/>
    </row>
    <row r="2218" spans="12:74">
      <c r="L2218" s="265"/>
      <c r="M2218" s="265"/>
      <c r="N2218" s="265"/>
      <c r="O2218" s="265"/>
      <c r="P2218" s="265"/>
      <c r="Q2218" s="265"/>
      <c r="BR2218" s="265"/>
      <c r="BS2218" s="265"/>
      <c r="BT2218" s="265"/>
      <c r="BU2218" s="265"/>
      <c r="BV2218" s="265"/>
    </row>
    <row r="2219" spans="12:74">
      <c r="L2219" s="265"/>
      <c r="M2219" s="265"/>
      <c r="N2219" s="265"/>
      <c r="O2219" s="265"/>
      <c r="P2219" s="265"/>
      <c r="Q2219" s="265"/>
      <c r="BR2219" s="265"/>
      <c r="BS2219" s="265"/>
      <c r="BT2219" s="265"/>
      <c r="BU2219" s="265"/>
      <c r="BV2219" s="265"/>
    </row>
    <row r="2220" spans="12:74">
      <c r="L2220" s="265"/>
      <c r="M2220" s="265"/>
      <c r="N2220" s="265"/>
      <c r="O2220" s="265"/>
      <c r="P2220" s="265"/>
      <c r="Q2220" s="265"/>
      <c r="BR2220" s="265"/>
      <c r="BS2220" s="265"/>
      <c r="BT2220" s="265"/>
      <c r="BU2220" s="265"/>
      <c r="BV2220" s="265"/>
    </row>
    <row r="2221" spans="12:74">
      <c r="L2221" s="265"/>
      <c r="M2221" s="265"/>
      <c r="N2221" s="265"/>
      <c r="O2221" s="265"/>
      <c r="P2221" s="265"/>
      <c r="Q2221" s="265"/>
      <c r="BR2221" s="265"/>
      <c r="BS2221" s="265"/>
      <c r="BT2221" s="265"/>
      <c r="BU2221" s="265"/>
      <c r="BV2221" s="265"/>
    </row>
    <row r="2222" spans="12:74">
      <c r="L2222" s="265"/>
      <c r="M2222" s="265"/>
      <c r="N2222" s="265"/>
      <c r="O2222" s="265"/>
      <c r="P2222" s="265"/>
      <c r="Q2222" s="265"/>
      <c r="BR2222" s="265"/>
      <c r="BS2222" s="265"/>
      <c r="BT2222" s="265"/>
      <c r="BU2222" s="265"/>
      <c r="BV2222" s="265"/>
    </row>
    <row r="2223" spans="12:74">
      <c r="L2223" s="265"/>
      <c r="M2223" s="265"/>
      <c r="N2223" s="265"/>
      <c r="O2223" s="265"/>
      <c r="P2223" s="265"/>
      <c r="Q2223" s="265"/>
      <c r="BR2223" s="265"/>
      <c r="BS2223" s="265"/>
      <c r="BT2223" s="265"/>
      <c r="BU2223" s="265"/>
      <c r="BV2223" s="265"/>
    </row>
    <row r="2224" spans="12:74">
      <c r="L2224" s="265"/>
      <c r="M2224" s="265"/>
      <c r="N2224" s="265"/>
      <c r="O2224" s="265"/>
      <c r="P2224" s="265"/>
      <c r="Q2224" s="265"/>
      <c r="BR2224" s="265"/>
      <c r="BS2224" s="265"/>
      <c r="BT2224" s="265"/>
      <c r="BU2224" s="265"/>
      <c r="BV2224" s="265"/>
    </row>
    <row r="2225" spans="12:74">
      <c r="L2225" s="265"/>
      <c r="M2225" s="265"/>
      <c r="N2225" s="265"/>
      <c r="O2225" s="265"/>
      <c r="P2225" s="265"/>
      <c r="Q2225" s="265"/>
      <c r="BR2225" s="265"/>
      <c r="BS2225" s="265"/>
      <c r="BT2225" s="265"/>
      <c r="BU2225" s="265"/>
      <c r="BV2225" s="265"/>
    </row>
    <row r="2226" spans="12:74">
      <c r="L2226" s="265"/>
      <c r="M2226" s="265"/>
      <c r="N2226" s="265"/>
      <c r="O2226" s="265"/>
      <c r="P2226" s="265"/>
      <c r="Q2226" s="265"/>
      <c r="BR2226" s="265"/>
      <c r="BS2226" s="265"/>
      <c r="BT2226" s="265"/>
      <c r="BU2226" s="265"/>
      <c r="BV2226" s="265"/>
    </row>
    <row r="2227" spans="12:74">
      <c r="L2227" s="265"/>
      <c r="M2227" s="265"/>
      <c r="N2227" s="265"/>
      <c r="O2227" s="265"/>
      <c r="P2227" s="265"/>
      <c r="Q2227" s="265"/>
      <c r="BR2227" s="265"/>
      <c r="BS2227" s="265"/>
      <c r="BT2227" s="265"/>
      <c r="BU2227" s="265"/>
      <c r="BV2227" s="265"/>
    </row>
    <row r="2228" spans="12:74">
      <c r="L2228" s="265"/>
      <c r="M2228" s="265"/>
      <c r="N2228" s="265"/>
      <c r="O2228" s="265"/>
      <c r="P2228" s="265"/>
      <c r="Q2228" s="265"/>
      <c r="BR2228" s="265"/>
      <c r="BS2228" s="265"/>
      <c r="BT2228" s="265"/>
      <c r="BU2228" s="265"/>
      <c r="BV2228" s="265"/>
    </row>
    <row r="2229" spans="12:74">
      <c r="L2229" s="265"/>
      <c r="M2229" s="265"/>
      <c r="N2229" s="265"/>
      <c r="O2229" s="265"/>
      <c r="P2229" s="265"/>
      <c r="Q2229" s="265"/>
      <c r="BR2229" s="265"/>
      <c r="BS2229" s="265"/>
      <c r="BT2229" s="265"/>
      <c r="BU2229" s="265"/>
      <c r="BV2229" s="265"/>
    </row>
    <row r="2230" spans="12:74">
      <c r="L2230" s="265"/>
      <c r="M2230" s="265"/>
      <c r="N2230" s="265"/>
      <c r="O2230" s="265"/>
      <c r="P2230" s="265"/>
      <c r="Q2230" s="265"/>
      <c r="BR2230" s="265"/>
      <c r="BS2230" s="265"/>
      <c r="BT2230" s="265"/>
      <c r="BU2230" s="265"/>
      <c r="BV2230" s="265"/>
    </row>
    <row r="2231" spans="12:74">
      <c r="L2231" s="265"/>
      <c r="M2231" s="265"/>
      <c r="N2231" s="265"/>
      <c r="O2231" s="265"/>
      <c r="P2231" s="265"/>
      <c r="Q2231" s="265"/>
      <c r="BR2231" s="265"/>
      <c r="BS2231" s="265"/>
      <c r="BT2231" s="265"/>
      <c r="BU2231" s="265"/>
      <c r="BV2231" s="265"/>
    </row>
    <row r="2232" spans="12:74">
      <c r="L2232" s="265"/>
      <c r="M2232" s="265"/>
      <c r="N2232" s="265"/>
      <c r="O2232" s="265"/>
      <c r="P2232" s="265"/>
      <c r="Q2232" s="265"/>
      <c r="BR2232" s="265"/>
      <c r="BS2232" s="265"/>
      <c r="BT2232" s="265"/>
      <c r="BU2232" s="265"/>
      <c r="BV2232" s="265"/>
    </row>
    <row r="2233" spans="12:74">
      <c r="L2233" s="265"/>
      <c r="M2233" s="265"/>
      <c r="N2233" s="265"/>
      <c r="O2233" s="265"/>
      <c r="P2233" s="265"/>
      <c r="Q2233" s="265"/>
      <c r="BR2233" s="265"/>
      <c r="BS2233" s="265"/>
      <c r="BT2233" s="265"/>
      <c r="BU2233" s="265"/>
      <c r="BV2233" s="265"/>
    </row>
    <row r="2234" spans="12:74">
      <c r="L2234" s="265"/>
      <c r="M2234" s="265"/>
      <c r="N2234" s="265"/>
      <c r="O2234" s="265"/>
      <c r="P2234" s="265"/>
      <c r="Q2234" s="265"/>
      <c r="BR2234" s="265"/>
      <c r="BS2234" s="265"/>
      <c r="BT2234" s="265"/>
      <c r="BU2234" s="265"/>
      <c r="BV2234" s="265"/>
    </row>
    <row r="2235" spans="12:74">
      <c r="L2235" s="265"/>
      <c r="M2235" s="265"/>
      <c r="N2235" s="265"/>
      <c r="O2235" s="265"/>
      <c r="P2235" s="265"/>
      <c r="Q2235" s="265"/>
      <c r="BR2235" s="265"/>
      <c r="BS2235" s="265"/>
      <c r="BT2235" s="265"/>
      <c r="BU2235" s="265"/>
      <c r="BV2235" s="265"/>
    </row>
    <row r="2236" spans="12:74">
      <c r="L2236" s="265"/>
      <c r="M2236" s="265"/>
      <c r="N2236" s="265"/>
      <c r="O2236" s="265"/>
      <c r="P2236" s="265"/>
      <c r="Q2236" s="265"/>
      <c r="BR2236" s="265"/>
      <c r="BS2236" s="265"/>
      <c r="BT2236" s="265"/>
      <c r="BU2236" s="265"/>
      <c r="BV2236" s="265"/>
    </row>
    <row r="2237" spans="12:74">
      <c r="L2237" s="265"/>
      <c r="M2237" s="265"/>
      <c r="N2237" s="265"/>
      <c r="O2237" s="265"/>
      <c r="P2237" s="265"/>
      <c r="Q2237" s="265"/>
      <c r="BR2237" s="265"/>
      <c r="BS2237" s="265"/>
      <c r="BT2237" s="265"/>
      <c r="BU2237" s="265"/>
      <c r="BV2237" s="265"/>
    </row>
    <row r="2238" spans="12:74">
      <c r="L2238" s="265"/>
      <c r="M2238" s="265"/>
      <c r="N2238" s="265"/>
      <c r="O2238" s="265"/>
      <c r="P2238" s="265"/>
      <c r="Q2238" s="265"/>
      <c r="BR2238" s="265"/>
      <c r="BS2238" s="265"/>
      <c r="BT2238" s="265"/>
      <c r="BU2238" s="265"/>
      <c r="BV2238" s="265"/>
    </row>
    <row r="2239" spans="12:74">
      <c r="L2239" s="265"/>
      <c r="M2239" s="265"/>
      <c r="N2239" s="265"/>
      <c r="O2239" s="265"/>
      <c r="P2239" s="265"/>
      <c r="Q2239" s="265"/>
      <c r="BR2239" s="265"/>
      <c r="BS2239" s="265"/>
      <c r="BT2239" s="265"/>
      <c r="BU2239" s="265"/>
      <c r="BV2239" s="265"/>
    </row>
    <row r="2240" spans="12:74">
      <c r="L2240" s="265"/>
      <c r="M2240" s="265"/>
      <c r="N2240" s="265"/>
      <c r="O2240" s="265"/>
      <c r="P2240" s="265"/>
      <c r="Q2240" s="265"/>
      <c r="BR2240" s="265"/>
      <c r="BS2240" s="265"/>
      <c r="BT2240" s="265"/>
      <c r="BU2240" s="265"/>
      <c r="BV2240" s="265"/>
    </row>
    <row r="2241" spans="12:74">
      <c r="L2241" s="265"/>
      <c r="M2241" s="265"/>
      <c r="N2241" s="265"/>
      <c r="O2241" s="265"/>
      <c r="P2241" s="265"/>
      <c r="Q2241" s="265"/>
      <c r="BR2241" s="265"/>
      <c r="BS2241" s="265"/>
      <c r="BT2241" s="265"/>
      <c r="BU2241" s="265"/>
      <c r="BV2241" s="265"/>
    </row>
    <row r="2242" spans="12:74">
      <c r="L2242" s="265"/>
      <c r="M2242" s="265"/>
      <c r="N2242" s="265"/>
      <c r="O2242" s="265"/>
      <c r="P2242" s="265"/>
      <c r="Q2242" s="265"/>
      <c r="BR2242" s="265"/>
      <c r="BS2242" s="265"/>
      <c r="BT2242" s="265"/>
      <c r="BU2242" s="265"/>
      <c r="BV2242" s="265"/>
    </row>
    <row r="2243" spans="12:74">
      <c r="L2243" s="265"/>
      <c r="M2243" s="265"/>
      <c r="N2243" s="265"/>
      <c r="O2243" s="265"/>
      <c r="P2243" s="265"/>
      <c r="Q2243" s="265"/>
      <c r="BR2243" s="265"/>
      <c r="BS2243" s="265"/>
      <c r="BT2243" s="265"/>
      <c r="BU2243" s="265"/>
      <c r="BV2243" s="265"/>
    </row>
    <row r="2244" spans="12:74">
      <c r="L2244" s="265"/>
      <c r="M2244" s="265"/>
      <c r="N2244" s="265"/>
      <c r="O2244" s="265"/>
      <c r="P2244" s="265"/>
      <c r="Q2244" s="265"/>
      <c r="BR2244" s="265"/>
      <c r="BS2244" s="265"/>
      <c r="BT2244" s="265"/>
      <c r="BU2244" s="265"/>
      <c r="BV2244" s="265"/>
    </row>
    <row r="2245" spans="12:74">
      <c r="L2245" s="265"/>
      <c r="M2245" s="265"/>
      <c r="N2245" s="265"/>
      <c r="O2245" s="265"/>
      <c r="P2245" s="265"/>
      <c r="Q2245" s="265"/>
      <c r="BR2245" s="265"/>
      <c r="BS2245" s="265"/>
      <c r="BT2245" s="265"/>
      <c r="BU2245" s="265"/>
      <c r="BV2245" s="265"/>
    </row>
    <row r="2246" spans="12:74">
      <c r="L2246" s="265"/>
      <c r="M2246" s="265"/>
      <c r="N2246" s="265"/>
      <c r="O2246" s="265"/>
      <c r="P2246" s="265"/>
      <c r="Q2246" s="265"/>
      <c r="BR2246" s="265"/>
      <c r="BS2246" s="265"/>
      <c r="BT2246" s="265"/>
      <c r="BU2246" s="265"/>
      <c r="BV2246" s="265"/>
    </row>
    <row r="2247" spans="12:74">
      <c r="L2247" s="265"/>
      <c r="M2247" s="265"/>
      <c r="N2247" s="265"/>
      <c r="O2247" s="265"/>
      <c r="P2247" s="265"/>
      <c r="Q2247" s="265"/>
      <c r="BR2247" s="265"/>
      <c r="BS2247" s="265"/>
      <c r="BT2247" s="265"/>
      <c r="BU2247" s="265"/>
      <c r="BV2247" s="265"/>
    </row>
    <row r="2248" spans="12:74">
      <c r="L2248" s="265"/>
      <c r="M2248" s="265"/>
      <c r="N2248" s="265"/>
      <c r="O2248" s="265"/>
      <c r="P2248" s="265"/>
      <c r="Q2248" s="265"/>
      <c r="BR2248" s="265"/>
      <c r="BS2248" s="265"/>
      <c r="BT2248" s="265"/>
      <c r="BU2248" s="265"/>
      <c r="BV2248" s="265"/>
    </row>
    <row r="2249" spans="12:74">
      <c r="L2249" s="265"/>
      <c r="M2249" s="265"/>
      <c r="N2249" s="265"/>
      <c r="O2249" s="265"/>
      <c r="P2249" s="265"/>
      <c r="Q2249" s="265"/>
      <c r="BR2249" s="265"/>
      <c r="BS2249" s="265"/>
      <c r="BT2249" s="265"/>
      <c r="BU2249" s="265"/>
      <c r="BV2249" s="265"/>
    </row>
    <row r="2250" spans="12:74">
      <c r="L2250" s="265"/>
      <c r="M2250" s="265"/>
      <c r="N2250" s="265"/>
      <c r="O2250" s="265"/>
      <c r="P2250" s="265"/>
      <c r="Q2250" s="265"/>
      <c r="BR2250" s="265"/>
      <c r="BS2250" s="265"/>
      <c r="BT2250" s="265"/>
      <c r="BU2250" s="265"/>
      <c r="BV2250" s="265"/>
    </row>
    <row r="2251" spans="12:74">
      <c r="L2251" s="265"/>
      <c r="M2251" s="265"/>
      <c r="N2251" s="265"/>
      <c r="O2251" s="265"/>
      <c r="P2251" s="265"/>
      <c r="Q2251" s="265"/>
      <c r="BR2251" s="265"/>
      <c r="BS2251" s="265"/>
      <c r="BT2251" s="265"/>
      <c r="BU2251" s="265"/>
      <c r="BV2251" s="265"/>
    </row>
    <row r="2252" spans="12:74">
      <c r="L2252" s="265"/>
      <c r="M2252" s="265"/>
      <c r="N2252" s="265"/>
      <c r="O2252" s="265"/>
      <c r="P2252" s="265"/>
      <c r="Q2252" s="265"/>
      <c r="BR2252" s="265"/>
      <c r="BS2252" s="265"/>
      <c r="BT2252" s="265"/>
      <c r="BU2252" s="265"/>
      <c r="BV2252" s="265"/>
    </row>
    <row r="2253" spans="12:74">
      <c r="L2253" s="265"/>
      <c r="M2253" s="265"/>
      <c r="N2253" s="265"/>
      <c r="O2253" s="265"/>
      <c r="P2253" s="265"/>
      <c r="Q2253" s="265"/>
      <c r="BR2253" s="265"/>
      <c r="BS2253" s="265"/>
      <c r="BT2253" s="265"/>
      <c r="BU2253" s="265"/>
      <c r="BV2253" s="265"/>
    </row>
    <row r="2254" spans="12:74">
      <c r="L2254" s="265"/>
      <c r="M2254" s="265"/>
      <c r="N2254" s="265"/>
      <c r="O2254" s="265"/>
      <c r="P2254" s="265"/>
      <c r="Q2254" s="265"/>
      <c r="BR2254" s="265"/>
      <c r="BS2254" s="265"/>
      <c r="BT2254" s="265"/>
      <c r="BU2254" s="265"/>
      <c r="BV2254" s="265"/>
    </row>
    <row r="2255" spans="12:74">
      <c r="L2255" s="265"/>
      <c r="M2255" s="265"/>
      <c r="N2255" s="265"/>
      <c r="O2255" s="265"/>
      <c r="P2255" s="265"/>
      <c r="Q2255" s="265"/>
      <c r="BR2255" s="265"/>
      <c r="BS2255" s="265"/>
      <c r="BT2255" s="265"/>
      <c r="BU2255" s="265"/>
      <c r="BV2255" s="265"/>
    </row>
    <row r="2256" spans="12:74">
      <c r="L2256" s="265"/>
      <c r="M2256" s="265"/>
      <c r="N2256" s="265"/>
      <c r="O2256" s="265"/>
      <c r="P2256" s="265"/>
      <c r="Q2256" s="265"/>
      <c r="BR2256" s="265"/>
      <c r="BS2256" s="265"/>
      <c r="BT2256" s="265"/>
      <c r="BU2256" s="265"/>
      <c r="BV2256" s="265"/>
    </row>
    <row r="2257" spans="12:74">
      <c r="L2257" s="265"/>
      <c r="M2257" s="265"/>
      <c r="N2257" s="265"/>
      <c r="O2257" s="265"/>
      <c r="P2257" s="265"/>
      <c r="Q2257" s="265"/>
      <c r="BR2257" s="265"/>
      <c r="BS2257" s="265"/>
      <c r="BT2257" s="265"/>
      <c r="BU2257" s="265"/>
      <c r="BV2257" s="265"/>
    </row>
    <row r="2258" spans="12:74">
      <c r="L2258" s="265"/>
      <c r="M2258" s="265"/>
      <c r="N2258" s="265"/>
      <c r="O2258" s="265"/>
      <c r="P2258" s="265"/>
      <c r="Q2258" s="265"/>
      <c r="BR2258" s="265"/>
      <c r="BS2258" s="265"/>
      <c r="BT2258" s="265"/>
      <c r="BU2258" s="265"/>
      <c r="BV2258" s="265"/>
    </row>
    <row r="2259" spans="12:74">
      <c r="L2259" s="265"/>
      <c r="M2259" s="265"/>
      <c r="N2259" s="265"/>
      <c r="O2259" s="265"/>
      <c r="P2259" s="265"/>
      <c r="Q2259" s="265"/>
      <c r="BR2259" s="265"/>
      <c r="BS2259" s="265"/>
      <c r="BT2259" s="265"/>
      <c r="BU2259" s="265"/>
      <c r="BV2259" s="265"/>
    </row>
    <row r="2260" spans="12:74">
      <c r="L2260" s="265"/>
      <c r="M2260" s="265"/>
      <c r="N2260" s="265"/>
      <c r="O2260" s="265"/>
      <c r="P2260" s="265"/>
      <c r="Q2260" s="265"/>
      <c r="BR2260" s="265"/>
      <c r="BS2260" s="265"/>
      <c r="BT2260" s="265"/>
      <c r="BU2260" s="265"/>
      <c r="BV2260" s="265"/>
    </row>
    <row r="2261" spans="12:74">
      <c r="L2261" s="265"/>
      <c r="M2261" s="265"/>
      <c r="N2261" s="265"/>
      <c r="O2261" s="265"/>
      <c r="P2261" s="265"/>
      <c r="Q2261" s="265"/>
      <c r="BR2261" s="265"/>
      <c r="BS2261" s="265"/>
      <c r="BT2261" s="265"/>
      <c r="BU2261" s="265"/>
      <c r="BV2261" s="265"/>
    </row>
    <row r="2262" spans="12:74">
      <c r="L2262" s="265"/>
      <c r="M2262" s="265"/>
      <c r="N2262" s="265"/>
      <c r="O2262" s="265"/>
      <c r="P2262" s="265"/>
      <c r="Q2262" s="265"/>
      <c r="BR2262" s="265"/>
      <c r="BS2262" s="265"/>
      <c r="BT2262" s="265"/>
      <c r="BU2262" s="265"/>
      <c r="BV2262" s="265"/>
    </row>
    <row r="2263" spans="12:74">
      <c r="L2263" s="265"/>
      <c r="M2263" s="265"/>
      <c r="N2263" s="265"/>
      <c r="O2263" s="265"/>
      <c r="P2263" s="265"/>
      <c r="Q2263" s="265"/>
      <c r="BR2263" s="265"/>
      <c r="BS2263" s="265"/>
      <c r="BT2263" s="265"/>
      <c r="BU2263" s="265"/>
      <c r="BV2263" s="265"/>
    </row>
    <row r="2264" spans="12:74">
      <c r="L2264" s="265"/>
      <c r="M2264" s="265"/>
      <c r="N2264" s="265"/>
      <c r="O2264" s="265"/>
      <c r="P2264" s="265"/>
      <c r="Q2264" s="265"/>
      <c r="BR2264" s="265"/>
      <c r="BS2264" s="265"/>
      <c r="BT2264" s="265"/>
      <c r="BU2264" s="265"/>
      <c r="BV2264" s="265"/>
    </row>
    <row r="2265" spans="12:74">
      <c r="L2265" s="265"/>
      <c r="M2265" s="265"/>
      <c r="N2265" s="265"/>
      <c r="O2265" s="265"/>
      <c r="P2265" s="265"/>
      <c r="Q2265" s="265"/>
      <c r="BR2265" s="265"/>
      <c r="BS2265" s="265"/>
      <c r="BT2265" s="265"/>
      <c r="BU2265" s="265"/>
      <c r="BV2265" s="265"/>
    </row>
    <row r="2266" spans="12:74">
      <c r="L2266" s="265"/>
      <c r="M2266" s="265"/>
      <c r="N2266" s="265"/>
      <c r="O2266" s="265"/>
      <c r="P2266" s="265"/>
      <c r="Q2266" s="265"/>
      <c r="BR2266" s="265"/>
      <c r="BS2266" s="265"/>
      <c r="BT2266" s="265"/>
      <c r="BU2266" s="265"/>
      <c r="BV2266" s="265"/>
    </row>
    <row r="2267" spans="12:74">
      <c r="L2267" s="265"/>
      <c r="M2267" s="265"/>
      <c r="N2267" s="265"/>
      <c r="O2267" s="265"/>
      <c r="P2267" s="265"/>
      <c r="Q2267" s="265"/>
      <c r="BR2267" s="265"/>
      <c r="BS2267" s="265"/>
      <c r="BT2267" s="265"/>
      <c r="BU2267" s="265"/>
      <c r="BV2267" s="265"/>
    </row>
    <row r="2268" spans="12:74">
      <c r="L2268" s="265"/>
      <c r="M2268" s="265"/>
      <c r="N2268" s="265"/>
      <c r="O2268" s="265"/>
      <c r="P2268" s="265"/>
      <c r="Q2268" s="265"/>
      <c r="BR2268" s="265"/>
      <c r="BS2268" s="265"/>
      <c r="BT2268" s="265"/>
      <c r="BU2268" s="265"/>
      <c r="BV2268" s="265"/>
    </row>
    <row r="2269" spans="12:74">
      <c r="L2269" s="265"/>
      <c r="M2269" s="265"/>
      <c r="N2269" s="265"/>
      <c r="O2269" s="265"/>
      <c r="P2269" s="265"/>
      <c r="Q2269" s="265"/>
      <c r="BR2269" s="265"/>
      <c r="BS2269" s="265"/>
      <c r="BT2269" s="265"/>
      <c r="BU2269" s="265"/>
      <c r="BV2269" s="265"/>
    </row>
    <row r="2270" spans="12:74">
      <c r="L2270" s="265"/>
      <c r="M2270" s="265"/>
      <c r="N2270" s="265"/>
      <c r="O2270" s="265"/>
      <c r="P2270" s="265"/>
      <c r="Q2270" s="265"/>
      <c r="BR2270" s="265"/>
      <c r="BS2270" s="265"/>
      <c r="BT2270" s="265"/>
      <c r="BU2270" s="265"/>
      <c r="BV2270" s="265"/>
    </row>
    <row r="2271" spans="12:74">
      <c r="L2271" s="265"/>
      <c r="M2271" s="265"/>
      <c r="N2271" s="265"/>
      <c r="O2271" s="265"/>
      <c r="P2271" s="265"/>
      <c r="Q2271" s="265"/>
      <c r="BR2271" s="265"/>
      <c r="BS2271" s="265"/>
      <c r="BT2271" s="265"/>
      <c r="BU2271" s="265"/>
      <c r="BV2271" s="265"/>
    </row>
    <row r="2272" spans="12:74">
      <c r="L2272" s="265"/>
      <c r="M2272" s="265"/>
      <c r="N2272" s="265"/>
      <c r="O2272" s="265"/>
      <c r="P2272" s="265"/>
      <c r="Q2272" s="265"/>
      <c r="BR2272" s="265"/>
      <c r="BS2272" s="265"/>
      <c r="BT2272" s="265"/>
      <c r="BU2272" s="265"/>
      <c r="BV2272" s="265"/>
    </row>
    <row r="2273" spans="12:74">
      <c r="L2273" s="265"/>
      <c r="M2273" s="265"/>
      <c r="N2273" s="265"/>
      <c r="O2273" s="265"/>
      <c r="P2273" s="265"/>
      <c r="Q2273" s="265"/>
      <c r="BR2273" s="265"/>
      <c r="BS2273" s="265"/>
      <c r="BT2273" s="265"/>
      <c r="BU2273" s="265"/>
      <c r="BV2273" s="265"/>
    </row>
    <row r="2274" spans="12:74">
      <c r="L2274" s="265"/>
      <c r="M2274" s="265"/>
      <c r="N2274" s="265"/>
      <c r="O2274" s="265"/>
      <c r="P2274" s="265"/>
      <c r="Q2274" s="265"/>
      <c r="BR2274" s="265"/>
      <c r="BS2274" s="265"/>
      <c r="BT2274" s="265"/>
      <c r="BU2274" s="265"/>
      <c r="BV2274" s="265"/>
    </row>
    <row r="2275" spans="12:74">
      <c r="L2275" s="265"/>
      <c r="M2275" s="265"/>
      <c r="N2275" s="265"/>
      <c r="O2275" s="265"/>
      <c r="P2275" s="265"/>
      <c r="Q2275" s="265"/>
      <c r="BR2275" s="265"/>
      <c r="BS2275" s="265"/>
      <c r="BT2275" s="265"/>
      <c r="BU2275" s="265"/>
      <c r="BV2275" s="265"/>
    </row>
    <row r="2276" spans="12:74">
      <c r="L2276" s="265"/>
      <c r="M2276" s="265"/>
      <c r="N2276" s="265"/>
      <c r="O2276" s="265"/>
      <c r="P2276" s="265"/>
      <c r="Q2276" s="265"/>
      <c r="BR2276" s="265"/>
      <c r="BS2276" s="265"/>
      <c r="BT2276" s="265"/>
      <c r="BU2276" s="265"/>
      <c r="BV2276" s="265"/>
    </row>
    <row r="2277" spans="12:74">
      <c r="L2277" s="265"/>
      <c r="M2277" s="265"/>
      <c r="N2277" s="265"/>
      <c r="O2277" s="265"/>
      <c r="P2277" s="265"/>
      <c r="Q2277" s="265"/>
      <c r="BR2277" s="265"/>
      <c r="BS2277" s="265"/>
      <c r="BT2277" s="265"/>
      <c r="BU2277" s="265"/>
      <c r="BV2277" s="265"/>
    </row>
    <row r="2278" spans="12:74">
      <c r="L2278" s="265"/>
      <c r="M2278" s="265"/>
      <c r="N2278" s="265"/>
      <c r="O2278" s="265"/>
      <c r="P2278" s="265"/>
      <c r="Q2278" s="265"/>
      <c r="BR2278" s="265"/>
      <c r="BS2278" s="265"/>
      <c r="BT2278" s="265"/>
      <c r="BU2278" s="265"/>
      <c r="BV2278" s="265"/>
    </row>
    <row r="2279" spans="12:74">
      <c r="L2279" s="265"/>
      <c r="M2279" s="265"/>
      <c r="N2279" s="265"/>
      <c r="O2279" s="265"/>
      <c r="P2279" s="265"/>
      <c r="Q2279" s="265"/>
      <c r="BR2279" s="265"/>
      <c r="BS2279" s="265"/>
      <c r="BT2279" s="265"/>
      <c r="BU2279" s="265"/>
      <c r="BV2279" s="265"/>
    </row>
    <row r="2280" spans="12:74">
      <c r="L2280" s="265"/>
      <c r="M2280" s="265"/>
      <c r="N2280" s="265"/>
      <c r="O2280" s="265"/>
      <c r="P2280" s="265"/>
      <c r="Q2280" s="265"/>
      <c r="BR2280" s="265"/>
      <c r="BS2280" s="265"/>
      <c r="BT2280" s="265"/>
      <c r="BU2280" s="265"/>
      <c r="BV2280" s="265"/>
    </row>
    <row r="2281" spans="12:74">
      <c r="L2281" s="265"/>
      <c r="M2281" s="265"/>
      <c r="N2281" s="265"/>
      <c r="O2281" s="265"/>
      <c r="P2281" s="265"/>
      <c r="Q2281" s="265"/>
      <c r="BR2281" s="265"/>
      <c r="BS2281" s="265"/>
      <c r="BT2281" s="265"/>
      <c r="BU2281" s="265"/>
      <c r="BV2281" s="265"/>
    </row>
    <row r="2282" spans="12:74">
      <c r="L2282" s="265"/>
      <c r="M2282" s="265"/>
      <c r="N2282" s="265"/>
      <c r="O2282" s="265"/>
      <c r="P2282" s="265"/>
      <c r="Q2282" s="265"/>
      <c r="BR2282" s="265"/>
      <c r="BS2282" s="265"/>
      <c r="BT2282" s="265"/>
      <c r="BU2282" s="265"/>
      <c r="BV2282" s="265"/>
    </row>
    <row r="2283" spans="12:74">
      <c r="L2283" s="265"/>
      <c r="M2283" s="265"/>
      <c r="N2283" s="265"/>
      <c r="O2283" s="265"/>
      <c r="P2283" s="265"/>
      <c r="Q2283" s="265"/>
      <c r="BR2283" s="265"/>
      <c r="BS2283" s="265"/>
      <c r="BT2283" s="265"/>
      <c r="BU2283" s="265"/>
      <c r="BV2283" s="265"/>
    </row>
    <row r="2284" spans="12:74">
      <c r="L2284" s="265"/>
      <c r="M2284" s="265"/>
      <c r="N2284" s="265"/>
      <c r="O2284" s="265"/>
      <c r="P2284" s="265"/>
      <c r="Q2284" s="265"/>
      <c r="BR2284" s="265"/>
      <c r="BS2284" s="265"/>
      <c r="BT2284" s="265"/>
      <c r="BU2284" s="265"/>
      <c r="BV2284" s="265"/>
    </row>
    <row r="2285" spans="12:74">
      <c r="L2285" s="265"/>
      <c r="M2285" s="265"/>
      <c r="N2285" s="265"/>
      <c r="O2285" s="265"/>
      <c r="P2285" s="265"/>
      <c r="Q2285" s="265"/>
      <c r="BR2285" s="265"/>
      <c r="BS2285" s="265"/>
      <c r="BT2285" s="265"/>
      <c r="BU2285" s="265"/>
      <c r="BV2285" s="265"/>
    </row>
    <row r="2286" spans="12:74">
      <c r="L2286" s="265"/>
      <c r="M2286" s="265"/>
      <c r="N2286" s="265"/>
      <c r="O2286" s="265"/>
      <c r="P2286" s="265"/>
      <c r="Q2286" s="265"/>
      <c r="BR2286" s="265"/>
      <c r="BS2286" s="265"/>
      <c r="BT2286" s="265"/>
      <c r="BU2286" s="265"/>
      <c r="BV2286" s="265"/>
    </row>
    <row r="2287" spans="12:74">
      <c r="L2287" s="265"/>
      <c r="M2287" s="265"/>
      <c r="N2287" s="265"/>
      <c r="O2287" s="265"/>
      <c r="P2287" s="265"/>
      <c r="Q2287" s="265"/>
      <c r="BR2287" s="265"/>
      <c r="BS2287" s="265"/>
      <c r="BT2287" s="265"/>
      <c r="BU2287" s="265"/>
      <c r="BV2287" s="265"/>
    </row>
    <row r="2288" spans="12:74">
      <c r="L2288" s="265"/>
      <c r="M2288" s="265"/>
      <c r="N2288" s="265"/>
      <c r="O2288" s="265"/>
      <c r="P2288" s="265"/>
      <c r="Q2288" s="265"/>
      <c r="BR2288" s="265"/>
      <c r="BS2288" s="265"/>
      <c r="BT2288" s="265"/>
      <c r="BU2288" s="265"/>
      <c r="BV2288" s="265"/>
    </row>
    <row r="2289" spans="12:74">
      <c r="L2289" s="265"/>
      <c r="M2289" s="265"/>
      <c r="N2289" s="265"/>
      <c r="O2289" s="265"/>
      <c r="P2289" s="265"/>
      <c r="Q2289" s="265"/>
      <c r="BR2289" s="265"/>
      <c r="BS2289" s="265"/>
      <c r="BT2289" s="265"/>
      <c r="BU2289" s="265"/>
      <c r="BV2289" s="265"/>
    </row>
    <row r="2290" spans="12:74">
      <c r="L2290" s="265"/>
      <c r="M2290" s="265"/>
      <c r="N2290" s="265"/>
      <c r="O2290" s="265"/>
      <c r="P2290" s="265"/>
      <c r="Q2290" s="265"/>
      <c r="BR2290" s="265"/>
      <c r="BS2290" s="265"/>
      <c r="BT2290" s="265"/>
      <c r="BU2290" s="265"/>
      <c r="BV2290" s="265"/>
    </row>
    <row r="2291" spans="12:74">
      <c r="L2291" s="265"/>
      <c r="M2291" s="265"/>
      <c r="N2291" s="265"/>
      <c r="O2291" s="265"/>
      <c r="P2291" s="265"/>
      <c r="Q2291" s="265"/>
      <c r="BR2291" s="265"/>
      <c r="BS2291" s="265"/>
      <c r="BT2291" s="265"/>
      <c r="BU2291" s="265"/>
      <c r="BV2291" s="265"/>
    </row>
    <row r="2292" spans="12:74">
      <c r="L2292" s="265"/>
      <c r="M2292" s="265"/>
      <c r="N2292" s="265"/>
      <c r="O2292" s="265"/>
      <c r="P2292" s="265"/>
      <c r="Q2292" s="265"/>
      <c r="BR2292" s="265"/>
      <c r="BS2292" s="265"/>
      <c r="BT2292" s="265"/>
      <c r="BU2292" s="265"/>
      <c r="BV2292" s="265"/>
    </row>
    <row r="2293" spans="12:74">
      <c r="L2293" s="265"/>
      <c r="M2293" s="265"/>
      <c r="N2293" s="265"/>
      <c r="O2293" s="265"/>
      <c r="P2293" s="265"/>
      <c r="Q2293" s="265"/>
      <c r="BR2293" s="265"/>
      <c r="BS2293" s="265"/>
      <c r="BT2293" s="265"/>
      <c r="BU2293" s="265"/>
      <c r="BV2293" s="265"/>
    </row>
    <row r="2294" spans="12:74">
      <c r="L2294" s="265"/>
      <c r="M2294" s="265"/>
      <c r="N2294" s="265"/>
      <c r="O2294" s="265"/>
      <c r="P2294" s="265"/>
      <c r="Q2294" s="265"/>
      <c r="BR2294" s="265"/>
      <c r="BS2294" s="265"/>
      <c r="BT2294" s="265"/>
      <c r="BU2294" s="265"/>
      <c r="BV2294" s="265"/>
    </row>
    <row r="2295" spans="12:74">
      <c r="L2295" s="265"/>
      <c r="M2295" s="265"/>
      <c r="N2295" s="265"/>
      <c r="O2295" s="265"/>
      <c r="P2295" s="265"/>
      <c r="Q2295" s="265"/>
      <c r="BR2295" s="265"/>
      <c r="BS2295" s="265"/>
      <c r="BT2295" s="265"/>
      <c r="BU2295" s="265"/>
      <c r="BV2295" s="265"/>
    </row>
    <row r="2296" spans="12:74">
      <c r="L2296" s="265"/>
      <c r="M2296" s="265"/>
      <c r="N2296" s="265"/>
      <c r="O2296" s="265"/>
      <c r="P2296" s="265"/>
      <c r="Q2296" s="265"/>
      <c r="BR2296" s="265"/>
      <c r="BS2296" s="265"/>
      <c r="BT2296" s="265"/>
      <c r="BU2296" s="265"/>
      <c r="BV2296" s="265"/>
    </row>
    <row r="2297" spans="12:74">
      <c r="L2297" s="265"/>
      <c r="M2297" s="265"/>
      <c r="N2297" s="265"/>
      <c r="O2297" s="265"/>
      <c r="P2297" s="265"/>
      <c r="Q2297" s="265"/>
      <c r="BR2297" s="265"/>
      <c r="BS2297" s="265"/>
      <c r="BT2297" s="265"/>
      <c r="BU2297" s="265"/>
      <c r="BV2297" s="265"/>
    </row>
    <row r="2298" spans="12:74">
      <c r="L2298" s="265"/>
      <c r="M2298" s="265"/>
      <c r="N2298" s="265"/>
      <c r="O2298" s="265"/>
      <c r="P2298" s="265"/>
      <c r="Q2298" s="265"/>
      <c r="BR2298" s="265"/>
      <c r="BS2298" s="265"/>
      <c r="BT2298" s="265"/>
      <c r="BU2298" s="265"/>
      <c r="BV2298" s="265"/>
    </row>
    <row r="2299" spans="12:74">
      <c r="L2299" s="265"/>
      <c r="M2299" s="265"/>
      <c r="N2299" s="265"/>
      <c r="O2299" s="265"/>
      <c r="P2299" s="265"/>
      <c r="Q2299" s="265"/>
      <c r="BR2299" s="265"/>
      <c r="BS2299" s="265"/>
      <c r="BT2299" s="265"/>
      <c r="BU2299" s="265"/>
      <c r="BV2299" s="265"/>
    </row>
    <row r="2300" spans="12:74">
      <c r="L2300" s="265"/>
      <c r="M2300" s="265"/>
      <c r="N2300" s="265"/>
      <c r="O2300" s="265"/>
      <c r="P2300" s="265"/>
      <c r="Q2300" s="265"/>
      <c r="BR2300" s="265"/>
      <c r="BS2300" s="265"/>
      <c r="BT2300" s="265"/>
      <c r="BU2300" s="265"/>
      <c r="BV2300" s="265"/>
    </row>
    <row r="2301" spans="12:74">
      <c r="L2301" s="265"/>
      <c r="M2301" s="265"/>
      <c r="N2301" s="265"/>
      <c r="O2301" s="265"/>
      <c r="P2301" s="265"/>
      <c r="Q2301" s="265"/>
      <c r="BR2301" s="265"/>
      <c r="BS2301" s="265"/>
      <c r="BT2301" s="265"/>
      <c r="BU2301" s="265"/>
      <c r="BV2301" s="265"/>
    </row>
    <row r="2302" spans="12:74">
      <c r="L2302" s="265"/>
      <c r="M2302" s="265"/>
      <c r="N2302" s="265"/>
      <c r="O2302" s="265"/>
      <c r="P2302" s="265"/>
      <c r="Q2302" s="265"/>
      <c r="BR2302" s="265"/>
      <c r="BS2302" s="265"/>
      <c r="BT2302" s="265"/>
      <c r="BU2302" s="265"/>
      <c r="BV2302" s="265"/>
    </row>
    <row r="2303" spans="12:74">
      <c r="L2303" s="265"/>
      <c r="M2303" s="265"/>
      <c r="N2303" s="265"/>
      <c r="O2303" s="265"/>
      <c r="P2303" s="265"/>
      <c r="Q2303" s="265"/>
      <c r="BR2303" s="265"/>
      <c r="BS2303" s="265"/>
      <c r="BT2303" s="265"/>
      <c r="BU2303" s="265"/>
      <c r="BV2303" s="265"/>
    </row>
    <row r="2304" spans="12:74">
      <c r="L2304" s="265"/>
      <c r="M2304" s="265"/>
      <c r="N2304" s="265"/>
      <c r="O2304" s="265"/>
      <c r="P2304" s="265"/>
      <c r="Q2304" s="265"/>
      <c r="BR2304" s="265"/>
      <c r="BS2304" s="265"/>
      <c r="BT2304" s="265"/>
      <c r="BU2304" s="265"/>
      <c r="BV2304" s="265"/>
    </row>
    <row r="2305" spans="12:74">
      <c r="L2305" s="265"/>
      <c r="M2305" s="265"/>
      <c r="N2305" s="265"/>
      <c r="O2305" s="265"/>
      <c r="P2305" s="265"/>
      <c r="Q2305" s="265"/>
      <c r="BR2305" s="265"/>
      <c r="BS2305" s="265"/>
      <c r="BT2305" s="265"/>
      <c r="BU2305" s="265"/>
      <c r="BV2305" s="265"/>
    </row>
    <row r="2306" spans="12:74">
      <c r="L2306" s="265"/>
      <c r="M2306" s="265"/>
      <c r="N2306" s="265"/>
      <c r="O2306" s="265"/>
      <c r="P2306" s="265"/>
      <c r="Q2306" s="265"/>
      <c r="BR2306" s="265"/>
      <c r="BS2306" s="265"/>
      <c r="BT2306" s="265"/>
      <c r="BU2306" s="265"/>
      <c r="BV2306" s="265"/>
    </row>
    <row r="2307" spans="12:74">
      <c r="L2307" s="265"/>
      <c r="M2307" s="265"/>
      <c r="N2307" s="265"/>
      <c r="O2307" s="265"/>
      <c r="P2307" s="265"/>
      <c r="Q2307" s="265"/>
      <c r="BR2307" s="265"/>
      <c r="BS2307" s="265"/>
      <c r="BT2307" s="265"/>
      <c r="BU2307" s="265"/>
      <c r="BV2307" s="265"/>
    </row>
    <row r="2308" spans="12:74">
      <c r="L2308" s="265"/>
      <c r="M2308" s="265"/>
      <c r="N2308" s="265"/>
      <c r="O2308" s="265"/>
      <c r="P2308" s="265"/>
      <c r="Q2308" s="265"/>
      <c r="BR2308" s="265"/>
      <c r="BS2308" s="265"/>
      <c r="BT2308" s="265"/>
      <c r="BU2308" s="265"/>
      <c r="BV2308" s="265"/>
    </row>
    <row r="2309" spans="12:74">
      <c r="L2309" s="265"/>
      <c r="M2309" s="265"/>
      <c r="N2309" s="265"/>
      <c r="O2309" s="265"/>
      <c r="P2309" s="265"/>
      <c r="Q2309" s="265"/>
      <c r="BR2309" s="265"/>
      <c r="BS2309" s="265"/>
      <c r="BT2309" s="265"/>
      <c r="BU2309" s="265"/>
      <c r="BV2309" s="265"/>
    </row>
    <row r="2310" spans="12:74">
      <c r="L2310" s="265"/>
      <c r="M2310" s="265"/>
      <c r="N2310" s="265"/>
      <c r="O2310" s="265"/>
      <c r="P2310" s="265"/>
      <c r="Q2310" s="265"/>
      <c r="BR2310" s="265"/>
      <c r="BS2310" s="265"/>
      <c r="BT2310" s="265"/>
      <c r="BU2310" s="265"/>
      <c r="BV2310" s="265"/>
    </row>
    <row r="2311" spans="12:74">
      <c r="L2311" s="265"/>
      <c r="M2311" s="265"/>
      <c r="N2311" s="265"/>
      <c r="O2311" s="265"/>
      <c r="P2311" s="265"/>
      <c r="Q2311" s="265"/>
      <c r="BR2311" s="265"/>
      <c r="BS2311" s="265"/>
      <c r="BT2311" s="265"/>
      <c r="BU2311" s="265"/>
      <c r="BV2311" s="265"/>
    </row>
    <row r="2312" spans="12:74">
      <c r="L2312" s="265"/>
      <c r="M2312" s="265"/>
      <c r="N2312" s="265"/>
      <c r="O2312" s="265"/>
      <c r="P2312" s="265"/>
      <c r="Q2312" s="265"/>
      <c r="BR2312" s="265"/>
      <c r="BS2312" s="265"/>
      <c r="BT2312" s="265"/>
      <c r="BU2312" s="265"/>
      <c r="BV2312" s="265"/>
    </row>
    <row r="2313" spans="12:74">
      <c r="L2313" s="265"/>
      <c r="M2313" s="265"/>
      <c r="N2313" s="265"/>
      <c r="O2313" s="265"/>
      <c r="P2313" s="265"/>
      <c r="Q2313" s="265"/>
      <c r="BR2313" s="265"/>
      <c r="BS2313" s="265"/>
      <c r="BT2313" s="265"/>
      <c r="BU2313" s="265"/>
      <c r="BV2313" s="265"/>
    </row>
    <row r="2314" spans="12:74">
      <c r="L2314" s="265"/>
      <c r="M2314" s="265"/>
      <c r="N2314" s="265"/>
      <c r="O2314" s="265"/>
      <c r="P2314" s="265"/>
      <c r="Q2314" s="265"/>
      <c r="BR2314" s="265"/>
      <c r="BS2314" s="265"/>
      <c r="BT2314" s="265"/>
      <c r="BU2314" s="265"/>
      <c r="BV2314" s="265"/>
    </row>
    <row r="2315" spans="12:74">
      <c r="L2315" s="265"/>
      <c r="M2315" s="265"/>
      <c r="N2315" s="265"/>
      <c r="O2315" s="265"/>
      <c r="P2315" s="265"/>
      <c r="Q2315" s="265"/>
      <c r="BR2315" s="265"/>
      <c r="BS2315" s="265"/>
      <c r="BT2315" s="265"/>
      <c r="BU2315" s="265"/>
      <c r="BV2315" s="265"/>
    </row>
    <row r="2316" spans="12:74">
      <c r="L2316" s="265"/>
      <c r="M2316" s="265"/>
      <c r="N2316" s="265"/>
      <c r="O2316" s="265"/>
      <c r="P2316" s="265"/>
      <c r="Q2316" s="265"/>
      <c r="BR2316" s="265"/>
      <c r="BS2316" s="265"/>
      <c r="BT2316" s="265"/>
      <c r="BU2316" s="265"/>
      <c r="BV2316" s="265"/>
    </row>
    <row r="2317" spans="12:74">
      <c r="L2317" s="265"/>
      <c r="M2317" s="265"/>
      <c r="N2317" s="265"/>
      <c r="O2317" s="265"/>
      <c r="P2317" s="265"/>
      <c r="Q2317" s="265"/>
      <c r="BR2317" s="265"/>
      <c r="BS2317" s="265"/>
      <c r="BT2317" s="265"/>
      <c r="BU2317" s="265"/>
      <c r="BV2317" s="265"/>
    </row>
    <row r="2318" spans="12:74">
      <c r="L2318" s="265"/>
      <c r="M2318" s="265"/>
      <c r="N2318" s="265"/>
      <c r="O2318" s="265"/>
      <c r="P2318" s="265"/>
      <c r="Q2318" s="265"/>
      <c r="BR2318" s="265"/>
      <c r="BS2318" s="265"/>
      <c r="BT2318" s="265"/>
      <c r="BU2318" s="265"/>
      <c r="BV2318" s="265"/>
    </row>
    <row r="2319" spans="12:74">
      <c r="L2319" s="265"/>
      <c r="M2319" s="265"/>
      <c r="N2319" s="265"/>
      <c r="O2319" s="265"/>
      <c r="P2319" s="265"/>
      <c r="Q2319" s="265"/>
      <c r="BR2319" s="265"/>
      <c r="BS2319" s="265"/>
      <c r="BT2319" s="265"/>
      <c r="BU2319" s="265"/>
      <c r="BV2319" s="265"/>
    </row>
    <row r="2320" spans="12:74">
      <c r="L2320" s="265"/>
      <c r="M2320" s="265"/>
      <c r="N2320" s="265"/>
      <c r="O2320" s="265"/>
      <c r="P2320" s="265"/>
      <c r="Q2320" s="265"/>
      <c r="BR2320" s="265"/>
      <c r="BS2320" s="265"/>
      <c r="BT2320" s="265"/>
      <c r="BU2320" s="265"/>
      <c r="BV2320" s="265"/>
    </row>
    <row r="2321" spans="12:74">
      <c r="L2321" s="265"/>
      <c r="M2321" s="265"/>
      <c r="N2321" s="265"/>
      <c r="O2321" s="265"/>
      <c r="P2321" s="265"/>
      <c r="Q2321" s="265"/>
      <c r="BR2321" s="265"/>
      <c r="BS2321" s="265"/>
      <c r="BT2321" s="265"/>
      <c r="BU2321" s="265"/>
      <c r="BV2321" s="265"/>
    </row>
    <row r="2322" spans="12:74">
      <c r="L2322" s="265"/>
      <c r="M2322" s="265"/>
      <c r="N2322" s="265"/>
      <c r="O2322" s="265"/>
      <c r="P2322" s="265"/>
      <c r="Q2322" s="265"/>
      <c r="BR2322" s="265"/>
      <c r="BS2322" s="265"/>
      <c r="BT2322" s="265"/>
      <c r="BU2322" s="265"/>
      <c r="BV2322" s="265"/>
    </row>
    <row r="2323" spans="12:74">
      <c r="L2323" s="265"/>
      <c r="M2323" s="265"/>
      <c r="N2323" s="265"/>
      <c r="O2323" s="265"/>
      <c r="P2323" s="265"/>
      <c r="Q2323" s="265"/>
      <c r="BR2323" s="265"/>
      <c r="BS2323" s="265"/>
      <c r="BT2323" s="265"/>
      <c r="BU2323" s="265"/>
      <c r="BV2323" s="265"/>
    </row>
    <row r="2324" spans="12:74">
      <c r="L2324" s="265"/>
      <c r="M2324" s="265"/>
      <c r="N2324" s="265"/>
      <c r="O2324" s="265"/>
      <c r="P2324" s="265"/>
      <c r="Q2324" s="265"/>
      <c r="BR2324" s="265"/>
      <c r="BS2324" s="265"/>
      <c r="BT2324" s="265"/>
      <c r="BU2324" s="265"/>
      <c r="BV2324" s="265"/>
    </row>
    <row r="2325" spans="12:74">
      <c r="L2325" s="265"/>
      <c r="M2325" s="265"/>
      <c r="N2325" s="265"/>
      <c r="O2325" s="265"/>
      <c r="P2325" s="265"/>
      <c r="Q2325" s="265"/>
      <c r="BR2325" s="265"/>
      <c r="BS2325" s="265"/>
      <c r="BT2325" s="265"/>
      <c r="BU2325" s="265"/>
      <c r="BV2325" s="265"/>
    </row>
    <row r="2326" spans="12:74">
      <c r="L2326" s="265"/>
      <c r="M2326" s="265"/>
      <c r="N2326" s="265"/>
      <c r="O2326" s="265"/>
      <c r="P2326" s="265"/>
      <c r="Q2326" s="265"/>
      <c r="BR2326" s="265"/>
      <c r="BS2326" s="265"/>
      <c r="BT2326" s="265"/>
      <c r="BU2326" s="265"/>
      <c r="BV2326" s="265"/>
    </row>
    <row r="2327" spans="12:74">
      <c r="L2327" s="265"/>
      <c r="M2327" s="265"/>
      <c r="N2327" s="265"/>
      <c r="O2327" s="265"/>
      <c r="P2327" s="265"/>
      <c r="Q2327" s="265"/>
      <c r="BR2327" s="265"/>
      <c r="BS2327" s="265"/>
      <c r="BT2327" s="265"/>
      <c r="BU2327" s="265"/>
      <c r="BV2327" s="265"/>
    </row>
    <row r="2328" spans="12:74">
      <c r="L2328" s="265"/>
      <c r="M2328" s="265"/>
      <c r="N2328" s="265"/>
      <c r="O2328" s="265"/>
      <c r="P2328" s="265"/>
      <c r="Q2328" s="265"/>
      <c r="BR2328" s="265"/>
      <c r="BS2328" s="265"/>
      <c r="BT2328" s="265"/>
      <c r="BU2328" s="265"/>
      <c r="BV2328" s="265"/>
    </row>
    <row r="2329" spans="12:74">
      <c r="L2329" s="265"/>
      <c r="M2329" s="265"/>
      <c r="N2329" s="265"/>
      <c r="O2329" s="265"/>
      <c r="P2329" s="265"/>
      <c r="Q2329" s="265"/>
      <c r="BR2329" s="265"/>
      <c r="BS2329" s="265"/>
      <c r="BT2329" s="265"/>
      <c r="BU2329" s="265"/>
      <c r="BV2329" s="265"/>
    </row>
    <row r="2330" spans="12:74">
      <c r="L2330" s="265"/>
      <c r="M2330" s="265"/>
      <c r="N2330" s="265"/>
      <c r="O2330" s="265"/>
      <c r="P2330" s="265"/>
      <c r="Q2330" s="265"/>
      <c r="BR2330" s="265"/>
      <c r="BS2330" s="265"/>
      <c r="BT2330" s="265"/>
      <c r="BU2330" s="265"/>
      <c r="BV2330" s="265"/>
    </row>
    <row r="2331" spans="12:74">
      <c r="L2331" s="265"/>
      <c r="M2331" s="265"/>
      <c r="N2331" s="265"/>
      <c r="O2331" s="265"/>
      <c r="P2331" s="265"/>
      <c r="Q2331" s="265"/>
      <c r="BR2331" s="265"/>
      <c r="BS2331" s="265"/>
      <c r="BT2331" s="265"/>
      <c r="BU2331" s="265"/>
      <c r="BV2331" s="265"/>
    </row>
    <row r="2332" spans="12:74">
      <c r="L2332" s="265"/>
      <c r="M2332" s="265"/>
      <c r="N2332" s="265"/>
      <c r="O2332" s="265"/>
      <c r="P2332" s="265"/>
      <c r="Q2332" s="265"/>
      <c r="BR2332" s="265"/>
      <c r="BS2332" s="265"/>
      <c r="BT2332" s="265"/>
      <c r="BU2332" s="265"/>
      <c r="BV2332" s="265"/>
    </row>
    <row r="2333" spans="12:74">
      <c r="L2333" s="265"/>
      <c r="M2333" s="265"/>
      <c r="N2333" s="265"/>
      <c r="O2333" s="265"/>
      <c r="P2333" s="265"/>
      <c r="Q2333" s="265"/>
      <c r="BR2333" s="265"/>
      <c r="BS2333" s="265"/>
      <c r="BT2333" s="265"/>
      <c r="BU2333" s="265"/>
      <c r="BV2333" s="265"/>
    </row>
    <row r="2334" spans="12:74">
      <c r="L2334" s="265"/>
      <c r="M2334" s="265"/>
      <c r="N2334" s="265"/>
      <c r="O2334" s="265"/>
      <c r="P2334" s="265"/>
      <c r="Q2334" s="265"/>
      <c r="BR2334" s="265"/>
      <c r="BS2334" s="265"/>
      <c r="BT2334" s="265"/>
      <c r="BU2334" s="265"/>
      <c r="BV2334" s="265"/>
    </row>
    <row r="2335" spans="12:74">
      <c r="L2335" s="265"/>
      <c r="M2335" s="265"/>
      <c r="N2335" s="265"/>
      <c r="O2335" s="265"/>
      <c r="P2335" s="265"/>
      <c r="Q2335" s="265"/>
      <c r="BR2335" s="265"/>
      <c r="BS2335" s="265"/>
      <c r="BT2335" s="265"/>
      <c r="BU2335" s="265"/>
      <c r="BV2335" s="265"/>
    </row>
    <row r="2336" spans="12:74">
      <c r="L2336" s="265"/>
      <c r="M2336" s="265"/>
      <c r="N2336" s="265"/>
      <c r="O2336" s="265"/>
      <c r="P2336" s="265"/>
      <c r="Q2336" s="265"/>
      <c r="BR2336" s="265"/>
      <c r="BS2336" s="265"/>
      <c r="BT2336" s="265"/>
      <c r="BU2336" s="265"/>
      <c r="BV2336" s="265"/>
    </row>
    <row r="2337" spans="12:74">
      <c r="L2337" s="265"/>
      <c r="M2337" s="265"/>
      <c r="N2337" s="265"/>
      <c r="O2337" s="265"/>
      <c r="P2337" s="265"/>
      <c r="Q2337" s="265"/>
      <c r="BR2337" s="265"/>
      <c r="BS2337" s="265"/>
      <c r="BT2337" s="265"/>
      <c r="BU2337" s="265"/>
      <c r="BV2337" s="265"/>
    </row>
    <row r="2338" spans="12:74">
      <c r="L2338" s="265"/>
      <c r="M2338" s="265"/>
      <c r="N2338" s="265"/>
      <c r="O2338" s="265"/>
      <c r="P2338" s="265"/>
      <c r="Q2338" s="265"/>
      <c r="BR2338" s="265"/>
      <c r="BS2338" s="265"/>
      <c r="BT2338" s="265"/>
      <c r="BU2338" s="265"/>
      <c r="BV2338" s="265"/>
    </row>
    <row r="2339" spans="12:74">
      <c r="L2339" s="265"/>
      <c r="M2339" s="265"/>
      <c r="N2339" s="265"/>
      <c r="O2339" s="265"/>
      <c r="P2339" s="265"/>
      <c r="Q2339" s="265"/>
      <c r="BR2339" s="265"/>
      <c r="BS2339" s="265"/>
      <c r="BT2339" s="265"/>
      <c r="BU2339" s="265"/>
      <c r="BV2339" s="265"/>
    </row>
    <row r="2340" spans="12:74">
      <c r="L2340" s="265"/>
      <c r="M2340" s="265"/>
      <c r="N2340" s="265"/>
      <c r="O2340" s="265"/>
      <c r="P2340" s="265"/>
      <c r="Q2340" s="265"/>
      <c r="BR2340" s="265"/>
      <c r="BS2340" s="265"/>
      <c r="BT2340" s="265"/>
      <c r="BU2340" s="265"/>
      <c r="BV2340" s="265"/>
    </row>
    <row r="2341" spans="12:74">
      <c r="L2341" s="265"/>
      <c r="M2341" s="265"/>
      <c r="N2341" s="265"/>
      <c r="O2341" s="265"/>
      <c r="P2341" s="265"/>
      <c r="Q2341" s="265"/>
      <c r="BR2341" s="265"/>
      <c r="BS2341" s="265"/>
      <c r="BT2341" s="265"/>
      <c r="BU2341" s="265"/>
      <c r="BV2341" s="265"/>
    </row>
    <row r="2342" spans="12:74">
      <c r="L2342" s="265"/>
      <c r="M2342" s="265"/>
      <c r="N2342" s="265"/>
      <c r="O2342" s="265"/>
      <c r="P2342" s="265"/>
      <c r="Q2342" s="265"/>
      <c r="BR2342" s="265"/>
      <c r="BS2342" s="265"/>
      <c r="BT2342" s="265"/>
      <c r="BU2342" s="265"/>
      <c r="BV2342" s="265"/>
    </row>
    <row r="2343" spans="12:74">
      <c r="L2343" s="265"/>
      <c r="M2343" s="265"/>
      <c r="N2343" s="265"/>
      <c r="O2343" s="265"/>
      <c r="P2343" s="265"/>
      <c r="Q2343" s="265"/>
      <c r="BR2343" s="265"/>
      <c r="BS2343" s="265"/>
      <c r="BT2343" s="265"/>
      <c r="BU2343" s="265"/>
      <c r="BV2343" s="265"/>
    </row>
    <row r="2344" spans="12:74">
      <c r="L2344" s="265"/>
      <c r="M2344" s="265"/>
      <c r="N2344" s="265"/>
      <c r="O2344" s="265"/>
      <c r="P2344" s="265"/>
      <c r="Q2344" s="265"/>
      <c r="BR2344" s="265"/>
      <c r="BS2344" s="265"/>
      <c r="BT2344" s="265"/>
      <c r="BU2344" s="265"/>
      <c r="BV2344" s="265"/>
    </row>
    <row r="2345" spans="12:74">
      <c r="L2345" s="265"/>
      <c r="M2345" s="265"/>
      <c r="N2345" s="265"/>
      <c r="O2345" s="265"/>
      <c r="P2345" s="265"/>
      <c r="Q2345" s="265"/>
      <c r="BR2345" s="265"/>
      <c r="BS2345" s="265"/>
      <c r="BT2345" s="265"/>
      <c r="BU2345" s="265"/>
      <c r="BV2345" s="265"/>
    </row>
    <row r="2346" spans="12:74">
      <c r="L2346" s="265"/>
      <c r="M2346" s="265"/>
      <c r="N2346" s="265"/>
      <c r="O2346" s="265"/>
      <c r="P2346" s="265"/>
      <c r="Q2346" s="265"/>
      <c r="BR2346" s="265"/>
      <c r="BS2346" s="265"/>
      <c r="BT2346" s="265"/>
      <c r="BU2346" s="265"/>
      <c r="BV2346" s="265"/>
    </row>
    <row r="2347" spans="12:74">
      <c r="L2347" s="265"/>
      <c r="M2347" s="265"/>
      <c r="N2347" s="265"/>
      <c r="O2347" s="265"/>
      <c r="P2347" s="265"/>
      <c r="Q2347" s="265"/>
      <c r="BR2347" s="265"/>
      <c r="BS2347" s="265"/>
      <c r="BT2347" s="265"/>
      <c r="BU2347" s="265"/>
      <c r="BV2347" s="265"/>
    </row>
    <row r="2348" spans="12:74">
      <c r="L2348" s="265"/>
      <c r="M2348" s="265"/>
      <c r="N2348" s="265"/>
      <c r="O2348" s="265"/>
      <c r="P2348" s="265"/>
      <c r="Q2348" s="265"/>
      <c r="BR2348" s="265"/>
      <c r="BS2348" s="265"/>
      <c r="BT2348" s="265"/>
      <c r="BU2348" s="265"/>
      <c r="BV2348" s="265"/>
    </row>
    <row r="2349" spans="12:74">
      <c r="L2349" s="265"/>
      <c r="M2349" s="265"/>
      <c r="N2349" s="265"/>
      <c r="O2349" s="265"/>
      <c r="P2349" s="265"/>
      <c r="Q2349" s="265"/>
      <c r="BR2349" s="265"/>
      <c r="BS2349" s="265"/>
      <c r="BT2349" s="265"/>
      <c r="BU2349" s="265"/>
      <c r="BV2349" s="265"/>
    </row>
    <row r="2350" spans="12:74">
      <c r="L2350" s="265"/>
      <c r="M2350" s="265"/>
      <c r="N2350" s="265"/>
      <c r="O2350" s="265"/>
      <c r="P2350" s="265"/>
      <c r="Q2350" s="265"/>
      <c r="BR2350" s="265"/>
      <c r="BS2350" s="265"/>
      <c r="BT2350" s="265"/>
      <c r="BU2350" s="265"/>
      <c r="BV2350" s="265"/>
    </row>
    <row r="2351" spans="12:74">
      <c r="L2351" s="265"/>
      <c r="M2351" s="265"/>
      <c r="N2351" s="265"/>
      <c r="O2351" s="265"/>
      <c r="P2351" s="265"/>
      <c r="Q2351" s="265"/>
      <c r="BR2351" s="265"/>
      <c r="BS2351" s="265"/>
      <c r="BT2351" s="265"/>
      <c r="BU2351" s="265"/>
      <c r="BV2351" s="265"/>
    </row>
    <row r="2352" spans="12:74">
      <c r="L2352" s="265"/>
      <c r="M2352" s="265"/>
      <c r="N2352" s="265"/>
      <c r="O2352" s="265"/>
      <c r="P2352" s="265"/>
      <c r="Q2352" s="265"/>
      <c r="BR2352" s="265"/>
      <c r="BS2352" s="265"/>
      <c r="BT2352" s="265"/>
      <c r="BU2352" s="265"/>
      <c r="BV2352" s="265"/>
    </row>
    <row r="2353" spans="12:74">
      <c r="L2353" s="265"/>
      <c r="M2353" s="265"/>
      <c r="N2353" s="265"/>
      <c r="O2353" s="265"/>
      <c r="P2353" s="265"/>
      <c r="Q2353" s="265"/>
      <c r="BR2353" s="265"/>
      <c r="BS2353" s="265"/>
      <c r="BT2353" s="265"/>
      <c r="BU2353" s="265"/>
      <c r="BV2353" s="265"/>
    </row>
    <row r="2354" spans="12:74">
      <c r="L2354" s="265"/>
      <c r="M2354" s="265"/>
      <c r="N2354" s="265"/>
      <c r="O2354" s="265"/>
      <c r="P2354" s="265"/>
      <c r="Q2354" s="265"/>
      <c r="BR2354" s="265"/>
      <c r="BS2354" s="265"/>
      <c r="BT2354" s="265"/>
      <c r="BU2354" s="265"/>
      <c r="BV2354" s="265"/>
    </row>
    <row r="2355" spans="12:74">
      <c r="L2355" s="265"/>
      <c r="M2355" s="265"/>
      <c r="N2355" s="265"/>
      <c r="O2355" s="265"/>
      <c r="P2355" s="265"/>
      <c r="Q2355" s="265"/>
      <c r="BR2355" s="265"/>
      <c r="BS2355" s="265"/>
      <c r="BT2355" s="265"/>
      <c r="BU2355" s="265"/>
      <c r="BV2355" s="265"/>
    </row>
    <row r="2356" spans="12:74">
      <c r="L2356" s="265"/>
      <c r="M2356" s="265"/>
      <c r="N2356" s="265"/>
      <c r="O2356" s="265"/>
      <c r="P2356" s="265"/>
      <c r="Q2356" s="265"/>
      <c r="BR2356" s="265"/>
      <c r="BS2356" s="265"/>
      <c r="BT2356" s="265"/>
      <c r="BU2356" s="265"/>
      <c r="BV2356" s="265"/>
    </row>
    <row r="2357" spans="12:74">
      <c r="L2357" s="265"/>
      <c r="M2357" s="265"/>
      <c r="N2357" s="265"/>
      <c r="O2357" s="265"/>
      <c r="P2357" s="265"/>
      <c r="Q2357" s="265"/>
      <c r="BR2357" s="265"/>
      <c r="BS2357" s="265"/>
      <c r="BT2357" s="265"/>
      <c r="BU2357" s="265"/>
      <c r="BV2357" s="265"/>
    </row>
    <row r="2358" spans="12:74">
      <c r="L2358" s="265"/>
      <c r="M2358" s="265"/>
      <c r="N2358" s="265"/>
      <c r="O2358" s="265"/>
      <c r="P2358" s="265"/>
      <c r="Q2358" s="265"/>
      <c r="BR2358" s="265"/>
      <c r="BS2358" s="265"/>
      <c r="BT2358" s="265"/>
      <c r="BU2358" s="265"/>
      <c r="BV2358" s="265"/>
    </row>
    <row r="2359" spans="12:74">
      <c r="L2359" s="265"/>
      <c r="M2359" s="265"/>
      <c r="N2359" s="265"/>
      <c r="O2359" s="265"/>
      <c r="P2359" s="265"/>
      <c r="Q2359" s="265"/>
      <c r="BR2359" s="265"/>
      <c r="BS2359" s="265"/>
      <c r="BT2359" s="265"/>
      <c r="BU2359" s="265"/>
      <c r="BV2359" s="265"/>
    </row>
    <row r="2360" spans="12:74">
      <c r="L2360" s="265"/>
      <c r="M2360" s="265"/>
      <c r="N2360" s="265"/>
      <c r="O2360" s="265"/>
      <c r="P2360" s="265"/>
      <c r="Q2360" s="265"/>
      <c r="BR2360" s="265"/>
      <c r="BS2360" s="265"/>
      <c r="BT2360" s="265"/>
      <c r="BU2360" s="265"/>
      <c r="BV2360" s="265"/>
    </row>
    <row r="2361" spans="12:74">
      <c r="L2361" s="265"/>
      <c r="M2361" s="265"/>
      <c r="N2361" s="265"/>
      <c r="O2361" s="265"/>
      <c r="P2361" s="265"/>
      <c r="Q2361" s="265"/>
      <c r="BR2361" s="265"/>
      <c r="BS2361" s="265"/>
      <c r="BT2361" s="265"/>
      <c r="BU2361" s="265"/>
      <c r="BV2361" s="265"/>
    </row>
    <row r="2362" spans="12:74">
      <c r="L2362" s="265"/>
      <c r="M2362" s="265"/>
      <c r="N2362" s="265"/>
      <c r="O2362" s="265"/>
      <c r="P2362" s="265"/>
      <c r="Q2362" s="265"/>
      <c r="BR2362" s="265"/>
      <c r="BS2362" s="265"/>
      <c r="BT2362" s="265"/>
      <c r="BU2362" s="265"/>
      <c r="BV2362" s="265"/>
    </row>
    <row r="2363" spans="12:74">
      <c r="L2363" s="265"/>
      <c r="M2363" s="265"/>
      <c r="N2363" s="265"/>
      <c r="O2363" s="265"/>
      <c r="P2363" s="265"/>
      <c r="Q2363" s="265"/>
      <c r="BR2363" s="265"/>
      <c r="BS2363" s="265"/>
      <c r="BT2363" s="265"/>
      <c r="BU2363" s="265"/>
      <c r="BV2363" s="265"/>
    </row>
    <row r="2364" spans="12:74">
      <c r="L2364" s="265"/>
      <c r="M2364" s="265"/>
      <c r="N2364" s="265"/>
      <c r="O2364" s="265"/>
      <c r="P2364" s="265"/>
      <c r="Q2364" s="265"/>
      <c r="BR2364" s="265"/>
      <c r="BS2364" s="265"/>
      <c r="BT2364" s="265"/>
      <c r="BU2364" s="265"/>
      <c r="BV2364" s="265"/>
    </row>
    <row r="2365" spans="12:74">
      <c r="L2365" s="265"/>
      <c r="M2365" s="265"/>
      <c r="N2365" s="265"/>
      <c r="O2365" s="265"/>
      <c r="P2365" s="265"/>
      <c r="Q2365" s="265"/>
      <c r="BR2365" s="265"/>
      <c r="BS2365" s="265"/>
      <c r="BT2365" s="265"/>
      <c r="BU2365" s="265"/>
      <c r="BV2365" s="265"/>
    </row>
    <row r="2366" spans="12:74">
      <c r="L2366" s="265"/>
      <c r="M2366" s="265"/>
      <c r="N2366" s="265"/>
      <c r="O2366" s="265"/>
      <c r="P2366" s="265"/>
      <c r="Q2366" s="265"/>
      <c r="BR2366" s="265"/>
      <c r="BS2366" s="265"/>
      <c r="BT2366" s="265"/>
      <c r="BU2366" s="265"/>
      <c r="BV2366" s="265"/>
    </row>
    <row r="2367" spans="12:74">
      <c r="L2367" s="265"/>
      <c r="M2367" s="265"/>
      <c r="N2367" s="265"/>
      <c r="O2367" s="265"/>
      <c r="P2367" s="265"/>
      <c r="Q2367" s="265"/>
      <c r="BR2367" s="265"/>
      <c r="BS2367" s="265"/>
      <c r="BT2367" s="265"/>
      <c r="BU2367" s="265"/>
      <c r="BV2367" s="265"/>
    </row>
    <row r="2368" spans="12:74">
      <c r="L2368" s="265"/>
      <c r="M2368" s="265"/>
      <c r="N2368" s="265"/>
      <c r="O2368" s="265"/>
      <c r="P2368" s="265"/>
      <c r="Q2368" s="265"/>
      <c r="BR2368" s="265"/>
      <c r="BS2368" s="265"/>
      <c r="BT2368" s="265"/>
      <c r="BU2368" s="265"/>
      <c r="BV2368" s="265"/>
    </row>
    <row r="2369" spans="12:74">
      <c r="L2369" s="265"/>
      <c r="M2369" s="265"/>
      <c r="N2369" s="265"/>
      <c r="O2369" s="265"/>
      <c r="P2369" s="265"/>
      <c r="Q2369" s="265"/>
      <c r="BR2369" s="265"/>
      <c r="BS2369" s="265"/>
      <c r="BT2369" s="265"/>
      <c r="BU2369" s="265"/>
      <c r="BV2369" s="265"/>
    </row>
    <row r="2370" spans="12:74">
      <c r="L2370" s="265"/>
      <c r="M2370" s="265"/>
      <c r="N2370" s="265"/>
      <c r="O2370" s="265"/>
      <c r="P2370" s="265"/>
      <c r="Q2370" s="265"/>
      <c r="BR2370" s="265"/>
      <c r="BS2370" s="265"/>
      <c r="BT2370" s="265"/>
      <c r="BU2370" s="265"/>
      <c r="BV2370" s="265"/>
    </row>
    <row r="2371" spans="12:74">
      <c r="L2371" s="265"/>
      <c r="M2371" s="265"/>
      <c r="N2371" s="265"/>
      <c r="O2371" s="265"/>
      <c r="P2371" s="265"/>
      <c r="Q2371" s="265"/>
      <c r="BR2371" s="265"/>
      <c r="BS2371" s="265"/>
      <c r="BT2371" s="265"/>
      <c r="BU2371" s="265"/>
      <c r="BV2371" s="265"/>
    </row>
    <row r="2372" spans="12:74">
      <c r="L2372" s="265"/>
      <c r="M2372" s="265"/>
      <c r="N2372" s="265"/>
      <c r="O2372" s="265"/>
      <c r="P2372" s="265"/>
      <c r="Q2372" s="265"/>
      <c r="BR2372" s="265"/>
      <c r="BS2372" s="265"/>
      <c r="BT2372" s="265"/>
      <c r="BU2372" s="265"/>
      <c r="BV2372" s="265"/>
    </row>
    <row r="2373" spans="12:74">
      <c r="L2373" s="265"/>
      <c r="M2373" s="265"/>
      <c r="N2373" s="265"/>
      <c r="O2373" s="265"/>
      <c r="P2373" s="265"/>
      <c r="Q2373" s="265"/>
      <c r="BR2373" s="265"/>
      <c r="BS2373" s="265"/>
      <c r="BT2373" s="265"/>
      <c r="BU2373" s="265"/>
      <c r="BV2373" s="265"/>
    </row>
    <row r="2374" spans="12:74">
      <c r="L2374" s="265"/>
      <c r="M2374" s="265"/>
      <c r="N2374" s="265"/>
      <c r="O2374" s="265"/>
      <c r="P2374" s="265"/>
      <c r="Q2374" s="265"/>
      <c r="BR2374" s="265"/>
      <c r="BS2374" s="265"/>
      <c r="BT2374" s="265"/>
      <c r="BU2374" s="265"/>
      <c r="BV2374" s="265"/>
    </row>
    <row r="2375" spans="12:74">
      <c r="L2375" s="265"/>
      <c r="M2375" s="265"/>
      <c r="N2375" s="265"/>
      <c r="O2375" s="265"/>
      <c r="P2375" s="265"/>
      <c r="Q2375" s="265"/>
      <c r="BR2375" s="265"/>
      <c r="BS2375" s="265"/>
      <c r="BT2375" s="265"/>
      <c r="BU2375" s="265"/>
      <c r="BV2375" s="265"/>
    </row>
    <row r="2376" spans="12:74">
      <c r="L2376" s="265"/>
      <c r="M2376" s="265"/>
      <c r="N2376" s="265"/>
      <c r="O2376" s="265"/>
      <c r="P2376" s="265"/>
      <c r="Q2376" s="265"/>
      <c r="BR2376" s="265"/>
      <c r="BS2376" s="265"/>
      <c r="BT2376" s="265"/>
      <c r="BU2376" s="265"/>
      <c r="BV2376" s="265"/>
    </row>
    <row r="2377" spans="12:74">
      <c r="L2377" s="265"/>
      <c r="M2377" s="265"/>
      <c r="N2377" s="265"/>
      <c r="O2377" s="265"/>
      <c r="P2377" s="265"/>
      <c r="Q2377" s="265"/>
      <c r="BR2377" s="265"/>
      <c r="BS2377" s="265"/>
      <c r="BT2377" s="265"/>
      <c r="BU2377" s="265"/>
      <c r="BV2377" s="265"/>
    </row>
    <row r="2378" spans="12:74">
      <c r="L2378" s="265"/>
      <c r="M2378" s="265"/>
      <c r="N2378" s="265"/>
      <c r="O2378" s="265"/>
      <c r="P2378" s="265"/>
      <c r="Q2378" s="265"/>
      <c r="BR2378" s="265"/>
      <c r="BS2378" s="265"/>
      <c r="BT2378" s="265"/>
      <c r="BU2378" s="265"/>
      <c r="BV2378" s="265"/>
    </row>
    <row r="2379" spans="12:74">
      <c r="L2379" s="265"/>
      <c r="M2379" s="265"/>
      <c r="N2379" s="265"/>
      <c r="O2379" s="265"/>
      <c r="P2379" s="265"/>
      <c r="Q2379" s="265"/>
      <c r="BR2379" s="265"/>
      <c r="BS2379" s="265"/>
      <c r="BT2379" s="265"/>
      <c r="BU2379" s="265"/>
      <c r="BV2379" s="265"/>
    </row>
    <row r="2380" spans="12:74">
      <c r="L2380" s="265"/>
      <c r="M2380" s="265"/>
      <c r="N2380" s="265"/>
      <c r="O2380" s="265"/>
      <c r="P2380" s="265"/>
      <c r="Q2380" s="265"/>
      <c r="BR2380" s="265"/>
      <c r="BS2380" s="265"/>
      <c r="BT2380" s="265"/>
      <c r="BU2380" s="265"/>
      <c r="BV2380" s="265"/>
    </row>
    <row r="2381" spans="12:74">
      <c r="L2381" s="265"/>
      <c r="M2381" s="265"/>
      <c r="N2381" s="265"/>
      <c r="O2381" s="265"/>
      <c r="P2381" s="265"/>
      <c r="Q2381" s="265"/>
      <c r="BR2381" s="265"/>
      <c r="BS2381" s="265"/>
      <c r="BT2381" s="265"/>
      <c r="BU2381" s="265"/>
      <c r="BV2381" s="265"/>
    </row>
    <row r="2382" spans="12:74">
      <c r="L2382" s="265"/>
      <c r="M2382" s="265"/>
      <c r="N2382" s="265"/>
      <c r="O2382" s="265"/>
      <c r="P2382" s="265"/>
      <c r="Q2382" s="265"/>
      <c r="BR2382" s="265"/>
      <c r="BS2382" s="265"/>
      <c r="BT2382" s="265"/>
      <c r="BU2382" s="265"/>
      <c r="BV2382" s="265"/>
    </row>
    <row r="2383" spans="12:74">
      <c r="L2383" s="265"/>
      <c r="M2383" s="265"/>
      <c r="N2383" s="265"/>
      <c r="O2383" s="265"/>
      <c r="P2383" s="265"/>
      <c r="Q2383" s="265"/>
      <c r="BR2383" s="265"/>
      <c r="BS2383" s="265"/>
      <c r="BT2383" s="265"/>
      <c r="BU2383" s="265"/>
      <c r="BV2383" s="265"/>
    </row>
    <row r="2384" spans="12:74">
      <c r="L2384" s="265"/>
      <c r="M2384" s="265"/>
      <c r="N2384" s="265"/>
      <c r="O2384" s="265"/>
      <c r="P2384" s="265"/>
      <c r="Q2384" s="265"/>
      <c r="BR2384" s="265"/>
      <c r="BS2384" s="265"/>
      <c r="BT2384" s="265"/>
      <c r="BU2384" s="265"/>
      <c r="BV2384" s="265"/>
    </row>
    <row r="2385" spans="12:74">
      <c r="L2385" s="265"/>
      <c r="M2385" s="265"/>
      <c r="N2385" s="265"/>
      <c r="O2385" s="265"/>
      <c r="P2385" s="265"/>
      <c r="Q2385" s="265"/>
      <c r="BR2385" s="265"/>
      <c r="BS2385" s="265"/>
      <c r="BT2385" s="265"/>
      <c r="BU2385" s="265"/>
      <c r="BV2385" s="265"/>
    </row>
    <row r="2386" spans="12:74">
      <c r="L2386" s="265"/>
      <c r="M2386" s="265"/>
      <c r="N2386" s="265"/>
      <c r="O2386" s="265"/>
      <c r="P2386" s="265"/>
      <c r="Q2386" s="265"/>
      <c r="BR2386" s="265"/>
      <c r="BS2386" s="265"/>
      <c r="BT2386" s="265"/>
      <c r="BU2386" s="265"/>
      <c r="BV2386" s="265"/>
    </row>
    <row r="2387" spans="12:74">
      <c r="L2387" s="265"/>
      <c r="M2387" s="265"/>
      <c r="N2387" s="265"/>
      <c r="O2387" s="265"/>
      <c r="P2387" s="265"/>
      <c r="Q2387" s="265"/>
      <c r="BR2387" s="265"/>
      <c r="BS2387" s="265"/>
      <c r="BT2387" s="265"/>
      <c r="BU2387" s="265"/>
      <c r="BV2387" s="265"/>
    </row>
    <row r="2388" spans="12:74">
      <c r="L2388" s="265"/>
      <c r="M2388" s="265"/>
      <c r="N2388" s="265"/>
      <c r="O2388" s="265"/>
      <c r="P2388" s="265"/>
      <c r="Q2388" s="265"/>
      <c r="BR2388" s="265"/>
      <c r="BS2388" s="265"/>
      <c r="BT2388" s="265"/>
      <c r="BU2388" s="265"/>
      <c r="BV2388" s="265"/>
    </row>
    <row r="2389" spans="12:74">
      <c r="L2389" s="265"/>
      <c r="M2389" s="265"/>
      <c r="N2389" s="265"/>
      <c r="O2389" s="265"/>
      <c r="P2389" s="265"/>
      <c r="Q2389" s="265"/>
      <c r="BR2389" s="265"/>
      <c r="BS2389" s="265"/>
      <c r="BT2389" s="265"/>
      <c r="BU2389" s="265"/>
      <c r="BV2389" s="265"/>
    </row>
    <row r="2390" spans="12:74">
      <c r="L2390" s="265"/>
      <c r="M2390" s="265"/>
      <c r="N2390" s="265"/>
      <c r="O2390" s="265"/>
      <c r="P2390" s="265"/>
      <c r="Q2390" s="265"/>
      <c r="BR2390" s="265"/>
      <c r="BS2390" s="265"/>
      <c r="BT2390" s="265"/>
      <c r="BU2390" s="265"/>
      <c r="BV2390" s="265"/>
    </row>
    <row r="2391" spans="12:74">
      <c r="L2391" s="265"/>
      <c r="M2391" s="265"/>
      <c r="N2391" s="265"/>
      <c r="O2391" s="265"/>
      <c r="P2391" s="265"/>
      <c r="Q2391" s="265"/>
      <c r="BR2391" s="265"/>
      <c r="BS2391" s="265"/>
      <c r="BT2391" s="265"/>
      <c r="BU2391" s="265"/>
      <c r="BV2391" s="265"/>
    </row>
    <row r="2392" spans="12:74">
      <c r="L2392" s="265"/>
      <c r="M2392" s="265"/>
      <c r="N2392" s="265"/>
      <c r="O2392" s="265"/>
      <c r="P2392" s="265"/>
      <c r="Q2392" s="265"/>
      <c r="BR2392" s="265"/>
      <c r="BS2392" s="265"/>
      <c r="BT2392" s="265"/>
      <c r="BU2392" s="265"/>
      <c r="BV2392" s="265"/>
    </row>
    <row r="2393" spans="12:74">
      <c r="L2393" s="265"/>
      <c r="M2393" s="265"/>
      <c r="N2393" s="265"/>
      <c r="O2393" s="265"/>
      <c r="P2393" s="265"/>
      <c r="Q2393" s="265"/>
      <c r="BR2393" s="265"/>
      <c r="BS2393" s="265"/>
      <c r="BT2393" s="265"/>
      <c r="BU2393" s="265"/>
      <c r="BV2393" s="265"/>
    </row>
    <row r="2394" spans="12:74">
      <c r="L2394" s="265"/>
      <c r="M2394" s="265"/>
      <c r="N2394" s="265"/>
      <c r="O2394" s="265"/>
      <c r="P2394" s="265"/>
      <c r="Q2394" s="265"/>
      <c r="BR2394" s="265"/>
      <c r="BS2394" s="265"/>
      <c r="BT2394" s="265"/>
      <c r="BU2394" s="265"/>
      <c r="BV2394" s="265"/>
    </row>
    <row r="2395" spans="12:74">
      <c r="L2395" s="265"/>
      <c r="M2395" s="265"/>
      <c r="N2395" s="265"/>
      <c r="O2395" s="265"/>
      <c r="P2395" s="265"/>
      <c r="Q2395" s="265"/>
      <c r="BR2395" s="265"/>
      <c r="BS2395" s="265"/>
      <c r="BT2395" s="265"/>
      <c r="BU2395" s="265"/>
      <c r="BV2395" s="265"/>
    </row>
    <row r="2396" spans="12:74">
      <c r="L2396" s="265"/>
      <c r="M2396" s="265"/>
      <c r="N2396" s="265"/>
      <c r="O2396" s="265"/>
      <c r="P2396" s="265"/>
      <c r="Q2396" s="265"/>
      <c r="BR2396" s="265"/>
      <c r="BS2396" s="265"/>
      <c r="BT2396" s="265"/>
      <c r="BU2396" s="265"/>
      <c r="BV2396" s="265"/>
    </row>
    <row r="2397" spans="12:74">
      <c r="L2397" s="265"/>
      <c r="M2397" s="265"/>
      <c r="N2397" s="265"/>
      <c r="O2397" s="265"/>
      <c r="P2397" s="265"/>
      <c r="Q2397" s="265"/>
      <c r="BR2397" s="265"/>
      <c r="BS2397" s="265"/>
      <c r="BT2397" s="265"/>
      <c r="BU2397" s="265"/>
      <c r="BV2397" s="265"/>
    </row>
    <row r="2398" spans="12:74">
      <c r="L2398" s="265"/>
      <c r="M2398" s="265"/>
      <c r="N2398" s="265"/>
      <c r="O2398" s="265"/>
      <c r="P2398" s="265"/>
      <c r="Q2398" s="265"/>
      <c r="BR2398" s="265"/>
      <c r="BS2398" s="265"/>
      <c r="BT2398" s="265"/>
      <c r="BU2398" s="265"/>
      <c r="BV2398" s="265"/>
    </row>
    <row r="2399" spans="12:74">
      <c r="L2399" s="265"/>
      <c r="M2399" s="265"/>
      <c r="N2399" s="265"/>
      <c r="O2399" s="265"/>
      <c r="P2399" s="265"/>
      <c r="Q2399" s="265"/>
      <c r="BR2399" s="265"/>
      <c r="BS2399" s="265"/>
      <c r="BT2399" s="265"/>
      <c r="BU2399" s="265"/>
      <c r="BV2399" s="265"/>
    </row>
    <row r="2400" spans="12:74">
      <c r="L2400" s="265"/>
      <c r="M2400" s="265"/>
      <c r="N2400" s="265"/>
      <c r="O2400" s="265"/>
      <c r="P2400" s="265"/>
      <c r="Q2400" s="265"/>
      <c r="BR2400" s="265"/>
      <c r="BS2400" s="265"/>
      <c r="BT2400" s="265"/>
      <c r="BU2400" s="265"/>
      <c r="BV2400" s="265"/>
    </row>
    <row r="2401" spans="12:74">
      <c r="L2401" s="265"/>
      <c r="M2401" s="265"/>
      <c r="N2401" s="265"/>
      <c r="O2401" s="265"/>
      <c r="P2401" s="265"/>
      <c r="Q2401" s="265"/>
      <c r="BR2401" s="265"/>
      <c r="BS2401" s="265"/>
      <c r="BT2401" s="265"/>
      <c r="BU2401" s="265"/>
      <c r="BV2401" s="265"/>
    </row>
    <row r="2402" spans="12:74">
      <c r="L2402" s="265"/>
      <c r="M2402" s="265"/>
      <c r="N2402" s="265"/>
      <c r="O2402" s="265"/>
      <c r="P2402" s="265"/>
      <c r="Q2402" s="265"/>
      <c r="BR2402" s="265"/>
      <c r="BS2402" s="265"/>
      <c r="BT2402" s="265"/>
      <c r="BU2402" s="265"/>
      <c r="BV2402" s="265"/>
    </row>
    <row r="2403" spans="12:74">
      <c r="L2403" s="265"/>
      <c r="M2403" s="265"/>
      <c r="N2403" s="265"/>
      <c r="O2403" s="265"/>
      <c r="P2403" s="265"/>
      <c r="Q2403" s="265"/>
      <c r="BR2403" s="265"/>
      <c r="BS2403" s="265"/>
      <c r="BT2403" s="265"/>
      <c r="BU2403" s="265"/>
      <c r="BV2403" s="265"/>
    </row>
    <row r="2404" spans="12:74">
      <c r="L2404" s="265"/>
      <c r="M2404" s="265"/>
      <c r="N2404" s="265"/>
      <c r="O2404" s="265"/>
      <c r="P2404" s="265"/>
      <c r="Q2404" s="265"/>
      <c r="BR2404" s="265"/>
      <c r="BS2404" s="265"/>
      <c r="BT2404" s="265"/>
      <c r="BU2404" s="265"/>
      <c r="BV2404" s="265"/>
    </row>
    <row r="2405" spans="12:74">
      <c r="L2405" s="265"/>
      <c r="M2405" s="265"/>
      <c r="N2405" s="265"/>
      <c r="O2405" s="265"/>
      <c r="P2405" s="265"/>
      <c r="Q2405" s="265"/>
      <c r="BR2405" s="265"/>
      <c r="BS2405" s="265"/>
      <c r="BT2405" s="265"/>
      <c r="BU2405" s="265"/>
      <c r="BV2405" s="265"/>
    </row>
    <row r="2406" spans="12:74">
      <c r="L2406" s="265"/>
      <c r="M2406" s="265"/>
      <c r="N2406" s="265"/>
      <c r="O2406" s="265"/>
      <c r="P2406" s="265"/>
      <c r="Q2406" s="265"/>
      <c r="BR2406" s="265"/>
      <c r="BS2406" s="265"/>
      <c r="BT2406" s="265"/>
      <c r="BU2406" s="265"/>
      <c r="BV2406" s="265"/>
    </row>
    <row r="2407" spans="12:74">
      <c r="L2407" s="265"/>
      <c r="M2407" s="265"/>
      <c r="N2407" s="265"/>
      <c r="O2407" s="265"/>
      <c r="P2407" s="265"/>
      <c r="Q2407" s="265"/>
      <c r="BR2407" s="265"/>
      <c r="BS2407" s="265"/>
      <c r="BT2407" s="265"/>
      <c r="BU2407" s="265"/>
      <c r="BV2407" s="265"/>
    </row>
    <row r="2408" spans="12:74">
      <c r="L2408" s="265"/>
      <c r="M2408" s="265"/>
      <c r="N2408" s="265"/>
      <c r="O2408" s="265"/>
      <c r="P2408" s="265"/>
      <c r="Q2408" s="265"/>
      <c r="BR2408" s="265"/>
      <c r="BS2408" s="265"/>
      <c r="BT2408" s="265"/>
      <c r="BU2408" s="265"/>
      <c r="BV2408" s="265"/>
    </row>
    <row r="2409" spans="12:74">
      <c r="L2409" s="265"/>
      <c r="M2409" s="265"/>
      <c r="N2409" s="265"/>
      <c r="O2409" s="265"/>
      <c r="P2409" s="265"/>
      <c r="Q2409" s="265"/>
      <c r="BR2409" s="265"/>
      <c r="BS2409" s="265"/>
      <c r="BT2409" s="265"/>
      <c r="BU2409" s="265"/>
      <c r="BV2409" s="265"/>
    </row>
    <row r="2410" spans="12:74">
      <c r="L2410" s="265"/>
      <c r="M2410" s="265"/>
      <c r="N2410" s="265"/>
      <c r="O2410" s="265"/>
      <c r="P2410" s="265"/>
      <c r="Q2410" s="265"/>
      <c r="BR2410" s="265"/>
      <c r="BS2410" s="265"/>
      <c r="BT2410" s="265"/>
      <c r="BU2410" s="265"/>
      <c r="BV2410" s="265"/>
    </row>
    <row r="2411" spans="12:74">
      <c r="L2411" s="265"/>
      <c r="M2411" s="265"/>
      <c r="N2411" s="265"/>
      <c r="O2411" s="265"/>
      <c r="P2411" s="265"/>
      <c r="Q2411" s="265"/>
      <c r="BR2411" s="265"/>
      <c r="BS2411" s="265"/>
      <c r="BT2411" s="265"/>
      <c r="BU2411" s="265"/>
      <c r="BV2411" s="265"/>
    </row>
    <row r="2412" spans="12:74">
      <c r="L2412" s="265"/>
      <c r="M2412" s="265"/>
      <c r="N2412" s="265"/>
      <c r="O2412" s="265"/>
      <c r="P2412" s="265"/>
      <c r="Q2412" s="265"/>
      <c r="BR2412" s="265"/>
      <c r="BS2412" s="265"/>
      <c r="BT2412" s="265"/>
      <c r="BU2412" s="265"/>
      <c r="BV2412" s="265"/>
    </row>
    <row r="2413" spans="12:74">
      <c r="L2413" s="265"/>
      <c r="M2413" s="265"/>
      <c r="N2413" s="265"/>
      <c r="O2413" s="265"/>
      <c r="P2413" s="265"/>
      <c r="Q2413" s="265"/>
      <c r="BR2413" s="265"/>
      <c r="BS2413" s="265"/>
      <c r="BT2413" s="265"/>
      <c r="BU2413" s="265"/>
      <c r="BV2413" s="265"/>
    </row>
    <row r="2414" spans="12:74">
      <c r="L2414" s="265"/>
      <c r="M2414" s="265"/>
      <c r="N2414" s="265"/>
      <c r="O2414" s="265"/>
      <c r="P2414" s="265"/>
      <c r="Q2414" s="265"/>
      <c r="BR2414" s="265"/>
      <c r="BS2414" s="265"/>
      <c r="BT2414" s="265"/>
      <c r="BU2414" s="265"/>
      <c r="BV2414" s="265"/>
    </row>
    <row r="2415" spans="12:74">
      <c r="L2415" s="265"/>
      <c r="M2415" s="265"/>
      <c r="N2415" s="265"/>
      <c r="O2415" s="265"/>
      <c r="P2415" s="265"/>
      <c r="Q2415" s="265"/>
      <c r="BR2415" s="265"/>
      <c r="BS2415" s="265"/>
      <c r="BT2415" s="265"/>
      <c r="BU2415" s="265"/>
      <c r="BV2415" s="265"/>
    </row>
    <row r="2416" spans="12:74">
      <c r="L2416" s="265"/>
      <c r="M2416" s="265"/>
      <c r="N2416" s="265"/>
      <c r="O2416" s="265"/>
      <c r="P2416" s="265"/>
      <c r="Q2416" s="265"/>
      <c r="BR2416" s="265"/>
      <c r="BS2416" s="265"/>
      <c r="BT2416" s="265"/>
      <c r="BU2416" s="265"/>
      <c r="BV2416" s="265"/>
    </row>
    <row r="2417" spans="12:74">
      <c r="L2417" s="265"/>
      <c r="M2417" s="265"/>
      <c r="N2417" s="265"/>
      <c r="O2417" s="265"/>
      <c r="P2417" s="265"/>
      <c r="Q2417" s="265"/>
      <c r="BR2417" s="265"/>
      <c r="BS2417" s="265"/>
      <c r="BT2417" s="265"/>
      <c r="BU2417" s="265"/>
      <c r="BV2417" s="265"/>
    </row>
    <row r="2418" spans="12:74">
      <c r="L2418" s="265"/>
      <c r="M2418" s="265"/>
      <c r="N2418" s="265"/>
      <c r="O2418" s="265"/>
      <c r="P2418" s="265"/>
      <c r="Q2418" s="265"/>
      <c r="BR2418" s="265"/>
      <c r="BS2418" s="265"/>
      <c r="BT2418" s="265"/>
      <c r="BU2418" s="265"/>
      <c r="BV2418" s="265"/>
    </row>
    <row r="2419" spans="12:74">
      <c r="L2419" s="265"/>
      <c r="M2419" s="265"/>
      <c r="N2419" s="265"/>
      <c r="O2419" s="265"/>
      <c r="P2419" s="265"/>
      <c r="Q2419" s="265"/>
      <c r="BR2419" s="265"/>
      <c r="BS2419" s="265"/>
      <c r="BT2419" s="265"/>
      <c r="BU2419" s="265"/>
      <c r="BV2419" s="265"/>
    </row>
    <row r="2420" spans="12:74">
      <c r="L2420" s="265"/>
      <c r="M2420" s="265"/>
      <c r="N2420" s="265"/>
      <c r="O2420" s="265"/>
      <c r="P2420" s="265"/>
      <c r="Q2420" s="265"/>
      <c r="BR2420" s="265"/>
      <c r="BS2420" s="265"/>
      <c r="BT2420" s="265"/>
      <c r="BU2420" s="265"/>
      <c r="BV2420" s="265"/>
    </row>
    <row r="2421" spans="12:74">
      <c r="L2421" s="265"/>
      <c r="M2421" s="265"/>
      <c r="N2421" s="265"/>
      <c r="O2421" s="265"/>
      <c r="P2421" s="265"/>
      <c r="Q2421" s="265"/>
      <c r="BR2421" s="265"/>
      <c r="BS2421" s="265"/>
      <c r="BT2421" s="265"/>
      <c r="BU2421" s="265"/>
      <c r="BV2421" s="265"/>
    </row>
    <row r="2422" spans="12:74">
      <c r="L2422" s="265"/>
      <c r="M2422" s="265"/>
      <c r="N2422" s="265"/>
      <c r="O2422" s="265"/>
      <c r="P2422" s="265"/>
      <c r="Q2422" s="265"/>
      <c r="BR2422" s="265"/>
      <c r="BS2422" s="265"/>
      <c r="BT2422" s="265"/>
      <c r="BU2422" s="265"/>
      <c r="BV2422" s="265"/>
    </row>
    <row r="2423" spans="12:74">
      <c r="L2423" s="265"/>
      <c r="M2423" s="265"/>
      <c r="N2423" s="265"/>
      <c r="O2423" s="265"/>
      <c r="P2423" s="265"/>
      <c r="Q2423" s="265"/>
      <c r="BR2423" s="265"/>
      <c r="BS2423" s="265"/>
      <c r="BT2423" s="265"/>
      <c r="BU2423" s="265"/>
      <c r="BV2423" s="265"/>
    </row>
    <row r="2424" spans="12:74">
      <c r="L2424" s="265"/>
      <c r="M2424" s="265"/>
      <c r="N2424" s="265"/>
      <c r="O2424" s="265"/>
      <c r="P2424" s="265"/>
      <c r="Q2424" s="265"/>
      <c r="BR2424" s="265"/>
      <c r="BS2424" s="265"/>
      <c r="BT2424" s="265"/>
      <c r="BU2424" s="265"/>
      <c r="BV2424" s="265"/>
    </row>
    <row r="2425" spans="12:74">
      <c r="L2425" s="265"/>
      <c r="M2425" s="265"/>
      <c r="N2425" s="265"/>
      <c r="O2425" s="265"/>
      <c r="P2425" s="265"/>
      <c r="Q2425" s="265"/>
      <c r="BR2425" s="265"/>
      <c r="BS2425" s="265"/>
      <c r="BT2425" s="265"/>
      <c r="BU2425" s="265"/>
      <c r="BV2425" s="265"/>
    </row>
    <row r="2426" spans="12:74">
      <c r="L2426" s="265"/>
      <c r="M2426" s="265"/>
      <c r="N2426" s="265"/>
      <c r="O2426" s="265"/>
      <c r="P2426" s="265"/>
      <c r="Q2426" s="265"/>
      <c r="BR2426" s="265"/>
      <c r="BS2426" s="265"/>
      <c r="BT2426" s="265"/>
      <c r="BU2426" s="265"/>
      <c r="BV2426" s="265"/>
    </row>
    <row r="2427" spans="12:74">
      <c r="L2427" s="265"/>
      <c r="M2427" s="265"/>
      <c r="N2427" s="265"/>
      <c r="O2427" s="265"/>
      <c r="P2427" s="265"/>
      <c r="Q2427" s="265"/>
      <c r="BR2427" s="265"/>
      <c r="BS2427" s="265"/>
      <c r="BT2427" s="265"/>
      <c r="BU2427" s="265"/>
      <c r="BV2427" s="265"/>
    </row>
    <row r="2428" spans="12:74">
      <c r="L2428" s="265"/>
      <c r="M2428" s="265"/>
      <c r="N2428" s="265"/>
      <c r="O2428" s="265"/>
      <c r="P2428" s="265"/>
      <c r="Q2428" s="265"/>
      <c r="BR2428" s="265"/>
      <c r="BS2428" s="265"/>
      <c r="BT2428" s="265"/>
      <c r="BU2428" s="265"/>
      <c r="BV2428" s="265"/>
    </row>
    <row r="2429" spans="12:74">
      <c r="L2429" s="265"/>
      <c r="M2429" s="265"/>
      <c r="N2429" s="265"/>
      <c r="O2429" s="265"/>
      <c r="P2429" s="265"/>
      <c r="Q2429" s="265"/>
      <c r="BR2429" s="265"/>
      <c r="BS2429" s="265"/>
      <c r="BT2429" s="265"/>
      <c r="BU2429" s="265"/>
      <c r="BV2429" s="265"/>
    </row>
    <row r="2430" spans="12:74">
      <c r="L2430" s="265"/>
      <c r="M2430" s="265"/>
      <c r="N2430" s="265"/>
      <c r="O2430" s="265"/>
      <c r="P2430" s="265"/>
      <c r="Q2430" s="265"/>
      <c r="BR2430" s="265"/>
      <c r="BS2430" s="265"/>
      <c r="BT2430" s="265"/>
      <c r="BU2430" s="265"/>
      <c r="BV2430" s="265"/>
    </row>
    <row r="2431" spans="12:74">
      <c r="L2431" s="265"/>
      <c r="M2431" s="265"/>
      <c r="N2431" s="265"/>
      <c r="O2431" s="265"/>
      <c r="P2431" s="265"/>
      <c r="Q2431" s="265"/>
      <c r="BR2431" s="265"/>
      <c r="BS2431" s="265"/>
      <c r="BT2431" s="265"/>
      <c r="BU2431" s="265"/>
      <c r="BV2431" s="265"/>
    </row>
    <row r="2432" spans="12:74">
      <c r="L2432" s="265"/>
      <c r="M2432" s="265"/>
      <c r="N2432" s="265"/>
      <c r="O2432" s="265"/>
      <c r="P2432" s="265"/>
      <c r="Q2432" s="265"/>
      <c r="BR2432" s="265"/>
      <c r="BS2432" s="265"/>
      <c r="BT2432" s="265"/>
      <c r="BU2432" s="265"/>
      <c r="BV2432" s="265"/>
    </row>
    <row r="2433" spans="12:74">
      <c r="L2433" s="265"/>
      <c r="M2433" s="265"/>
      <c r="N2433" s="265"/>
      <c r="O2433" s="265"/>
      <c r="P2433" s="265"/>
      <c r="Q2433" s="265"/>
      <c r="BR2433" s="265"/>
      <c r="BS2433" s="265"/>
      <c r="BT2433" s="265"/>
      <c r="BU2433" s="265"/>
      <c r="BV2433" s="265"/>
    </row>
    <row r="2434" spans="12:74">
      <c r="L2434" s="265"/>
      <c r="M2434" s="265"/>
      <c r="N2434" s="265"/>
      <c r="O2434" s="265"/>
      <c r="P2434" s="265"/>
      <c r="Q2434" s="265"/>
      <c r="BR2434" s="265"/>
      <c r="BS2434" s="265"/>
      <c r="BT2434" s="265"/>
      <c r="BU2434" s="265"/>
      <c r="BV2434" s="265"/>
    </row>
    <row r="2435" spans="12:74">
      <c r="L2435" s="265"/>
      <c r="M2435" s="265"/>
      <c r="N2435" s="265"/>
      <c r="O2435" s="265"/>
      <c r="P2435" s="265"/>
      <c r="Q2435" s="265"/>
      <c r="BR2435" s="265"/>
      <c r="BS2435" s="265"/>
      <c r="BT2435" s="265"/>
      <c r="BU2435" s="265"/>
      <c r="BV2435" s="265"/>
    </row>
    <row r="2436" spans="12:74">
      <c r="L2436" s="265"/>
      <c r="M2436" s="265"/>
      <c r="N2436" s="265"/>
      <c r="O2436" s="265"/>
      <c r="P2436" s="265"/>
      <c r="Q2436" s="265"/>
      <c r="BR2436" s="265"/>
      <c r="BS2436" s="265"/>
      <c r="BT2436" s="265"/>
      <c r="BU2436" s="265"/>
      <c r="BV2436" s="265"/>
    </row>
    <row r="2437" spans="12:74">
      <c r="L2437" s="265"/>
      <c r="M2437" s="265"/>
      <c r="N2437" s="265"/>
      <c r="O2437" s="265"/>
      <c r="P2437" s="265"/>
      <c r="Q2437" s="265"/>
      <c r="BR2437" s="265"/>
      <c r="BS2437" s="265"/>
      <c r="BT2437" s="265"/>
      <c r="BU2437" s="265"/>
      <c r="BV2437" s="265"/>
    </row>
    <row r="2438" spans="12:74">
      <c r="L2438" s="265"/>
      <c r="M2438" s="265"/>
      <c r="N2438" s="265"/>
      <c r="O2438" s="265"/>
      <c r="P2438" s="265"/>
      <c r="Q2438" s="265"/>
      <c r="BR2438" s="265"/>
      <c r="BS2438" s="265"/>
      <c r="BT2438" s="265"/>
      <c r="BU2438" s="265"/>
      <c r="BV2438" s="265"/>
    </row>
    <row r="2439" spans="12:74">
      <c r="L2439" s="265"/>
      <c r="M2439" s="265"/>
      <c r="N2439" s="265"/>
      <c r="O2439" s="265"/>
      <c r="P2439" s="265"/>
      <c r="Q2439" s="265"/>
      <c r="BR2439" s="265"/>
      <c r="BS2439" s="265"/>
      <c r="BT2439" s="265"/>
      <c r="BU2439" s="265"/>
      <c r="BV2439" s="265"/>
    </row>
    <row r="2440" spans="12:74">
      <c r="L2440" s="265"/>
      <c r="M2440" s="265"/>
      <c r="N2440" s="265"/>
      <c r="O2440" s="265"/>
      <c r="P2440" s="265"/>
      <c r="Q2440" s="265"/>
      <c r="BR2440" s="265"/>
      <c r="BS2440" s="265"/>
      <c r="BT2440" s="265"/>
      <c r="BU2440" s="265"/>
      <c r="BV2440" s="265"/>
    </row>
    <row r="2441" spans="12:74">
      <c r="L2441" s="265"/>
      <c r="M2441" s="265"/>
      <c r="N2441" s="265"/>
      <c r="O2441" s="265"/>
      <c r="P2441" s="265"/>
      <c r="Q2441" s="265"/>
      <c r="BR2441" s="265"/>
      <c r="BS2441" s="265"/>
      <c r="BT2441" s="265"/>
      <c r="BU2441" s="265"/>
      <c r="BV2441" s="265"/>
    </row>
    <row r="2442" spans="12:74">
      <c r="L2442" s="265"/>
      <c r="M2442" s="265"/>
      <c r="N2442" s="265"/>
      <c r="O2442" s="265"/>
      <c r="P2442" s="265"/>
      <c r="Q2442" s="265"/>
      <c r="BR2442" s="265"/>
      <c r="BS2442" s="265"/>
      <c r="BT2442" s="265"/>
      <c r="BU2442" s="265"/>
      <c r="BV2442" s="265"/>
    </row>
    <row r="2443" spans="12:74">
      <c r="L2443" s="265"/>
      <c r="M2443" s="265"/>
      <c r="N2443" s="265"/>
      <c r="O2443" s="265"/>
      <c r="P2443" s="265"/>
      <c r="Q2443" s="265"/>
      <c r="BR2443" s="265"/>
      <c r="BS2443" s="265"/>
      <c r="BT2443" s="265"/>
      <c r="BU2443" s="265"/>
      <c r="BV2443" s="265"/>
    </row>
    <row r="2444" spans="12:74">
      <c r="L2444" s="265"/>
      <c r="M2444" s="265"/>
      <c r="N2444" s="265"/>
      <c r="O2444" s="265"/>
      <c r="P2444" s="265"/>
      <c r="Q2444" s="265"/>
      <c r="BR2444" s="265"/>
      <c r="BS2444" s="265"/>
      <c r="BT2444" s="265"/>
      <c r="BU2444" s="265"/>
      <c r="BV2444" s="265"/>
    </row>
    <row r="2445" spans="12:74">
      <c r="L2445" s="265"/>
      <c r="M2445" s="265"/>
      <c r="N2445" s="265"/>
      <c r="O2445" s="265"/>
      <c r="P2445" s="265"/>
      <c r="Q2445" s="265"/>
      <c r="BR2445" s="265"/>
      <c r="BS2445" s="265"/>
      <c r="BT2445" s="265"/>
      <c r="BU2445" s="265"/>
      <c r="BV2445" s="265"/>
    </row>
    <row r="2446" spans="12:74">
      <c r="L2446" s="265"/>
      <c r="M2446" s="265"/>
      <c r="N2446" s="265"/>
      <c r="O2446" s="265"/>
      <c r="P2446" s="265"/>
      <c r="Q2446" s="265"/>
      <c r="BR2446" s="265"/>
      <c r="BS2446" s="265"/>
      <c r="BT2446" s="265"/>
      <c r="BU2446" s="265"/>
      <c r="BV2446" s="265"/>
    </row>
    <row r="2447" spans="12:74">
      <c r="L2447" s="265"/>
      <c r="M2447" s="265"/>
      <c r="N2447" s="265"/>
      <c r="O2447" s="265"/>
      <c r="P2447" s="265"/>
      <c r="Q2447" s="265"/>
      <c r="BR2447" s="265"/>
      <c r="BS2447" s="265"/>
      <c r="BT2447" s="265"/>
      <c r="BU2447" s="265"/>
      <c r="BV2447" s="265"/>
    </row>
    <row r="2448" spans="12:74">
      <c r="L2448" s="265"/>
      <c r="M2448" s="265"/>
      <c r="N2448" s="265"/>
      <c r="O2448" s="265"/>
      <c r="P2448" s="265"/>
      <c r="Q2448" s="265"/>
      <c r="BR2448" s="265"/>
      <c r="BS2448" s="265"/>
      <c r="BT2448" s="265"/>
      <c r="BU2448" s="265"/>
      <c r="BV2448" s="265"/>
    </row>
    <row r="2449" spans="12:74">
      <c r="L2449" s="265"/>
      <c r="M2449" s="265"/>
      <c r="N2449" s="265"/>
      <c r="O2449" s="265"/>
      <c r="P2449" s="265"/>
      <c r="Q2449" s="265"/>
      <c r="BR2449" s="265"/>
      <c r="BS2449" s="265"/>
      <c r="BT2449" s="265"/>
      <c r="BU2449" s="265"/>
      <c r="BV2449" s="265"/>
    </row>
    <row r="2450" spans="12:74">
      <c r="L2450" s="265"/>
      <c r="M2450" s="265"/>
      <c r="N2450" s="265"/>
      <c r="O2450" s="265"/>
      <c r="P2450" s="265"/>
      <c r="Q2450" s="265"/>
      <c r="BR2450" s="265"/>
      <c r="BS2450" s="265"/>
      <c r="BT2450" s="265"/>
      <c r="BU2450" s="265"/>
      <c r="BV2450" s="265"/>
    </row>
    <row r="2451" spans="12:74">
      <c r="L2451" s="265"/>
      <c r="M2451" s="265"/>
      <c r="N2451" s="265"/>
      <c r="O2451" s="265"/>
      <c r="P2451" s="265"/>
      <c r="Q2451" s="265"/>
      <c r="BR2451" s="265"/>
      <c r="BS2451" s="265"/>
      <c r="BT2451" s="265"/>
      <c r="BU2451" s="265"/>
      <c r="BV2451" s="265"/>
    </row>
    <row r="2452" spans="12:74">
      <c r="L2452" s="265"/>
      <c r="M2452" s="265"/>
      <c r="N2452" s="265"/>
      <c r="O2452" s="265"/>
      <c r="P2452" s="265"/>
      <c r="Q2452" s="265"/>
      <c r="BR2452" s="265"/>
      <c r="BS2452" s="265"/>
      <c r="BT2452" s="265"/>
      <c r="BU2452" s="265"/>
      <c r="BV2452" s="265"/>
    </row>
    <row r="2453" spans="12:74">
      <c r="L2453" s="265"/>
      <c r="M2453" s="265"/>
      <c r="N2453" s="265"/>
      <c r="O2453" s="265"/>
      <c r="P2453" s="265"/>
      <c r="Q2453" s="265"/>
      <c r="BR2453" s="265"/>
      <c r="BS2453" s="265"/>
      <c r="BT2453" s="265"/>
      <c r="BU2453" s="265"/>
      <c r="BV2453" s="265"/>
    </row>
    <row r="2454" spans="12:74">
      <c r="L2454" s="265"/>
      <c r="M2454" s="265"/>
      <c r="N2454" s="265"/>
      <c r="O2454" s="265"/>
      <c r="P2454" s="265"/>
      <c r="Q2454" s="265"/>
      <c r="BR2454" s="265"/>
      <c r="BS2454" s="265"/>
      <c r="BT2454" s="265"/>
      <c r="BU2454" s="265"/>
      <c r="BV2454" s="265"/>
    </row>
    <row r="2455" spans="12:74">
      <c r="L2455" s="265"/>
      <c r="M2455" s="265"/>
      <c r="N2455" s="265"/>
      <c r="O2455" s="265"/>
      <c r="P2455" s="265"/>
      <c r="Q2455" s="265"/>
      <c r="BR2455" s="265"/>
      <c r="BS2455" s="265"/>
      <c r="BT2455" s="265"/>
      <c r="BU2455" s="265"/>
      <c r="BV2455" s="265"/>
    </row>
    <row r="2456" spans="12:74">
      <c r="L2456" s="265"/>
      <c r="M2456" s="265"/>
      <c r="N2456" s="265"/>
      <c r="O2456" s="265"/>
      <c r="P2456" s="265"/>
      <c r="Q2456" s="265"/>
      <c r="BR2456" s="265"/>
      <c r="BS2456" s="265"/>
      <c r="BT2456" s="265"/>
      <c r="BU2456" s="265"/>
      <c r="BV2456" s="265"/>
    </row>
    <row r="2457" spans="12:74">
      <c r="L2457" s="265"/>
      <c r="M2457" s="265"/>
      <c r="N2457" s="265"/>
      <c r="O2457" s="265"/>
      <c r="P2457" s="265"/>
      <c r="Q2457" s="265"/>
      <c r="BR2457" s="265"/>
      <c r="BS2457" s="265"/>
      <c r="BT2457" s="265"/>
      <c r="BU2457" s="265"/>
      <c r="BV2457" s="265"/>
    </row>
    <row r="2458" spans="12:74">
      <c r="L2458" s="265"/>
      <c r="M2458" s="265"/>
      <c r="N2458" s="265"/>
      <c r="O2458" s="265"/>
      <c r="P2458" s="265"/>
      <c r="Q2458" s="265"/>
      <c r="BR2458" s="265"/>
      <c r="BS2458" s="265"/>
      <c r="BT2458" s="265"/>
      <c r="BU2458" s="265"/>
      <c r="BV2458" s="265"/>
    </row>
    <row r="2459" spans="12:74">
      <c r="L2459" s="265"/>
      <c r="M2459" s="265"/>
      <c r="N2459" s="265"/>
      <c r="O2459" s="265"/>
      <c r="P2459" s="265"/>
      <c r="Q2459" s="265"/>
      <c r="BR2459" s="265"/>
      <c r="BS2459" s="265"/>
      <c r="BT2459" s="265"/>
      <c r="BU2459" s="265"/>
      <c r="BV2459" s="265"/>
    </row>
    <row r="2460" spans="12:74">
      <c r="L2460" s="265"/>
      <c r="M2460" s="265"/>
      <c r="N2460" s="265"/>
      <c r="O2460" s="265"/>
      <c r="P2460" s="265"/>
      <c r="Q2460" s="265"/>
      <c r="BR2460" s="265"/>
      <c r="BS2460" s="265"/>
      <c r="BT2460" s="265"/>
      <c r="BU2460" s="265"/>
      <c r="BV2460" s="265"/>
    </row>
    <row r="2461" spans="12:74">
      <c r="L2461" s="265"/>
      <c r="M2461" s="265"/>
      <c r="N2461" s="265"/>
      <c r="O2461" s="265"/>
      <c r="P2461" s="265"/>
      <c r="Q2461" s="265"/>
      <c r="BR2461" s="265"/>
      <c r="BS2461" s="265"/>
      <c r="BT2461" s="265"/>
      <c r="BU2461" s="265"/>
      <c r="BV2461" s="265"/>
    </row>
    <row r="2462" spans="12:74">
      <c r="L2462" s="265"/>
      <c r="M2462" s="265"/>
      <c r="N2462" s="265"/>
      <c r="O2462" s="265"/>
      <c r="P2462" s="265"/>
      <c r="Q2462" s="265"/>
      <c r="BR2462" s="265"/>
      <c r="BS2462" s="265"/>
      <c r="BT2462" s="265"/>
      <c r="BU2462" s="265"/>
      <c r="BV2462" s="265"/>
    </row>
    <row r="2463" spans="12:74">
      <c r="L2463" s="265"/>
      <c r="M2463" s="265"/>
      <c r="N2463" s="265"/>
      <c r="O2463" s="265"/>
      <c r="P2463" s="265"/>
      <c r="Q2463" s="265"/>
      <c r="BR2463" s="265"/>
      <c r="BS2463" s="265"/>
      <c r="BT2463" s="265"/>
      <c r="BU2463" s="265"/>
      <c r="BV2463" s="265"/>
    </row>
    <row r="2464" spans="12:74">
      <c r="L2464" s="265"/>
      <c r="M2464" s="265"/>
      <c r="N2464" s="265"/>
      <c r="O2464" s="265"/>
      <c r="P2464" s="265"/>
      <c r="Q2464" s="265"/>
      <c r="BR2464" s="265"/>
      <c r="BS2464" s="265"/>
      <c r="BT2464" s="265"/>
      <c r="BU2464" s="265"/>
      <c r="BV2464" s="265"/>
    </row>
    <row r="2465" spans="12:74">
      <c r="L2465" s="265"/>
      <c r="M2465" s="265"/>
      <c r="N2465" s="265"/>
      <c r="O2465" s="265"/>
      <c r="P2465" s="265"/>
      <c r="Q2465" s="265"/>
      <c r="BR2465" s="265"/>
      <c r="BS2465" s="265"/>
      <c r="BT2465" s="265"/>
      <c r="BU2465" s="265"/>
      <c r="BV2465" s="265"/>
    </row>
    <row r="2466" spans="12:74">
      <c r="L2466" s="265"/>
      <c r="M2466" s="265"/>
      <c r="N2466" s="265"/>
      <c r="O2466" s="265"/>
      <c r="P2466" s="265"/>
      <c r="Q2466" s="265"/>
      <c r="BR2466" s="265"/>
      <c r="BS2466" s="265"/>
      <c r="BT2466" s="265"/>
      <c r="BU2466" s="265"/>
      <c r="BV2466" s="265"/>
    </row>
    <row r="2467" spans="12:74">
      <c r="L2467" s="265"/>
      <c r="M2467" s="265"/>
      <c r="N2467" s="265"/>
      <c r="O2467" s="265"/>
      <c r="P2467" s="265"/>
      <c r="Q2467" s="265"/>
      <c r="BR2467" s="265"/>
      <c r="BS2467" s="265"/>
      <c r="BT2467" s="265"/>
      <c r="BU2467" s="265"/>
      <c r="BV2467" s="265"/>
    </row>
    <row r="2468" spans="12:74">
      <c r="L2468" s="265"/>
      <c r="M2468" s="265"/>
      <c r="N2468" s="265"/>
      <c r="O2468" s="265"/>
      <c r="P2468" s="265"/>
      <c r="Q2468" s="265"/>
      <c r="BR2468" s="265"/>
      <c r="BS2468" s="265"/>
      <c r="BT2468" s="265"/>
      <c r="BU2468" s="265"/>
      <c r="BV2468" s="265"/>
    </row>
    <row r="2469" spans="12:74">
      <c r="L2469" s="265"/>
      <c r="M2469" s="265"/>
      <c r="N2469" s="265"/>
      <c r="O2469" s="265"/>
      <c r="P2469" s="265"/>
      <c r="Q2469" s="265"/>
      <c r="BR2469" s="265"/>
      <c r="BS2469" s="265"/>
      <c r="BT2469" s="265"/>
      <c r="BU2469" s="265"/>
      <c r="BV2469" s="265"/>
    </row>
    <row r="2470" spans="12:74">
      <c r="L2470" s="265"/>
      <c r="M2470" s="265"/>
      <c r="N2470" s="265"/>
      <c r="O2470" s="265"/>
      <c r="P2470" s="265"/>
      <c r="Q2470" s="265"/>
      <c r="BR2470" s="265"/>
      <c r="BS2470" s="265"/>
      <c r="BT2470" s="265"/>
      <c r="BU2470" s="265"/>
      <c r="BV2470" s="265"/>
    </row>
    <row r="2471" spans="12:74">
      <c r="L2471" s="265"/>
      <c r="M2471" s="265"/>
      <c r="N2471" s="265"/>
      <c r="O2471" s="265"/>
      <c r="P2471" s="265"/>
      <c r="Q2471" s="265"/>
      <c r="BR2471" s="265"/>
      <c r="BS2471" s="265"/>
      <c r="BT2471" s="265"/>
      <c r="BU2471" s="265"/>
      <c r="BV2471" s="265"/>
    </row>
    <row r="2472" spans="12:74">
      <c r="L2472" s="265"/>
      <c r="M2472" s="265"/>
      <c r="N2472" s="265"/>
      <c r="O2472" s="265"/>
      <c r="P2472" s="265"/>
      <c r="Q2472" s="265"/>
      <c r="BR2472" s="265"/>
      <c r="BS2472" s="265"/>
      <c r="BT2472" s="265"/>
      <c r="BU2472" s="265"/>
      <c r="BV2472" s="265"/>
    </row>
    <row r="2473" spans="12:74">
      <c r="L2473" s="265"/>
      <c r="M2473" s="265"/>
      <c r="N2473" s="265"/>
      <c r="O2473" s="265"/>
      <c r="P2473" s="265"/>
      <c r="Q2473" s="265"/>
      <c r="BR2473" s="265"/>
      <c r="BS2473" s="265"/>
      <c r="BT2473" s="265"/>
      <c r="BU2473" s="265"/>
      <c r="BV2473" s="265"/>
    </row>
    <row r="2474" spans="12:74">
      <c r="L2474" s="265"/>
      <c r="M2474" s="265"/>
      <c r="N2474" s="265"/>
      <c r="O2474" s="265"/>
      <c r="P2474" s="265"/>
      <c r="Q2474" s="265"/>
      <c r="BR2474" s="265"/>
      <c r="BS2474" s="265"/>
      <c r="BT2474" s="265"/>
      <c r="BU2474" s="265"/>
      <c r="BV2474" s="265"/>
    </row>
    <row r="2475" spans="12:74">
      <c r="L2475" s="265"/>
      <c r="M2475" s="265"/>
      <c r="N2475" s="265"/>
      <c r="O2475" s="265"/>
      <c r="P2475" s="265"/>
      <c r="Q2475" s="265"/>
      <c r="BR2475" s="265"/>
      <c r="BS2475" s="265"/>
      <c r="BT2475" s="265"/>
      <c r="BU2475" s="265"/>
      <c r="BV2475" s="265"/>
    </row>
    <row r="2476" spans="12:74">
      <c r="L2476" s="265"/>
      <c r="M2476" s="265"/>
      <c r="N2476" s="265"/>
      <c r="O2476" s="265"/>
      <c r="P2476" s="265"/>
      <c r="Q2476" s="265"/>
      <c r="BR2476" s="265"/>
      <c r="BS2476" s="265"/>
      <c r="BT2476" s="265"/>
      <c r="BU2476" s="265"/>
      <c r="BV2476" s="265"/>
    </row>
    <row r="2477" spans="12:74">
      <c r="L2477" s="265"/>
      <c r="M2477" s="265"/>
      <c r="N2477" s="265"/>
      <c r="O2477" s="265"/>
      <c r="P2477" s="265"/>
      <c r="Q2477" s="265"/>
      <c r="BR2477" s="265"/>
      <c r="BS2477" s="265"/>
      <c r="BT2477" s="265"/>
      <c r="BU2477" s="265"/>
      <c r="BV2477" s="265"/>
    </row>
    <row r="2478" spans="12:74">
      <c r="L2478" s="265"/>
      <c r="M2478" s="265"/>
      <c r="N2478" s="265"/>
      <c r="O2478" s="265"/>
      <c r="P2478" s="265"/>
      <c r="Q2478" s="265"/>
      <c r="BR2478" s="265"/>
      <c r="BS2478" s="265"/>
      <c r="BT2478" s="265"/>
      <c r="BU2478" s="265"/>
      <c r="BV2478" s="265"/>
    </row>
    <row r="2479" spans="12:74">
      <c r="L2479" s="265"/>
      <c r="M2479" s="265"/>
      <c r="N2479" s="265"/>
      <c r="O2479" s="265"/>
      <c r="P2479" s="265"/>
      <c r="Q2479" s="265"/>
      <c r="BR2479" s="265"/>
      <c r="BS2479" s="265"/>
      <c r="BT2479" s="265"/>
      <c r="BU2479" s="265"/>
      <c r="BV2479" s="265"/>
    </row>
    <row r="2480" spans="12:74">
      <c r="L2480" s="265"/>
      <c r="M2480" s="265"/>
      <c r="N2480" s="265"/>
      <c r="O2480" s="265"/>
      <c r="P2480" s="265"/>
      <c r="Q2480" s="265"/>
      <c r="BR2480" s="265"/>
      <c r="BS2480" s="265"/>
      <c r="BT2480" s="265"/>
      <c r="BU2480" s="265"/>
      <c r="BV2480" s="265"/>
    </row>
    <row r="2481" spans="12:74">
      <c r="L2481" s="265"/>
      <c r="M2481" s="265"/>
      <c r="N2481" s="265"/>
      <c r="O2481" s="265"/>
      <c r="P2481" s="265"/>
      <c r="Q2481" s="265"/>
      <c r="BR2481" s="265"/>
      <c r="BS2481" s="265"/>
      <c r="BT2481" s="265"/>
      <c r="BU2481" s="265"/>
      <c r="BV2481" s="265"/>
    </row>
    <row r="2482" spans="12:74">
      <c r="L2482" s="265"/>
      <c r="M2482" s="265"/>
      <c r="N2482" s="265"/>
      <c r="O2482" s="265"/>
      <c r="P2482" s="265"/>
      <c r="Q2482" s="265"/>
      <c r="BR2482" s="265"/>
      <c r="BS2482" s="265"/>
      <c r="BT2482" s="265"/>
      <c r="BU2482" s="265"/>
      <c r="BV2482" s="265"/>
    </row>
    <row r="2483" spans="12:74">
      <c r="L2483" s="265"/>
      <c r="M2483" s="265"/>
      <c r="N2483" s="265"/>
      <c r="O2483" s="265"/>
      <c r="P2483" s="265"/>
      <c r="Q2483" s="265"/>
      <c r="BR2483" s="265"/>
      <c r="BS2483" s="265"/>
      <c r="BT2483" s="265"/>
      <c r="BU2483" s="265"/>
      <c r="BV2483" s="265"/>
    </row>
    <row r="2484" spans="12:74">
      <c r="L2484" s="265"/>
      <c r="M2484" s="265"/>
      <c r="N2484" s="265"/>
      <c r="O2484" s="265"/>
      <c r="P2484" s="265"/>
      <c r="Q2484" s="265"/>
      <c r="BR2484" s="265"/>
      <c r="BS2484" s="265"/>
      <c r="BT2484" s="265"/>
      <c r="BU2484" s="265"/>
      <c r="BV2484" s="265"/>
    </row>
    <row r="2485" spans="12:74">
      <c r="L2485" s="265"/>
      <c r="M2485" s="265"/>
      <c r="N2485" s="265"/>
      <c r="O2485" s="265"/>
      <c r="P2485" s="265"/>
      <c r="Q2485" s="265"/>
      <c r="BR2485" s="265"/>
      <c r="BS2485" s="265"/>
      <c r="BT2485" s="265"/>
      <c r="BU2485" s="265"/>
      <c r="BV2485" s="265"/>
    </row>
    <row r="2486" spans="12:74">
      <c r="L2486" s="265"/>
      <c r="M2486" s="265"/>
      <c r="N2486" s="265"/>
      <c r="O2486" s="265"/>
      <c r="P2486" s="265"/>
      <c r="Q2486" s="265"/>
      <c r="BR2486" s="265"/>
      <c r="BS2486" s="265"/>
      <c r="BT2486" s="265"/>
      <c r="BU2486" s="265"/>
      <c r="BV2486" s="265"/>
    </row>
    <row r="2487" spans="12:74">
      <c r="L2487" s="265"/>
      <c r="M2487" s="265"/>
      <c r="N2487" s="265"/>
      <c r="O2487" s="265"/>
      <c r="P2487" s="265"/>
      <c r="Q2487" s="265"/>
      <c r="BR2487" s="265"/>
      <c r="BS2487" s="265"/>
      <c r="BT2487" s="265"/>
      <c r="BU2487" s="265"/>
      <c r="BV2487" s="265"/>
    </row>
    <row r="2488" spans="12:74">
      <c r="L2488" s="265"/>
      <c r="M2488" s="265"/>
      <c r="N2488" s="265"/>
      <c r="O2488" s="265"/>
      <c r="P2488" s="265"/>
      <c r="Q2488" s="265"/>
      <c r="BR2488" s="265"/>
      <c r="BS2488" s="265"/>
      <c r="BT2488" s="265"/>
      <c r="BU2488" s="265"/>
      <c r="BV2488" s="265"/>
    </row>
    <row r="2489" spans="12:74">
      <c r="L2489" s="265"/>
      <c r="M2489" s="265"/>
      <c r="N2489" s="265"/>
      <c r="O2489" s="265"/>
      <c r="P2489" s="265"/>
      <c r="Q2489" s="265"/>
      <c r="BR2489" s="265"/>
      <c r="BS2489" s="265"/>
      <c r="BT2489" s="265"/>
      <c r="BU2489" s="265"/>
      <c r="BV2489" s="265"/>
    </row>
    <row r="2490" spans="12:74">
      <c r="L2490" s="265"/>
      <c r="M2490" s="265"/>
      <c r="N2490" s="265"/>
      <c r="O2490" s="265"/>
      <c r="P2490" s="265"/>
      <c r="Q2490" s="265"/>
      <c r="BR2490" s="265"/>
      <c r="BS2490" s="265"/>
      <c r="BT2490" s="265"/>
      <c r="BU2490" s="265"/>
      <c r="BV2490" s="265"/>
    </row>
    <row r="2491" spans="12:74">
      <c r="L2491" s="265"/>
      <c r="M2491" s="265"/>
      <c r="N2491" s="265"/>
      <c r="O2491" s="265"/>
      <c r="P2491" s="265"/>
      <c r="Q2491" s="265"/>
      <c r="BR2491" s="265"/>
      <c r="BS2491" s="265"/>
      <c r="BT2491" s="265"/>
      <c r="BU2491" s="265"/>
      <c r="BV2491" s="265"/>
    </row>
    <row r="2492" spans="12:74">
      <c r="L2492" s="265"/>
      <c r="M2492" s="265"/>
      <c r="N2492" s="265"/>
      <c r="O2492" s="265"/>
      <c r="P2492" s="265"/>
      <c r="Q2492" s="265"/>
      <c r="BR2492" s="265"/>
      <c r="BS2492" s="265"/>
      <c r="BT2492" s="265"/>
      <c r="BU2492" s="265"/>
      <c r="BV2492" s="265"/>
    </row>
    <row r="2493" spans="12:74">
      <c r="L2493" s="265"/>
      <c r="M2493" s="265"/>
      <c r="N2493" s="265"/>
      <c r="O2493" s="265"/>
      <c r="P2493" s="265"/>
      <c r="Q2493" s="265"/>
      <c r="BR2493" s="265"/>
      <c r="BS2493" s="265"/>
      <c r="BT2493" s="265"/>
      <c r="BU2493" s="265"/>
      <c r="BV2493" s="265"/>
    </row>
    <row r="2494" spans="12:74">
      <c r="L2494" s="265"/>
      <c r="M2494" s="265"/>
      <c r="N2494" s="265"/>
      <c r="O2494" s="265"/>
      <c r="P2494" s="265"/>
      <c r="Q2494" s="265"/>
      <c r="BR2494" s="265"/>
      <c r="BS2494" s="265"/>
      <c r="BT2494" s="265"/>
      <c r="BU2494" s="265"/>
      <c r="BV2494" s="265"/>
    </row>
    <row r="2495" spans="12:74">
      <c r="L2495" s="265"/>
      <c r="M2495" s="265"/>
      <c r="N2495" s="265"/>
      <c r="O2495" s="265"/>
      <c r="P2495" s="265"/>
      <c r="Q2495" s="265"/>
      <c r="BR2495" s="265"/>
      <c r="BS2495" s="265"/>
      <c r="BT2495" s="265"/>
      <c r="BU2495" s="265"/>
      <c r="BV2495" s="265"/>
    </row>
    <row r="2496" spans="12:74">
      <c r="L2496" s="265"/>
      <c r="M2496" s="265"/>
      <c r="N2496" s="265"/>
      <c r="O2496" s="265"/>
      <c r="P2496" s="265"/>
      <c r="Q2496" s="265"/>
      <c r="BR2496" s="265"/>
      <c r="BS2496" s="265"/>
      <c r="BT2496" s="265"/>
      <c r="BU2496" s="265"/>
      <c r="BV2496" s="265"/>
    </row>
    <row r="2497" spans="12:74">
      <c r="L2497" s="265"/>
      <c r="M2497" s="265"/>
      <c r="N2497" s="265"/>
      <c r="O2497" s="265"/>
      <c r="P2497" s="265"/>
      <c r="Q2497" s="265"/>
      <c r="BR2497" s="265"/>
      <c r="BS2497" s="265"/>
      <c r="BT2497" s="265"/>
      <c r="BU2497" s="265"/>
      <c r="BV2497" s="265"/>
    </row>
    <row r="2498" spans="12:74">
      <c r="L2498" s="265"/>
      <c r="M2498" s="265"/>
      <c r="N2498" s="265"/>
      <c r="O2498" s="265"/>
      <c r="P2498" s="265"/>
      <c r="Q2498" s="265"/>
      <c r="BR2498" s="265"/>
      <c r="BS2498" s="265"/>
      <c r="BT2498" s="265"/>
      <c r="BU2498" s="265"/>
      <c r="BV2498" s="265"/>
    </row>
    <row r="2499" spans="12:74">
      <c r="L2499" s="265"/>
      <c r="M2499" s="265"/>
      <c r="N2499" s="265"/>
      <c r="O2499" s="265"/>
      <c r="P2499" s="265"/>
      <c r="Q2499" s="265"/>
      <c r="BR2499" s="265"/>
      <c r="BS2499" s="265"/>
      <c r="BT2499" s="265"/>
      <c r="BU2499" s="265"/>
      <c r="BV2499" s="265"/>
    </row>
    <row r="2500" spans="12:74">
      <c r="L2500" s="265"/>
      <c r="M2500" s="265"/>
      <c r="N2500" s="265"/>
      <c r="O2500" s="265"/>
      <c r="P2500" s="265"/>
      <c r="Q2500" s="265"/>
      <c r="BR2500" s="265"/>
      <c r="BS2500" s="265"/>
      <c r="BT2500" s="265"/>
      <c r="BU2500" s="265"/>
      <c r="BV2500" s="265"/>
    </row>
    <row r="2501" spans="12:74">
      <c r="L2501" s="265"/>
      <c r="M2501" s="265"/>
      <c r="N2501" s="265"/>
      <c r="O2501" s="265"/>
      <c r="P2501" s="265"/>
      <c r="Q2501" s="265"/>
      <c r="BR2501" s="265"/>
      <c r="BS2501" s="265"/>
      <c r="BT2501" s="265"/>
      <c r="BU2501" s="265"/>
      <c r="BV2501" s="265"/>
    </row>
    <row r="2502" spans="12:74">
      <c r="L2502" s="265"/>
      <c r="M2502" s="265"/>
      <c r="N2502" s="265"/>
      <c r="O2502" s="265"/>
      <c r="P2502" s="265"/>
      <c r="Q2502" s="265"/>
      <c r="BR2502" s="265"/>
      <c r="BS2502" s="265"/>
      <c r="BT2502" s="265"/>
      <c r="BU2502" s="265"/>
      <c r="BV2502" s="265"/>
    </row>
    <row r="2503" spans="12:74">
      <c r="L2503" s="265"/>
      <c r="M2503" s="265"/>
      <c r="N2503" s="265"/>
      <c r="O2503" s="265"/>
      <c r="P2503" s="265"/>
      <c r="Q2503" s="265"/>
      <c r="BR2503" s="265"/>
      <c r="BS2503" s="265"/>
      <c r="BT2503" s="265"/>
      <c r="BU2503" s="265"/>
      <c r="BV2503" s="265"/>
    </row>
    <row r="2504" spans="12:74">
      <c r="L2504" s="265"/>
      <c r="M2504" s="265"/>
      <c r="N2504" s="265"/>
      <c r="O2504" s="265"/>
      <c r="P2504" s="265"/>
      <c r="Q2504" s="265"/>
      <c r="BR2504" s="265"/>
      <c r="BS2504" s="265"/>
      <c r="BT2504" s="265"/>
      <c r="BU2504" s="265"/>
      <c r="BV2504" s="265"/>
    </row>
    <row r="2505" spans="12:74">
      <c r="L2505" s="265"/>
      <c r="M2505" s="265"/>
      <c r="N2505" s="265"/>
      <c r="O2505" s="265"/>
      <c r="P2505" s="265"/>
      <c r="Q2505" s="265"/>
      <c r="BR2505" s="265"/>
      <c r="BS2505" s="265"/>
      <c r="BT2505" s="265"/>
      <c r="BU2505" s="265"/>
      <c r="BV2505" s="265"/>
    </row>
    <row r="2506" spans="12:74">
      <c r="L2506" s="265"/>
      <c r="M2506" s="265"/>
      <c r="N2506" s="265"/>
      <c r="O2506" s="265"/>
      <c r="P2506" s="265"/>
      <c r="Q2506" s="265"/>
      <c r="BR2506" s="265"/>
      <c r="BS2506" s="265"/>
      <c r="BT2506" s="265"/>
      <c r="BU2506" s="265"/>
      <c r="BV2506" s="265"/>
    </row>
    <row r="2507" spans="12:74">
      <c r="L2507" s="265"/>
      <c r="M2507" s="265"/>
      <c r="N2507" s="265"/>
      <c r="O2507" s="265"/>
      <c r="P2507" s="265"/>
      <c r="Q2507" s="265"/>
      <c r="BR2507" s="265"/>
      <c r="BS2507" s="265"/>
      <c r="BT2507" s="265"/>
      <c r="BU2507" s="265"/>
      <c r="BV2507" s="265"/>
    </row>
    <row r="2508" spans="12:74">
      <c r="L2508" s="265"/>
      <c r="M2508" s="265"/>
      <c r="N2508" s="265"/>
      <c r="O2508" s="265"/>
      <c r="P2508" s="265"/>
      <c r="Q2508" s="265"/>
      <c r="BR2508" s="265"/>
      <c r="BS2508" s="265"/>
      <c r="BT2508" s="265"/>
      <c r="BU2508" s="265"/>
      <c r="BV2508" s="265"/>
    </row>
    <row r="2509" spans="12:74">
      <c r="L2509" s="265"/>
      <c r="M2509" s="265"/>
      <c r="N2509" s="265"/>
      <c r="O2509" s="265"/>
      <c r="P2509" s="265"/>
      <c r="Q2509" s="265"/>
      <c r="BR2509" s="265"/>
      <c r="BS2509" s="265"/>
      <c r="BT2509" s="265"/>
      <c r="BU2509" s="265"/>
      <c r="BV2509" s="265"/>
    </row>
    <row r="2510" spans="12:74">
      <c r="L2510" s="265"/>
      <c r="M2510" s="265"/>
      <c r="N2510" s="265"/>
      <c r="O2510" s="265"/>
      <c r="P2510" s="265"/>
      <c r="Q2510" s="265"/>
      <c r="BR2510" s="265"/>
      <c r="BS2510" s="265"/>
      <c r="BT2510" s="265"/>
      <c r="BU2510" s="265"/>
      <c r="BV2510" s="265"/>
    </row>
    <row r="2511" spans="12:74">
      <c r="L2511" s="265"/>
      <c r="M2511" s="265"/>
      <c r="N2511" s="265"/>
      <c r="O2511" s="265"/>
      <c r="P2511" s="265"/>
      <c r="Q2511" s="265"/>
      <c r="BR2511" s="265"/>
      <c r="BS2511" s="265"/>
      <c r="BT2511" s="265"/>
      <c r="BU2511" s="265"/>
      <c r="BV2511" s="265"/>
    </row>
    <row r="2512" spans="12:74">
      <c r="L2512" s="265"/>
      <c r="M2512" s="265"/>
      <c r="N2512" s="265"/>
      <c r="O2512" s="265"/>
      <c r="P2512" s="265"/>
      <c r="Q2512" s="265"/>
      <c r="BR2512" s="265"/>
      <c r="BS2512" s="265"/>
      <c r="BT2512" s="265"/>
      <c r="BU2512" s="265"/>
      <c r="BV2512" s="265"/>
    </row>
    <row r="2513" spans="12:74">
      <c r="L2513" s="265"/>
      <c r="M2513" s="265"/>
      <c r="N2513" s="265"/>
      <c r="O2513" s="265"/>
      <c r="P2513" s="265"/>
      <c r="Q2513" s="265"/>
      <c r="BR2513" s="265"/>
      <c r="BS2513" s="265"/>
      <c r="BT2513" s="265"/>
      <c r="BU2513" s="265"/>
      <c r="BV2513" s="265"/>
    </row>
    <row r="2514" spans="12:74">
      <c r="L2514" s="265"/>
      <c r="M2514" s="265"/>
      <c r="N2514" s="265"/>
      <c r="O2514" s="265"/>
      <c r="P2514" s="265"/>
      <c r="Q2514" s="265"/>
      <c r="BR2514" s="265"/>
      <c r="BS2514" s="265"/>
      <c r="BT2514" s="265"/>
      <c r="BU2514" s="265"/>
      <c r="BV2514" s="265"/>
    </row>
    <row r="2515" spans="12:74">
      <c r="L2515" s="265"/>
      <c r="M2515" s="265"/>
      <c r="N2515" s="265"/>
      <c r="O2515" s="265"/>
      <c r="P2515" s="265"/>
      <c r="Q2515" s="265"/>
      <c r="BR2515" s="265"/>
      <c r="BS2515" s="265"/>
      <c r="BT2515" s="265"/>
      <c r="BU2515" s="265"/>
      <c r="BV2515" s="265"/>
    </row>
    <row r="2516" spans="12:74">
      <c r="L2516" s="265"/>
      <c r="M2516" s="265"/>
      <c r="N2516" s="265"/>
      <c r="O2516" s="265"/>
      <c r="P2516" s="265"/>
      <c r="Q2516" s="265"/>
      <c r="BR2516" s="265"/>
      <c r="BS2516" s="265"/>
      <c r="BT2516" s="265"/>
      <c r="BU2516" s="265"/>
      <c r="BV2516" s="265"/>
    </row>
    <row r="2517" spans="12:74">
      <c r="L2517" s="265"/>
      <c r="M2517" s="265"/>
      <c r="N2517" s="265"/>
      <c r="O2517" s="265"/>
      <c r="P2517" s="265"/>
      <c r="Q2517" s="265"/>
      <c r="BR2517" s="265"/>
      <c r="BS2517" s="265"/>
      <c r="BT2517" s="265"/>
      <c r="BU2517" s="265"/>
      <c r="BV2517" s="265"/>
    </row>
    <row r="2518" spans="12:74">
      <c r="L2518" s="265"/>
      <c r="M2518" s="265"/>
      <c r="N2518" s="265"/>
      <c r="O2518" s="265"/>
      <c r="P2518" s="265"/>
      <c r="Q2518" s="265"/>
      <c r="BR2518" s="265"/>
      <c r="BS2518" s="265"/>
      <c r="BT2518" s="265"/>
      <c r="BU2518" s="265"/>
      <c r="BV2518" s="265"/>
    </row>
    <row r="2519" spans="12:74">
      <c r="L2519" s="265"/>
      <c r="M2519" s="265"/>
      <c r="N2519" s="265"/>
      <c r="O2519" s="265"/>
      <c r="P2519" s="265"/>
      <c r="Q2519" s="265"/>
      <c r="BR2519" s="265"/>
      <c r="BS2519" s="265"/>
      <c r="BT2519" s="265"/>
      <c r="BU2519" s="265"/>
      <c r="BV2519" s="265"/>
    </row>
    <row r="2520" spans="12:74">
      <c r="L2520" s="265"/>
      <c r="M2520" s="265"/>
      <c r="N2520" s="265"/>
      <c r="O2520" s="265"/>
      <c r="P2520" s="265"/>
      <c r="Q2520" s="265"/>
      <c r="BR2520" s="265"/>
      <c r="BS2520" s="265"/>
      <c r="BT2520" s="265"/>
      <c r="BU2520" s="265"/>
      <c r="BV2520" s="265"/>
    </row>
    <row r="2521" spans="12:74">
      <c r="L2521" s="265"/>
      <c r="M2521" s="265"/>
      <c r="N2521" s="265"/>
      <c r="O2521" s="265"/>
      <c r="P2521" s="265"/>
      <c r="Q2521" s="265"/>
      <c r="BR2521" s="265"/>
      <c r="BS2521" s="265"/>
      <c r="BT2521" s="265"/>
      <c r="BU2521" s="265"/>
      <c r="BV2521" s="265"/>
    </row>
    <row r="2522" spans="12:74">
      <c r="L2522" s="265"/>
      <c r="M2522" s="265"/>
      <c r="N2522" s="265"/>
      <c r="O2522" s="265"/>
      <c r="P2522" s="265"/>
      <c r="Q2522" s="265"/>
      <c r="BR2522" s="265"/>
      <c r="BS2522" s="265"/>
      <c r="BT2522" s="265"/>
      <c r="BU2522" s="265"/>
      <c r="BV2522" s="265"/>
    </row>
    <row r="2523" spans="12:74">
      <c r="L2523" s="265"/>
      <c r="M2523" s="265"/>
      <c r="N2523" s="265"/>
      <c r="O2523" s="265"/>
      <c r="P2523" s="265"/>
      <c r="Q2523" s="265"/>
      <c r="BR2523" s="265"/>
      <c r="BS2523" s="265"/>
      <c r="BT2523" s="265"/>
      <c r="BU2523" s="265"/>
      <c r="BV2523" s="265"/>
    </row>
    <row r="2524" spans="12:74">
      <c r="L2524" s="265"/>
      <c r="M2524" s="265"/>
      <c r="N2524" s="265"/>
      <c r="O2524" s="265"/>
      <c r="P2524" s="265"/>
      <c r="Q2524" s="265"/>
      <c r="BR2524" s="265"/>
      <c r="BS2524" s="265"/>
      <c r="BT2524" s="265"/>
      <c r="BU2524" s="265"/>
      <c r="BV2524" s="265"/>
    </row>
    <row r="2525" spans="12:74">
      <c r="L2525" s="265"/>
      <c r="M2525" s="265"/>
      <c r="N2525" s="265"/>
      <c r="O2525" s="265"/>
      <c r="P2525" s="265"/>
      <c r="Q2525" s="265"/>
      <c r="BR2525" s="265"/>
      <c r="BS2525" s="265"/>
      <c r="BT2525" s="265"/>
      <c r="BU2525" s="265"/>
      <c r="BV2525" s="265"/>
    </row>
    <row r="2526" spans="12:74">
      <c r="L2526" s="265"/>
      <c r="M2526" s="265"/>
      <c r="N2526" s="265"/>
      <c r="O2526" s="265"/>
      <c r="P2526" s="265"/>
      <c r="Q2526" s="265"/>
      <c r="BR2526" s="265"/>
      <c r="BS2526" s="265"/>
      <c r="BT2526" s="265"/>
      <c r="BU2526" s="265"/>
      <c r="BV2526" s="265"/>
    </row>
    <row r="2527" spans="12:74">
      <c r="L2527" s="265"/>
      <c r="M2527" s="265"/>
      <c r="N2527" s="265"/>
      <c r="O2527" s="265"/>
      <c r="P2527" s="265"/>
      <c r="Q2527" s="265"/>
      <c r="BR2527" s="265"/>
      <c r="BS2527" s="265"/>
      <c r="BT2527" s="265"/>
      <c r="BU2527" s="265"/>
      <c r="BV2527" s="265"/>
    </row>
    <row r="2528" spans="12:74">
      <c r="L2528" s="265"/>
      <c r="M2528" s="265"/>
      <c r="N2528" s="265"/>
      <c r="O2528" s="265"/>
      <c r="P2528" s="265"/>
      <c r="Q2528" s="265"/>
      <c r="BR2528" s="265"/>
      <c r="BS2528" s="265"/>
      <c r="BT2528" s="265"/>
      <c r="BU2528" s="265"/>
      <c r="BV2528" s="265"/>
    </row>
    <row r="2529" spans="12:74">
      <c r="L2529" s="265"/>
      <c r="M2529" s="265"/>
      <c r="N2529" s="265"/>
      <c r="O2529" s="265"/>
      <c r="P2529" s="265"/>
      <c r="Q2529" s="265"/>
      <c r="BR2529" s="265"/>
      <c r="BS2529" s="265"/>
      <c r="BT2529" s="265"/>
      <c r="BU2529" s="265"/>
      <c r="BV2529" s="265"/>
    </row>
    <row r="2530" spans="12:74">
      <c r="L2530" s="265"/>
      <c r="M2530" s="265"/>
      <c r="N2530" s="265"/>
      <c r="O2530" s="265"/>
      <c r="P2530" s="265"/>
      <c r="Q2530" s="265"/>
      <c r="BR2530" s="265"/>
      <c r="BS2530" s="265"/>
      <c r="BT2530" s="265"/>
      <c r="BU2530" s="265"/>
      <c r="BV2530" s="265"/>
    </row>
    <row r="2531" spans="12:74">
      <c r="L2531" s="265"/>
      <c r="M2531" s="265"/>
      <c r="N2531" s="265"/>
      <c r="O2531" s="265"/>
      <c r="P2531" s="265"/>
      <c r="Q2531" s="265"/>
      <c r="BR2531" s="265"/>
      <c r="BS2531" s="265"/>
      <c r="BT2531" s="265"/>
      <c r="BU2531" s="265"/>
      <c r="BV2531" s="265"/>
    </row>
    <row r="2532" spans="12:74">
      <c r="L2532" s="265"/>
      <c r="M2532" s="265"/>
      <c r="N2532" s="265"/>
      <c r="O2532" s="265"/>
      <c r="P2532" s="265"/>
      <c r="Q2532" s="265"/>
      <c r="BR2532" s="265"/>
      <c r="BS2532" s="265"/>
      <c r="BT2532" s="265"/>
      <c r="BU2532" s="265"/>
      <c r="BV2532" s="265"/>
    </row>
    <row r="2533" spans="12:74">
      <c r="L2533" s="265"/>
      <c r="M2533" s="265"/>
      <c r="N2533" s="265"/>
      <c r="O2533" s="265"/>
      <c r="P2533" s="265"/>
      <c r="Q2533" s="265"/>
      <c r="BR2533" s="265"/>
      <c r="BS2533" s="265"/>
      <c r="BT2533" s="265"/>
      <c r="BU2533" s="265"/>
      <c r="BV2533" s="265"/>
    </row>
    <row r="2534" spans="12:74">
      <c r="L2534" s="265"/>
      <c r="M2534" s="265"/>
      <c r="N2534" s="265"/>
      <c r="O2534" s="265"/>
      <c r="P2534" s="265"/>
      <c r="Q2534" s="265"/>
      <c r="BR2534" s="265"/>
      <c r="BS2534" s="265"/>
      <c r="BT2534" s="265"/>
      <c r="BU2534" s="265"/>
      <c r="BV2534" s="265"/>
    </row>
    <row r="2535" spans="12:74">
      <c r="L2535" s="265"/>
      <c r="M2535" s="265"/>
      <c r="N2535" s="265"/>
      <c r="O2535" s="265"/>
      <c r="P2535" s="265"/>
      <c r="Q2535" s="265"/>
      <c r="BR2535" s="265"/>
      <c r="BS2535" s="265"/>
      <c r="BT2535" s="265"/>
      <c r="BU2535" s="265"/>
      <c r="BV2535" s="265"/>
    </row>
    <row r="2536" spans="12:74">
      <c r="L2536" s="265"/>
      <c r="M2536" s="265"/>
      <c r="N2536" s="265"/>
      <c r="O2536" s="265"/>
      <c r="P2536" s="265"/>
      <c r="Q2536" s="265"/>
      <c r="BR2536" s="265"/>
      <c r="BS2536" s="265"/>
      <c r="BT2536" s="265"/>
      <c r="BU2536" s="265"/>
      <c r="BV2536" s="265"/>
    </row>
    <row r="2537" spans="12:74">
      <c r="L2537" s="265"/>
      <c r="M2537" s="265"/>
      <c r="N2537" s="265"/>
      <c r="O2537" s="265"/>
      <c r="P2537" s="265"/>
      <c r="Q2537" s="265"/>
      <c r="BR2537" s="265"/>
      <c r="BS2537" s="265"/>
      <c r="BT2537" s="265"/>
      <c r="BU2537" s="265"/>
      <c r="BV2537" s="265"/>
    </row>
    <row r="2538" spans="12:74">
      <c r="L2538" s="265"/>
      <c r="M2538" s="265"/>
      <c r="N2538" s="265"/>
      <c r="O2538" s="265"/>
      <c r="P2538" s="265"/>
      <c r="Q2538" s="265"/>
      <c r="BR2538" s="265"/>
      <c r="BS2538" s="265"/>
      <c r="BT2538" s="265"/>
      <c r="BU2538" s="265"/>
      <c r="BV2538" s="265"/>
    </row>
    <row r="2539" spans="12:74">
      <c r="L2539" s="265"/>
      <c r="M2539" s="265"/>
      <c r="N2539" s="265"/>
      <c r="O2539" s="265"/>
      <c r="P2539" s="265"/>
      <c r="Q2539" s="265"/>
      <c r="BR2539" s="265"/>
      <c r="BS2539" s="265"/>
      <c r="BT2539" s="265"/>
      <c r="BU2539" s="265"/>
      <c r="BV2539" s="265"/>
    </row>
    <row r="2540" spans="12:74">
      <c r="L2540" s="265"/>
      <c r="M2540" s="265"/>
      <c r="N2540" s="265"/>
      <c r="O2540" s="265"/>
      <c r="P2540" s="265"/>
      <c r="Q2540" s="265"/>
      <c r="BR2540" s="265"/>
      <c r="BS2540" s="265"/>
      <c r="BT2540" s="265"/>
      <c r="BU2540" s="265"/>
      <c r="BV2540" s="265"/>
    </row>
    <row r="2541" spans="12:74">
      <c r="L2541" s="265"/>
      <c r="M2541" s="265"/>
      <c r="N2541" s="265"/>
      <c r="O2541" s="265"/>
      <c r="P2541" s="265"/>
      <c r="Q2541" s="265"/>
      <c r="BR2541" s="265"/>
      <c r="BS2541" s="265"/>
      <c r="BT2541" s="265"/>
      <c r="BU2541" s="265"/>
      <c r="BV2541" s="265"/>
    </row>
    <row r="2542" spans="12:74">
      <c r="L2542" s="265"/>
      <c r="M2542" s="265"/>
      <c r="N2542" s="265"/>
      <c r="O2542" s="265"/>
      <c r="P2542" s="265"/>
      <c r="Q2542" s="265"/>
      <c r="BR2542" s="265"/>
      <c r="BS2542" s="265"/>
      <c r="BT2542" s="265"/>
      <c r="BU2542" s="265"/>
      <c r="BV2542" s="265"/>
    </row>
    <row r="2543" spans="12:74">
      <c r="L2543" s="265"/>
      <c r="M2543" s="265"/>
      <c r="N2543" s="265"/>
      <c r="O2543" s="265"/>
      <c r="P2543" s="265"/>
      <c r="Q2543" s="265"/>
      <c r="BR2543" s="265"/>
      <c r="BS2543" s="265"/>
      <c r="BT2543" s="265"/>
      <c r="BU2543" s="265"/>
      <c r="BV2543" s="265"/>
    </row>
    <row r="2544" spans="12:74">
      <c r="L2544" s="265"/>
      <c r="M2544" s="265"/>
      <c r="N2544" s="265"/>
      <c r="O2544" s="265"/>
      <c r="P2544" s="265"/>
      <c r="Q2544" s="265"/>
      <c r="BR2544" s="265"/>
      <c r="BS2544" s="265"/>
      <c r="BT2544" s="265"/>
      <c r="BU2544" s="265"/>
      <c r="BV2544" s="265"/>
    </row>
    <row r="2545" spans="12:74">
      <c r="L2545" s="265"/>
      <c r="M2545" s="265"/>
      <c r="N2545" s="265"/>
      <c r="O2545" s="265"/>
      <c r="P2545" s="265"/>
      <c r="Q2545" s="265"/>
      <c r="BR2545" s="265"/>
      <c r="BS2545" s="265"/>
      <c r="BT2545" s="265"/>
      <c r="BU2545" s="265"/>
      <c r="BV2545" s="265"/>
    </row>
    <row r="2546" spans="12:74">
      <c r="L2546" s="265"/>
      <c r="M2546" s="265"/>
      <c r="N2546" s="265"/>
      <c r="O2546" s="265"/>
      <c r="P2546" s="265"/>
      <c r="Q2546" s="265"/>
      <c r="BR2546" s="265"/>
      <c r="BS2546" s="265"/>
      <c r="BT2546" s="265"/>
      <c r="BU2546" s="265"/>
      <c r="BV2546" s="265"/>
    </row>
    <row r="2547" spans="12:74">
      <c r="L2547" s="265"/>
      <c r="M2547" s="265"/>
      <c r="N2547" s="265"/>
      <c r="O2547" s="265"/>
      <c r="P2547" s="265"/>
      <c r="Q2547" s="265"/>
      <c r="BR2547" s="265"/>
      <c r="BS2547" s="265"/>
      <c r="BT2547" s="265"/>
      <c r="BU2547" s="265"/>
      <c r="BV2547" s="265"/>
    </row>
    <row r="2548" spans="12:74">
      <c r="L2548" s="265"/>
      <c r="M2548" s="265"/>
      <c r="N2548" s="265"/>
      <c r="O2548" s="265"/>
      <c r="P2548" s="265"/>
      <c r="Q2548" s="265"/>
      <c r="BR2548" s="265"/>
      <c r="BS2548" s="265"/>
      <c r="BT2548" s="265"/>
      <c r="BU2548" s="265"/>
      <c r="BV2548" s="265"/>
    </row>
    <row r="2549" spans="12:74">
      <c r="L2549" s="265"/>
      <c r="M2549" s="265"/>
      <c r="N2549" s="265"/>
      <c r="O2549" s="265"/>
      <c r="P2549" s="265"/>
      <c r="Q2549" s="265"/>
      <c r="BR2549" s="265"/>
      <c r="BS2549" s="265"/>
      <c r="BT2549" s="265"/>
      <c r="BU2549" s="265"/>
      <c r="BV2549" s="265"/>
    </row>
    <row r="2550" spans="12:74">
      <c r="L2550" s="265"/>
      <c r="M2550" s="265"/>
      <c r="N2550" s="265"/>
      <c r="O2550" s="265"/>
      <c r="P2550" s="265"/>
      <c r="Q2550" s="265"/>
      <c r="BR2550" s="265"/>
      <c r="BS2550" s="265"/>
      <c r="BT2550" s="265"/>
      <c r="BU2550" s="265"/>
      <c r="BV2550" s="265"/>
    </row>
    <row r="2551" spans="12:74">
      <c r="L2551" s="265"/>
      <c r="M2551" s="265"/>
      <c r="N2551" s="265"/>
      <c r="O2551" s="265"/>
      <c r="P2551" s="265"/>
      <c r="Q2551" s="265"/>
      <c r="BR2551" s="265"/>
      <c r="BS2551" s="265"/>
      <c r="BT2551" s="265"/>
      <c r="BU2551" s="265"/>
      <c r="BV2551" s="265"/>
    </row>
    <row r="2552" spans="12:74">
      <c r="L2552" s="265"/>
      <c r="M2552" s="265"/>
      <c r="N2552" s="265"/>
      <c r="O2552" s="265"/>
      <c r="P2552" s="265"/>
      <c r="Q2552" s="265"/>
      <c r="BR2552" s="265"/>
      <c r="BS2552" s="265"/>
      <c r="BT2552" s="265"/>
      <c r="BU2552" s="265"/>
      <c r="BV2552" s="265"/>
    </row>
    <row r="2553" spans="12:74">
      <c r="L2553" s="265"/>
      <c r="M2553" s="265"/>
      <c r="N2553" s="265"/>
      <c r="O2553" s="265"/>
      <c r="P2553" s="265"/>
      <c r="Q2553" s="265"/>
      <c r="BR2553" s="265"/>
      <c r="BS2553" s="265"/>
      <c r="BT2553" s="265"/>
      <c r="BU2553" s="265"/>
      <c r="BV2553" s="265"/>
    </row>
    <row r="2554" spans="12:74">
      <c r="L2554" s="265"/>
      <c r="M2554" s="265"/>
      <c r="N2554" s="265"/>
      <c r="O2554" s="265"/>
      <c r="P2554" s="265"/>
      <c r="Q2554" s="265"/>
      <c r="BR2554" s="265"/>
      <c r="BS2554" s="265"/>
      <c r="BT2554" s="265"/>
      <c r="BU2554" s="265"/>
      <c r="BV2554" s="265"/>
    </row>
    <row r="2555" spans="12:74">
      <c r="L2555" s="265"/>
      <c r="M2555" s="265"/>
      <c r="N2555" s="265"/>
      <c r="O2555" s="265"/>
      <c r="P2555" s="265"/>
      <c r="Q2555" s="265"/>
      <c r="BR2555" s="265"/>
      <c r="BS2555" s="265"/>
      <c r="BT2555" s="265"/>
      <c r="BU2555" s="265"/>
      <c r="BV2555" s="265"/>
    </row>
    <row r="2556" spans="12:74">
      <c r="L2556" s="265"/>
      <c r="M2556" s="265"/>
      <c r="N2556" s="265"/>
      <c r="O2556" s="265"/>
      <c r="P2556" s="265"/>
      <c r="Q2556" s="265"/>
      <c r="BR2556" s="265"/>
      <c r="BS2556" s="265"/>
      <c r="BT2556" s="265"/>
      <c r="BU2556" s="265"/>
      <c r="BV2556" s="265"/>
    </row>
    <row r="2557" spans="12:74">
      <c r="L2557" s="265"/>
      <c r="M2557" s="265"/>
      <c r="N2557" s="265"/>
      <c r="O2557" s="265"/>
      <c r="P2557" s="265"/>
      <c r="Q2557" s="265"/>
      <c r="BR2557" s="265"/>
      <c r="BS2557" s="265"/>
      <c r="BT2557" s="265"/>
      <c r="BU2557" s="265"/>
      <c r="BV2557" s="265"/>
    </row>
    <row r="2558" spans="12:74">
      <c r="L2558" s="265"/>
      <c r="M2558" s="265"/>
      <c r="N2558" s="265"/>
      <c r="O2558" s="265"/>
      <c r="P2558" s="265"/>
      <c r="Q2558" s="265"/>
      <c r="BR2558" s="265"/>
      <c r="BS2558" s="265"/>
      <c r="BT2558" s="265"/>
      <c r="BU2558" s="265"/>
      <c r="BV2558" s="265"/>
    </row>
    <row r="2559" spans="12:74">
      <c r="L2559" s="265"/>
      <c r="M2559" s="265"/>
      <c r="N2559" s="265"/>
      <c r="O2559" s="265"/>
      <c r="P2559" s="265"/>
      <c r="Q2559" s="265"/>
      <c r="BR2559" s="265"/>
      <c r="BS2559" s="265"/>
      <c r="BT2559" s="265"/>
      <c r="BU2559" s="265"/>
      <c r="BV2559" s="265"/>
    </row>
    <row r="2560" spans="12:74">
      <c r="L2560" s="265"/>
      <c r="M2560" s="265"/>
      <c r="N2560" s="265"/>
      <c r="O2560" s="265"/>
      <c r="P2560" s="265"/>
      <c r="Q2560" s="265"/>
      <c r="BR2560" s="265"/>
      <c r="BS2560" s="265"/>
      <c r="BT2560" s="265"/>
      <c r="BU2560" s="265"/>
      <c r="BV2560" s="265"/>
    </row>
    <row r="2561" spans="12:74">
      <c r="L2561" s="265"/>
      <c r="M2561" s="265"/>
      <c r="N2561" s="265"/>
      <c r="O2561" s="265"/>
      <c r="P2561" s="265"/>
      <c r="Q2561" s="265"/>
      <c r="BR2561" s="265"/>
      <c r="BS2561" s="265"/>
      <c r="BT2561" s="265"/>
      <c r="BU2561" s="265"/>
      <c r="BV2561" s="265"/>
    </row>
    <row r="2562" spans="12:74">
      <c r="L2562" s="265"/>
      <c r="M2562" s="265"/>
      <c r="N2562" s="265"/>
      <c r="O2562" s="265"/>
      <c r="P2562" s="265"/>
      <c r="Q2562" s="265"/>
      <c r="BR2562" s="265"/>
      <c r="BS2562" s="265"/>
      <c r="BT2562" s="265"/>
      <c r="BU2562" s="265"/>
      <c r="BV2562" s="265"/>
    </row>
    <row r="2563" spans="12:74">
      <c r="L2563" s="265"/>
      <c r="M2563" s="265"/>
      <c r="N2563" s="265"/>
      <c r="O2563" s="265"/>
      <c r="P2563" s="265"/>
      <c r="Q2563" s="265"/>
      <c r="BR2563" s="265"/>
      <c r="BS2563" s="265"/>
      <c r="BT2563" s="265"/>
      <c r="BU2563" s="265"/>
      <c r="BV2563" s="265"/>
    </row>
    <row r="2564" spans="12:74">
      <c r="L2564" s="265"/>
      <c r="M2564" s="265"/>
      <c r="N2564" s="265"/>
      <c r="O2564" s="265"/>
      <c r="P2564" s="265"/>
      <c r="Q2564" s="265"/>
      <c r="BR2564" s="265"/>
      <c r="BS2564" s="265"/>
      <c r="BT2564" s="265"/>
      <c r="BU2564" s="265"/>
      <c r="BV2564" s="265"/>
    </row>
    <row r="2565" spans="12:74">
      <c r="L2565" s="265"/>
      <c r="M2565" s="265"/>
      <c r="N2565" s="265"/>
      <c r="O2565" s="265"/>
      <c r="P2565" s="265"/>
      <c r="Q2565" s="265"/>
      <c r="BR2565" s="265"/>
      <c r="BS2565" s="265"/>
      <c r="BT2565" s="265"/>
      <c r="BU2565" s="265"/>
      <c r="BV2565" s="265"/>
    </row>
    <row r="2566" spans="12:74">
      <c r="L2566" s="265"/>
      <c r="M2566" s="265"/>
      <c r="N2566" s="265"/>
      <c r="O2566" s="265"/>
      <c r="P2566" s="265"/>
      <c r="Q2566" s="265"/>
      <c r="BR2566" s="265"/>
      <c r="BS2566" s="265"/>
      <c r="BT2566" s="265"/>
      <c r="BU2566" s="265"/>
      <c r="BV2566" s="265"/>
    </row>
    <row r="2567" spans="12:74">
      <c r="L2567" s="265"/>
      <c r="M2567" s="265"/>
      <c r="N2567" s="265"/>
      <c r="O2567" s="265"/>
      <c r="P2567" s="265"/>
      <c r="Q2567" s="265"/>
      <c r="BR2567" s="265"/>
      <c r="BS2567" s="265"/>
      <c r="BT2567" s="265"/>
      <c r="BU2567" s="265"/>
      <c r="BV2567" s="265"/>
    </row>
    <row r="2568" spans="12:74">
      <c r="L2568" s="265"/>
      <c r="M2568" s="265"/>
      <c r="N2568" s="265"/>
      <c r="O2568" s="265"/>
      <c r="P2568" s="265"/>
      <c r="Q2568" s="265"/>
      <c r="BR2568" s="265"/>
      <c r="BS2568" s="265"/>
      <c r="BT2568" s="265"/>
      <c r="BU2568" s="265"/>
      <c r="BV2568" s="265"/>
    </row>
    <row r="2569" spans="12:74">
      <c r="L2569" s="265"/>
      <c r="M2569" s="265"/>
      <c r="N2569" s="265"/>
      <c r="O2569" s="265"/>
      <c r="P2569" s="265"/>
      <c r="Q2569" s="265"/>
      <c r="BR2569" s="265"/>
      <c r="BS2569" s="265"/>
      <c r="BT2569" s="265"/>
      <c r="BU2569" s="265"/>
      <c r="BV2569" s="265"/>
    </row>
    <row r="2570" spans="12:74">
      <c r="L2570" s="265"/>
      <c r="M2570" s="265"/>
      <c r="N2570" s="265"/>
      <c r="O2570" s="265"/>
      <c r="P2570" s="265"/>
      <c r="Q2570" s="265"/>
      <c r="BR2570" s="265"/>
      <c r="BS2570" s="265"/>
      <c r="BT2570" s="265"/>
      <c r="BU2570" s="265"/>
      <c r="BV2570" s="265"/>
    </row>
    <row r="2571" spans="12:74">
      <c r="L2571" s="265"/>
      <c r="M2571" s="265"/>
      <c r="N2571" s="265"/>
      <c r="O2571" s="265"/>
      <c r="P2571" s="265"/>
      <c r="Q2571" s="265"/>
      <c r="BR2571" s="265"/>
      <c r="BS2571" s="265"/>
      <c r="BT2571" s="265"/>
      <c r="BU2571" s="265"/>
      <c r="BV2571" s="265"/>
    </row>
    <row r="2572" spans="12:74">
      <c r="L2572" s="265"/>
      <c r="M2572" s="265"/>
      <c r="N2572" s="265"/>
      <c r="O2572" s="265"/>
      <c r="P2572" s="265"/>
      <c r="Q2572" s="265"/>
      <c r="BR2572" s="265"/>
      <c r="BS2572" s="265"/>
      <c r="BT2572" s="265"/>
      <c r="BU2572" s="265"/>
      <c r="BV2572" s="265"/>
    </row>
    <row r="2573" spans="12:74">
      <c r="L2573" s="265"/>
      <c r="M2573" s="265"/>
      <c r="N2573" s="265"/>
      <c r="O2573" s="265"/>
      <c r="P2573" s="265"/>
      <c r="Q2573" s="265"/>
      <c r="BR2573" s="265"/>
      <c r="BS2573" s="265"/>
      <c r="BT2573" s="265"/>
      <c r="BU2573" s="265"/>
      <c r="BV2573" s="265"/>
    </row>
    <row r="2574" spans="12:74">
      <c r="L2574" s="265"/>
      <c r="M2574" s="265"/>
      <c r="N2574" s="265"/>
      <c r="O2574" s="265"/>
      <c r="P2574" s="265"/>
      <c r="Q2574" s="265"/>
      <c r="BR2574" s="265"/>
      <c r="BS2574" s="265"/>
      <c r="BT2574" s="265"/>
      <c r="BU2574" s="265"/>
      <c r="BV2574" s="265"/>
    </row>
    <row r="2575" spans="12:74">
      <c r="L2575" s="265"/>
      <c r="M2575" s="265"/>
      <c r="N2575" s="265"/>
      <c r="O2575" s="265"/>
      <c r="P2575" s="265"/>
      <c r="Q2575" s="265"/>
      <c r="BR2575" s="265"/>
      <c r="BS2575" s="265"/>
      <c r="BT2575" s="265"/>
      <c r="BU2575" s="265"/>
      <c r="BV2575" s="265"/>
    </row>
    <row r="2576" spans="12:74">
      <c r="L2576" s="265"/>
      <c r="M2576" s="265"/>
      <c r="N2576" s="265"/>
      <c r="O2576" s="265"/>
      <c r="P2576" s="265"/>
      <c r="Q2576" s="265"/>
      <c r="BR2576" s="265"/>
      <c r="BS2576" s="265"/>
      <c r="BT2576" s="265"/>
      <c r="BU2576" s="265"/>
      <c r="BV2576" s="265"/>
    </row>
    <row r="2577" spans="12:74">
      <c r="L2577" s="265"/>
      <c r="M2577" s="265"/>
      <c r="N2577" s="265"/>
      <c r="O2577" s="265"/>
      <c r="P2577" s="265"/>
      <c r="Q2577" s="265"/>
      <c r="BR2577" s="265"/>
      <c r="BS2577" s="265"/>
      <c r="BT2577" s="265"/>
      <c r="BU2577" s="265"/>
      <c r="BV2577" s="265"/>
    </row>
    <row r="2578" spans="12:74">
      <c r="L2578" s="265"/>
      <c r="M2578" s="265"/>
      <c r="N2578" s="265"/>
      <c r="O2578" s="265"/>
      <c r="P2578" s="265"/>
      <c r="Q2578" s="265"/>
      <c r="BR2578" s="265"/>
      <c r="BS2578" s="265"/>
      <c r="BT2578" s="265"/>
      <c r="BU2578" s="265"/>
      <c r="BV2578" s="265"/>
    </row>
    <row r="2579" spans="12:74">
      <c r="L2579" s="265"/>
      <c r="M2579" s="265"/>
      <c r="N2579" s="265"/>
      <c r="O2579" s="265"/>
      <c r="P2579" s="265"/>
      <c r="Q2579" s="265"/>
      <c r="BR2579" s="265"/>
      <c r="BS2579" s="265"/>
      <c r="BT2579" s="265"/>
      <c r="BU2579" s="265"/>
      <c r="BV2579" s="265"/>
    </row>
    <row r="2580" spans="12:74">
      <c r="L2580" s="265"/>
      <c r="M2580" s="265"/>
      <c r="N2580" s="265"/>
      <c r="O2580" s="265"/>
      <c r="P2580" s="265"/>
      <c r="Q2580" s="265"/>
      <c r="BR2580" s="265"/>
      <c r="BS2580" s="265"/>
      <c r="BT2580" s="265"/>
      <c r="BU2580" s="265"/>
      <c r="BV2580" s="265"/>
    </row>
    <row r="2581" spans="12:74">
      <c r="L2581" s="265"/>
      <c r="M2581" s="265"/>
      <c r="N2581" s="265"/>
      <c r="O2581" s="265"/>
      <c r="P2581" s="265"/>
      <c r="Q2581" s="265"/>
      <c r="BR2581" s="265"/>
      <c r="BS2581" s="265"/>
      <c r="BT2581" s="265"/>
      <c r="BU2581" s="265"/>
      <c r="BV2581" s="265"/>
    </row>
    <row r="2582" spans="12:74">
      <c r="L2582" s="265"/>
      <c r="M2582" s="265"/>
      <c r="N2582" s="265"/>
      <c r="O2582" s="265"/>
      <c r="P2582" s="265"/>
      <c r="Q2582" s="265"/>
      <c r="BR2582" s="265"/>
      <c r="BS2582" s="265"/>
      <c r="BT2582" s="265"/>
      <c r="BU2582" s="265"/>
      <c r="BV2582" s="265"/>
    </row>
    <row r="2583" spans="12:74">
      <c r="L2583" s="265"/>
      <c r="M2583" s="265"/>
      <c r="N2583" s="265"/>
      <c r="O2583" s="265"/>
      <c r="P2583" s="265"/>
      <c r="Q2583" s="265"/>
      <c r="BR2583" s="265"/>
      <c r="BS2583" s="265"/>
      <c r="BT2583" s="265"/>
      <c r="BU2583" s="265"/>
      <c r="BV2583" s="265"/>
    </row>
    <row r="2584" spans="12:74">
      <c r="L2584" s="265"/>
      <c r="M2584" s="265"/>
      <c r="N2584" s="265"/>
      <c r="O2584" s="265"/>
      <c r="P2584" s="265"/>
      <c r="Q2584" s="265"/>
      <c r="BR2584" s="265"/>
      <c r="BS2584" s="265"/>
      <c r="BT2584" s="265"/>
      <c r="BU2584" s="265"/>
      <c r="BV2584" s="265"/>
    </row>
    <row r="2585" spans="12:74">
      <c r="L2585" s="265"/>
      <c r="M2585" s="265"/>
      <c r="N2585" s="265"/>
      <c r="O2585" s="265"/>
      <c r="P2585" s="265"/>
      <c r="Q2585" s="265"/>
      <c r="BR2585" s="265"/>
      <c r="BS2585" s="265"/>
      <c r="BT2585" s="265"/>
      <c r="BU2585" s="265"/>
      <c r="BV2585" s="265"/>
    </row>
    <row r="2586" spans="12:74">
      <c r="L2586" s="265"/>
      <c r="M2586" s="265"/>
      <c r="N2586" s="265"/>
      <c r="O2586" s="265"/>
      <c r="P2586" s="265"/>
      <c r="Q2586" s="265"/>
      <c r="BR2586" s="265"/>
      <c r="BS2586" s="265"/>
      <c r="BT2586" s="265"/>
      <c r="BU2586" s="265"/>
      <c r="BV2586" s="265"/>
    </row>
    <row r="2587" spans="12:74">
      <c r="L2587" s="265"/>
      <c r="M2587" s="265"/>
      <c r="N2587" s="265"/>
      <c r="O2587" s="265"/>
      <c r="P2587" s="265"/>
      <c r="Q2587" s="265"/>
      <c r="BR2587" s="265"/>
      <c r="BS2587" s="265"/>
      <c r="BT2587" s="265"/>
      <c r="BU2587" s="265"/>
      <c r="BV2587" s="265"/>
    </row>
    <row r="2588" spans="12:74">
      <c r="L2588" s="265"/>
      <c r="M2588" s="265"/>
      <c r="N2588" s="265"/>
      <c r="O2588" s="265"/>
      <c r="P2588" s="265"/>
      <c r="Q2588" s="265"/>
      <c r="BR2588" s="265"/>
      <c r="BS2588" s="265"/>
      <c r="BT2588" s="265"/>
      <c r="BU2588" s="265"/>
      <c r="BV2588" s="265"/>
    </row>
    <row r="2589" spans="12:74">
      <c r="L2589" s="265"/>
      <c r="M2589" s="265"/>
      <c r="N2589" s="265"/>
      <c r="O2589" s="265"/>
      <c r="P2589" s="265"/>
      <c r="Q2589" s="265"/>
      <c r="BR2589" s="265"/>
      <c r="BS2589" s="265"/>
      <c r="BT2589" s="265"/>
      <c r="BU2589" s="265"/>
      <c r="BV2589" s="265"/>
    </row>
    <row r="2590" spans="12:74">
      <c r="L2590" s="265"/>
      <c r="M2590" s="265"/>
      <c r="N2590" s="265"/>
      <c r="O2590" s="265"/>
      <c r="P2590" s="265"/>
      <c r="Q2590" s="265"/>
      <c r="BR2590" s="265"/>
      <c r="BS2590" s="265"/>
      <c r="BT2590" s="265"/>
      <c r="BU2590" s="265"/>
      <c r="BV2590" s="265"/>
    </row>
    <row r="2591" spans="12:74">
      <c r="L2591" s="265"/>
      <c r="M2591" s="265"/>
      <c r="N2591" s="265"/>
      <c r="O2591" s="265"/>
      <c r="P2591" s="265"/>
      <c r="Q2591" s="265"/>
      <c r="BR2591" s="265"/>
      <c r="BS2591" s="265"/>
      <c r="BT2591" s="265"/>
      <c r="BU2591" s="265"/>
      <c r="BV2591" s="265"/>
    </row>
    <row r="2592" spans="12:74">
      <c r="L2592" s="265"/>
      <c r="M2592" s="265"/>
      <c r="N2592" s="265"/>
      <c r="O2592" s="265"/>
      <c r="P2592" s="265"/>
      <c r="Q2592" s="265"/>
      <c r="BR2592" s="265"/>
      <c r="BS2592" s="265"/>
      <c r="BT2592" s="265"/>
      <c r="BU2592" s="265"/>
      <c r="BV2592" s="265"/>
    </row>
    <row r="2593" spans="12:74">
      <c r="L2593" s="265"/>
      <c r="M2593" s="265"/>
      <c r="N2593" s="265"/>
      <c r="O2593" s="265"/>
      <c r="P2593" s="265"/>
      <c r="Q2593" s="265"/>
      <c r="BR2593" s="265"/>
      <c r="BS2593" s="265"/>
      <c r="BT2593" s="265"/>
      <c r="BU2593" s="265"/>
      <c r="BV2593" s="265"/>
    </row>
    <row r="2594" spans="12:74">
      <c r="L2594" s="265"/>
      <c r="M2594" s="265"/>
      <c r="N2594" s="265"/>
      <c r="O2594" s="265"/>
      <c r="P2594" s="265"/>
      <c r="Q2594" s="265"/>
      <c r="BR2594" s="265"/>
      <c r="BS2594" s="265"/>
      <c r="BT2594" s="265"/>
      <c r="BU2594" s="265"/>
      <c r="BV2594" s="265"/>
    </row>
    <row r="2595" spans="12:74">
      <c r="L2595" s="265"/>
      <c r="M2595" s="265"/>
      <c r="N2595" s="265"/>
      <c r="O2595" s="265"/>
      <c r="P2595" s="265"/>
      <c r="Q2595" s="265"/>
      <c r="BR2595" s="265"/>
      <c r="BS2595" s="265"/>
      <c r="BT2595" s="265"/>
      <c r="BU2595" s="265"/>
      <c r="BV2595" s="265"/>
    </row>
    <row r="2596" spans="12:74">
      <c r="L2596" s="265"/>
      <c r="M2596" s="265"/>
      <c r="N2596" s="265"/>
      <c r="O2596" s="265"/>
      <c r="P2596" s="265"/>
      <c r="Q2596" s="265"/>
      <c r="BR2596" s="265"/>
      <c r="BS2596" s="265"/>
      <c r="BT2596" s="265"/>
      <c r="BU2596" s="265"/>
      <c r="BV2596" s="265"/>
    </row>
    <row r="2597" spans="12:74">
      <c r="L2597" s="265"/>
      <c r="M2597" s="265"/>
      <c r="N2597" s="265"/>
      <c r="O2597" s="265"/>
      <c r="P2597" s="265"/>
      <c r="Q2597" s="265"/>
      <c r="BR2597" s="265"/>
      <c r="BS2597" s="265"/>
      <c r="BT2597" s="265"/>
      <c r="BU2597" s="265"/>
      <c r="BV2597" s="265"/>
    </row>
    <row r="2598" spans="12:74">
      <c r="L2598" s="265"/>
      <c r="M2598" s="265"/>
      <c r="N2598" s="265"/>
      <c r="O2598" s="265"/>
      <c r="P2598" s="265"/>
      <c r="Q2598" s="265"/>
      <c r="BR2598" s="265"/>
      <c r="BS2598" s="265"/>
      <c r="BT2598" s="265"/>
      <c r="BU2598" s="265"/>
      <c r="BV2598" s="265"/>
    </row>
    <row r="2599" spans="12:74">
      <c r="L2599" s="265"/>
      <c r="M2599" s="265"/>
      <c r="N2599" s="265"/>
      <c r="O2599" s="265"/>
      <c r="P2599" s="265"/>
      <c r="Q2599" s="265"/>
      <c r="BR2599" s="265"/>
      <c r="BS2599" s="265"/>
      <c r="BT2599" s="265"/>
      <c r="BU2599" s="265"/>
      <c r="BV2599" s="265"/>
    </row>
    <row r="2600" spans="12:74">
      <c r="L2600" s="265"/>
      <c r="M2600" s="265"/>
      <c r="N2600" s="265"/>
      <c r="O2600" s="265"/>
      <c r="P2600" s="265"/>
      <c r="Q2600" s="265"/>
      <c r="BR2600" s="265"/>
      <c r="BS2600" s="265"/>
      <c r="BT2600" s="265"/>
      <c r="BU2600" s="265"/>
      <c r="BV2600" s="265"/>
    </row>
    <row r="2601" spans="12:74">
      <c r="L2601" s="265"/>
      <c r="M2601" s="265"/>
      <c r="N2601" s="265"/>
      <c r="O2601" s="265"/>
      <c r="P2601" s="265"/>
      <c r="Q2601" s="265"/>
      <c r="BR2601" s="265"/>
      <c r="BS2601" s="265"/>
      <c r="BT2601" s="265"/>
      <c r="BU2601" s="265"/>
      <c r="BV2601" s="265"/>
    </row>
    <row r="2602" spans="12:74">
      <c r="L2602" s="265"/>
      <c r="M2602" s="265"/>
      <c r="N2602" s="265"/>
      <c r="O2602" s="265"/>
      <c r="P2602" s="265"/>
      <c r="Q2602" s="265"/>
      <c r="BR2602" s="265"/>
      <c r="BS2602" s="265"/>
      <c r="BT2602" s="265"/>
      <c r="BU2602" s="265"/>
      <c r="BV2602" s="265"/>
    </row>
    <row r="2603" spans="12:74">
      <c r="L2603" s="265"/>
      <c r="M2603" s="265"/>
      <c r="N2603" s="265"/>
      <c r="O2603" s="265"/>
      <c r="P2603" s="265"/>
      <c r="Q2603" s="265"/>
      <c r="BR2603" s="265"/>
      <c r="BS2603" s="265"/>
      <c r="BT2603" s="265"/>
      <c r="BU2603" s="265"/>
      <c r="BV2603" s="265"/>
    </row>
    <row r="2604" spans="12:74">
      <c r="L2604" s="265"/>
      <c r="M2604" s="265"/>
      <c r="N2604" s="265"/>
      <c r="O2604" s="265"/>
      <c r="P2604" s="265"/>
      <c r="Q2604" s="265"/>
      <c r="BR2604" s="265"/>
      <c r="BS2604" s="265"/>
      <c r="BT2604" s="265"/>
      <c r="BU2604" s="265"/>
      <c r="BV2604" s="265"/>
    </row>
    <row r="2605" spans="12:74">
      <c r="L2605" s="265"/>
      <c r="M2605" s="265"/>
      <c r="N2605" s="265"/>
      <c r="O2605" s="265"/>
      <c r="P2605" s="265"/>
      <c r="Q2605" s="265"/>
      <c r="BR2605" s="265"/>
      <c r="BS2605" s="265"/>
      <c r="BT2605" s="265"/>
      <c r="BU2605" s="265"/>
      <c r="BV2605" s="265"/>
    </row>
    <row r="2606" spans="12:74">
      <c r="L2606" s="265"/>
      <c r="M2606" s="265"/>
      <c r="N2606" s="265"/>
      <c r="O2606" s="265"/>
      <c r="P2606" s="265"/>
      <c r="Q2606" s="265"/>
      <c r="BR2606" s="265"/>
      <c r="BS2606" s="265"/>
      <c r="BT2606" s="265"/>
      <c r="BU2606" s="265"/>
      <c r="BV2606" s="265"/>
    </row>
    <row r="2607" spans="12:74">
      <c r="L2607" s="265"/>
      <c r="M2607" s="265"/>
      <c r="N2607" s="265"/>
      <c r="O2607" s="265"/>
      <c r="P2607" s="265"/>
      <c r="Q2607" s="265"/>
      <c r="BR2607" s="265"/>
      <c r="BS2607" s="265"/>
      <c r="BT2607" s="265"/>
      <c r="BU2607" s="265"/>
      <c r="BV2607" s="265"/>
    </row>
    <row r="2608" spans="12:74">
      <c r="L2608" s="265"/>
      <c r="M2608" s="265"/>
      <c r="N2608" s="265"/>
      <c r="O2608" s="265"/>
      <c r="P2608" s="265"/>
      <c r="Q2608" s="265"/>
      <c r="BR2608" s="265"/>
      <c r="BS2608" s="265"/>
      <c r="BT2608" s="265"/>
      <c r="BU2608" s="265"/>
      <c r="BV2608" s="265"/>
    </row>
    <row r="2609" spans="12:74">
      <c r="L2609" s="265"/>
      <c r="M2609" s="265"/>
      <c r="N2609" s="265"/>
      <c r="O2609" s="265"/>
      <c r="P2609" s="265"/>
      <c r="Q2609" s="265"/>
      <c r="BR2609" s="265"/>
      <c r="BS2609" s="265"/>
      <c r="BT2609" s="265"/>
      <c r="BU2609" s="265"/>
      <c r="BV2609" s="265"/>
    </row>
    <row r="2610" spans="12:74">
      <c r="L2610" s="265"/>
      <c r="M2610" s="265"/>
      <c r="N2610" s="265"/>
      <c r="O2610" s="265"/>
      <c r="P2610" s="265"/>
      <c r="Q2610" s="265"/>
      <c r="BR2610" s="265"/>
      <c r="BS2610" s="265"/>
      <c r="BT2610" s="265"/>
      <c r="BU2610" s="265"/>
      <c r="BV2610" s="265"/>
    </row>
    <row r="2611" spans="12:74">
      <c r="L2611" s="265"/>
      <c r="M2611" s="265"/>
      <c r="N2611" s="265"/>
      <c r="O2611" s="265"/>
      <c r="P2611" s="265"/>
      <c r="Q2611" s="265"/>
      <c r="BR2611" s="265"/>
      <c r="BS2611" s="265"/>
      <c r="BT2611" s="265"/>
      <c r="BU2611" s="265"/>
      <c r="BV2611" s="265"/>
    </row>
    <row r="2612" spans="12:74">
      <c r="L2612" s="265"/>
      <c r="M2612" s="265"/>
      <c r="N2612" s="265"/>
      <c r="O2612" s="265"/>
      <c r="P2612" s="265"/>
      <c r="Q2612" s="265"/>
      <c r="BR2612" s="265"/>
      <c r="BS2612" s="265"/>
      <c r="BT2612" s="265"/>
      <c r="BU2612" s="265"/>
      <c r="BV2612" s="265"/>
    </row>
    <row r="2613" spans="12:74">
      <c r="L2613" s="265"/>
      <c r="M2613" s="265"/>
      <c r="N2613" s="265"/>
      <c r="O2613" s="265"/>
      <c r="P2613" s="265"/>
      <c r="Q2613" s="265"/>
      <c r="BR2613" s="265"/>
      <c r="BS2613" s="265"/>
      <c r="BT2613" s="265"/>
      <c r="BU2613" s="265"/>
      <c r="BV2613" s="265"/>
    </row>
    <row r="2614" spans="12:74">
      <c r="L2614" s="265"/>
      <c r="M2614" s="265"/>
      <c r="N2614" s="265"/>
      <c r="O2614" s="265"/>
      <c r="P2614" s="265"/>
      <c r="Q2614" s="265"/>
      <c r="BR2614" s="265"/>
      <c r="BS2614" s="265"/>
      <c r="BT2614" s="265"/>
      <c r="BU2614" s="265"/>
      <c r="BV2614" s="265"/>
    </row>
    <row r="2615" spans="12:74">
      <c r="L2615" s="265"/>
      <c r="M2615" s="265"/>
      <c r="N2615" s="265"/>
      <c r="O2615" s="265"/>
      <c r="P2615" s="265"/>
      <c r="Q2615" s="265"/>
      <c r="BR2615" s="265"/>
      <c r="BS2615" s="265"/>
      <c r="BT2615" s="265"/>
      <c r="BU2615" s="265"/>
      <c r="BV2615" s="265"/>
    </row>
    <row r="2616" spans="12:74">
      <c r="L2616" s="265"/>
      <c r="M2616" s="265"/>
      <c r="N2616" s="265"/>
      <c r="O2616" s="265"/>
      <c r="P2616" s="265"/>
      <c r="Q2616" s="265"/>
      <c r="BR2616" s="265"/>
      <c r="BS2616" s="265"/>
      <c r="BT2616" s="265"/>
      <c r="BU2616" s="265"/>
      <c r="BV2616" s="265"/>
    </row>
    <row r="2617" spans="12:74">
      <c r="L2617" s="265"/>
      <c r="M2617" s="265"/>
      <c r="N2617" s="265"/>
      <c r="O2617" s="265"/>
      <c r="P2617" s="265"/>
      <c r="Q2617" s="265"/>
      <c r="BR2617" s="265"/>
      <c r="BS2617" s="265"/>
      <c r="BT2617" s="265"/>
      <c r="BU2617" s="265"/>
      <c r="BV2617" s="265"/>
    </row>
    <row r="2618" spans="12:74">
      <c r="L2618" s="265"/>
      <c r="M2618" s="265"/>
      <c r="N2618" s="265"/>
      <c r="O2618" s="265"/>
      <c r="P2618" s="265"/>
      <c r="Q2618" s="265"/>
      <c r="BR2618" s="265"/>
      <c r="BS2618" s="265"/>
      <c r="BT2618" s="265"/>
      <c r="BU2618" s="265"/>
      <c r="BV2618" s="265"/>
    </row>
    <row r="2619" spans="12:74">
      <c r="L2619" s="265"/>
      <c r="M2619" s="265"/>
      <c r="N2619" s="265"/>
      <c r="O2619" s="265"/>
      <c r="P2619" s="265"/>
      <c r="Q2619" s="265"/>
      <c r="BR2619" s="265"/>
      <c r="BS2619" s="265"/>
      <c r="BT2619" s="265"/>
      <c r="BU2619" s="265"/>
      <c r="BV2619" s="265"/>
    </row>
    <row r="2620" spans="12:74">
      <c r="L2620" s="265"/>
      <c r="M2620" s="265"/>
      <c r="N2620" s="265"/>
      <c r="O2620" s="265"/>
      <c r="P2620" s="265"/>
      <c r="Q2620" s="265"/>
      <c r="BR2620" s="265"/>
      <c r="BS2620" s="265"/>
      <c r="BT2620" s="265"/>
      <c r="BU2620" s="265"/>
      <c r="BV2620" s="265"/>
    </row>
    <row r="2621" spans="12:74">
      <c r="L2621" s="265"/>
      <c r="M2621" s="265"/>
      <c r="N2621" s="265"/>
      <c r="O2621" s="265"/>
      <c r="P2621" s="265"/>
      <c r="Q2621" s="265"/>
      <c r="BR2621" s="265"/>
      <c r="BS2621" s="265"/>
      <c r="BT2621" s="265"/>
      <c r="BU2621" s="265"/>
      <c r="BV2621" s="265"/>
    </row>
    <row r="2622" spans="12:74">
      <c r="L2622" s="265"/>
      <c r="M2622" s="265"/>
      <c r="N2622" s="265"/>
      <c r="O2622" s="265"/>
      <c r="P2622" s="265"/>
      <c r="Q2622" s="265"/>
      <c r="BR2622" s="265"/>
      <c r="BS2622" s="265"/>
      <c r="BT2622" s="265"/>
      <c r="BU2622" s="265"/>
      <c r="BV2622" s="265"/>
    </row>
    <row r="2623" spans="12:74">
      <c r="L2623" s="265"/>
      <c r="M2623" s="265"/>
      <c r="N2623" s="265"/>
      <c r="O2623" s="265"/>
      <c r="P2623" s="265"/>
      <c r="Q2623" s="265"/>
      <c r="BR2623" s="265"/>
      <c r="BS2623" s="265"/>
      <c r="BT2623" s="265"/>
      <c r="BU2623" s="265"/>
      <c r="BV2623" s="265"/>
    </row>
    <row r="2624" spans="12:74">
      <c r="L2624" s="265"/>
      <c r="M2624" s="265"/>
      <c r="N2624" s="265"/>
      <c r="O2624" s="265"/>
      <c r="P2624" s="265"/>
      <c r="Q2624" s="265"/>
      <c r="BR2624" s="265"/>
      <c r="BS2624" s="265"/>
      <c r="BT2624" s="265"/>
      <c r="BU2624" s="265"/>
      <c r="BV2624" s="265"/>
    </row>
    <row r="2625" spans="12:74">
      <c r="L2625" s="265"/>
      <c r="M2625" s="265"/>
      <c r="N2625" s="265"/>
      <c r="O2625" s="265"/>
      <c r="P2625" s="265"/>
      <c r="Q2625" s="265"/>
      <c r="BR2625" s="265"/>
      <c r="BS2625" s="265"/>
      <c r="BT2625" s="265"/>
      <c r="BU2625" s="265"/>
      <c r="BV2625" s="265"/>
    </row>
    <row r="2626" spans="12:74">
      <c r="L2626" s="265"/>
      <c r="M2626" s="265"/>
      <c r="N2626" s="265"/>
      <c r="O2626" s="265"/>
      <c r="P2626" s="265"/>
      <c r="Q2626" s="265"/>
      <c r="BR2626" s="265"/>
      <c r="BS2626" s="265"/>
      <c r="BT2626" s="265"/>
      <c r="BU2626" s="265"/>
      <c r="BV2626" s="265"/>
    </row>
    <row r="2627" spans="12:74">
      <c r="L2627" s="265"/>
      <c r="M2627" s="265"/>
      <c r="N2627" s="265"/>
      <c r="O2627" s="265"/>
      <c r="P2627" s="265"/>
      <c r="Q2627" s="265"/>
      <c r="BR2627" s="265"/>
      <c r="BS2627" s="265"/>
      <c r="BT2627" s="265"/>
      <c r="BU2627" s="265"/>
      <c r="BV2627" s="265"/>
    </row>
    <row r="2628" spans="12:74">
      <c r="L2628" s="265"/>
      <c r="M2628" s="265"/>
      <c r="N2628" s="265"/>
      <c r="O2628" s="265"/>
      <c r="P2628" s="265"/>
      <c r="Q2628" s="265"/>
      <c r="BR2628" s="265"/>
      <c r="BS2628" s="265"/>
      <c r="BT2628" s="265"/>
      <c r="BU2628" s="265"/>
      <c r="BV2628" s="265"/>
    </row>
    <row r="2629" spans="12:74">
      <c r="L2629" s="265"/>
      <c r="M2629" s="265"/>
      <c r="N2629" s="265"/>
      <c r="O2629" s="265"/>
      <c r="P2629" s="265"/>
      <c r="Q2629" s="265"/>
      <c r="BR2629" s="265"/>
      <c r="BS2629" s="265"/>
      <c r="BT2629" s="265"/>
      <c r="BU2629" s="265"/>
      <c r="BV2629" s="265"/>
    </row>
    <row r="2630" spans="12:74">
      <c r="L2630" s="265"/>
      <c r="M2630" s="265"/>
      <c r="N2630" s="265"/>
      <c r="O2630" s="265"/>
      <c r="P2630" s="265"/>
      <c r="Q2630" s="265"/>
      <c r="BR2630" s="265"/>
      <c r="BS2630" s="265"/>
      <c r="BT2630" s="265"/>
      <c r="BU2630" s="265"/>
      <c r="BV2630" s="265"/>
    </row>
    <row r="2631" spans="12:74">
      <c r="L2631" s="265"/>
      <c r="M2631" s="265"/>
      <c r="N2631" s="265"/>
      <c r="O2631" s="265"/>
      <c r="P2631" s="265"/>
      <c r="Q2631" s="265"/>
      <c r="BR2631" s="265"/>
      <c r="BS2631" s="265"/>
      <c r="BT2631" s="265"/>
      <c r="BU2631" s="265"/>
      <c r="BV2631" s="265"/>
    </row>
    <row r="2632" spans="12:74">
      <c r="L2632" s="265"/>
      <c r="M2632" s="265"/>
      <c r="N2632" s="265"/>
      <c r="O2632" s="265"/>
      <c r="P2632" s="265"/>
      <c r="Q2632" s="265"/>
      <c r="BR2632" s="265"/>
      <c r="BS2632" s="265"/>
      <c r="BT2632" s="265"/>
      <c r="BU2632" s="265"/>
      <c r="BV2632" s="265"/>
    </row>
    <row r="2633" spans="12:74">
      <c r="L2633" s="265"/>
      <c r="M2633" s="265"/>
      <c r="N2633" s="265"/>
      <c r="O2633" s="265"/>
      <c r="P2633" s="265"/>
      <c r="Q2633" s="265"/>
      <c r="BR2633" s="265"/>
      <c r="BS2633" s="265"/>
      <c r="BT2633" s="265"/>
      <c r="BU2633" s="265"/>
      <c r="BV2633" s="265"/>
    </row>
    <row r="2634" spans="12:74">
      <c r="L2634" s="265"/>
      <c r="M2634" s="265"/>
      <c r="N2634" s="265"/>
      <c r="O2634" s="265"/>
      <c r="P2634" s="265"/>
      <c r="Q2634" s="265"/>
      <c r="BR2634" s="265"/>
      <c r="BS2634" s="265"/>
      <c r="BT2634" s="265"/>
      <c r="BU2634" s="265"/>
      <c r="BV2634" s="265"/>
    </row>
    <row r="2635" spans="12:74">
      <c r="L2635" s="265"/>
      <c r="M2635" s="265"/>
      <c r="N2635" s="265"/>
      <c r="O2635" s="265"/>
      <c r="P2635" s="265"/>
      <c r="Q2635" s="265"/>
      <c r="BR2635" s="265"/>
      <c r="BS2635" s="265"/>
      <c r="BT2635" s="265"/>
      <c r="BU2635" s="265"/>
      <c r="BV2635" s="265"/>
    </row>
    <row r="2636" spans="12:74">
      <c r="L2636" s="265"/>
      <c r="M2636" s="265"/>
      <c r="N2636" s="265"/>
      <c r="O2636" s="265"/>
      <c r="P2636" s="265"/>
      <c r="Q2636" s="265"/>
      <c r="BR2636" s="265"/>
      <c r="BS2636" s="265"/>
      <c r="BT2636" s="265"/>
      <c r="BU2636" s="265"/>
      <c r="BV2636" s="265"/>
    </row>
    <row r="2637" spans="12:74">
      <c r="L2637" s="265"/>
      <c r="M2637" s="265"/>
      <c r="N2637" s="265"/>
      <c r="O2637" s="265"/>
      <c r="P2637" s="265"/>
      <c r="Q2637" s="265"/>
      <c r="BR2637" s="265"/>
      <c r="BS2637" s="265"/>
      <c r="BT2637" s="265"/>
      <c r="BU2637" s="265"/>
      <c r="BV2637" s="265"/>
    </row>
    <row r="2638" spans="12:74">
      <c r="L2638" s="265"/>
      <c r="M2638" s="265"/>
      <c r="N2638" s="265"/>
      <c r="O2638" s="265"/>
      <c r="P2638" s="265"/>
      <c r="Q2638" s="265"/>
      <c r="BR2638" s="265"/>
      <c r="BS2638" s="265"/>
      <c r="BT2638" s="265"/>
      <c r="BU2638" s="265"/>
      <c r="BV2638" s="265"/>
    </row>
    <row r="2639" spans="12:74">
      <c r="L2639" s="265"/>
      <c r="M2639" s="265"/>
      <c r="N2639" s="265"/>
      <c r="O2639" s="265"/>
      <c r="P2639" s="265"/>
      <c r="Q2639" s="265"/>
      <c r="BR2639" s="265"/>
      <c r="BS2639" s="265"/>
      <c r="BT2639" s="265"/>
      <c r="BU2639" s="265"/>
      <c r="BV2639" s="265"/>
    </row>
    <row r="2640" spans="12:74">
      <c r="L2640" s="265"/>
      <c r="M2640" s="265"/>
      <c r="N2640" s="265"/>
      <c r="O2640" s="265"/>
      <c r="P2640" s="265"/>
      <c r="Q2640" s="265"/>
      <c r="BR2640" s="265"/>
      <c r="BS2640" s="265"/>
      <c r="BT2640" s="265"/>
      <c r="BU2640" s="265"/>
      <c r="BV2640" s="265"/>
    </row>
    <row r="2641" spans="12:74">
      <c r="L2641" s="265"/>
      <c r="M2641" s="265"/>
      <c r="N2641" s="265"/>
      <c r="O2641" s="265"/>
      <c r="P2641" s="265"/>
      <c r="Q2641" s="265"/>
      <c r="BR2641" s="265"/>
      <c r="BS2641" s="265"/>
      <c r="BT2641" s="265"/>
      <c r="BU2641" s="265"/>
      <c r="BV2641" s="265"/>
    </row>
    <row r="2642" spans="12:74">
      <c r="L2642" s="265"/>
      <c r="M2642" s="265"/>
      <c r="N2642" s="265"/>
      <c r="O2642" s="265"/>
      <c r="P2642" s="265"/>
      <c r="Q2642" s="265"/>
      <c r="BR2642" s="265"/>
      <c r="BS2642" s="265"/>
      <c r="BT2642" s="265"/>
      <c r="BU2642" s="265"/>
      <c r="BV2642" s="265"/>
    </row>
    <row r="2643" spans="12:74">
      <c r="L2643" s="265"/>
      <c r="M2643" s="265"/>
      <c r="N2643" s="265"/>
      <c r="O2643" s="265"/>
      <c r="P2643" s="265"/>
      <c r="Q2643" s="265"/>
      <c r="BR2643" s="265"/>
      <c r="BS2643" s="265"/>
      <c r="BT2643" s="265"/>
      <c r="BU2643" s="265"/>
      <c r="BV2643" s="265"/>
    </row>
    <row r="2644" spans="12:74">
      <c r="L2644" s="265"/>
      <c r="M2644" s="265"/>
      <c r="N2644" s="265"/>
      <c r="O2644" s="265"/>
      <c r="P2644" s="265"/>
      <c r="Q2644" s="265"/>
      <c r="BR2644" s="265"/>
      <c r="BS2644" s="265"/>
      <c r="BT2644" s="265"/>
      <c r="BU2644" s="265"/>
      <c r="BV2644" s="265"/>
    </row>
    <row r="2645" spans="12:74">
      <c r="L2645" s="265"/>
      <c r="M2645" s="265"/>
      <c r="N2645" s="265"/>
      <c r="O2645" s="265"/>
      <c r="P2645" s="265"/>
      <c r="Q2645" s="265"/>
      <c r="BR2645" s="265"/>
      <c r="BS2645" s="265"/>
      <c r="BT2645" s="265"/>
      <c r="BU2645" s="265"/>
      <c r="BV2645" s="265"/>
    </row>
    <row r="2646" spans="12:74">
      <c r="L2646" s="265"/>
      <c r="M2646" s="265"/>
      <c r="N2646" s="265"/>
      <c r="O2646" s="265"/>
      <c r="P2646" s="265"/>
      <c r="Q2646" s="265"/>
      <c r="BR2646" s="265"/>
      <c r="BS2646" s="265"/>
      <c r="BT2646" s="265"/>
      <c r="BU2646" s="265"/>
      <c r="BV2646" s="265"/>
    </row>
    <row r="2647" spans="12:74">
      <c r="L2647" s="265"/>
      <c r="M2647" s="265"/>
      <c r="N2647" s="265"/>
      <c r="O2647" s="265"/>
      <c r="P2647" s="265"/>
      <c r="Q2647" s="265"/>
      <c r="BR2647" s="265"/>
      <c r="BS2647" s="265"/>
      <c r="BT2647" s="265"/>
      <c r="BU2647" s="265"/>
      <c r="BV2647" s="265"/>
    </row>
    <row r="2648" spans="12:74">
      <c r="L2648" s="265"/>
      <c r="M2648" s="265"/>
      <c r="N2648" s="265"/>
      <c r="O2648" s="265"/>
      <c r="P2648" s="265"/>
      <c r="Q2648" s="265"/>
      <c r="BR2648" s="265"/>
      <c r="BS2648" s="265"/>
      <c r="BT2648" s="265"/>
      <c r="BU2648" s="265"/>
      <c r="BV2648" s="265"/>
    </row>
    <row r="2649" spans="12:74">
      <c r="L2649" s="265"/>
      <c r="M2649" s="265"/>
      <c r="N2649" s="265"/>
      <c r="O2649" s="265"/>
      <c r="P2649" s="265"/>
      <c r="Q2649" s="265"/>
      <c r="BR2649" s="265"/>
      <c r="BS2649" s="265"/>
      <c r="BT2649" s="265"/>
      <c r="BU2649" s="265"/>
      <c r="BV2649" s="265"/>
    </row>
    <row r="2650" spans="12:74">
      <c r="L2650" s="265"/>
      <c r="M2650" s="265"/>
      <c r="N2650" s="265"/>
      <c r="O2650" s="265"/>
      <c r="P2650" s="265"/>
      <c r="Q2650" s="265"/>
      <c r="BR2650" s="265"/>
      <c r="BS2650" s="265"/>
      <c r="BT2650" s="265"/>
      <c r="BU2650" s="265"/>
      <c r="BV2650" s="265"/>
    </row>
    <row r="2651" spans="12:74">
      <c r="L2651" s="265"/>
      <c r="M2651" s="265"/>
      <c r="N2651" s="265"/>
      <c r="O2651" s="265"/>
      <c r="P2651" s="265"/>
      <c r="Q2651" s="265"/>
      <c r="BR2651" s="265"/>
      <c r="BS2651" s="265"/>
      <c r="BT2651" s="265"/>
      <c r="BU2651" s="265"/>
      <c r="BV2651" s="265"/>
    </row>
    <row r="2652" spans="12:74">
      <c r="L2652" s="265"/>
      <c r="M2652" s="265"/>
      <c r="N2652" s="265"/>
      <c r="O2652" s="265"/>
      <c r="P2652" s="265"/>
      <c r="Q2652" s="265"/>
      <c r="BR2652" s="265"/>
      <c r="BS2652" s="265"/>
      <c r="BT2652" s="265"/>
      <c r="BU2652" s="265"/>
      <c r="BV2652" s="265"/>
    </row>
    <row r="2653" spans="12:74">
      <c r="L2653" s="265"/>
      <c r="M2653" s="265"/>
      <c r="N2653" s="265"/>
      <c r="O2653" s="265"/>
      <c r="P2653" s="265"/>
      <c r="Q2653" s="265"/>
      <c r="BR2653" s="265"/>
      <c r="BS2653" s="265"/>
      <c r="BT2653" s="265"/>
      <c r="BU2653" s="265"/>
      <c r="BV2653" s="265"/>
    </row>
    <row r="2654" spans="12:74">
      <c r="L2654" s="265"/>
      <c r="M2654" s="265"/>
      <c r="N2654" s="265"/>
      <c r="O2654" s="265"/>
      <c r="P2654" s="265"/>
      <c r="Q2654" s="265"/>
      <c r="BR2654" s="265"/>
      <c r="BS2654" s="265"/>
      <c r="BT2654" s="265"/>
      <c r="BU2654" s="265"/>
      <c r="BV2654" s="265"/>
    </row>
    <row r="2655" spans="12:74">
      <c r="L2655" s="265"/>
      <c r="M2655" s="265"/>
      <c r="N2655" s="265"/>
      <c r="O2655" s="265"/>
      <c r="P2655" s="265"/>
      <c r="Q2655" s="265"/>
      <c r="BR2655" s="265"/>
      <c r="BS2655" s="265"/>
      <c r="BT2655" s="265"/>
      <c r="BU2655" s="265"/>
      <c r="BV2655" s="265"/>
    </row>
    <row r="2656" spans="12:74">
      <c r="L2656" s="265"/>
      <c r="M2656" s="265"/>
      <c r="N2656" s="265"/>
      <c r="O2656" s="265"/>
      <c r="P2656" s="265"/>
      <c r="Q2656" s="265"/>
      <c r="BR2656" s="265"/>
      <c r="BS2656" s="265"/>
      <c r="BT2656" s="265"/>
      <c r="BU2656" s="265"/>
      <c r="BV2656" s="265"/>
    </row>
    <row r="2657" spans="12:74">
      <c r="L2657" s="265"/>
      <c r="M2657" s="265"/>
      <c r="N2657" s="265"/>
      <c r="O2657" s="265"/>
      <c r="P2657" s="265"/>
      <c r="Q2657" s="265"/>
      <c r="BR2657" s="265"/>
      <c r="BS2657" s="265"/>
      <c r="BT2657" s="265"/>
      <c r="BU2657" s="265"/>
      <c r="BV2657" s="265"/>
    </row>
    <row r="2658" spans="12:74">
      <c r="L2658" s="265"/>
      <c r="M2658" s="265"/>
      <c r="N2658" s="265"/>
      <c r="O2658" s="265"/>
      <c r="P2658" s="265"/>
      <c r="Q2658" s="265"/>
      <c r="BR2658" s="265"/>
      <c r="BS2658" s="265"/>
      <c r="BT2658" s="265"/>
      <c r="BU2658" s="265"/>
      <c r="BV2658" s="265"/>
    </row>
    <row r="2659" spans="12:74">
      <c r="L2659" s="265"/>
      <c r="M2659" s="265"/>
      <c r="N2659" s="265"/>
      <c r="O2659" s="265"/>
      <c r="P2659" s="265"/>
      <c r="Q2659" s="265"/>
      <c r="BR2659" s="265"/>
      <c r="BS2659" s="265"/>
      <c r="BT2659" s="265"/>
      <c r="BU2659" s="265"/>
      <c r="BV2659" s="265"/>
    </row>
    <row r="2660" spans="12:74">
      <c r="L2660" s="265"/>
      <c r="M2660" s="265"/>
      <c r="N2660" s="265"/>
      <c r="O2660" s="265"/>
      <c r="P2660" s="265"/>
      <c r="Q2660" s="265"/>
      <c r="BR2660" s="265"/>
      <c r="BS2660" s="265"/>
      <c r="BT2660" s="265"/>
      <c r="BU2660" s="265"/>
      <c r="BV2660" s="265"/>
    </row>
    <row r="2661" spans="12:74">
      <c r="L2661" s="265"/>
      <c r="M2661" s="265"/>
      <c r="N2661" s="265"/>
      <c r="O2661" s="265"/>
      <c r="P2661" s="265"/>
      <c r="Q2661" s="265"/>
      <c r="BR2661" s="265"/>
      <c r="BS2661" s="265"/>
      <c r="BT2661" s="265"/>
      <c r="BU2661" s="265"/>
      <c r="BV2661" s="265"/>
    </row>
    <row r="2662" spans="12:74">
      <c r="L2662" s="265"/>
      <c r="M2662" s="265"/>
      <c r="N2662" s="265"/>
      <c r="O2662" s="265"/>
      <c r="P2662" s="265"/>
      <c r="Q2662" s="265"/>
      <c r="BR2662" s="265"/>
      <c r="BS2662" s="265"/>
      <c r="BT2662" s="265"/>
      <c r="BU2662" s="265"/>
      <c r="BV2662" s="265"/>
    </row>
    <row r="2663" spans="12:74">
      <c r="L2663" s="265"/>
      <c r="M2663" s="265"/>
      <c r="N2663" s="265"/>
      <c r="O2663" s="265"/>
      <c r="P2663" s="265"/>
      <c r="Q2663" s="265"/>
      <c r="BR2663" s="265"/>
      <c r="BS2663" s="265"/>
      <c r="BT2663" s="265"/>
      <c r="BU2663" s="265"/>
      <c r="BV2663" s="265"/>
    </row>
    <row r="2664" spans="12:74">
      <c r="L2664" s="265"/>
      <c r="M2664" s="265"/>
      <c r="N2664" s="265"/>
      <c r="O2664" s="265"/>
      <c r="P2664" s="265"/>
      <c r="Q2664" s="265"/>
      <c r="BR2664" s="265"/>
      <c r="BS2664" s="265"/>
      <c r="BT2664" s="265"/>
      <c r="BU2664" s="265"/>
      <c r="BV2664" s="265"/>
    </row>
    <row r="2665" spans="12:74">
      <c r="L2665" s="265"/>
      <c r="M2665" s="265"/>
      <c r="N2665" s="265"/>
      <c r="O2665" s="265"/>
      <c r="P2665" s="265"/>
      <c r="Q2665" s="265"/>
      <c r="BR2665" s="265"/>
      <c r="BS2665" s="265"/>
      <c r="BT2665" s="265"/>
      <c r="BU2665" s="265"/>
      <c r="BV2665" s="265"/>
    </row>
    <row r="2666" spans="12:74">
      <c r="L2666" s="265"/>
      <c r="M2666" s="265"/>
      <c r="N2666" s="265"/>
      <c r="O2666" s="265"/>
      <c r="P2666" s="265"/>
      <c r="Q2666" s="265"/>
      <c r="BR2666" s="265"/>
      <c r="BS2666" s="265"/>
      <c r="BT2666" s="265"/>
      <c r="BU2666" s="265"/>
      <c r="BV2666" s="265"/>
    </row>
    <row r="2667" spans="12:74">
      <c r="L2667" s="265"/>
      <c r="M2667" s="265"/>
      <c r="N2667" s="265"/>
      <c r="O2667" s="265"/>
      <c r="P2667" s="265"/>
      <c r="Q2667" s="265"/>
      <c r="BR2667" s="265"/>
      <c r="BS2667" s="265"/>
      <c r="BT2667" s="265"/>
      <c r="BU2667" s="265"/>
      <c r="BV2667" s="265"/>
    </row>
    <row r="2668" spans="12:74">
      <c r="L2668" s="265"/>
      <c r="M2668" s="265"/>
      <c r="N2668" s="265"/>
      <c r="O2668" s="265"/>
      <c r="P2668" s="265"/>
      <c r="Q2668" s="265"/>
      <c r="BR2668" s="265"/>
      <c r="BS2668" s="265"/>
      <c r="BT2668" s="265"/>
      <c r="BU2668" s="265"/>
      <c r="BV2668" s="265"/>
    </row>
    <row r="2669" spans="12:74">
      <c r="L2669" s="265"/>
      <c r="M2669" s="265"/>
      <c r="N2669" s="265"/>
      <c r="O2669" s="265"/>
      <c r="P2669" s="265"/>
      <c r="Q2669" s="265"/>
      <c r="BR2669" s="265"/>
      <c r="BS2669" s="265"/>
      <c r="BT2669" s="265"/>
      <c r="BU2669" s="265"/>
      <c r="BV2669" s="265"/>
    </row>
    <row r="2670" spans="12:74">
      <c r="L2670" s="265"/>
      <c r="M2670" s="265"/>
      <c r="N2670" s="265"/>
      <c r="O2670" s="265"/>
      <c r="P2670" s="265"/>
      <c r="Q2670" s="265"/>
      <c r="BR2670" s="265"/>
      <c r="BS2670" s="265"/>
      <c r="BT2670" s="265"/>
      <c r="BU2670" s="265"/>
      <c r="BV2670" s="265"/>
    </row>
    <row r="2671" spans="12:74">
      <c r="L2671" s="265"/>
      <c r="M2671" s="265"/>
      <c r="N2671" s="265"/>
      <c r="O2671" s="265"/>
      <c r="P2671" s="265"/>
      <c r="Q2671" s="265"/>
      <c r="BR2671" s="265"/>
      <c r="BS2671" s="265"/>
      <c r="BT2671" s="265"/>
      <c r="BU2671" s="265"/>
      <c r="BV2671" s="265"/>
    </row>
    <row r="2672" spans="12:74">
      <c r="L2672" s="265"/>
      <c r="M2672" s="265"/>
      <c r="N2672" s="265"/>
      <c r="O2672" s="265"/>
      <c r="P2672" s="265"/>
      <c r="Q2672" s="265"/>
      <c r="BR2672" s="265"/>
      <c r="BS2672" s="265"/>
      <c r="BT2672" s="265"/>
      <c r="BU2672" s="265"/>
      <c r="BV2672" s="265"/>
    </row>
    <row r="2673" spans="12:74">
      <c r="L2673" s="265"/>
      <c r="M2673" s="265"/>
      <c r="N2673" s="265"/>
      <c r="O2673" s="265"/>
      <c r="P2673" s="265"/>
      <c r="Q2673" s="265"/>
      <c r="BR2673" s="265"/>
      <c r="BS2673" s="265"/>
      <c r="BT2673" s="265"/>
      <c r="BU2673" s="265"/>
      <c r="BV2673" s="265"/>
    </row>
    <row r="2674" spans="12:74">
      <c r="L2674" s="265"/>
      <c r="M2674" s="265"/>
      <c r="N2674" s="265"/>
      <c r="O2674" s="265"/>
      <c r="P2674" s="265"/>
      <c r="Q2674" s="265"/>
      <c r="BR2674" s="265"/>
      <c r="BS2674" s="265"/>
      <c r="BT2674" s="265"/>
      <c r="BU2674" s="265"/>
      <c r="BV2674" s="265"/>
    </row>
    <row r="2675" spans="12:74">
      <c r="L2675" s="265"/>
      <c r="M2675" s="265"/>
      <c r="N2675" s="265"/>
      <c r="O2675" s="265"/>
      <c r="P2675" s="265"/>
      <c r="Q2675" s="265"/>
      <c r="BR2675" s="265"/>
      <c r="BS2675" s="265"/>
      <c r="BT2675" s="265"/>
      <c r="BU2675" s="265"/>
      <c r="BV2675" s="265"/>
    </row>
    <row r="2676" spans="12:74">
      <c r="L2676" s="265"/>
      <c r="M2676" s="265"/>
      <c r="N2676" s="265"/>
      <c r="O2676" s="265"/>
      <c r="P2676" s="265"/>
      <c r="Q2676" s="265"/>
      <c r="BR2676" s="265"/>
      <c r="BS2676" s="265"/>
      <c r="BT2676" s="265"/>
      <c r="BU2676" s="265"/>
      <c r="BV2676" s="265"/>
    </row>
    <row r="2677" spans="12:74">
      <c r="L2677" s="265"/>
      <c r="M2677" s="265"/>
      <c r="N2677" s="265"/>
      <c r="O2677" s="265"/>
      <c r="P2677" s="265"/>
      <c r="Q2677" s="265"/>
      <c r="BR2677" s="265"/>
      <c r="BS2677" s="265"/>
      <c r="BT2677" s="265"/>
      <c r="BU2677" s="265"/>
      <c r="BV2677" s="265"/>
    </row>
    <row r="2678" spans="12:74">
      <c r="L2678" s="265"/>
      <c r="M2678" s="265"/>
      <c r="N2678" s="265"/>
      <c r="O2678" s="265"/>
      <c r="P2678" s="265"/>
      <c r="Q2678" s="265"/>
      <c r="BR2678" s="265"/>
      <c r="BS2678" s="265"/>
      <c r="BT2678" s="265"/>
      <c r="BU2678" s="265"/>
      <c r="BV2678" s="265"/>
    </row>
    <row r="2679" spans="12:74">
      <c r="L2679" s="265"/>
      <c r="M2679" s="265"/>
      <c r="N2679" s="265"/>
      <c r="O2679" s="265"/>
      <c r="P2679" s="265"/>
      <c r="Q2679" s="265"/>
      <c r="BR2679" s="265"/>
      <c r="BS2679" s="265"/>
      <c r="BT2679" s="265"/>
      <c r="BU2679" s="265"/>
      <c r="BV2679" s="265"/>
    </row>
    <row r="2680" spans="12:74">
      <c r="L2680" s="265"/>
      <c r="M2680" s="265"/>
      <c r="N2680" s="265"/>
      <c r="O2680" s="265"/>
      <c r="P2680" s="265"/>
      <c r="Q2680" s="265"/>
      <c r="BR2680" s="265"/>
      <c r="BS2680" s="265"/>
      <c r="BT2680" s="265"/>
      <c r="BU2680" s="265"/>
      <c r="BV2680" s="265"/>
    </row>
    <row r="2681" spans="12:74">
      <c r="L2681" s="265"/>
      <c r="M2681" s="265"/>
      <c r="N2681" s="265"/>
      <c r="O2681" s="265"/>
      <c r="P2681" s="265"/>
      <c r="Q2681" s="265"/>
      <c r="BR2681" s="265"/>
      <c r="BS2681" s="265"/>
      <c r="BT2681" s="265"/>
      <c r="BU2681" s="265"/>
      <c r="BV2681" s="265"/>
    </row>
    <row r="2682" spans="12:74">
      <c r="L2682" s="265"/>
      <c r="M2682" s="265"/>
      <c r="N2682" s="265"/>
      <c r="O2682" s="265"/>
      <c r="P2682" s="265"/>
      <c r="Q2682" s="265"/>
      <c r="BR2682" s="265"/>
      <c r="BS2682" s="265"/>
      <c r="BT2682" s="265"/>
      <c r="BU2682" s="265"/>
      <c r="BV2682" s="265"/>
    </row>
    <row r="2683" spans="12:74">
      <c r="L2683" s="265"/>
      <c r="M2683" s="265"/>
      <c r="N2683" s="265"/>
      <c r="O2683" s="265"/>
      <c r="P2683" s="265"/>
      <c r="Q2683" s="265"/>
      <c r="BR2683" s="265"/>
      <c r="BS2683" s="265"/>
      <c r="BT2683" s="265"/>
      <c r="BU2683" s="265"/>
      <c r="BV2683" s="265"/>
    </row>
    <row r="2684" spans="12:74">
      <c r="L2684" s="265"/>
      <c r="M2684" s="265"/>
      <c r="N2684" s="265"/>
      <c r="O2684" s="265"/>
      <c r="P2684" s="265"/>
      <c r="Q2684" s="265"/>
      <c r="BR2684" s="265"/>
      <c r="BS2684" s="265"/>
      <c r="BT2684" s="265"/>
      <c r="BU2684" s="265"/>
      <c r="BV2684" s="265"/>
    </row>
    <row r="2685" spans="12:74">
      <c r="L2685" s="265"/>
      <c r="M2685" s="265"/>
      <c r="N2685" s="265"/>
      <c r="O2685" s="265"/>
      <c r="P2685" s="265"/>
      <c r="Q2685" s="265"/>
      <c r="BR2685" s="265"/>
      <c r="BS2685" s="265"/>
      <c r="BT2685" s="265"/>
      <c r="BU2685" s="265"/>
      <c r="BV2685" s="265"/>
    </row>
    <row r="2686" spans="12:74">
      <c r="L2686" s="265"/>
      <c r="M2686" s="265"/>
      <c r="N2686" s="265"/>
      <c r="O2686" s="265"/>
      <c r="P2686" s="265"/>
      <c r="Q2686" s="265"/>
      <c r="BR2686" s="265"/>
      <c r="BS2686" s="265"/>
      <c r="BT2686" s="265"/>
      <c r="BU2686" s="265"/>
      <c r="BV2686" s="265"/>
    </row>
    <row r="2687" spans="12:74">
      <c r="L2687" s="265"/>
      <c r="M2687" s="265"/>
      <c r="N2687" s="265"/>
      <c r="O2687" s="265"/>
      <c r="P2687" s="265"/>
      <c r="Q2687" s="265"/>
      <c r="BR2687" s="265"/>
      <c r="BS2687" s="265"/>
      <c r="BT2687" s="265"/>
      <c r="BU2687" s="265"/>
      <c r="BV2687" s="265"/>
    </row>
    <row r="2688" spans="12:74">
      <c r="L2688" s="265"/>
      <c r="M2688" s="265"/>
      <c r="N2688" s="265"/>
      <c r="O2688" s="265"/>
      <c r="P2688" s="265"/>
      <c r="Q2688" s="265"/>
      <c r="BR2688" s="265"/>
      <c r="BS2688" s="265"/>
      <c r="BT2688" s="265"/>
      <c r="BU2688" s="265"/>
      <c r="BV2688" s="265"/>
    </row>
    <row r="2689" spans="12:74">
      <c r="L2689" s="265"/>
      <c r="M2689" s="265"/>
      <c r="N2689" s="265"/>
      <c r="O2689" s="265"/>
      <c r="P2689" s="265"/>
      <c r="Q2689" s="265"/>
      <c r="BR2689" s="265"/>
      <c r="BS2689" s="265"/>
      <c r="BT2689" s="265"/>
      <c r="BU2689" s="265"/>
      <c r="BV2689" s="265"/>
    </row>
    <row r="2690" spans="12:74">
      <c r="L2690" s="265"/>
      <c r="M2690" s="265"/>
      <c r="N2690" s="265"/>
      <c r="O2690" s="265"/>
      <c r="P2690" s="265"/>
      <c r="Q2690" s="265"/>
      <c r="BR2690" s="265"/>
      <c r="BS2690" s="265"/>
      <c r="BT2690" s="265"/>
      <c r="BU2690" s="265"/>
      <c r="BV2690" s="265"/>
    </row>
    <row r="2691" spans="12:74">
      <c r="L2691" s="265"/>
      <c r="M2691" s="265"/>
      <c r="N2691" s="265"/>
      <c r="O2691" s="265"/>
      <c r="P2691" s="265"/>
      <c r="Q2691" s="265"/>
      <c r="BR2691" s="265"/>
      <c r="BS2691" s="265"/>
      <c r="BT2691" s="265"/>
      <c r="BU2691" s="265"/>
      <c r="BV2691" s="265"/>
    </row>
    <row r="2692" spans="12:74">
      <c r="L2692" s="265"/>
      <c r="M2692" s="265"/>
      <c r="N2692" s="265"/>
      <c r="O2692" s="265"/>
      <c r="P2692" s="265"/>
      <c r="Q2692" s="265"/>
      <c r="BR2692" s="265"/>
      <c r="BS2692" s="265"/>
      <c r="BT2692" s="265"/>
      <c r="BU2692" s="265"/>
      <c r="BV2692" s="265"/>
    </row>
    <row r="2693" spans="12:74">
      <c r="L2693" s="265"/>
      <c r="M2693" s="265"/>
      <c r="N2693" s="265"/>
      <c r="O2693" s="265"/>
      <c r="P2693" s="265"/>
      <c r="Q2693" s="265"/>
      <c r="BR2693" s="265"/>
      <c r="BS2693" s="265"/>
      <c r="BT2693" s="265"/>
      <c r="BU2693" s="265"/>
      <c r="BV2693" s="265"/>
    </row>
    <row r="2694" spans="12:74">
      <c r="L2694" s="265"/>
      <c r="M2694" s="265"/>
      <c r="N2694" s="265"/>
      <c r="O2694" s="265"/>
      <c r="P2694" s="265"/>
      <c r="Q2694" s="265"/>
      <c r="BR2694" s="265"/>
      <c r="BS2694" s="265"/>
      <c r="BT2694" s="265"/>
      <c r="BU2694" s="265"/>
      <c r="BV2694" s="265"/>
    </row>
    <row r="2695" spans="12:74">
      <c r="L2695" s="265"/>
      <c r="M2695" s="265"/>
      <c r="N2695" s="265"/>
      <c r="O2695" s="265"/>
      <c r="P2695" s="265"/>
      <c r="Q2695" s="265"/>
      <c r="BR2695" s="265"/>
      <c r="BS2695" s="265"/>
      <c r="BT2695" s="265"/>
      <c r="BU2695" s="265"/>
      <c r="BV2695" s="265"/>
    </row>
    <row r="2696" spans="12:74">
      <c r="L2696" s="265"/>
      <c r="M2696" s="265"/>
      <c r="N2696" s="265"/>
      <c r="O2696" s="265"/>
      <c r="P2696" s="265"/>
      <c r="Q2696" s="265"/>
      <c r="BR2696" s="265"/>
      <c r="BS2696" s="265"/>
      <c r="BT2696" s="265"/>
      <c r="BU2696" s="265"/>
      <c r="BV2696" s="265"/>
    </row>
    <row r="2697" spans="12:74">
      <c r="L2697" s="265"/>
      <c r="M2697" s="265"/>
      <c r="N2697" s="265"/>
      <c r="O2697" s="265"/>
      <c r="P2697" s="265"/>
      <c r="Q2697" s="265"/>
      <c r="BR2697" s="265"/>
      <c r="BS2697" s="265"/>
      <c r="BT2697" s="265"/>
      <c r="BU2697" s="265"/>
      <c r="BV2697" s="265"/>
    </row>
    <row r="2698" spans="12:74">
      <c r="L2698" s="265"/>
      <c r="M2698" s="265"/>
      <c r="N2698" s="265"/>
      <c r="O2698" s="265"/>
      <c r="P2698" s="265"/>
      <c r="Q2698" s="265"/>
      <c r="BR2698" s="265"/>
      <c r="BS2698" s="265"/>
      <c r="BT2698" s="265"/>
      <c r="BU2698" s="265"/>
      <c r="BV2698" s="265"/>
    </row>
    <row r="2699" spans="12:74">
      <c r="L2699" s="265"/>
      <c r="M2699" s="265"/>
      <c r="N2699" s="265"/>
      <c r="O2699" s="265"/>
      <c r="P2699" s="265"/>
      <c r="Q2699" s="265"/>
      <c r="BR2699" s="265"/>
      <c r="BS2699" s="265"/>
      <c r="BT2699" s="265"/>
      <c r="BU2699" s="265"/>
      <c r="BV2699" s="265"/>
    </row>
    <row r="2700" spans="12:74">
      <c r="L2700" s="265"/>
      <c r="M2700" s="265"/>
      <c r="N2700" s="265"/>
      <c r="O2700" s="265"/>
      <c r="P2700" s="265"/>
      <c r="Q2700" s="265"/>
      <c r="BR2700" s="265"/>
      <c r="BS2700" s="265"/>
      <c r="BT2700" s="265"/>
      <c r="BU2700" s="265"/>
      <c r="BV2700" s="265"/>
    </row>
    <row r="2701" spans="12:74">
      <c r="L2701" s="265"/>
      <c r="M2701" s="265"/>
      <c r="N2701" s="265"/>
      <c r="O2701" s="265"/>
      <c r="P2701" s="265"/>
      <c r="Q2701" s="265"/>
      <c r="BR2701" s="265"/>
      <c r="BS2701" s="265"/>
      <c r="BT2701" s="265"/>
      <c r="BU2701" s="265"/>
      <c r="BV2701" s="265"/>
    </row>
    <row r="2702" spans="12:74">
      <c r="L2702" s="265"/>
      <c r="M2702" s="265"/>
      <c r="N2702" s="265"/>
      <c r="O2702" s="265"/>
      <c r="P2702" s="265"/>
      <c r="Q2702" s="265"/>
      <c r="BR2702" s="265"/>
      <c r="BS2702" s="265"/>
      <c r="BT2702" s="265"/>
      <c r="BU2702" s="265"/>
      <c r="BV2702" s="265"/>
    </row>
    <row r="2703" spans="12:74">
      <c r="L2703" s="265"/>
      <c r="M2703" s="265"/>
      <c r="N2703" s="265"/>
      <c r="O2703" s="265"/>
      <c r="P2703" s="265"/>
      <c r="Q2703" s="265"/>
      <c r="BR2703" s="265"/>
      <c r="BS2703" s="265"/>
      <c r="BT2703" s="265"/>
      <c r="BU2703" s="265"/>
      <c r="BV2703" s="265"/>
    </row>
    <row r="2704" spans="12:74">
      <c r="L2704" s="265"/>
      <c r="M2704" s="265"/>
      <c r="N2704" s="265"/>
      <c r="O2704" s="265"/>
      <c r="P2704" s="265"/>
      <c r="Q2704" s="265"/>
      <c r="BR2704" s="265"/>
      <c r="BS2704" s="265"/>
      <c r="BT2704" s="265"/>
      <c r="BU2704" s="265"/>
      <c r="BV2704" s="265"/>
    </row>
    <row r="2705" spans="12:74">
      <c r="L2705" s="265"/>
      <c r="M2705" s="265"/>
      <c r="N2705" s="265"/>
      <c r="O2705" s="265"/>
      <c r="P2705" s="265"/>
      <c r="Q2705" s="265"/>
      <c r="BR2705" s="265"/>
      <c r="BS2705" s="265"/>
      <c r="BT2705" s="265"/>
      <c r="BU2705" s="265"/>
      <c r="BV2705" s="265"/>
    </row>
    <row r="2706" spans="12:74">
      <c r="L2706" s="265"/>
      <c r="M2706" s="265"/>
      <c r="N2706" s="265"/>
      <c r="O2706" s="265"/>
      <c r="P2706" s="265"/>
      <c r="Q2706" s="265"/>
      <c r="BR2706" s="265"/>
      <c r="BS2706" s="265"/>
      <c r="BT2706" s="265"/>
      <c r="BU2706" s="265"/>
      <c r="BV2706" s="265"/>
    </row>
    <row r="2707" spans="12:74">
      <c r="L2707" s="265"/>
      <c r="M2707" s="265"/>
      <c r="N2707" s="265"/>
      <c r="O2707" s="265"/>
      <c r="P2707" s="265"/>
      <c r="Q2707" s="265"/>
      <c r="BR2707" s="265"/>
      <c r="BS2707" s="265"/>
      <c r="BT2707" s="265"/>
      <c r="BU2707" s="265"/>
      <c r="BV2707" s="265"/>
    </row>
    <row r="2708" spans="12:74">
      <c r="L2708" s="265"/>
      <c r="M2708" s="265"/>
      <c r="N2708" s="265"/>
      <c r="O2708" s="265"/>
      <c r="P2708" s="265"/>
      <c r="Q2708" s="265"/>
      <c r="BR2708" s="265"/>
      <c r="BS2708" s="265"/>
      <c r="BT2708" s="265"/>
      <c r="BU2708" s="265"/>
      <c r="BV2708" s="265"/>
    </row>
    <row r="2709" spans="12:74">
      <c r="L2709" s="265"/>
      <c r="M2709" s="265"/>
      <c r="N2709" s="265"/>
      <c r="O2709" s="265"/>
      <c r="P2709" s="265"/>
      <c r="Q2709" s="265"/>
      <c r="BR2709" s="265"/>
      <c r="BS2709" s="265"/>
      <c r="BT2709" s="265"/>
      <c r="BU2709" s="265"/>
      <c r="BV2709" s="265"/>
    </row>
    <row r="2710" spans="12:74">
      <c r="L2710" s="265"/>
      <c r="M2710" s="265"/>
      <c r="N2710" s="265"/>
      <c r="O2710" s="265"/>
      <c r="P2710" s="265"/>
      <c r="Q2710" s="265"/>
      <c r="BR2710" s="265"/>
      <c r="BS2710" s="265"/>
      <c r="BT2710" s="265"/>
      <c r="BU2710" s="265"/>
      <c r="BV2710" s="265"/>
    </row>
    <row r="2711" spans="12:74">
      <c r="L2711" s="265"/>
      <c r="M2711" s="265"/>
      <c r="N2711" s="265"/>
      <c r="O2711" s="265"/>
      <c r="P2711" s="265"/>
      <c r="Q2711" s="265"/>
      <c r="BR2711" s="265"/>
      <c r="BS2711" s="265"/>
      <c r="BT2711" s="265"/>
      <c r="BU2711" s="265"/>
      <c r="BV2711" s="265"/>
    </row>
    <row r="2712" spans="12:74">
      <c r="L2712" s="265"/>
      <c r="M2712" s="265"/>
      <c r="N2712" s="265"/>
      <c r="O2712" s="265"/>
      <c r="P2712" s="265"/>
      <c r="Q2712" s="265"/>
      <c r="BR2712" s="265"/>
      <c r="BS2712" s="265"/>
      <c r="BT2712" s="265"/>
      <c r="BU2712" s="265"/>
      <c r="BV2712" s="265"/>
    </row>
    <row r="2713" spans="12:74">
      <c r="L2713" s="265"/>
      <c r="M2713" s="265"/>
      <c r="N2713" s="265"/>
      <c r="O2713" s="265"/>
      <c r="P2713" s="265"/>
      <c r="Q2713" s="265"/>
      <c r="BR2713" s="265"/>
      <c r="BS2713" s="265"/>
      <c r="BT2713" s="265"/>
      <c r="BU2713" s="265"/>
      <c r="BV2713" s="265"/>
    </row>
    <row r="2714" spans="12:74">
      <c r="L2714" s="265"/>
      <c r="M2714" s="265"/>
      <c r="N2714" s="265"/>
      <c r="O2714" s="265"/>
      <c r="P2714" s="265"/>
      <c r="Q2714" s="265"/>
      <c r="BR2714" s="265"/>
      <c r="BS2714" s="265"/>
      <c r="BT2714" s="265"/>
      <c r="BU2714" s="265"/>
      <c r="BV2714" s="265"/>
    </row>
    <row r="2715" spans="12:74">
      <c r="L2715" s="265"/>
      <c r="M2715" s="265"/>
      <c r="N2715" s="265"/>
      <c r="O2715" s="265"/>
      <c r="P2715" s="265"/>
      <c r="Q2715" s="265"/>
      <c r="BR2715" s="265"/>
      <c r="BS2715" s="265"/>
      <c r="BT2715" s="265"/>
      <c r="BU2715" s="265"/>
      <c r="BV2715" s="265"/>
    </row>
    <row r="2716" spans="12:74">
      <c r="L2716" s="265"/>
      <c r="M2716" s="265"/>
      <c r="N2716" s="265"/>
      <c r="O2716" s="265"/>
      <c r="P2716" s="265"/>
      <c r="Q2716" s="265"/>
      <c r="BR2716" s="265"/>
      <c r="BS2716" s="265"/>
      <c r="BT2716" s="265"/>
      <c r="BU2716" s="265"/>
      <c r="BV2716" s="265"/>
    </row>
    <row r="2717" spans="12:74">
      <c r="L2717" s="265"/>
      <c r="M2717" s="265"/>
      <c r="N2717" s="265"/>
      <c r="O2717" s="265"/>
      <c r="P2717" s="265"/>
      <c r="Q2717" s="265"/>
      <c r="BR2717" s="265"/>
      <c r="BS2717" s="265"/>
      <c r="BT2717" s="265"/>
      <c r="BU2717" s="265"/>
      <c r="BV2717" s="265"/>
    </row>
    <row r="2718" spans="12:74">
      <c r="L2718" s="265"/>
      <c r="M2718" s="265"/>
      <c r="N2718" s="265"/>
      <c r="O2718" s="265"/>
      <c r="P2718" s="265"/>
      <c r="Q2718" s="265"/>
      <c r="BR2718" s="265"/>
      <c r="BS2718" s="265"/>
      <c r="BT2718" s="265"/>
      <c r="BU2718" s="265"/>
      <c r="BV2718" s="265"/>
    </row>
    <row r="2719" spans="12:74">
      <c r="L2719" s="265"/>
      <c r="M2719" s="265"/>
      <c r="N2719" s="265"/>
      <c r="O2719" s="265"/>
      <c r="P2719" s="265"/>
      <c r="Q2719" s="265"/>
      <c r="BR2719" s="265"/>
      <c r="BS2719" s="265"/>
      <c r="BT2719" s="265"/>
      <c r="BU2719" s="265"/>
      <c r="BV2719" s="265"/>
    </row>
    <row r="2720" spans="12:74">
      <c r="L2720" s="265"/>
      <c r="M2720" s="265"/>
      <c r="N2720" s="265"/>
      <c r="O2720" s="265"/>
      <c r="P2720" s="265"/>
      <c r="Q2720" s="265"/>
      <c r="BR2720" s="265"/>
      <c r="BS2720" s="265"/>
      <c r="BT2720" s="265"/>
      <c r="BU2720" s="265"/>
      <c r="BV2720" s="265"/>
    </row>
    <row r="2721" spans="12:74">
      <c r="L2721" s="265"/>
      <c r="M2721" s="265"/>
      <c r="N2721" s="265"/>
      <c r="O2721" s="265"/>
      <c r="P2721" s="265"/>
      <c r="Q2721" s="265"/>
      <c r="BR2721" s="265"/>
      <c r="BS2721" s="265"/>
      <c r="BT2721" s="265"/>
      <c r="BU2721" s="265"/>
      <c r="BV2721" s="265"/>
    </row>
    <row r="2722" spans="12:74">
      <c r="L2722" s="265"/>
      <c r="M2722" s="265"/>
      <c r="N2722" s="265"/>
      <c r="O2722" s="265"/>
      <c r="P2722" s="265"/>
      <c r="Q2722" s="265"/>
      <c r="BR2722" s="265"/>
      <c r="BS2722" s="265"/>
      <c r="BT2722" s="265"/>
      <c r="BU2722" s="265"/>
      <c r="BV2722" s="265"/>
    </row>
    <row r="2723" spans="12:74">
      <c r="L2723" s="265"/>
      <c r="M2723" s="265"/>
      <c r="N2723" s="265"/>
      <c r="O2723" s="265"/>
      <c r="P2723" s="265"/>
      <c r="Q2723" s="265"/>
      <c r="BR2723" s="265"/>
      <c r="BS2723" s="265"/>
      <c r="BT2723" s="265"/>
      <c r="BU2723" s="265"/>
      <c r="BV2723" s="265"/>
    </row>
    <row r="2724" spans="12:74">
      <c r="L2724" s="265"/>
      <c r="M2724" s="265"/>
      <c r="N2724" s="265"/>
      <c r="O2724" s="265"/>
      <c r="P2724" s="265"/>
      <c r="Q2724" s="265"/>
      <c r="BR2724" s="265"/>
      <c r="BS2724" s="265"/>
      <c r="BT2724" s="265"/>
      <c r="BU2724" s="265"/>
      <c r="BV2724" s="265"/>
    </row>
    <row r="2725" spans="12:74">
      <c r="L2725" s="265"/>
      <c r="M2725" s="265"/>
      <c r="N2725" s="265"/>
      <c r="O2725" s="265"/>
      <c r="P2725" s="265"/>
      <c r="Q2725" s="265"/>
      <c r="BR2725" s="265"/>
      <c r="BS2725" s="265"/>
      <c r="BT2725" s="265"/>
      <c r="BU2725" s="265"/>
      <c r="BV2725" s="265"/>
    </row>
    <row r="2726" spans="12:74">
      <c r="L2726" s="265"/>
      <c r="M2726" s="265"/>
      <c r="N2726" s="265"/>
      <c r="O2726" s="265"/>
      <c r="P2726" s="265"/>
      <c r="Q2726" s="265"/>
      <c r="BR2726" s="265"/>
      <c r="BS2726" s="265"/>
      <c r="BT2726" s="265"/>
      <c r="BU2726" s="265"/>
      <c r="BV2726" s="265"/>
    </row>
    <row r="2727" spans="12:74">
      <c r="L2727" s="265"/>
      <c r="M2727" s="265"/>
      <c r="N2727" s="265"/>
      <c r="O2727" s="265"/>
      <c r="P2727" s="265"/>
      <c r="Q2727" s="265"/>
      <c r="BR2727" s="265"/>
      <c r="BS2727" s="265"/>
      <c r="BT2727" s="265"/>
      <c r="BU2727" s="265"/>
      <c r="BV2727" s="265"/>
    </row>
    <row r="2728" spans="12:74">
      <c r="L2728" s="265"/>
      <c r="M2728" s="265"/>
      <c r="N2728" s="265"/>
      <c r="O2728" s="265"/>
      <c r="P2728" s="265"/>
      <c r="Q2728" s="265"/>
      <c r="BR2728" s="265"/>
      <c r="BS2728" s="265"/>
      <c r="BT2728" s="265"/>
      <c r="BU2728" s="265"/>
      <c r="BV2728" s="265"/>
    </row>
    <row r="2729" spans="12:74">
      <c r="L2729" s="265"/>
      <c r="M2729" s="265"/>
      <c r="N2729" s="265"/>
      <c r="O2729" s="265"/>
      <c r="P2729" s="265"/>
      <c r="Q2729" s="265"/>
      <c r="BR2729" s="265"/>
      <c r="BS2729" s="265"/>
      <c r="BT2729" s="265"/>
      <c r="BU2729" s="265"/>
      <c r="BV2729" s="265"/>
    </row>
    <row r="2730" spans="12:74">
      <c r="L2730" s="265"/>
      <c r="M2730" s="265"/>
      <c r="N2730" s="265"/>
      <c r="O2730" s="265"/>
      <c r="P2730" s="265"/>
      <c r="Q2730" s="265"/>
      <c r="BR2730" s="265"/>
      <c r="BS2730" s="265"/>
      <c r="BT2730" s="265"/>
      <c r="BU2730" s="265"/>
      <c r="BV2730" s="265"/>
    </row>
    <row r="2731" spans="12:74">
      <c r="L2731" s="265"/>
      <c r="M2731" s="265"/>
      <c r="N2731" s="265"/>
      <c r="O2731" s="265"/>
      <c r="P2731" s="265"/>
      <c r="Q2731" s="265"/>
      <c r="BR2731" s="265"/>
      <c r="BS2731" s="265"/>
      <c r="BT2731" s="265"/>
      <c r="BU2731" s="265"/>
      <c r="BV2731" s="265"/>
    </row>
    <row r="2732" spans="12:74">
      <c r="L2732" s="265"/>
      <c r="M2732" s="265"/>
      <c r="N2732" s="265"/>
      <c r="O2732" s="265"/>
      <c r="P2732" s="265"/>
      <c r="Q2732" s="265"/>
      <c r="BR2732" s="265"/>
      <c r="BS2732" s="265"/>
      <c r="BT2732" s="265"/>
      <c r="BU2732" s="265"/>
      <c r="BV2732" s="265"/>
    </row>
    <row r="2733" spans="12:74">
      <c r="L2733" s="265"/>
      <c r="M2733" s="265"/>
      <c r="N2733" s="265"/>
      <c r="O2733" s="265"/>
      <c r="P2733" s="265"/>
      <c r="Q2733" s="265"/>
      <c r="BR2733" s="265"/>
      <c r="BS2733" s="265"/>
      <c r="BT2733" s="265"/>
      <c r="BU2733" s="265"/>
      <c r="BV2733" s="265"/>
    </row>
    <row r="2734" spans="12:74">
      <c r="L2734" s="265"/>
      <c r="M2734" s="265"/>
      <c r="N2734" s="265"/>
      <c r="O2734" s="265"/>
      <c r="P2734" s="265"/>
      <c r="Q2734" s="265"/>
      <c r="BR2734" s="265"/>
      <c r="BS2734" s="265"/>
      <c r="BT2734" s="265"/>
      <c r="BU2734" s="265"/>
      <c r="BV2734" s="265"/>
    </row>
    <row r="2735" spans="12:74">
      <c r="L2735" s="265"/>
      <c r="M2735" s="265"/>
      <c r="N2735" s="265"/>
      <c r="O2735" s="265"/>
      <c r="P2735" s="265"/>
      <c r="Q2735" s="265"/>
      <c r="BR2735" s="265"/>
      <c r="BS2735" s="265"/>
      <c r="BT2735" s="265"/>
      <c r="BU2735" s="265"/>
      <c r="BV2735" s="265"/>
    </row>
    <row r="2736" spans="12:74">
      <c r="L2736" s="265"/>
      <c r="M2736" s="265"/>
      <c r="N2736" s="265"/>
      <c r="O2736" s="265"/>
      <c r="P2736" s="265"/>
      <c r="Q2736" s="265"/>
      <c r="BR2736" s="265"/>
      <c r="BS2736" s="265"/>
      <c r="BT2736" s="265"/>
      <c r="BU2736" s="265"/>
      <c r="BV2736" s="265"/>
    </row>
    <row r="2737" spans="12:74">
      <c r="L2737" s="265"/>
      <c r="M2737" s="265"/>
      <c r="N2737" s="265"/>
      <c r="O2737" s="265"/>
      <c r="P2737" s="265"/>
      <c r="Q2737" s="265"/>
      <c r="BR2737" s="265"/>
      <c r="BS2737" s="265"/>
      <c r="BT2737" s="265"/>
      <c r="BU2737" s="265"/>
      <c r="BV2737" s="265"/>
    </row>
    <row r="2738" spans="12:74">
      <c r="L2738" s="265"/>
      <c r="M2738" s="265"/>
      <c r="N2738" s="265"/>
      <c r="O2738" s="265"/>
      <c r="P2738" s="265"/>
      <c r="Q2738" s="265"/>
      <c r="BR2738" s="265"/>
      <c r="BS2738" s="265"/>
      <c r="BT2738" s="265"/>
      <c r="BU2738" s="265"/>
      <c r="BV2738" s="265"/>
    </row>
    <row r="2739" spans="12:74">
      <c r="L2739" s="265"/>
      <c r="M2739" s="265"/>
      <c r="N2739" s="265"/>
      <c r="O2739" s="265"/>
      <c r="P2739" s="265"/>
      <c r="Q2739" s="265"/>
      <c r="BR2739" s="265"/>
      <c r="BS2739" s="265"/>
      <c r="BT2739" s="265"/>
      <c r="BU2739" s="265"/>
      <c r="BV2739" s="265"/>
    </row>
    <row r="2740" spans="12:74">
      <c r="L2740" s="265"/>
      <c r="M2740" s="265"/>
      <c r="N2740" s="265"/>
      <c r="O2740" s="265"/>
      <c r="P2740" s="265"/>
      <c r="Q2740" s="265"/>
      <c r="BR2740" s="265"/>
      <c r="BS2740" s="265"/>
      <c r="BT2740" s="265"/>
      <c r="BU2740" s="265"/>
      <c r="BV2740" s="265"/>
    </row>
    <row r="2741" spans="12:74">
      <c r="L2741" s="265"/>
      <c r="M2741" s="265"/>
      <c r="N2741" s="265"/>
      <c r="O2741" s="265"/>
      <c r="P2741" s="265"/>
      <c r="Q2741" s="265"/>
      <c r="BR2741" s="265"/>
      <c r="BS2741" s="265"/>
      <c r="BT2741" s="265"/>
      <c r="BU2741" s="265"/>
      <c r="BV2741" s="265"/>
    </row>
    <row r="2742" spans="12:74">
      <c r="L2742" s="265"/>
      <c r="M2742" s="265"/>
      <c r="N2742" s="265"/>
      <c r="O2742" s="265"/>
      <c r="P2742" s="265"/>
      <c r="Q2742" s="265"/>
      <c r="BR2742" s="265"/>
      <c r="BS2742" s="265"/>
      <c r="BT2742" s="265"/>
      <c r="BU2742" s="265"/>
      <c r="BV2742" s="265"/>
    </row>
    <row r="2743" spans="12:74">
      <c r="L2743" s="265"/>
      <c r="M2743" s="265"/>
      <c r="N2743" s="265"/>
      <c r="O2743" s="265"/>
      <c r="P2743" s="265"/>
      <c r="Q2743" s="265"/>
      <c r="BR2743" s="265"/>
      <c r="BS2743" s="265"/>
      <c r="BT2743" s="265"/>
      <c r="BU2743" s="265"/>
      <c r="BV2743" s="265"/>
    </row>
    <row r="2744" spans="12:74">
      <c r="L2744" s="265"/>
      <c r="M2744" s="265"/>
      <c r="N2744" s="265"/>
      <c r="O2744" s="265"/>
      <c r="P2744" s="265"/>
      <c r="Q2744" s="265"/>
      <c r="BR2744" s="265"/>
      <c r="BS2744" s="265"/>
      <c r="BT2744" s="265"/>
      <c r="BU2744" s="265"/>
      <c r="BV2744" s="265"/>
    </row>
    <row r="2745" spans="12:74">
      <c r="L2745" s="265"/>
      <c r="M2745" s="265"/>
      <c r="N2745" s="265"/>
      <c r="O2745" s="265"/>
      <c r="P2745" s="265"/>
      <c r="Q2745" s="265"/>
      <c r="BR2745" s="265"/>
      <c r="BS2745" s="265"/>
      <c r="BT2745" s="265"/>
      <c r="BU2745" s="265"/>
      <c r="BV2745" s="265"/>
    </row>
    <row r="2746" spans="12:74">
      <c r="L2746" s="265"/>
      <c r="M2746" s="265"/>
      <c r="N2746" s="265"/>
      <c r="O2746" s="265"/>
      <c r="P2746" s="265"/>
      <c r="Q2746" s="265"/>
      <c r="BR2746" s="265"/>
      <c r="BS2746" s="265"/>
      <c r="BT2746" s="265"/>
      <c r="BU2746" s="265"/>
      <c r="BV2746" s="265"/>
    </row>
    <row r="2747" spans="12:74">
      <c r="L2747" s="265"/>
      <c r="M2747" s="265"/>
      <c r="N2747" s="265"/>
      <c r="O2747" s="265"/>
      <c r="P2747" s="265"/>
      <c r="Q2747" s="265"/>
      <c r="BR2747" s="265"/>
      <c r="BS2747" s="265"/>
      <c r="BT2747" s="265"/>
      <c r="BU2747" s="265"/>
      <c r="BV2747" s="265"/>
    </row>
    <row r="2748" spans="12:74">
      <c r="L2748" s="265"/>
      <c r="M2748" s="265"/>
      <c r="N2748" s="265"/>
      <c r="O2748" s="265"/>
      <c r="P2748" s="265"/>
      <c r="Q2748" s="265"/>
      <c r="BR2748" s="265"/>
      <c r="BS2748" s="265"/>
      <c r="BT2748" s="265"/>
      <c r="BU2748" s="265"/>
      <c r="BV2748" s="265"/>
    </row>
    <row r="2749" spans="12:74">
      <c r="L2749" s="265"/>
      <c r="M2749" s="265"/>
      <c r="N2749" s="265"/>
      <c r="O2749" s="265"/>
      <c r="P2749" s="265"/>
      <c r="Q2749" s="265"/>
      <c r="BR2749" s="265"/>
      <c r="BS2749" s="265"/>
      <c r="BT2749" s="265"/>
      <c r="BU2749" s="265"/>
      <c r="BV2749" s="265"/>
    </row>
    <row r="2750" spans="12:74">
      <c r="L2750" s="265"/>
      <c r="M2750" s="265"/>
      <c r="N2750" s="265"/>
      <c r="O2750" s="265"/>
      <c r="P2750" s="265"/>
      <c r="Q2750" s="265"/>
      <c r="BR2750" s="265"/>
      <c r="BS2750" s="265"/>
      <c r="BT2750" s="265"/>
      <c r="BU2750" s="265"/>
      <c r="BV2750" s="265"/>
    </row>
    <row r="2751" spans="12:74">
      <c r="L2751" s="265"/>
      <c r="M2751" s="265"/>
      <c r="N2751" s="265"/>
      <c r="O2751" s="265"/>
      <c r="P2751" s="265"/>
      <c r="Q2751" s="265"/>
      <c r="BR2751" s="265"/>
      <c r="BS2751" s="265"/>
      <c r="BT2751" s="265"/>
      <c r="BU2751" s="265"/>
      <c r="BV2751" s="265"/>
    </row>
    <row r="2752" spans="12:74">
      <c r="L2752" s="265"/>
      <c r="M2752" s="265"/>
      <c r="N2752" s="265"/>
      <c r="O2752" s="265"/>
      <c r="P2752" s="265"/>
      <c r="Q2752" s="265"/>
      <c r="BR2752" s="265"/>
      <c r="BS2752" s="265"/>
      <c r="BT2752" s="265"/>
      <c r="BU2752" s="265"/>
      <c r="BV2752" s="265"/>
    </row>
    <row r="2753" spans="12:74">
      <c r="L2753" s="265"/>
      <c r="M2753" s="265"/>
      <c r="N2753" s="265"/>
      <c r="O2753" s="265"/>
      <c r="P2753" s="265"/>
      <c r="Q2753" s="265"/>
      <c r="BR2753" s="265"/>
      <c r="BS2753" s="265"/>
      <c r="BT2753" s="265"/>
      <c r="BU2753" s="265"/>
      <c r="BV2753" s="265"/>
    </row>
    <row r="2754" spans="12:74">
      <c r="L2754" s="265"/>
      <c r="M2754" s="265"/>
      <c r="N2754" s="265"/>
      <c r="O2754" s="265"/>
      <c r="P2754" s="265"/>
      <c r="Q2754" s="265"/>
      <c r="BR2754" s="265"/>
      <c r="BS2754" s="265"/>
      <c r="BT2754" s="265"/>
      <c r="BU2754" s="265"/>
      <c r="BV2754" s="265"/>
    </row>
    <row r="2755" spans="12:74">
      <c r="L2755" s="265"/>
      <c r="M2755" s="265"/>
      <c r="N2755" s="265"/>
      <c r="O2755" s="265"/>
      <c r="P2755" s="265"/>
      <c r="Q2755" s="265"/>
      <c r="BR2755" s="265"/>
      <c r="BS2755" s="265"/>
      <c r="BT2755" s="265"/>
      <c r="BU2755" s="265"/>
      <c r="BV2755" s="265"/>
    </row>
    <row r="2756" spans="12:74">
      <c r="L2756" s="265"/>
      <c r="M2756" s="265"/>
      <c r="N2756" s="265"/>
      <c r="O2756" s="265"/>
      <c r="P2756" s="265"/>
      <c r="Q2756" s="265"/>
      <c r="BR2756" s="265"/>
      <c r="BS2756" s="265"/>
      <c r="BT2756" s="265"/>
      <c r="BU2756" s="265"/>
      <c r="BV2756" s="265"/>
    </row>
    <row r="2757" spans="12:74">
      <c r="L2757" s="265"/>
      <c r="M2757" s="265"/>
      <c r="N2757" s="265"/>
      <c r="O2757" s="265"/>
      <c r="P2757" s="265"/>
      <c r="Q2757" s="265"/>
      <c r="BR2757" s="265"/>
      <c r="BS2757" s="265"/>
      <c r="BT2757" s="265"/>
      <c r="BU2757" s="265"/>
      <c r="BV2757" s="265"/>
    </row>
    <row r="2758" spans="12:74">
      <c r="L2758" s="265"/>
      <c r="M2758" s="265"/>
      <c r="N2758" s="265"/>
      <c r="O2758" s="265"/>
      <c r="P2758" s="265"/>
      <c r="Q2758" s="265"/>
      <c r="BR2758" s="265"/>
      <c r="BS2758" s="265"/>
      <c r="BT2758" s="265"/>
      <c r="BU2758" s="265"/>
      <c r="BV2758" s="265"/>
    </row>
    <row r="2759" spans="12:74">
      <c r="L2759" s="265"/>
      <c r="M2759" s="265"/>
      <c r="N2759" s="265"/>
      <c r="O2759" s="265"/>
      <c r="P2759" s="265"/>
      <c r="Q2759" s="265"/>
      <c r="BR2759" s="265"/>
      <c r="BS2759" s="265"/>
      <c r="BT2759" s="265"/>
      <c r="BU2759" s="265"/>
      <c r="BV2759" s="265"/>
    </row>
    <row r="2760" spans="12:74">
      <c r="L2760" s="265"/>
      <c r="M2760" s="265"/>
      <c r="N2760" s="265"/>
      <c r="O2760" s="265"/>
      <c r="P2760" s="265"/>
      <c r="Q2760" s="265"/>
      <c r="BR2760" s="265"/>
      <c r="BS2760" s="265"/>
      <c r="BT2760" s="265"/>
      <c r="BU2760" s="265"/>
      <c r="BV2760" s="265"/>
    </row>
    <row r="2761" spans="12:74">
      <c r="L2761" s="265"/>
      <c r="M2761" s="265"/>
      <c r="N2761" s="265"/>
      <c r="O2761" s="265"/>
      <c r="P2761" s="265"/>
      <c r="Q2761" s="265"/>
      <c r="BR2761" s="265"/>
      <c r="BS2761" s="265"/>
      <c r="BT2761" s="265"/>
      <c r="BU2761" s="265"/>
      <c r="BV2761" s="265"/>
    </row>
    <row r="2762" spans="12:74">
      <c r="L2762" s="265"/>
      <c r="M2762" s="265"/>
      <c r="N2762" s="265"/>
      <c r="O2762" s="265"/>
      <c r="P2762" s="265"/>
      <c r="Q2762" s="265"/>
      <c r="BR2762" s="265"/>
      <c r="BS2762" s="265"/>
      <c r="BT2762" s="265"/>
      <c r="BU2762" s="265"/>
      <c r="BV2762" s="265"/>
    </row>
    <row r="2763" spans="12:74">
      <c r="L2763" s="265"/>
      <c r="M2763" s="265"/>
      <c r="N2763" s="265"/>
      <c r="O2763" s="265"/>
      <c r="P2763" s="265"/>
      <c r="Q2763" s="265"/>
      <c r="BR2763" s="265"/>
      <c r="BS2763" s="265"/>
      <c r="BT2763" s="265"/>
      <c r="BU2763" s="265"/>
      <c r="BV2763" s="265"/>
    </row>
    <row r="2764" spans="12:74">
      <c r="L2764" s="265"/>
      <c r="M2764" s="265"/>
      <c r="N2764" s="265"/>
      <c r="O2764" s="265"/>
      <c r="P2764" s="265"/>
      <c r="Q2764" s="265"/>
      <c r="BR2764" s="265"/>
      <c r="BS2764" s="265"/>
      <c r="BT2764" s="265"/>
      <c r="BU2764" s="265"/>
      <c r="BV2764" s="265"/>
    </row>
    <row r="2765" spans="12:74">
      <c r="L2765" s="265"/>
      <c r="M2765" s="265"/>
      <c r="N2765" s="265"/>
      <c r="O2765" s="265"/>
      <c r="P2765" s="265"/>
      <c r="Q2765" s="265"/>
      <c r="BR2765" s="265"/>
      <c r="BS2765" s="265"/>
      <c r="BT2765" s="265"/>
      <c r="BU2765" s="265"/>
      <c r="BV2765" s="265"/>
    </row>
    <row r="2766" spans="12:74">
      <c r="L2766" s="265"/>
      <c r="M2766" s="265"/>
      <c r="N2766" s="265"/>
      <c r="O2766" s="265"/>
      <c r="P2766" s="265"/>
      <c r="Q2766" s="265"/>
      <c r="BR2766" s="265"/>
      <c r="BS2766" s="265"/>
      <c r="BT2766" s="265"/>
      <c r="BU2766" s="265"/>
      <c r="BV2766" s="265"/>
    </row>
    <row r="2767" spans="12:74">
      <c r="L2767" s="265"/>
      <c r="M2767" s="265"/>
      <c r="N2767" s="265"/>
      <c r="O2767" s="265"/>
      <c r="P2767" s="265"/>
      <c r="Q2767" s="265"/>
      <c r="BR2767" s="265"/>
      <c r="BS2767" s="265"/>
      <c r="BT2767" s="265"/>
      <c r="BU2767" s="265"/>
      <c r="BV2767" s="265"/>
    </row>
    <row r="2768" spans="12:74">
      <c r="L2768" s="265"/>
      <c r="M2768" s="265"/>
      <c r="N2768" s="265"/>
      <c r="O2768" s="265"/>
      <c r="P2768" s="265"/>
      <c r="Q2768" s="265"/>
      <c r="BR2768" s="265"/>
      <c r="BS2768" s="265"/>
      <c r="BT2768" s="265"/>
      <c r="BU2768" s="265"/>
      <c r="BV2768" s="265"/>
    </row>
    <row r="2769" spans="12:74">
      <c r="L2769" s="265"/>
      <c r="M2769" s="265"/>
      <c r="N2769" s="265"/>
      <c r="O2769" s="265"/>
      <c r="P2769" s="265"/>
      <c r="Q2769" s="265"/>
      <c r="BR2769" s="265"/>
      <c r="BS2769" s="265"/>
      <c r="BT2769" s="265"/>
      <c r="BU2769" s="265"/>
      <c r="BV2769" s="265"/>
    </row>
    <row r="2770" spans="12:74">
      <c r="L2770" s="265"/>
      <c r="M2770" s="265"/>
      <c r="N2770" s="265"/>
      <c r="O2770" s="265"/>
      <c r="P2770" s="265"/>
      <c r="Q2770" s="265"/>
      <c r="BR2770" s="265"/>
      <c r="BS2770" s="265"/>
      <c r="BT2770" s="265"/>
      <c r="BU2770" s="265"/>
      <c r="BV2770" s="265"/>
    </row>
    <row r="2771" spans="12:74">
      <c r="L2771" s="265"/>
      <c r="M2771" s="265"/>
      <c r="N2771" s="265"/>
      <c r="O2771" s="265"/>
      <c r="P2771" s="265"/>
      <c r="Q2771" s="265"/>
      <c r="BR2771" s="265"/>
      <c r="BS2771" s="265"/>
      <c r="BT2771" s="265"/>
      <c r="BU2771" s="265"/>
      <c r="BV2771" s="265"/>
    </row>
    <row r="2772" spans="12:74">
      <c r="L2772" s="265"/>
      <c r="M2772" s="265"/>
      <c r="N2772" s="265"/>
      <c r="O2772" s="265"/>
      <c r="P2772" s="265"/>
      <c r="Q2772" s="265"/>
      <c r="BR2772" s="265"/>
      <c r="BS2772" s="265"/>
      <c r="BT2772" s="265"/>
      <c r="BU2772" s="265"/>
      <c r="BV2772" s="265"/>
    </row>
    <row r="2773" spans="12:74">
      <c r="L2773" s="265"/>
      <c r="M2773" s="265"/>
      <c r="N2773" s="265"/>
      <c r="O2773" s="265"/>
      <c r="P2773" s="265"/>
      <c r="Q2773" s="265"/>
      <c r="BR2773" s="265"/>
      <c r="BS2773" s="265"/>
      <c r="BT2773" s="265"/>
      <c r="BU2773" s="265"/>
      <c r="BV2773" s="265"/>
    </row>
    <row r="2774" spans="12:74">
      <c r="L2774" s="265"/>
      <c r="M2774" s="265"/>
      <c r="N2774" s="265"/>
      <c r="O2774" s="265"/>
      <c r="P2774" s="265"/>
      <c r="Q2774" s="265"/>
      <c r="BR2774" s="265"/>
      <c r="BS2774" s="265"/>
      <c r="BT2774" s="265"/>
      <c r="BU2774" s="265"/>
      <c r="BV2774" s="265"/>
    </row>
    <row r="2775" spans="12:74">
      <c r="L2775" s="265"/>
      <c r="M2775" s="265"/>
      <c r="N2775" s="265"/>
      <c r="O2775" s="265"/>
      <c r="P2775" s="265"/>
      <c r="Q2775" s="265"/>
      <c r="BR2775" s="265"/>
      <c r="BS2775" s="265"/>
      <c r="BT2775" s="265"/>
      <c r="BU2775" s="265"/>
      <c r="BV2775" s="265"/>
    </row>
    <row r="2776" spans="12:74">
      <c r="L2776" s="265"/>
      <c r="M2776" s="265"/>
      <c r="N2776" s="265"/>
      <c r="O2776" s="265"/>
      <c r="P2776" s="265"/>
      <c r="Q2776" s="265"/>
      <c r="BR2776" s="265"/>
      <c r="BS2776" s="265"/>
      <c r="BT2776" s="265"/>
      <c r="BU2776" s="265"/>
      <c r="BV2776" s="265"/>
    </row>
    <row r="2777" spans="12:74">
      <c r="L2777" s="265"/>
      <c r="M2777" s="265"/>
      <c r="N2777" s="265"/>
      <c r="O2777" s="265"/>
      <c r="P2777" s="265"/>
      <c r="Q2777" s="265"/>
      <c r="BR2777" s="265"/>
      <c r="BS2777" s="265"/>
      <c r="BT2777" s="265"/>
      <c r="BU2777" s="265"/>
      <c r="BV2777" s="265"/>
    </row>
    <row r="2778" spans="12:74">
      <c r="L2778" s="265"/>
      <c r="M2778" s="265"/>
      <c r="N2778" s="265"/>
      <c r="O2778" s="265"/>
      <c r="P2778" s="265"/>
      <c r="Q2778" s="265"/>
      <c r="BR2778" s="265"/>
      <c r="BS2778" s="265"/>
      <c r="BT2778" s="265"/>
      <c r="BU2778" s="265"/>
      <c r="BV2778" s="265"/>
    </row>
    <row r="2779" spans="12:74">
      <c r="L2779" s="265"/>
      <c r="M2779" s="265"/>
      <c r="N2779" s="265"/>
      <c r="O2779" s="265"/>
      <c r="P2779" s="265"/>
      <c r="Q2779" s="265"/>
      <c r="BR2779" s="265"/>
      <c r="BS2779" s="265"/>
      <c r="BT2779" s="265"/>
      <c r="BU2779" s="265"/>
      <c r="BV2779" s="265"/>
    </row>
    <row r="2780" spans="12:74">
      <c r="L2780" s="265"/>
      <c r="M2780" s="265"/>
      <c r="N2780" s="265"/>
      <c r="O2780" s="265"/>
      <c r="P2780" s="265"/>
      <c r="Q2780" s="265"/>
      <c r="BR2780" s="265"/>
      <c r="BS2780" s="265"/>
      <c r="BT2780" s="265"/>
      <c r="BU2780" s="265"/>
      <c r="BV2780" s="265"/>
    </row>
    <row r="2781" spans="12:74">
      <c r="L2781" s="265"/>
      <c r="M2781" s="265"/>
      <c r="N2781" s="265"/>
      <c r="O2781" s="265"/>
      <c r="P2781" s="265"/>
      <c r="Q2781" s="265"/>
      <c r="BR2781" s="265"/>
      <c r="BS2781" s="265"/>
      <c r="BT2781" s="265"/>
      <c r="BU2781" s="265"/>
      <c r="BV2781" s="265"/>
    </row>
    <row r="2782" spans="12:74">
      <c r="L2782" s="265"/>
      <c r="M2782" s="265"/>
      <c r="N2782" s="265"/>
      <c r="O2782" s="265"/>
      <c r="P2782" s="265"/>
      <c r="Q2782" s="265"/>
      <c r="BR2782" s="265"/>
      <c r="BS2782" s="265"/>
      <c r="BT2782" s="265"/>
      <c r="BU2782" s="265"/>
      <c r="BV2782" s="265"/>
    </row>
    <row r="2783" spans="12:74">
      <c r="L2783" s="265"/>
      <c r="M2783" s="265"/>
      <c r="N2783" s="265"/>
      <c r="O2783" s="265"/>
      <c r="P2783" s="265"/>
      <c r="Q2783" s="265"/>
      <c r="BR2783" s="265"/>
      <c r="BS2783" s="265"/>
      <c r="BT2783" s="265"/>
      <c r="BU2783" s="265"/>
      <c r="BV2783" s="265"/>
    </row>
    <row r="2784" spans="12:74">
      <c r="L2784" s="265"/>
      <c r="M2784" s="265"/>
      <c r="N2784" s="265"/>
      <c r="O2784" s="265"/>
      <c r="P2784" s="265"/>
      <c r="Q2784" s="265"/>
      <c r="BR2784" s="265"/>
      <c r="BS2784" s="265"/>
      <c r="BT2784" s="265"/>
      <c r="BU2784" s="265"/>
      <c r="BV2784" s="265"/>
    </row>
    <row r="2785" spans="12:74">
      <c r="L2785" s="265"/>
      <c r="M2785" s="265"/>
      <c r="N2785" s="265"/>
      <c r="O2785" s="265"/>
      <c r="P2785" s="265"/>
      <c r="Q2785" s="265"/>
      <c r="BR2785" s="265"/>
      <c r="BS2785" s="265"/>
      <c r="BT2785" s="265"/>
      <c r="BU2785" s="265"/>
      <c r="BV2785" s="265"/>
    </row>
    <row r="2786" spans="12:74">
      <c r="L2786" s="265"/>
      <c r="M2786" s="265"/>
      <c r="N2786" s="265"/>
      <c r="O2786" s="265"/>
      <c r="P2786" s="265"/>
      <c r="Q2786" s="265"/>
      <c r="BR2786" s="265"/>
      <c r="BS2786" s="265"/>
      <c r="BT2786" s="265"/>
      <c r="BU2786" s="265"/>
      <c r="BV2786" s="265"/>
    </row>
    <row r="2787" spans="12:74">
      <c r="L2787" s="265"/>
      <c r="M2787" s="265"/>
      <c r="N2787" s="265"/>
      <c r="O2787" s="265"/>
      <c r="P2787" s="265"/>
      <c r="Q2787" s="265"/>
      <c r="BR2787" s="265"/>
      <c r="BS2787" s="265"/>
      <c r="BT2787" s="265"/>
      <c r="BU2787" s="265"/>
      <c r="BV2787" s="265"/>
    </row>
    <row r="2788" spans="12:74">
      <c r="L2788" s="265"/>
      <c r="M2788" s="265"/>
      <c r="N2788" s="265"/>
      <c r="O2788" s="265"/>
      <c r="P2788" s="265"/>
      <c r="Q2788" s="265"/>
      <c r="BR2788" s="265"/>
      <c r="BS2788" s="265"/>
      <c r="BT2788" s="265"/>
      <c r="BU2788" s="265"/>
      <c r="BV2788" s="265"/>
    </row>
    <row r="2789" spans="12:74">
      <c r="L2789" s="265"/>
      <c r="M2789" s="265"/>
      <c r="N2789" s="265"/>
      <c r="O2789" s="265"/>
      <c r="P2789" s="265"/>
      <c r="Q2789" s="265"/>
      <c r="BR2789" s="265"/>
      <c r="BS2789" s="265"/>
      <c r="BT2789" s="265"/>
      <c r="BU2789" s="265"/>
      <c r="BV2789" s="265"/>
    </row>
    <row r="2790" spans="12:74">
      <c r="L2790" s="265"/>
      <c r="M2790" s="265"/>
      <c r="N2790" s="265"/>
      <c r="O2790" s="265"/>
      <c r="P2790" s="265"/>
      <c r="Q2790" s="265"/>
      <c r="BR2790" s="265"/>
      <c r="BS2790" s="265"/>
      <c r="BT2790" s="265"/>
      <c r="BU2790" s="265"/>
      <c r="BV2790" s="265"/>
    </row>
    <row r="2791" spans="12:74">
      <c r="L2791" s="265"/>
      <c r="M2791" s="265"/>
      <c r="N2791" s="265"/>
      <c r="O2791" s="265"/>
      <c r="P2791" s="265"/>
      <c r="Q2791" s="265"/>
      <c r="BR2791" s="265"/>
      <c r="BS2791" s="265"/>
      <c r="BT2791" s="265"/>
      <c r="BU2791" s="265"/>
      <c r="BV2791" s="265"/>
    </row>
    <row r="2792" spans="12:74">
      <c r="L2792" s="265"/>
      <c r="M2792" s="265"/>
      <c r="N2792" s="265"/>
      <c r="O2792" s="265"/>
      <c r="P2792" s="265"/>
      <c r="Q2792" s="265"/>
      <c r="BR2792" s="265"/>
      <c r="BS2792" s="265"/>
      <c r="BT2792" s="265"/>
      <c r="BU2792" s="265"/>
      <c r="BV2792" s="265"/>
    </row>
    <row r="2793" spans="12:74">
      <c r="L2793" s="265"/>
      <c r="M2793" s="265"/>
      <c r="N2793" s="265"/>
      <c r="O2793" s="265"/>
      <c r="P2793" s="265"/>
      <c r="Q2793" s="265"/>
      <c r="BR2793" s="265"/>
      <c r="BS2793" s="265"/>
      <c r="BT2793" s="265"/>
      <c r="BU2793" s="265"/>
      <c r="BV2793" s="265"/>
    </row>
    <row r="2794" spans="12:74">
      <c r="L2794" s="265"/>
      <c r="M2794" s="265"/>
      <c r="N2794" s="265"/>
      <c r="O2794" s="265"/>
      <c r="P2794" s="265"/>
      <c r="Q2794" s="265"/>
      <c r="BR2794" s="265"/>
      <c r="BS2794" s="265"/>
      <c r="BT2794" s="265"/>
      <c r="BU2794" s="265"/>
      <c r="BV2794" s="265"/>
    </row>
    <row r="2795" spans="12:74">
      <c r="L2795" s="265"/>
      <c r="M2795" s="265"/>
      <c r="N2795" s="265"/>
      <c r="O2795" s="265"/>
      <c r="P2795" s="265"/>
      <c r="Q2795" s="265"/>
      <c r="BR2795" s="265"/>
      <c r="BS2795" s="265"/>
      <c r="BT2795" s="265"/>
      <c r="BU2795" s="265"/>
      <c r="BV2795" s="265"/>
    </row>
    <row r="2796" spans="12:74">
      <c r="L2796" s="265"/>
      <c r="M2796" s="265"/>
      <c r="N2796" s="265"/>
      <c r="O2796" s="265"/>
      <c r="P2796" s="265"/>
      <c r="Q2796" s="265"/>
      <c r="BR2796" s="265"/>
      <c r="BS2796" s="265"/>
      <c r="BT2796" s="265"/>
      <c r="BU2796" s="265"/>
      <c r="BV2796" s="265"/>
    </row>
    <row r="2797" spans="12:74">
      <c r="L2797" s="265"/>
      <c r="M2797" s="265"/>
      <c r="N2797" s="265"/>
      <c r="O2797" s="265"/>
      <c r="P2797" s="265"/>
      <c r="Q2797" s="265"/>
      <c r="BR2797" s="265"/>
      <c r="BS2797" s="265"/>
      <c r="BT2797" s="265"/>
      <c r="BU2797" s="265"/>
      <c r="BV2797" s="265"/>
    </row>
    <row r="2798" spans="12:74">
      <c r="L2798" s="265"/>
      <c r="M2798" s="265"/>
      <c r="N2798" s="265"/>
      <c r="O2798" s="265"/>
      <c r="P2798" s="265"/>
      <c r="Q2798" s="265"/>
      <c r="BR2798" s="265"/>
      <c r="BS2798" s="265"/>
      <c r="BT2798" s="265"/>
      <c r="BU2798" s="265"/>
      <c r="BV2798" s="265"/>
    </row>
    <row r="2799" spans="12:74">
      <c r="L2799" s="265"/>
      <c r="M2799" s="265"/>
      <c r="N2799" s="265"/>
      <c r="O2799" s="265"/>
      <c r="P2799" s="265"/>
      <c r="Q2799" s="265"/>
      <c r="BR2799" s="265"/>
      <c r="BS2799" s="265"/>
      <c r="BT2799" s="265"/>
      <c r="BU2799" s="265"/>
      <c r="BV2799" s="265"/>
    </row>
    <row r="2800" spans="12:74">
      <c r="L2800" s="265"/>
      <c r="M2800" s="265"/>
      <c r="N2800" s="265"/>
      <c r="O2800" s="265"/>
      <c r="P2800" s="265"/>
      <c r="Q2800" s="265"/>
      <c r="BR2800" s="265"/>
      <c r="BS2800" s="265"/>
      <c r="BT2800" s="265"/>
      <c r="BU2800" s="265"/>
      <c r="BV2800" s="265"/>
    </row>
    <row r="2801" spans="12:74">
      <c r="L2801" s="265"/>
      <c r="M2801" s="265"/>
      <c r="N2801" s="265"/>
      <c r="O2801" s="265"/>
      <c r="P2801" s="265"/>
      <c r="Q2801" s="265"/>
      <c r="BR2801" s="265"/>
      <c r="BS2801" s="265"/>
      <c r="BT2801" s="265"/>
      <c r="BU2801" s="265"/>
      <c r="BV2801" s="265"/>
    </row>
    <row r="2802" spans="12:74">
      <c r="L2802" s="265"/>
      <c r="M2802" s="265"/>
      <c r="N2802" s="265"/>
      <c r="O2802" s="265"/>
      <c r="P2802" s="265"/>
      <c r="Q2802" s="265"/>
      <c r="BR2802" s="265"/>
      <c r="BS2802" s="265"/>
      <c r="BT2802" s="265"/>
      <c r="BU2802" s="265"/>
      <c r="BV2802" s="265"/>
    </row>
    <row r="2803" spans="12:74">
      <c r="L2803" s="265"/>
      <c r="M2803" s="265"/>
      <c r="N2803" s="265"/>
      <c r="O2803" s="265"/>
      <c r="P2803" s="265"/>
      <c r="Q2803" s="265"/>
      <c r="BR2803" s="265"/>
      <c r="BS2803" s="265"/>
      <c r="BT2803" s="265"/>
      <c r="BU2803" s="265"/>
      <c r="BV2803" s="265"/>
    </row>
    <row r="2804" spans="12:74">
      <c r="L2804" s="265"/>
      <c r="M2804" s="265"/>
      <c r="N2804" s="265"/>
      <c r="O2804" s="265"/>
      <c r="P2804" s="265"/>
      <c r="Q2804" s="265"/>
      <c r="BR2804" s="265"/>
      <c r="BS2804" s="265"/>
      <c r="BT2804" s="265"/>
      <c r="BU2804" s="265"/>
      <c r="BV2804" s="265"/>
    </row>
    <row r="2805" spans="12:74">
      <c r="L2805" s="265"/>
      <c r="M2805" s="265"/>
      <c r="N2805" s="265"/>
      <c r="O2805" s="265"/>
      <c r="P2805" s="265"/>
      <c r="Q2805" s="265"/>
      <c r="BR2805" s="265"/>
      <c r="BS2805" s="265"/>
      <c r="BT2805" s="265"/>
      <c r="BU2805" s="265"/>
      <c r="BV2805" s="265"/>
    </row>
    <row r="2806" spans="12:74">
      <c r="L2806" s="265"/>
      <c r="M2806" s="265"/>
      <c r="N2806" s="265"/>
      <c r="O2806" s="265"/>
      <c r="P2806" s="265"/>
      <c r="Q2806" s="265"/>
      <c r="BR2806" s="265"/>
      <c r="BS2806" s="265"/>
      <c r="BT2806" s="265"/>
      <c r="BU2806" s="265"/>
      <c r="BV2806" s="265"/>
    </row>
    <row r="2807" spans="12:74">
      <c r="L2807" s="265"/>
      <c r="M2807" s="265"/>
      <c r="N2807" s="265"/>
      <c r="O2807" s="265"/>
      <c r="P2807" s="265"/>
      <c r="Q2807" s="265"/>
      <c r="BR2807" s="265"/>
      <c r="BS2807" s="265"/>
      <c r="BT2807" s="265"/>
      <c r="BU2807" s="265"/>
      <c r="BV2807" s="265"/>
    </row>
    <row r="2808" spans="12:74">
      <c r="L2808" s="265"/>
      <c r="M2808" s="265"/>
      <c r="N2808" s="265"/>
      <c r="O2808" s="265"/>
      <c r="P2808" s="265"/>
      <c r="Q2808" s="265"/>
      <c r="BR2808" s="265"/>
      <c r="BS2808" s="265"/>
      <c r="BT2808" s="265"/>
      <c r="BU2808" s="265"/>
      <c r="BV2808" s="265"/>
    </row>
    <row r="2809" spans="12:74">
      <c r="L2809" s="265"/>
      <c r="M2809" s="265"/>
      <c r="N2809" s="265"/>
      <c r="O2809" s="265"/>
      <c r="P2809" s="265"/>
      <c r="Q2809" s="265"/>
      <c r="BR2809" s="265"/>
      <c r="BS2809" s="265"/>
      <c r="BT2809" s="265"/>
      <c r="BU2809" s="265"/>
      <c r="BV2809" s="265"/>
    </row>
    <row r="2810" spans="12:74">
      <c r="L2810" s="265"/>
      <c r="M2810" s="265"/>
      <c r="N2810" s="265"/>
      <c r="O2810" s="265"/>
      <c r="P2810" s="265"/>
      <c r="Q2810" s="265"/>
      <c r="BR2810" s="265"/>
      <c r="BS2810" s="265"/>
      <c r="BT2810" s="265"/>
      <c r="BU2810" s="265"/>
      <c r="BV2810" s="265"/>
    </row>
    <row r="2811" spans="12:74">
      <c r="L2811" s="265"/>
      <c r="M2811" s="265"/>
      <c r="N2811" s="265"/>
      <c r="O2811" s="265"/>
      <c r="P2811" s="265"/>
      <c r="Q2811" s="265"/>
      <c r="BR2811" s="265"/>
      <c r="BS2811" s="265"/>
      <c r="BT2811" s="265"/>
      <c r="BU2811" s="265"/>
      <c r="BV2811" s="265"/>
    </row>
    <row r="2812" spans="12:74">
      <c r="L2812" s="265"/>
      <c r="M2812" s="265"/>
      <c r="N2812" s="265"/>
      <c r="O2812" s="265"/>
      <c r="P2812" s="265"/>
      <c r="Q2812" s="265"/>
      <c r="BR2812" s="265"/>
      <c r="BS2812" s="265"/>
      <c r="BT2812" s="265"/>
      <c r="BU2812" s="265"/>
      <c r="BV2812" s="265"/>
    </row>
    <row r="2813" spans="12:74">
      <c r="L2813" s="265"/>
      <c r="M2813" s="265"/>
      <c r="N2813" s="265"/>
      <c r="O2813" s="265"/>
      <c r="P2813" s="265"/>
      <c r="Q2813" s="265"/>
      <c r="BR2813" s="265"/>
      <c r="BS2813" s="265"/>
      <c r="BT2813" s="265"/>
      <c r="BU2813" s="265"/>
      <c r="BV2813" s="265"/>
    </row>
    <row r="2814" spans="12:74">
      <c r="L2814" s="265"/>
      <c r="M2814" s="265"/>
      <c r="N2814" s="265"/>
      <c r="O2814" s="265"/>
      <c r="P2814" s="265"/>
      <c r="Q2814" s="265"/>
      <c r="BR2814" s="265"/>
      <c r="BS2814" s="265"/>
      <c r="BT2814" s="265"/>
      <c r="BU2814" s="265"/>
      <c r="BV2814" s="265"/>
    </row>
    <row r="2815" spans="12:74">
      <c r="L2815" s="265"/>
      <c r="M2815" s="265"/>
      <c r="N2815" s="265"/>
      <c r="O2815" s="265"/>
      <c r="P2815" s="265"/>
      <c r="Q2815" s="265"/>
      <c r="BR2815" s="265"/>
      <c r="BS2815" s="265"/>
      <c r="BT2815" s="265"/>
      <c r="BU2815" s="265"/>
      <c r="BV2815" s="265"/>
    </row>
    <row r="2816" spans="12:74">
      <c r="L2816" s="265"/>
      <c r="M2816" s="265"/>
      <c r="N2816" s="265"/>
      <c r="O2816" s="265"/>
      <c r="P2816" s="265"/>
      <c r="Q2816" s="265"/>
      <c r="BR2816" s="265"/>
      <c r="BS2816" s="265"/>
      <c r="BT2816" s="265"/>
      <c r="BU2816" s="265"/>
      <c r="BV2816" s="265"/>
    </row>
    <row r="2817" spans="12:74">
      <c r="L2817" s="265"/>
      <c r="M2817" s="265"/>
      <c r="N2817" s="265"/>
      <c r="O2817" s="265"/>
      <c r="P2817" s="265"/>
      <c r="Q2817" s="265"/>
      <c r="BR2817" s="265"/>
      <c r="BS2817" s="265"/>
      <c r="BT2817" s="265"/>
      <c r="BU2817" s="265"/>
      <c r="BV2817" s="265"/>
    </row>
    <row r="2818" spans="12:74">
      <c r="L2818" s="265"/>
      <c r="M2818" s="265"/>
      <c r="N2818" s="265"/>
      <c r="O2818" s="265"/>
      <c r="P2818" s="265"/>
      <c r="Q2818" s="265"/>
      <c r="BR2818" s="265"/>
      <c r="BS2818" s="265"/>
      <c r="BT2818" s="265"/>
      <c r="BU2818" s="265"/>
      <c r="BV2818" s="265"/>
    </row>
    <row r="2819" spans="12:74">
      <c r="L2819" s="265"/>
      <c r="M2819" s="265"/>
      <c r="N2819" s="265"/>
      <c r="O2819" s="265"/>
      <c r="P2819" s="265"/>
      <c r="Q2819" s="265"/>
      <c r="BR2819" s="265"/>
      <c r="BS2819" s="265"/>
      <c r="BT2819" s="265"/>
      <c r="BU2819" s="265"/>
      <c r="BV2819" s="265"/>
    </row>
    <row r="2820" spans="12:74">
      <c r="L2820" s="265"/>
      <c r="M2820" s="265"/>
      <c r="N2820" s="265"/>
      <c r="O2820" s="265"/>
      <c r="P2820" s="265"/>
      <c r="Q2820" s="265"/>
      <c r="BR2820" s="265"/>
      <c r="BS2820" s="265"/>
      <c r="BT2820" s="265"/>
      <c r="BU2820" s="265"/>
      <c r="BV2820" s="265"/>
    </row>
    <row r="2821" spans="12:74">
      <c r="L2821" s="265"/>
      <c r="M2821" s="265"/>
      <c r="N2821" s="265"/>
      <c r="O2821" s="265"/>
      <c r="P2821" s="265"/>
      <c r="Q2821" s="265"/>
      <c r="BR2821" s="265"/>
      <c r="BS2821" s="265"/>
      <c r="BT2821" s="265"/>
      <c r="BU2821" s="265"/>
      <c r="BV2821" s="265"/>
    </row>
    <row r="2822" spans="12:74">
      <c r="L2822" s="265"/>
      <c r="M2822" s="265"/>
      <c r="N2822" s="265"/>
      <c r="O2822" s="265"/>
      <c r="P2822" s="265"/>
      <c r="Q2822" s="265"/>
      <c r="BR2822" s="265"/>
      <c r="BS2822" s="265"/>
      <c r="BT2822" s="265"/>
      <c r="BU2822" s="265"/>
      <c r="BV2822" s="265"/>
    </row>
    <row r="2823" spans="12:74">
      <c r="L2823" s="265"/>
      <c r="M2823" s="265"/>
      <c r="N2823" s="265"/>
      <c r="O2823" s="265"/>
      <c r="P2823" s="265"/>
      <c r="Q2823" s="265"/>
      <c r="BR2823" s="265"/>
      <c r="BS2823" s="265"/>
      <c r="BT2823" s="265"/>
      <c r="BU2823" s="265"/>
      <c r="BV2823" s="265"/>
    </row>
    <row r="2824" spans="12:74">
      <c r="L2824" s="265"/>
      <c r="M2824" s="265"/>
      <c r="N2824" s="265"/>
      <c r="O2824" s="265"/>
      <c r="P2824" s="265"/>
      <c r="Q2824" s="265"/>
      <c r="BR2824" s="265"/>
      <c r="BS2824" s="265"/>
      <c r="BT2824" s="265"/>
      <c r="BU2824" s="265"/>
      <c r="BV2824" s="265"/>
    </row>
    <row r="2825" spans="12:74">
      <c r="L2825" s="265"/>
      <c r="M2825" s="265"/>
      <c r="N2825" s="265"/>
      <c r="O2825" s="265"/>
      <c r="P2825" s="265"/>
      <c r="Q2825" s="265"/>
      <c r="BR2825" s="265"/>
      <c r="BS2825" s="265"/>
      <c r="BT2825" s="265"/>
      <c r="BU2825" s="265"/>
      <c r="BV2825" s="265"/>
    </row>
    <row r="2826" spans="12:74">
      <c r="L2826" s="265"/>
      <c r="M2826" s="265"/>
      <c r="N2826" s="265"/>
      <c r="O2826" s="265"/>
      <c r="P2826" s="265"/>
      <c r="Q2826" s="265"/>
      <c r="BR2826" s="265"/>
      <c r="BS2826" s="265"/>
      <c r="BT2826" s="265"/>
      <c r="BU2826" s="265"/>
      <c r="BV2826" s="265"/>
    </row>
    <row r="2827" spans="12:74">
      <c r="L2827" s="265"/>
      <c r="M2827" s="265"/>
      <c r="N2827" s="265"/>
      <c r="O2827" s="265"/>
      <c r="P2827" s="265"/>
      <c r="Q2827" s="265"/>
      <c r="BR2827" s="265"/>
      <c r="BS2827" s="265"/>
      <c r="BT2827" s="265"/>
      <c r="BU2827" s="265"/>
      <c r="BV2827" s="265"/>
    </row>
    <row r="2828" spans="12:74">
      <c r="L2828" s="265"/>
      <c r="M2828" s="265"/>
      <c r="N2828" s="265"/>
      <c r="O2828" s="265"/>
      <c r="P2828" s="265"/>
      <c r="Q2828" s="265"/>
      <c r="BR2828" s="265"/>
      <c r="BS2828" s="265"/>
      <c r="BT2828" s="265"/>
      <c r="BU2828" s="265"/>
      <c r="BV2828" s="265"/>
    </row>
    <row r="2829" spans="12:74">
      <c r="L2829" s="265"/>
      <c r="M2829" s="265"/>
      <c r="N2829" s="265"/>
      <c r="O2829" s="265"/>
      <c r="P2829" s="265"/>
      <c r="Q2829" s="265"/>
      <c r="BR2829" s="265"/>
      <c r="BS2829" s="265"/>
      <c r="BT2829" s="265"/>
      <c r="BU2829" s="265"/>
      <c r="BV2829" s="265"/>
    </row>
    <row r="2830" spans="12:74">
      <c r="L2830" s="265"/>
      <c r="M2830" s="265"/>
      <c r="N2830" s="265"/>
      <c r="O2830" s="265"/>
      <c r="P2830" s="265"/>
      <c r="Q2830" s="265"/>
      <c r="BR2830" s="265"/>
      <c r="BS2830" s="265"/>
      <c r="BT2830" s="265"/>
      <c r="BU2830" s="265"/>
      <c r="BV2830" s="265"/>
    </row>
    <row r="2831" spans="12:74">
      <c r="L2831" s="265"/>
      <c r="M2831" s="265"/>
      <c r="N2831" s="265"/>
      <c r="O2831" s="265"/>
      <c r="P2831" s="265"/>
      <c r="Q2831" s="265"/>
      <c r="BR2831" s="265"/>
      <c r="BS2831" s="265"/>
      <c r="BT2831" s="265"/>
      <c r="BU2831" s="265"/>
      <c r="BV2831" s="265"/>
    </row>
    <row r="2832" spans="12:74">
      <c r="L2832" s="265"/>
      <c r="M2832" s="265"/>
      <c r="N2832" s="265"/>
      <c r="O2832" s="265"/>
      <c r="P2832" s="265"/>
      <c r="Q2832" s="265"/>
      <c r="BR2832" s="265"/>
      <c r="BS2832" s="265"/>
      <c r="BT2832" s="265"/>
      <c r="BU2832" s="265"/>
      <c r="BV2832" s="265"/>
    </row>
    <row r="2833" spans="12:74">
      <c r="L2833" s="265"/>
      <c r="M2833" s="265"/>
      <c r="N2833" s="265"/>
      <c r="O2833" s="265"/>
      <c r="P2833" s="265"/>
      <c r="Q2833" s="265"/>
      <c r="BR2833" s="265"/>
      <c r="BS2833" s="265"/>
      <c r="BT2833" s="265"/>
      <c r="BU2833" s="265"/>
      <c r="BV2833" s="265"/>
    </row>
    <row r="2834" spans="12:74">
      <c r="L2834" s="265"/>
      <c r="M2834" s="265"/>
      <c r="N2834" s="265"/>
      <c r="O2834" s="265"/>
      <c r="P2834" s="265"/>
      <c r="Q2834" s="265"/>
      <c r="BR2834" s="265"/>
      <c r="BS2834" s="265"/>
      <c r="BT2834" s="265"/>
      <c r="BU2834" s="265"/>
      <c r="BV2834" s="265"/>
    </row>
    <row r="2835" spans="12:74">
      <c r="L2835" s="265"/>
      <c r="M2835" s="265"/>
      <c r="N2835" s="265"/>
      <c r="O2835" s="265"/>
      <c r="P2835" s="265"/>
      <c r="Q2835" s="265"/>
      <c r="BR2835" s="265"/>
      <c r="BS2835" s="265"/>
      <c r="BT2835" s="265"/>
      <c r="BU2835" s="265"/>
      <c r="BV2835" s="265"/>
    </row>
    <row r="2836" spans="12:74">
      <c r="L2836" s="265"/>
      <c r="M2836" s="265"/>
      <c r="N2836" s="265"/>
      <c r="O2836" s="265"/>
      <c r="P2836" s="265"/>
      <c r="Q2836" s="265"/>
      <c r="BR2836" s="265"/>
      <c r="BS2836" s="265"/>
      <c r="BT2836" s="265"/>
      <c r="BU2836" s="265"/>
      <c r="BV2836" s="265"/>
    </row>
    <row r="2837" spans="12:74">
      <c r="L2837" s="265"/>
      <c r="M2837" s="265"/>
      <c r="N2837" s="265"/>
      <c r="O2837" s="265"/>
      <c r="P2837" s="265"/>
      <c r="Q2837" s="265"/>
      <c r="BR2837" s="265"/>
      <c r="BS2837" s="265"/>
      <c r="BT2837" s="265"/>
      <c r="BU2837" s="265"/>
      <c r="BV2837" s="265"/>
    </row>
    <row r="2838" spans="12:74">
      <c r="L2838" s="265"/>
      <c r="M2838" s="265"/>
      <c r="N2838" s="265"/>
      <c r="O2838" s="265"/>
      <c r="P2838" s="265"/>
      <c r="Q2838" s="265"/>
      <c r="BR2838" s="265"/>
      <c r="BS2838" s="265"/>
      <c r="BT2838" s="265"/>
      <c r="BU2838" s="265"/>
      <c r="BV2838" s="265"/>
    </row>
    <row r="2839" spans="12:74">
      <c r="L2839" s="265"/>
      <c r="M2839" s="265"/>
      <c r="N2839" s="265"/>
      <c r="O2839" s="265"/>
      <c r="P2839" s="265"/>
      <c r="Q2839" s="265"/>
      <c r="BR2839" s="265"/>
      <c r="BS2839" s="265"/>
      <c r="BT2839" s="265"/>
      <c r="BU2839" s="265"/>
      <c r="BV2839" s="265"/>
    </row>
    <row r="2840" spans="12:74">
      <c r="L2840" s="265"/>
      <c r="M2840" s="265"/>
      <c r="N2840" s="265"/>
      <c r="O2840" s="265"/>
      <c r="P2840" s="265"/>
      <c r="Q2840" s="265"/>
      <c r="BR2840" s="265"/>
      <c r="BS2840" s="265"/>
      <c r="BT2840" s="265"/>
      <c r="BU2840" s="265"/>
      <c r="BV2840" s="265"/>
    </row>
    <row r="2841" spans="12:74">
      <c r="L2841" s="265"/>
      <c r="M2841" s="265"/>
      <c r="N2841" s="265"/>
      <c r="O2841" s="265"/>
      <c r="P2841" s="265"/>
      <c r="Q2841" s="265"/>
      <c r="BR2841" s="265"/>
      <c r="BS2841" s="265"/>
      <c r="BT2841" s="265"/>
      <c r="BU2841" s="265"/>
      <c r="BV2841" s="265"/>
    </row>
    <row r="2842" spans="12:74">
      <c r="L2842" s="265"/>
      <c r="M2842" s="265"/>
      <c r="N2842" s="265"/>
      <c r="O2842" s="265"/>
      <c r="P2842" s="265"/>
      <c r="Q2842" s="265"/>
      <c r="BR2842" s="265"/>
      <c r="BS2842" s="265"/>
      <c r="BT2842" s="265"/>
      <c r="BU2842" s="265"/>
      <c r="BV2842" s="265"/>
    </row>
    <row r="2843" spans="12:74">
      <c r="L2843" s="265"/>
      <c r="M2843" s="265"/>
      <c r="N2843" s="265"/>
      <c r="O2843" s="265"/>
      <c r="P2843" s="265"/>
      <c r="Q2843" s="265"/>
      <c r="BR2843" s="265"/>
      <c r="BS2843" s="265"/>
      <c r="BT2843" s="265"/>
      <c r="BU2843" s="265"/>
      <c r="BV2843" s="265"/>
    </row>
    <row r="2844" spans="12:74">
      <c r="L2844" s="265"/>
      <c r="M2844" s="265"/>
      <c r="N2844" s="265"/>
      <c r="O2844" s="265"/>
      <c r="P2844" s="265"/>
      <c r="Q2844" s="265"/>
      <c r="BR2844" s="265"/>
      <c r="BS2844" s="265"/>
      <c r="BT2844" s="265"/>
      <c r="BU2844" s="265"/>
      <c r="BV2844" s="265"/>
    </row>
    <row r="2845" spans="12:74">
      <c r="L2845" s="265"/>
      <c r="M2845" s="265"/>
      <c r="N2845" s="265"/>
      <c r="O2845" s="265"/>
      <c r="P2845" s="265"/>
      <c r="Q2845" s="265"/>
      <c r="BR2845" s="265"/>
      <c r="BS2845" s="265"/>
      <c r="BT2845" s="265"/>
      <c r="BU2845" s="265"/>
      <c r="BV2845" s="265"/>
    </row>
    <row r="2846" spans="12:74">
      <c r="L2846" s="265"/>
      <c r="M2846" s="265"/>
      <c r="N2846" s="265"/>
      <c r="O2846" s="265"/>
      <c r="P2846" s="265"/>
      <c r="Q2846" s="265"/>
      <c r="BR2846" s="265"/>
      <c r="BS2846" s="265"/>
      <c r="BT2846" s="265"/>
      <c r="BU2846" s="265"/>
      <c r="BV2846" s="265"/>
    </row>
    <row r="2847" spans="12:74">
      <c r="L2847" s="265"/>
      <c r="M2847" s="265"/>
      <c r="N2847" s="265"/>
      <c r="O2847" s="265"/>
      <c r="P2847" s="265"/>
      <c r="Q2847" s="265"/>
      <c r="BR2847" s="265"/>
      <c r="BS2847" s="265"/>
      <c r="BT2847" s="265"/>
      <c r="BU2847" s="265"/>
      <c r="BV2847" s="265"/>
    </row>
    <row r="2848" spans="12:74">
      <c r="L2848" s="265"/>
      <c r="M2848" s="265"/>
      <c r="N2848" s="265"/>
      <c r="O2848" s="265"/>
      <c r="P2848" s="265"/>
      <c r="Q2848" s="265"/>
      <c r="BR2848" s="265"/>
      <c r="BS2848" s="265"/>
      <c r="BT2848" s="265"/>
      <c r="BU2848" s="265"/>
      <c r="BV2848" s="265"/>
    </row>
    <row r="2849" spans="12:74">
      <c r="L2849" s="265"/>
      <c r="M2849" s="265"/>
      <c r="N2849" s="265"/>
      <c r="O2849" s="265"/>
      <c r="P2849" s="265"/>
      <c r="Q2849" s="265"/>
      <c r="BR2849" s="265"/>
      <c r="BS2849" s="265"/>
      <c r="BT2849" s="265"/>
      <c r="BU2849" s="265"/>
      <c r="BV2849" s="265"/>
    </row>
    <row r="2850" spans="12:74">
      <c r="L2850" s="265"/>
      <c r="M2850" s="265"/>
      <c r="N2850" s="265"/>
      <c r="O2850" s="265"/>
      <c r="P2850" s="265"/>
      <c r="Q2850" s="265"/>
      <c r="BR2850" s="265"/>
      <c r="BS2850" s="265"/>
      <c r="BT2850" s="265"/>
      <c r="BU2850" s="265"/>
      <c r="BV2850" s="265"/>
    </row>
    <row r="2851" spans="12:74">
      <c r="L2851" s="265"/>
      <c r="M2851" s="265"/>
      <c r="N2851" s="265"/>
      <c r="O2851" s="265"/>
      <c r="P2851" s="265"/>
      <c r="Q2851" s="265"/>
      <c r="BR2851" s="265"/>
      <c r="BS2851" s="265"/>
      <c r="BT2851" s="265"/>
      <c r="BU2851" s="265"/>
      <c r="BV2851" s="265"/>
    </row>
    <row r="2852" spans="12:74">
      <c r="L2852" s="265"/>
      <c r="M2852" s="265"/>
      <c r="N2852" s="265"/>
      <c r="O2852" s="265"/>
      <c r="P2852" s="265"/>
      <c r="Q2852" s="265"/>
      <c r="BR2852" s="265"/>
      <c r="BS2852" s="265"/>
      <c r="BT2852" s="265"/>
      <c r="BU2852" s="265"/>
      <c r="BV2852" s="265"/>
    </row>
    <row r="2853" spans="12:74">
      <c r="L2853" s="265"/>
      <c r="M2853" s="265"/>
      <c r="N2853" s="265"/>
      <c r="O2853" s="265"/>
      <c r="P2853" s="265"/>
      <c r="Q2853" s="265"/>
      <c r="BR2853" s="265"/>
      <c r="BS2853" s="265"/>
      <c r="BT2853" s="265"/>
      <c r="BU2853" s="265"/>
      <c r="BV2853" s="265"/>
    </row>
    <row r="2854" spans="12:74">
      <c r="L2854" s="265"/>
      <c r="M2854" s="265"/>
      <c r="N2854" s="265"/>
      <c r="O2854" s="265"/>
      <c r="P2854" s="265"/>
      <c r="Q2854" s="265"/>
      <c r="BR2854" s="265"/>
      <c r="BS2854" s="265"/>
      <c r="BT2854" s="265"/>
      <c r="BU2854" s="265"/>
      <c r="BV2854" s="265"/>
    </row>
    <row r="2855" spans="12:74">
      <c r="L2855" s="265"/>
      <c r="M2855" s="265"/>
      <c r="N2855" s="265"/>
      <c r="O2855" s="265"/>
      <c r="P2855" s="265"/>
      <c r="Q2855" s="265"/>
      <c r="BR2855" s="265"/>
      <c r="BS2855" s="265"/>
      <c r="BT2855" s="265"/>
      <c r="BU2855" s="265"/>
      <c r="BV2855" s="265"/>
    </row>
    <row r="2856" spans="12:74">
      <c r="L2856" s="265"/>
      <c r="M2856" s="265"/>
      <c r="N2856" s="265"/>
      <c r="O2856" s="265"/>
      <c r="P2856" s="265"/>
      <c r="Q2856" s="265"/>
      <c r="BR2856" s="265"/>
      <c r="BS2856" s="265"/>
      <c r="BT2856" s="265"/>
      <c r="BU2856" s="265"/>
      <c r="BV2856" s="265"/>
    </row>
    <row r="2857" spans="12:74">
      <c r="L2857" s="265"/>
      <c r="M2857" s="265"/>
      <c r="N2857" s="265"/>
      <c r="O2857" s="265"/>
      <c r="P2857" s="265"/>
      <c r="Q2857" s="265"/>
      <c r="BR2857" s="265"/>
      <c r="BS2857" s="265"/>
      <c r="BT2857" s="265"/>
      <c r="BU2857" s="265"/>
      <c r="BV2857" s="265"/>
    </row>
    <row r="2858" spans="12:74">
      <c r="L2858" s="265"/>
      <c r="M2858" s="265"/>
      <c r="N2858" s="265"/>
      <c r="O2858" s="265"/>
      <c r="P2858" s="265"/>
      <c r="Q2858" s="265"/>
      <c r="BR2858" s="265"/>
      <c r="BS2858" s="265"/>
      <c r="BT2858" s="265"/>
      <c r="BU2858" s="265"/>
      <c r="BV2858" s="265"/>
    </row>
    <row r="2859" spans="12:74">
      <c r="L2859" s="265"/>
      <c r="M2859" s="265"/>
      <c r="N2859" s="265"/>
      <c r="O2859" s="265"/>
      <c r="P2859" s="265"/>
      <c r="Q2859" s="265"/>
      <c r="BR2859" s="265"/>
      <c r="BS2859" s="265"/>
      <c r="BT2859" s="265"/>
      <c r="BU2859" s="265"/>
      <c r="BV2859" s="265"/>
    </row>
    <row r="2860" spans="12:74">
      <c r="L2860" s="265"/>
      <c r="M2860" s="265"/>
      <c r="N2860" s="265"/>
      <c r="O2860" s="265"/>
      <c r="P2860" s="265"/>
      <c r="Q2860" s="265"/>
      <c r="BR2860" s="265"/>
      <c r="BS2860" s="265"/>
      <c r="BT2860" s="265"/>
      <c r="BU2860" s="265"/>
      <c r="BV2860" s="265"/>
    </row>
    <row r="2861" spans="12:74">
      <c r="L2861" s="265"/>
      <c r="M2861" s="265"/>
      <c r="N2861" s="265"/>
      <c r="O2861" s="265"/>
      <c r="P2861" s="265"/>
      <c r="Q2861" s="265"/>
      <c r="BR2861" s="265"/>
      <c r="BS2861" s="265"/>
      <c r="BT2861" s="265"/>
      <c r="BU2861" s="265"/>
      <c r="BV2861" s="265"/>
    </row>
    <row r="2862" spans="12:74">
      <c r="L2862" s="265"/>
      <c r="M2862" s="265"/>
      <c r="N2862" s="265"/>
      <c r="O2862" s="265"/>
      <c r="P2862" s="265"/>
      <c r="Q2862" s="265"/>
      <c r="BR2862" s="265"/>
      <c r="BS2862" s="265"/>
      <c r="BT2862" s="265"/>
      <c r="BU2862" s="265"/>
      <c r="BV2862" s="265"/>
    </row>
    <row r="2863" spans="12:74">
      <c r="L2863" s="265"/>
      <c r="M2863" s="265"/>
      <c r="N2863" s="265"/>
      <c r="O2863" s="265"/>
      <c r="P2863" s="265"/>
      <c r="Q2863" s="265"/>
      <c r="BR2863" s="265"/>
      <c r="BS2863" s="265"/>
      <c r="BT2863" s="265"/>
      <c r="BU2863" s="265"/>
      <c r="BV2863" s="265"/>
    </row>
    <row r="2864" spans="12:74">
      <c r="L2864" s="265"/>
      <c r="M2864" s="265"/>
      <c r="N2864" s="265"/>
      <c r="O2864" s="265"/>
      <c r="P2864" s="265"/>
      <c r="Q2864" s="265"/>
      <c r="BR2864" s="265"/>
      <c r="BS2864" s="265"/>
      <c r="BT2864" s="265"/>
      <c r="BU2864" s="265"/>
      <c r="BV2864" s="265"/>
    </row>
    <row r="2865" spans="12:74">
      <c r="L2865" s="265"/>
      <c r="M2865" s="265"/>
      <c r="N2865" s="265"/>
      <c r="O2865" s="265"/>
      <c r="P2865" s="265"/>
      <c r="Q2865" s="265"/>
      <c r="BR2865" s="265"/>
      <c r="BS2865" s="265"/>
      <c r="BT2865" s="265"/>
      <c r="BU2865" s="265"/>
      <c r="BV2865" s="265"/>
    </row>
    <row r="2866" spans="12:74">
      <c r="L2866" s="265"/>
      <c r="M2866" s="265"/>
      <c r="N2866" s="265"/>
      <c r="O2866" s="265"/>
      <c r="P2866" s="265"/>
      <c r="Q2866" s="265"/>
      <c r="BR2866" s="265"/>
      <c r="BS2866" s="265"/>
      <c r="BT2866" s="265"/>
      <c r="BU2866" s="265"/>
      <c r="BV2866" s="265"/>
    </row>
    <row r="2867" spans="12:74">
      <c r="L2867" s="265"/>
      <c r="M2867" s="265"/>
      <c r="N2867" s="265"/>
      <c r="O2867" s="265"/>
      <c r="P2867" s="265"/>
      <c r="Q2867" s="265"/>
      <c r="BR2867" s="265"/>
      <c r="BS2867" s="265"/>
      <c r="BT2867" s="265"/>
      <c r="BU2867" s="265"/>
      <c r="BV2867" s="265"/>
    </row>
    <row r="2868" spans="12:74">
      <c r="L2868" s="265"/>
      <c r="M2868" s="265"/>
      <c r="N2868" s="265"/>
      <c r="O2868" s="265"/>
      <c r="P2868" s="265"/>
      <c r="Q2868" s="265"/>
      <c r="BR2868" s="265"/>
      <c r="BS2868" s="265"/>
      <c r="BT2868" s="265"/>
      <c r="BU2868" s="265"/>
      <c r="BV2868" s="265"/>
    </row>
    <row r="2869" spans="12:74">
      <c r="L2869" s="265"/>
      <c r="M2869" s="265"/>
      <c r="N2869" s="265"/>
      <c r="O2869" s="265"/>
      <c r="P2869" s="265"/>
      <c r="Q2869" s="265"/>
      <c r="BR2869" s="265"/>
      <c r="BS2869" s="265"/>
      <c r="BT2869" s="265"/>
      <c r="BU2869" s="265"/>
      <c r="BV2869" s="265"/>
    </row>
    <row r="2870" spans="12:74">
      <c r="L2870" s="265"/>
      <c r="M2870" s="265"/>
      <c r="N2870" s="265"/>
      <c r="O2870" s="265"/>
      <c r="P2870" s="265"/>
      <c r="Q2870" s="265"/>
      <c r="BR2870" s="265"/>
      <c r="BS2870" s="265"/>
      <c r="BT2870" s="265"/>
      <c r="BU2870" s="265"/>
      <c r="BV2870" s="265"/>
    </row>
    <row r="2871" spans="12:74">
      <c r="L2871" s="265"/>
      <c r="M2871" s="265"/>
      <c r="N2871" s="265"/>
      <c r="O2871" s="265"/>
      <c r="P2871" s="265"/>
      <c r="Q2871" s="265"/>
      <c r="BR2871" s="265"/>
      <c r="BS2871" s="265"/>
      <c r="BT2871" s="265"/>
      <c r="BU2871" s="265"/>
      <c r="BV2871" s="265"/>
    </row>
    <row r="2872" spans="12:74">
      <c r="L2872" s="265"/>
      <c r="M2872" s="265"/>
      <c r="N2872" s="265"/>
      <c r="O2872" s="265"/>
      <c r="P2872" s="265"/>
      <c r="Q2872" s="265"/>
      <c r="BR2872" s="265"/>
      <c r="BS2872" s="265"/>
      <c r="BT2872" s="265"/>
      <c r="BU2872" s="265"/>
      <c r="BV2872" s="265"/>
    </row>
    <row r="2873" spans="12:74">
      <c r="L2873" s="265"/>
      <c r="M2873" s="265"/>
      <c r="N2873" s="265"/>
      <c r="O2873" s="265"/>
      <c r="P2873" s="265"/>
      <c r="Q2873" s="265"/>
      <c r="BR2873" s="265"/>
      <c r="BS2873" s="265"/>
      <c r="BT2873" s="265"/>
      <c r="BU2873" s="265"/>
      <c r="BV2873" s="265"/>
    </row>
    <row r="2874" spans="12:74">
      <c r="L2874" s="265"/>
      <c r="M2874" s="265"/>
      <c r="N2874" s="265"/>
      <c r="O2874" s="265"/>
      <c r="P2874" s="265"/>
      <c r="Q2874" s="265"/>
      <c r="BR2874" s="265"/>
      <c r="BS2874" s="265"/>
      <c r="BT2874" s="265"/>
      <c r="BU2874" s="265"/>
      <c r="BV2874" s="265"/>
    </row>
    <row r="2875" spans="12:74">
      <c r="L2875" s="265"/>
      <c r="M2875" s="265"/>
      <c r="N2875" s="265"/>
      <c r="O2875" s="265"/>
      <c r="P2875" s="265"/>
      <c r="Q2875" s="265"/>
      <c r="BR2875" s="265"/>
      <c r="BS2875" s="265"/>
      <c r="BT2875" s="265"/>
      <c r="BU2875" s="265"/>
      <c r="BV2875" s="265"/>
    </row>
    <row r="2876" spans="12:74">
      <c r="L2876" s="265"/>
      <c r="M2876" s="265"/>
      <c r="N2876" s="265"/>
      <c r="O2876" s="265"/>
      <c r="P2876" s="265"/>
      <c r="Q2876" s="265"/>
      <c r="BR2876" s="265"/>
      <c r="BS2876" s="265"/>
      <c r="BT2876" s="265"/>
      <c r="BU2876" s="265"/>
      <c r="BV2876" s="265"/>
    </row>
    <row r="2877" spans="12:74">
      <c r="L2877" s="265"/>
      <c r="M2877" s="265"/>
      <c r="N2877" s="265"/>
      <c r="O2877" s="265"/>
      <c r="P2877" s="265"/>
      <c r="Q2877" s="265"/>
      <c r="BR2877" s="265"/>
      <c r="BS2877" s="265"/>
      <c r="BT2877" s="265"/>
      <c r="BU2877" s="265"/>
      <c r="BV2877" s="265"/>
    </row>
    <row r="2878" spans="12:74">
      <c r="L2878" s="265"/>
      <c r="M2878" s="265"/>
      <c r="N2878" s="265"/>
      <c r="O2878" s="265"/>
      <c r="P2878" s="265"/>
      <c r="Q2878" s="265"/>
      <c r="BR2878" s="265"/>
      <c r="BS2878" s="265"/>
      <c r="BT2878" s="265"/>
      <c r="BU2878" s="265"/>
      <c r="BV2878" s="265"/>
    </row>
    <row r="2879" spans="12:74">
      <c r="L2879" s="265"/>
      <c r="M2879" s="265"/>
      <c r="N2879" s="265"/>
      <c r="O2879" s="265"/>
      <c r="P2879" s="265"/>
      <c r="Q2879" s="265"/>
      <c r="BR2879" s="265"/>
      <c r="BS2879" s="265"/>
      <c r="BT2879" s="265"/>
      <c r="BU2879" s="265"/>
      <c r="BV2879" s="265"/>
    </row>
    <row r="2880" spans="12:74">
      <c r="L2880" s="265"/>
      <c r="M2880" s="265"/>
      <c r="N2880" s="265"/>
      <c r="O2880" s="265"/>
      <c r="P2880" s="265"/>
      <c r="Q2880" s="265"/>
      <c r="BR2880" s="265"/>
      <c r="BS2880" s="265"/>
      <c r="BT2880" s="265"/>
      <c r="BU2880" s="265"/>
      <c r="BV2880" s="265"/>
    </row>
    <row r="2881" spans="12:74">
      <c r="L2881" s="265"/>
      <c r="M2881" s="265"/>
      <c r="N2881" s="265"/>
      <c r="O2881" s="265"/>
      <c r="P2881" s="265"/>
      <c r="Q2881" s="265"/>
      <c r="BR2881" s="265"/>
      <c r="BS2881" s="265"/>
      <c r="BT2881" s="265"/>
      <c r="BU2881" s="265"/>
      <c r="BV2881" s="265"/>
    </row>
    <row r="2882" spans="12:74">
      <c r="L2882" s="265"/>
      <c r="M2882" s="265"/>
      <c r="N2882" s="265"/>
      <c r="O2882" s="265"/>
      <c r="P2882" s="265"/>
      <c r="Q2882" s="265"/>
      <c r="BR2882" s="265"/>
      <c r="BS2882" s="265"/>
      <c r="BT2882" s="265"/>
      <c r="BU2882" s="265"/>
      <c r="BV2882" s="265"/>
    </row>
    <row r="2883" spans="12:74">
      <c r="L2883" s="265"/>
      <c r="M2883" s="265"/>
      <c r="N2883" s="265"/>
      <c r="O2883" s="265"/>
      <c r="P2883" s="265"/>
      <c r="Q2883" s="265"/>
      <c r="BR2883" s="265"/>
      <c r="BS2883" s="265"/>
      <c r="BT2883" s="265"/>
      <c r="BU2883" s="265"/>
      <c r="BV2883" s="265"/>
    </row>
    <row r="2884" spans="12:74">
      <c r="L2884" s="265"/>
      <c r="M2884" s="265"/>
      <c r="N2884" s="265"/>
      <c r="O2884" s="265"/>
      <c r="P2884" s="265"/>
      <c r="Q2884" s="265"/>
      <c r="BR2884" s="265"/>
      <c r="BS2884" s="265"/>
      <c r="BT2884" s="265"/>
      <c r="BU2884" s="265"/>
      <c r="BV2884" s="265"/>
    </row>
    <row r="2885" spans="12:74">
      <c r="L2885" s="265"/>
      <c r="M2885" s="265"/>
      <c r="N2885" s="265"/>
      <c r="O2885" s="265"/>
      <c r="P2885" s="265"/>
      <c r="Q2885" s="265"/>
      <c r="BR2885" s="265"/>
      <c r="BS2885" s="265"/>
      <c r="BT2885" s="265"/>
      <c r="BU2885" s="265"/>
      <c r="BV2885" s="265"/>
    </row>
    <row r="2886" spans="12:74">
      <c r="L2886" s="265"/>
      <c r="M2886" s="265"/>
      <c r="N2886" s="265"/>
      <c r="O2886" s="265"/>
      <c r="P2886" s="265"/>
      <c r="Q2886" s="265"/>
      <c r="BR2886" s="265"/>
      <c r="BS2886" s="265"/>
      <c r="BT2886" s="265"/>
      <c r="BU2886" s="265"/>
      <c r="BV2886" s="265"/>
    </row>
    <row r="2887" spans="12:74">
      <c r="L2887" s="265"/>
      <c r="M2887" s="265"/>
      <c r="N2887" s="265"/>
      <c r="O2887" s="265"/>
      <c r="P2887" s="265"/>
      <c r="Q2887" s="265"/>
      <c r="BR2887" s="265"/>
      <c r="BS2887" s="265"/>
      <c r="BT2887" s="265"/>
      <c r="BU2887" s="265"/>
      <c r="BV2887" s="265"/>
    </row>
    <row r="2888" spans="12:74">
      <c r="L2888" s="265"/>
      <c r="M2888" s="265"/>
      <c r="N2888" s="265"/>
      <c r="O2888" s="265"/>
      <c r="P2888" s="265"/>
      <c r="Q2888" s="265"/>
      <c r="BR2888" s="265"/>
      <c r="BS2888" s="265"/>
      <c r="BT2888" s="265"/>
      <c r="BU2888" s="265"/>
      <c r="BV2888" s="265"/>
    </row>
    <row r="2889" spans="12:74">
      <c r="L2889" s="265"/>
      <c r="M2889" s="265"/>
      <c r="N2889" s="265"/>
      <c r="O2889" s="265"/>
      <c r="P2889" s="265"/>
      <c r="Q2889" s="265"/>
      <c r="BR2889" s="265"/>
      <c r="BS2889" s="265"/>
      <c r="BT2889" s="265"/>
      <c r="BU2889" s="265"/>
      <c r="BV2889" s="265"/>
    </row>
    <row r="2890" spans="12:74">
      <c r="L2890" s="265"/>
      <c r="M2890" s="265"/>
      <c r="N2890" s="265"/>
      <c r="O2890" s="265"/>
      <c r="P2890" s="265"/>
      <c r="Q2890" s="265"/>
      <c r="BR2890" s="265"/>
      <c r="BS2890" s="265"/>
      <c r="BT2890" s="265"/>
      <c r="BU2890" s="265"/>
      <c r="BV2890" s="265"/>
    </row>
    <row r="2891" spans="12:74">
      <c r="L2891" s="265"/>
      <c r="M2891" s="265"/>
      <c r="N2891" s="265"/>
      <c r="O2891" s="265"/>
      <c r="P2891" s="265"/>
      <c r="Q2891" s="265"/>
      <c r="BR2891" s="265"/>
      <c r="BS2891" s="265"/>
      <c r="BT2891" s="265"/>
      <c r="BU2891" s="265"/>
      <c r="BV2891" s="265"/>
    </row>
    <row r="2892" spans="12:74">
      <c r="L2892" s="265"/>
      <c r="M2892" s="265"/>
      <c r="N2892" s="265"/>
      <c r="O2892" s="265"/>
      <c r="P2892" s="265"/>
      <c r="Q2892" s="265"/>
      <c r="BR2892" s="265"/>
      <c r="BS2892" s="265"/>
      <c r="BT2892" s="265"/>
      <c r="BU2892" s="265"/>
      <c r="BV2892" s="265"/>
    </row>
    <row r="2893" spans="12:74">
      <c r="L2893" s="265"/>
      <c r="M2893" s="265"/>
      <c r="N2893" s="265"/>
      <c r="O2893" s="265"/>
      <c r="P2893" s="265"/>
      <c r="Q2893" s="265"/>
      <c r="BR2893" s="265"/>
      <c r="BS2893" s="265"/>
      <c r="BT2893" s="265"/>
      <c r="BU2893" s="265"/>
      <c r="BV2893" s="265"/>
    </row>
    <row r="2894" spans="12:74">
      <c r="L2894" s="265"/>
      <c r="M2894" s="265"/>
      <c r="N2894" s="265"/>
      <c r="O2894" s="265"/>
      <c r="P2894" s="265"/>
      <c r="Q2894" s="265"/>
      <c r="BR2894" s="265"/>
      <c r="BS2894" s="265"/>
      <c r="BT2894" s="265"/>
      <c r="BU2894" s="265"/>
      <c r="BV2894" s="265"/>
    </row>
    <row r="2895" spans="12:74">
      <c r="L2895" s="265"/>
      <c r="M2895" s="265"/>
      <c r="N2895" s="265"/>
      <c r="O2895" s="265"/>
      <c r="P2895" s="265"/>
      <c r="Q2895" s="265"/>
      <c r="BR2895" s="265"/>
      <c r="BS2895" s="265"/>
      <c r="BT2895" s="265"/>
      <c r="BU2895" s="265"/>
      <c r="BV2895" s="265"/>
    </row>
    <row r="2896" spans="12:74">
      <c r="L2896" s="265"/>
      <c r="M2896" s="265"/>
      <c r="N2896" s="265"/>
      <c r="O2896" s="265"/>
      <c r="P2896" s="265"/>
      <c r="Q2896" s="265"/>
      <c r="BR2896" s="265"/>
      <c r="BS2896" s="265"/>
      <c r="BT2896" s="265"/>
      <c r="BU2896" s="265"/>
      <c r="BV2896" s="265"/>
    </row>
    <row r="2897" spans="12:74">
      <c r="L2897" s="265"/>
      <c r="M2897" s="265"/>
      <c r="N2897" s="265"/>
      <c r="O2897" s="265"/>
      <c r="P2897" s="265"/>
      <c r="Q2897" s="265"/>
      <c r="BR2897" s="265"/>
      <c r="BS2897" s="265"/>
      <c r="BT2897" s="265"/>
      <c r="BU2897" s="265"/>
      <c r="BV2897" s="265"/>
    </row>
    <row r="2898" spans="12:74">
      <c r="L2898" s="265"/>
      <c r="M2898" s="265"/>
      <c r="N2898" s="265"/>
      <c r="O2898" s="265"/>
      <c r="P2898" s="265"/>
      <c r="Q2898" s="265"/>
      <c r="BR2898" s="265"/>
      <c r="BS2898" s="265"/>
      <c r="BT2898" s="265"/>
      <c r="BU2898" s="265"/>
      <c r="BV2898" s="265"/>
    </row>
    <row r="2899" spans="12:74">
      <c r="L2899" s="265"/>
      <c r="M2899" s="265"/>
      <c r="N2899" s="265"/>
      <c r="O2899" s="265"/>
      <c r="P2899" s="265"/>
      <c r="Q2899" s="265"/>
      <c r="BR2899" s="265"/>
      <c r="BS2899" s="265"/>
      <c r="BT2899" s="265"/>
      <c r="BU2899" s="265"/>
      <c r="BV2899" s="265"/>
    </row>
    <row r="2900" spans="12:74">
      <c r="L2900" s="265"/>
      <c r="M2900" s="265"/>
      <c r="N2900" s="265"/>
      <c r="O2900" s="265"/>
      <c r="P2900" s="265"/>
      <c r="Q2900" s="265"/>
      <c r="BR2900" s="265"/>
      <c r="BS2900" s="265"/>
      <c r="BT2900" s="265"/>
      <c r="BU2900" s="265"/>
      <c r="BV2900" s="265"/>
    </row>
    <row r="2901" spans="12:74">
      <c r="L2901" s="265"/>
      <c r="M2901" s="265"/>
      <c r="N2901" s="265"/>
      <c r="O2901" s="265"/>
      <c r="P2901" s="265"/>
      <c r="Q2901" s="265"/>
      <c r="BR2901" s="265"/>
      <c r="BS2901" s="265"/>
      <c r="BT2901" s="265"/>
      <c r="BU2901" s="265"/>
      <c r="BV2901" s="265"/>
    </row>
    <row r="2902" spans="12:74">
      <c r="L2902" s="265"/>
      <c r="M2902" s="265"/>
      <c r="N2902" s="265"/>
      <c r="O2902" s="265"/>
      <c r="P2902" s="265"/>
      <c r="Q2902" s="265"/>
      <c r="BR2902" s="265"/>
      <c r="BS2902" s="265"/>
      <c r="BT2902" s="265"/>
      <c r="BU2902" s="265"/>
      <c r="BV2902" s="265"/>
    </row>
    <row r="2903" spans="12:74">
      <c r="L2903" s="265"/>
      <c r="M2903" s="265"/>
      <c r="N2903" s="265"/>
      <c r="O2903" s="265"/>
      <c r="P2903" s="265"/>
      <c r="Q2903" s="265"/>
      <c r="BR2903" s="265"/>
      <c r="BS2903" s="265"/>
      <c r="BT2903" s="265"/>
      <c r="BU2903" s="265"/>
      <c r="BV2903" s="265"/>
    </row>
    <row r="2904" spans="12:74">
      <c r="L2904" s="265"/>
      <c r="M2904" s="265"/>
      <c r="N2904" s="265"/>
      <c r="O2904" s="265"/>
      <c r="P2904" s="265"/>
      <c r="Q2904" s="265"/>
      <c r="BR2904" s="265"/>
      <c r="BS2904" s="265"/>
      <c r="BT2904" s="265"/>
      <c r="BU2904" s="265"/>
      <c r="BV2904" s="265"/>
    </row>
    <row r="2905" spans="12:74">
      <c r="L2905" s="265"/>
      <c r="M2905" s="265"/>
      <c r="N2905" s="265"/>
      <c r="O2905" s="265"/>
      <c r="P2905" s="265"/>
      <c r="Q2905" s="265"/>
      <c r="BR2905" s="265"/>
      <c r="BS2905" s="265"/>
      <c r="BT2905" s="265"/>
      <c r="BU2905" s="265"/>
      <c r="BV2905" s="265"/>
    </row>
    <row r="2906" spans="12:74">
      <c r="L2906" s="265"/>
      <c r="M2906" s="265"/>
      <c r="N2906" s="265"/>
      <c r="O2906" s="265"/>
      <c r="P2906" s="265"/>
      <c r="Q2906" s="265"/>
      <c r="BR2906" s="265"/>
      <c r="BS2906" s="265"/>
      <c r="BT2906" s="265"/>
      <c r="BU2906" s="265"/>
      <c r="BV2906" s="265"/>
    </row>
    <row r="2907" spans="12:74">
      <c r="L2907" s="265"/>
      <c r="M2907" s="265"/>
      <c r="N2907" s="265"/>
      <c r="O2907" s="265"/>
      <c r="P2907" s="265"/>
      <c r="Q2907" s="265"/>
      <c r="BR2907" s="265"/>
      <c r="BS2907" s="265"/>
      <c r="BT2907" s="265"/>
      <c r="BU2907" s="265"/>
      <c r="BV2907" s="265"/>
    </row>
    <row r="2908" spans="12:74">
      <c r="L2908" s="265"/>
      <c r="M2908" s="265"/>
      <c r="N2908" s="265"/>
      <c r="O2908" s="265"/>
      <c r="P2908" s="265"/>
      <c r="Q2908" s="265"/>
      <c r="BR2908" s="265"/>
      <c r="BS2908" s="265"/>
      <c r="BT2908" s="265"/>
      <c r="BU2908" s="265"/>
      <c r="BV2908" s="265"/>
    </row>
    <row r="2909" spans="12:74">
      <c r="L2909" s="265"/>
      <c r="M2909" s="265"/>
      <c r="N2909" s="265"/>
      <c r="O2909" s="265"/>
      <c r="P2909" s="265"/>
      <c r="Q2909" s="265"/>
      <c r="BR2909" s="265"/>
      <c r="BS2909" s="265"/>
      <c r="BT2909" s="265"/>
      <c r="BU2909" s="265"/>
      <c r="BV2909" s="265"/>
    </row>
    <row r="2910" spans="12:74">
      <c r="L2910" s="265"/>
      <c r="M2910" s="265"/>
      <c r="N2910" s="265"/>
      <c r="O2910" s="265"/>
      <c r="P2910" s="265"/>
      <c r="Q2910" s="265"/>
      <c r="BR2910" s="265"/>
      <c r="BS2910" s="265"/>
      <c r="BT2910" s="265"/>
      <c r="BU2910" s="265"/>
      <c r="BV2910" s="265"/>
    </row>
    <row r="2911" spans="12:74">
      <c r="L2911" s="265"/>
      <c r="M2911" s="265"/>
      <c r="N2911" s="265"/>
      <c r="O2911" s="265"/>
      <c r="P2911" s="265"/>
      <c r="Q2911" s="265"/>
      <c r="BR2911" s="265"/>
      <c r="BS2911" s="265"/>
      <c r="BT2911" s="265"/>
      <c r="BU2911" s="265"/>
      <c r="BV2911" s="265"/>
    </row>
    <row r="2912" spans="12:74">
      <c r="L2912" s="265"/>
      <c r="M2912" s="265"/>
      <c r="N2912" s="265"/>
      <c r="O2912" s="265"/>
      <c r="P2912" s="265"/>
      <c r="Q2912" s="265"/>
      <c r="BR2912" s="265"/>
      <c r="BS2912" s="265"/>
      <c r="BT2912" s="265"/>
      <c r="BU2912" s="265"/>
      <c r="BV2912" s="265"/>
    </row>
    <row r="2913" spans="12:74">
      <c r="L2913" s="265"/>
      <c r="M2913" s="265"/>
      <c r="N2913" s="265"/>
      <c r="O2913" s="265"/>
      <c r="P2913" s="265"/>
      <c r="Q2913" s="265"/>
      <c r="BR2913" s="265"/>
      <c r="BS2913" s="265"/>
      <c r="BT2913" s="265"/>
      <c r="BU2913" s="265"/>
      <c r="BV2913" s="265"/>
    </row>
    <row r="2914" spans="12:74">
      <c r="L2914" s="265"/>
      <c r="M2914" s="265"/>
      <c r="N2914" s="265"/>
      <c r="O2914" s="265"/>
      <c r="P2914" s="265"/>
      <c r="Q2914" s="265"/>
      <c r="BR2914" s="265"/>
      <c r="BS2914" s="265"/>
      <c r="BT2914" s="265"/>
      <c r="BU2914" s="265"/>
      <c r="BV2914" s="265"/>
    </row>
    <row r="2915" spans="12:74">
      <c r="L2915" s="265"/>
      <c r="M2915" s="265"/>
      <c r="N2915" s="265"/>
      <c r="O2915" s="265"/>
      <c r="P2915" s="265"/>
      <c r="Q2915" s="265"/>
      <c r="BR2915" s="265"/>
      <c r="BS2915" s="265"/>
      <c r="BT2915" s="265"/>
      <c r="BU2915" s="265"/>
      <c r="BV2915" s="265"/>
    </row>
    <row r="2916" spans="12:74">
      <c r="L2916" s="265"/>
      <c r="M2916" s="265"/>
      <c r="N2916" s="265"/>
      <c r="O2916" s="265"/>
      <c r="P2916" s="265"/>
      <c r="Q2916" s="265"/>
      <c r="BR2916" s="265"/>
      <c r="BS2916" s="265"/>
      <c r="BT2916" s="265"/>
      <c r="BU2916" s="265"/>
      <c r="BV2916" s="265"/>
    </row>
    <row r="2917" spans="12:74">
      <c r="L2917" s="265"/>
      <c r="M2917" s="265"/>
      <c r="N2917" s="265"/>
      <c r="O2917" s="265"/>
      <c r="P2917" s="265"/>
      <c r="Q2917" s="265"/>
      <c r="BR2917" s="265"/>
      <c r="BS2917" s="265"/>
      <c r="BT2917" s="265"/>
      <c r="BU2917" s="265"/>
      <c r="BV2917" s="265"/>
    </row>
    <row r="2918" spans="12:74">
      <c r="L2918" s="265"/>
      <c r="M2918" s="265"/>
      <c r="N2918" s="265"/>
      <c r="O2918" s="265"/>
      <c r="P2918" s="265"/>
      <c r="Q2918" s="265"/>
      <c r="BR2918" s="265"/>
      <c r="BS2918" s="265"/>
      <c r="BT2918" s="265"/>
      <c r="BU2918" s="265"/>
      <c r="BV2918" s="265"/>
    </row>
    <row r="2919" spans="12:74">
      <c r="L2919" s="265"/>
      <c r="M2919" s="265"/>
      <c r="N2919" s="265"/>
      <c r="O2919" s="265"/>
      <c r="P2919" s="265"/>
      <c r="Q2919" s="265"/>
      <c r="BR2919" s="265"/>
      <c r="BS2919" s="265"/>
      <c r="BT2919" s="265"/>
      <c r="BU2919" s="265"/>
      <c r="BV2919" s="265"/>
    </row>
    <row r="2920" spans="12:74">
      <c r="L2920" s="265"/>
      <c r="M2920" s="265"/>
      <c r="N2920" s="265"/>
      <c r="O2920" s="265"/>
      <c r="P2920" s="265"/>
      <c r="Q2920" s="265"/>
      <c r="BR2920" s="265"/>
      <c r="BS2920" s="265"/>
      <c r="BT2920" s="265"/>
      <c r="BU2920" s="265"/>
      <c r="BV2920" s="265"/>
    </row>
    <row r="2921" spans="12:74">
      <c r="L2921" s="265"/>
      <c r="M2921" s="265"/>
      <c r="N2921" s="265"/>
      <c r="O2921" s="265"/>
      <c r="P2921" s="265"/>
      <c r="Q2921" s="265"/>
      <c r="BR2921" s="265"/>
      <c r="BS2921" s="265"/>
      <c r="BT2921" s="265"/>
      <c r="BU2921" s="265"/>
      <c r="BV2921" s="265"/>
    </row>
    <row r="2922" spans="12:74">
      <c r="L2922" s="265"/>
      <c r="M2922" s="265"/>
      <c r="N2922" s="265"/>
      <c r="O2922" s="265"/>
      <c r="P2922" s="265"/>
      <c r="Q2922" s="265"/>
      <c r="BR2922" s="265"/>
      <c r="BS2922" s="265"/>
      <c r="BT2922" s="265"/>
      <c r="BU2922" s="265"/>
      <c r="BV2922" s="265"/>
    </row>
    <row r="2923" spans="12:74">
      <c r="L2923" s="265"/>
      <c r="M2923" s="265"/>
      <c r="N2923" s="265"/>
      <c r="O2923" s="265"/>
      <c r="P2923" s="265"/>
      <c r="Q2923" s="265"/>
      <c r="BR2923" s="265"/>
      <c r="BS2923" s="265"/>
      <c r="BT2923" s="265"/>
      <c r="BU2923" s="265"/>
      <c r="BV2923" s="265"/>
    </row>
    <row r="2924" spans="12:74">
      <c r="L2924" s="265"/>
      <c r="M2924" s="265"/>
      <c r="N2924" s="265"/>
      <c r="O2924" s="265"/>
      <c r="P2924" s="265"/>
      <c r="Q2924" s="265"/>
      <c r="BR2924" s="265"/>
      <c r="BS2924" s="265"/>
      <c r="BT2924" s="265"/>
      <c r="BU2924" s="265"/>
      <c r="BV2924" s="265"/>
    </row>
    <row r="2925" spans="12:74">
      <c r="L2925" s="265"/>
      <c r="M2925" s="265"/>
      <c r="N2925" s="265"/>
      <c r="O2925" s="265"/>
      <c r="P2925" s="265"/>
      <c r="Q2925" s="265"/>
      <c r="BR2925" s="265"/>
      <c r="BS2925" s="265"/>
      <c r="BT2925" s="265"/>
      <c r="BU2925" s="265"/>
      <c r="BV2925" s="265"/>
    </row>
    <row r="2926" spans="12:74">
      <c r="L2926" s="265"/>
      <c r="M2926" s="265"/>
      <c r="N2926" s="265"/>
      <c r="O2926" s="265"/>
      <c r="P2926" s="265"/>
      <c r="Q2926" s="265"/>
      <c r="BR2926" s="265"/>
      <c r="BS2926" s="265"/>
      <c r="BT2926" s="265"/>
      <c r="BU2926" s="265"/>
      <c r="BV2926" s="265"/>
    </row>
    <row r="2927" spans="12:74">
      <c r="L2927" s="265"/>
      <c r="M2927" s="265"/>
      <c r="N2927" s="265"/>
      <c r="O2927" s="265"/>
      <c r="P2927" s="265"/>
      <c r="Q2927" s="265"/>
      <c r="BR2927" s="265"/>
      <c r="BS2927" s="265"/>
      <c r="BT2927" s="265"/>
      <c r="BU2927" s="265"/>
      <c r="BV2927" s="265"/>
    </row>
    <row r="2928" spans="12:74">
      <c r="L2928" s="265"/>
      <c r="M2928" s="265"/>
      <c r="N2928" s="265"/>
      <c r="O2928" s="265"/>
      <c r="P2928" s="265"/>
      <c r="Q2928" s="265"/>
      <c r="BR2928" s="265"/>
      <c r="BS2928" s="265"/>
      <c r="BT2928" s="265"/>
      <c r="BU2928" s="265"/>
      <c r="BV2928" s="265"/>
    </row>
    <row r="2929" spans="12:74">
      <c r="L2929" s="265"/>
      <c r="M2929" s="265"/>
      <c r="N2929" s="265"/>
      <c r="O2929" s="265"/>
      <c r="P2929" s="265"/>
      <c r="Q2929" s="265"/>
      <c r="BR2929" s="265"/>
      <c r="BS2929" s="265"/>
      <c r="BT2929" s="265"/>
      <c r="BU2929" s="265"/>
      <c r="BV2929" s="265"/>
    </row>
    <row r="2930" spans="12:74">
      <c r="L2930" s="265"/>
      <c r="M2930" s="265"/>
      <c r="N2930" s="265"/>
      <c r="O2930" s="265"/>
      <c r="P2930" s="265"/>
      <c r="Q2930" s="265"/>
      <c r="BR2930" s="265"/>
      <c r="BS2930" s="265"/>
      <c r="BT2930" s="265"/>
      <c r="BU2930" s="265"/>
      <c r="BV2930" s="265"/>
    </row>
    <row r="2931" spans="12:74">
      <c r="L2931" s="265"/>
      <c r="M2931" s="265"/>
      <c r="N2931" s="265"/>
      <c r="O2931" s="265"/>
      <c r="P2931" s="265"/>
      <c r="Q2931" s="265"/>
      <c r="BR2931" s="265"/>
      <c r="BS2931" s="265"/>
      <c r="BT2931" s="265"/>
      <c r="BU2931" s="265"/>
      <c r="BV2931" s="265"/>
    </row>
    <row r="2932" spans="12:74">
      <c r="L2932" s="265"/>
      <c r="M2932" s="265"/>
      <c r="N2932" s="265"/>
      <c r="O2932" s="265"/>
      <c r="P2932" s="265"/>
      <c r="Q2932" s="265"/>
      <c r="BR2932" s="265"/>
      <c r="BS2932" s="265"/>
      <c r="BT2932" s="265"/>
      <c r="BU2932" s="265"/>
      <c r="BV2932" s="265"/>
    </row>
    <row r="2933" spans="12:74">
      <c r="L2933" s="265"/>
      <c r="M2933" s="265"/>
      <c r="N2933" s="265"/>
      <c r="O2933" s="265"/>
      <c r="P2933" s="265"/>
      <c r="Q2933" s="265"/>
      <c r="BR2933" s="265"/>
      <c r="BS2933" s="265"/>
      <c r="BT2933" s="265"/>
      <c r="BU2933" s="265"/>
      <c r="BV2933" s="265"/>
    </row>
    <row r="2934" spans="12:74">
      <c r="L2934" s="265"/>
      <c r="M2934" s="265"/>
      <c r="N2934" s="265"/>
      <c r="O2934" s="265"/>
      <c r="P2934" s="265"/>
      <c r="Q2934" s="265"/>
      <c r="BR2934" s="265"/>
      <c r="BS2934" s="265"/>
      <c r="BT2934" s="265"/>
      <c r="BU2934" s="265"/>
      <c r="BV2934" s="265"/>
    </row>
    <row r="2935" spans="12:74">
      <c r="L2935" s="265"/>
      <c r="M2935" s="265"/>
      <c r="N2935" s="265"/>
      <c r="O2935" s="265"/>
      <c r="P2935" s="265"/>
      <c r="Q2935" s="265"/>
      <c r="BR2935" s="265"/>
      <c r="BS2935" s="265"/>
      <c r="BT2935" s="265"/>
      <c r="BU2935" s="265"/>
      <c r="BV2935" s="265"/>
    </row>
    <row r="2936" spans="12:74">
      <c r="L2936" s="265"/>
      <c r="M2936" s="265"/>
      <c r="N2936" s="265"/>
      <c r="O2936" s="265"/>
      <c r="P2936" s="265"/>
      <c r="Q2936" s="265"/>
      <c r="BR2936" s="265"/>
      <c r="BS2936" s="265"/>
      <c r="BT2936" s="265"/>
      <c r="BU2936" s="265"/>
      <c r="BV2936" s="265"/>
    </row>
    <row r="2937" spans="12:74">
      <c r="L2937" s="265"/>
      <c r="M2937" s="265"/>
      <c r="N2937" s="265"/>
      <c r="O2937" s="265"/>
      <c r="P2937" s="265"/>
      <c r="Q2937" s="265"/>
      <c r="BR2937" s="265"/>
      <c r="BS2937" s="265"/>
      <c r="BT2937" s="265"/>
      <c r="BU2937" s="265"/>
      <c r="BV2937" s="265"/>
    </row>
    <row r="2938" spans="12:74">
      <c r="L2938" s="265"/>
      <c r="M2938" s="265"/>
      <c r="N2938" s="265"/>
      <c r="O2938" s="265"/>
      <c r="P2938" s="265"/>
      <c r="Q2938" s="265"/>
      <c r="BR2938" s="265"/>
      <c r="BS2938" s="265"/>
      <c r="BT2938" s="265"/>
      <c r="BU2938" s="265"/>
      <c r="BV2938" s="265"/>
    </row>
    <row r="2939" spans="12:74">
      <c r="L2939" s="265"/>
      <c r="M2939" s="265"/>
      <c r="N2939" s="265"/>
      <c r="O2939" s="265"/>
      <c r="P2939" s="265"/>
      <c r="Q2939" s="265"/>
      <c r="BR2939" s="265"/>
      <c r="BS2939" s="265"/>
      <c r="BT2939" s="265"/>
      <c r="BU2939" s="265"/>
      <c r="BV2939" s="265"/>
    </row>
    <row r="2940" spans="12:74">
      <c r="L2940" s="265"/>
      <c r="M2940" s="265"/>
      <c r="N2940" s="265"/>
      <c r="O2940" s="265"/>
      <c r="P2940" s="265"/>
      <c r="Q2940" s="265"/>
      <c r="BR2940" s="265"/>
      <c r="BS2940" s="265"/>
      <c r="BT2940" s="265"/>
      <c r="BU2940" s="265"/>
      <c r="BV2940" s="265"/>
    </row>
    <row r="2941" spans="12:74">
      <c r="L2941" s="265"/>
      <c r="M2941" s="265"/>
      <c r="N2941" s="265"/>
      <c r="O2941" s="265"/>
      <c r="P2941" s="265"/>
      <c r="Q2941" s="265"/>
      <c r="BR2941" s="265"/>
      <c r="BS2941" s="265"/>
      <c r="BT2941" s="265"/>
      <c r="BU2941" s="265"/>
      <c r="BV2941" s="265"/>
    </row>
    <row r="2942" spans="12:74">
      <c r="L2942" s="265"/>
      <c r="M2942" s="265"/>
      <c r="N2942" s="265"/>
      <c r="O2942" s="265"/>
      <c r="P2942" s="265"/>
      <c r="Q2942" s="265"/>
      <c r="BR2942" s="265"/>
      <c r="BS2942" s="265"/>
      <c r="BT2942" s="265"/>
      <c r="BU2942" s="265"/>
      <c r="BV2942" s="265"/>
    </row>
    <row r="2943" spans="12:74">
      <c r="L2943" s="265"/>
      <c r="M2943" s="265"/>
      <c r="N2943" s="265"/>
      <c r="O2943" s="265"/>
      <c r="P2943" s="265"/>
      <c r="Q2943" s="265"/>
      <c r="BR2943" s="265"/>
      <c r="BS2943" s="265"/>
      <c r="BT2943" s="265"/>
      <c r="BU2943" s="265"/>
      <c r="BV2943" s="265"/>
    </row>
    <row r="2944" spans="12:74">
      <c r="L2944" s="265"/>
      <c r="M2944" s="265"/>
      <c r="N2944" s="265"/>
      <c r="O2944" s="265"/>
      <c r="P2944" s="265"/>
      <c r="Q2944" s="265"/>
      <c r="BR2944" s="265"/>
      <c r="BS2944" s="265"/>
      <c r="BT2944" s="265"/>
      <c r="BU2944" s="265"/>
      <c r="BV2944" s="265"/>
    </row>
    <row r="2945" spans="12:74">
      <c r="L2945" s="265"/>
      <c r="M2945" s="265"/>
      <c r="N2945" s="265"/>
      <c r="O2945" s="265"/>
      <c r="P2945" s="265"/>
      <c r="Q2945" s="265"/>
      <c r="BR2945" s="265"/>
      <c r="BS2945" s="265"/>
      <c r="BT2945" s="265"/>
      <c r="BU2945" s="265"/>
      <c r="BV2945" s="265"/>
    </row>
    <row r="2946" spans="12:74">
      <c r="L2946" s="265"/>
      <c r="M2946" s="265"/>
      <c r="N2946" s="265"/>
      <c r="O2946" s="265"/>
      <c r="P2946" s="265"/>
      <c r="Q2946" s="265"/>
      <c r="BR2946" s="265"/>
      <c r="BS2946" s="265"/>
      <c r="BT2946" s="265"/>
      <c r="BU2946" s="265"/>
      <c r="BV2946" s="265"/>
    </row>
    <row r="2947" spans="12:74">
      <c r="L2947" s="265"/>
      <c r="M2947" s="265"/>
      <c r="N2947" s="265"/>
      <c r="O2947" s="265"/>
      <c r="P2947" s="265"/>
      <c r="Q2947" s="265"/>
      <c r="BR2947" s="265"/>
      <c r="BS2947" s="265"/>
      <c r="BT2947" s="265"/>
      <c r="BU2947" s="265"/>
      <c r="BV2947" s="265"/>
    </row>
    <row r="2948" spans="12:74">
      <c r="L2948" s="265"/>
      <c r="M2948" s="265"/>
      <c r="N2948" s="265"/>
      <c r="O2948" s="265"/>
      <c r="P2948" s="265"/>
      <c r="Q2948" s="265"/>
      <c r="BR2948" s="265"/>
      <c r="BS2948" s="265"/>
      <c r="BT2948" s="265"/>
      <c r="BU2948" s="265"/>
      <c r="BV2948" s="265"/>
    </row>
    <row r="2949" spans="12:74">
      <c r="L2949" s="265"/>
      <c r="M2949" s="265"/>
      <c r="N2949" s="265"/>
      <c r="O2949" s="265"/>
      <c r="P2949" s="265"/>
      <c r="Q2949" s="265"/>
      <c r="BR2949" s="265"/>
      <c r="BS2949" s="265"/>
      <c r="BT2949" s="265"/>
      <c r="BU2949" s="265"/>
      <c r="BV2949" s="265"/>
    </row>
    <row r="2950" spans="12:74">
      <c r="L2950" s="265"/>
      <c r="M2950" s="265"/>
      <c r="N2950" s="265"/>
      <c r="O2950" s="265"/>
      <c r="P2950" s="265"/>
      <c r="Q2950" s="265"/>
      <c r="BR2950" s="265"/>
      <c r="BS2950" s="265"/>
      <c r="BT2950" s="265"/>
      <c r="BU2950" s="265"/>
      <c r="BV2950" s="265"/>
    </row>
    <row r="2951" spans="12:74">
      <c r="L2951" s="265"/>
      <c r="M2951" s="265"/>
      <c r="N2951" s="265"/>
      <c r="O2951" s="265"/>
      <c r="P2951" s="265"/>
      <c r="Q2951" s="265"/>
      <c r="BR2951" s="265"/>
      <c r="BS2951" s="265"/>
      <c r="BT2951" s="265"/>
      <c r="BU2951" s="265"/>
      <c r="BV2951" s="265"/>
    </row>
    <row r="2952" spans="12:74">
      <c r="L2952" s="265"/>
      <c r="M2952" s="265"/>
      <c r="N2952" s="265"/>
      <c r="O2952" s="265"/>
      <c r="P2952" s="265"/>
      <c r="Q2952" s="265"/>
      <c r="BR2952" s="265"/>
      <c r="BS2952" s="265"/>
      <c r="BT2952" s="265"/>
      <c r="BU2952" s="265"/>
      <c r="BV2952" s="265"/>
    </row>
    <row r="2953" spans="12:74">
      <c r="L2953" s="265"/>
      <c r="M2953" s="265"/>
      <c r="N2953" s="265"/>
      <c r="O2953" s="265"/>
      <c r="P2953" s="265"/>
      <c r="Q2953" s="265"/>
      <c r="BR2953" s="265"/>
      <c r="BS2953" s="265"/>
      <c r="BT2953" s="265"/>
      <c r="BU2953" s="265"/>
      <c r="BV2953" s="265"/>
    </row>
    <row r="2954" spans="12:74">
      <c r="L2954" s="265"/>
      <c r="M2954" s="265"/>
      <c r="N2954" s="265"/>
      <c r="O2954" s="265"/>
      <c r="P2954" s="265"/>
      <c r="Q2954" s="265"/>
      <c r="BR2954" s="265"/>
      <c r="BS2954" s="265"/>
      <c r="BT2954" s="265"/>
      <c r="BU2954" s="265"/>
      <c r="BV2954" s="265"/>
    </row>
    <row r="2955" spans="12:74">
      <c r="L2955" s="265"/>
      <c r="M2955" s="265"/>
      <c r="N2955" s="265"/>
      <c r="O2955" s="265"/>
      <c r="P2955" s="265"/>
      <c r="Q2955" s="265"/>
      <c r="BR2955" s="265"/>
      <c r="BS2955" s="265"/>
      <c r="BT2955" s="265"/>
      <c r="BU2955" s="265"/>
      <c r="BV2955" s="265"/>
    </row>
    <row r="2956" spans="12:74">
      <c r="L2956" s="265"/>
      <c r="M2956" s="265"/>
      <c r="N2956" s="265"/>
      <c r="O2956" s="265"/>
      <c r="P2956" s="265"/>
      <c r="Q2956" s="265"/>
      <c r="BR2956" s="265"/>
      <c r="BS2956" s="265"/>
      <c r="BT2956" s="265"/>
      <c r="BU2956" s="265"/>
      <c r="BV2956" s="265"/>
    </row>
    <row r="2957" spans="12:74">
      <c r="L2957" s="265"/>
      <c r="M2957" s="265"/>
      <c r="N2957" s="265"/>
      <c r="O2957" s="265"/>
      <c r="P2957" s="265"/>
      <c r="Q2957" s="265"/>
      <c r="BR2957" s="265"/>
      <c r="BS2957" s="265"/>
      <c r="BT2957" s="265"/>
      <c r="BU2957" s="265"/>
      <c r="BV2957" s="265"/>
    </row>
    <row r="2958" spans="12:74">
      <c r="L2958" s="265"/>
      <c r="M2958" s="265"/>
      <c r="N2958" s="265"/>
      <c r="O2958" s="265"/>
      <c r="P2958" s="265"/>
      <c r="Q2958" s="265"/>
      <c r="BR2958" s="265"/>
      <c r="BS2958" s="265"/>
      <c r="BT2958" s="265"/>
      <c r="BU2958" s="265"/>
      <c r="BV2958" s="265"/>
    </row>
    <row r="2959" spans="12:74">
      <c r="L2959" s="265"/>
      <c r="M2959" s="265"/>
      <c r="N2959" s="265"/>
      <c r="O2959" s="265"/>
      <c r="P2959" s="265"/>
      <c r="Q2959" s="265"/>
      <c r="BR2959" s="265"/>
      <c r="BS2959" s="265"/>
      <c r="BT2959" s="265"/>
      <c r="BU2959" s="265"/>
      <c r="BV2959" s="265"/>
    </row>
    <row r="2960" spans="12:74">
      <c r="L2960" s="265"/>
      <c r="M2960" s="265"/>
      <c r="N2960" s="265"/>
      <c r="O2960" s="265"/>
      <c r="P2960" s="265"/>
      <c r="Q2960" s="265"/>
      <c r="BR2960" s="265"/>
      <c r="BS2960" s="265"/>
      <c r="BT2960" s="265"/>
      <c r="BU2960" s="265"/>
      <c r="BV2960" s="265"/>
    </row>
    <row r="2961" spans="12:74">
      <c r="L2961" s="265"/>
      <c r="M2961" s="265"/>
      <c r="N2961" s="265"/>
      <c r="O2961" s="265"/>
      <c r="P2961" s="265"/>
      <c r="Q2961" s="265"/>
      <c r="BR2961" s="265"/>
      <c r="BS2961" s="265"/>
      <c r="BT2961" s="265"/>
      <c r="BU2961" s="265"/>
      <c r="BV2961" s="265"/>
    </row>
    <row r="2962" spans="12:74">
      <c r="L2962" s="265"/>
      <c r="M2962" s="265"/>
      <c r="N2962" s="265"/>
      <c r="O2962" s="265"/>
      <c r="P2962" s="265"/>
      <c r="Q2962" s="265"/>
      <c r="BR2962" s="265"/>
      <c r="BS2962" s="265"/>
      <c r="BT2962" s="265"/>
      <c r="BU2962" s="265"/>
      <c r="BV2962" s="265"/>
    </row>
    <row r="2963" spans="12:74">
      <c r="L2963" s="265"/>
      <c r="M2963" s="265"/>
      <c r="N2963" s="265"/>
      <c r="O2963" s="265"/>
      <c r="P2963" s="265"/>
      <c r="Q2963" s="265"/>
      <c r="BR2963" s="265"/>
      <c r="BS2963" s="265"/>
      <c r="BT2963" s="265"/>
      <c r="BU2963" s="265"/>
      <c r="BV2963" s="265"/>
    </row>
    <row r="2964" spans="12:74">
      <c r="L2964" s="265"/>
      <c r="M2964" s="265"/>
      <c r="N2964" s="265"/>
      <c r="O2964" s="265"/>
      <c r="P2964" s="265"/>
      <c r="Q2964" s="265"/>
      <c r="BR2964" s="265"/>
      <c r="BS2964" s="265"/>
      <c r="BT2964" s="265"/>
      <c r="BU2964" s="265"/>
      <c r="BV2964" s="265"/>
    </row>
    <row r="2965" spans="12:74">
      <c r="L2965" s="265"/>
      <c r="M2965" s="265"/>
      <c r="N2965" s="265"/>
      <c r="O2965" s="265"/>
      <c r="P2965" s="265"/>
      <c r="Q2965" s="265"/>
      <c r="BR2965" s="265"/>
      <c r="BS2965" s="265"/>
      <c r="BT2965" s="265"/>
      <c r="BU2965" s="265"/>
      <c r="BV2965" s="265"/>
    </row>
    <row r="2966" spans="12:74">
      <c r="L2966" s="265"/>
      <c r="M2966" s="265"/>
      <c r="N2966" s="265"/>
      <c r="O2966" s="265"/>
      <c r="P2966" s="265"/>
      <c r="Q2966" s="265"/>
      <c r="BR2966" s="265"/>
      <c r="BS2966" s="265"/>
      <c r="BT2966" s="265"/>
      <c r="BU2966" s="265"/>
      <c r="BV2966" s="265"/>
    </row>
    <row r="2967" spans="12:74">
      <c r="L2967" s="265"/>
      <c r="M2967" s="265"/>
      <c r="N2967" s="265"/>
      <c r="O2967" s="265"/>
      <c r="P2967" s="265"/>
      <c r="Q2967" s="265"/>
      <c r="BR2967" s="265"/>
      <c r="BS2967" s="265"/>
      <c r="BT2967" s="265"/>
      <c r="BU2967" s="265"/>
      <c r="BV2967" s="265"/>
    </row>
    <row r="2968" spans="12:74">
      <c r="L2968" s="265"/>
      <c r="M2968" s="265"/>
      <c r="N2968" s="265"/>
      <c r="O2968" s="265"/>
      <c r="P2968" s="265"/>
      <c r="Q2968" s="265"/>
      <c r="BR2968" s="265"/>
      <c r="BS2968" s="265"/>
      <c r="BT2968" s="265"/>
      <c r="BU2968" s="265"/>
      <c r="BV2968" s="265"/>
    </row>
    <row r="2969" spans="12:74">
      <c r="L2969" s="265"/>
      <c r="M2969" s="265"/>
      <c r="N2969" s="265"/>
      <c r="O2969" s="265"/>
      <c r="P2969" s="265"/>
      <c r="Q2969" s="265"/>
      <c r="BR2969" s="265"/>
      <c r="BS2969" s="265"/>
      <c r="BT2969" s="265"/>
      <c r="BU2969" s="265"/>
      <c r="BV2969" s="265"/>
    </row>
    <row r="2970" spans="12:74">
      <c r="L2970" s="265"/>
      <c r="M2970" s="265"/>
      <c r="N2970" s="265"/>
      <c r="O2970" s="265"/>
      <c r="P2970" s="265"/>
      <c r="Q2970" s="265"/>
      <c r="BR2970" s="265"/>
      <c r="BS2970" s="265"/>
      <c r="BT2970" s="265"/>
      <c r="BU2970" s="265"/>
      <c r="BV2970" s="265"/>
    </row>
    <row r="2971" spans="12:74">
      <c r="L2971" s="265"/>
      <c r="M2971" s="265"/>
      <c r="N2971" s="265"/>
      <c r="O2971" s="265"/>
      <c r="P2971" s="265"/>
      <c r="Q2971" s="265"/>
      <c r="BR2971" s="265"/>
      <c r="BS2971" s="265"/>
      <c r="BT2971" s="265"/>
      <c r="BU2971" s="265"/>
      <c r="BV2971" s="265"/>
    </row>
    <row r="2972" spans="12:74">
      <c r="L2972" s="265"/>
      <c r="M2972" s="265"/>
      <c r="N2972" s="265"/>
      <c r="O2972" s="265"/>
      <c r="P2972" s="265"/>
      <c r="Q2972" s="265"/>
      <c r="BR2972" s="265"/>
      <c r="BS2972" s="265"/>
      <c r="BT2972" s="265"/>
      <c r="BU2972" s="265"/>
      <c r="BV2972" s="265"/>
    </row>
    <row r="2973" spans="12:74">
      <c r="L2973" s="265"/>
      <c r="M2973" s="265"/>
      <c r="N2973" s="265"/>
      <c r="O2973" s="265"/>
      <c r="P2973" s="265"/>
      <c r="Q2973" s="265"/>
      <c r="BR2973" s="265"/>
      <c r="BS2973" s="265"/>
      <c r="BT2973" s="265"/>
      <c r="BU2973" s="265"/>
      <c r="BV2973" s="265"/>
    </row>
    <row r="2974" spans="12:74">
      <c r="L2974" s="265"/>
      <c r="M2974" s="265"/>
      <c r="N2974" s="265"/>
      <c r="O2974" s="265"/>
      <c r="P2974" s="265"/>
      <c r="Q2974" s="265"/>
      <c r="BR2974" s="265"/>
      <c r="BS2974" s="265"/>
      <c r="BT2974" s="265"/>
      <c r="BU2974" s="265"/>
      <c r="BV2974" s="265"/>
    </row>
    <row r="2975" spans="12:74">
      <c r="L2975" s="265"/>
      <c r="M2975" s="265"/>
      <c r="N2975" s="265"/>
      <c r="O2975" s="265"/>
      <c r="P2975" s="265"/>
      <c r="Q2975" s="265"/>
      <c r="BR2975" s="265"/>
      <c r="BS2975" s="265"/>
      <c r="BT2975" s="265"/>
      <c r="BU2975" s="265"/>
      <c r="BV2975" s="265"/>
    </row>
    <row r="2976" spans="12:74">
      <c r="L2976" s="265"/>
      <c r="M2976" s="265"/>
      <c r="N2976" s="265"/>
      <c r="O2976" s="265"/>
      <c r="P2976" s="265"/>
      <c r="Q2976" s="265"/>
      <c r="BR2976" s="265"/>
      <c r="BS2976" s="265"/>
      <c r="BT2976" s="265"/>
      <c r="BU2976" s="265"/>
      <c r="BV2976" s="265"/>
    </row>
    <row r="2977" spans="12:74">
      <c r="L2977" s="265"/>
      <c r="M2977" s="265"/>
      <c r="N2977" s="265"/>
      <c r="O2977" s="265"/>
      <c r="P2977" s="265"/>
      <c r="Q2977" s="265"/>
      <c r="BR2977" s="265"/>
      <c r="BS2977" s="265"/>
      <c r="BT2977" s="265"/>
      <c r="BU2977" s="265"/>
      <c r="BV2977" s="265"/>
    </row>
    <row r="2978" spans="12:74">
      <c r="L2978" s="265"/>
      <c r="M2978" s="265"/>
      <c r="N2978" s="265"/>
      <c r="O2978" s="265"/>
      <c r="P2978" s="265"/>
      <c r="Q2978" s="265"/>
      <c r="BR2978" s="265"/>
      <c r="BS2978" s="265"/>
      <c r="BT2978" s="265"/>
      <c r="BU2978" s="265"/>
      <c r="BV2978" s="265"/>
    </row>
    <row r="2979" spans="12:74">
      <c r="L2979" s="265"/>
      <c r="M2979" s="265"/>
      <c r="N2979" s="265"/>
      <c r="O2979" s="265"/>
      <c r="P2979" s="265"/>
      <c r="Q2979" s="265"/>
      <c r="BR2979" s="265"/>
      <c r="BS2979" s="265"/>
      <c r="BT2979" s="265"/>
      <c r="BU2979" s="265"/>
      <c r="BV2979" s="265"/>
    </row>
    <row r="2980" spans="12:74">
      <c r="L2980" s="265"/>
      <c r="M2980" s="265"/>
      <c r="N2980" s="265"/>
      <c r="O2980" s="265"/>
      <c r="P2980" s="265"/>
      <c r="Q2980" s="265"/>
      <c r="BR2980" s="265"/>
      <c r="BS2980" s="265"/>
      <c r="BT2980" s="265"/>
      <c r="BU2980" s="265"/>
      <c r="BV2980" s="265"/>
    </row>
    <row r="2981" spans="12:74">
      <c r="L2981" s="265"/>
      <c r="M2981" s="265"/>
      <c r="N2981" s="265"/>
      <c r="O2981" s="265"/>
      <c r="P2981" s="265"/>
      <c r="Q2981" s="265"/>
      <c r="BR2981" s="265"/>
      <c r="BS2981" s="265"/>
      <c r="BT2981" s="265"/>
      <c r="BU2981" s="265"/>
      <c r="BV2981" s="265"/>
    </row>
    <row r="2982" spans="12:74">
      <c r="L2982" s="265"/>
      <c r="M2982" s="265"/>
      <c r="N2982" s="265"/>
      <c r="O2982" s="265"/>
      <c r="P2982" s="265"/>
      <c r="Q2982" s="265"/>
      <c r="BR2982" s="265"/>
      <c r="BS2982" s="265"/>
      <c r="BT2982" s="265"/>
      <c r="BU2982" s="265"/>
      <c r="BV2982" s="265"/>
    </row>
    <row r="2983" spans="12:74">
      <c r="L2983" s="265"/>
      <c r="M2983" s="265"/>
      <c r="N2983" s="265"/>
      <c r="O2983" s="265"/>
      <c r="P2983" s="265"/>
      <c r="Q2983" s="265"/>
      <c r="BR2983" s="265"/>
      <c r="BS2983" s="265"/>
      <c r="BT2983" s="265"/>
      <c r="BU2983" s="265"/>
      <c r="BV2983" s="265"/>
    </row>
    <row r="2984" spans="12:74">
      <c r="L2984" s="265"/>
      <c r="M2984" s="265"/>
      <c r="N2984" s="265"/>
      <c r="O2984" s="265"/>
      <c r="P2984" s="265"/>
      <c r="Q2984" s="265"/>
      <c r="BR2984" s="265"/>
      <c r="BS2984" s="265"/>
      <c r="BT2984" s="265"/>
      <c r="BU2984" s="265"/>
      <c r="BV2984" s="265"/>
    </row>
    <row r="2985" spans="12:74">
      <c r="L2985" s="265"/>
      <c r="M2985" s="265"/>
      <c r="N2985" s="265"/>
      <c r="O2985" s="265"/>
      <c r="P2985" s="265"/>
      <c r="Q2985" s="265"/>
      <c r="BR2985" s="265"/>
      <c r="BS2985" s="265"/>
      <c r="BT2985" s="265"/>
      <c r="BU2985" s="265"/>
      <c r="BV2985" s="265"/>
    </row>
    <row r="2986" spans="12:74">
      <c r="L2986" s="265"/>
      <c r="M2986" s="265"/>
      <c r="N2986" s="265"/>
      <c r="O2986" s="265"/>
      <c r="P2986" s="265"/>
      <c r="Q2986" s="265"/>
      <c r="BR2986" s="265"/>
      <c r="BS2986" s="265"/>
      <c r="BT2986" s="265"/>
      <c r="BU2986" s="265"/>
      <c r="BV2986" s="265"/>
    </row>
    <row r="2987" spans="12:74">
      <c r="L2987" s="265"/>
      <c r="M2987" s="265"/>
      <c r="N2987" s="265"/>
      <c r="O2987" s="265"/>
      <c r="P2987" s="265"/>
      <c r="Q2987" s="265"/>
      <c r="BR2987" s="265"/>
      <c r="BS2987" s="265"/>
      <c r="BT2987" s="265"/>
      <c r="BU2987" s="265"/>
      <c r="BV2987" s="265"/>
    </row>
    <row r="2988" spans="12:74">
      <c r="L2988" s="265"/>
      <c r="M2988" s="265"/>
      <c r="N2988" s="265"/>
      <c r="O2988" s="265"/>
      <c r="P2988" s="265"/>
      <c r="Q2988" s="265"/>
      <c r="BR2988" s="265"/>
      <c r="BS2988" s="265"/>
      <c r="BT2988" s="265"/>
      <c r="BU2988" s="265"/>
      <c r="BV2988" s="265"/>
    </row>
    <row r="2989" spans="12:74">
      <c r="L2989" s="265"/>
      <c r="M2989" s="265"/>
      <c r="N2989" s="265"/>
      <c r="O2989" s="265"/>
      <c r="P2989" s="265"/>
      <c r="Q2989" s="265"/>
      <c r="BR2989" s="265"/>
      <c r="BS2989" s="265"/>
      <c r="BT2989" s="265"/>
      <c r="BU2989" s="265"/>
      <c r="BV2989" s="265"/>
    </row>
    <row r="2990" spans="12:74">
      <c r="L2990" s="265"/>
      <c r="M2990" s="265"/>
      <c r="N2990" s="265"/>
      <c r="O2990" s="265"/>
      <c r="P2990" s="265"/>
      <c r="Q2990" s="265"/>
      <c r="BR2990" s="265"/>
      <c r="BS2990" s="265"/>
      <c r="BT2990" s="265"/>
      <c r="BU2990" s="265"/>
      <c r="BV2990" s="265"/>
    </row>
    <row r="2991" spans="12:74">
      <c r="L2991" s="265"/>
      <c r="M2991" s="265"/>
      <c r="N2991" s="265"/>
      <c r="O2991" s="265"/>
      <c r="P2991" s="265"/>
      <c r="Q2991" s="265"/>
      <c r="BR2991" s="265"/>
      <c r="BS2991" s="265"/>
      <c r="BT2991" s="265"/>
      <c r="BU2991" s="265"/>
      <c r="BV2991" s="265"/>
    </row>
    <row r="2992" spans="12:74">
      <c r="L2992" s="265"/>
      <c r="M2992" s="265"/>
      <c r="N2992" s="265"/>
      <c r="O2992" s="265"/>
      <c r="P2992" s="265"/>
      <c r="Q2992" s="265"/>
      <c r="BR2992" s="265"/>
      <c r="BS2992" s="265"/>
      <c r="BT2992" s="265"/>
      <c r="BU2992" s="265"/>
      <c r="BV2992" s="265"/>
    </row>
    <row r="2993" spans="12:74">
      <c r="L2993" s="265"/>
      <c r="M2993" s="265"/>
      <c r="N2993" s="265"/>
      <c r="O2993" s="265"/>
      <c r="P2993" s="265"/>
      <c r="Q2993" s="265"/>
      <c r="BR2993" s="265"/>
      <c r="BS2993" s="265"/>
      <c r="BT2993" s="265"/>
      <c r="BU2993" s="265"/>
      <c r="BV2993" s="265"/>
    </row>
    <row r="2994" spans="12:74">
      <c r="L2994" s="265"/>
      <c r="M2994" s="265"/>
      <c r="N2994" s="265"/>
      <c r="O2994" s="265"/>
      <c r="P2994" s="265"/>
      <c r="Q2994" s="265"/>
      <c r="BR2994" s="265"/>
      <c r="BS2994" s="265"/>
      <c r="BT2994" s="265"/>
      <c r="BU2994" s="265"/>
      <c r="BV2994" s="265"/>
    </row>
    <row r="2995" spans="12:74">
      <c r="L2995" s="265"/>
      <c r="M2995" s="265"/>
      <c r="N2995" s="265"/>
      <c r="O2995" s="265"/>
      <c r="P2995" s="265"/>
      <c r="Q2995" s="265"/>
      <c r="BR2995" s="265"/>
      <c r="BS2995" s="265"/>
      <c r="BT2995" s="265"/>
      <c r="BU2995" s="265"/>
      <c r="BV2995" s="265"/>
    </row>
    <row r="2996" spans="12:74">
      <c r="L2996" s="265"/>
      <c r="M2996" s="265"/>
      <c r="N2996" s="265"/>
      <c r="O2996" s="265"/>
      <c r="P2996" s="265"/>
      <c r="Q2996" s="265"/>
      <c r="BR2996" s="265"/>
      <c r="BS2996" s="265"/>
      <c r="BT2996" s="265"/>
      <c r="BU2996" s="265"/>
      <c r="BV2996" s="265"/>
    </row>
    <row r="2997" spans="12:74">
      <c r="L2997" s="265"/>
      <c r="M2997" s="265"/>
      <c r="N2997" s="265"/>
      <c r="O2997" s="265"/>
      <c r="P2997" s="265"/>
      <c r="Q2997" s="265"/>
      <c r="BR2997" s="265"/>
      <c r="BS2997" s="265"/>
      <c r="BT2997" s="265"/>
      <c r="BU2997" s="265"/>
      <c r="BV2997" s="265"/>
    </row>
    <row r="2998" spans="12:74">
      <c r="L2998" s="265"/>
      <c r="M2998" s="265"/>
      <c r="N2998" s="265"/>
      <c r="O2998" s="265"/>
      <c r="P2998" s="265"/>
      <c r="Q2998" s="265"/>
      <c r="BR2998" s="265"/>
      <c r="BS2998" s="265"/>
      <c r="BT2998" s="265"/>
      <c r="BU2998" s="265"/>
      <c r="BV2998" s="265"/>
    </row>
    <row r="2999" spans="12:74">
      <c r="L2999" s="265"/>
      <c r="M2999" s="265"/>
      <c r="N2999" s="265"/>
      <c r="O2999" s="265"/>
      <c r="P2999" s="265"/>
      <c r="Q2999" s="265"/>
      <c r="BR2999" s="265"/>
      <c r="BS2999" s="265"/>
      <c r="BT2999" s="265"/>
      <c r="BU2999" s="265"/>
      <c r="BV2999" s="265"/>
    </row>
    <row r="3000" spans="12:74">
      <c r="L3000" s="265"/>
      <c r="M3000" s="265"/>
      <c r="N3000" s="265"/>
      <c r="O3000" s="265"/>
      <c r="P3000" s="265"/>
      <c r="Q3000" s="265"/>
      <c r="BR3000" s="265"/>
      <c r="BS3000" s="265"/>
      <c r="BT3000" s="265"/>
      <c r="BU3000" s="265"/>
      <c r="BV3000" s="265"/>
    </row>
    <row r="3001" spans="12:74">
      <c r="L3001" s="265"/>
      <c r="M3001" s="265"/>
      <c r="N3001" s="265"/>
      <c r="O3001" s="265"/>
      <c r="P3001" s="265"/>
      <c r="Q3001" s="265"/>
      <c r="BR3001" s="265"/>
      <c r="BS3001" s="265"/>
      <c r="BT3001" s="265"/>
      <c r="BU3001" s="265"/>
      <c r="BV3001" s="265"/>
    </row>
    <row r="3002" spans="12:74">
      <c r="L3002" s="265"/>
      <c r="M3002" s="265"/>
      <c r="N3002" s="265"/>
      <c r="O3002" s="265"/>
      <c r="P3002" s="265"/>
      <c r="Q3002" s="265"/>
      <c r="BR3002" s="265"/>
      <c r="BS3002" s="265"/>
      <c r="BT3002" s="265"/>
      <c r="BU3002" s="265"/>
      <c r="BV3002" s="265"/>
    </row>
    <row r="3003" spans="12:74">
      <c r="L3003" s="265"/>
      <c r="M3003" s="265"/>
      <c r="N3003" s="265"/>
      <c r="O3003" s="265"/>
      <c r="P3003" s="265"/>
      <c r="Q3003" s="265"/>
      <c r="BR3003" s="265"/>
      <c r="BS3003" s="265"/>
      <c r="BT3003" s="265"/>
      <c r="BU3003" s="265"/>
      <c r="BV3003" s="265"/>
    </row>
    <row r="3004" spans="12:74">
      <c r="L3004" s="265"/>
      <c r="M3004" s="265"/>
      <c r="N3004" s="265"/>
      <c r="O3004" s="265"/>
      <c r="P3004" s="265"/>
      <c r="Q3004" s="265"/>
      <c r="BR3004" s="265"/>
      <c r="BS3004" s="265"/>
      <c r="BT3004" s="265"/>
      <c r="BU3004" s="265"/>
      <c r="BV3004" s="265"/>
    </row>
    <row r="3005" spans="12:74">
      <c r="L3005" s="265"/>
      <c r="M3005" s="265"/>
      <c r="N3005" s="265"/>
      <c r="O3005" s="265"/>
      <c r="P3005" s="265"/>
      <c r="Q3005" s="265"/>
      <c r="BR3005" s="265"/>
      <c r="BS3005" s="265"/>
      <c r="BT3005" s="265"/>
      <c r="BU3005" s="265"/>
      <c r="BV3005" s="265"/>
    </row>
    <row r="3006" spans="12:74">
      <c r="L3006" s="265"/>
      <c r="M3006" s="265"/>
      <c r="N3006" s="265"/>
      <c r="O3006" s="265"/>
      <c r="P3006" s="265"/>
      <c r="Q3006" s="265"/>
      <c r="BR3006" s="265"/>
      <c r="BS3006" s="265"/>
      <c r="BT3006" s="265"/>
      <c r="BU3006" s="265"/>
      <c r="BV3006" s="265"/>
    </row>
    <row r="3007" spans="12:74">
      <c r="L3007" s="265"/>
      <c r="M3007" s="265"/>
      <c r="N3007" s="265"/>
      <c r="O3007" s="265"/>
      <c r="P3007" s="265"/>
      <c r="Q3007" s="265"/>
      <c r="BR3007" s="265"/>
      <c r="BS3007" s="265"/>
      <c r="BT3007" s="265"/>
      <c r="BU3007" s="265"/>
      <c r="BV3007" s="265"/>
    </row>
    <row r="3008" spans="12:74">
      <c r="L3008" s="265"/>
      <c r="M3008" s="265"/>
      <c r="N3008" s="265"/>
      <c r="O3008" s="265"/>
      <c r="P3008" s="265"/>
      <c r="Q3008" s="265"/>
      <c r="BR3008" s="265"/>
      <c r="BS3008" s="265"/>
      <c r="BT3008" s="265"/>
      <c r="BU3008" s="265"/>
      <c r="BV3008" s="265"/>
    </row>
    <row r="3009" spans="12:74">
      <c r="L3009" s="265"/>
      <c r="M3009" s="265"/>
      <c r="N3009" s="265"/>
      <c r="O3009" s="265"/>
      <c r="P3009" s="265"/>
      <c r="Q3009" s="265"/>
      <c r="BR3009" s="265"/>
      <c r="BS3009" s="265"/>
      <c r="BT3009" s="265"/>
      <c r="BU3009" s="265"/>
      <c r="BV3009" s="265"/>
    </row>
    <row r="3010" spans="12:74">
      <c r="L3010" s="265"/>
      <c r="M3010" s="265"/>
      <c r="N3010" s="265"/>
      <c r="O3010" s="265"/>
      <c r="P3010" s="265"/>
      <c r="Q3010" s="265"/>
      <c r="BR3010" s="265"/>
      <c r="BS3010" s="265"/>
      <c r="BT3010" s="265"/>
      <c r="BU3010" s="265"/>
      <c r="BV3010" s="265"/>
    </row>
    <row r="3011" spans="12:74">
      <c r="L3011" s="265"/>
      <c r="M3011" s="265"/>
      <c r="N3011" s="265"/>
      <c r="O3011" s="265"/>
      <c r="P3011" s="265"/>
      <c r="Q3011" s="265"/>
      <c r="BR3011" s="265"/>
      <c r="BS3011" s="265"/>
      <c r="BT3011" s="265"/>
      <c r="BU3011" s="265"/>
      <c r="BV3011" s="265"/>
    </row>
    <row r="3012" spans="12:74">
      <c r="L3012" s="265"/>
      <c r="M3012" s="265"/>
      <c r="N3012" s="265"/>
      <c r="O3012" s="265"/>
      <c r="P3012" s="265"/>
      <c r="Q3012" s="265"/>
      <c r="BR3012" s="265"/>
      <c r="BS3012" s="265"/>
      <c r="BT3012" s="265"/>
      <c r="BU3012" s="265"/>
      <c r="BV3012" s="265"/>
    </row>
    <row r="3013" spans="12:74">
      <c r="L3013" s="265"/>
      <c r="M3013" s="265"/>
      <c r="N3013" s="265"/>
      <c r="O3013" s="265"/>
      <c r="P3013" s="265"/>
      <c r="Q3013" s="265"/>
      <c r="BR3013" s="265"/>
      <c r="BS3013" s="265"/>
      <c r="BT3013" s="265"/>
      <c r="BU3013" s="265"/>
      <c r="BV3013" s="265"/>
    </row>
    <row r="3014" spans="12:74">
      <c r="L3014" s="265"/>
      <c r="M3014" s="265"/>
      <c r="N3014" s="265"/>
      <c r="O3014" s="265"/>
      <c r="P3014" s="265"/>
      <c r="Q3014" s="265"/>
      <c r="BR3014" s="265"/>
      <c r="BS3014" s="265"/>
      <c r="BT3014" s="265"/>
      <c r="BU3014" s="265"/>
      <c r="BV3014" s="265"/>
    </row>
    <row r="3015" spans="12:74">
      <c r="L3015" s="265"/>
      <c r="M3015" s="265"/>
      <c r="N3015" s="265"/>
      <c r="O3015" s="265"/>
      <c r="P3015" s="265"/>
      <c r="Q3015" s="265"/>
      <c r="BR3015" s="265"/>
      <c r="BS3015" s="265"/>
      <c r="BT3015" s="265"/>
      <c r="BU3015" s="265"/>
      <c r="BV3015" s="265"/>
    </row>
    <row r="3016" spans="12:74">
      <c r="L3016" s="265"/>
      <c r="M3016" s="265"/>
      <c r="N3016" s="265"/>
      <c r="O3016" s="265"/>
      <c r="P3016" s="265"/>
      <c r="Q3016" s="265"/>
      <c r="BR3016" s="265"/>
      <c r="BS3016" s="265"/>
      <c r="BT3016" s="265"/>
      <c r="BU3016" s="265"/>
      <c r="BV3016" s="265"/>
    </row>
    <row r="3017" spans="12:74">
      <c r="L3017" s="265"/>
      <c r="M3017" s="265"/>
      <c r="N3017" s="265"/>
      <c r="O3017" s="265"/>
      <c r="P3017" s="265"/>
      <c r="Q3017" s="265"/>
      <c r="BR3017" s="265"/>
      <c r="BS3017" s="265"/>
      <c r="BT3017" s="265"/>
      <c r="BU3017" s="265"/>
      <c r="BV3017" s="265"/>
    </row>
    <row r="3018" spans="12:74">
      <c r="L3018" s="265"/>
      <c r="M3018" s="265"/>
      <c r="N3018" s="265"/>
      <c r="O3018" s="265"/>
      <c r="P3018" s="265"/>
      <c r="Q3018" s="265"/>
      <c r="BR3018" s="265"/>
      <c r="BS3018" s="265"/>
      <c r="BT3018" s="265"/>
      <c r="BU3018" s="265"/>
      <c r="BV3018" s="265"/>
    </row>
    <row r="3019" spans="12:74">
      <c r="L3019" s="265"/>
      <c r="M3019" s="265"/>
      <c r="N3019" s="265"/>
      <c r="O3019" s="265"/>
      <c r="P3019" s="265"/>
      <c r="Q3019" s="265"/>
      <c r="BR3019" s="265"/>
      <c r="BS3019" s="265"/>
      <c r="BT3019" s="265"/>
      <c r="BU3019" s="265"/>
      <c r="BV3019" s="265"/>
    </row>
    <row r="3020" spans="12:74">
      <c r="L3020" s="265"/>
      <c r="M3020" s="265"/>
      <c r="N3020" s="265"/>
      <c r="O3020" s="265"/>
      <c r="P3020" s="265"/>
      <c r="Q3020" s="265"/>
      <c r="BR3020" s="265"/>
      <c r="BS3020" s="265"/>
      <c r="BT3020" s="265"/>
      <c r="BU3020" s="265"/>
      <c r="BV3020" s="265"/>
    </row>
    <row r="3021" spans="12:74">
      <c r="L3021" s="265"/>
      <c r="M3021" s="265"/>
      <c r="N3021" s="265"/>
      <c r="O3021" s="265"/>
      <c r="P3021" s="265"/>
      <c r="Q3021" s="265"/>
      <c r="BR3021" s="265"/>
      <c r="BS3021" s="265"/>
      <c r="BT3021" s="265"/>
      <c r="BU3021" s="265"/>
      <c r="BV3021" s="265"/>
    </row>
    <row r="3022" spans="12:74">
      <c r="L3022" s="265"/>
      <c r="M3022" s="265"/>
      <c r="N3022" s="265"/>
      <c r="O3022" s="265"/>
      <c r="P3022" s="265"/>
      <c r="Q3022" s="265"/>
      <c r="BR3022" s="265"/>
      <c r="BS3022" s="265"/>
      <c r="BT3022" s="265"/>
      <c r="BU3022" s="265"/>
      <c r="BV3022" s="265"/>
    </row>
    <row r="3023" spans="12:74">
      <c r="L3023" s="265"/>
      <c r="M3023" s="265"/>
      <c r="N3023" s="265"/>
      <c r="O3023" s="265"/>
      <c r="P3023" s="265"/>
      <c r="Q3023" s="265"/>
      <c r="BR3023" s="265"/>
      <c r="BS3023" s="265"/>
      <c r="BT3023" s="265"/>
      <c r="BU3023" s="265"/>
      <c r="BV3023" s="265"/>
    </row>
    <row r="3024" spans="12:74">
      <c r="L3024" s="265"/>
      <c r="M3024" s="265"/>
      <c r="N3024" s="265"/>
      <c r="O3024" s="265"/>
      <c r="P3024" s="265"/>
      <c r="Q3024" s="265"/>
      <c r="BR3024" s="265"/>
      <c r="BS3024" s="265"/>
      <c r="BT3024" s="265"/>
      <c r="BU3024" s="265"/>
      <c r="BV3024" s="265"/>
    </row>
    <row r="3025" spans="12:74">
      <c r="L3025" s="265"/>
      <c r="M3025" s="265"/>
      <c r="N3025" s="265"/>
      <c r="O3025" s="265"/>
      <c r="P3025" s="265"/>
      <c r="Q3025" s="265"/>
      <c r="BR3025" s="265"/>
      <c r="BS3025" s="265"/>
      <c r="BT3025" s="265"/>
      <c r="BU3025" s="265"/>
      <c r="BV3025" s="265"/>
    </row>
    <row r="3026" spans="12:74">
      <c r="L3026" s="265"/>
      <c r="M3026" s="265"/>
      <c r="N3026" s="265"/>
      <c r="O3026" s="265"/>
      <c r="P3026" s="265"/>
      <c r="Q3026" s="265"/>
      <c r="BR3026" s="265"/>
      <c r="BS3026" s="265"/>
      <c r="BT3026" s="265"/>
      <c r="BU3026" s="265"/>
      <c r="BV3026" s="265"/>
    </row>
    <row r="3027" spans="12:74">
      <c r="L3027" s="265"/>
      <c r="M3027" s="265"/>
      <c r="N3027" s="265"/>
      <c r="O3027" s="265"/>
      <c r="P3027" s="265"/>
      <c r="Q3027" s="265"/>
      <c r="BR3027" s="265"/>
      <c r="BS3027" s="265"/>
      <c r="BT3027" s="265"/>
      <c r="BU3027" s="265"/>
      <c r="BV3027" s="265"/>
    </row>
    <row r="3028" spans="12:74">
      <c r="L3028" s="265"/>
      <c r="M3028" s="265"/>
      <c r="N3028" s="265"/>
      <c r="O3028" s="265"/>
      <c r="P3028" s="265"/>
      <c r="Q3028" s="265"/>
      <c r="BR3028" s="265"/>
      <c r="BS3028" s="265"/>
      <c r="BT3028" s="265"/>
      <c r="BU3028" s="265"/>
      <c r="BV3028" s="265"/>
    </row>
    <row r="3029" spans="12:74">
      <c r="L3029" s="265"/>
      <c r="M3029" s="265"/>
      <c r="N3029" s="265"/>
      <c r="O3029" s="265"/>
      <c r="P3029" s="265"/>
      <c r="Q3029" s="265"/>
      <c r="BR3029" s="265"/>
      <c r="BS3029" s="265"/>
      <c r="BT3029" s="265"/>
      <c r="BU3029" s="265"/>
      <c r="BV3029" s="265"/>
    </row>
    <row r="3030" spans="12:74">
      <c r="L3030" s="265"/>
      <c r="M3030" s="265"/>
      <c r="N3030" s="265"/>
      <c r="O3030" s="265"/>
      <c r="P3030" s="265"/>
      <c r="Q3030" s="265"/>
      <c r="BR3030" s="265"/>
      <c r="BS3030" s="265"/>
      <c r="BT3030" s="265"/>
      <c r="BU3030" s="265"/>
      <c r="BV3030" s="265"/>
    </row>
    <row r="3031" spans="12:74">
      <c r="L3031" s="265"/>
      <c r="M3031" s="265"/>
      <c r="N3031" s="265"/>
      <c r="O3031" s="265"/>
      <c r="P3031" s="265"/>
      <c r="Q3031" s="265"/>
      <c r="BR3031" s="265"/>
      <c r="BS3031" s="265"/>
      <c r="BT3031" s="265"/>
      <c r="BU3031" s="265"/>
      <c r="BV3031" s="265"/>
    </row>
    <row r="3032" spans="12:74">
      <c r="L3032" s="265"/>
      <c r="M3032" s="265"/>
      <c r="N3032" s="265"/>
      <c r="O3032" s="265"/>
      <c r="P3032" s="265"/>
      <c r="Q3032" s="265"/>
      <c r="BR3032" s="265"/>
      <c r="BS3032" s="265"/>
      <c r="BT3032" s="265"/>
      <c r="BU3032" s="265"/>
      <c r="BV3032" s="265"/>
    </row>
    <row r="3033" spans="12:74">
      <c r="L3033" s="265"/>
      <c r="M3033" s="265"/>
      <c r="N3033" s="265"/>
      <c r="O3033" s="265"/>
      <c r="P3033" s="265"/>
      <c r="Q3033" s="265"/>
      <c r="BR3033" s="265"/>
      <c r="BS3033" s="265"/>
      <c r="BT3033" s="265"/>
      <c r="BU3033" s="265"/>
      <c r="BV3033" s="265"/>
    </row>
    <row r="3034" spans="12:74">
      <c r="L3034" s="265"/>
      <c r="M3034" s="265"/>
      <c r="N3034" s="265"/>
      <c r="O3034" s="265"/>
      <c r="P3034" s="265"/>
      <c r="Q3034" s="265"/>
      <c r="BR3034" s="265"/>
      <c r="BS3034" s="265"/>
      <c r="BT3034" s="265"/>
      <c r="BU3034" s="265"/>
      <c r="BV3034" s="265"/>
    </row>
    <row r="3035" spans="12:74">
      <c r="L3035" s="265"/>
      <c r="M3035" s="265"/>
      <c r="N3035" s="265"/>
      <c r="O3035" s="265"/>
      <c r="P3035" s="265"/>
      <c r="Q3035" s="265"/>
      <c r="BR3035" s="265"/>
      <c r="BS3035" s="265"/>
      <c r="BT3035" s="265"/>
      <c r="BU3035" s="265"/>
      <c r="BV3035" s="265"/>
    </row>
    <row r="3036" spans="12:74">
      <c r="L3036" s="265"/>
      <c r="M3036" s="265"/>
      <c r="N3036" s="265"/>
      <c r="O3036" s="265"/>
      <c r="P3036" s="265"/>
      <c r="Q3036" s="265"/>
      <c r="BR3036" s="265"/>
      <c r="BS3036" s="265"/>
      <c r="BT3036" s="265"/>
      <c r="BU3036" s="265"/>
      <c r="BV3036" s="265"/>
    </row>
    <row r="3037" spans="12:74">
      <c r="L3037" s="265"/>
      <c r="M3037" s="265"/>
      <c r="N3037" s="265"/>
      <c r="O3037" s="265"/>
      <c r="P3037" s="265"/>
      <c r="Q3037" s="265"/>
      <c r="BR3037" s="265"/>
      <c r="BS3037" s="265"/>
      <c r="BT3037" s="265"/>
      <c r="BU3037" s="265"/>
      <c r="BV3037" s="265"/>
    </row>
    <row r="3038" spans="12:74">
      <c r="L3038" s="265"/>
      <c r="M3038" s="265"/>
      <c r="N3038" s="265"/>
      <c r="O3038" s="265"/>
      <c r="P3038" s="265"/>
      <c r="Q3038" s="265"/>
      <c r="BR3038" s="265"/>
      <c r="BS3038" s="265"/>
      <c r="BT3038" s="265"/>
      <c r="BU3038" s="265"/>
      <c r="BV3038" s="265"/>
    </row>
    <row r="3039" spans="12:74">
      <c r="L3039" s="265"/>
      <c r="M3039" s="265"/>
      <c r="N3039" s="265"/>
      <c r="O3039" s="265"/>
      <c r="P3039" s="265"/>
      <c r="Q3039" s="265"/>
      <c r="BR3039" s="265"/>
      <c r="BS3039" s="265"/>
      <c r="BT3039" s="265"/>
      <c r="BU3039" s="265"/>
      <c r="BV3039" s="265"/>
    </row>
    <row r="3040" spans="12:74">
      <c r="L3040" s="265"/>
      <c r="M3040" s="265"/>
      <c r="N3040" s="265"/>
      <c r="O3040" s="265"/>
      <c r="P3040" s="265"/>
      <c r="Q3040" s="265"/>
      <c r="BR3040" s="265"/>
      <c r="BS3040" s="265"/>
      <c r="BT3040" s="265"/>
      <c r="BU3040" s="265"/>
      <c r="BV3040" s="265"/>
    </row>
    <row r="3041" spans="12:74">
      <c r="L3041" s="265"/>
      <c r="M3041" s="265"/>
      <c r="N3041" s="265"/>
      <c r="O3041" s="265"/>
      <c r="P3041" s="265"/>
      <c r="Q3041" s="265"/>
      <c r="BR3041" s="265"/>
      <c r="BS3041" s="265"/>
      <c r="BT3041" s="265"/>
      <c r="BU3041" s="265"/>
      <c r="BV3041" s="265"/>
    </row>
    <row r="3042" spans="12:74">
      <c r="L3042" s="265"/>
      <c r="M3042" s="265"/>
      <c r="N3042" s="265"/>
      <c r="O3042" s="265"/>
      <c r="P3042" s="265"/>
      <c r="Q3042" s="265"/>
      <c r="BR3042" s="265"/>
      <c r="BS3042" s="265"/>
      <c r="BT3042" s="265"/>
      <c r="BU3042" s="265"/>
      <c r="BV3042" s="265"/>
    </row>
    <row r="3043" spans="12:74">
      <c r="L3043" s="265"/>
      <c r="M3043" s="265"/>
      <c r="N3043" s="265"/>
      <c r="O3043" s="265"/>
      <c r="P3043" s="265"/>
      <c r="Q3043" s="265"/>
      <c r="BR3043" s="265"/>
      <c r="BS3043" s="265"/>
      <c r="BT3043" s="265"/>
      <c r="BU3043" s="265"/>
      <c r="BV3043" s="265"/>
    </row>
    <row r="3044" spans="12:74">
      <c r="L3044" s="265"/>
      <c r="M3044" s="265"/>
      <c r="N3044" s="265"/>
      <c r="O3044" s="265"/>
      <c r="P3044" s="265"/>
      <c r="Q3044" s="265"/>
      <c r="BR3044" s="265"/>
      <c r="BS3044" s="265"/>
      <c r="BT3044" s="265"/>
      <c r="BU3044" s="265"/>
      <c r="BV3044" s="265"/>
    </row>
    <row r="3045" spans="12:74">
      <c r="L3045" s="265"/>
      <c r="M3045" s="265"/>
      <c r="N3045" s="265"/>
      <c r="O3045" s="265"/>
      <c r="P3045" s="265"/>
      <c r="Q3045" s="265"/>
      <c r="BR3045" s="265"/>
      <c r="BS3045" s="265"/>
      <c r="BT3045" s="265"/>
      <c r="BU3045" s="265"/>
      <c r="BV3045" s="265"/>
    </row>
    <row r="3046" spans="12:74">
      <c r="L3046" s="265"/>
      <c r="M3046" s="265"/>
      <c r="N3046" s="265"/>
      <c r="O3046" s="265"/>
      <c r="P3046" s="265"/>
      <c r="Q3046" s="265"/>
      <c r="BR3046" s="265"/>
      <c r="BS3046" s="265"/>
      <c r="BT3046" s="265"/>
      <c r="BU3046" s="265"/>
      <c r="BV3046" s="265"/>
    </row>
    <row r="3047" spans="12:74">
      <c r="L3047" s="265"/>
      <c r="M3047" s="265"/>
      <c r="N3047" s="265"/>
      <c r="O3047" s="265"/>
      <c r="P3047" s="265"/>
      <c r="Q3047" s="265"/>
      <c r="BR3047" s="265"/>
      <c r="BS3047" s="265"/>
      <c r="BT3047" s="265"/>
      <c r="BU3047" s="265"/>
      <c r="BV3047" s="265"/>
    </row>
    <row r="3048" spans="12:74">
      <c r="L3048" s="265"/>
      <c r="M3048" s="265"/>
      <c r="N3048" s="265"/>
      <c r="O3048" s="265"/>
      <c r="P3048" s="265"/>
      <c r="Q3048" s="265"/>
      <c r="BR3048" s="265"/>
      <c r="BS3048" s="265"/>
      <c r="BT3048" s="265"/>
      <c r="BU3048" s="265"/>
      <c r="BV3048" s="265"/>
    </row>
    <row r="3049" spans="12:74">
      <c r="L3049" s="265"/>
      <c r="M3049" s="265"/>
      <c r="N3049" s="265"/>
      <c r="O3049" s="265"/>
      <c r="P3049" s="265"/>
      <c r="Q3049" s="265"/>
      <c r="BR3049" s="265"/>
      <c r="BS3049" s="265"/>
      <c r="BT3049" s="265"/>
      <c r="BU3049" s="265"/>
      <c r="BV3049" s="265"/>
    </row>
    <row r="3050" spans="12:74">
      <c r="L3050" s="265"/>
      <c r="M3050" s="265"/>
      <c r="N3050" s="265"/>
      <c r="O3050" s="265"/>
      <c r="P3050" s="265"/>
      <c r="Q3050" s="265"/>
      <c r="BR3050" s="265"/>
      <c r="BS3050" s="265"/>
      <c r="BT3050" s="265"/>
      <c r="BU3050" s="265"/>
      <c r="BV3050" s="265"/>
    </row>
    <row r="3051" spans="12:74">
      <c r="L3051" s="265"/>
      <c r="M3051" s="265"/>
      <c r="N3051" s="265"/>
      <c r="O3051" s="265"/>
      <c r="P3051" s="265"/>
      <c r="Q3051" s="265"/>
      <c r="BR3051" s="265"/>
      <c r="BS3051" s="265"/>
      <c r="BT3051" s="265"/>
      <c r="BU3051" s="265"/>
      <c r="BV3051" s="265"/>
    </row>
    <row r="3052" spans="12:74">
      <c r="L3052" s="265"/>
      <c r="M3052" s="265"/>
      <c r="N3052" s="265"/>
      <c r="O3052" s="265"/>
      <c r="P3052" s="265"/>
      <c r="Q3052" s="265"/>
      <c r="BR3052" s="265"/>
      <c r="BS3052" s="265"/>
      <c r="BT3052" s="265"/>
      <c r="BU3052" s="265"/>
      <c r="BV3052" s="265"/>
    </row>
    <row r="3053" spans="12:74">
      <c r="L3053" s="265"/>
      <c r="M3053" s="265"/>
      <c r="N3053" s="265"/>
      <c r="O3053" s="265"/>
      <c r="P3053" s="265"/>
      <c r="Q3053" s="265"/>
      <c r="BR3053" s="265"/>
      <c r="BS3053" s="265"/>
      <c r="BT3053" s="265"/>
      <c r="BU3053" s="265"/>
      <c r="BV3053" s="265"/>
    </row>
    <row r="3054" spans="12:74">
      <c r="L3054" s="265"/>
      <c r="M3054" s="265"/>
      <c r="N3054" s="265"/>
      <c r="O3054" s="265"/>
      <c r="P3054" s="265"/>
      <c r="Q3054" s="265"/>
      <c r="BR3054" s="265"/>
      <c r="BS3054" s="265"/>
      <c r="BT3054" s="265"/>
      <c r="BU3054" s="265"/>
      <c r="BV3054" s="265"/>
    </row>
    <row r="3055" spans="12:74">
      <c r="L3055" s="265"/>
      <c r="M3055" s="265"/>
      <c r="N3055" s="265"/>
      <c r="O3055" s="265"/>
      <c r="P3055" s="265"/>
      <c r="Q3055" s="265"/>
      <c r="BR3055" s="265"/>
      <c r="BS3055" s="265"/>
      <c r="BT3055" s="265"/>
      <c r="BU3055" s="265"/>
      <c r="BV3055" s="265"/>
    </row>
    <row r="3056" spans="12:74">
      <c r="L3056" s="265"/>
      <c r="M3056" s="265"/>
      <c r="N3056" s="265"/>
      <c r="O3056" s="265"/>
      <c r="P3056" s="265"/>
      <c r="Q3056" s="265"/>
      <c r="BR3056" s="265"/>
      <c r="BS3056" s="265"/>
      <c r="BT3056" s="265"/>
      <c r="BU3056" s="265"/>
      <c r="BV3056" s="265"/>
    </row>
    <row r="3057" spans="12:74">
      <c r="L3057" s="265"/>
      <c r="M3057" s="265"/>
      <c r="N3057" s="265"/>
      <c r="O3057" s="265"/>
      <c r="P3057" s="265"/>
      <c r="Q3057" s="265"/>
      <c r="BR3057" s="265"/>
      <c r="BS3057" s="265"/>
      <c r="BT3057" s="265"/>
      <c r="BU3057" s="265"/>
      <c r="BV3057" s="265"/>
    </row>
    <row r="3058" spans="12:74">
      <c r="L3058" s="265"/>
      <c r="M3058" s="265"/>
      <c r="N3058" s="265"/>
      <c r="O3058" s="265"/>
      <c r="P3058" s="265"/>
      <c r="Q3058" s="265"/>
      <c r="BR3058" s="265"/>
      <c r="BS3058" s="265"/>
      <c r="BT3058" s="265"/>
      <c r="BU3058" s="265"/>
      <c r="BV3058" s="265"/>
    </row>
    <row r="3059" spans="12:74">
      <c r="L3059" s="265"/>
      <c r="M3059" s="265"/>
      <c r="N3059" s="265"/>
      <c r="O3059" s="265"/>
      <c r="P3059" s="265"/>
      <c r="Q3059" s="265"/>
      <c r="BR3059" s="265"/>
      <c r="BS3059" s="265"/>
      <c r="BT3059" s="265"/>
      <c r="BU3059" s="265"/>
      <c r="BV3059" s="265"/>
    </row>
    <row r="3060" spans="12:74">
      <c r="L3060" s="265"/>
      <c r="M3060" s="265"/>
      <c r="N3060" s="265"/>
      <c r="O3060" s="265"/>
      <c r="P3060" s="265"/>
      <c r="Q3060" s="265"/>
      <c r="BR3060" s="265"/>
      <c r="BS3060" s="265"/>
      <c r="BT3060" s="265"/>
      <c r="BU3060" s="265"/>
      <c r="BV3060" s="265"/>
    </row>
    <row r="3061" spans="12:74">
      <c r="L3061" s="265"/>
      <c r="M3061" s="265"/>
      <c r="N3061" s="265"/>
      <c r="O3061" s="265"/>
      <c r="P3061" s="265"/>
      <c r="Q3061" s="265"/>
      <c r="BR3061" s="265"/>
      <c r="BS3061" s="265"/>
      <c r="BT3061" s="265"/>
      <c r="BU3061" s="265"/>
      <c r="BV3061" s="265"/>
    </row>
    <row r="3062" spans="12:74">
      <c r="L3062" s="265"/>
      <c r="M3062" s="265"/>
      <c r="N3062" s="265"/>
      <c r="O3062" s="265"/>
      <c r="P3062" s="265"/>
      <c r="Q3062" s="265"/>
      <c r="BR3062" s="265"/>
      <c r="BS3062" s="265"/>
      <c r="BT3062" s="265"/>
      <c r="BU3062" s="265"/>
      <c r="BV3062" s="265"/>
    </row>
    <row r="3063" spans="12:74">
      <c r="L3063" s="265"/>
      <c r="M3063" s="265"/>
      <c r="N3063" s="265"/>
      <c r="O3063" s="265"/>
      <c r="P3063" s="265"/>
      <c r="Q3063" s="265"/>
      <c r="BR3063" s="265"/>
      <c r="BS3063" s="265"/>
      <c r="BT3063" s="265"/>
      <c r="BU3063" s="265"/>
      <c r="BV3063" s="265"/>
    </row>
    <row r="3064" spans="12:74">
      <c r="L3064" s="265"/>
      <c r="M3064" s="265"/>
      <c r="N3064" s="265"/>
      <c r="O3064" s="265"/>
      <c r="P3064" s="265"/>
      <c r="Q3064" s="265"/>
      <c r="BR3064" s="265"/>
      <c r="BS3064" s="265"/>
      <c r="BT3064" s="265"/>
      <c r="BU3064" s="265"/>
      <c r="BV3064" s="265"/>
    </row>
    <row r="3065" spans="12:74">
      <c r="L3065" s="265"/>
      <c r="M3065" s="265"/>
      <c r="N3065" s="265"/>
      <c r="O3065" s="265"/>
      <c r="P3065" s="265"/>
      <c r="Q3065" s="265"/>
      <c r="BR3065" s="265"/>
      <c r="BS3065" s="265"/>
      <c r="BT3065" s="265"/>
      <c r="BU3065" s="265"/>
      <c r="BV3065" s="265"/>
    </row>
    <row r="3066" spans="12:74">
      <c r="L3066" s="265"/>
      <c r="M3066" s="265"/>
      <c r="N3066" s="265"/>
      <c r="O3066" s="265"/>
      <c r="P3066" s="265"/>
      <c r="Q3066" s="265"/>
      <c r="BR3066" s="265"/>
      <c r="BS3066" s="265"/>
      <c r="BT3066" s="265"/>
      <c r="BU3066" s="265"/>
      <c r="BV3066" s="265"/>
    </row>
    <row r="3067" spans="12:74">
      <c r="L3067" s="265"/>
      <c r="M3067" s="265"/>
      <c r="N3067" s="265"/>
      <c r="O3067" s="265"/>
      <c r="P3067" s="265"/>
      <c r="Q3067" s="265"/>
      <c r="BR3067" s="265"/>
      <c r="BS3067" s="265"/>
      <c r="BT3067" s="265"/>
      <c r="BU3067" s="265"/>
      <c r="BV3067" s="265"/>
    </row>
    <row r="3068" spans="12:74">
      <c r="L3068" s="265"/>
      <c r="M3068" s="265"/>
      <c r="N3068" s="265"/>
      <c r="O3068" s="265"/>
      <c r="P3068" s="265"/>
      <c r="Q3068" s="265"/>
      <c r="BR3068" s="265"/>
      <c r="BS3068" s="265"/>
      <c r="BT3068" s="265"/>
      <c r="BU3068" s="265"/>
      <c r="BV3068" s="265"/>
    </row>
    <row r="3069" spans="12:74">
      <c r="L3069" s="265"/>
      <c r="M3069" s="265"/>
      <c r="N3069" s="265"/>
      <c r="O3069" s="265"/>
      <c r="P3069" s="265"/>
      <c r="Q3069" s="265"/>
      <c r="BR3069" s="265"/>
      <c r="BS3069" s="265"/>
      <c r="BT3069" s="265"/>
      <c r="BU3069" s="265"/>
      <c r="BV3069" s="265"/>
    </row>
    <row r="3070" spans="12:74">
      <c r="L3070" s="265"/>
      <c r="M3070" s="265"/>
      <c r="N3070" s="265"/>
      <c r="O3070" s="265"/>
      <c r="P3070" s="265"/>
      <c r="Q3070" s="265"/>
      <c r="BR3070" s="265"/>
      <c r="BS3070" s="265"/>
      <c r="BT3070" s="265"/>
      <c r="BU3070" s="265"/>
      <c r="BV3070" s="265"/>
    </row>
    <row r="3071" spans="12:74">
      <c r="L3071" s="265"/>
      <c r="M3071" s="265"/>
      <c r="N3071" s="265"/>
      <c r="O3071" s="265"/>
      <c r="P3071" s="265"/>
      <c r="Q3071" s="265"/>
      <c r="BR3071" s="265"/>
      <c r="BS3071" s="265"/>
      <c r="BT3071" s="265"/>
      <c r="BU3071" s="265"/>
      <c r="BV3071" s="265"/>
    </row>
    <row r="3072" spans="12:74">
      <c r="L3072" s="265"/>
      <c r="M3072" s="265"/>
      <c r="N3072" s="265"/>
      <c r="O3072" s="265"/>
      <c r="P3072" s="265"/>
      <c r="Q3072" s="265"/>
      <c r="BR3072" s="265"/>
      <c r="BS3072" s="265"/>
      <c r="BT3072" s="265"/>
      <c r="BU3072" s="265"/>
      <c r="BV3072" s="265"/>
    </row>
    <row r="3073" spans="12:74">
      <c r="L3073" s="265"/>
      <c r="M3073" s="265"/>
      <c r="N3073" s="265"/>
      <c r="O3073" s="265"/>
      <c r="P3073" s="265"/>
      <c r="Q3073" s="265"/>
      <c r="BR3073" s="265"/>
      <c r="BS3073" s="265"/>
      <c r="BT3073" s="265"/>
      <c r="BU3073" s="265"/>
      <c r="BV3073" s="265"/>
    </row>
    <row r="3074" spans="12:74">
      <c r="L3074" s="265"/>
      <c r="M3074" s="265"/>
      <c r="N3074" s="265"/>
      <c r="O3074" s="265"/>
      <c r="P3074" s="265"/>
      <c r="Q3074" s="265"/>
      <c r="BR3074" s="265"/>
      <c r="BS3074" s="265"/>
      <c r="BT3074" s="265"/>
      <c r="BU3074" s="265"/>
      <c r="BV3074" s="265"/>
    </row>
    <row r="3075" spans="12:74">
      <c r="L3075" s="265"/>
      <c r="M3075" s="265"/>
      <c r="N3075" s="265"/>
      <c r="O3075" s="265"/>
      <c r="P3075" s="265"/>
      <c r="Q3075" s="265"/>
      <c r="BR3075" s="265"/>
      <c r="BS3075" s="265"/>
      <c r="BT3075" s="265"/>
      <c r="BU3075" s="265"/>
      <c r="BV3075" s="265"/>
    </row>
    <row r="3076" spans="12:74">
      <c r="L3076" s="265"/>
      <c r="M3076" s="265"/>
      <c r="N3076" s="265"/>
      <c r="O3076" s="265"/>
      <c r="P3076" s="265"/>
      <c r="Q3076" s="265"/>
      <c r="BR3076" s="265"/>
      <c r="BS3076" s="265"/>
      <c r="BT3076" s="265"/>
      <c r="BU3076" s="265"/>
      <c r="BV3076" s="265"/>
    </row>
    <row r="3077" spans="12:74">
      <c r="L3077" s="265"/>
      <c r="M3077" s="265"/>
      <c r="N3077" s="265"/>
      <c r="O3077" s="265"/>
      <c r="P3077" s="265"/>
      <c r="Q3077" s="265"/>
      <c r="BR3077" s="265"/>
      <c r="BS3077" s="265"/>
      <c r="BT3077" s="265"/>
      <c r="BU3077" s="265"/>
      <c r="BV3077" s="265"/>
    </row>
    <row r="3078" spans="12:74">
      <c r="L3078" s="265"/>
      <c r="M3078" s="265"/>
      <c r="N3078" s="265"/>
      <c r="O3078" s="265"/>
      <c r="P3078" s="265"/>
      <c r="Q3078" s="265"/>
      <c r="BR3078" s="265"/>
      <c r="BS3078" s="265"/>
      <c r="BT3078" s="265"/>
      <c r="BU3078" s="265"/>
      <c r="BV3078" s="265"/>
    </row>
    <row r="3079" spans="12:74">
      <c r="L3079" s="265"/>
      <c r="M3079" s="265"/>
      <c r="N3079" s="265"/>
      <c r="O3079" s="265"/>
      <c r="P3079" s="265"/>
      <c r="Q3079" s="265"/>
      <c r="BR3079" s="265"/>
      <c r="BS3079" s="265"/>
      <c r="BT3079" s="265"/>
      <c r="BU3079" s="265"/>
      <c r="BV3079" s="265"/>
    </row>
    <row r="3080" spans="12:74">
      <c r="L3080" s="265"/>
      <c r="M3080" s="265"/>
      <c r="N3080" s="265"/>
      <c r="O3080" s="265"/>
      <c r="P3080" s="265"/>
      <c r="Q3080" s="265"/>
      <c r="BR3080" s="265"/>
      <c r="BS3080" s="265"/>
      <c r="BT3080" s="265"/>
      <c r="BU3080" s="265"/>
      <c r="BV3080" s="265"/>
    </row>
    <row r="3081" spans="12:74">
      <c r="L3081" s="265"/>
      <c r="M3081" s="265"/>
      <c r="N3081" s="265"/>
      <c r="O3081" s="265"/>
      <c r="P3081" s="265"/>
      <c r="Q3081" s="265"/>
      <c r="BR3081" s="265"/>
      <c r="BS3081" s="265"/>
      <c r="BT3081" s="265"/>
      <c r="BU3081" s="265"/>
      <c r="BV3081" s="265"/>
    </row>
    <row r="3082" spans="12:74">
      <c r="L3082" s="265"/>
      <c r="M3082" s="265"/>
      <c r="N3082" s="265"/>
      <c r="O3082" s="265"/>
      <c r="P3082" s="265"/>
      <c r="Q3082" s="265"/>
      <c r="BR3082" s="265"/>
      <c r="BS3082" s="265"/>
      <c r="BT3082" s="265"/>
      <c r="BU3082" s="265"/>
      <c r="BV3082" s="265"/>
    </row>
    <row r="3083" spans="12:74">
      <c r="L3083" s="265"/>
      <c r="M3083" s="265"/>
      <c r="N3083" s="265"/>
      <c r="O3083" s="265"/>
      <c r="P3083" s="265"/>
      <c r="Q3083" s="265"/>
      <c r="BR3083" s="265"/>
      <c r="BS3083" s="265"/>
      <c r="BT3083" s="265"/>
      <c r="BU3083" s="265"/>
      <c r="BV3083" s="265"/>
    </row>
    <row r="3084" spans="12:74">
      <c r="L3084" s="265"/>
      <c r="M3084" s="265"/>
      <c r="N3084" s="265"/>
      <c r="O3084" s="265"/>
      <c r="P3084" s="265"/>
      <c r="Q3084" s="265"/>
      <c r="BR3084" s="265"/>
      <c r="BS3084" s="265"/>
      <c r="BT3084" s="265"/>
      <c r="BU3084" s="265"/>
      <c r="BV3084" s="265"/>
    </row>
    <row r="3085" spans="12:74">
      <c r="L3085" s="265"/>
      <c r="M3085" s="265"/>
      <c r="N3085" s="265"/>
      <c r="O3085" s="265"/>
      <c r="P3085" s="265"/>
      <c r="Q3085" s="265"/>
      <c r="BR3085" s="265"/>
      <c r="BS3085" s="265"/>
      <c r="BT3085" s="265"/>
      <c r="BU3085" s="265"/>
      <c r="BV3085" s="265"/>
    </row>
    <row r="3086" spans="12:74">
      <c r="L3086" s="265"/>
      <c r="M3086" s="265"/>
      <c r="N3086" s="265"/>
      <c r="O3086" s="265"/>
      <c r="P3086" s="265"/>
      <c r="Q3086" s="265"/>
      <c r="BR3086" s="265"/>
      <c r="BS3086" s="265"/>
      <c r="BT3086" s="265"/>
      <c r="BU3086" s="265"/>
      <c r="BV3086" s="265"/>
    </row>
    <row r="3087" spans="12:74">
      <c r="L3087" s="265"/>
      <c r="M3087" s="265"/>
      <c r="N3087" s="265"/>
      <c r="O3087" s="265"/>
      <c r="P3087" s="265"/>
      <c r="Q3087" s="265"/>
      <c r="BR3087" s="265"/>
      <c r="BS3087" s="265"/>
      <c r="BT3087" s="265"/>
      <c r="BU3087" s="265"/>
      <c r="BV3087" s="265"/>
    </row>
    <row r="3088" spans="12:74">
      <c r="L3088" s="265"/>
      <c r="M3088" s="265"/>
      <c r="N3088" s="265"/>
      <c r="O3088" s="265"/>
      <c r="P3088" s="265"/>
      <c r="Q3088" s="265"/>
      <c r="BR3088" s="265"/>
      <c r="BS3088" s="265"/>
      <c r="BT3088" s="265"/>
      <c r="BU3088" s="265"/>
      <c r="BV3088" s="265"/>
    </row>
    <row r="3089" spans="12:74">
      <c r="L3089" s="265"/>
      <c r="M3089" s="265"/>
      <c r="N3089" s="265"/>
      <c r="O3089" s="265"/>
      <c r="P3089" s="265"/>
      <c r="Q3089" s="265"/>
      <c r="BR3089" s="265"/>
      <c r="BS3089" s="265"/>
      <c r="BT3089" s="265"/>
      <c r="BU3089" s="265"/>
      <c r="BV3089" s="265"/>
    </row>
    <row r="3090" spans="12:74">
      <c r="L3090" s="265"/>
      <c r="M3090" s="265"/>
      <c r="N3090" s="265"/>
      <c r="O3090" s="265"/>
      <c r="P3090" s="265"/>
      <c r="Q3090" s="265"/>
      <c r="BR3090" s="265"/>
      <c r="BS3090" s="265"/>
      <c r="BT3090" s="265"/>
      <c r="BU3090" s="265"/>
      <c r="BV3090" s="265"/>
    </row>
    <row r="3091" spans="12:74">
      <c r="L3091" s="265"/>
      <c r="M3091" s="265"/>
      <c r="N3091" s="265"/>
      <c r="O3091" s="265"/>
      <c r="P3091" s="265"/>
      <c r="Q3091" s="265"/>
      <c r="BR3091" s="265"/>
      <c r="BS3091" s="265"/>
      <c r="BT3091" s="265"/>
      <c r="BU3091" s="265"/>
      <c r="BV3091" s="265"/>
    </row>
    <row r="3092" spans="12:74">
      <c r="L3092" s="265"/>
      <c r="M3092" s="265"/>
      <c r="N3092" s="265"/>
      <c r="O3092" s="265"/>
      <c r="P3092" s="265"/>
      <c r="Q3092" s="265"/>
      <c r="BR3092" s="265"/>
      <c r="BS3092" s="265"/>
      <c r="BT3092" s="265"/>
      <c r="BU3092" s="265"/>
      <c r="BV3092" s="265"/>
    </row>
    <row r="3093" spans="12:74">
      <c r="L3093" s="265"/>
      <c r="M3093" s="265"/>
      <c r="N3093" s="265"/>
      <c r="O3093" s="265"/>
      <c r="P3093" s="265"/>
      <c r="Q3093" s="265"/>
      <c r="BR3093" s="265"/>
      <c r="BS3093" s="265"/>
      <c r="BT3093" s="265"/>
      <c r="BU3093" s="265"/>
      <c r="BV3093" s="265"/>
    </row>
    <row r="3094" spans="12:74">
      <c r="L3094" s="265"/>
      <c r="M3094" s="265"/>
      <c r="N3094" s="265"/>
      <c r="O3094" s="265"/>
      <c r="P3094" s="265"/>
      <c r="Q3094" s="265"/>
      <c r="BR3094" s="265"/>
      <c r="BS3094" s="265"/>
      <c r="BT3094" s="265"/>
      <c r="BU3094" s="265"/>
      <c r="BV3094" s="265"/>
    </row>
    <row r="3095" spans="12:74">
      <c r="L3095" s="265"/>
      <c r="M3095" s="265"/>
      <c r="N3095" s="265"/>
      <c r="O3095" s="265"/>
      <c r="P3095" s="265"/>
      <c r="Q3095" s="265"/>
      <c r="BR3095" s="265"/>
      <c r="BS3095" s="265"/>
      <c r="BT3095" s="265"/>
      <c r="BU3095" s="265"/>
      <c r="BV3095" s="265"/>
    </row>
    <row r="3096" spans="12:74">
      <c r="L3096" s="265"/>
      <c r="M3096" s="265"/>
      <c r="N3096" s="265"/>
      <c r="O3096" s="265"/>
      <c r="P3096" s="265"/>
      <c r="Q3096" s="265"/>
      <c r="BR3096" s="265"/>
      <c r="BS3096" s="265"/>
      <c r="BT3096" s="265"/>
      <c r="BU3096" s="265"/>
      <c r="BV3096" s="265"/>
    </row>
    <row r="3097" spans="12:74">
      <c r="L3097" s="265"/>
      <c r="M3097" s="265"/>
      <c r="N3097" s="265"/>
      <c r="O3097" s="265"/>
      <c r="P3097" s="265"/>
      <c r="Q3097" s="265"/>
      <c r="BR3097" s="265"/>
      <c r="BS3097" s="265"/>
      <c r="BT3097" s="265"/>
      <c r="BU3097" s="265"/>
      <c r="BV3097" s="265"/>
    </row>
    <row r="3098" spans="12:74">
      <c r="L3098" s="265"/>
      <c r="M3098" s="265"/>
      <c r="N3098" s="265"/>
      <c r="O3098" s="265"/>
      <c r="P3098" s="265"/>
      <c r="Q3098" s="265"/>
      <c r="BR3098" s="265"/>
      <c r="BS3098" s="265"/>
      <c r="BT3098" s="265"/>
      <c r="BU3098" s="265"/>
      <c r="BV3098" s="265"/>
    </row>
    <row r="3099" spans="12:74">
      <c r="L3099" s="265"/>
      <c r="M3099" s="265"/>
      <c r="N3099" s="265"/>
      <c r="O3099" s="265"/>
      <c r="P3099" s="265"/>
      <c r="Q3099" s="265"/>
      <c r="BR3099" s="265"/>
      <c r="BS3099" s="265"/>
      <c r="BT3099" s="265"/>
      <c r="BU3099" s="265"/>
      <c r="BV3099" s="265"/>
    </row>
    <row r="3100" spans="12:74">
      <c r="L3100" s="265"/>
      <c r="M3100" s="265"/>
      <c r="N3100" s="265"/>
      <c r="O3100" s="265"/>
      <c r="P3100" s="265"/>
      <c r="Q3100" s="265"/>
      <c r="BR3100" s="265"/>
      <c r="BS3100" s="265"/>
      <c r="BT3100" s="265"/>
      <c r="BU3100" s="265"/>
      <c r="BV3100" s="265"/>
    </row>
    <row r="3101" spans="12:74">
      <c r="L3101" s="265"/>
      <c r="M3101" s="265"/>
      <c r="N3101" s="265"/>
      <c r="O3101" s="265"/>
      <c r="P3101" s="265"/>
      <c r="Q3101" s="265"/>
      <c r="BR3101" s="265"/>
      <c r="BS3101" s="265"/>
      <c r="BT3101" s="265"/>
      <c r="BU3101" s="265"/>
      <c r="BV3101" s="265"/>
    </row>
    <row r="3102" spans="12:74">
      <c r="L3102" s="265"/>
      <c r="M3102" s="265"/>
      <c r="N3102" s="265"/>
      <c r="O3102" s="265"/>
      <c r="P3102" s="265"/>
      <c r="Q3102" s="265"/>
      <c r="BR3102" s="265"/>
      <c r="BS3102" s="265"/>
      <c r="BT3102" s="265"/>
      <c r="BU3102" s="265"/>
      <c r="BV3102" s="265"/>
    </row>
    <row r="3103" spans="12:74">
      <c r="L3103" s="265"/>
      <c r="M3103" s="265"/>
      <c r="N3103" s="265"/>
      <c r="O3103" s="265"/>
      <c r="P3103" s="265"/>
      <c r="Q3103" s="265"/>
      <c r="BR3103" s="265"/>
      <c r="BS3103" s="265"/>
      <c r="BT3103" s="265"/>
      <c r="BU3103" s="265"/>
      <c r="BV3103" s="265"/>
    </row>
    <row r="3104" spans="12:74">
      <c r="L3104" s="265"/>
      <c r="M3104" s="265"/>
      <c r="N3104" s="265"/>
      <c r="O3104" s="265"/>
      <c r="P3104" s="265"/>
      <c r="Q3104" s="265"/>
      <c r="BR3104" s="265"/>
      <c r="BS3104" s="265"/>
      <c r="BT3104" s="265"/>
      <c r="BU3104" s="265"/>
      <c r="BV3104" s="265"/>
    </row>
    <row r="3105" spans="12:74">
      <c r="L3105" s="265"/>
      <c r="M3105" s="265"/>
      <c r="N3105" s="265"/>
      <c r="O3105" s="265"/>
      <c r="P3105" s="265"/>
      <c r="Q3105" s="265"/>
      <c r="BR3105" s="265"/>
      <c r="BS3105" s="265"/>
      <c r="BT3105" s="265"/>
      <c r="BU3105" s="265"/>
      <c r="BV3105" s="265"/>
    </row>
    <row r="3106" spans="12:74">
      <c r="L3106" s="265"/>
      <c r="M3106" s="265"/>
      <c r="N3106" s="265"/>
      <c r="O3106" s="265"/>
      <c r="P3106" s="265"/>
      <c r="Q3106" s="265"/>
      <c r="BR3106" s="265"/>
      <c r="BS3106" s="265"/>
      <c r="BT3106" s="265"/>
      <c r="BU3106" s="265"/>
      <c r="BV3106" s="265"/>
    </row>
    <row r="3107" spans="12:74">
      <c r="L3107" s="265"/>
      <c r="M3107" s="265"/>
      <c r="N3107" s="265"/>
      <c r="O3107" s="265"/>
      <c r="P3107" s="265"/>
      <c r="Q3107" s="265"/>
      <c r="BR3107" s="265"/>
      <c r="BS3107" s="265"/>
      <c r="BT3107" s="265"/>
      <c r="BU3107" s="265"/>
      <c r="BV3107" s="265"/>
    </row>
    <row r="3108" spans="12:74">
      <c r="L3108" s="265"/>
      <c r="M3108" s="265"/>
      <c r="N3108" s="265"/>
      <c r="O3108" s="265"/>
      <c r="P3108" s="265"/>
      <c r="Q3108" s="265"/>
      <c r="BR3108" s="265"/>
      <c r="BS3108" s="265"/>
      <c r="BT3108" s="265"/>
      <c r="BU3108" s="265"/>
      <c r="BV3108" s="265"/>
    </row>
    <row r="3109" spans="12:74">
      <c r="L3109" s="265"/>
      <c r="M3109" s="265"/>
      <c r="N3109" s="265"/>
      <c r="O3109" s="265"/>
      <c r="P3109" s="265"/>
      <c r="Q3109" s="265"/>
      <c r="BR3109" s="265"/>
      <c r="BS3109" s="265"/>
      <c r="BT3109" s="265"/>
      <c r="BU3109" s="265"/>
      <c r="BV3109" s="265"/>
    </row>
    <row r="3110" spans="12:74">
      <c r="L3110" s="265"/>
      <c r="M3110" s="265"/>
      <c r="N3110" s="265"/>
      <c r="O3110" s="265"/>
      <c r="P3110" s="265"/>
      <c r="Q3110" s="265"/>
      <c r="BR3110" s="265"/>
      <c r="BS3110" s="265"/>
      <c r="BT3110" s="265"/>
      <c r="BU3110" s="265"/>
      <c r="BV3110" s="265"/>
    </row>
    <row r="3111" spans="12:74">
      <c r="L3111" s="265"/>
      <c r="M3111" s="265"/>
      <c r="N3111" s="265"/>
      <c r="O3111" s="265"/>
      <c r="P3111" s="265"/>
      <c r="Q3111" s="265"/>
      <c r="BR3111" s="265"/>
      <c r="BS3111" s="265"/>
      <c r="BT3111" s="265"/>
      <c r="BU3111" s="265"/>
      <c r="BV3111" s="265"/>
    </row>
    <row r="3112" spans="12:74">
      <c r="L3112" s="265"/>
      <c r="M3112" s="265"/>
      <c r="N3112" s="265"/>
      <c r="O3112" s="265"/>
      <c r="P3112" s="265"/>
      <c r="Q3112" s="265"/>
      <c r="BR3112" s="265"/>
      <c r="BS3112" s="265"/>
      <c r="BT3112" s="265"/>
      <c r="BU3112" s="265"/>
      <c r="BV3112" s="265"/>
    </row>
    <row r="3113" spans="12:74">
      <c r="L3113" s="265"/>
      <c r="M3113" s="265"/>
      <c r="N3113" s="265"/>
      <c r="O3113" s="265"/>
      <c r="P3113" s="265"/>
      <c r="Q3113" s="265"/>
      <c r="BR3113" s="265"/>
      <c r="BS3113" s="265"/>
      <c r="BT3113" s="265"/>
      <c r="BU3113" s="265"/>
      <c r="BV3113" s="265"/>
    </row>
    <row r="3114" spans="12:74">
      <c r="L3114" s="265"/>
      <c r="M3114" s="265"/>
      <c r="N3114" s="265"/>
      <c r="O3114" s="265"/>
      <c r="P3114" s="265"/>
      <c r="Q3114" s="265"/>
      <c r="BR3114" s="265"/>
      <c r="BS3114" s="265"/>
      <c r="BT3114" s="265"/>
      <c r="BU3114" s="265"/>
      <c r="BV3114" s="265"/>
    </row>
    <row r="3115" spans="12:74">
      <c r="L3115" s="265"/>
      <c r="M3115" s="265"/>
      <c r="N3115" s="265"/>
      <c r="O3115" s="265"/>
      <c r="P3115" s="265"/>
      <c r="Q3115" s="265"/>
      <c r="BR3115" s="265"/>
      <c r="BS3115" s="265"/>
      <c r="BT3115" s="265"/>
      <c r="BU3115" s="265"/>
      <c r="BV3115" s="265"/>
    </row>
    <row r="3116" spans="12:74">
      <c r="L3116" s="265"/>
      <c r="M3116" s="265"/>
      <c r="N3116" s="265"/>
      <c r="O3116" s="265"/>
      <c r="P3116" s="265"/>
      <c r="Q3116" s="265"/>
      <c r="BR3116" s="265"/>
      <c r="BS3116" s="265"/>
      <c r="BT3116" s="265"/>
      <c r="BU3116" s="265"/>
      <c r="BV3116" s="265"/>
    </row>
    <row r="3117" spans="12:74">
      <c r="L3117" s="265"/>
      <c r="M3117" s="265"/>
      <c r="N3117" s="265"/>
      <c r="O3117" s="265"/>
      <c r="P3117" s="265"/>
      <c r="Q3117" s="265"/>
      <c r="BR3117" s="265"/>
      <c r="BS3117" s="265"/>
      <c r="BT3117" s="265"/>
      <c r="BU3117" s="265"/>
      <c r="BV3117" s="265"/>
    </row>
    <row r="3118" spans="12:74">
      <c r="L3118" s="265"/>
      <c r="M3118" s="265"/>
      <c r="N3118" s="265"/>
      <c r="O3118" s="265"/>
      <c r="P3118" s="265"/>
      <c r="Q3118" s="265"/>
      <c r="BR3118" s="265"/>
      <c r="BS3118" s="265"/>
      <c r="BT3118" s="265"/>
      <c r="BU3118" s="265"/>
      <c r="BV3118" s="265"/>
    </row>
    <row r="3119" spans="12:74">
      <c r="L3119" s="265"/>
      <c r="M3119" s="265"/>
      <c r="N3119" s="265"/>
      <c r="O3119" s="265"/>
      <c r="P3119" s="265"/>
      <c r="Q3119" s="265"/>
      <c r="BR3119" s="265"/>
      <c r="BS3119" s="265"/>
      <c r="BT3119" s="265"/>
      <c r="BU3119" s="265"/>
      <c r="BV3119" s="265"/>
    </row>
    <row r="3120" spans="12:74">
      <c r="L3120" s="265"/>
      <c r="M3120" s="265"/>
      <c r="N3120" s="265"/>
      <c r="O3120" s="265"/>
      <c r="P3120" s="265"/>
      <c r="Q3120" s="265"/>
      <c r="BR3120" s="265"/>
      <c r="BS3120" s="265"/>
      <c r="BT3120" s="265"/>
      <c r="BU3120" s="265"/>
      <c r="BV3120" s="265"/>
    </row>
    <row r="3121" spans="12:74">
      <c r="L3121" s="265"/>
      <c r="M3121" s="265"/>
      <c r="N3121" s="265"/>
      <c r="O3121" s="265"/>
      <c r="P3121" s="265"/>
      <c r="Q3121" s="265"/>
      <c r="BR3121" s="265"/>
      <c r="BS3121" s="265"/>
      <c r="BT3121" s="265"/>
      <c r="BU3121" s="265"/>
      <c r="BV3121" s="265"/>
    </row>
    <row r="3122" spans="12:74">
      <c r="L3122" s="265"/>
      <c r="M3122" s="265"/>
      <c r="N3122" s="265"/>
      <c r="O3122" s="265"/>
      <c r="P3122" s="265"/>
      <c r="Q3122" s="265"/>
      <c r="BR3122" s="265"/>
      <c r="BS3122" s="265"/>
      <c r="BT3122" s="265"/>
      <c r="BU3122" s="265"/>
      <c r="BV3122" s="265"/>
    </row>
    <row r="3123" spans="12:74">
      <c r="L3123" s="265"/>
      <c r="M3123" s="265"/>
      <c r="N3123" s="265"/>
      <c r="O3123" s="265"/>
      <c r="P3123" s="265"/>
      <c r="Q3123" s="265"/>
      <c r="BR3123" s="265"/>
      <c r="BS3123" s="265"/>
      <c r="BT3123" s="265"/>
      <c r="BU3123" s="265"/>
      <c r="BV3123" s="265"/>
    </row>
    <row r="3124" spans="12:74">
      <c r="L3124" s="265"/>
      <c r="M3124" s="265"/>
      <c r="N3124" s="265"/>
      <c r="O3124" s="265"/>
      <c r="P3124" s="265"/>
      <c r="Q3124" s="265"/>
      <c r="BR3124" s="265"/>
      <c r="BS3124" s="265"/>
      <c r="BT3124" s="265"/>
      <c r="BU3124" s="265"/>
      <c r="BV3124" s="265"/>
    </row>
    <row r="3125" spans="12:74">
      <c r="L3125" s="265"/>
      <c r="M3125" s="265"/>
      <c r="N3125" s="265"/>
      <c r="O3125" s="265"/>
      <c r="P3125" s="265"/>
      <c r="Q3125" s="265"/>
      <c r="BR3125" s="265"/>
      <c r="BS3125" s="265"/>
      <c r="BT3125" s="265"/>
      <c r="BU3125" s="265"/>
      <c r="BV3125" s="265"/>
    </row>
    <row r="3126" spans="12:74">
      <c r="L3126" s="265"/>
      <c r="M3126" s="265"/>
      <c r="N3126" s="265"/>
      <c r="O3126" s="265"/>
      <c r="P3126" s="265"/>
      <c r="Q3126" s="265"/>
      <c r="BR3126" s="265"/>
      <c r="BS3126" s="265"/>
      <c r="BT3126" s="265"/>
      <c r="BU3126" s="265"/>
      <c r="BV3126" s="265"/>
    </row>
    <row r="3127" spans="12:74">
      <c r="L3127" s="265"/>
      <c r="M3127" s="265"/>
      <c r="N3127" s="265"/>
      <c r="O3127" s="265"/>
      <c r="P3127" s="265"/>
      <c r="Q3127" s="265"/>
      <c r="BR3127" s="265"/>
      <c r="BS3127" s="265"/>
      <c r="BT3127" s="265"/>
      <c r="BU3127" s="265"/>
      <c r="BV3127" s="265"/>
    </row>
    <row r="3128" spans="12:74">
      <c r="L3128" s="265"/>
      <c r="M3128" s="265"/>
      <c r="N3128" s="265"/>
      <c r="O3128" s="265"/>
      <c r="P3128" s="265"/>
      <c r="Q3128" s="265"/>
      <c r="BR3128" s="265"/>
      <c r="BS3128" s="265"/>
      <c r="BT3128" s="265"/>
      <c r="BU3128" s="265"/>
      <c r="BV3128" s="265"/>
    </row>
    <row r="3129" spans="12:74">
      <c r="L3129" s="265"/>
      <c r="M3129" s="265"/>
      <c r="N3129" s="265"/>
      <c r="O3129" s="265"/>
      <c r="P3129" s="265"/>
      <c r="Q3129" s="265"/>
      <c r="BR3129" s="265"/>
      <c r="BS3129" s="265"/>
      <c r="BT3129" s="265"/>
      <c r="BU3129" s="265"/>
      <c r="BV3129" s="265"/>
    </row>
    <row r="3130" spans="12:74">
      <c r="L3130" s="265"/>
      <c r="M3130" s="265"/>
      <c r="N3130" s="265"/>
      <c r="O3130" s="265"/>
      <c r="P3130" s="265"/>
      <c r="Q3130" s="265"/>
      <c r="BR3130" s="265"/>
      <c r="BS3130" s="265"/>
      <c r="BT3130" s="265"/>
      <c r="BU3130" s="265"/>
      <c r="BV3130" s="265"/>
    </row>
    <row r="3131" spans="12:74">
      <c r="L3131" s="265"/>
      <c r="M3131" s="265"/>
      <c r="N3131" s="265"/>
      <c r="O3131" s="265"/>
      <c r="P3131" s="265"/>
      <c r="Q3131" s="265"/>
      <c r="BR3131" s="265"/>
      <c r="BS3131" s="265"/>
      <c r="BT3131" s="265"/>
      <c r="BU3131" s="265"/>
      <c r="BV3131" s="265"/>
    </row>
    <row r="3132" spans="12:74">
      <c r="L3132" s="265"/>
      <c r="M3132" s="265"/>
      <c r="N3132" s="265"/>
      <c r="O3132" s="265"/>
      <c r="P3132" s="265"/>
      <c r="Q3132" s="265"/>
      <c r="BR3132" s="265"/>
      <c r="BS3132" s="265"/>
      <c r="BT3132" s="265"/>
      <c r="BU3132" s="265"/>
      <c r="BV3132" s="265"/>
    </row>
    <row r="3133" spans="12:74">
      <c r="L3133" s="265"/>
      <c r="M3133" s="265"/>
      <c r="N3133" s="265"/>
      <c r="O3133" s="265"/>
      <c r="P3133" s="265"/>
      <c r="Q3133" s="265"/>
      <c r="BR3133" s="265"/>
      <c r="BS3133" s="265"/>
      <c r="BT3133" s="265"/>
      <c r="BU3133" s="265"/>
      <c r="BV3133" s="265"/>
    </row>
    <row r="3134" spans="12:74">
      <c r="L3134" s="265"/>
      <c r="M3134" s="265"/>
      <c r="N3134" s="265"/>
      <c r="O3134" s="265"/>
      <c r="P3134" s="265"/>
      <c r="Q3134" s="265"/>
      <c r="BR3134" s="265"/>
      <c r="BS3134" s="265"/>
      <c r="BT3134" s="265"/>
      <c r="BU3134" s="265"/>
      <c r="BV3134" s="265"/>
    </row>
    <row r="3135" spans="12:74">
      <c r="L3135" s="265"/>
      <c r="M3135" s="265"/>
      <c r="N3135" s="265"/>
      <c r="O3135" s="265"/>
      <c r="P3135" s="265"/>
      <c r="Q3135" s="265"/>
      <c r="BR3135" s="265"/>
      <c r="BS3135" s="265"/>
      <c r="BT3135" s="265"/>
      <c r="BU3135" s="265"/>
      <c r="BV3135" s="265"/>
    </row>
    <row r="3136" spans="12:74">
      <c r="L3136" s="265"/>
      <c r="M3136" s="265"/>
      <c r="N3136" s="265"/>
      <c r="O3136" s="265"/>
      <c r="P3136" s="265"/>
      <c r="Q3136" s="265"/>
      <c r="BR3136" s="265"/>
      <c r="BS3136" s="265"/>
      <c r="BT3136" s="265"/>
      <c r="BU3136" s="265"/>
      <c r="BV3136" s="265"/>
    </row>
    <row r="3137" spans="12:74">
      <c r="L3137" s="265"/>
      <c r="M3137" s="265"/>
      <c r="N3137" s="265"/>
      <c r="O3137" s="265"/>
      <c r="P3137" s="265"/>
      <c r="Q3137" s="265"/>
      <c r="BR3137" s="265"/>
      <c r="BS3137" s="265"/>
      <c r="BT3137" s="265"/>
      <c r="BU3137" s="265"/>
      <c r="BV3137" s="265"/>
    </row>
    <row r="3138" spans="12:74">
      <c r="L3138" s="265"/>
      <c r="M3138" s="265"/>
      <c r="N3138" s="265"/>
      <c r="O3138" s="265"/>
      <c r="P3138" s="265"/>
      <c r="Q3138" s="265"/>
      <c r="BR3138" s="265"/>
      <c r="BS3138" s="265"/>
      <c r="BT3138" s="265"/>
      <c r="BU3138" s="265"/>
      <c r="BV3138" s="265"/>
    </row>
    <row r="3139" spans="12:74">
      <c r="L3139" s="265"/>
      <c r="M3139" s="265"/>
      <c r="N3139" s="265"/>
      <c r="O3139" s="265"/>
      <c r="P3139" s="265"/>
      <c r="Q3139" s="265"/>
      <c r="BR3139" s="265"/>
      <c r="BS3139" s="265"/>
      <c r="BT3139" s="265"/>
      <c r="BU3139" s="265"/>
      <c r="BV3139" s="265"/>
    </row>
    <row r="3140" spans="12:74">
      <c r="L3140" s="265"/>
      <c r="M3140" s="265"/>
      <c r="N3140" s="265"/>
      <c r="O3140" s="265"/>
      <c r="P3140" s="265"/>
      <c r="Q3140" s="265"/>
      <c r="BR3140" s="265"/>
      <c r="BS3140" s="265"/>
      <c r="BT3140" s="265"/>
      <c r="BU3140" s="265"/>
      <c r="BV3140" s="265"/>
    </row>
    <row r="3141" spans="12:74">
      <c r="L3141" s="265"/>
      <c r="M3141" s="265"/>
      <c r="N3141" s="265"/>
      <c r="O3141" s="265"/>
      <c r="P3141" s="265"/>
      <c r="Q3141" s="265"/>
      <c r="BR3141" s="265"/>
      <c r="BS3141" s="265"/>
      <c r="BT3141" s="265"/>
      <c r="BU3141" s="265"/>
      <c r="BV3141" s="265"/>
    </row>
    <row r="3142" spans="12:74">
      <c r="L3142" s="265"/>
      <c r="M3142" s="265"/>
      <c r="N3142" s="265"/>
      <c r="O3142" s="265"/>
      <c r="P3142" s="265"/>
      <c r="Q3142" s="265"/>
      <c r="BR3142" s="265"/>
      <c r="BS3142" s="265"/>
      <c r="BT3142" s="265"/>
      <c r="BU3142" s="265"/>
      <c r="BV3142" s="265"/>
    </row>
    <row r="3143" spans="12:74">
      <c r="L3143" s="265"/>
      <c r="M3143" s="265"/>
      <c r="N3143" s="265"/>
      <c r="O3143" s="265"/>
      <c r="P3143" s="265"/>
      <c r="Q3143" s="265"/>
      <c r="BR3143" s="265"/>
      <c r="BS3143" s="265"/>
      <c r="BT3143" s="265"/>
      <c r="BU3143" s="265"/>
      <c r="BV3143" s="265"/>
    </row>
    <row r="3144" spans="12:74">
      <c r="L3144" s="265"/>
      <c r="M3144" s="265"/>
      <c r="N3144" s="265"/>
      <c r="O3144" s="265"/>
      <c r="P3144" s="265"/>
      <c r="Q3144" s="265"/>
      <c r="BR3144" s="265"/>
      <c r="BS3144" s="265"/>
      <c r="BT3144" s="265"/>
      <c r="BU3144" s="265"/>
      <c r="BV3144" s="265"/>
    </row>
    <row r="3145" spans="12:74">
      <c r="L3145" s="265"/>
      <c r="M3145" s="265"/>
      <c r="N3145" s="265"/>
      <c r="O3145" s="265"/>
      <c r="P3145" s="265"/>
      <c r="Q3145" s="265"/>
      <c r="BR3145" s="265"/>
      <c r="BS3145" s="265"/>
      <c r="BT3145" s="265"/>
      <c r="BU3145" s="265"/>
      <c r="BV3145" s="265"/>
    </row>
    <row r="3146" spans="12:74">
      <c r="L3146" s="265"/>
      <c r="M3146" s="265"/>
      <c r="N3146" s="265"/>
      <c r="O3146" s="265"/>
      <c r="P3146" s="265"/>
      <c r="Q3146" s="265"/>
      <c r="BR3146" s="265"/>
      <c r="BS3146" s="265"/>
      <c r="BT3146" s="265"/>
      <c r="BU3146" s="265"/>
      <c r="BV3146" s="265"/>
    </row>
    <row r="3147" spans="12:74">
      <c r="L3147" s="265"/>
      <c r="M3147" s="265"/>
      <c r="N3147" s="265"/>
      <c r="O3147" s="265"/>
      <c r="P3147" s="265"/>
      <c r="Q3147" s="265"/>
      <c r="BR3147" s="265"/>
      <c r="BS3147" s="265"/>
      <c r="BT3147" s="265"/>
      <c r="BU3147" s="265"/>
      <c r="BV3147" s="265"/>
    </row>
    <row r="3148" spans="12:74">
      <c r="L3148" s="265"/>
      <c r="M3148" s="265"/>
      <c r="N3148" s="265"/>
      <c r="O3148" s="265"/>
      <c r="P3148" s="265"/>
      <c r="Q3148" s="265"/>
      <c r="BR3148" s="265"/>
      <c r="BS3148" s="265"/>
      <c r="BT3148" s="265"/>
      <c r="BU3148" s="265"/>
      <c r="BV3148" s="265"/>
    </row>
    <row r="3149" spans="12:74">
      <c r="L3149" s="265"/>
      <c r="M3149" s="265"/>
      <c r="N3149" s="265"/>
      <c r="O3149" s="265"/>
      <c r="P3149" s="265"/>
      <c r="Q3149" s="265"/>
      <c r="BR3149" s="265"/>
      <c r="BS3149" s="265"/>
      <c r="BT3149" s="265"/>
      <c r="BU3149" s="265"/>
      <c r="BV3149" s="265"/>
    </row>
    <row r="3150" spans="12:74">
      <c r="L3150" s="265"/>
      <c r="M3150" s="265"/>
      <c r="N3150" s="265"/>
      <c r="O3150" s="265"/>
      <c r="P3150" s="265"/>
      <c r="Q3150" s="265"/>
      <c r="BR3150" s="265"/>
      <c r="BS3150" s="265"/>
      <c r="BT3150" s="265"/>
      <c r="BU3150" s="265"/>
      <c r="BV3150" s="265"/>
    </row>
    <row r="3151" spans="12:74">
      <c r="L3151" s="265"/>
      <c r="M3151" s="265"/>
      <c r="N3151" s="265"/>
      <c r="O3151" s="265"/>
      <c r="P3151" s="265"/>
      <c r="Q3151" s="265"/>
      <c r="BR3151" s="265"/>
      <c r="BS3151" s="265"/>
      <c r="BT3151" s="265"/>
      <c r="BU3151" s="265"/>
      <c r="BV3151" s="265"/>
    </row>
    <row r="3152" spans="12:74">
      <c r="L3152" s="265"/>
      <c r="M3152" s="265"/>
      <c r="N3152" s="265"/>
      <c r="O3152" s="265"/>
      <c r="P3152" s="265"/>
      <c r="Q3152" s="265"/>
      <c r="BR3152" s="265"/>
      <c r="BS3152" s="265"/>
      <c r="BT3152" s="265"/>
      <c r="BU3152" s="265"/>
      <c r="BV3152" s="265"/>
    </row>
    <row r="3153" spans="12:74">
      <c r="L3153" s="265"/>
      <c r="M3153" s="265"/>
      <c r="N3153" s="265"/>
      <c r="O3153" s="265"/>
      <c r="P3153" s="265"/>
      <c r="Q3153" s="265"/>
      <c r="BR3153" s="265"/>
      <c r="BS3153" s="265"/>
      <c r="BT3153" s="265"/>
      <c r="BU3153" s="265"/>
      <c r="BV3153" s="265"/>
    </row>
    <row r="3154" spans="12:74">
      <c r="L3154" s="265"/>
      <c r="M3154" s="265"/>
      <c r="N3154" s="265"/>
      <c r="O3154" s="265"/>
      <c r="P3154" s="265"/>
      <c r="Q3154" s="265"/>
      <c r="BR3154" s="265"/>
      <c r="BS3154" s="265"/>
      <c r="BT3154" s="265"/>
      <c r="BU3154" s="265"/>
      <c r="BV3154" s="265"/>
    </row>
    <row r="3155" spans="12:74">
      <c r="L3155" s="265"/>
      <c r="M3155" s="265"/>
      <c r="N3155" s="265"/>
      <c r="O3155" s="265"/>
      <c r="P3155" s="265"/>
      <c r="Q3155" s="265"/>
      <c r="BR3155" s="265"/>
      <c r="BS3155" s="265"/>
      <c r="BT3155" s="265"/>
      <c r="BU3155" s="265"/>
      <c r="BV3155" s="265"/>
    </row>
    <row r="3156" spans="12:74">
      <c r="L3156" s="265"/>
      <c r="M3156" s="265"/>
      <c r="N3156" s="265"/>
      <c r="O3156" s="265"/>
      <c r="P3156" s="265"/>
      <c r="Q3156" s="265"/>
      <c r="BR3156" s="265"/>
      <c r="BS3156" s="265"/>
      <c r="BT3156" s="265"/>
      <c r="BU3156" s="265"/>
      <c r="BV3156" s="265"/>
    </row>
    <row r="3157" spans="12:74">
      <c r="L3157" s="265"/>
      <c r="M3157" s="265"/>
      <c r="N3157" s="265"/>
      <c r="O3157" s="265"/>
      <c r="P3157" s="265"/>
      <c r="Q3157" s="265"/>
      <c r="BR3157" s="265"/>
      <c r="BS3157" s="265"/>
      <c r="BT3157" s="265"/>
      <c r="BU3157" s="265"/>
      <c r="BV3157" s="265"/>
    </row>
    <row r="3158" spans="12:74">
      <c r="L3158" s="265"/>
      <c r="M3158" s="265"/>
      <c r="N3158" s="265"/>
      <c r="O3158" s="265"/>
      <c r="P3158" s="265"/>
      <c r="Q3158" s="265"/>
      <c r="BR3158" s="265"/>
      <c r="BS3158" s="265"/>
      <c r="BT3158" s="265"/>
      <c r="BU3158" s="265"/>
      <c r="BV3158" s="265"/>
    </row>
    <row r="3159" spans="12:74">
      <c r="L3159" s="265"/>
      <c r="M3159" s="265"/>
      <c r="N3159" s="265"/>
      <c r="O3159" s="265"/>
      <c r="P3159" s="265"/>
      <c r="Q3159" s="265"/>
      <c r="BR3159" s="265"/>
      <c r="BS3159" s="265"/>
      <c r="BT3159" s="265"/>
      <c r="BU3159" s="265"/>
      <c r="BV3159" s="265"/>
    </row>
    <row r="3160" spans="12:74">
      <c r="L3160" s="265"/>
      <c r="M3160" s="265"/>
      <c r="N3160" s="265"/>
      <c r="O3160" s="265"/>
      <c r="P3160" s="265"/>
      <c r="Q3160" s="265"/>
      <c r="BR3160" s="265"/>
      <c r="BS3160" s="265"/>
      <c r="BT3160" s="265"/>
      <c r="BU3160" s="265"/>
      <c r="BV3160" s="265"/>
    </row>
    <row r="3161" spans="12:74">
      <c r="L3161" s="265"/>
      <c r="M3161" s="265"/>
      <c r="N3161" s="265"/>
      <c r="O3161" s="265"/>
      <c r="P3161" s="265"/>
      <c r="Q3161" s="265"/>
      <c r="BR3161" s="265"/>
      <c r="BS3161" s="265"/>
      <c r="BT3161" s="265"/>
      <c r="BU3161" s="265"/>
      <c r="BV3161" s="265"/>
    </row>
    <row r="3162" spans="12:74">
      <c r="L3162" s="265"/>
      <c r="M3162" s="265"/>
      <c r="N3162" s="265"/>
      <c r="O3162" s="265"/>
      <c r="P3162" s="265"/>
      <c r="Q3162" s="265"/>
      <c r="BR3162" s="265"/>
      <c r="BS3162" s="265"/>
      <c r="BT3162" s="265"/>
      <c r="BU3162" s="265"/>
      <c r="BV3162" s="265"/>
    </row>
    <row r="3163" spans="12:74">
      <c r="L3163" s="265"/>
      <c r="M3163" s="265"/>
      <c r="N3163" s="265"/>
      <c r="O3163" s="265"/>
      <c r="P3163" s="265"/>
      <c r="Q3163" s="265"/>
      <c r="BR3163" s="265"/>
      <c r="BS3163" s="265"/>
      <c r="BT3163" s="265"/>
      <c r="BU3163" s="265"/>
      <c r="BV3163" s="265"/>
    </row>
    <row r="3164" spans="12:74">
      <c r="L3164" s="265"/>
      <c r="M3164" s="265"/>
      <c r="N3164" s="265"/>
      <c r="O3164" s="265"/>
      <c r="P3164" s="265"/>
      <c r="Q3164" s="265"/>
      <c r="BR3164" s="265"/>
      <c r="BS3164" s="265"/>
      <c r="BT3164" s="265"/>
      <c r="BU3164" s="265"/>
      <c r="BV3164" s="265"/>
    </row>
    <row r="3165" spans="12:74">
      <c r="L3165" s="265"/>
      <c r="M3165" s="265"/>
      <c r="N3165" s="265"/>
      <c r="O3165" s="265"/>
      <c r="P3165" s="265"/>
      <c r="Q3165" s="265"/>
      <c r="BR3165" s="265"/>
      <c r="BS3165" s="265"/>
      <c r="BT3165" s="265"/>
      <c r="BU3165" s="265"/>
      <c r="BV3165" s="265"/>
    </row>
    <row r="3166" spans="12:74">
      <c r="L3166" s="265"/>
      <c r="M3166" s="265"/>
      <c r="N3166" s="265"/>
      <c r="O3166" s="265"/>
      <c r="P3166" s="265"/>
      <c r="Q3166" s="265"/>
      <c r="BR3166" s="265"/>
      <c r="BS3166" s="265"/>
      <c r="BT3166" s="265"/>
      <c r="BU3166" s="265"/>
      <c r="BV3166" s="265"/>
    </row>
    <row r="3167" spans="12:74">
      <c r="L3167" s="265"/>
      <c r="M3167" s="265"/>
      <c r="N3167" s="265"/>
      <c r="O3167" s="265"/>
      <c r="P3167" s="265"/>
      <c r="Q3167" s="265"/>
      <c r="BR3167" s="265"/>
      <c r="BS3167" s="265"/>
      <c r="BT3167" s="265"/>
      <c r="BU3167" s="265"/>
      <c r="BV3167" s="265"/>
    </row>
    <row r="3168" spans="12:74">
      <c r="L3168" s="265"/>
      <c r="M3168" s="265"/>
      <c r="N3168" s="265"/>
      <c r="O3168" s="265"/>
      <c r="P3168" s="265"/>
      <c r="Q3168" s="265"/>
      <c r="BR3168" s="265"/>
      <c r="BS3168" s="265"/>
      <c r="BT3168" s="265"/>
      <c r="BU3168" s="265"/>
      <c r="BV3168" s="265"/>
    </row>
    <row r="3169" spans="12:74">
      <c r="L3169" s="265"/>
      <c r="M3169" s="265"/>
      <c r="N3169" s="265"/>
      <c r="O3169" s="265"/>
      <c r="P3169" s="265"/>
      <c r="Q3169" s="265"/>
      <c r="BR3169" s="265"/>
      <c r="BS3169" s="265"/>
      <c r="BT3169" s="265"/>
      <c r="BU3169" s="265"/>
      <c r="BV3169" s="265"/>
    </row>
    <row r="3170" spans="12:74">
      <c r="L3170" s="265"/>
      <c r="M3170" s="265"/>
      <c r="N3170" s="265"/>
      <c r="O3170" s="265"/>
      <c r="P3170" s="265"/>
      <c r="Q3170" s="265"/>
      <c r="BR3170" s="265"/>
      <c r="BS3170" s="265"/>
      <c r="BT3170" s="265"/>
      <c r="BU3170" s="265"/>
      <c r="BV3170" s="265"/>
    </row>
    <row r="3171" spans="12:74">
      <c r="L3171" s="265"/>
      <c r="M3171" s="265"/>
      <c r="N3171" s="265"/>
      <c r="O3171" s="265"/>
      <c r="P3171" s="265"/>
      <c r="Q3171" s="265"/>
      <c r="BR3171" s="265"/>
      <c r="BS3171" s="265"/>
      <c r="BT3171" s="265"/>
      <c r="BU3171" s="265"/>
      <c r="BV3171" s="265"/>
    </row>
    <row r="3172" spans="12:74">
      <c r="L3172" s="265"/>
      <c r="M3172" s="265"/>
      <c r="N3172" s="265"/>
      <c r="O3172" s="265"/>
      <c r="P3172" s="265"/>
      <c r="Q3172" s="265"/>
      <c r="BR3172" s="265"/>
      <c r="BS3172" s="265"/>
      <c r="BT3172" s="265"/>
      <c r="BU3172" s="265"/>
      <c r="BV3172" s="265"/>
    </row>
    <row r="3173" spans="12:74">
      <c r="L3173" s="265"/>
      <c r="M3173" s="265"/>
      <c r="N3173" s="265"/>
      <c r="O3173" s="265"/>
      <c r="P3173" s="265"/>
      <c r="Q3173" s="265"/>
      <c r="BR3173" s="265"/>
      <c r="BS3173" s="265"/>
      <c r="BT3173" s="265"/>
      <c r="BU3173" s="265"/>
      <c r="BV3173" s="265"/>
    </row>
    <row r="3174" spans="12:74">
      <c r="L3174" s="265"/>
      <c r="M3174" s="265"/>
      <c r="N3174" s="265"/>
      <c r="O3174" s="265"/>
      <c r="P3174" s="265"/>
      <c r="Q3174" s="265"/>
      <c r="BR3174" s="265"/>
      <c r="BS3174" s="265"/>
      <c r="BT3174" s="265"/>
      <c r="BU3174" s="265"/>
      <c r="BV3174" s="265"/>
    </row>
    <row r="3175" spans="12:74">
      <c r="L3175" s="265"/>
      <c r="M3175" s="265"/>
      <c r="N3175" s="265"/>
      <c r="O3175" s="265"/>
      <c r="P3175" s="265"/>
      <c r="Q3175" s="265"/>
      <c r="BR3175" s="265"/>
      <c r="BS3175" s="265"/>
      <c r="BT3175" s="265"/>
      <c r="BU3175" s="265"/>
      <c r="BV3175" s="265"/>
    </row>
    <row r="3176" spans="12:74">
      <c r="L3176" s="265"/>
      <c r="M3176" s="265"/>
      <c r="N3176" s="265"/>
      <c r="O3176" s="265"/>
      <c r="P3176" s="265"/>
      <c r="Q3176" s="265"/>
      <c r="BR3176" s="265"/>
      <c r="BS3176" s="265"/>
      <c r="BT3176" s="265"/>
      <c r="BU3176" s="265"/>
      <c r="BV3176" s="265"/>
    </row>
    <row r="3177" spans="12:74">
      <c r="L3177" s="265"/>
      <c r="M3177" s="265"/>
      <c r="N3177" s="265"/>
      <c r="O3177" s="265"/>
      <c r="P3177" s="265"/>
      <c r="Q3177" s="265"/>
      <c r="BR3177" s="265"/>
      <c r="BS3177" s="265"/>
      <c r="BT3177" s="265"/>
      <c r="BU3177" s="265"/>
      <c r="BV3177" s="265"/>
    </row>
    <row r="3178" spans="12:74">
      <c r="L3178" s="265"/>
      <c r="M3178" s="265"/>
      <c r="N3178" s="265"/>
      <c r="O3178" s="265"/>
      <c r="P3178" s="265"/>
      <c r="Q3178" s="265"/>
      <c r="BR3178" s="265"/>
      <c r="BS3178" s="265"/>
      <c r="BT3178" s="265"/>
      <c r="BU3178" s="265"/>
      <c r="BV3178" s="265"/>
    </row>
    <row r="3179" spans="12:74">
      <c r="L3179" s="265"/>
      <c r="M3179" s="265"/>
      <c r="N3179" s="265"/>
      <c r="O3179" s="265"/>
      <c r="P3179" s="265"/>
      <c r="Q3179" s="265"/>
      <c r="BR3179" s="265"/>
      <c r="BS3179" s="265"/>
      <c r="BT3179" s="265"/>
      <c r="BU3179" s="265"/>
      <c r="BV3179" s="265"/>
    </row>
    <row r="3180" spans="12:74">
      <c r="L3180" s="265"/>
      <c r="M3180" s="265"/>
      <c r="N3180" s="265"/>
      <c r="O3180" s="265"/>
      <c r="P3180" s="265"/>
      <c r="Q3180" s="265"/>
      <c r="BR3180" s="265"/>
      <c r="BS3180" s="265"/>
      <c r="BT3180" s="265"/>
      <c r="BU3180" s="265"/>
      <c r="BV3180" s="265"/>
    </row>
    <row r="3181" spans="12:74">
      <c r="L3181" s="265"/>
      <c r="M3181" s="265"/>
      <c r="N3181" s="265"/>
      <c r="O3181" s="265"/>
      <c r="P3181" s="265"/>
      <c r="Q3181" s="265"/>
      <c r="BR3181" s="265"/>
      <c r="BS3181" s="265"/>
      <c r="BT3181" s="265"/>
      <c r="BU3181" s="265"/>
      <c r="BV3181" s="265"/>
    </row>
    <row r="3182" spans="12:74">
      <c r="L3182" s="265"/>
      <c r="M3182" s="265"/>
      <c r="N3182" s="265"/>
      <c r="O3182" s="265"/>
      <c r="P3182" s="265"/>
      <c r="Q3182" s="265"/>
      <c r="BR3182" s="265"/>
      <c r="BS3182" s="265"/>
      <c r="BT3182" s="265"/>
      <c r="BU3182" s="265"/>
      <c r="BV3182" s="265"/>
    </row>
    <row r="3183" spans="12:74">
      <c r="L3183" s="265"/>
      <c r="M3183" s="265"/>
      <c r="N3183" s="265"/>
      <c r="O3183" s="265"/>
      <c r="P3183" s="265"/>
      <c r="Q3183" s="265"/>
      <c r="BR3183" s="265"/>
      <c r="BS3183" s="265"/>
      <c r="BT3183" s="265"/>
      <c r="BU3183" s="265"/>
      <c r="BV3183" s="265"/>
    </row>
    <row r="3184" spans="12:74">
      <c r="L3184" s="265"/>
      <c r="M3184" s="265"/>
      <c r="N3184" s="265"/>
      <c r="O3184" s="265"/>
      <c r="P3184" s="265"/>
      <c r="Q3184" s="265"/>
      <c r="BR3184" s="265"/>
      <c r="BS3184" s="265"/>
      <c r="BT3184" s="265"/>
      <c r="BU3184" s="265"/>
      <c r="BV3184" s="265"/>
    </row>
    <row r="3185" spans="12:74">
      <c r="L3185" s="265"/>
      <c r="M3185" s="265"/>
      <c r="N3185" s="265"/>
      <c r="O3185" s="265"/>
      <c r="P3185" s="265"/>
      <c r="Q3185" s="265"/>
      <c r="BR3185" s="265"/>
      <c r="BS3185" s="265"/>
      <c r="BT3185" s="265"/>
      <c r="BU3185" s="265"/>
      <c r="BV3185" s="265"/>
    </row>
    <row r="3186" spans="12:74">
      <c r="L3186" s="265"/>
      <c r="M3186" s="265"/>
      <c r="N3186" s="265"/>
      <c r="O3186" s="265"/>
      <c r="P3186" s="265"/>
      <c r="Q3186" s="265"/>
      <c r="BR3186" s="265"/>
      <c r="BS3186" s="265"/>
      <c r="BT3186" s="265"/>
      <c r="BU3186" s="265"/>
      <c r="BV3186" s="265"/>
    </row>
    <row r="3187" spans="12:74">
      <c r="L3187" s="265"/>
      <c r="M3187" s="265"/>
      <c r="N3187" s="265"/>
      <c r="O3187" s="265"/>
      <c r="P3187" s="265"/>
      <c r="Q3187" s="265"/>
      <c r="BR3187" s="265"/>
      <c r="BS3187" s="265"/>
      <c r="BT3187" s="265"/>
      <c r="BU3187" s="265"/>
      <c r="BV3187" s="265"/>
    </row>
    <row r="3188" spans="12:74">
      <c r="L3188" s="265"/>
      <c r="M3188" s="265"/>
      <c r="N3188" s="265"/>
      <c r="O3188" s="265"/>
      <c r="P3188" s="265"/>
      <c r="Q3188" s="265"/>
      <c r="BR3188" s="265"/>
      <c r="BS3188" s="265"/>
      <c r="BT3188" s="265"/>
      <c r="BU3188" s="265"/>
      <c r="BV3188" s="265"/>
    </row>
    <row r="3189" spans="12:74">
      <c r="L3189" s="265"/>
      <c r="M3189" s="265"/>
      <c r="N3189" s="265"/>
      <c r="O3189" s="265"/>
      <c r="P3189" s="265"/>
      <c r="Q3189" s="265"/>
      <c r="BR3189" s="265"/>
      <c r="BS3189" s="265"/>
      <c r="BT3189" s="265"/>
      <c r="BU3189" s="265"/>
      <c r="BV3189" s="265"/>
    </row>
    <row r="3190" spans="12:74">
      <c r="L3190" s="265"/>
      <c r="M3190" s="265"/>
      <c r="N3190" s="265"/>
      <c r="O3190" s="265"/>
      <c r="P3190" s="265"/>
      <c r="Q3190" s="265"/>
      <c r="BR3190" s="265"/>
      <c r="BS3190" s="265"/>
      <c r="BT3190" s="265"/>
      <c r="BU3190" s="265"/>
      <c r="BV3190" s="265"/>
    </row>
    <row r="3191" spans="12:74">
      <c r="L3191" s="265"/>
      <c r="M3191" s="265"/>
      <c r="N3191" s="265"/>
      <c r="O3191" s="265"/>
      <c r="P3191" s="265"/>
      <c r="Q3191" s="265"/>
      <c r="BR3191" s="265"/>
      <c r="BS3191" s="265"/>
      <c r="BT3191" s="265"/>
      <c r="BU3191" s="265"/>
      <c r="BV3191" s="265"/>
    </row>
    <row r="3192" spans="12:74">
      <c r="L3192" s="265"/>
      <c r="M3192" s="265"/>
      <c r="N3192" s="265"/>
      <c r="O3192" s="265"/>
      <c r="P3192" s="265"/>
      <c r="Q3192" s="265"/>
      <c r="BR3192" s="265"/>
      <c r="BS3192" s="265"/>
      <c r="BT3192" s="265"/>
      <c r="BU3192" s="265"/>
      <c r="BV3192" s="265"/>
    </row>
    <row r="3193" spans="12:74">
      <c r="L3193" s="265"/>
      <c r="M3193" s="265"/>
      <c r="N3193" s="265"/>
      <c r="O3193" s="265"/>
      <c r="P3193" s="265"/>
      <c r="Q3193" s="265"/>
      <c r="BR3193" s="265"/>
      <c r="BS3193" s="265"/>
      <c r="BT3193" s="265"/>
      <c r="BU3193" s="265"/>
      <c r="BV3193" s="265"/>
    </row>
    <row r="3194" spans="12:74">
      <c r="L3194" s="265"/>
      <c r="M3194" s="265"/>
      <c r="N3194" s="265"/>
      <c r="O3194" s="265"/>
      <c r="P3194" s="265"/>
      <c r="Q3194" s="265"/>
      <c r="BR3194" s="265"/>
      <c r="BS3194" s="265"/>
      <c r="BT3194" s="265"/>
      <c r="BU3194" s="265"/>
      <c r="BV3194" s="265"/>
    </row>
    <row r="3195" spans="12:74">
      <c r="L3195" s="265"/>
      <c r="M3195" s="265"/>
      <c r="N3195" s="265"/>
      <c r="O3195" s="265"/>
      <c r="P3195" s="265"/>
      <c r="Q3195" s="265"/>
      <c r="BR3195" s="265"/>
      <c r="BS3195" s="265"/>
      <c r="BT3195" s="265"/>
      <c r="BU3195" s="265"/>
      <c r="BV3195" s="265"/>
    </row>
    <row r="3196" spans="12:74">
      <c r="L3196" s="265"/>
      <c r="M3196" s="265"/>
      <c r="N3196" s="265"/>
      <c r="O3196" s="265"/>
      <c r="P3196" s="265"/>
      <c r="Q3196" s="265"/>
      <c r="BR3196" s="265"/>
      <c r="BS3196" s="265"/>
      <c r="BT3196" s="265"/>
      <c r="BU3196" s="265"/>
      <c r="BV3196" s="265"/>
    </row>
    <row r="3197" spans="12:74">
      <c r="L3197" s="265"/>
      <c r="M3197" s="265"/>
      <c r="N3197" s="265"/>
      <c r="O3197" s="265"/>
      <c r="P3197" s="265"/>
      <c r="Q3197" s="265"/>
      <c r="BR3197" s="265"/>
      <c r="BS3197" s="265"/>
      <c r="BT3197" s="265"/>
      <c r="BU3197" s="265"/>
      <c r="BV3197" s="265"/>
    </row>
    <row r="3198" spans="12:74">
      <c r="L3198" s="265"/>
      <c r="M3198" s="265"/>
      <c r="N3198" s="265"/>
      <c r="O3198" s="265"/>
      <c r="P3198" s="265"/>
      <c r="Q3198" s="265"/>
      <c r="BR3198" s="265"/>
      <c r="BS3198" s="265"/>
      <c r="BT3198" s="265"/>
      <c r="BU3198" s="265"/>
      <c r="BV3198" s="265"/>
    </row>
    <row r="3199" spans="12:74">
      <c r="L3199" s="265"/>
      <c r="M3199" s="265"/>
      <c r="N3199" s="265"/>
      <c r="O3199" s="265"/>
      <c r="P3199" s="265"/>
      <c r="Q3199" s="265"/>
      <c r="BR3199" s="265"/>
      <c r="BS3199" s="265"/>
      <c r="BT3199" s="265"/>
      <c r="BU3199" s="265"/>
      <c r="BV3199" s="265"/>
    </row>
    <row r="3200" spans="12:74">
      <c r="L3200" s="265"/>
      <c r="M3200" s="265"/>
      <c r="N3200" s="265"/>
      <c r="O3200" s="265"/>
      <c r="P3200" s="265"/>
      <c r="Q3200" s="265"/>
      <c r="BR3200" s="265"/>
      <c r="BS3200" s="265"/>
      <c r="BT3200" s="265"/>
      <c r="BU3200" s="265"/>
      <c r="BV3200" s="265"/>
    </row>
    <row r="3201" spans="12:74">
      <c r="L3201" s="265"/>
      <c r="M3201" s="265"/>
      <c r="N3201" s="265"/>
      <c r="O3201" s="265"/>
      <c r="P3201" s="265"/>
      <c r="Q3201" s="265"/>
      <c r="BR3201" s="265"/>
      <c r="BS3201" s="265"/>
      <c r="BT3201" s="265"/>
      <c r="BU3201" s="265"/>
      <c r="BV3201" s="265"/>
    </row>
    <row r="3202" spans="12:74">
      <c r="L3202" s="265"/>
      <c r="M3202" s="265"/>
      <c r="N3202" s="265"/>
      <c r="O3202" s="265"/>
      <c r="P3202" s="265"/>
      <c r="Q3202" s="265"/>
      <c r="BR3202" s="265"/>
      <c r="BS3202" s="265"/>
      <c r="BT3202" s="265"/>
      <c r="BU3202" s="265"/>
      <c r="BV3202" s="265"/>
    </row>
    <row r="3203" spans="12:74">
      <c r="L3203" s="265"/>
      <c r="M3203" s="265"/>
      <c r="N3203" s="265"/>
      <c r="O3203" s="265"/>
      <c r="P3203" s="265"/>
      <c r="Q3203" s="265"/>
      <c r="BR3203" s="265"/>
      <c r="BS3203" s="265"/>
      <c r="BT3203" s="265"/>
      <c r="BU3203" s="265"/>
      <c r="BV3203" s="265"/>
    </row>
    <row r="3204" spans="12:74">
      <c r="L3204" s="265"/>
      <c r="M3204" s="265"/>
      <c r="N3204" s="265"/>
      <c r="O3204" s="265"/>
      <c r="P3204" s="265"/>
      <c r="Q3204" s="265"/>
      <c r="BR3204" s="265"/>
      <c r="BS3204" s="265"/>
      <c r="BT3204" s="265"/>
      <c r="BU3204" s="265"/>
      <c r="BV3204" s="265"/>
    </row>
    <row r="3205" spans="12:74">
      <c r="L3205" s="265"/>
      <c r="M3205" s="265"/>
      <c r="N3205" s="265"/>
      <c r="O3205" s="265"/>
      <c r="P3205" s="265"/>
      <c r="Q3205" s="265"/>
      <c r="BR3205" s="265"/>
      <c r="BS3205" s="265"/>
      <c r="BT3205" s="265"/>
      <c r="BU3205" s="265"/>
      <c r="BV3205" s="265"/>
    </row>
    <row r="3206" spans="12:74">
      <c r="L3206" s="265"/>
      <c r="M3206" s="265"/>
      <c r="N3206" s="265"/>
      <c r="O3206" s="265"/>
      <c r="P3206" s="265"/>
      <c r="Q3206" s="265"/>
      <c r="BR3206" s="265"/>
      <c r="BS3206" s="265"/>
      <c r="BT3206" s="265"/>
      <c r="BU3206" s="265"/>
      <c r="BV3206" s="265"/>
    </row>
    <row r="3207" spans="12:74">
      <c r="L3207" s="265"/>
      <c r="M3207" s="265"/>
      <c r="N3207" s="265"/>
      <c r="O3207" s="265"/>
      <c r="P3207" s="265"/>
      <c r="Q3207" s="265"/>
      <c r="BR3207" s="265"/>
      <c r="BS3207" s="265"/>
      <c r="BT3207" s="265"/>
      <c r="BU3207" s="265"/>
      <c r="BV3207" s="265"/>
    </row>
    <row r="3208" spans="12:74">
      <c r="L3208" s="265"/>
      <c r="M3208" s="265"/>
      <c r="N3208" s="265"/>
      <c r="O3208" s="265"/>
      <c r="P3208" s="265"/>
      <c r="Q3208" s="265"/>
      <c r="BR3208" s="265"/>
      <c r="BS3208" s="265"/>
      <c r="BT3208" s="265"/>
      <c r="BU3208" s="265"/>
      <c r="BV3208" s="265"/>
    </row>
    <row r="3209" spans="12:74">
      <c r="L3209" s="265"/>
      <c r="M3209" s="265"/>
      <c r="N3209" s="265"/>
      <c r="O3209" s="265"/>
      <c r="P3209" s="265"/>
      <c r="Q3209" s="265"/>
      <c r="BR3209" s="265"/>
      <c r="BS3209" s="265"/>
      <c r="BT3209" s="265"/>
      <c r="BU3209" s="265"/>
      <c r="BV3209" s="265"/>
    </row>
    <row r="3210" spans="12:74">
      <c r="L3210" s="265"/>
      <c r="M3210" s="265"/>
      <c r="N3210" s="265"/>
      <c r="O3210" s="265"/>
      <c r="P3210" s="265"/>
      <c r="Q3210" s="265"/>
      <c r="BR3210" s="265"/>
      <c r="BS3210" s="265"/>
      <c r="BT3210" s="265"/>
      <c r="BU3210" s="265"/>
      <c r="BV3210" s="265"/>
    </row>
    <row r="3211" spans="12:74">
      <c r="L3211" s="265"/>
      <c r="M3211" s="265"/>
      <c r="N3211" s="265"/>
      <c r="O3211" s="265"/>
      <c r="P3211" s="265"/>
      <c r="Q3211" s="265"/>
      <c r="BR3211" s="265"/>
      <c r="BS3211" s="265"/>
      <c r="BT3211" s="265"/>
      <c r="BU3211" s="265"/>
      <c r="BV3211" s="265"/>
    </row>
    <row r="3212" spans="12:74">
      <c r="L3212" s="265"/>
      <c r="M3212" s="265"/>
      <c r="N3212" s="265"/>
      <c r="O3212" s="265"/>
      <c r="P3212" s="265"/>
      <c r="Q3212" s="265"/>
      <c r="BR3212" s="265"/>
      <c r="BS3212" s="265"/>
      <c r="BT3212" s="265"/>
      <c r="BU3212" s="265"/>
      <c r="BV3212" s="265"/>
    </row>
    <row r="3213" spans="12:74">
      <c r="L3213" s="265"/>
      <c r="M3213" s="265"/>
      <c r="N3213" s="265"/>
      <c r="O3213" s="265"/>
      <c r="P3213" s="265"/>
      <c r="Q3213" s="265"/>
      <c r="BR3213" s="265"/>
      <c r="BS3213" s="265"/>
      <c r="BT3213" s="265"/>
      <c r="BU3213" s="265"/>
      <c r="BV3213" s="265"/>
    </row>
    <row r="3214" spans="12:74">
      <c r="L3214" s="265"/>
      <c r="M3214" s="265"/>
      <c r="N3214" s="265"/>
      <c r="O3214" s="265"/>
      <c r="P3214" s="265"/>
      <c r="Q3214" s="265"/>
      <c r="BR3214" s="265"/>
      <c r="BS3214" s="265"/>
      <c r="BT3214" s="265"/>
      <c r="BU3214" s="265"/>
      <c r="BV3214" s="265"/>
    </row>
    <row r="3215" spans="12:74">
      <c r="L3215" s="265"/>
      <c r="M3215" s="265"/>
      <c r="N3215" s="265"/>
      <c r="O3215" s="265"/>
      <c r="P3215" s="265"/>
      <c r="Q3215" s="265"/>
      <c r="BR3215" s="265"/>
      <c r="BS3215" s="265"/>
      <c r="BT3215" s="265"/>
      <c r="BU3215" s="265"/>
      <c r="BV3215" s="265"/>
    </row>
    <row r="3216" spans="12:74">
      <c r="L3216" s="265"/>
      <c r="M3216" s="265"/>
      <c r="N3216" s="265"/>
      <c r="O3216" s="265"/>
      <c r="P3216" s="265"/>
      <c r="Q3216" s="265"/>
      <c r="BR3216" s="265"/>
      <c r="BS3216" s="265"/>
      <c r="BT3216" s="265"/>
      <c r="BU3216" s="265"/>
      <c r="BV3216" s="265"/>
    </row>
    <row r="3217" spans="12:74">
      <c r="L3217" s="265"/>
      <c r="M3217" s="265"/>
      <c r="N3217" s="265"/>
      <c r="O3217" s="265"/>
      <c r="P3217" s="265"/>
      <c r="Q3217" s="265"/>
      <c r="BR3217" s="265"/>
      <c r="BS3217" s="265"/>
      <c r="BT3217" s="265"/>
      <c r="BU3217" s="265"/>
      <c r="BV3217" s="265"/>
    </row>
    <row r="3218" spans="12:74">
      <c r="L3218" s="265"/>
      <c r="M3218" s="265"/>
      <c r="N3218" s="265"/>
      <c r="O3218" s="265"/>
      <c r="P3218" s="265"/>
      <c r="Q3218" s="265"/>
      <c r="BR3218" s="265"/>
      <c r="BS3218" s="265"/>
      <c r="BT3218" s="265"/>
      <c r="BU3218" s="265"/>
      <c r="BV3218" s="265"/>
    </row>
    <row r="3219" spans="12:74">
      <c r="L3219" s="265"/>
      <c r="M3219" s="265"/>
      <c r="N3219" s="265"/>
      <c r="O3219" s="265"/>
      <c r="P3219" s="265"/>
      <c r="Q3219" s="265"/>
      <c r="BR3219" s="265"/>
      <c r="BS3219" s="265"/>
      <c r="BT3219" s="265"/>
      <c r="BU3219" s="265"/>
      <c r="BV3219" s="265"/>
    </row>
    <row r="3220" spans="12:74">
      <c r="L3220" s="265"/>
      <c r="M3220" s="265"/>
      <c r="N3220" s="265"/>
      <c r="O3220" s="265"/>
      <c r="P3220" s="265"/>
      <c r="Q3220" s="265"/>
      <c r="BR3220" s="265"/>
      <c r="BS3220" s="265"/>
      <c r="BT3220" s="265"/>
      <c r="BU3220" s="265"/>
      <c r="BV3220" s="265"/>
    </row>
    <row r="3221" spans="12:74">
      <c r="L3221" s="265"/>
      <c r="M3221" s="265"/>
      <c r="N3221" s="265"/>
      <c r="O3221" s="265"/>
      <c r="P3221" s="265"/>
      <c r="Q3221" s="265"/>
      <c r="BR3221" s="265"/>
      <c r="BS3221" s="265"/>
      <c r="BT3221" s="265"/>
      <c r="BU3221" s="265"/>
      <c r="BV3221" s="265"/>
    </row>
    <row r="3222" spans="12:74">
      <c r="L3222" s="265"/>
      <c r="M3222" s="265"/>
      <c r="N3222" s="265"/>
      <c r="O3222" s="265"/>
      <c r="P3222" s="265"/>
      <c r="Q3222" s="265"/>
      <c r="BR3222" s="265"/>
      <c r="BS3222" s="265"/>
      <c r="BT3222" s="265"/>
      <c r="BU3222" s="265"/>
      <c r="BV3222" s="265"/>
    </row>
    <row r="3223" spans="12:74">
      <c r="L3223" s="265"/>
      <c r="M3223" s="265"/>
      <c r="N3223" s="265"/>
      <c r="O3223" s="265"/>
      <c r="P3223" s="265"/>
      <c r="Q3223" s="265"/>
      <c r="BR3223" s="265"/>
      <c r="BS3223" s="265"/>
      <c r="BT3223" s="265"/>
      <c r="BU3223" s="265"/>
      <c r="BV3223" s="265"/>
    </row>
    <row r="3224" spans="12:74">
      <c r="L3224" s="265"/>
      <c r="M3224" s="265"/>
      <c r="N3224" s="265"/>
      <c r="O3224" s="265"/>
      <c r="P3224" s="265"/>
      <c r="Q3224" s="265"/>
      <c r="BR3224" s="265"/>
      <c r="BS3224" s="265"/>
      <c r="BT3224" s="265"/>
      <c r="BU3224" s="265"/>
      <c r="BV3224" s="265"/>
    </row>
    <row r="3225" spans="12:74">
      <c r="L3225" s="265"/>
      <c r="M3225" s="265"/>
      <c r="N3225" s="265"/>
      <c r="O3225" s="265"/>
      <c r="P3225" s="265"/>
      <c r="Q3225" s="265"/>
      <c r="BR3225" s="265"/>
      <c r="BS3225" s="265"/>
      <c r="BT3225" s="265"/>
      <c r="BU3225" s="265"/>
      <c r="BV3225" s="265"/>
    </row>
    <row r="3226" spans="12:74">
      <c r="L3226" s="265"/>
      <c r="M3226" s="265"/>
      <c r="N3226" s="265"/>
      <c r="O3226" s="265"/>
      <c r="P3226" s="265"/>
      <c r="Q3226" s="265"/>
      <c r="BR3226" s="265"/>
      <c r="BS3226" s="265"/>
      <c r="BT3226" s="265"/>
      <c r="BU3226" s="265"/>
      <c r="BV3226" s="265"/>
    </row>
    <row r="3227" spans="12:74">
      <c r="L3227" s="265"/>
      <c r="M3227" s="265"/>
      <c r="N3227" s="265"/>
      <c r="O3227" s="265"/>
      <c r="P3227" s="265"/>
      <c r="Q3227" s="265"/>
      <c r="BR3227" s="265"/>
      <c r="BS3227" s="265"/>
      <c r="BT3227" s="265"/>
      <c r="BU3227" s="265"/>
      <c r="BV3227" s="265"/>
    </row>
    <row r="3228" spans="12:74">
      <c r="L3228" s="265"/>
      <c r="M3228" s="265"/>
      <c r="N3228" s="265"/>
      <c r="O3228" s="265"/>
      <c r="P3228" s="265"/>
      <c r="Q3228" s="265"/>
      <c r="BR3228" s="265"/>
      <c r="BS3228" s="265"/>
      <c r="BT3228" s="265"/>
      <c r="BU3228" s="265"/>
      <c r="BV3228" s="265"/>
    </row>
    <row r="3229" spans="12:74">
      <c r="L3229" s="265"/>
      <c r="M3229" s="265"/>
      <c r="N3229" s="265"/>
      <c r="O3229" s="265"/>
      <c r="P3229" s="265"/>
      <c r="Q3229" s="265"/>
      <c r="BR3229" s="265"/>
      <c r="BS3229" s="265"/>
      <c r="BT3229" s="265"/>
      <c r="BU3229" s="265"/>
      <c r="BV3229" s="265"/>
    </row>
    <row r="3230" spans="12:74">
      <c r="L3230" s="265"/>
      <c r="M3230" s="265"/>
      <c r="N3230" s="265"/>
      <c r="O3230" s="265"/>
      <c r="P3230" s="265"/>
      <c r="Q3230" s="265"/>
      <c r="BR3230" s="265"/>
      <c r="BS3230" s="265"/>
      <c r="BT3230" s="265"/>
      <c r="BU3230" s="265"/>
      <c r="BV3230" s="265"/>
    </row>
    <row r="3231" spans="12:74">
      <c r="L3231" s="265"/>
      <c r="M3231" s="265"/>
      <c r="N3231" s="265"/>
      <c r="O3231" s="265"/>
      <c r="P3231" s="265"/>
      <c r="Q3231" s="265"/>
      <c r="BR3231" s="265"/>
      <c r="BS3231" s="265"/>
      <c r="BT3231" s="265"/>
      <c r="BU3231" s="265"/>
      <c r="BV3231" s="265"/>
    </row>
    <row r="3232" spans="12:74">
      <c r="L3232" s="265"/>
      <c r="M3232" s="265"/>
      <c r="N3232" s="265"/>
      <c r="O3232" s="265"/>
      <c r="P3232" s="265"/>
      <c r="Q3232" s="265"/>
      <c r="BR3232" s="265"/>
      <c r="BS3232" s="265"/>
      <c r="BT3232" s="265"/>
      <c r="BU3232" s="265"/>
      <c r="BV3232" s="265"/>
    </row>
    <row r="3233" spans="12:74">
      <c r="L3233" s="265"/>
      <c r="M3233" s="265"/>
      <c r="N3233" s="265"/>
      <c r="O3233" s="265"/>
      <c r="P3233" s="265"/>
      <c r="Q3233" s="265"/>
      <c r="BR3233" s="265"/>
      <c r="BS3233" s="265"/>
      <c r="BT3233" s="265"/>
      <c r="BU3233" s="265"/>
      <c r="BV3233" s="265"/>
    </row>
    <row r="3234" spans="12:74">
      <c r="L3234" s="265"/>
      <c r="M3234" s="265"/>
      <c r="N3234" s="265"/>
      <c r="O3234" s="265"/>
      <c r="P3234" s="265"/>
      <c r="Q3234" s="265"/>
      <c r="BR3234" s="265"/>
      <c r="BS3234" s="265"/>
      <c r="BT3234" s="265"/>
      <c r="BU3234" s="265"/>
      <c r="BV3234" s="265"/>
    </row>
    <row r="3235" spans="12:74">
      <c r="L3235" s="265"/>
      <c r="M3235" s="265"/>
      <c r="N3235" s="265"/>
      <c r="O3235" s="265"/>
      <c r="P3235" s="265"/>
      <c r="Q3235" s="265"/>
      <c r="BR3235" s="265"/>
      <c r="BS3235" s="265"/>
      <c r="BT3235" s="265"/>
      <c r="BU3235" s="265"/>
      <c r="BV3235" s="265"/>
    </row>
    <row r="3236" spans="12:74">
      <c r="L3236" s="265"/>
      <c r="M3236" s="265"/>
      <c r="N3236" s="265"/>
      <c r="O3236" s="265"/>
      <c r="P3236" s="265"/>
      <c r="Q3236" s="265"/>
      <c r="BR3236" s="265"/>
      <c r="BS3236" s="265"/>
      <c r="BT3236" s="265"/>
      <c r="BU3236" s="265"/>
      <c r="BV3236" s="265"/>
    </row>
    <row r="3237" spans="12:74">
      <c r="L3237" s="265"/>
      <c r="M3237" s="265"/>
      <c r="N3237" s="265"/>
      <c r="O3237" s="265"/>
      <c r="P3237" s="265"/>
      <c r="Q3237" s="265"/>
      <c r="BR3237" s="265"/>
      <c r="BS3237" s="265"/>
      <c r="BT3237" s="265"/>
      <c r="BU3237" s="265"/>
      <c r="BV3237" s="265"/>
    </row>
    <row r="3238" spans="12:74">
      <c r="L3238" s="265"/>
      <c r="M3238" s="265"/>
      <c r="N3238" s="265"/>
      <c r="O3238" s="265"/>
      <c r="P3238" s="265"/>
      <c r="Q3238" s="265"/>
      <c r="BR3238" s="265"/>
      <c r="BS3238" s="265"/>
      <c r="BT3238" s="265"/>
      <c r="BU3238" s="265"/>
      <c r="BV3238" s="265"/>
    </row>
    <row r="3239" spans="12:74">
      <c r="L3239" s="265"/>
      <c r="M3239" s="265"/>
      <c r="N3239" s="265"/>
      <c r="O3239" s="265"/>
      <c r="P3239" s="265"/>
      <c r="Q3239" s="265"/>
      <c r="BR3239" s="265"/>
      <c r="BS3239" s="265"/>
      <c r="BT3239" s="265"/>
      <c r="BU3239" s="265"/>
      <c r="BV3239" s="265"/>
    </row>
    <row r="3240" spans="12:74">
      <c r="L3240" s="265"/>
      <c r="M3240" s="265"/>
      <c r="N3240" s="265"/>
      <c r="O3240" s="265"/>
      <c r="P3240" s="265"/>
      <c r="Q3240" s="265"/>
      <c r="BR3240" s="265"/>
      <c r="BS3240" s="265"/>
      <c r="BT3240" s="265"/>
      <c r="BU3240" s="265"/>
      <c r="BV3240" s="265"/>
    </row>
    <row r="3241" spans="12:74">
      <c r="L3241" s="265"/>
      <c r="M3241" s="265"/>
      <c r="N3241" s="265"/>
      <c r="O3241" s="265"/>
      <c r="P3241" s="265"/>
      <c r="Q3241" s="265"/>
      <c r="BR3241" s="265"/>
      <c r="BS3241" s="265"/>
      <c r="BT3241" s="265"/>
      <c r="BU3241" s="265"/>
      <c r="BV3241" s="265"/>
    </row>
    <row r="3242" spans="12:74">
      <c r="L3242" s="265"/>
      <c r="M3242" s="265"/>
      <c r="N3242" s="265"/>
      <c r="O3242" s="265"/>
      <c r="P3242" s="265"/>
      <c r="Q3242" s="265"/>
      <c r="BR3242" s="265"/>
      <c r="BS3242" s="265"/>
      <c r="BT3242" s="265"/>
      <c r="BU3242" s="265"/>
      <c r="BV3242" s="265"/>
    </row>
    <row r="3243" spans="12:74">
      <c r="L3243" s="265"/>
      <c r="M3243" s="265"/>
      <c r="N3243" s="265"/>
      <c r="O3243" s="265"/>
      <c r="P3243" s="265"/>
      <c r="Q3243" s="265"/>
      <c r="BR3243" s="265"/>
      <c r="BS3243" s="265"/>
      <c r="BT3243" s="265"/>
      <c r="BU3243" s="265"/>
      <c r="BV3243" s="265"/>
    </row>
    <row r="3244" spans="12:74">
      <c r="L3244" s="265"/>
      <c r="M3244" s="265"/>
      <c r="N3244" s="265"/>
      <c r="O3244" s="265"/>
      <c r="P3244" s="265"/>
      <c r="Q3244" s="265"/>
      <c r="BR3244" s="265"/>
      <c r="BS3244" s="265"/>
      <c r="BT3244" s="265"/>
      <c r="BU3244" s="265"/>
      <c r="BV3244" s="265"/>
    </row>
    <row r="3245" spans="12:74">
      <c r="L3245" s="265"/>
      <c r="M3245" s="265"/>
      <c r="N3245" s="265"/>
      <c r="O3245" s="265"/>
      <c r="P3245" s="265"/>
      <c r="Q3245" s="265"/>
      <c r="BR3245" s="265"/>
      <c r="BS3245" s="265"/>
      <c r="BT3245" s="265"/>
      <c r="BU3245" s="265"/>
      <c r="BV3245" s="265"/>
    </row>
    <row r="3246" spans="12:74">
      <c r="L3246" s="265"/>
      <c r="M3246" s="265"/>
      <c r="N3246" s="265"/>
      <c r="O3246" s="265"/>
      <c r="P3246" s="265"/>
      <c r="Q3246" s="265"/>
      <c r="BR3246" s="265"/>
      <c r="BS3246" s="265"/>
      <c r="BT3246" s="265"/>
      <c r="BU3246" s="265"/>
      <c r="BV3246" s="265"/>
    </row>
    <row r="3247" spans="12:74">
      <c r="L3247" s="265"/>
      <c r="M3247" s="265"/>
      <c r="N3247" s="265"/>
      <c r="O3247" s="265"/>
      <c r="P3247" s="265"/>
      <c r="Q3247" s="265"/>
      <c r="BR3247" s="265"/>
      <c r="BS3247" s="265"/>
      <c r="BT3247" s="265"/>
      <c r="BU3247" s="265"/>
      <c r="BV3247" s="265"/>
    </row>
    <row r="3248" spans="12:74">
      <c r="L3248" s="265"/>
      <c r="M3248" s="265"/>
      <c r="N3248" s="265"/>
      <c r="O3248" s="265"/>
      <c r="P3248" s="265"/>
      <c r="Q3248" s="265"/>
      <c r="BR3248" s="265"/>
      <c r="BS3248" s="265"/>
      <c r="BT3248" s="265"/>
      <c r="BU3248" s="265"/>
      <c r="BV3248" s="265"/>
    </row>
    <row r="3249" spans="12:74">
      <c r="L3249" s="265"/>
      <c r="M3249" s="265"/>
      <c r="N3249" s="265"/>
      <c r="O3249" s="265"/>
      <c r="P3249" s="265"/>
      <c r="Q3249" s="265"/>
      <c r="BR3249" s="265"/>
      <c r="BS3249" s="265"/>
      <c r="BT3249" s="265"/>
      <c r="BU3249" s="265"/>
      <c r="BV3249" s="265"/>
    </row>
    <row r="3250" spans="12:74">
      <c r="L3250" s="265"/>
      <c r="M3250" s="265"/>
      <c r="N3250" s="265"/>
      <c r="O3250" s="265"/>
      <c r="P3250" s="265"/>
      <c r="Q3250" s="265"/>
      <c r="BR3250" s="265"/>
      <c r="BS3250" s="265"/>
      <c r="BT3250" s="265"/>
      <c r="BU3250" s="265"/>
      <c r="BV3250" s="265"/>
    </row>
    <row r="3251" spans="12:74">
      <c r="L3251" s="265"/>
      <c r="M3251" s="265"/>
      <c r="N3251" s="265"/>
      <c r="O3251" s="265"/>
      <c r="P3251" s="265"/>
      <c r="Q3251" s="265"/>
      <c r="BR3251" s="265"/>
      <c r="BS3251" s="265"/>
      <c r="BT3251" s="265"/>
      <c r="BU3251" s="265"/>
      <c r="BV3251" s="265"/>
    </row>
    <row r="3252" spans="12:74">
      <c r="L3252" s="265"/>
      <c r="M3252" s="265"/>
      <c r="N3252" s="265"/>
      <c r="O3252" s="265"/>
      <c r="P3252" s="265"/>
      <c r="Q3252" s="265"/>
      <c r="BR3252" s="265"/>
      <c r="BS3252" s="265"/>
      <c r="BT3252" s="265"/>
      <c r="BU3252" s="265"/>
      <c r="BV3252" s="265"/>
    </row>
    <row r="3253" spans="12:74">
      <c r="L3253" s="265"/>
      <c r="M3253" s="265"/>
      <c r="N3253" s="265"/>
      <c r="O3253" s="265"/>
      <c r="P3253" s="265"/>
      <c r="Q3253" s="265"/>
      <c r="BR3253" s="265"/>
      <c r="BS3253" s="265"/>
      <c r="BT3253" s="265"/>
      <c r="BU3253" s="265"/>
      <c r="BV3253" s="265"/>
    </row>
    <row r="3254" spans="12:74">
      <c r="L3254" s="265"/>
      <c r="M3254" s="265"/>
      <c r="N3254" s="265"/>
      <c r="O3254" s="265"/>
      <c r="P3254" s="265"/>
      <c r="Q3254" s="265"/>
      <c r="BR3254" s="265"/>
      <c r="BS3254" s="265"/>
      <c r="BT3254" s="265"/>
      <c r="BU3254" s="265"/>
      <c r="BV3254" s="265"/>
    </row>
    <row r="3255" spans="12:74">
      <c r="L3255" s="265"/>
      <c r="M3255" s="265"/>
      <c r="N3255" s="265"/>
      <c r="O3255" s="265"/>
      <c r="P3255" s="265"/>
      <c r="Q3255" s="265"/>
      <c r="BR3255" s="265"/>
      <c r="BS3255" s="265"/>
      <c r="BT3255" s="265"/>
      <c r="BU3255" s="265"/>
      <c r="BV3255" s="265"/>
    </row>
    <row r="3256" spans="12:74">
      <c r="L3256" s="265"/>
      <c r="M3256" s="265"/>
      <c r="N3256" s="265"/>
      <c r="O3256" s="265"/>
      <c r="P3256" s="265"/>
      <c r="Q3256" s="265"/>
      <c r="BR3256" s="265"/>
      <c r="BS3256" s="265"/>
      <c r="BT3256" s="265"/>
      <c r="BU3256" s="265"/>
      <c r="BV3256" s="265"/>
    </row>
    <row r="3257" spans="12:74">
      <c r="L3257" s="265"/>
      <c r="M3257" s="265"/>
      <c r="N3257" s="265"/>
      <c r="O3257" s="265"/>
      <c r="P3257" s="265"/>
      <c r="Q3257" s="265"/>
      <c r="BR3257" s="265"/>
      <c r="BS3257" s="265"/>
      <c r="BT3257" s="265"/>
      <c r="BU3257" s="265"/>
      <c r="BV3257" s="265"/>
    </row>
    <row r="3258" spans="12:74">
      <c r="L3258" s="265"/>
      <c r="M3258" s="265"/>
      <c r="N3258" s="265"/>
      <c r="O3258" s="265"/>
      <c r="P3258" s="265"/>
      <c r="Q3258" s="265"/>
      <c r="BR3258" s="265"/>
      <c r="BS3258" s="265"/>
      <c r="BT3258" s="265"/>
      <c r="BU3258" s="265"/>
      <c r="BV3258" s="265"/>
    </row>
    <row r="3259" spans="12:74">
      <c r="L3259" s="265"/>
      <c r="M3259" s="265"/>
      <c r="N3259" s="265"/>
      <c r="O3259" s="265"/>
      <c r="P3259" s="265"/>
      <c r="Q3259" s="265"/>
      <c r="BR3259" s="265"/>
      <c r="BS3259" s="265"/>
      <c r="BT3259" s="265"/>
      <c r="BU3259" s="265"/>
      <c r="BV3259" s="265"/>
    </row>
    <row r="3260" spans="12:74">
      <c r="L3260" s="265"/>
      <c r="M3260" s="265"/>
      <c r="N3260" s="265"/>
      <c r="O3260" s="265"/>
      <c r="P3260" s="265"/>
      <c r="Q3260" s="265"/>
      <c r="BR3260" s="265"/>
      <c r="BS3260" s="265"/>
      <c r="BT3260" s="265"/>
      <c r="BU3260" s="265"/>
      <c r="BV3260" s="265"/>
    </row>
    <row r="3261" spans="12:74">
      <c r="L3261" s="265"/>
      <c r="M3261" s="265"/>
      <c r="N3261" s="265"/>
      <c r="O3261" s="265"/>
      <c r="P3261" s="265"/>
      <c r="Q3261" s="265"/>
      <c r="BR3261" s="265"/>
      <c r="BS3261" s="265"/>
      <c r="BT3261" s="265"/>
      <c r="BU3261" s="265"/>
      <c r="BV3261" s="265"/>
    </row>
    <row r="3262" spans="12:74">
      <c r="L3262" s="265"/>
      <c r="M3262" s="265"/>
      <c r="N3262" s="265"/>
      <c r="O3262" s="265"/>
      <c r="P3262" s="265"/>
      <c r="Q3262" s="265"/>
      <c r="BR3262" s="265"/>
      <c r="BS3262" s="265"/>
      <c r="BT3262" s="265"/>
      <c r="BU3262" s="265"/>
      <c r="BV3262" s="265"/>
    </row>
    <row r="3263" spans="12:74">
      <c r="L3263" s="265"/>
      <c r="M3263" s="265"/>
      <c r="N3263" s="265"/>
      <c r="O3263" s="265"/>
      <c r="P3263" s="265"/>
      <c r="Q3263" s="265"/>
      <c r="BR3263" s="265"/>
      <c r="BS3263" s="265"/>
      <c r="BT3263" s="265"/>
      <c r="BU3263" s="265"/>
      <c r="BV3263" s="265"/>
    </row>
    <row r="3264" spans="12:74">
      <c r="L3264" s="265"/>
      <c r="M3264" s="265"/>
      <c r="N3264" s="265"/>
      <c r="O3264" s="265"/>
      <c r="P3264" s="265"/>
      <c r="Q3264" s="265"/>
      <c r="BR3264" s="265"/>
      <c r="BS3264" s="265"/>
      <c r="BT3264" s="265"/>
      <c r="BU3264" s="265"/>
      <c r="BV3264" s="265"/>
    </row>
    <row r="3265" spans="12:74">
      <c r="L3265" s="265"/>
      <c r="M3265" s="265"/>
      <c r="N3265" s="265"/>
      <c r="O3265" s="265"/>
      <c r="P3265" s="265"/>
      <c r="Q3265" s="265"/>
      <c r="BR3265" s="265"/>
      <c r="BS3265" s="265"/>
      <c r="BT3265" s="265"/>
      <c r="BU3265" s="265"/>
      <c r="BV3265" s="265"/>
    </row>
    <row r="3266" spans="12:74">
      <c r="L3266" s="265"/>
      <c r="M3266" s="265"/>
      <c r="N3266" s="265"/>
      <c r="O3266" s="265"/>
      <c r="P3266" s="265"/>
      <c r="Q3266" s="265"/>
      <c r="BR3266" s="265"/>
      <c r="BS3266" s="265"/>
      <c r="BT3266" s="265"/>
      <c r="BU3266" s="265"/>
      <c r="BV3266" s="265"/>
    </row>
    <row r="3267" spans="12:74">
      <c r="L3267" s="265"/>
      <c r="M3267" s="265"/>
      <c r="N3267" s="265"/>
      <c r="O3267" s="265"/>
      <c r="P3267" s="265"/>
      <c r="Q3267" s="265"/>
      <c r="BR3267" s="265"/>
      <c r="BS3267" s="265"/>
      <c r="BT3267" s="265"/>
      <c r="BU3267" s="265"/>
      <c r="BV3267" s="265"/>
    </row>
    <row r="3268" spans="12:74">
      <c r="L3268" s="265"/>
      <c r="M3268" s="265"/>
      <c r="N3268" s="265"/>
      <c r="O3268" s="265"/>
      <c r="P3268" s="265"/>
      <c r="Q3268" s="265"/>
      <c r="BR3268" s="265"/>
      <c r="BS3268" s="265"/>
      <c r="BT3268" s="265"/>
      <c r="BU3268" s="265"/>
      <c r="BV3268" s="265"/>
    </row>
    <row r="3269" spans="12:74">
      <c r="L3269" s="265"/>
      <c r="M3269" s="265"/>
      <c r="N3269" s="265"/>
      <c r="O3269" s="265"/>
      <c r="P3269" s="265"/>
      <c r="Q3269" s="265"/>
      <c r="BR3269" s="265"/>
      <c r="BS3269" s="265"/>
      <c r="BT3269" s="265"/>
      <c r="BU3269" s="265"/>
      <c r="BV3269" s="265"/>
    </row>
    <row r="3270" spans="12:74">
      <c r="L3270" s="265"/>
      <c r="M3270" s="265"/>
      <c r="N3270" s="265"/>
      <c r="O3270" s="265"/>
      <c r="P3270" s="265"/>
      <c r="Q3270" s="265"/>
      <c r="BR3270" s="265"/>
      <c r="BS3270" s="265"/>
      <c r="BT3270" s="265"/>
      <c r="BU3270" s="265"/>
      <c r="BV3270" s="265"/>
    </row>
    <row r="3271" spans="12:74">
      <c r="L3271" s="265"/>
      <c r="M3271" s="265"/>
      <c r="N3271" s="265"/>
      <c r="O3271" s="265"/>
      <c r="P3271" s="265"/>
      <c r="Q3271" s="265"/>
      <c r="BR3271" s="265"/>
      <c r="BS3271" s="265"/>
      <c r="BT3271" s="265"/>
      <c r="BU3271" s="265"/>
      <c r="BV3271" s="265"/>
    </row>
    <row r="3272" spans="12:74">
      <c r="L3272" s="265"/>
      <c r="M3272" s="265"/>
      <c r="N3272" s="265"/>
      <c r="O3272" s="265"/>
      <c r="P3272" s="265"/>
      <c r="Q3272" s="265"/>
      <c r="BR3272" s="265"/>
      <c r="BS3272" s="265"/>
      <c r="BT3272" s="265"/>
      <c r="BU3272" s="265"/>
      <c r="BV3272" s="265"/>
    </row>
    <row r="3273" spans="12:74">
      <c r="L3273" s="265"/>
      <c r="M3273" s="265"/>
      <c r="N3273" s="265"/>
      <c r="O3273" s="265"/>
      <c r="P3273" s="265"/>
      <c r="Q3273" s="265"/>
      <c r="BR3273" s="265"/>
      <c r="BS3273" s="265"/>
      <c r="BT3273" s="265"/>
      <c r="BU3273" s="265"/>
      <c r="BV3273" s="265"/>
    </row>
    <row r="3274" spans="12:74">
      <c r="L3274" s="265"/>
      <c r="M3274" s="265"/>
      <c r="N3274" s="265"/>
      <c r="O3274" s="265"/>
      <c r="P3274" s="265"/>
      <c r="Q3274" s="265"/>
      <c r="BR3274" s="265"/>
      <c r="BS3274" s="265"/>
      <c r="BT3274" s="265"/>
      <c r="BU3274" s="265"/>
      <c r="BV3274" s="265"/>
    </row>
    <row r="3275" spans="12:74">
      <c r="L3275" s="265"/>
      <c r="M3275" s="265"/>
      <c r="N3275" s="265"/>
      <c r="O3275" s="265"/>
      <c r="P3275" s="265"/>
      <c r="Q3275" s="265"/>
      <c r="BR3275" s="265"/>
      <c r="BS3275" s="265"/>
      <c r="BT3275" s="265"/>
      <c r="BU3275" s="265"/>
      <c r="BV3275" s="265"/>
    </row>
    <row r="3276" spans="12:74">
      <c r="L3276" s="265"/>
      <c r="M3276" s="265"/>
      <c r="N3276" s="265"/>
      <c r="O3276" s="265"/>
      <c r="P3276" s="265"/>
      <c r="Q3276" s="265"/>
      <c r="BR3276" s="265"/>
      <c r="BS3276" s="265"/>
      <c r="BT3276" s="265"/>
      <c r="BU3276" s="265"/>
      <c r="BV3276" s="265"/>
    </row>
    <row r="3277" spans="12:74">
      <c r="L3277" s="265"/>
      <c r="M3277" s="265"/>
      <c r="N3277" s="265"/>
      <c r="O3277" s="265"/>
      <c r="P3277" s="265"/>
      <c r="Q3277" s="265"/>
      <c r="BR3277" s="265"/>
      <c r="BS3277" s="265"/>
      <c r="BT3277" s="265"/>
      <c r="BU3277" s="265"/>
      <c r="BV3277" s="265"/>
    </row>
    <row r="3278" spans="12:74">
      <c r="L3278" s="265"/>
      <c r="M3278" s="265"/>
      <c r="N3278" s="265"/>
      <c r="O3278" s="265"/>
      <c r="P3278" s="265"/>
      <c r="Q3278" s="265"/>
      <c r="BR3278" s="265"/>
      <c r="BS3278" s="265"/>
      <c r="BT3278" s="265"/>
      <c r="BU3278" s="265"/>
      <c r="BV3278" s="265"/>
    </row>
    <row r="3279" spans="12:74">
      <c r="L3279" s="265"/>
      <c r="M3279" s="265"/>
      <c r="N3279" s="265"/>
      <c r="O3279" s="265"/>
      <c r="P3279" s="265"/>
      <c r="Q3279" s="265"/>
      <c r="BR3279" s="265"/>
      <c r="BS3279" s="265"/>
      <c r="BT3279" s="265"/>
      <c r="BU3279" s="265"/>
      <c r="BV3279" s="265"/>
    </row>
    <row r="3280" spans="12:74">
      <c r="L3280" s="265"/>
      <c r="M3280" s="265"/>
      <c r="N3280" s="265"/>
      <c r="O3280" s="265"/>
      <c r="P3280" s="265"/>
      <c r="Q3280" s="265"/>
      <c r="BR3280" s="265"/>
      <c r="BS3280" s="265"/>
      <c r="BT3280" s="265"/>
      <c r="BU3280" s="265"/>
      <c r="BV3280" s="265"/>
    </row>
    <row r="3281" spans="12:74">
      <c r="L3281" s="265"/>
      <c r="M3281" s="265"/>
      <c r="N3281" s="265"/>
      <c r="O3281" s="265"/>
      <c r="P3281" s="265"/>
      <c r="Q3281" s="265"/>
      <c r="BR3281" s="265"/>
      <c r="BS3281" s="265"/>
      <c r="BT3281" s="265"/>
      <c r="BU3281" s="265"/>
      <c r="BV3281" s="265"/>
    </row>
    <row r="3282" spans="12:74">
      <c r="L3282" s="265"/>
      <c r="M3282" s="265"/>
      <c r="N3282" s="265"/>
      <c r="O3282" s="265"/>
      <c r="P3282" s="265"/>
      <c r="Q3282" s="265"/>
      <c r="BR3282" s="265"/>
      <c r="BS3282" s="265"/>
      <c r="BT3282" s="265"/>
      <c r="BU3282" s="265"/>
      <c r="BV3282" s="265"/>
    </row>
    <row r="3283" spans="12:74">
      <c r="L3283" s="265"/>
      <c r="M3283" s="265"/>
      <c r="N3283" s="265"/>
      <c r="O3283" s="265"/>
      <c r="P3283" s="265"/>
      <c r="Q3283" s="265"/>
      <c r="BR3283" s="265"/>
      <c r="BS3283" s="265"/>
      <c r="BT3283" s="265"/>
      <c r="BU3283" s="265"/>
      <c r="BV3283" s="265"/>
    </row>
    <row r="3284" spans="12:74">
      <c r="L3284" s="265"/>
      <c r="M3284" s="265"/>
      <c r="N3284" s="265"/>
      <c r="O3284" s="265"/>
      <c r="P3284" s="265"/>
      <c r="Q3284" s="265"/>
      <c r="BR3284" s="265"/>
      <c r="BS3284" s="265"/>
      <c r="BT3284" s="265"/>
      <c r="BU3284" s="265"/>
      <c r="BV3284" s="265"/>
    </row>
    <row r="3285" spans="12:74">
      <c r="L3285" s="265"/>
      <c r="M3285" s="265"/>
      <c r="N3285" s="265"/>
      <c r="O3285" s="265"/>
      <c r="P3285" s="265"/>
      <c r="Q3285" s="265"/>
      <c r="BR3285" s="265"/>
      <c r="BS3285" s="265"/>
      <c r="BT3285" s="265"/>
      <c r="BU3285" s="265"/>
      <c r="BV3285" s="265"/>
    </row>
    <row r="3286" spans="12:74">
      <c r="L3286" s="265"/>
      <c r="M3286" s="265"/>
      <c r="N3286" s="265"/>
      <c r="O3286" s="265"/>
      <c r="P3286" s="265"/>
      <c r="Q3286" s="265"/>
      <c r="BR3286" s="265"/>
      <c r="BS3286" s="265"/>
      <c r="BT3286" s="265"/>
      <c r="BU3286" s="265"/>
      <c r="BV3286" s="265"/>
    </row>
    <row r="3287" spans="12:74">
      <c r="L3287" s="265"/>
      <c r="M3287" s="265"/>
      <c r="N3287" s="265"/>
      <c r="O3287" s="265"/>
      <c r="P3287" s="265"/>
      <c r="Q3287" s="265"/>
      <c r="BR3287" s="265"/>
      <c r="BS3287" s="265"/>
      <c r="BT3287" s="265"/>
      <c r="BU3287" s="265"/>
      <c r="BV3287" s="265"/>
    </row>
    <row r="3288" spans="12:74">
      <c r="L3288" s="265"/>
      <c r="M3288" s="265"/>
      <c r="N3288" s="265"/>
      <c r="O3288" s="265"/>
      <c r="P3288" s="265"/>
      <c r="Q3288" s="265"/>
      <c r="BR3288" s="265"/>
      <c r="BS3288" s="265"/>
      <c r="BT3288" s="265"/>
      <c r="BU3288" s="265"/>
      <c r="BV3288" s="265"/>
    </row>
    <row r="3289" spans="12:74">
      <c r="L3289" s="265"/>
      <c r="M3289" s="265"/>
      <c r="N3289" s="265"/>
      <c r="O3289" s="265"/>
      <c r="P3289" s="265"/>
      <c r="Q3289" s="265"/>
      <c r="BR3289" s="265"/>
      <c r="BS3289" s="265"/>
      <c r="BT3289" s="265"/>
      <c r="BU3289" s="265"/>
      <c r="BV3289" s="265"/>
    </row>
    <row r="3290" spans="12:74">
      <c r="L3290" s="265"/>
      <c r="M3290" s="265"/>
      <c r="N3290" s="265"/>
      <c r="O3290" s="265"/>
      <c r="P3290" s="265"/>
      <c r="Q3290" s="265"/>
      <c r="BR3290" s="265"/>
      <c r="BS3290" s="265"/>
      <c r="BT3290" s="265"/>
      <c r="BU3290" s="265"/>
      <c r="BV3290" s="265"/>
    </row>
    <row r="3291" spans="12:74">
      <c r="L3291" s="265"/>
      <c r="M3291" s="265"/>
      <c r="N3291" s="265"/>
      <c r="O3291" s="265"/>
      <c r="P3291" s="265"/>
      <c r="Q3291" s="265"/>
      <c r="BR3291" s="265"/>
      <c r="BS3291" s="265"/>
      <c r="BT3291" s="265"/>
      <c r="BU3291" s="265"/>
      <c r="BV3291" s="265"/>
    </row>
    <row r="3292" spans="12:74">
      <c r="L3292" s="265"/>
      <c r="M3292" s="265"/>
      <c r="N3292" s="265"/>
      <c r="O3292" s="265"/>
      <c r="P3292" s="265"/>
      <c r="Q3292" s="265"/>
      <c r="BR3292" s="265"/>
      <c r="BS3292" s="265"/>
      <c r="BT3292" s="265"/>
      <c r="BU3292" s="265"/>
      <c r="BV3292" s="265"/>
    </row>
    <row r="3293" spans="12:74">
      <c r="L3293" s="265"/>
      <c r="M3293" s="265"/>
      <c r="N3293" s="265"/>
      <c r="O3293" s="265"/>
      <c r="P3293" s="265"/>
      <c r="Q3293" s="265"/>
      <c r="BR3293" s="265"/>
      <c r="BS3293" s="265"/>
      <c r="BT3293" s="265"/>
      <c r="BU3293" s="265"/>
      <c r="BV3293" s="265"/>
    </row>
    <row r="3294" spans="12:74">
      <c r="L3294" s="265"/>
      <c r="M3294" s="265"/>
      <c r="N3294" s="265"/>
      <c r="O3294" s="265"/>
      <c r="P3294" s="265"/>
      <c r="Q3294" s="265"/>
      <c r="BR3294" s="265"/>
      <c r="BS3294" s="265"/>
      <c r="BT3294" s="265"/>
      <c r="BU3294" s="265"/>
      <c r="BV3294" s="265"/>
    </row>
    <row r="3295" spans="12:74">
      <c r="L3295" s="265"/>
      <c r="M3295" s="265"/>
      <c r="N3295" s="265"/>
      <c r="O3295" s="265"/>
      <c r="P3295" s="265"/>
      <c r="Q3295" s="265"/>
      <c r="BR3295" s="265"/>
      <c r="BS3295" s="265"/>
      <c r="BT3295" s="265"/>
      <c r="BU3295" s="265"/>
      <c r="BV3295" s="265"/>
    </row>
    <row r="3296" spans="12:74">
      <c r="L3296" s="265"/>
      <c r="M3296" s="265"/>
      <c r="N3296" s="265"/>
      <c r="O3296" s="265"/>
      <c r="P3296" s="265"/>
      <c r="Q3296" s="265"/>
      <c r="BR3296" s="265"/>
      <c r="BS3296" s="265"/>
      <c r="BT3296" s="265"/>
      <c r="BU3296" s="265"/>
      <c r="BV3296" s="265"/>
    </row>
    <row r="3297" spans="12:74">
      <c r="L3297" s="265"/>
      <c r="M3297" s="265"/>
      <c r="N3297" s="265"/>
      <c r="O3297" s="265"/>
      <c r="P3297" s="265"/>
      <c r="Q3297" s="265"/>
      <c r="BR3297" s="265"/>
      <c r="BS3297" s="265"/>
      <c r="BT3297" s="265"/>
      <c r="BU3297" s="265"/>
      <c r="BV3297" s="265"/>
    </row>
    <row r="3298" spans="12:74">
      <c r="L3298" s="265"/>
      <c r="M3298" s="265"/>
      <c r="N3298" s="265"/>
      <c r="O3298" s="265"/>
      <c r="P3298" s="265"/>
      <c r="Q3298" s="265"/>
      <c r="BR3298" s="265"/>
      <c r="BS3298" s="265"/>
      <c r="BT3298" s="265"/>
      <c r="BU3298" s="265"/>
      <c r="BV3298" s="265"/>
    </row>
    <row r="3299" spans="12:74">
      <c r="L3299" s="265"/>
      <c r="M3299" s="265"/>
      <c r="N3299" s="265"/>
      <c r="O3299" s="265"/>
      <c r="P3299" s="265"/>
      <c r="Q3299" s="265"/>
      <c r="BR3299" s="265"/>
      <c r="BS3299" s="265"/>
      <c r="BT3299" s="265"/>
      <c r="BU3299" s="265"/>
      <c r="BV3299" s="265"/>
    </row>
    <row r="3300" spans="12:74">
      <c r="L3300" s="265"/>
      <c r="M3300" s="265"/>
      <c r="N3300" s="265"/>
      <c r="O3300" s="265"/>
      <c r="P3300" s="265"/>
      <c r="Q3300" s="265"/>
      <c r="BR3300" s="265"/>
      <c r="BS3300" s="265"/>
      <c r="BT3300" s="265"/>
      <c r="BU3300" s="265"/>
      <c r="BV3300" s="265"/>
    </row>
    <row r="3301" spans="12:74">
      <c r="L3301" s="265"/>
      <c r="M3301" s="265"/>
      <c r="N3301" s="265"/>
      <c r="O3301" s="265"/>
      <c r="P3301" s="265"/>
      <c r="Q3301" s="265"/>
      <c r="BR3301" s="265"/>
      <c r="BS3301" s="265"/>
      <c r="BT3301" s="265"/>
      <c r="BU3301" s="265"/>
      <c r="BV3301" s="265"/>
    </row>
    <row r="3302" spans="12:74">
      <c r="L3302" s="265"/>
      <c r="M3302" s="265"/>
      <c r="N3302" s="265"/>
      <c r="O3302" s="265"/>
      <c r="P3302" s="265"/>
      <c r="Q3302" s="265"/>
      <c r="BR3302" s="265"/>
      <c r="BS3302" s="265"/>
      <c r="BT3302" s="265"/>
      <c r="BU3302" s="265"/>
      <c r="BV3302" s="265"/>
    </row>
    <row r="3303" spans="12:74">
      <c r="L3303" s="265"/>
      <c r="M3303" s="265"/>
      <c r="N3303" s="265"/>
      <c r="O3303" s="265"/>
      <c r="P3303" s="265"/>
      <c r="Q3303" s="265"/>
      <c r="BR3303" s="265"/>
      <c r="BS3303" s="265"/>
      <c r="BT3303" s="265"/>
      <c r="BU3303" s="265"/>
      <c r="BV3303" s="265"/>
    </row>
    <row r="3304" spans="12:74">
      <c r="L3304" s="265"/>
      <c r="M3304" s="265"/>
      <c r="N3304" s="265"/>
      <c r="O3304" s="265"/>
      <c r="P3304" s="265"/>
      <c r="Q3304" s="265"/>
      <c r="BR3304" s="265"/>
      <c r="BS3304" s="265"/>
      <c r="BT3304" s="265"/>
      <c r="BU3304" s="265"/>
      <c r="BV3304" s="265"/>
    </row>
    <row r="3305" spans="12:74">
      <c r="L3305" s="265"/>
      <c r="M3305" s="265"/>
      <c r="N3305" s="265"/>
      <c r="O3305" s="265"/>
      <c r="P3305" s="265"/>
      <c r="Q3305" s="265"/>
      <c r="BR3305" s="265"/>
      <c r="BS3305" s="265"/>
      <c r="BT3305" s="265"/>
      <c r="BU3305" s="265"/>
      <c r="BV3305" s="265"/>
    </row>
    <row r="3306" spans="12:74">
      <c r="L3306" s="265"/>
      <c r="M3306" s="265"/>
      <c r="N3306" s="265"/>
      <c r="O3306" s="265"/>
      <c r="P3306" s="265"/>
      <c r="Q3306" s="265"/>
      <c r="BR3306" s="265"/>
      <c r="BS3306" s="265"/>
      <c r="BT3306" s="265"/>
      <c r="BU3306" s="265"/>
      <c r="BV3306" s="265"/>
    </row>
    <row r="3307" spans="12:74">
      <c r="L3307" s="265"/>
      <c r="M3307" s="265"/>
      <c r="N3307" s="265"/>
      <c r="O3307" s="265"/>
      <c r="P3307" s="265"/>
      <c r="Q3307" s="265"/>
      <c r="BR3307" s="265"/>
      <c r="BS3307" s="265"/>
      <c r="BT3307" s="265"/>
      <c r="BU3307" s="265"/>
      <c r="BV3307" s="265"/>
    </row>
    <row r="3308" spans="12:74">
      <c r="L3308" s="265"/>
      <c r="M3308" s="265"/>
      <c r="N3308" s="265"/>
      <c r="O3308" s="265"/>
      <c r="P3308" s="265"/>
      <c r="Q3308" s="265"/>
      <c r="BR3308" s="265"/>
      <c r="BS3308" s="265"/>
      <c r="BT3308" s="265"/>
      <c r="BU3308" s="265"/>
      <c r="BV3308" s="265"/>
    </row>
    <row r="3309" spans="12:74">
      <c r="L3309" s="265"/>
      <c r="M3309" s="265"/>
      <c r="N3309" s="265"/>
      <c r="O3309" s="265"/>
      <c r="P3309" s="265"/>
      <c r="Q3309" s="265"/>
      <c r="BR3309" s="265"/>
      <c r="BS3309" s="265"/>
      <c r="BT3309" s="265"/>
      <c r="BU3309" s="265"/>
      <c r="BV3309" s="265"/>
    </row>
    <row r="3310" spans="12:74">
      <c r="L3310" s="265"/>
      <c r="M3310" s="265"/>
      <c r="N3310" s="265"/>
      <c r="O3310" s="265"/>
      <c r="P3310" s="265"/>
      <c r="Q3310" s="265"/>
      <c r="BR3310" s="265"/>
      <c r="BS3310" s="265"/>
      <c r="BT3310" s="265"/>
      <c r="BU3310" s="265"/>
      <c r="BV3310" s="265"/>
    </row>
    <row r="3311" spans="12:74">
      <c r="L3311" s="265"/>
      <c r="M3311" s="265"/>
      <c r="N3311" s="265"/>
      <c r="O3311" s="265"/>
      <c r="P3311" s="265"/>
      <c r="Q3311" s="265"/>
      <c r="BR3311" s="265"/>
      <c r="BS3311" s="265"/>
      <c r="BT3311" s="265"/>
      <c r="BU3311" s="265"/>
      <c r="BV3311" s="265"/>
    </row>
    <row r="3312" spans="12:74">
      <c r="L3312" s="265"/>
      <c r="M3312" s="265"/>
      <c r="N3312" s="265"/>
      <c r="O3312" s="265"/>
      <c r="P3312" s="265"/>
      <c r="Q3312" s="265"/>
      <c r="BR3312" s="265"/>
      <c r="BS3312" s="265"/>
      <c r="BT3312" s="265"/>
      <c r="BU3312" s="265"/>
      <c r="BV3312" s="265"/>
    </row>
    <row r="3313" spans="12:74">
      <c r="L3313" s="265"/>
      <c r="M3313" s="265"/>
      <c r="N3313" s="265"/>
      <c r="O3313" s="265"/>
      <c r="P3313" s="265"/>
      <c r="Q3313" s="265"/>
      <c r="BR3313" s="265"/>
      <c r="BS3313" s="265"/>
      <c r="BT3313" s="265"/>
      <c r="BU3313" s="265"/>
      <c r="BV3313" s="265"/>
    </row>
    <row r="3314" spans="12:74">
      <c r="L3314" s="265"/>
      <c r="M3314" s="265"/>
      <c r="N3314" s="265"/>
      <c r="O3314" s="265"/>
      <c r="P3314" s="265"/>
      <c r="Q3314" s="265"/>
      <c r="BR3314" s="265"/>
      <c r="BS3314" s="265"/>
      <c r="BT3314" s="265"/>
      <c r="BU3314" s="265"/>
      <c r="BV3314" s="265"/>
    </row>
    <row r="3315" spans="12:74">
      <c r="L3315" s="265"/>
      <c r="M3315" s="265"/>
      <c r="N3315" s="265"/>
      <c r="O3315" s="265"/>
      <c r="P3315" s="265"/>
      <c r="Q3315" s="265"/>
      <c r="BR3315" s="265"/>
      <c r="BS3315" s="265"/>
      <c r="BT3315" s="265"/>
      <c r="BU3315" s="265"/>
      <c r="BV3315" s="265"/>
    </row>
    <row r="3316" spans="12:74">
      <c r="L3316" s="265"/>
      <c r="M3316" s="265"/>
      <c r="N3316" s="265"/>
      <c r="O3316" s="265"/>
      <c r="P3316" s="265"/>
      <c r="Q3316" s="265"/>
      <c r="BR3316" s="265"/>
      <c r="BS3316" s="265"/>
      <c r="BT3316" s="265"/>
      <c r="BU3316" s="265"/>
      <c r="BV3316" s="265"/>
    </row>
    <row r="3317" spans="12:74">
      <c r="L3317" s="265"/>
      <c r="M3317" s="265"/>
      <c r="N3317" s="265"/>
      <c r="O3317" s="265"/>
      <c r="P3317" s="265"/>
      <c r="Q3317" s="265"/>
      <c r="BR3317" s="265"/>
      <c r="BS3317" s="265"/>
      <c r="BT3317" s="265"/>
      <c r="BU3317" s="265"/>
      <c r="BV3317" s="265"/>
    </row>
    <row r="3318" spans="12:74">
      <c r="L3318" s="265"/>
      <c r="M3318" s="265"/>
      <c r="N3318" s="265"/>
      <c r="O3318" s="265"/>
      <c r="P3318" s="265"/>
      <c r="Q3318" s="265"/>
      <c r="BR3318" s="265"/>
      <c r="BS3318" s="265"/>
      <c r="BT3318" s="265"/>
      <c r="BU3318" s="265"/>
      <c r="BV3318" s="265"/>
    </row>
    <row r="3319" spans="12:74">
      <c r="L3319" s="265"/>
      <c r="M3319" s="265"/>
      <c r="N3319" s="265"/>
      <c r="O3319" s="265"/>
      <c r="P3319" s="265"/>
      <c r="Q3319" s="265"/>
      <c r="BR3319" s="265"/>
      <c r="BS3319" s="265"/>
      <c r="BT3319" s="265"/>
      <c r="BU3319" s="265"/>
      <c r="BV3319" s="265"/>
    </row>
    <row r="3320" spans="12:74">
      <c r="L3320" s="265"/>
      <c r="M3320" s="265"/>
      <c r="N3320" s="265"/>
      <c r="O3320" s="265"/>
      <c r="P3320" s="265"/>
      <c r="Q3320" s="265"/>
      <c r="BR3320" s="265"/>
      <c r="BS3320" s="265"/>
      <c r="BT3320" s="265"/>
      <c r="BU3320" s="265"/>
      <c r="BV3320" s="265"/>
    </row>
    <row r="3321" spans="12:74">
      <c r="L3321" s="265"/>
      <c r="M3321" s="265"/>
      <c r="N3321" s="265"/>
      <c r="O3321" s="265"/>
      <c r="P3321" s="265"/>
      <c r="Q3321" s="265"/>
      <c r="BR3321" s="265"/>
      <c r="BS3321" s="265"/>
      <c r="BT3321" s="265"/>
      <c r="BU3321" s="265"/>
      <c r="BV3321" s="265"/>
    </row>
    <row r="3322" spans="12:74">
      <c r="L3322" s="265"/>
      <c r="M3322" s="265"/>
      <c r="N3322" s="265"/>
      <c r="O3322" s="265"/>
      <c r="P3322" s="265"/>
      <c r="Q3322" s="265"/>
      <c r="BR3322" s="265"/>
      <c r="BS3322" s="265"/>
      <c r="BT3322" s="265"/>
      <c r="BU3322" s="265"/>
      <c r="BV3322" s="265"/>
    </row>
    <row r="3323" spans="12:74">
      <c r="L3323" s="265"/>
      <c r="M3323" s="265"/>
      <c r="N3323" s="265"/>
      <c r="O3323" s="265"/>
      <c r="P3323" s="265"/>
      <c r="Q3323" s="265"/>
      <c r="BR3323" s="265"/>
      <c r="BS3323" s="265"/>
      <c r="BT3323" s="265"/>
      <c r="BU3323" s="265"/>
      <c r="BV3323" s="265"/>
    </row>
    <row r="3324" spans="12:74">
      <c r="L3324" s="265"/>
      <c r="M3324" s="265"/>
      <c r="N3324" s="265"/>
      <c r="O3324" s="265"/>
      <c r="P3324" s="265"/>
      <c r="Q3324" s="265"/>
      <c r="BR3324" s="265"/>
      <c r="BS3324" s="265"/>
      <c r="BT3324" s="265"/>
      <c r="BU3324" s="265"/>
      <c r="BV3324" s="265"/>
    </row>
    <row r="3325" spans="12:74">
      <c r="L3325" s="265"/>
      <c r="M3325" s="265"/>
      <c r="N3325" s="265"/>
      <c r="O3325" s="265"/>
      <c r="P3325" s="265"/>
      <c r="Q3325" s="265"/>
      <c r="BR3325" s="265"/>
      <c r="BS3325" s="265"/>
      <c r="BT3325" s="265"/>
      <c r="BU3325" s="265"/>
      <c r="BV3325" s="265"/>
    </row>
    <row r="3326" spans="12:74">
      <c r="L3326" s="265"/>
      <c r="M3326" s="265"/>
      <c r="N3326" s="265"/>
      <c r="O3326" s="265"/>
      <c r="P3326" s="265"/>
      <c r="Q3326" s="265"/>
      <c r="BR3326" s="265"/>
      <c r="BS3326" s="265"/>
      <c r="BT3326" s="265"/>
      <c r="BU3326" s="265"/>
      <c r="BV3326" s="265"/>
    </row>
    <row r="3327" spans="12:74">
      <c r="L3327" s="265"/>
      <c r="M3327" s="265"/>
      <c r="N3327" s="265"/>
      <c r="O3327" s="265"/>
      <c r="P3327" s="265"/>
      <c r="Q3327" s="265"/>
      <c r="BR3327" s="265"/>
      <c r="BS3327" s="265"/>
      <c r="BT3327" s="265"/>
      <c r="BU3327" s="265"/>
      <c r="BV3327" s="265"/>
    </row>
    <row r="3328" spans="12:74">
      <c r="L3328" s="265"/>
      <c r="M3328" s="265"/>
      <c r="N3328" s="265"/>
      <c r="O3328" s="265"/>
      <c r="P3328" s="265"/>
      <c r="Q3328" s="265"/>
      <c r="BR3328" s="265"/>
      <c r="BS3328" s="265"/>
      <c r="BT3328" s="265"/>
      <c r="BU3328" s="265"/>
      <c r="BV3328" s="265"/>
    </row>
    <row r="3329" spans="12:74">
      <c r="L3329" s="265"/>
      <c r="M3329" s="265"/>
      <c r="N3329" s="265"/>
      <c r="O3329" s="265"/>
      <c r="P3329" s="265"/>
      <c r="Q3329" s="265"/>
      <c r="BR3329" s="265"/>
      <c r="BS3329" s="265"/>
      <c r="BT3329" s="265"/>
      <c r="BU3329" s="265"/>
      <c r="BV3329" s="265"/>
    </row>
    <row r="3330" spans="12:74">
      <c r="L3330" s="265"/>
      <c r="M3330" s="265"/>
      <c r="N3330" s="265"/>
      <c r="O3330" s="265"/>
      <c r="P3330" s="265"/>
      <c r="Q3330" s="265"/>
      <c r="BR3330" s="265"/>
      <c r="BS3330" s="265"/>
      <c r="BT3330" s="265"/>
      <c r="BU3330" s="265"/>
      <c r="BV3330" s="265"/>
    </row>
    <row r="3331" spans="12:74">
      <c r="L3331" s="265"/>
      <c r="M3331" s="265"/>
      <c r="N3331" s="265"/>
      <c r="O3331" s="265"/>
      <c r="P3331" s="265"/>
      <c r="Q3331" s="265"/>
      <c r="BR3331" s="265"/>
      <c r="BS3331" s="265"/>
      <c r="BT3331" s="265"/>
      <c r="BU3331" s="265"/>
      <c r="BV3331" s="265"/>
    </row>
    <row r="3332" spans="12:74">
      <c r="L3332" s="265"/>
      <c r="M3332" s="265"/>
      <c r="N3332" s="265"/>
      <c r="O3332" s="265"/>
      <c r="P3332" s="265"/>
      <c r="Q3332" s="265"/>
      <c r="BR3332" s="265"/>
      <c r="BS3332" s="265"/>
      <c r="BT3332" s="265"/>
      <c r="BU3332" s="265"/>
      <c r="BV3332" s="265"/>
    </row>
    <row r="3333" spans="12:74">
      <c r="L3333" s="265"/>
      <c r="M3333" s="265"/>
      <c r="N3333" s="265"/>
      <c r="O3333" s="265"/>
      <c r="P3333" s="265"/>
      <c r="Q3333" s="265"/>
      <c r="BR3333" s="265"/>
      <c r="BS3333" s="265"/>
      <c r="BT3333" s="265"/>
      <c r="BU3333" s="265"/>
      <c r="BV3333" s="265"/>
    </row>
    <row r="3334" spans="12:74">
      <c r="L3334" s="265"/>
      <c r="M3334" s="265"/>
      <c r="N3334" s="265"/>
      <c r="O3334" s="265"/>
      <c r="P3334" s="265"/>
      <c r="Q3334" s="265"/>
      <c r="BR3334" s="265"/>
      <c r="BS3334" s="265"/>
      <c r="BT3334" s="265"/>
      <c r="BU3334" s="265"/>
      <c r="BV3334" s="265"/>
    </row>
    <row r="3335" spans="12:74">
      <c r="L3335" s="265"/>
      <c r="M3335" s="265"/>
      <c r="N3335" s="265"/>
      <c r="O3335" s="265"/>
      <c r="P3335" s="265"/>
      <c r="Q3335" s="265"/>
      <c r="BR3335" s="265"/>
      <c r="BS3335" s="265"/>
      <c r="BT3335" s="265"/>
      <c r="BU3335" s="265"/>
      <c r="BV3335" s="265"/>
    </row>
    <row r="3336" spans="12:74">
      <c r="L3336" s="265"/>
      <c r="M3336" s="265"/>
      <c r="N3336" s="265"/>
      <c r="O3336" s="265"/>
      <c r="P3336" s="265"/>
      <c r="Q3336" s="265"/>
      <c r="BR3336" s="265"/>
      <c r="BS3336" s="265"/>
      <c r="BT3336" s="265"/>
      <c r="BU3336" s="265"/>
      <c r="BV3336" s="265"/>
    </row>
    <row r="3337" spans="12:74">
      <c r="L3337" s="265"/>
      <c r="M3337" s="265"/>
      <c r="N3337" s="265"/>
      <c r="O3337" s="265"/>
      <c r="P3337" s="265"/>
      <c r="Q3337" s="265"/>
      <c r="BR3337" s="265"/>
      <c r="BS3337" s="265"/>
      <c r="BT3337" s="265"/>
      <c r="BU3337" s="265"/>
      <c r="BV3337" s="265"/>
    </row>
    <row r="3338" spans="12:74">
      <c r="L3338" s="265"/>
      <c r="M3338" s="265"/>
      <c r="N3338" s="265"/>
      <c r="O3338" s="265"/>
      <c r="P3338" s="265"/>
      <c r="Q3338" s="265"/>
      <c r="BR3338" s="265"/>
      <c r="BS3338" s="265"/>
      <c r="BT3338" s="265"/>
      <c r="BU3338" s="265"/>
      <c r="BV3338" s="265"/>
    </row>
    <row r="3339" spans="12:74">
      <c r="L3339" s="265"/>
      <c r="M3339" s="265"/>
      <c r="N3339" s="265"/>
      <c r="O3339" s="265"/>
      <c r="P3339" s="265"/>
      <c r="Q3339" s="265"/>
      <c r="BR3339" s="265"/>
      <c r="BS3339" s="265"/>
      <c r="BT3339" s="265"/>
      <c r="BU3339" s="265"/>
      <c r="BV3339" s="265"/>
    </row>
    <row r="3340" spans="12:74">
      <c r="L3340" s="265"/>
      <c r="M3340" s="265"/>
      <c r="N3340" s="265"/>
      <c r="O3340" s="265"/>
      <c r="P3340" s="265"/>
      <c r="Q3340" s="265"/>
      <c r="BR3340" s="265"/>
      <c r="BS3340" s="265"/>
      <c r="BT3340" s="265"/>
      <c r="BU3340" s="265"/>
      <c r="BV3340" s="265"/>
    </row>
    <row r="3341" spans="12:74">
      <c r="L3341" s="265"/>
      <c r="M3341" s="265"/>
      <c r="N3341" s="265"/>
      <c r="O3341" s="265"/>
      <c r="P3341" s="265"/>
      <c r="Q3341" s="265"/>
      <c r="BR3341" s="265"/>
      <c r="BS3341" s="265"/>
      <c r="BT3341" s="265"/>
      <c r="BU3341" s="265"/>
      <c r="BV3341" s="265"/>
    </row>
    <row r="3342" spans="12:74">
      <c r="L3342" s="265"/>
      <c r="M3342" s="265"/>
      <c r="N3342" s="265"/>
      <c r="O3342" s="265"/>
      <c r="P3342" s="265"/>
      <c r="Q3342" s="265"/>
      <c r="BR3342" s="265"/>
      <c r="BS3342" s="265"/>
      <c r="BT3342" s="265"/>
      <c r="BU3342" s="265"/>
      <c r="BV3342" s="265"/>
    </row>
    <row r="3343" spans="12:74">
      <c r="L3343" s="265"/>
      <c r="M3343" s="265"/>
      <c r="N3343" s="265"/>
      <c r="O3343" s="265"/>
      <c r="P3343" s="265"/>
      <c r="Q3343" s="265"/>
      <c r="BR3343" s="265"/>
      <c r="BS3343" s="265"/>
      <c r="BT3343" s="265"/>
      <c r="BU3343" s="265"/>
      <c r="BV3343" s="265"/>
    </row>
    <row r="3344" spans="12:74">
      <c r="L3344" s="265"/>
      <c r="M3344" s="265"/>
      <c r="N3344" s="265"/>
      <c r="O3344" s="265"/>
      <c r="P3344" s="265"/>
      <c r="Q3344" s="265"/>
      <c r="BR3344" s="265"/>
      <c r="BS3344" s="265"/>
      <c r="BT3344" s="265"/>
      <c r="BU3344" s="265"/>
      <c r="BV3344" s="265"/>
    </row>
    <row r="3345" spans="12:74">
      <c r="L3345" s="265"/>
      <c r="M3345" s="265"/>
      <c r="N3345" s="265"/>
      <c r="O3345" s="265"/>
      <c r="P3345" s="265"/>
      <c r="Q3345" s="265"/>
      <c r="BR3345" s="265"/>
      <c r="BS3345" s="265"/>
      <c r="BT3345" s="265"/>
      <c r="BU3345" s="265"/>
      <c r="BV3345" s="265"/>
    </row>
    <row r="3346" spans="12:74">
      <c r="L3346" s="265"/>
      <c r="M3346" s="265"/>
      <c r="N3346" s="265"/>
      <c r="O3346" s="265"/>
      <c r="P3346" s="265"/>
      <c r="Q3346" s="265"/>
      <c r="BR3346" s="265"/>
      <c r="BS3346" s="265"/>
      <c r="BT3346" s="265"/>
      <c r="BU3346" s="265"/>
      <c r="BV3346" s="265"/>
    </row>
    <row r="3347" spans="12:74">
      <c r="L3347" s="265"/>
      <c r="M3347" s="265"/>
      <c r="N3347" s="265"/>
      <c r="O3347" s="265"/>
      <c r="P3347" s="265"/>
      <c r="Q3347" s="265"/>
      <c r="BR3347" s="265"/>
      <c r="BS3347" s="265"/>
      <c r="BT3347" s="265"/>
      <c r="BU3347" s="265"/>
      <c r="BV3347" s="265"/>
    </row>
    <row r="3348" spans="12:74">
      <c r="L3348" s="265"/>
      <c r="M3348" s="265"/>
      <c r="N3348" s="265"/>
      <c r="O3348" s="265"/>
      <c r="P3348" s="265"/>
      <c r="Q3348" s="265"/>
      <c r="BR3348" s="265"/>
      <c r="BS3348" s="265"/>
      <c r="BT3348" s="265"/>
      <c r="BU3348" s="265"/>
      <c r="BV3348" s="265"/>
    </row>
    <row r="3349" spans="12:74">
      <c r="L3349" s="265"/>
      <c r="M3349" s="265"/>
      <c r="N3349" s="265"/>
      <c r="O3349" s="265"/>
      <c r="P3349" s="265"/>
      <c r="Q3349" s="265"/>
      <c r="BR3349" s="265"/>
      <c r="BS3349" s="265"/>
      <c r="BT3349" s="265"/>
      <c r="BU3349" s="265"/>
      <c r="BV3349" s="265"/>
    </row>
    <row r="3350" spans="12:74">
      <c r="L3350" s="265"/>
      <c r="M3350" s="265"/>
      <c r="N3350" s="265"/>
      <c r="O3350" s="265"/>
      <c r="P3350" s="265"/>
      <c r="Q3350" s="265"/>
      <c r="BR3350" s="265"/>
      <c r="BS3350" s="265"/>
      <c r="BT3350" s="265"/>
      <c r="BU3350" s="265"/>
      <c r="BV3350" s="265"/>
    </row>
    <row r="3351" spans="12:74">
      <c r="L3351" s="265"/>
      <c r="M3351" s="265"/>
      <c r="N3351" s="265"/>
      <c r="O3351" s="265"/>
      <c r="P3351" s="265"/>
      <c r="Q3351" s="265"/>
      <c r="BR3351" s="265"/>
      <c r="BS3351" s="265"/>
      <c r="BT3351" s="265"/>
      <c r="BU3351" s="265"/>
      <c r="BV3351" s="265"/>
    </row>
    <row r="3352" spans="12:74">
      <c r="L3352" s="265"/>
      <c r="M3352" s="265"/>
      <c r="N3352" s="265"/>
      <c r="O3352" s="265"/>
      <c r="P3352" s="265"/>
      <c r="Q3352" s="265"/>
      <c r="BR3352" s="265"/>
      <c r="BS3352" s="265"/>
      <c r="BT3352" s="265"/>
      <c r="BU3352" s="265"/>
      <c r="BV3352" s="265"/>
    </row>
    <row r="3353" spans="12:74">
      <c r="L3353" s="265"/>
      <c r="M3353" s="265"/>
      <c r="N3353" s="265"/>
      <c r="O3353" s="265"/>
      <c r="P3353" s="265"/>
      <c r="Q3353" s="265"/>
      <c r="BR3353" s="265"/>
      <c r="BS3353" s="265"/>
      <c r="BT3353" s="265"/>
      <c r="BU3353" s="265"/>
      <c r="BV3353" s="265"/>
    </row>
    <row r="3354" spans="12:74">
      <c r="L3354" s="265"/>
      <c r="M3354" s="265"/>
      <c r="N3354" s="265"/>
      <c r="O3354" s="265"/>
      <c r="P3354" s="265"/>
      <c r="Q3354" s="265"/>
      <c r="BR3354" s="265"/>
      <c r="BS3354" s="265"/>
      <c r="BT3354" s="265"/>
      <c r="BU3354" s="265"/>
      <c r="BV3354" s="265"/>
    </row>
    <row r="3355" spans="12:74">
      <c r="L3355" s="265"/>
      <c r="M3355" s="265"/>
      <c r="N3355" s="265"/>
      <c r="O3355" s="265"/>
      <c r="P3355" s="265"/>
      <c r="Q3355" s="265"/>
      <c r="BR3355" s="265"/>
      <c r="BS3355" s="265"/>
      <c r="BT3355" s="265"/>
      <c r="BU3355" s="265"/>
      <c r="BV3355" s="265"/>
    </row>
    <row r="3356" spans="12:74">
      <c r="L3356" s="265"/>
      <c r="M3356" s="265"/>
      <c r="N3356" s="265"/>
      <c r="O3356" s="265"/>
      <c r="P3356" s="265"/>
      <c r="Q3356" s="265"/>
      <c r="BR3356" s="265"/>
      <c r="BS3356" s="265"/>
      <c r="BT3356" s="265"/>
      <c r="BU3356" s="265"/>
      <c r="BV3356" s="265"/>
    </row>
    <row r="3357" spans="12:74">
      <c r="L3357" s="265"/>
      <c r="M3357" s="265"/>
      <c r="N3357" s="265"/>
      <c r="O3357" s="265"/>
      <c r="P3357" s="265"/>
      <c r="Q3357" s="265"/>
      <c r="BR3357" s="265"/>
      <c r="BS3357" s="265"/>
      <c r="BT3357" s="265"/>
      <c r="BU3357" s="265"/>
      <c r="BV3357" s="265"/>
    </row>
    <row r="3358" spans="12:74">
      <c r="L3358" s="265"/>
      <c r="M3358" s="265"/>
      <c r="N3358" s="265"/>
      <c r="O3358" s="265"/>
      <c r="P3358" s="265"/>
      <c r="Q3358" s="265"/>
      <c r="BR3358" s="265"/>
      <c r="BS3358" s="265"/>
      <c r="BT3358" s="265"/>
      <c r="BU3358" s="265"/>
      <c r="BV3358" s="265"/>
    </row>
    <row r="3359" spans="12:74">
      <c r="L3359" s="265"/>
      <c r="M3359" s="265"/>
      <c r="N3359" s="265"/>
      <c r="O3359" s="265"/>
      <c r="P3359" s="265"/>
      <c r="Q3359" s="265"/>
      <c r="BR3359" s="265"/>
      <c r="BS3359" s="265"/>
      <c r="BT3359" s="265"/>
      <c r="BU3359" s="265"/>
      <c r="BV3359" s="265"/>
    </row>
    <row r="3360" spans="12:74">
      <c r="L3360" s="265"/>
      <c r="M3360" s="265"/>
      <c r="N3360" s="265"/>
      <c r="O3360" s="265"/>
      <c r="P3360" s="265"/>
      <c r="Q3360" s="265"/>
      <c r="BR3360" s="265"/>
      <c r="BS3360" s="265"/>
      <c r="BT3360" s="265"/>
      <c r="BU3360" s="265"/>
      <c r="BV3360" s="265"/>
    </row>
    <row r="3361" spans="12:74">
      <c r="L3361" s="265"/>
      <c r="M3361" s="265"/>
      <c r="N3361" s="265"/>
      <c r="O3361" s="265"/>
      <c r="P3361" s="265"/>
      <c r="Q3361" s="265"/>
      <c r="BR3361" s="265"/>
      <c r="BS3361" s="265"/>
      <c r="BT3361" s="265"/>
      <c r="BU3361" s="265"/>
      <c r="BV3361" s="265"/>
    </row>
    <row r="3362" spans="12:74">
      <c r="L3362" s="265"/>
      <c r="M3362" s="265"/>
      <c r="N3362" s="265"/>
      <c r="O3362" s="265"/>
      <c r="P3362" s="265"/>
      <c r="Q3362" s="265"/>
      <c r="BR3362" s="265"/>
      <c r="BS3362" s="265"/>
      <c r="BT3362" s="265"/>
      <c r="BU3362" s="265"/>
      <c r="BV3362" s="265"/>
    </row>
    <row r="3363" spans="12:74">
      <c r="L3363" s="265"/>
      <c r="M3363" s="265"/>
      <c r="N3363" s="265"/>
      <c r="O3363" s="265"/>
      <c r="P3363" s="265"/>
      <c r="Q3363" s="265"/>
      <c r="BR3363" s="265"/>
      <c r="BS3363" s="265"/>
      <c r="BT3363" s="265"/>
      <c r="BU3363" s="265"/>
      <c r="BV3363" s="265"/>
    </row>
    <row r="3364" spans="12:74">
      <c r="L3364" s="265"/>
      <c r="M3364" s="265"/>
      <c r="N3364" s="265"/>
      <c r="O3364" s="265"/>
      <c r="P3364" s="265"/>
      <c r="Q3364" s="265"/>
      <c r="BR3364" s="265"/>
      <c r="BS3364" s="265"/>
      <c r="BT3364" s="265"/>
      <c r="BU3364" s="265"/>
      <c r="BV3364" s="265"/>
    </row>
    <row r="3365" spans="12:74">
      <c r="L3365" s="265"/>
      <c r="M3365" s="265"/>
      <c r="N3365" s="265"/>
      <c r="O3365" s="265"/>
      <c r="P3365" s="265"/>
      <c r="Q3365" s="265"/>
      <c r="BR3365" s="265"/>
      <c r="BS3365" s="265"/>
      <c r="BT3365" s="265"/>
      <c r="BU3365" s="265"/>
      <c r="BV3365" s="265"/>
    </row>
    <row r="3366" spans="12:74">
      <c r="L3366" s="265"/>
      <c r="M3366" s="265"/>
      <c r="N3366" s="265"/>
      <c r="O3366" s="265"/>
      <c r="P3366" s="265"/>
      <c r="Q3366" s="265"/>
      <c r="BR3366" s="265"/>
      <c r="BS3366" s="265"/>
      <c r="BT3366" s="265"/>
      <c r="BU3366" s="265"/>
      <c r="BV3366" s="265"/>
    </row>
    <row r="3367" spans="12:74">
      <c r="L3367" s="265"/>
      <c r="M3367" s="265"/>
      <c r="N3367" s="265"/>
      <c r="O3367" s="265"/>
      <c r="P3367" s="265"/>
      <c r="Q3367" s="265"/>
      <c r="BR3367" s="265"/>
      <c r="BS3367" s="265"/>
      <c r="BT3367" s="265"/>
      <c r="BU3367" s="265"/>
      <c r="BV3367" s="265"/>
    </row>
    <row r="3368" spans="12:74">
      <c r="L3368" s="265"/>
      <c r="M3368" s="265"/>
      <c r="N3368" s="265"/>
      <c r="O3368" s="265"/>
      <c r="P3368" s="265"/>
      <c r="Q3368" s="265"/>
      <c r="BR3368" s="265"/>
      <c r="BS3368" s="265"/>
      <c r="BT3368" s="265"/>
      <c r="BU3368" s="265"/>
      <c r="BV3368" s="265"/>
    </row>
    <row r="3369" spans="12:74">
      <c r="L3369" s="265"/>
      <c r="M3369" s="265"/>
      <c r="N3369" s="265"/>
      <c r="O3369" s="265"/>
      <c r="P3369" s="265"/>
      <c r="Q3369" s="265"/>
      <c r="BR3369" s="265"/>
      <c r="BS3369" s="265"/>
      <c r="BT3369" s="265"/>
      <c r="BU3369" s="265"/>
      <c r="BV3369" s="265"/>
    </row>
    <row r="3370" spans="12:74">
      <c r="L3370" s="265"/>
      <c r="M3370" s="265"/>
      <c r="N3370" s="265"/>
      <c r="O3370" s="265"/>
      <c r="P3370" s="265"/>
      <c r="Q3370" s="265"/>
      <c r="BR3370" s="265"/>
      <c r="BS3370" s="265"/>
      <c r="BT3370" s="265"/>
      <c r="BU3370" s="265"/>
      <c r="BV3370" s="265"/>
    </row>
    <row r="3371" spans="12:74">
      <c r="L3371" s="265"/>
      <c r="M3371" s="265"/>
      <c r="N3371" s="265"/>
      <c r="O3371" s="265"/>
      <c r="P3371" s="265"/>
      <c r="Q3371" s="265"/>
      <c r="BR3371" s="265"/>
      <c r="BS3371" s="265"/>
      <c r="BT3371" s="265"/>
      <c r="BU3371" s="265"/>
      <c r="BV3371" s="265"/>
    </row>
    <row r="3372" spans="12:74">
      <c r="L3372" s="265"/>
      <c r="M3372" s="265"/>
      <c r="N3372" s="265"/>
      <c r="O3372" s="265"/>
      <c r="P3372" s="265"/>
      <c r="Q3372" s="265"/>
      <c r="BR3372" s="265"/>
      <c r="BS3372" s="265"/>
      <c r="BT3372" s="265"/>
      <c r="BU3372" s="265"/>
      <c r="BV3372" s="265"/>
    </row>
    <row r="3373" spans="12:74">
      <c r="L3373" s="265"/>
      <c r="M3373" s="265"/>
      <c r="N3373" s="265"/>
      <c r="O3373" s="265"/>
      <c r="P3373" s="265"/>
      <c r="Q3373" s="265"/>
      <c r="BR3373" s="265"/>
      <c r="BS3373" s="265"/>
      <c r="BT3373" s="265"/>
      <c r="BU3373" s="265"/>
      <c r="BV3373" s="265"/>
    </row>
    <row r="3374" spans="12:74">
      <c r="L3374" s="265"/>
      <c r="M3374" s="265"/>
      <c r="N3374" s="265"/>
      <c r="O3374" s="265"/>
      <c r="P3374" s="265"/>
      <c r="Q3374" s="265"/>
      <c r="BR3374" s="265"/>
      <c r="BS3374" s="265"/>
      <c r="BT3374" s="265"/>
      <c r="BU3374" s="265"/>
      <c r="BV3374" s="265"/>
    </row>
    <row r="3375" spans="12:74">
      <c r="L3375" s="265"/>
      <c r="M3375" s="265"/>
      <c r="N3375" s="265"/>
      <c r="O3375" s="265"/>
      <c r="P3375" s="265"/>
      <c r="Q3375" s="265"/>
      <c r="BR3375" s="265"/>
      <c r="BS3375" s="265"/>
      <c r="BT3375" s="265"/>
      <c r="BU3375" s="265"/>
      <c r="BV3375" s="265"/>
    </row>
    <row r="3376" spans="12:74">
      <c r="L3376" s="265"/>
      <c r="M3376" s="265"/>
      <c r="N3376" s="265"/>
      <c r="O3376" s="265"/>
      <c r="P3376" s="265"/>
      <c r="Q3376" s="265"/>
      <c r="BR3376" s="265"/>
      <c r="BS3376" s="265"/>
      <c r="BT3376" s="265"/>
      <c r="BU3376" s="265"/>
      <c r="BV3376" s="265"/>
    </row>
    <row r="3377" spans="12:74">
      <c r="L3377" s="265"/>
      <c r="M3377" s="265"/>
      <c r="N3377" s="265"/>
      <c r="O3377" s="265"/>
      <c r="P3377" s="265"/>
      <c r="Q3377" s="265"/>
      <c r="BR3377" s="265"/>
      <c r="BS3377" s="265"/>
      <c r="BT3377" s="265"/>
      <c r="BU3377" s="265"/>
      <c r="BV3377" s="265"/>
    </row>
    <row r="3378" spans="12:74">
      <c r="L3378" s="265"/>
      <c r="M3378" s="265"/>
      <c r="N3378" s="265"/>
      <c r="O3378" s="265"/>
      <c r="P3378" s="265"/>
      <c r="Q3378" s="265"/>
      <c r="BR3378" s="265"/>
      <c r="BS3378" s="265"/>
      <c r="BT3378" s="265"/>
      <c r="BU3378" s="265"/>
      <c r="BV3378" s="265"/>
    </row>
    <row r="3379" spans="12:74">
      <c r="L3379" s="265"/>
      <c r="M3379" s="265"/>
      <c r="N3379" s="265"/>
      <c r="O3379" s="265"/>
      <c r="P3379" s="265"/>
      <c r="Q3379" s="265"/>
      <c r="BR3379" s="265"/>
      <c r="BS3379" s="265"/>
      <c r="BT3379" s="265"/>
      <c r="BU3379" s="265"/>
      <c r="BV3379" s="265"/>
    </row>
    <row r="3380" spans="12:74">
      <c r="L3380" s="265"/>
      <c r="M3380" s="265"/>
      <c r="N3380" s="265"/>
      <c r="O3380" s="265"/>
      <c r="P3380" s="265"/>
      <c r="Q3380" s="265"/>
      <c r="BR3380" s="265"/>
      <c r="BS3380" s="265"/>
      <c r="BT3380" s="265"/>
      <c r="BU3380" s="265"/>
      <c r="BV3380" s="265"/>
    </row>
    <row r="3381" spans="12:74">
      <c r="L3381" s="265"/>
      <c r="M3381" s="265"/>
      <c r="N3381" s="265"/>
      <c r="O3381" s="265"/>
      <c r="P3381" s="265"/>
      <c r="Q3381" s="265"/>
      <c r="BR3381" s="265"/>
      <c r="BS3381" s="265"/>
      <c r="BT3381" s="265"/>
      <c r="BU3381" s="265"/>
      <c r="BV3381" s="265"/>
    </row>
    <row r="3382" spans="12:74">
      <c r="L3382" s="265"/>
      <c r="M3382" s="265"/>
      <c r="N3382" s="265"/>
      <c r="O3382" s="265"/>
      <c r="P3382" s="265"/>
      <c r="Q3382" s="265"/>
      <c r="BR3382" s="265"/>
      <c r="BS3382" s="265"/>
      <c r="BT3382" s="265"/>
      <c r="BU3382" s="265"/>
      <c r="BV3382" s="265"/>
    </row>
    <row r="3383" spans="12:74">
      <c r="L3383" s="265"/>
      <c r="M3383" s="265"/>
      <c r="N3383" s="265"/>
      <c r="O3383" s="265"/>
      <c r="P3383" s="265"/>
      <c r="Q3383" s="265"/>
      <c r="BR3383" s="265"/>
      <c r="BS3383" s="265"/>
      <c r="BT3383" s="265"/>
      <c r="BU3383" s="265"/>
      <c r="BV3383" s="265"/>
    </row>
    <row r="3384" spans="12:74">
      <c r="L3384" s="265"/>
      <c r="M3384" s="265"/>
      <c r="N3384" s="265"/>
      <c r="O3384" s="265"/>
      <c r="P3384" s="265"/>
      <c r="Q3384" s="265"/>
      <c r="BR3384" s="265"/>
      <c r="BS3384" s="265"/>
      <c r="BT3384" s="265"/>
      <c r="BU3384" s="265"/>
      <c r="BV3384" s="265"/>
    </row>
    <row r="3385" spans="12:74">
      <c r="L3385" s="265"/>
      <c r="M3385" s="265"/>
      <c r="N3385" s="265"/>
      <c r="O3385" s="265"/>
      <c r="P3385" s="265"/>
      <c r="Q3385" s="265"/>
      <c r="BR3385" s="265"/>
      <c r="BS3385" s="265"/>
      <c r="BT3385" s="265"/>
      <c r="BU3385" s="265"/>
      <c r="BV3385" s="265"/>
    </row>
    <row r="3386" spans="12:74">
      <c r="L3386" s="265"/>
      <c r="M3386" s="265"/>
      <c r="N3386" s="265"/>
      <c r="O3386" s="265"/>
      <c r="P3386" s="265"/>
      <c r="Q3386" s="265"/>
      <c r="BR3386" s="265"/>
      <c r="BS3386" s="265"/>
      <c r="BT3386" s="265"/>
      <c r="BU3386" s="265"/>
      <c r="BV3386" s="265"/>
    </row>
    <row r="3387" spans="12:74">
      <c r="L3387" s="265"/>
      <c r="M3387" s="265"/>
      <c r="N3387" s="265"/>
      <c r="O3387" s="265"/>
      <c r="P3387" s="265"/>
      <c r="Q3387" s="265"/>
      <c r="BR3387" s="265"/>
      <c r="BS3387" s="265"/>
      <c r="BT3387" s="265"/>
      <c r="BU3387" s="265"/>
      <c r="BV3387" s="265"/>
    </row>
    <row r="3388" spans="12:74">
      <c r="L3388" s="265"/>
      <c r="M3388" s="265"/>
      <c r="N3388" s="265"/>
      <c r="O3388" s="265"/>
      <c r="P3388" s="265"/>
      <c r="Q3388" s="265"/>
      <c r="BR3388" s="265"/>
      <c r="BS3388" s="265"/>
      <c r="BT3388" s="265"/>
      <c r="BU3388" s="265"/>
      <c r="BV3388" s="265"/>
    </row>
    <row r="3389" spans="12:74">
      <c r="L3389" s="265"/>
      <c r="M3389" s="265"/>
      <c r="N3389" s="265"/>
      <c r="O3389" s="265"/>
      <c r="P3389" s="265"/>
      <c r="Q3389" s="265"/>
      <c r="BR3389" s="265"/>
      <c r="BS3389" s="265"/>
      <c r="BT3389" s="265"/>
      <c r="BU3389" s="265"/>
      <c r="BV3389" s="265"/>
    </row>
    <row r="3390" spans="12:74">
      <c r="L3390" s="265"/>
      <c r="M3390" s="265"/>
      <c r="N3390" s="265"/>
      <c r="O3390" s="265"/>
      <c r="P3390" s="265"/>
      <c r="Q3390" s="265"/>
      <c r="BR3390" s="265"/>
      <c r="BS3390" s="265"/>
      <c r="BT3390" s="265"/>
      <c r="BU3390" s="265"/>
      <c r="BV3390" s="265"/>
    </row>
    <row r="3391" spans="12:74">
      <c r="L3391" s="265"/>
      <c r="M3391" s="265"/>
      <c r="N3391" s="265"/>
      <c r="O3391" s="265"/>
      <c r="P3391" s="265"/>
      <c r="Q3391" s="265"/>
      <c r="BR3391" s="265"/>
      <c r="BS3391" s="265"/>
      <c r="BT3391" s="265"/>
      <c r="BU3391" s="265"/>
      <c r="BV3391" s="265"/>
    </row>
    <row r="3392" spans="12:74">
      <c r="L3392" s="265"/>
      <c r="M3392" s="265"/>
      <c r="N3392" s="265"/>
      <c r="O3392" s="265"/>
      <c r="P3392" s="265"/>
      <c r="Q3392" s="265"/>
      <c r="BR3392" s="265"/>
      <c r="BS3392" s="265"/>
      <c r="BT3392" s="265"/>
      <c r="BU3392" s="265"/>
      <c r="BV3392" s="265"/>
    </row>
    <row r="3393" spans="12:74">
      <c r="L3393" s="265"/>
      <c r="M3393" s="265"/>
      <c r="N3393" s="265"/>
      <c r="O3393" s="265"/>
      <c r="P3393" s="265"/>
      <c r="Q3393" s="265"/>
      <c r="BR3393" s="265"/>
      <c r="BS3393" s="265"/>
      <c r="BT3393" s="265"/>
      <c r="BU3393" s="265"/>
      <c r="BV3393" s="265"/>
    </row>
    <row r="3394" spans="12:74">
      <c r="L3394" s="265"/>
      <c r="M3394" s="265"/>
      <c r="N3394" s="265"/>
      <c r="O3394" s="265"/>
      <c r="P3394" s="265"/>
      <c r="Q3394" s="265"/>
      <c r="BR3394" s="265"/>
      <c r="BS3394" s="265"/>
      <c r="BT3394" s="265"/>
      <c r="BU3394" s="265"/>
      <c r="BV3394" s="265"/>
    </row>
    <row r="3395" spans="12:74">
      <c r="L3395" s="265"/>
      <c r="M3395" s="265"/>
      <c r="N3395" s="265"/>
      <c r="O3395" s="265"/>
      <c r="P3395" s="265"/>
      <c r="Q3395" s="265"/>
      <c r="BR3395" s="265"/>
      <c r="BS3395" s="265"/>
      <c r="BT3395" s="265"/>
      <c r="BU3395" s="265"/>
      <c r="BV3395" s="265"/>
    </row>
    <row r="3396" spans="12:74">
      <c r="L3396" s="265"/>
      <c r="M3396" s="265"/>
      <c r="N3396" s="265"/>
      <c r="O3396" s="265"/>
      <c r="P3396" s="265"/>
      <c r="Q3396" s="265"/>
      <c r="BR3396" s="265"/>
      <c r="BS3396" s="265"/>
      <c r="BT3396" s="265"/>
      <c r="BU3396" s="265"/>
      <c r="BV3396" s="265"/>
    </row>
    <row r="3397" spans="12:74">
      <c r="L3397" s="265"/>
      <c r="M3397" s="265"/>
      <c r="N3397" s="265"/>
      <c r="O3397" s="265"/>
      <c r="P3397" s="265"/>
      <c r="Q3397" s="265"/>
      <c r="BR3397" s="265"/>
      <c r="BS3397" s="265"/>
      <c r="BT3397" s="265"/>
      <c r="BU3397" s="265"/>
      <c r="BV3397" s="265"/>
    </row>
    <row r="3398" spans="12:74">
      <c r="L3398" s="265"/>
      <c r="M3398" s="265"/>
      <c r="N3398" s="265"/>
      <c r="O3398" s="265"/>
      <c r="P3398" s="265"/>
      <c r="Q3398" s="265"/>
      <c r="BR3398" s="265"/>
      <c r="BS3398" s="265"/>
      <c r="BT3398" s="265"/>
      <c r="BU3398" s="265"/>
      <c r="BV3398" s="265"/>
    </row>
    <row r="3399" spans="12:74">
      <c r="L3399" s="265"/>
      <c r="M3399" s="265"/>
      <c r="N3399" s="265"/>
      <c r="O3399" s="265"/>
      <c r="P3399" s="265"/>
      <c r="Q3399" s="265"/>
      <c r="BR3399" s="265"/>
      <c r="BS3399" s="265"/>
      <c r="BT3399" s="265"/>
      <c r="BU3399" s="265"/>
      <c r="BV3399" s="265"/>
    </row>
    <row r="3400" spans="12:74">
      <c r="L3400" s="265"/>
      <c r="M3400" s="265"/>
      <c r="N3400" s="265"/>
      <c r="O3400" s="265"/>
      <c r="P3400" s="265"/>
      <c r="Q3400" s="265"/>
      <c r="BR3400" s="265"/>
      <c r="BS3400" s="265"/>
      <c r="BT3400" s="265"/>
      <c r="BU3400" s="265"/>
      <c r="BV3400" s="265"/>
    </row>
    <row r="3401" spans="12:74">
      <c r="L3401" s="265"/>
      <c r="M3401" s="265"/>
      <c r="N3401" s="265"/>
      <c r="O3401" s="265"/>
      <c r="P3401" s="265"/>
      <c r="Q3401" s="265"/>
      <c r="BR3401" s="265"/>
      <c r="BS3401" s="265"/>
      <c r="BT3401" s="265"/>
      <c r="BU3401" s="265"/>
      <c r="BV3401" s="265"/>
    </row>
    <row r="3402" spans="12:74">
      <c r="L3402" s="265"/>
      <c r="M3402" s="265"/>
      <c r="N3402" s="265"/>
      <c r="O3402" s="265"/>
      <c r="P3402" s="265"/>
      <c r="Q3402" s="265"/>
      <c r="BR3402" s="265"/>
      <c r="BS3402" s="265"/>
      <c r="BT3402" s="265"/>
      <c r="BU3402" s="265"/>
      <c r="BV3402" s="265"/>
    </row>
    <row r="3403" spans="12:74">
      <c r="L3403" s="265"/>
      <c r="M3403" s="265"/>
      <c r="N3403" s="265"/>
      <c r="O3403" s="265"/>
      <c r="P3403" s="265"/>
      <c r="Q3403" s="265"/>
      <c r="BR3403" s="265"/>
      <c r="BS3403" s="265"/>
      <c r="BT3403" s="265"/>
      <c r="BU3403" s="265"/>
      <c r="BV3403" s="265"/>
    </row>
    <row r="3404" spans="12:74">
      <c r="L3404" s="265"/>
      <c r="M3404" s="265"/>
      <c r="N3404" s="265"/>
      <c r="O3404" s="265"/>
      <c r="P3404" s="265"/>
      <c r="Q3404" s="265"/>
      <c r="BR3404" s="265"/>
      <c r="BS3404" s="265"/>
      <c r="BT3404" s="265"/>
      <c r="BU3404" s="265"/>
      <c r="BV3404" s="265"/>
    </row>
    <row r="3405" spans="12:74">
      <c r="L3405" s="265"/>
      <c r="M3405" s="265"/>
      <c r="N3405" s="265"/>
      <c r="O3405" s="265"/>
      <c r="P3405" s="265"/>
      <c r="Q3405" s="265"/>
      <c r="BR3405" s="265"/>
      <c r="BS3405" s="265"/>
      <c r="BT3405" s="265"/>
      <c r="BU3405" s="265"/>
      <c r="BV3405" s="265"/>
    </row>
    <row r="3406" spans="12:74">
      <c r="L3406" s="265"/>
      <c r="M3406" s="265"/>
      <c r="N3406" s="265"/>
      <c r="O3406" s="265"/>
      <c r="P3406" s="265"/>
      <c r="Q3406" s="265"/>
      <c r="BR3406" s="265"/>
      <c r="BS3406" s="265"/>
      <c r="BT3406" s="265"/>
      <c r="BU3406" s="265"/>
      <c r="BV3406" s="265"/>
    </row>
    <row r="3407" spans="12:74">
      <c r="L3407" s="265"/>
      <c r="M3407" s="265"/>
      <c r="N3407" s="265"/>
      <c r="O3407" s="265"/>
      <c r="P3407" s="265"/>
      <c r="Q3407" s="265"/>
      <c r="BR3407" s="265"/>
      <c r="BS3407" s="265"/>
      <c r="BT3407" s="265"/>
      <c r="BU3407" s="265"/>
      <c r="BV3407" s="265"/>
    </row>
    <row r="3408" spans="12:74">
      <c r="L3408" s="265"/>
      <c r="M3408" s="265"/>
      <c r="N3408" s="265"/>
      <c r="O3408" s="265"/>
      <c r="P3408" s="265"/>
      <c r="Q3408" s="265"/>
      <c r="BR3408" s="265"/>
      <c r="BS3408" s="265"/>
      <c r="BT3408" s="265"/>
      <c r="BU3408" s="265"/>
      <c r="BV3408" s="265"/>
    </row>
    <row r="3409" spans="12:74">
      <c r="L3409" s="265"/>
      <c r="M3409" s="265"/>
      <c r="N3409" s="265"/>
      <c r="O3409" s="265"/>
      <c r="P3409" s="265"/>
      <c r="Q3409" s="265"/>
      <c r="BR3409" s="265"/>
      <c r="BS3409" s="265"/>
      <c r="BT3409" s="265"/>
      <c r="BU3409" s="265"/>
      <c r="BV3409" s="265"/>
    </row>
    <row r="3410" spans="12:74">
      <c r="L3410" s="265"/>
      <c r="M3410" s="265"/>
      <c r="N3410" s="265"/>
      <c r="O3410" s="265"/>
      <c r="P3410" s="265"/>
      <c r="Q3410" s="265"/>
      <c r="BR3410" s="265"/>
      <c r="BS3410" s="265"/>
      <c r="BT3410" s="265"/>
      <c r="BU3410" s="265"/>
      <c r="BV3410" s="265"/>
    </row>
    <row r="3411" spans="12:74">
      <c r="L3411" s="265"/>
      <c r="M3411" s="265"/>
      <c r="N3411" s="265"/>
      <c r="O3411" s="265"/>
      <c r="P3411" s="265"/>
      <c r="Q3411" s="265"/>
      <c r="BR3411" s="265"/>
      <c r="BS3411" s="265"/>
      <c r="BT3411" s="265"/>
      <c r="BU3411" s="265"/>
      <c r="BV3411" s="265"/>
    </row>
    <row r="3412" spans="12:74">
      <c r="L3412" s="265"/>
      <c r="M3412" s="265"/>
      <c r="N3412" s="265"/>
      <c r="O3412" s="265"/>
      <c r="P3412" s="265"/>
      <c r="Q3412" s="265"/>
      <c r="BR3412" s="265"/>
      <c r="BS3412" s="265"/>
      <c r="BT3412" s="265"/>
      <c r="BU3412" s="265"/>
      <c r="BV3412" s="265"/>
    </row>
    <row r="3413" spans="12:74">
      <c r="L3413" s="265"/>
      <c r="M3413" s="265"/>
      <c r="N3413" s="265"/>
      <c r="O3413" s="265"/>
      <c r="P3413" s="265"/>
      <c r="Q3413" s="265"/>
      <c r="BR3413" s="265"/>
      <c r="BS3413" s="265"/>
      <c r="BT3413" s="265"/>
      <c r="BU3413" s="265"/>
      <c r="BV3413" s="265"/>
    </row>
    <row r="3414" spans="12:74">
      <c r="L3414" s="265"/>
      <c r="M3414" s="265"/>
      <c r="N3414" s="265"/>
      <c r="O3414" s="265"/>
      <c r="P3414" s="265"/>
      <c r="Q3414" s="265"/>
      <c r="BR3414" s="265"/>
      <c r="BS3414" s="265"/>
      <c r="BT3414" s="265"/>
      <c r="BU3414" s="265"/>
      <c r="BV3414" s="265"/>
    </row>
    <row r="3415" spans="12:74">
      <c r="L3415" s="265"/>
      <c r="M3415" s="265"/>
      <c r="N3415" s="265"/>
      <c r="O3415" s="265"/>
      <c r="P3415" s="265"/>
      <c r="Q3415" s="265"/>
      <c r="BR3415" s="265"/>
      <c r="BS3415" s="265"/>
      <c r="BT3415" s="265"/>
      <c r="BU3415" s="265"/>
      <c r="BV3415" s="265"/>
    </row>
    <row r="3416" spans="12:74">
      <c r="L3416" s="265"/>
      <c r="M3416" s="265"/>
      <c r="N3416" s="265"/>
      <c r="O3416" s="265"/>
      <c r="P3416" s="265"/>
      <c r="Q3416" s="265"/>
      <c r="BR3416" s="265"/>
      <c r="BS3416" s="265"/>
      <c r="BT3416" s="265"/>
      <c r="BU3416" s="265"/>
      <c r="BV3416" s="265"/>
    </row>
    <row r="3417" spans="12:74">
      <c r="L3417" s="265"/>
      <c r="M3417" s="265"/>
      <c r="N3417" s="265"/>
      <c r="O3417" s="265"/>
      <c r="P3417" s="265"/>
      <c r="Q3417" s="265"/>
      <c r="BR3417" s="265"/>
      <c r="BS3417" s="265"/>
      <c r="BT3417" s="265"/>
      <c r="BU3417" s="265"/>
      <c r="BV3417" s="265"/>
    </row>
    <row r="3418" spans="12:74">
      <c r="L3418" s="265"/>
      <c r="M3418" s="265"/>
      <c r="N3418" s="265"/>
      <c r="O3418" s="265"/>
      <c r="P3418" s="265"/>
      <c r="Q3418" s="265"/>
      <c r="BR3418" s="265"/>
      <c r="BS3418" s="265"/>
      <c r="BT3418" s="265"/>
      <c r="BU3418" s="265"/>
      <c r="BV3418" s="265"/>
    </row>
    <row r="3419" spans="12:74">
      <c r="L3419" s="265"/>
      <c r="M3419" s="265"/>
      <c r="N3419" s="265"/>
      <c r="O3419" s="265"/>
      <c r="P3419" s="265"/>
      <c r="Q3419" s="265"/>
      <c r="BR3419" s="265"/>
      <c r="BS3419" s="265"/>
      <c r="BT3419" s="265"/>
      <c r="BU3419" s="265"/>
      <c r="BV3419" s="265"/>
    </row>
    <row r="3420" spans="12:74">
      <c r="L3420" s="265"/>
      <c r="M3420" s="265"/>
      <c r="N3420" s="265"/>
      <c r="O3420" s="265"/>
      <c r="P3420" s="265"/>
      <c r="Q3420" s="265"/>
      <c r="BR3420" s="265"/>
      <c r="BS3420" s="265"/>
      <c r="BT3420" s="265"/>
      <c r="BU3420" s="265"/>
      <c r="BV3420" s="265"/>
    </row>
    <row r="3421" spans="12:74">
      <c r="L3421" s="265"/>
      <c r="M3421" s="265"/>
      <c r="N3421" s="265"/>
      <c r="O3421" s="265"/>
      <c r="P3421" s="265"/>
      <c r="Q3421" s="265"/>
      <c r="BR3421" s="265"/>
      <c r="BS3421" s="265"/>
      <c r="BT3421" s="265"/>
      <c r="BU3421" s="265"/>
      <c r="BV3421" s="265"/>
    </row>
    <row r="3422" spans="12:74">
      <c r="L3422" s="265"/>
      <c r="M3422" s="265"/>
      <c r="N3422" s="265"/>
      <c r="O3422" s="265"/>
      <c r="P3422" s="265"/>
      <c r="Q3422" s="265"/>
      <c r="BR3422" s="265"/>
      <c r="BS3422" s="265"/>
      <c r="BT3422" s="265"/>
      <c r="BU3422" s="265"/>
      <c r="BV3422" s="265"/>
    </row>
    <row r="3423" spans="12:74">
      <c r="L3423" s="265"/>
      <c r="M3423" s="265"/>
      <c r="N3423" s="265"/>
      <c r="O3423" s="265"/>
      <c r="P3423" s="265"/>
      <c r="Q3423" s="265"/>
      <c r="BR3423" s="265"/>
      <c r="BS3423" s="265"/>
      <c r="BT3423" s="265"/>
      <c r="BU3423" s="265"/>
      <c r="BV3423" s="265"/>
    </row>
    <row r="3424" spans="12:74">
      <c r="L3424" s="265"/>
      <c r="M3424" s="265"/>
      <c r="N3424" s="265"/>
      <c r="O3424" s="265"/>
      <c r="P3424" s="265"/>
      <c r="Q3424" s="265"/>
      <c r="BR3424" s="265"/>
      <c r="BS3424" s="265"/>
      <c r="BT3424" s="265"/>
      <c r="BU3424" s="265"/>
      <c r="BV3424" s="265"/>
    </row>
    <row r="3425" spans="12:74">
      <c r="L3425" s="265"/>
      <c r="M3425" s="265"/>
      <c r="N3425" s="265"/>
      <c r="O3425" s="265"/>
      <c r="P3425" s="265"/>
      <c r="Q3425" s="265"/>
      <c r="BR3425" s="265"/>
      <c r="BS3425" s="265"/>
      <c r="BT3425" s="265"/>
      <c r="BU3425" s="265"/>
      <c r="BV3425" s="265"/>
    </row>
    <row r="3426" spans="12:74">
      <c r="L3426" s="265"/>
      <c r="M3426" s="265"/>
      <c r="N3426" s="265"/>
      <c r="O3426" s="265"/>
      <c r="P3426" s="265"/>
      <c r="Q3426" s="265"/>
      <c r="BR3426" s="265"/>
      <c r="BS3426" s="265"/>
      <c r="BT3426" s="265"/>
      <c r="BU3426" s="265"/>
      <c r="BV3426" s="265"/>
    </row>
    <row r="3427" spans="12:74">
      <c r="L3427" s="265"/>
      <c r="M3427" s="265"/>
      <c r="N3427" s="265"/>
      <c r="O3427" s="265"/>
      <c r="P3427" s="265"/>
      <c r="Q3427" s="265"/>
      <c r="BR3427" s="265"/>
      <c r="BS3427" s="265"/>
      <c r="BT3427" s="265"/>
      <c r="BU3427" s="265"/>
      <c r="BV3427" s="265"/>
    </row>
    <row r="3428" spans="12:74">
      <c r="L3428" s="265"/>
      <c r="M3428" s="265"/>
      <c r="N3428" s="265"/>
      <c r="O3428" s="265"/>
      <c r="P3428" s="265"/>
      <c r="Q3428" s="265"/>
      <c r="BR3428" s="265"/>
      <c r="BS3428" s="265"/>
      <c r="BT3428" s="265"/>
      <c r="BU3428" s="265"/>
      <c r="BV3428" s="265"/>
    </row>
    <row r="3429" spans="12:74">
      <c r="L3429" s="265"/>
      <c r="M3429" s="265"/>
      <c r="N3429" s="265"/>
      <c r="O3429" s="265"/>
      <c r="P3429" s="265"/>
      <c r="Q3429" s="265"/>
      <c r="BR3429" s="265"/>
      <c r="BS3429" s="265"/>
      <c r="BT3429" s="265"/>
      <c r="BU3429" s="265"/>
      <c r="BV3429" s="265"/>
    </row>
    <row r="3430" spans="12:74">
      <c r="L3430" s="265"/>
      <c r="M3430" s="265"/>
      <c r="N3430" s="265"/>
      <c r="O3430" s="265"/>
      <c r="P3430" s="265"/>
      <c r="Q3430" s="265"/>
      <c r="BR3430" s="265"/>
      <c r="BS3430" s="265"/>
      <c r="BT3430" s="265"/>
      <c r="BU3430" s="265"/>
      <c r="BV3430" s="265"/>
    </row>
    <row r="3431" spans="12:74">
      <c r="L3431" s="265"/>
      <c r="M3431" s="265"/>
      <c r="N3431" s="265"/>
      <c r="O3431" s="265"/>
      <c r="P3431" s="265"/>
      <c r="Q3431" s="265"/>
      <c r="BR3431" s="265"/>
      <c r="BS3431" s="265"/>
      <c r="BT3431" s="265"/>
      <c r="BU3431" s="265"/>
      <c r="BV3431" s="265"/>
    </row>
    <row r="3432" spans="12:74">
      <c r="L3432" s="265"/>
      <c r="M3432" s="265"/>
      <c r="N3432" s="265"/>
      <c r="O3432" s="265"/>
      <c r="P3432" s="265"/>
      <c r="Q3432" s="265"/>
      <c r="BR3432" s="265"/>
      <c r="BS3432" s="265"/>
      <c r="BT3432" s="265"/>
      <c r="BU3432" s="265"/>
      <c r="BV3432" s="265"/>
    </row>
    <row r="3433" spans="12:74">
      <c r="L3433" s="265"/>
      <c r="M3433" s="265"/>
      <c r="N3433" s="265"/>
      <c r="O3433" s="265"/>
      <c r="P3433" s="265"/>
      <c r="Q3433" s="265"/>
      <c r="BR3433" s="265"/>
      <c r="BS3433" s="265"/>
      <c r="BT3433" s="265"/>
      <c r="BU3433" s="265"/>
      <c r="BV3433" s="265"/>
    </row>
    <row r="3434" spans="12:74">
      <c r="L3434" s="265"/>
      <c r="M3434" s="265"/>
      <c r="N3434" s="265"/>
      <c r="O3434" s="265"/>
      <c r="P3434" s="265"/>
      <c r="Q3434" s="265"/>
      <c r="BR3434" s="265"/>
      <c r="BS3434" s="265"/>
      <c r="BT3434" s="265"/>
      <c r="BU3434" s="265"/>
      <c r="BV3434" s="265"/>
    </row>
    <row r="3435" spans="12:74">
      <c r="L3435" s="265"/>
      <c r="M3435" s="265"/>
      <c r="N3435" s="265"/>
      <c r="O3435" s="265"/>
      <c r="P3435" s="265"/>
      <c r="Q3435" s="265"/>
      <c r="BR3435" s="265"/>
      <c r="BS3435" s="265"/>
      <c r="BT3435" s="265"/>
      <c r="BU3435" s="265"/>
      <c r="BV3435" s="265"/>
    </row>
    <row r="3436" spans="12:74">
      <c r="L3436" s="265"/>
      <c r="M3436" s="265"/>
      <c r="N3436" s="265"/>
      <c r="O3436" s="265"/>
      <c r="P3436" s="265"/>
      <c r="Q3436" s="265"/>
      <c r="BR3436" s="265"/>
      <c r="BS3436" s="265"/>
      <c r="BT3436" s="265"/>
      <c r="BU3436" s="265"/>
      <c r="BV3436" s="265"/>
    </row>
    <row r="3437" spans="12:74">
      <c r="L3437" s="265"/>
      <c r="M3437" s="265"/>
      <c r="N3437" s="265"/>
      <c r="O3437" s="265"/>
      <c r="P3437" s="265"/>
      <c r="Q3437" s="265"/>
      <c r="BR3437" s="265"/>
      <c r="BS3437" s="265"/>
      <c r="BT3437" s="265"/>
      <c r="BU3437" s="265"/>
      <c r="BV3437" s="265"/>
    </row>
    <row r="3438" spans="12:74">
      <c r="L3438" s="265"/>
      <c r="M3438" s="265"/>
      <c r="N3438" s="265"/>
      <c r="O3438" s="265"/>
      <c r="P3438" s="265"/>
      <c r="Q3438" s="265"/>
      <c r="BR3438" s="265"/>
      <c r="BS3438" s="265"/>
      <c r="BT3438" s="265"/>
      <c r="BU3438" s="265"/>
      <c r="BV3438" s="265"/>
    </row>
    <row r="3439" spans="12:74">
      <c r="L3439" s="265"/>
      <c r="M3439" s="265"/>
      <c r="N3439" s="265"/>
      <c r="O3439" s="265"/>
      <c r="P3439" s="265"/>
      <c r="Q3439" s="265"/>
      <c r="BR3439" s="265"/>
      <c r="BS3439" s="265"/>
      <c r="BT3439" s="265"/>
      <c r="BU3439" s="265"/>
      <c r="BV3439" s="265"/>
    </row>
    <row r="3440" spans="12:74">
      <c r="L3440" s="265"/>
      <c r="M3440" s="265"/>
      <c r="N3440" s="265"/>
      <c r="O3440" s="265"/>
      <c r="P3440" s="265"/>
      <c r="Q3440" s="265"/>
      <c r="BR3440" s="265"/>
      <c r="BS3440" s="265"/>
      <c r="BT3440" s="265"/>
      <c r="BU3440" s="265"/>
      <c r="BV3440" s="265"/>
    </row>
    <row r="3441" spans="12:74">
      <c r="L3441" s="265"/>
      <c r="M3441" s="265"/>
      <c r="N3441" s="265"/>
      <c r="O3441" s="265"/>
      <c r="P3441" s="265"/>
      <c r="Q3441" s="265"/>
      <c r="BR3441" s="265"/>
      <c r="BS3441" s="265"/>
      <c r="BT3441" s="265"/>
      <c r="BU3441" s="265"/>
      <c r="BV3441" s="265"/>
    </row>
    <row r="3442" spans="12:74">
      <c r="L3442" s="265"/>
      <c r="M3442" s="265"/>
      <c r="N3442" s="265"/>
      <c r="O3442" s="265"/>
      <c r="P3442" s="265"/>
      <c r="Q3442" s="265"/>
      <c r="BR3442" s="265"/>
      <c r="BS3442" s="265"/>
      <c r="BT3442" s="265"/>
      <c r="BU3442" s="265"/>
      <c r="BV3442" s="265"/>
    </row>
    <row r="3443" spans="12:74">
      <c r="L3443" s="265"/>
      <c r="M3443" s="265"/>
      <c r="N3443" s="265"/>
      <c r="O3443" s="265"/>
      <c r="P3443" s="265"/>
      <c r="Q3443" s="265"/>
      <c r="BR3443" s="265"/>
      <c r="BS3443" s="265"/>
      <c r="BT3443" s="265"/>
      <c r="BU3443" s="265"/>
      <c r="BV3443" s="265"/>
    </row>
    <row r="3444" spans="12:74">
      <c r="L3444" s="265"/>
      <c r="M3444" s="265"/>
      <c r="N3444" s="265"/>
      <c r="O3444" s="265"/>
      <c r="P3444" s="265"/>
      <c r="Q3444" s="265"/>
      <c r="BR3444" s="265"/>
      <c r="BS3444" s="265"/>
      <c r="BT3444" s="265"/>
      <c r="BU3444" s="265"/>
      <c r="BV3444" s="265"/>
    </row>
    <row r="3445" spans="12:74">
      <c r="L3445" s="265"/>
      <c r="M3445" s="265"/>
      <c r="N3445" s="265"/>
      <c r="O3445" s="265"/>
      <c r="P3445" s="265"/>
      <c r="Q3445" s="265"/>
      <c r="BR3445" s="265"/>
      <c r="BS3445" s="265"/>
      <c r="BT3445" s="265"/>
      <c r="BU3445" s="265"/>
      <c r="BV3445" s="265"/>
    </row>
    <row r="3446" spans="12:74">
      <c r="L3446" s="265"/>
      <c r="M3446" s="265"/>
      <c r="N3446" s="265"/>
      <c r="O3446" s="265"/>
      <c r="P3446" s="265"/>
      <c r="Q3446" s="265"/>
      <c r="BR3446" s="265"/>
      <c r="BS3446" s="265"/>
      <c r="BT3446" s="265"/>
      <c r="BU3446" s="265"/>
      <c r="BV3446" s="265"/>
    </row>
    <row r="3447" spans="12:74">
      <c r="L3447" s="265"/>
      <c r="M3447" s="265"/>
      <c r="N3447" s="265"/>
      <c r="O3447" s="265"/>
      <c r="P3447" s="265"/>
      <c r="Q3447" s="265"/>
      <c r="BR3447" s="265"/>
      <c r="BS3447" s="265"/>
      <c r="BT3447" s="265"/>
      <c r="BU3447" s="265"/>
      <c r="BV3447" s="265"/>
    </row>
    <row r="3448" spans="12:74">
      <c r="L3448" s="265"/>
      <c r="M3448" s="265"/>
      <c r="N3448" s="265"/>
      <c r="O3448" s="265"/>
      <c r="P3448" s="265"/>
      <c r="Q3448" s="265"/>
      <c r="BR3448" s="265"/>
      <c r="BS3448" s="265"/>
      <c r="BT3448" s="265"/>
      <c r="BU3448" s="265"/>
      <c r="BV3448" s="265"/>
    </row>
    <row r="3449" spans="12:74">
      <c r="L3449" s="265"/>
      <c r="M3449" s="265"/>
      <c r="N3449" s="265"/>
      <c r="O3449" s="265"/>
      <c r="P3449" s="265"/>
      <c r="Q3449" s="265"/>
      <c r="BR3449" s="265"/>
      <c r="BS3449" s="265"/>
      <c r="BT3449" s="265"/>
      <c r="BU3449" s="265"/>
      <c r="BV3449" s="265"/>
    </row>
    <row r="3450" spans="12:74">
      <c r="L3450" s="265"/>
      <c r="M3450" s="265"/>
      <c r="N3450" s="265"/>
      <c r="O3450" s="265"/>
      <c r="P3450" s="265"/>
      <c r="Q3450" s="265"/>
      <c r="BR3450" s="265"/>
      <c r="BS3450" s="265"/>
      <c r="BT3450" s="265"/>
      <c r="BU3450" s="265"/>
      <c r="BV3450" s="265"/>
    </row>
    <row r="3451" spans="12:74">
      <c r="L3451" s="265"/>
      <c r="M3451" s="265"/>
      <c r="N3451" s="265"/>
      <c r="O3451" s="265"/>
      <c r="P3451" s="265"/>
      <c r="Q3451" s="265"/>
      <c r="BR3451" s="265"/>
      <c r="BS3451" s="265"/>
      <c r="BT3451" s="265"/>
      <c r="BU3451" s="265"/>
      <c r="BV3451" s="265"/>
    </row>
    <row r="3452" spans="12:74">
      <c r="L3452" s="265"/>
      <c r="M3452" s="265"/>
      <c r="N3452" s="265"/>
      <c r="O3452" s="265"/>
      <c r="P3452" s="265"/>
      <c r="Q3452" s="265"/>
      <c r="BR3452" s="265"/>
      <c r="BS3452" s="265"/>
      <c r="BT3452" s="265"/>
      <c r="BU3452" s="265"/>
      <c r="BV3452" s="265"/>
    </row>
    <row r="3453" spans="12:74">
      <c r="L3453" s="265"/>
      <c r="M3453" s="265"/>
      <c r="N3453" s="265"/>
      <c r="O3453" s="265"/>
      <c r="P3453" s="265"/>
      <c r="Q3453" s="265"/>
      <c r="BR3453" s="265"/>
      <c r="BS3453" s="265"/>
      <c r="BT3453" s="265"/>
      <c r="BU3453" s="265"/>
      <c r="BV3453" s="265"/>
    </row>
    <row r="3454" spans="12:74">
      <c r="L3454" s="265"/>
      <c r="M3454" s="265"/>
      <c r="N3454" s="265"/>
      <c r="O3454" s="265"/>
      <c r="P3454" s="265"/>
      <c r="Q3454" s="265"/>
      <c r="BR3454" s="265"/>
      <c r="BS3454" s="265"/>
      <c r="BT3454" s="265"/>
      <c r="BU3454" s="265"/>
      <c r="BV3454" s="265"/>
    </row>
    <row r="3455" spans="12:74">
      <c r="L3455" s="265"/>
      <c r="M3455" s="265"/>
      <c r="N3455" s="265"/>
      <c r="O3455" s="265"/>
      <c r="P3455" s="265"/>
      <c r="Q3455" s="265"/>
      <c r="BR3455" s="265"/>
      <c r="BS3455" s="265"/>
      <c r="BT3455" s="265"/>
      <c r="BU3455" s="265"/>
      <c r="BV3455" s="265"/>
    </row>
    <row r="3456" spans="12:74">
      <c r="L3456" s="265"/>
      <c r="M3456" s="265"/>
      <c r="N3456" s="265"/>
      <c r="O3456" s="265"/>
      <c r="P3456" s="265"/>
      <c r="Q3456" s="265"/>
      <c r="BR3456" s="265"/>
      <c r="BS3456" s="265"/>
      <c r="BT3456" s="265"/>
      <c r="BU3456" s="265"/>
      <c r="BV3456" s="265"/>
    </row>
    <row r="3457" spans="12:74">
      <c r="L3457" s="265"/>
      <c r="M3457" s="265"/>
      <c r="N3457" s="265"/>
      <c r="O3457" s="265"/>
      <c r="P3457" s="265"/>
      <c r="Q3457" s="265"/>
      <c r="BR3457" s="265"/>
      <c r="BS3457" s="265"/>
      <c r="BT3457" s="265"/>
      <c r="BU3457" s="265"/>
      <c r="BV3457" s="265"/>
    </row>
    <row r="3458" spans="12:74">
      <c r="L3458" s="265"/>
      <c r="M3458" s="265"/>
      <c r="N3458" s="265"/>
      <c r="O3458" s="265"/>
      <c r="P3458" s="265"/>
      <c r="Q3458" s="265"/>
      <c r="BR3458" s="265"/>
      <c r="BS3458" s="265"/>
      <c r="BT3458" s="265"/>
      <c r="BU3458" s="265"/>
      <c r="BV3458" s="265"/>
    </row>
    <row r="3459" spans="12:74">
      <c r="L3459" s="265"/>
      <c r="M3459" s="265"/>
      <c r="N3459" s="265"/>
      <c r="O3459" s="265"/>
      <c r="P3459" s="265"/>
      <c r="Q3459" s="265"/>
      <c r="BR3459" s="265"/>
      <c r="BS3459" s="265"/>
      <c r="BT3459" s="265"/>
      <c r="BU3459" s="265"/>
      <c r="BV3459" s="265"/>
    </row>
    <row r="3460" spans="12:74">
      <c r="L3460" s="265"/>
      <c r="M3460" s="265"/>
      <c r="N3460" s="265"/>
      <c r="O3460" s="265"/>
      <c r="P3460" s="265"/>
      <c r="Q3460" s="265"/>
      <c r="BR3460" s="265"/>
      <c r="BS3460" s="265"/>
      <c r="BT3460" s="265"/>
      <c r="BU3460" s="265"/>
      <c r="BV3460" s="265"/>
    </row>
    <row r="3461" spans="12:74">
      <c r="L3461" s="265"/>
      <c r="M3461" s="265"/>
      <c r="N3461" s="265"/>
      <c r="O3461" s="265"/>
      <c r="P3461" s="265"/>
      <c r="Q3461" s="265"/>
      <c r="BR3461" s="265"/>
      <c r="BS3461" s="265"/>
      <c r="BT3461" s="265"/>
      <c r="BU3461" s="265"/>
      <c r="BV3461" s="265"/>
    </row>
    <row r="3462" spans="12:74">
      <c r="L3462" s="265"/>
      <c r="M3462" s="265"/>
      <c r="N3462" s="265"/>
      <c r="O3462" s="265"/>
      <c r="P3462" s="265"/>
      <c r="Q3462" s="265"/>
      <c r="BR3462" s="265"/>
      <c r="BS3462" s="265"/>
      <c r="BT3462" s="265"/>
      <c r="BU3462" s="265"/>
      <c r="BV3462" s="265"/>
    </row>
    <row r="3463" spans="12:74">
      <c r="L3463" s="265"/>
      <c r="M3463" s="265"/>
      <c r="N3463" s="265"/>
      <c r="O3463" s="265"/>
      <c r="P3463" s="265"/>
      <c r="Q3463" s="265"/>
      <c r="BR3463" s="265"/>
      <c r="BS3463" s="265"/>
      <c r="BT3463" s="265"/>
      <c r="BU3463" s="265"/>
      <c r="BV3463" s="265"/>
    </row>
    <row r="3464" spans="12:74">
      <c r="L3464" s="265"/>
      <c r="M3464" s="265"/>
      <c r="N3464" s="265"/>
      <c r="O3464" s="265"/>
      <c r="P3464" s="265"/>
      <c r="Q3464" s="265"/>
      <c r="BR3464" s="265"/>
      <c r="BS3464" s="265"/>
      <c r="BT3464" s="265"/>
      <c r="BU3464" s="265"/>
      <c r="BV3464" s="265"/>
    </row>
    <row r="3465" spans="12:74">
      <c r="L3465" s="265"/>
      <c r="M3465" s="265"/>
      <c r="N3465" s="265"/>
      <c r="O3465" s="265"/>
      <c r="P3465" s="265"/>
      <c r="Q3465" s="265"/>
      <c r="BR3465" s="265"/>
      <c r="BS3465" s="265"/>
      <c r="BT3465" s="265"/>
      <c r="BU3465" s="265"/>
      <c r="BV3465" s="265"/>
    </row>
    <row r="3466" spans="12:74">
      <c r="L3466" s="265"/>
      <c r="M3466" s="265"/>
      <c r="N3466" s="265"/>
      <c r="O3466" s="265"/>
      <c r="P3466" s="265"/>
      <c r="Q3466" s="265"/>
      <c r="BR3466" s="265"/>
      <c r="BS3466" s="265"/>
      <c r="BT3466" s="265"/>
      <c r="BU3466" s="265"/>
      <c r="BV3466" s="265"/>
    </row>
    <row r="3467" spans="12:74">
      <c r="L3467" s="265"/>
      <c r="M3467" s="265"/>
      <c r="N3467" s="265"/>
      <c r="O3467" s="265"/>
      <c r="P3467" s="265"/>
      <c r="Q3467" s="265"/>
      <c r="BR3467" s="265"/>
      <c r="BS3467" s="265"/>
      <c r="BT3467" s="265"/>
      <c r="BU3467" s="265"/>
      <c r="BV3467" s="265"/>
    </row>
    <row r="3468" spans="12:74">
      <c r="L3468" s="265"/>
      <c r="M3468" s="265"/>
      <c r="N3468" s="265"/>
      <c r="O3468" s="265"/>
      <c r="P3468" s="265"/>
      <c r="Q3468" s="265"/>
      <c r="BR3468" s="265"/>
      <c r="BS3468" s="265"/>
      <c r="BT3468" s="265"/>
      <c r="BU3468" s="265"/>
      <c r="BV3468" s="265"/>
    </row>
    <row r="3469" spans="12:74">
      <c r="L3469" s="265"/>
      <c r="M3469" s="265"/>
      <c r="N3469" s="265"/>
      <c r="O3469" s="265"/>
      <c r="P3469" s="265"/>
      <c r="Q3469" s="265"/>
      <c r="BR3469" s="265"/>
      <c r="BS3469" s="265"/>
      <c r="BT3469" s="265"/>
      <c r="BU3469" s="265"/>
      <c r="BV3469" s="265"/>
    </row>
    <row r="3470" spans="12:74">
      <c r="L3470" s="265"/>
      <c r="M3470" s="265"/>
      <c r="N3470" s="265"/>
      <c r="O3470" s="265"/>
      <c r="P3470" s="265"/>
      <c r="Q3470" s="265"/>
      <c r="BR3470" s="265"/>
      <c r="BS3470" s="265"/>
      <c r="BT3470" s="265"/>
      <c r="BU3470" s="265"/>
      <c r="BV3470" s="265"/>
    </row>
    <row r="3471" spans="12:74">
      <c r="L3471" s="265"/>
      <c r="M3471" s="265"/>
      <c r="N3471" s="265"/>
      <c r="O3471" s="265"/>
      <c r="P3471" s="265"/>
      <c r="Q3471" s="265"/>
      <c r="BR3471" s="265"/>
      <c r="BS3471" s="265"/>
      <c r="BT3471" s="265"/>
      <c r="BU3471" s="265"/>
      <c r="BV3471" s="265"/>
    </row>
    <row r="3472" spans="12:74">
      <c r="L3472" s="265"/>
      <c r="M3472" s="265"/>
      <c r="N3472" s="265"/>
      <c r="O3472" s="265"/>
      <c r="P3472" s="265"/>
      <c r="Q3472" s="265"/>
      <c r="BR3472" s="265"/>
      <c r="BS3472" s="265"/>
      <c r="BT3472" s="265"/>
      <c r="BU3472" s="265"/>
      <c r="BV3472" s="265"/>
    </row>
    <row r="3473" spans="12:74">
      <c r="L3473" s="265"/>
      <c r="M3473" s="265"/>
      <c r="N3473" s="265"/>
      <c r="O3473" s="265"/>
      <c r="P3473" s="265"/>
      <c r="Q3473" s="265"/>
      <c r="BR3473" s="265"/>
      <c r="BS3473" s="265"/>
      <c r="BT3473" s="265"/>
      <c r="BU3473" s="265"/>
      <c r="BV3473" s="265"/>
    </row>
    <row r="3474" spans="12:74">
      <c r="L3474" s="265"/>
      <c r="M3474" s="265"/>
      <c r="N3474" s="265"/>
      <c r="O3474" s="265"/>
      <c r="P3474" s="265"/>
      <c r="Q3474" s="265"/>
      <c r="BR3474" s="265"/>
      <c r="BS3474" s="265"/>
      <c r="BT3474" s="265"/>
      <c r="BU3474" s="265"/>
      <c r="BV3474" s="265"/>
    </row>
    <row r="3475" spans="12:74">
      <c r="L3475" s="265"/>
      <c r="M3475" s="265"/>
      <c r="N3475" s="265"/>
      <c r="O3475" s="265"/>
      <c r="P3475" s="265"/>
      <c r="Q3475" s="265"/>
      <c r="BR3475" s="265"/>
      <c r="BS3475" s="265"/>
      <c r="BT3475" s="265"/>
      <c r="BU3475" s="265"/>
      <c r="BV3475" s="265"/>
    </row>
    <row r="3476" spans="12:74">
      <c r="L3476" s="265"/>
      <c r="M3476" s="265"/>
      <c r="N3476" s="265"/>
      <c r="O3476" s="265"/>
      <c r="P3476" s="265"/>
      <c r="Q3476" s="265"/>
      <c r="BR3476" s="265"/>
      <c r="BS3476" s="265"/>
      <c r="BT3476" s="265"/>
      <c r="BU3476" s="265"/>
      <c r="BV3476" s="265"/>
    </row>
    <row r="3477" spans="12:74">
      <c r="L3477" s="265"/>
      <c r="M3477" s="265"/>
      <c r="N3477" s="265"/>
      <c r="O3477" s="265"/>
      <c r="P3477" s="265"/>
      <c r="Q3477" s="265"/>
      <c r="BR3477" s="265"/>
      <c r="BS3477" s="265"/>
      <c r="BT3477" s="265"/>
      <c r="BU3477" s="265"/>
      <c r="BV3477" s="265"/>
    </row>
    <row r="3478" spans="12:74">
      <c r="L3478" s="265"/>
      <c r="M3478" s="265"/>
      <c r="N3478" s="265"/>
      <c r="O3478" s="265"/>
      <c r="P3478" s="265"/>
      <c r="Q3478" s="265"/>
      <c r="BR3478" s="265"/>
      <c r="BS3478" s="265"/>
      <c r="BT3478" s="265"/>
      <c r="BU3478" s="265"/>
      <c r="BV3478" s="265"/>
    </row>
    <row r="3479" spans="12:74">
      <c r="L3479" s="265"/>
      <c r="M3479" s="265"/>
      <c r="N3479" s="265"/>
      <c r="O3479" s="265"/>
      <c r="P3479" s="265"/>
      <c r="Q3479" s="265"/>
      <c r="BR3479" s="265"/>
      <c r="BS3479" s="265"/>
      <c r="BT3479" s="265"/>
      <c r="BU3479" s="265"/>
      <c r="BV3479" s="265"/>
    </row>
    <row r="3480" spans="12:74">
      <c r="L3480" s="265"/>
      <c r="M3480" s="265"/>
      <c r="N3480" s="265"/>
      <c r="O3480" s="265"/>
      <c r="P3480" s="265"/>
      <c r="Q3480" s="265"/>
      <c r="BR3480" s="265"/>
      <c r="BS3480" s="265"/>
      <c r="BT3480" s="265"/>
      <c r="BU3480" s="265"/>
      <c r="BV3480" s="265"/>
    </row>
    <row r="3481" spans="12:74">
      <c r="L3481" s="265"/>
      <c r="M3481" s="265"/>
      <c r="N3481" s="265"/>
      <c r="O3481" s="265"/>
      <c r="P3481" s="265"/>
      <c r="Q3481" s="265"/>
      <c r="BR3481" s="265"/>
      <c r="BS3481" s="265"/>
      <c r="BT3481" s="265"/>
      <c r="BU3481" s="265"/>
      <c r="BV3481" s="265"/>
    </row>
    <row r="3482" spans="12:74">
      <c r="L3482" s="265"/>
      <c r="M3482" s="265"/>
      <c r="N3482" s="265"/>
      <c r="O3482" s="265"/>
      <c r="P3482" s="265"/>
      <c r="Q3482" s="265"/>
      <c r="BR3482" s="265"/>
      <c r="BS3482" s="265"/>
      <c r="BT3482" s="265"/>
      <c r="BU3482" s="265"/>
      <c r="BV3482" s="265"/>
    </row>
    <row r="3483" spans="12:74">
      <c r="L3483" s="265"/>
      <c r="M3483" s="265"/>
      <c r="N3483" s="265"/>
      <c r="O3483" s="265"/>
      <c r="P3483" s="265"/>
      <c r="Q3483" s="265"/>
      <c r="BR3483" s="265"/>
      <c r="BS3483" s="265"/>
      <c r="BT3483" s="265"/>
      <c r="BU3483" s="265"/>
      <c r="BV3483" s="265"/>
    </row>
    <row r="3484" spans="12:74">
      <c r="L3484" s="265"/>
      <c r="M3484" s="265"/>
      <c r="N3484" s="265"/>
      <c r="O3484" s="265"/>
      <c r="P3484" s="265"/>
      <c r="Q3484" s="265"/>
      <c r="BR3484" s="265"/>
      <c r="BS3484" s="265"/>
      <c r="BT3484" s="265"/>
      <c r="BU3484" s="265"/>
      <c r="BV3484" s="265"/>
    </row>
    <row r="3485" spans="12:74">
      <c r="L3485" s="265"/>
      <c r="M3485" s="265"/>
      <c r="N3485" s="265"/>
      <c r="O3485" s="265"/>
      <c r="P3485" s="265"/>
      <c r="Q3485" s="265"/>
      <c r="BR3485" s="265"/>
      <c r="BS3485" s="265"/>
      <c r="BT3485" s="265"/>
      <c r="BU3485" s="265"/>
      <c r="BV3485" s="265"/>
    </row>
    <row r="3486" spans="12:74">
      <c r="L3486" s="265"/>
      <c r="M3486" s="265"/>
      <c r="N3486" s="265"/>
      <c r="O3486" s="265"/>
      <c r="P3486" s="265"/>
      <c r="Q3486" s="265"/>
      <c r="BR3486" s="265"/>
      <c r="BS3486" s="265"/>
      <c r="BT3486" s="265"/>
      <c r="BU3486" s="265"/>
      <c r="BV3486" s="265"/>
    </row>
    <row r="3487" spans="12:74">
      <c r="L3487" s="265"/>
      <c r="M3487" s="265"/>
      <c r="N3487" s="265"/>
      <c r="O3487" s="265"/>
      <c r="P3487" s="265"/>
      <c r="Q3487" s="265"/>
      <c r="BR3487" s="265"/>
      <c r="BS3487" s="265"/>
      <c r="BT3487" s="265"/>
      <c r="BU3487" s="265"/>
      <c r="BV3487" s="265"/>
    </row>
    <row r="3488" spans="12:74">
      <c r="L3488" s="265"/>
      <c r="M3488" s="265"/>
      <c r="N3488" s="265"/>
      <c r="O3488" s="265"/>
      <c r="P3488" s="265"/>
      <c r="Q3488" s="265"/>
      <c r="BR3488" s="265"/>
      <c r="BS3488" s="265"/>
      <c r="BT3488" s="265"/>
      <c r="BU3488" s="265"/>
      <c r="BV3488" s="265"/>
    </row>
    <row r="3489" spans="12:74">
      <c r="L3489" s="265"/>
      <c r="M3489" s="265"/>
      <c r="N3489" s="265"/>
      <c r="O3489" s="265"/>
      <c r="P3489" s="265"/>
      <c r="Q3489" s="265"/>
      <c r="BR3489" s="265"/>
      <c r="BS3489" s="265"/>
      <c r="BT3489" s="265"/>
      <c r="BU3489" s="265"/>
      <c r="BV3489" s="265"/>
    </row>
    <row r="3490" spans="12:74">
      <c r="L3490" s="265"/>
      <c r="M3490" s="265"/>
      <c r="N3490" s="265"/>
      <c r="O3490" s="265"/>
      <c r="P3490" s="265"/>
      <c r="Q3490" s="265"/>
      <c r="BR3490" s="265"/>
      <c r="BS3490" s="265"/>
      <c r="BT3490" s="265"/>
      <c r="BU3490" s="265"/>
      <c r="BV3490" s="265"/>
    </row>
    <row r="3491" spans="12:74">
      <c r="L3491" s="265"/>
      <c r="M3491" s="265"/>
      <c r="N3491" s="265"/>
      <c r="O3491" s="265"/>
      <c r="P3491" s="265"/>
      <c r="Q3491" s="265"/>
      <c r="BR3491" s="265"/>
      <c r="BS3491" s="265"/>
      <c r="BT3491" s="265"/>
      <c r="BU3491" s="265"/>
      <c r="BV3491" s="265"/>
    </row>
    <row r="3492" spans="12:74">
      <c r="L3492" s="265"/>
      <c r="M3492" s="265"/>
      <c r="N3492" s="265"/>
      <c r="O3492" s="265"/>
      <c r="P3492" s="265"/>
      <c r="Q3492" s="265"/>
      <c r="BR3492" s="265"/>
      <c r="BS3492" s="265"/>
      <c r="BT3492" s="265"/>
      <c r="BU3492" s="265"/>
      <c r="BV3492" s="265"/>
    </row>
    <row r="3493" spans="12:74">
      <c r="L3493" s="265"/>
      <c r="M3493" s="265"/>
      <c r="N3493" s="265"/>
      <c r="O3493" s="265"/>
      <c r="P3493" s="265"/>
      <c r="Q3493" s="265"/>
      <c r="BR3493" s="265"/>
      <c r="BS3493" s="265"/>
      <c r="BT3493" s="265"/>
      <c r="BU3493" s="265"/>
      <c r="BV3493" s="265"/>
    </row>
    <row r="3494" spans="12:74">
      <c r="L3494" s="265"/>
      <c r="M3494" s="265"/>
      <c r="N3494" s="265"/>
      <c r="O3494" s="265"/>
      <c r="P3494" s="265"/>
      <c r="Q3494" s="265"/>
      <c r="BR3494" s="265"/>
      <c r="BS3494" s="265"/>
      <c r="BT3494" s="265"/>
      <c r="BU3494" s="265"/>
      <c r="BV3494" s="265"/>
    </row>
    <row r="3495" spans="12:74">
      <c r="L3495" s="265"/>
      <c r="M3495" s="265"/>
      <c r="N3495" s="265"/>
      <c r="O3495" s="265"/>
      <c r="P3495" s="265"/>
      <c r="Q3495" s="265"/>
      <c r="BR3495" s="265"/>
      <c r="BS3495" s="265"/>
      <c r="BT3495" s="265"/>
      <c r="BU3495" s="265"/>
      <c r="BV3495" s="265"/>
    </row>
    <row r="3496" spans="12:74">
      <c r="L3496" s="265"/>
      <c r="M3496" s="265"/>
      <c r="N3496" s="265"/>
      <c r="O3496" s="265"/>
      <c r="P3496" s="265"/>
      <c r="Q3496" s="265"/>
      <c r="BR3496" s="265"/>
      <c r="BS3496" s="265"/>
      <c r="BT3496" s="265"/>
      <c r="BU3496" s="265"/>
      <c r="BV3496" s="265"/>
    </row>
    <row r="3497" spans="12:74">
      <c r="L3497" s="265"/>
      <c r="M3497" s="265"/>
      <c r="N3497" s="265"/>
      <c r="O3497" s="265"/>
      <c r="P3497" s="265"/>
      <c r="Q3497" s="265"/>
      <c r="BR3497" s="265"/>
      <c r="BS3497" s="265"/>
      <c r="BT3497" s="265"/>
      <c r="BU3497" s="265"/>
      <c r="BV3497" s="265"/>
    </row>
    <row r="3498" spans="12:74">
      <c r="L3498" s="265"/>
      <c r="M3498" s="265"/>
      <c r="N3498" s="265"/>
      <c r="O3498" s="265"/>
      <c r="P3498" s="265"/>
      <c r="Q3498" s="265"/>
      <c r="BR3498" s="265"/>
      <c r="BS3498" s="265"/>
      <c r="BT3498" s="265"/>
      <c r="BU3498" s="265"/>
      <c r="BV3498" s="265"/>
    </row>
    <row r="3499" spans="12:74">
      <c r="L3499" s="265"/>
      <c r="M3499" s="265"/>
      <c r="N3499" s="265"/>
      <c r="O3499" s="265"/>
      <c r="P3499" s="265"/>
      <c r="Q3499" s="265"/>
      <c r="BR3499" s="265"/>
      <c r="BS3499" s="265"/>
      <c r="BT3499" s="265"/>
      <c r="BU3499" s="265"/>
      <c r="BV3499" s="265"/>
    </row>
    <row r="3500" spans="12:74">
      <c r="L3500" s="265"/>
      <c r="M3500" s="265"/>
      <c r="N3500" s="265"/>
      <c r="O3500" s="265"/>
      <c r="P3500" s="265"/>
      <c r="Q3500" s="265"/>
      <c r="BR3500" s="265"/>
      <c r="BS3500" s="265"/>
      <c r="BT3500" s="265"/>
      <c r="BU3500" s="265"/>
      <c r="BV3500" s="265"/>
    </row>
    <row r="3501" spans="12:74">
      <c r="L3501" s="265"/>
      <c r="M3501" s="265"/>
      <c r="N3501" s="265"/>
      <c r="O3501" s="265"/>
      <c r="P3501" s="265"/>
      <c r="Q3501" s="265"/>
      <c r="BR3501" s="265"/>
      <c r="BS3501" s="265"/>
      <c r="BT3501" s="265"/>
      <c r="BU3501" s="265"/>
      <c r="BV3501" s="265"/>
    </row>
    <row r="3502" spans="12:74">
      <c r="L3502" s="265"/>
      <c r="M3502" s="265"/>
      <c r="N3502" s="265"/>
      <c r="O3502" s="265"/>
      <c r="P3502" s="265"/>
      <c r="Q3502" s="265"/>
      <c r="BR3502" s="265"/>
      <c r="BS3502" s="265"/>
      <c r="BT3502" s="265"/>
      <c r="BU3502" s="265"/>
      <c r="BV3502" s="265"/>
    </row>
    <row r="3503" spans="12:74">
      <c r="L3503" s="265"/>
      <c r="M3503" s="265"/>
      <c r="N3503" s="265"/>
      <c r="O3503" s="265"/>
      <c r="P3503" s="265"/>
      <c r="Q3503" s="265"/>
      <c r="BR3503" s="265"/>
      <c r="BS3503" s="265"/>
      <c r="BT3503" s="265"/>
      <c r="BU3503" s="265"/>
      <c r="BV3503" s="265"/>
    </row>
    <row r="3504" spans="12:74">
      <c r="L3504" s="265"/>
      <c r="M3504" s="265"/>
      <c r="N3504" s="265"/>
      <c r="O3504" s="265"/>
      <c r="P3504" s="265"/>
      <c r="Q3504" s="265"/>
      <c r="BR3504" s="265"/>
      <c r="BS3504" s="265"/>
      <c r="BT3504" s="265"/>
      <c r="BU3504" s="265"/>
      <c r="BV3504" s="265"/>
    </row>
    <row r="3505" spans="12:74">
      <c r="L3505" s="265"/>
      <c r="M3505" s="265"/>
      <c r="N3505" s="265"/>
      <c r="O3505" s="265"/>
      <c r="P3505" s="265"/>
      <c r="Q3505" s="265"/>
      <c r="BR3505" s="265"/>
      <c r="BS3505" s="265"/>
      <c r="BT3505" s="265"/>
      <c r="BU3505" s="265"/>
      <c r="BV3505" s="265"/>
    </row>
    <row r="3506" spans="12:74">
      <c r="L3506" s="265"/>
      <c r="M3506" s="265"/>
      <c r="N3506" s="265"/>
      <c r="O3506" s="265"/>
      <c r="P3506" s="265"/>
      <c r="Q3506" s="265"/>
      <c r="BR3506" s="265"/>
      <c r="BS3506" s="265"/>
      <c r="BT3506" s="265"/>
      <c r="BU3506" s="265"/>
      <c r="BV3506" s="265"/>
    </row>
    <row r="3507" spans="12:74">
      <c r="L3507" s="265"/>
      <c r="M3507" s="265"/>
      <c r="N3507" s="265"/>
      <c r="O3507" s="265"/>
      <c r="P3507" s="265"/>
      <c r="Q3507" s="265"/>
      <c r="BR3507" s="265"/>
      <c r="BS3507" s="265"/>
      <c r="BT3507" s="265"/>
      <c r="BU3507" s="265"/>
      <c r="BV3507" s="265"/>
    </row>
    <row r="3508" spans="12:74">
      <c r="L3508" s="265"/>
      <c r="M3508" s="265"/>
      <c r="N3508" s="265"/>
      <c r="O3508" s="265"/>
      <c r="P3508" s="265"/>
      <c r="Q3508" s="265"/>
      <c r="BR3508" s="265"/>
      <c r="BS3508" s="265"/>
      <c r="BT3508" s="265"/>
      <c r="BU3508" s="265"/>
      <c r="BV3508" s="265"/>
    </row>
    <row r="3509" spans="12:74">
      <c r="L3509" s="265"/>
      <c r="M3509" s="265"/>
      <c r="N3509" s="265"/>
      <c r="O3509" s="265"/>
      <c r="P3509" s="265"/>
      <c r="Q3509" s="265"/>
      <c r="BR3509" s="265"/>
      <c r="BS3509" s="265"/>
      <c r="BT3509" s="265"/>
      <c r="BU3509" s="265"/>
      <c r="BV3509" s="265"/>
    </row>
    <row r="3510" spans="12:74">
      <c r="L3510" s="265"/>
      <c r="M3510" s="265"/>
      <c r="N3510" s="265"/>
      <c r="O3510" s="265"/>
      <c r="P3510" s="265"/>
      <c r="Q3510" s="265"/>
      <c r="BR3510" s="265"/>
      <c r="BS3510" s="265"/>
      <c r="BT3510" s="265"/>
      <c r="BU3510" s="265"/>
      <c r="BV3510" s="265"/>
    </row>
    <row r="3511" spans="12:74">
      <c r="L3511" s="265"/>
      <c r="M3511" s="265"/>
      <c r="N3511" s="265"/>
      <c r="O3511" s="265"/>
      <c r="P3511" s="265"/>
      <c r="Q3511" s="265"/>
      <c r="BR3511" s="265"/>
      <c r="BS3511" s="265"/>
      <c r="BT3511" s="265"/>
      <c r="BU3511" s="265"/>
      <c r="BV3511" s="265"/>
    </row>
    <row r="3512" spans="12:74">
      <c r="L3512" s="265"/>
      <c r="M3512" s="265"/>
      <c r="N3512" s="265"/>
      <c r="O3512" s="265"/>
      <c r="P3512" s="265"/>
      <c r="Q3512" s="265"/>
      <c r="BR3512" s="265"/>
      <c r="BS3512" s="265"/>
      <c r="BT3512" s="265"/>
      <c r="BU3512" s="265"/>
      <c r="BV3512" s="265"/>
    </row>
    <row r="3513" spans="12:74">
      <c r="L3513" s="265"/>
      <c r="M3513" s="265"/>
      <c r="N3513" s="265"/>
      <c r="O3513" s="265"/>
      <c r="P3513" s="265"/>
      <c r="Q3513" s="265"/>
      <c r="BR3513" s="265"/>
      <c r="BS3513" s="265"/>
      <c r="BT3513" s="265"/>
      <c r="BU3513" s="265"/>
      <c r="BV3513" s="265"/>
    </row>
    <row r="3514" spans="12:74">
      <c r="L3514" s="265"/>
      <c r="M3514" s="265"/>
      <c r="N3514" s="265"/>
      <c r="O3514" s="265"/>
      <c r="P3514" s="265"/>
      <c r="Q3514" s="265"/>
      <c r="BR3514" s="265"/>
      <c r="BS3514" s="265"/>
      <c r="BT3514" s="265"/>
      <c r="BU3514" s="265"/>
      <c r="BV3514" s="265"/>
    </row>
    <row r="3515" spans="12:74">
      <c r="L3515" s="265"/>
      <c r="M3515" s="265"/>
      <c r="N3515" s="265"/>
      <c r="O3515" s="265"/>
      <c r="P3515" s="265"/>
      <c r="Q3515" s="265"/>
      <c r="BR3515" s="265"/>
      <c r="BS3515" s="265"/>
      <c r="BT3515" s="265"/>
      <c r="BU3515" s="265"/>
      <c r="BV3515" s="265"/>
    </row>
    <row r="3516" spans="12:74">
      <c r="L3516" s="265"/>
      <c r="M3516" s="265"/>
      <c r="N3516" s="265"/>
      <c r="O3516" s="265"/>
      <c r="P3516" s="265"/>
      <c r="Q3516" s="265"/>
      <c r="BR3516" s="265"/>
      <c r="BS3516" s="265"/>
      <c r="BT3516" s="265"/>
      <c r="BU3516" s="265"/>
      <c r="BV3516" s="265"/>
    </row>
    <row r="3517" spans="12:74">
      <c r="L3517" s="265"/>
      <c r="M3517" s="265"/>
      <c r="N3517" s="265"/>
      <c r="O3517" s="265"/>
      <c r="P3517" s="265"/>
      <c r="Q3517" s="265"/>
      <c r="BR3517" s="265"/>
      <c r="BS3517" s="265"/>
      <c r="BT3517" s="265"/>
      <c r="BU3517" s="265"/>
      <c r="BV3517" s="265"/>
    </row>
    <row r="3518" spans="12:74">
      <c r="L3518" s="265"/>
      <c r="M3518" s="265"/>
      <c r="N3518" s="265"/>
      <c r="O3518" s="265"/>
      <c r="P3518" s="265"/>
      <c r="Q3518" s="265"/>
      <c r="BR3518" s="265"/>
      <c r="BS3518" s="265"/>
      <c r="BT3518" s="265"/>
      <c r="BU3518" s="265"/>
      <c r="BV3518" s="265"/>
    </row>
    <row r="3519" spans="12:74">
      <c r="L3519" s="265"/>
      <c r="M3519" s="265"/>
      <c r="N3519" s="265"/>
      <c r="O3519" s="265"/>
      <c r="P3519" s="265"/>
      <c r="Q3519" s="265"/>
      <c r="BR3519" s="265"/>
      <c r="BS3519" s="265"/>
      <c r="BT3519" s="265"/>
      <c r="BU3519" s="265"/>
      <c r="BV3519" s="265"/>
    </row>
    <row r="3520" spans="12:74">
      <c r="L3520" s="265"/>
      <c r="M3520" s="265"/>
      <c r="N3520" s="265"/>
      <c r="O3520" s="265"/>
      <c r="P3520" s="265"/>
      <c r="Q3520" s="265"/>
      <c r="BR3520" s="265"/>
      <c r="BS3520" s="265"/>
      <c r="BT3520" s="265"/>
      <c r="BU3520" s="265"/>
      <c r="BV3520" s="265"/>
    </row>
    <row r="3521" spans="12:74">
      <c r="L3521" s="265"/>
      <c r="M3521" s="265"/>
      <c r="N3521" s="265"/>
      <c r="O3521" s="265"/>
      <c r="P3521" s="265"/>
      <c r="Q3521" s="265"/>
      <c r="BR3521" s="265"/>
      <c r="BS3521" s="265"/>
      <c r="BT3521" s="265"/>
      <c r="BU3521" s="265"/>
      <c r="BV3521" s="265"/>
    </row>
    <row r="3522" spans="12:74">
      <c r="L3522" s="265"/>
      <c r="M3522" s="265"/>
      <c r="N3522" s="265"/>
      <c r="O3522" s="265"/>
      <c r="P3522" s="265"/>
      <c r="Q3522" s="265"/>
      <c r="BR3522" s="265"/>
      <c r="BS3522" s="265"/>
      <c r="BT3522" s="265"/>
      <c r="BU3522" s="265"/>
      <c r="BV3522" s="265"/>
    </row>
    <row r="3523" spans="12:74">
      <c r="L3523" s="265"/>
      <c r="M3523" s="265"/>
      <c r="N3523" s="265"/>
      <c r="O3523" s="265"/>
      <c r="P3523" s="265"/>
      <c r="Q3523" s="265"/>
      <c r="BR3523" s="265"/>
      <c r="BS3523" s="265"/>
      <c r="BT3523" s="265"/>
      <c r="BU3523" s="265"/>
      <c r="BV3523" s="265"/>
    </row>
    <row r="3524" spans="12:74">
      <c r="L3524" s="265"/>
      <c r="M3524" s="265"/>
      <c r="N3524" s="265"/>
      <c r="O3524" s="265"/>
      <c r="P3524" s="265"/>
      <c r="Q3524" s="265"/>
      <c r="BR3524" s="265"/>
      <c r="BS3524" s="265"/>
      <c r="BT3524" s="265"/>
      <c r="BU3524" s="265"/>
      <c r="BV3524" s="265"/>
    </row>
    <row r="3525" spans="12:74">
      <c r="L3525" s="265"/>
      <c r="M3525" s="265"/>
      <c r="N3525" s="265"/>
      <c r="O3525" s="265"/>
      <c r="P3525" s="265"/>
      <c r="Q3525" s="265"/>
      <c r="BR3525" s="265"/>
      <c r="BS3525" s="265"/>
      <c r="BT3525" s="265"/>
      <c r="BU3525" s="265"/>
      <c r="BV3525" s="265"/>
    </row>
    <row r="3526" spans="12:74">
      <c r="L3526" s="265"/>
      <c r="M3526" s="265"/>
      <c r="N3526" s="265"/>
      <c r="O3526" s="265"/>
      <c r="P3526" s="265"/>
      <c r="Q3526" s="265"/>
      <c r="BR3526" s="265"/>
      <c r="BS3526" s="265"/>
      <c r="BT3526" s="265"/>
      <c r="BU3526" s="265"/>
      <c r="BV3526" s="265"/>
    </row>
    <row r="3527" spans="12:74">
      <c r="L3527" s="265"/>
      <c r="M3527" s="265"/>
      <c r="N3527" s="265"/>
      <c r="O3527" s="265"/>
      <c r="P3527" s="265"/>
      <c r="Q3527" s="265"/>
      <c r="BR3527" s="265"/>
      <c r="BS3527" s="265"/>
      <c r="BT3527" s="265"/>
      <c r="BU3527" s="265"/>
      <c r="BV3527" s="265"/>
    </row>
    <row r="3528" spans="12:74">
      <c r="L3528" s="265"/>
      <c r="M3528" s="265"/>
      <c r="N3528" s="265"/>
      <c r="O3528" s="265"/>
      <c r="P3528" s="265"/>
      <c r="Q3528" s="265"/>
      <c r="BR3528" s="265"/>
      <c r="BS3528" s="265"/>
      <c r="BT3528" s="265"/>
      <c r="BU3528" s="265"/>
      <c r="BV3528" s="265"/>
    </row>
    <row r="3529" spans="12:74">
      <c r="L3529" s="265"/>
      <c r="M3529" s="265"/>
      <c r="N3529" s="265"/>
      <c r="O3529" s="265"/>
      <c r="P3529" s="265"/>
      <c r="Q3529" s="265"/>
      <c r="BR3529" s="265"/>
      <c r="BS3529" s="265"/>
      <c r="BT3529" s="265"/>
      <c r="BU3529" s="265"/>
      <c r="BV3529" s="265"/>
    </row>
    <row r="3530" spans="12:74">
      <c r="L3530" s="265"/>
      <c r="M3530" s="265"/>
      <c r="N3530" s="265"/>
      <c r="O3530" s="265"/>
      <c r="P3530" s="265"/>
      <c r="Q3530" s="265"/>
      <c r="BR3530" s="265"/>
      <c r="BS3530" s="265"/>
      <c r="BT3530" s="265"/>
      <c r="BU3530" s="265"/>
      <c r="BV3530" s="265"/>
    </row>
    <row r="3531" spans="12:74">
      <c r="L3531" s="265"/>
      <c r="M3531" s="265"/>
      <c r="N3531" s="265"/>
      <c r="O3531" s="265"/>
      <c r="P3531" s="265"/>
      <c r="Q3531" s="265"/>
      <c r="BR3531" s="265"/>
      <c r="BS3531" s="265"/>
      <c r="BT3531" s="265"/>
      <c r="BU3531" s="265"/>
      <c r="BV3531" s="265"/>
    </row>
    <row r="3532" spans="12:74">
      <c r="L3532" s="265"/>
      <c r="M3532" s="265"/>
      <c r="N3532" s="265"/>
      <c r="O3532" s="265"/>
      <c r="P3532" s="265"/>
      <c r="Q3532" s="265"/>
      <c r="BR3532" s="265"/>
      <c r="BS3532" s="265"/>
      <c r="BT3532" s="265"/>
      <c r="BU3532" s="265"/>
      <c r="BV3532" s="265"/>
    </row>
    <row r="3533" spans="12:74">
      <c r="L3533" s="265"/>
      <c r="M3533" s="265"/>
      <c r="N3533" s="265"/>
      <c r="O3533" s="265"/>
      <c r="P3533" s="265"/>
      <c r="Q3533" s="265"/>
      <c r="BR3533" s="265"/>
      <c r="BS3533" s="265"/>
      <c r="BT3533" s="265"/>
      <c r="BU3533" s="265"/>
      <c r="BV3533" s="265"/>
    </row>
    <row r="3534" spans="12:74">
      <c r="L3534" s="265"/>
      <c r="M3534" s="265"/>
      <c r="N3534" s="265"/>
      <c r="O3534" s="265"/>
      <c r="P3534" s="265"/>
      <c r="Q3534" s="265"/>
      <c r="BR3534" s="265"/>
      <c r="BS3534" s="265"/>
      <c r="BT3534" s="265"/>
      <c r="BU3534" s="265"/>
      <c r="BV3534" s="265"/>
    </row>
    <row r="3535" spans="12:74">
      <c r="L3535" s="265"/>
      <c r="M3535" s="265"/>
      <c r="N3535" s="265"/>
      <c r="O3535" s="265"/>
      <c r="P3535" s="265"/>
      <c r="Q3535" s="265"/>
      <c r="BR3535" s="265"/>
      <c r="BS3535" s="265"/>
      <c r="BT3535" s="265"/>
      <c r="BU3535" s="265"/>
      <c r="BV3535" s="265"/>
    </row>
    <row r="3536" spans="12:74">
      <c r="L3536" s="265"/>
      <c r="M3536" s="265"/>
      <c r="N3536" s="265"/>
      <c r="O3536" s="265"/>
      <c r="P3536" s="265"/>
      <c r="Q3536" s="265"/>
      <c r="BR3536" s="265"/>
      <c r="BS3536" s="265"/>
      <c r="BT3536" s="265"/>
      <c r="BU3536" s="265"/>
      <c r="BV3536" s="265"/>
    </row>
    <row r="3537" spans="12:74">
      <c r="L3537" s="265"/>
      <c r="M3537" s="265"/>
      <c r="N3537" s="265"/>
      <c r="O3537" s="265"/>
      <c r="P3537" s="265"/>
      <c r="Q3537" s="265"/>
      <c r="BR3537" s="265"/>
      <c r="BS3537" s="265"/>
      <c r="BT3537" s="265"/>
      <c r="BU3537" s="265"/>
      <c r="BV3537" s="265"/>
    </row>
    <row r="3538" spans="12:74">
      <c r="L3538" s="265"/>
      <c r="M3538" s="265"/>
      <c r="N3538" s="265"/>
      <c r="O3538" s="265"/>
      <c r="P3538" s="265"/>
      <c r="Q3538" s="265"/>
      <c r="BR3538" s="265"/>
      <c r="BS3538" s="265"/>
      <c r="BT3538" s="265"/>
      <c r="BU3538" s="265"/>
      <c r="BV3538" s="265"/>
    </row>
    <row r="3539" spans="12:74">
      <c r="L3539" s="265"/>
      <c r="M3539" s="265"/>
      <c r="N3539" s="265"/>
      <c r="O3539" s="265"/>
      <c r="P3539" s="265"/>
      <c r="Q3539" s="265"/>
      <c r="BR3539" s="265"/>
      <c r="BS3539" s="265"/>
      <c r="BT3539" s="265"/>
      <c r="BU3539" s="265"/>
      <c r="BV3539" s="265"/>
    </row>
    <row r="3540" spans="12:74">
      <c r="L3540" s="265"/>
      <c r="M3540" s="265"/>
      <c r="N3540" s="265"/>
      <c r="O3540" s="265"/>
      <c r="P3540" s="265"/>
      <c r="Q3540" s="265"/>
      <c r="BR3540" s="265"/>
      <c r="BS3540" s="265"/>
      <c r="BT3540" s="265"/>
      <c r="BU3540" s="265"/>
      <c r="BV3540" s="265"/>
    </row>
    <row r="3541" spans="12:74">
      <c r="L3541" s="265"/>
      <c r="M3541" s="265"/>
      <c r="N3541" s="265"/>
      <c r="O3541" s="265"/>
      <c r="P3541" s="265"/>
      <c r="Q3541" s="265"/>
      <c r="BR3541" s="265"/>
      <c r="BS3541" s="265"/>
      <c r="BT3541" s="265"/>
      <c r="BU3541" s="265"/>
      <c r="BV3541" s="265"/>
    </row>
    <row r="3542" spans="12:74">
      <c r="L3542" s="265"/>
      <c r="M3542" s="265"/>
      <c r="N3542" s="265"/>
      <c r="O3542" s="265"/>
      <c r="P3542" s="265"/>
      <c r="Q3542" s="265"/>
      <c r="BR3542" s="265"/>
      <c r="BS3542" s="265"/>
      <c r="BT3542" s="265"/>
      <c r="BU3542" s="265"/>
      <c r="BV3542" s="265"/>
    </row>
    <row r="3543" spans="12:74">
      <c r="L3543" s="265"/>
      <c r="M3543" s="265"/>
      <c r="N3543" s="265"/>
      <c r="O3543" s="265"/>
      <c r="P3543" s="265"/>
      <c r="Q3543" s="265"/>
      <c r="BR3543" s="265"/>
      <c r="BS3543" s="265"/>
      <c r="BT3543" s="265"/>
      <c r="BU3543" s="265"/>
      <c r="BV3543" s="265"/>
    </row>
    <row r="3544" spans="12:74">
      <c r="L3544" s="265"/>
      <c r="M3544" s="265"/>
      <c r="N3544" s="265"/>
      <c r="O3544" s="265"/>
      <c r="P3544" s="265"/>
      <c r="Q3544" s="265"/>
      <c r="BR3544" s="265"/>
      <c r="BS3544" s="265"/>
      <c r="BT3544" s="265"/>
      <c r="BU3544" s="265"/>
      <c r="BV3544" s="265"/>
    </row>
    <row r="3545" spans="12:74">
      <c r="L3545" s="265"/>
      <c r="M3545" s="265"/>
      <c r="N3545" s="265"/>
      <c r="O3545" s="265"/>
      <c r="P3545" s="265"/>
      <c r="Q3545" s="265"/>
      <c r="BR3545" s="265"/>
      <c r="BS3545" s="265"/>
      <c r="BT3545" s="265"/>
      <c r="BU3545" s="265"/>
      <c r="BV3545" s="265"/>
    </row>
    <row r="3546" spans="12:74">
      <c r="L3546" s="265"/>
      <c r="M3546" s="265"/>
      <c r="N3546" s="265"/>
      <c r="O3546" s="265"/>
      <c r="P3546" s="265"/>
      <c r="Q3546" s="265"/>
      <c r="BR3546" s="265"/>
      <c r="BS3546" s="265"/>
      <c r="BT3546" s="265"/>
      <c r="BU3546" s="265"/>
      <c r="BV3546" s="265"/>
    </row>
    <row r="3547" spans="12:74">
      <c r="L3547" s="265"/>
      <c r="M3547" s="265"/>
      <c r="N3547" s="265"/>
      <c r="O3547" s="265"/>
      <c r="P3547" s="265"/>
      <c r="Q3547" s="265"/>
      <c r="BR3547" s="265"/>
      <c r="BS3547" s="265"/>
      <c r="BT3547" s="265"/>
      <c r="BU3547" s="265"/>
      <c r="BV3547" s="265"/>
    </row>
    <row r="3548" spans="12:74">
      <c r="L3548" s="265"/>
      <c r="M3548" s="265"/>
      <c r="N3548" s="265"/>
      <c r="O3548" s="265"/>
      <c r="P3548" s="265"/>
      <c r="Q3548" s="265"/>
      <c r="BR3548" s="265"/>
      <c r="BS3548" s="265"/>
      <c r="BT3548" s="265"/>
      <c r="BU3548" s="265"/>
      <c r="BV3548" s="265"/>
    </row>
    <row r="3549" spans="12:74">
      <c r="L3549" s="265"/>
      <c r="M3549" s="265"/>
      <c r="N3549" s="265"/>
      <c r="O3549" s="265"/>
      <c r="P3549" s="265"/>
      <c r="Q3549" s="265"/>
      <c r="BR3549" s="265"/>
      <c r="BS3549" s="265"/>
      <c r="BT3549" s="265"/>
      <c r="BU3549" s="265"/>
      <c r="BV3549" s="265"/>
    </row>
    <row r="3550" spans="12:74">
      <c r="L3550" s="265"/>
      <c r="M3550" s="265"/>
      <c r="N3550" s="265"/>
      <c r="O3550" s="265"/>
      <c r="P3550" s="265"/>
      <c r="Q3550" s="265"/>
      <c r="BR3550" s="265"/>
      <c r="BS3550" s="265"/>
      <c r="BT3550" s="265"/>
      <c r="BU3550" s="265"/>
      <c r="BV3550" s="265"/>
    </row>
    <row r="3551" spans="12:74">
      <c r="L3551" s="265"/>
      <c r="M3551" s="265"/>
      <c r="N3551" s="265"/>
      <c r="O3551" s="265"/>
      <c r="P3551" s="265"/>
      <c r="Q3551" s="265"/>
      <c r="BR3551" s="265"/>
      <c r="BS3551" s="265"/>
      <c r="BT3551" s="265"/>
      <c r="BU3551" s="265"/>
      <c r="BV3551" s="265"/>
    </row>
    <row r="3552" spans="12:74">
      <c r="L3552" s="265"/>
      <c r="M3552" s="265"/>
      <c r="N3552" s="265"/>
      <c r="O3552" s="265"/>
      <c r="P3552" s="265"/>
      <c r="Q3552" s="265"/>
      <c r="BR3552" s="265"/>
      <c r="BS3552" s="265"/>
      <c r="BT3552" s="265"/>
      <c r="BU3552" s="265"/>
      <c r="BV3552" s="265"/>
    </row>
    <row r="3553" spans="12:74">
      <c r="L3553" s="265"/>
      <c r="M3553" s="265"/>
      <c r="N3553" s="265"/>
      <c r="O3553" s="265"/>
      <c r="P3553" s="265"/>
      <c r="Q3553" s="265"/>
      <c r="BR3553" s="265"/>
      <c r="BS3553" s="265"/>
      <c r="BT3553" s="265"/>
      <c r="BU3553" s="265"/>
      <c r="BV3553" s="265"/>
    </row>
    <row r="3554" spans="12:74">
      <c r="L3554" s="265"/>
      <c r="M3554" s="265"/>
      <c r="N3554" s="265"/>
      <c r="O3554" s="265"/>
      <c r="P3554" s="265"/>
      <c r="Q3554" s="265"/>
      <c r="BR3554" s="265"/>
      <c r="BS3554" s="265"/>
      <c r="BT3554" s="265"/>
      <c r="BU3554" s="265"/>
      <c r="BV3554" s="265"/>
    </row>
    <row r="3555" spans="12:74">
      <c r="L3555" s="265"/>
      <c r="M3555" s="265"/>
      <c r="N3555" s="265"/>
      <c r="O3555" s="265"/>
      <c r="P3555" s="265"/>
      <c r="Q3555" s="265"/>
      <c r="BR3555" s="265"/>
      <c r="BS3555" s="265"/>
      <c r="BT3555" s="265"/>
      <c r="BU3555" s="265"/>
      <c r="BV3555" s="265"/>
    </row>
    <row r="3556" spans="12:74">
      <c r="L3556" s="265"/>
      <c r="M3556" s="265"/>
      <c r="N3556" s="265"/>
      <c r="O3556" s="265"/>
      <c r="P3556" s="265"/>
      <c r="Q3556" s="265"/>
      <c r="BR3556" s="265"/>
      <c r="BS3556" s="265"/>
      <c r="BT3556" s="265"/>
      <c r="BU3556" s="265"/>
      <c r="BV3556" s="265"/>
    </row>
    <row r="3557" spans="12:74">
      <c r="L3557" s="265"/>
      <c r="M3557" s="265"/>
      <c r="N3557" s="265"/>
      <c r="O3557" s="265"/>
      <c r="P3557" s="265"/>
      <c r="Q3557" s="265"/>
      <c r="BR3557" s="265"/>
      <c r="BS3557" s="265"/>
      <c r="BT3557" s="265"/>
      <c r="BU3557" s="265"/>
      <c r="BV3557" s="265"/>
    </row>
    <row r="3558" spans="12:74">
      <c r="L3558" s="265"/>
      <c r="M3558" s="265"/>
      <c r="N3558" s="265"/>
      <c r="O3558" s="265"/>
      <c r="P3558" s="265"/>
      <c r="Q3558" s="265"/>
      <c r="BR3558" s="265"/>
      <c r="BS3558" s="265"/>
      <c r="BT3558" s="265"/>
      <c r="BU3558" s="265"/>
      <c r="BV3558" s="265"/>
    </row>
    <row r="3559" spans="12:74">
      <c r="L3559" s="265"/>
      <c r="M3559" s="265"/>
      <c r="N3559" s="265"/>
      <c r="O3559" s="265"/>
      <c r="P3559" s="265"/>
      <c r="Q3559" s="265"/>
      <c r="BR3559" s="265"/>
      <c r="BS3559" s="265"/>
      <c r="BT3559" s="265"/>
      <c r="BU3559" s="265"/>
      <c r="BV3559" s="265"/>
    </row>
    <row r="3560" spans="12:74">
      <c r="L3560" s="265"/>
      <c r="M3560" s="265"/>
      <c r="N3560" s="265"/>
      <c r="O3560" s="265"/>
      <c r="P3560" s="265"/>
      <c r="Q3560" s="265"/>
      <c r="BR3560" s="265"/>
      <c r="BS3560" s="265"/>
      <c r="BT3560" s="265"/>
      <c r="BU3560" s="265"/>
      <c r="BV3560" s="265"/>
    </row>
    <row r="3561" spans="12:74">
      <c r="L3561" s="265"/>
      <c r="M3561" s="265"/>
      <c r="N3561" s="265"/>
      <c r="O3561" s="265"/>
      <c r="P3561" s="265"/>
      <c r="Q3561" s="265"/>
      <c r="BR3561" s="265"/>
      <c r="BS3561" s="265"/>
      <c r="BT3561" s="265"/>
      <c r="BU3561" s="265"/>
      <c r="BV3561" s="265"/>
    </row>
    <row r="3562" spans="12:74">
      <c r="L3562" s="265"/>
      <c r="M3562" s="265"/>
      <c r="N3562" s="265"/>
      <c r="O3562" s="265"/>
      <c r="P3562" s="265"/>
      <c r="Q3562" s="265"/>
      <c r="BR3562" s="265"/>
      <c r="BS3562" s="265"/>
      <c r="BT3562" s="265"/>
      <c r="BU3562" s="265"/>
      <c r="BV3562" s="265"/>
    </row>
    <row r="3563" spans="12:74">
      <c r="L3563" s="265"/>
      <c r="M3563" s="265"/>
      <c r="N3563" s="265"/>
      <c r="O3563" s="265"/>
      <c r="P3563" s="265"/>
      <c r="Q3563" s="265"/>
      <c r="BR3563" s="265"/>
      <c r="BS3563" s="265"/>
      <c r="BT3563" s="265"/>
      <c r="BU3563" s="265"/>
      <c r="BV3563" s="265"/>
    </row>
    <row r="3564" spans="12:74">
      <c r="L3564" s="265"/>
      <c r="M3564" s="265"/>
      <c r="N3564" s="265"/>
      <c r="O3564" s="265"/>
      <c r="P3564" s="265"/>
      <c r="Q3564" s="265"/>
      <c r="BR3564" s="265"/>
      <c r="BS3564" s="265"/>
      <c r="BT3564" s="265"/>
      <c r="BU3564" s="265"/>
      <c r="BV3564" s="265"/>
    </row>
    <row r="3565" spans="12:74">
      <c r="L3565" s="265"/>
      <c r="M3565" s="265"/>
      <c r="N3565" s="265"/>
      <c r="O3565" s="265"/>
      <c r="P3565" s="265"/>
      <c r="Q3565" s="265"/>
      <c r="BR3565" s="265"/>
      <c r="BS3565" s="265"/>
      <c r="BT3565" s="265"/>
      <c r="BU3565" s="265"/>
      <c r="BV3565" s="265"/>
    </row>
    <row r="3566" spans="12:74">
      <c r="L3566" s="265"/>
      <c r="M3566" s="265"/>
      <c r="N3566" s="265"/>
      <c r="O3566" s="265"/>
      <c r="P3566" s="265"/>
      <c r="Q3566" s="265"/>
      <c r="BR3566" s="265"/>
      <c r="BS3566" s="265"/>
      <c r="BT3566" s="265"/>
      <c r="BU3566" s="265"/>
      <c r="BV3566" s="265"/>
    </row>
    <row r="3567" spans="12:74">
      <c r="L3567" s="265"/>
      <c r="M3567" s="265"/>
      <c r="N3567" s="265"/>
      <c r="O3567" s="265"/>
      <c r="P3567" s="265"/>
      <c r="Q3567" s="265"/>
      <c r="BR3567" s="265"/>
      <c r="BS3567" s="265"/>
      <c r="BT3567" s="265"/>
      <c r="BU3567" s="265"/>
      <c r="BV3567" s="265"/>
    </row>
    <row r="3568" spans="12:74">
      <c r="L3568" s="265"/>
      <c r="M3568" s="265"/>
      <c r="N3568" s="265"/>
      <c r="O3568" s="265"/>
      <c r="P3568" s="265"/>
      <c r="Q3568" s="265"/>
      <c r="BR3568" s="265"/>
      <c r="BS3568" s="265"/>
      <c r="BT3568" s="265"/>
      <c r="BU3568" s="265"/>
      <c r="BV3568" s="265"/>
    </row>
    <row r="3569" spans="12:74">
      <c r="L3569" s="265"/>
      <c r="M3569" s="265"/>
      <c r="N3569" s="265"/>
      <c r="O3569" s="265"/>
      <c r="P3569" s="265"/>
      <c r="Q3569" s="265"/>
      <c r="BR3569" s="265"/>
      <c r="BS3569" s="265"/>
      <c r="BT3569" s="265"/>
      <c r="BU3569" s="265"/>
      <c r="BV3569" s="265"/>
    </row>
    <row r="3570" spans="12:74">
      <c r="L3570" s="265"/>
      <c r="M3570" s="265"/>
      <c r="N3570" s="265"/>
      <c r="O3570" s="265"/>
      <c r="P3570" s="265"/>
      <c r="Q3570" s="265"/>
      <c r="BR3570" s="265"/>
      <c r="BS3570" s="265"/>
      <c r="BT3570" s="265"/>
      <c r="BU3570" s="265"/>
      <c r="BV3570" s="265"/>
    </row>
    <row r="3571" spans="12:74">
      <c r="L3571" s="265"/>
      <c r="M3571" s="265"/>
      <c r="N3571" s="265"/>
      <c r="O3571" s="265"/>
      <c r="P3571" s="265"/>
      <c r="Q3571" s="265"/>
      <c r="BR3571" s="265"/>
      <c r="BS3571" s="265"/>
      <c r="BT3571" s="265"/>
      <c r="BU3571" s="265"/>
      <c r="BV3571" s="265"/>
    </row>
    <row r="3572" spans="12:74">
      <c r="L3572" s="265"/>
      <c r="M3572" s="265"/>
      <c r="N3572" s="265"/>
      <c r="O3572" s="265"/>
      <c r="P3572" s="265"/>
      <c r="Q3572" s="265"/>
      <c r="BR3572" s="265"/>
      <c r="BS3572" s="265"/>
      <c r="BT3572" s="265"/>
      <c r="BU3572" s="265"/>
      <c r="BV3572" s="265"/>
    </row>
    <row r="3573" spans="12:74">
      <c r="L3573" s="265"/>
      <c r="M3573" s="265"/>
      <c r="N3573" s="265"/>
      <c r="O3573" s="265"/>
      <c r="P3573" s="265"/>
      <c r="Q3573" s="265"/>
      <c r="BR3573" s="265"/>
      <c r="BS3573" s="265"/>
      <c r="BT3573" s="265"/>
      <c r="BU3573" s="265"/>
      <c r="BV3573" s="265"/>
    </row>
    <row r="3574" spans="12:74">
      <c r="L3574" s="265"/>
      <c r="M3574" s="265"/>
      <c r="N3574" s="265"/>
      <c r="O3574" s="265"/>
      <c r="P3574" s="265"/>
      <c r="Q3574" s="265"/>
      <c r="BR3574" s="265"/>
      <c r="BS3574" s="265"/>
      <c r="BT3574" s="265"/>
      <c r="BU3574" s="265"/>
      <c r="BV3574" s="265"/>
    </row>
    <row r="3575" spans="12:74">
      <c r="L3575" s="265"/>
      <c r="M3575" s="265"/>
      <c r="N3575" s="265"/>
      <c r="O3575" s="265"/>
      <c r="P3575" s="265"/>
      <c r="Q3575" s="265"/>
      <c r="BR3575" s="265"/>
      <c r="BS3575" s="265"/>
      <c r="BT3575" s="265"/>
      <c r="BU3575" s="265"/>
      <c r="BV3575" s="265"/>
    </row>
    <row r="3576" spans="12:74">
      <c r="L3576" s="265"/>
      <c r="M3576" s="265"/>
      <c r="N3576" s="265"/>
      <c r="O3576" s="265"/>
      <c r="P3576" s="265"/>
      <c r="Q3576" s="265"/>
      <c r="BR3576" s="265"/>
      <c r="BS3576" s="265"/>
      <c r="BT3576" s="265"/>
      <c r="BU3576" s="265"/>
      <c r="BV3576" s="265"/>
    </row>
    <row r="3577" spans="12:74">
      <c r="L3577" s="265"/>
      <c r="M3577" s="265"/>
      <c r="N3577" s="265"/>
      <c r="O3577" s="265"/>
      <c r="P3577" s="265"/>
      <c r="Q3577" s="265"/>
      <c r="BR3577" s="265"/>
      <c r="BS3577" s="265"/>
      <c r="BT3577" s="265"/>
      <c r="BU3577" s="265"/>
      <c r="BV3577" s="265"/>
    </row>
    <row r="3578" spans="12:74">
      <c r="L3578" s="265"/>
      <c r="M3578" s="265"/>
      <c r="N3578" s="265"/>
      <c r="O3578" s="265"/>
      <c r="P3578" s="265"/>
      <c r="Q3578" s="265"/>
      <c r="BR3578" s="265"/>
      <c r="BS3578" s="265"/>
      <c r="BT3578" s="265"/>
      <c r="BU3578" s="265"/>
      <c r="BV3578" s="265"/>
    </row>
    <row r="3579" spans="12:74">
      <c r="L3579" s="265"/>
      <c r="M3579" s="265"/>
      <c r="N3579" s="265"/>
      <c r="O3579" s="265"/>
      <c r="P3579" s="265"/>
      <c r="Q3579" s="265"/>
      <c r="BR3579" s="265"/>
      <c r="BS3579" s="265"/>
      <c r="BT3579" s="265"/>
      <c r="BU3579" s="265"/>
      <c r="BV3579" s="265"/>
    </row>
    <row r="3580" spans="12:74">
      <c r="L3580" s="265"/>
      <c r="M3580" s="265"/>
      <c r="N3580" s="265"/>
      <c r="O3580" s="265"/>
      <c r="P3580" s="265"/>
      <c r="Q3580" s="265"/>
      <c r="BR3580" s="265"/>
      <c r="BS3580" s="265"/>
      <c r="BT3580" s="265"/>
      <c r="BU3580" s="265"/>
      <c r="BV3580" s="265"/>
    </row>
    <row r="3581" spans="12:74">
      <c r="L3581" s="265"/>
      <c r="M3581" s="265"/>
      <c r="N3581" s="265"/>
      <c r="O3581" s="265"/>
      <c r="P3581" s="265"/>
      <c r="Q3581" s="265"/>
      <c r="BR3581" s="265"/>
      <c r="BS3581" s="265"/>
      <c r="BT3581" s="265"/>
      <c r="BU3581" s="265"/>
      <c r="BV3581" s="265"/>
    </row>
    <row r="3582" spans="12:74">
      <c r="L3582" s="265"/>
      <c r="M3582" s="265"/>
      <c r="N3582" s="265"/>
      <c r="O3582" s="265"/>
      <c r="P3582" s="265"/>
      <c r="Q3582" s="265"/>
      <c r="BR3582" s="265"/>
      <c r="BS3582" s="265"/>
      <c r="BT3582" s="265"/>
      <c r="BU3582" s="265"/>
      <c r="BV3582" s="265"/>
    </row>
    <row r="3583" spans="12:74">
      <c r="L3583" s="265"/>
      <c r="M3583" s="265"/>
      <c r="N3583" s="265"/>
      <c r="O3583" s="265"/>
      <c r="P3583" s="265"/>
      <c r="Q3583" s="265"/>
      <c r="BR3583" s="265"/>
      <c r="BS3583" s="265"/>
      <c r="BT3583" s="265"/>
      <c r="BU3583" s="265"/>
      <c r="BV3583" s="265"/>
    </row>
    <row r="3584" spans="12:74">
      <c r="L3584" s="265"/>
      <c r="M3584" s="265"/>
      <c r="N3584" s="265"/>
      <c r="O3584" s="265"/>
      <c r="P3584" s="265"/>
      <c r="Q3584" s="265"/>
      <c r="BR3584" s="265"/>
      <c r="BS3584" s="265"/>
      <c r="BT3584" s="265"/>
      <c r="BU3584" s="265"/>
      <c r="BV3584" s="265"/>
    </row>
    <row r="3585" spans="12:74">
      <c r="L3585" s="265"/>
      <c r="M3585" s="265"/>
      <c r="N3585" s="265"/>
      <c r="O3585" s="265"/>
      <c r="P3585" s="265"/>
      <c r="Q3585" s="265"/>
      <c r="BR3585" s="265"/>
      <c r="BS3585" s="265"/>
      <c r="BT3585" s="265"/>
      <c r="BU3585" s="265"/>
      <c r="BV3585" s="265"/>
    </row>
    <row r="3586" spans="12:74">
      <c r="L3586" s="265"/>
      <c r="M3586" s="265"/>
      <c r="N3586" s="265"/>
      <c r="O3586" s="265"/>
      <c r="P3586" s="265"/>
      <c r="Q3586" s="265"/>
      <c r="BR3586" s="265"/>
      <c r="BS3586" s="265"/>
      <c r="BT3586" s="265"/>
      <c r="BU3586" s="265"/>
      <c r="BV3586" s="265"/>
    </row>
    <row r="3587" spans="12:74">
      <c r="L3587" s="265"/>
      <c r="M3587" s="265"/>
      <c r="N3587" s="265"/>
      <c r="O3587" s="265"/>
      <c r="P3587" s="265"/>
      <c r="Q3587" s="265"/>
      <c r="BR3587" s="265"/>
      <c r="BS3587" s="265"/>
      <c r="BT3587" s="265"/>
      <c r="BU3587" s="265"/>
      <c r="BV3587" s="265"/>
    </row>
    <row r="3588" spans="12:74">
      <c r="L3588" s="265"/>
      <c r="M3588" s="265"/>
      <c r="N3588" s="265"/>
      <c r="O3588" s="265"/>
      <c r="P3588" s="265"/>
      <c r="Q3588" s="265"/>
      <c r="BR3588" s="265"/>
      <c r="BS3588" s="265"/>
      <c r="BT3588" s="265"/>
      <c r="BU3588" s="265"/>
      <c r="BV3588" s="265"/>
    </row>
    <row r="3589" spans="12:74">
      <c r="L3589" s="265"/>
      <c r="M3589" s="265"/>
      <c r="N3589" s="265"/>
      <c r="O3589" s="265"/>
      <c r="P3589" s="265"/>
      <c r="Q3589" s="265"/>
      <c r="BR3589" s="265"/>
      <c r="BS3589" s="265"/>
      <c r="BT3589" s="265"/>
      <c r="BU3589" s="265"/>
      <c r="BV3589" s="265"/>
    </row>
    <row r="3590" spans="12:74">
      <c r="L3590" s="265"/>
      <c r="M3590" s="265"/>
      <c r="N3590" s="265"/>
      <c r="O3590" s="265"/>
      <c r="P3590" s="265"/>
      <c r="Q3590" s="265"/>
      <c r="BR3590" s="265"/>
      <c r="BS3590" s="265"/>
      <c r="BT3590" s="265"/>
      <c r="BU3590" s="265"/>
      <c r="BV3590" s="265"/>
    </row>
    <row r="3591" spans="12:74">
      <c r="L3591" s="265"/>
      <c r="M3591" s="265"/>
      <c r="N3591" s="265"/>
      <c r="O3591" s="265"/>
      <c r="P3591" s="265"/>
      <c r="Q3591" s="265"/>
      <c r="BR3591" s="265"/>
      <c r="BS3591" s="265"/>
      <c r="BT3591" s="265"/>
      <c r="BU3591" s="265"/>
      <c r="BV3591" s="265"/>
    </row>
    <row r="3592" spans="12:74">
      <c r="L3592" s="265"/>
      <c r="M3592" s="265"/>
      <c r="N3592" s="265"/>
      <c r="O3592" s="265"/>
      <c r="P3592" s="265"/>
      <c r="Q3592" s="265"/>
      <c r="BR3592" s="265"/>
      <c r="BS3592" s="265"/>
      <c r="BT3592" s="265"/>
      <c r="BU3592" s="265"/>
      <c r="BV3592" s="265"/>
    </row>
    <row r="3593" spans="12:74">
      <c r="L3593" s="265"/>
      <c r="M3593" s="265"/>
      <c r="N3593" s="265"/>
      <c r="O3593" s="265"/>
      <c r="P3593" s="265"/>
      <c r="Q3593" s="265"/>
      <c r="BR3593" s="265"/>
      <c r="BS3593" s="265"/>
      <c r="BT3593" s="265"/>
      <c r="BU3593" s="265"/>
      <c r="BV3593" s="265"/>
    </row>
    <row r="3594" spans="12:74">
      <c r="L3594" s="265"/>
      <c r="M3594" s="265"/>
      <c r="N3594" s="265"/>
      <c r="O3594" s="265"/>
      <c r="P3594" s="265"/>
      <c r="Q3594" s="265"/>
      <c r="BR3594" s="265"/>
      <c r="BS3594" s="265"/>
      <c r="BT3594" s="265"/>
      <c r="BU3594" s="265"/>
      <c r="BV3594" s="265"/>
    </row>
    <row r="3595" spans="12:74">
      <c r="L3595" s="265"/>
      <c r="M3595" s="265"/>
      <c r="N3595" s="265"/>
      <c r="O3595" s="265"/>
      <c r="P3595" s="265"/>
      <c r="Q3595" s="265"/>
      <c r="BR3595" s="265"/>
      <c r="BS3595" s="265"/>
      <c r="BT3595" s="265"/>
      <c r="BU3595" s="265"/>
      <c r="BV3595" s="265"/>
    </row>
    <row r="3596" spans="12:74">
      <c r="L3596" s="265"/>
      <c r="M3596" s="265"/>
      <c r="N3596" s="265"/>
      <c r="O3596" s="265"/>
      <c r="P3596" s="265"/>
      <c r="Q3596" s="265"/>
      <c r="BR3596" s="265"/>
      <c r="BS3596" s="265"/>
      <c r="BT3596" s="265"/>
      <c r="BU3596" s="265"/>
      <c r="BV3596" s="265"/>
    </row>
    <row r="3597" spans="12:74">
      <c r="L3597" s="265"/>
      <c r="M3597" s="265"/>
      <c r="N3597" s="265"/>
      <c r="O3597" s="265"/>
      <c r="P3597" s="265"/>
      <c r="Q3597" s="265"/>
      <c r="BR3597" s="265"/>
      <c r="BS3597" s="265"/>
      <c r="BT3597" s="265"/>
      <c r="BU3597" s="265"/>
      <c r="BV3597" s="265"/>
    </row>
    <row r="3598" spans="12:74">
      <c r="L3598" s="265"/>
      <c r="M3598" s="265"/>
      <c r="N3598" s="265"/>
      <c r="O3598" s="265"/>
      <c r="P3598" s="265"/>
      <c r="Q3598" s="265"/>
      <c r="BR3598" s="265"/>
      <c r="BS3598" s="265"/>
      <c r="BT3598" s="265"/>
      <c r="BU3598" s="265"/>
      <c r="BV3598" s="265"/>
    </row>
    <row r="3599" spans="12:74">
      <c r="L3599" s="265"/>
      <c r="M3599" s="265"/>
      <c r="N3599" s="265"/>
      <c r="O3599" s="265"/>
      <c r="P3599" s="265"/>
      <c r="Q3599" s="265"/>
      <c r="BR3599" s="265"/>
      <c r="BS3599" s="265"/>
      <c r="BT3599" s="265"/>
      <c r="BU3599" s="265"/>
      <c r="BV3599" s="265"/>
    </row>
    <row r="3600" spans="12:74">
      <c r="L3600" s="265"/>
      <c r="M3600" s="265"/>
      <c r="N3600" s="265"/>
      <c r="O3600" s="265"/>
      <c r="P3600" s="265"/>
      <c r="Q3600" s="265"/>
      <c r="BR3600" s="265"/>
      <c r="BS3600" s="265"/>
      <c r="BT3600" s="265"/>
      <c r="BU3600" s="265"/>
      <c r="BV3600" s="265"/>
    </row>
    <row r="3601" spans="12:74">
      <c r="L3601" s="265"/>
      <c r="M3601" s="265"/>
      <c r="N3601" s="265"/>
      <c r="O3601" s="265"/>
      <c r="P3601" s="265"/>
      <c r="Q3601" s="265"/>
      <c r="BR3601" s="265"/>
      <c r="BS3601" s="265"/>
      <c r="BT3601" s="265"/>
      <c r="BU3601" s="265"/>
      <c r="BV3601" s="265"/>
    </row>
    <row r="3602" spans="12:74">
      <c r="L3602" s="265"/>
      <c r="M3602" s="265"/>
      <c r="N3602" s="265"/>
      <c r="O3602" s="265"/>
      <c r="P3602" s="265"/>
      <c r="Q3602" s="265"/>
      <c r="BR3602" s="265"/>
      <c r="BS3602" s="265"/>
      <c r="BT3602" s="265"/>
      <c r="BU3602" s="265"/>
      <c r="BV3602" s="265"/>
    </row>
    <row r="3603" spans="12:74">
      <c r="L3603" s="265"/>
      <c r="M3603" s="265"/>
      <c r="N3603" s="265"/>
      <c r="O3603" s="265"/>
      <c r="P3603" s="265"/>
      <c r="Q3603" s="265"/>
      <c r="BR3603" s="265"/>
      <c r="BS3603" s="265"/>
      <c r="BT3603" s="265"/>
      <c r="BU3603" s="265"/>
      <c r="BV3603" s="265"/>
    </row>
    <row r="3604" spans="12:74">
      <c r="L3604" s="265"/>
      <c r="M3604" s="265"/>
      <c r="N3604" s="265"/>
      <c r="O3604" s="265"/>
      <c r="P3604" s="265"/>
      <c r="Q3604" s="265"/>
      <c r="BR3604" s="265"/>
      <c r="BS3604" s="265"/>
      <c r="BT3604" s="265"/>
      <c r="BU3604" s="265"/>
      <c r="BV3604" s="265"/>
    </row>
    <row r="3605" spans="12:74">
      <c r="L3605" s="265"/>
      <c r="M3605" s="265"/>
      <c r="N3605" s="265"/>
      <c r="O3605" s="265"/>
      <c r="P3605" s="265"/>
      <c r="Q3605" s="265"/>
      <c r="BR3605" s="265"/>
      <c r="BS3605" s="265"/>
      <c r="BT3605" s="265"/>
      <c r="BU3605" s="265"/>
      <c r="BV3605" s="265"/>
    </row>
    <row r="3606" spans="12:74">
      <c r="L3606" s="265"/>
      <c r="M3606" s="265"/>
      <c r="N3606" s="265"/>
      <c r="O3606" s="265"/>
      <c r="P3606" s="265"/>
      <c r="Q3606" s="265"/>
      <c r="BR3606" s="265"/>
      <c r="BS3606" s="265"/>
      <c r="BT3606" s="265"/>
      <c r="BU3606" s="265"/>
      <c r="BV3606" s="265"/>
    </row>
    <row r="3607" spans="12:74">
      <c r="L3607" s="265"/>
      <c r="M3607" s="265"/>
      <c r="N3607" s="265"/>
      <c r="O3607" s="265"/>
      <c r="P3607" s="265"/>
      <c r="Q3607" s="265"/>
      <c r="BR3607" s="265"/>
      <c r="BS3607" s="265"/>
      <c r="BT3607" s="265"/>
      <c r="BU3607" s="265"/>
      <c r="BV3607" s="265"/>
    </row>
    <row r="3608" spans="12:74">
      <c r="L3608" s="265"/>
      <c r="M3608" s="265"/>
      <c r="N3608" s="265"/>
      <c r="O3608" s="265"/>
      <c r="P3608" s="265"/>
      <c r="Q3608" s="265"/>
      <c r="BR3608" s="265"/>
      <c r="BS3608" s="265"/>
      <c r="BT3608" s="265"/>
      <c r="BU3608" s="265"/>
      <c r="BV3608" s="265"/>
    </row>
    <row r="3609" spans="12:74">
      <c r="L3609" s="265"/>
      <c r="M3609" s="265"/>
      <c r="N3609" s="265"/>
      <c r="O3609" s="265"/>
      <c r="P3609" s="265"/>
      <c r="Q3609" s="265"/>
      <c r="BR3609" s="265"/>
      <c r="BS3609" s="265"/>
      <c r="BT3609" s="265"/>
      <c r="BU3609" s="265"/>
      <c r="BV3609" s="265"/>
    </row>
    <row r="3610" spans="12:74">
      <c r="L3610" s="265"/>
      <c r="M3610" s="265"/>
      <c r="N3610" s="265"/>
      <c r="O3610" s="265"/>
      <c r="P3610" s="265"/>
      <c r="Q3610" s="265"/>
      <c r="BR3610" s="265"/>
      <c r="BS3610" s="265"/>
      <c r="BT3610" s="265"/>
      <c r="BU3610" s="265"/>
      <c r="BV3610" s="265"/>
    </row>
    <row r="3611" spans="12:74">
      <c r="L3611" s="265"/>
      <c r="M3611" s="265"/>
      <c r="N3611" s="265"/>
      <c r="O3611" s="265"/>
      <c r="P3611" s="265"/>
      <c r="Q3611" s="265"/>
      <c r="BR3611" s="265"/>
      <c r="BS3611" s="265"/>
      <c r="BT3611" s="265"/>
      <c r="BU3611" s="265"/>
      <c r="BV3611" s="265"/>
    </row>
    <row r="3612" spans="12:74">
      <c r="L3612" s="265"/>
      <c r="M3612" s="265"/>
      <c r="N3612" s="265"/>
      <c r="O3612" s="265"/>
      <c r="P3612" s="265"/>
      <c r="Q3612" s="265"/>
      <c r="BR3612" s="265"/>
      <c r="BS3612" s="265"/>
      <c r="BT3612" s="265"/>
      <c r="BU3612" s="265"/>
      <c r="BV3612" s="265"/>
    </row>
    <row r="3613" spans="12:74">
      <c r="L3613" s="265"/>
      <c r="M3613" s="265"/>
      <c r="N3613" s="265"/>
      <c r="O3613" s="265"/>
      <c r="P3613" s="265"/>
      <c r="Q3613" s="265"/>
      <c r="BR3613" s="265"/>
      <c r="BS3613" s="265"/>
      <c r="BT3613" s="265"/>
      <c r="BU3613" s="265"/>
      <c r="BV3613" s="265"/>
    </row>
    <row r="3614" spans="12:74">
      <c r="L3614" s="265"/>
      <c r="M3614" s="265"/>
      <c r="N3614" s="265"/>
      <c r="O3614" s="265"/>
      <c r="P3614" s="265"/>
      <c r="Q3614" s="265"/>
      <c r="BR3614" s="265"/>
      <c r="BS3614" s="265"/>
      <c r="BT3614" s="265"/>
      <c r="BU3614" s="265"/>
      <c r="BV3614" s="265"/>
    </row>
    <row r="3615" spans="12:74">
      <c r="L3615" s="265"/>
      <c r="M3615" s="265"/>
      <c r="N3615" s="265"/>
      <c r="O3615" s="265"/>
      <c r="P3615" s="265"/>
      <c r="Q3615" s="265"/>
      <c r="BR3615" s="265"/>
      <c r="BS3615" s="265"/>
      <c r="BT3615" s="265"/>
      <c r="BU3615" s="265"/>
      <c r="BV3615" s="265"/>
    </row>
    <row r="3616" spans="12:74">
      <c r="L3616" s="265"/>
      <c r="M3616" s="265"/>
      <c r="N3616" s="265"/>
      <c r="O3616" s="265"/>
      <c r="P3616" s="265"/>
      <c r="Q3616" s="265"/>
      <c r="BR3616" s="265"/>
      <c r="BS3616" s="265"/>
      <c r="BT3616" s="265"/>
      <c r="BU3616" s="265"/>
      <c r="BV3616" s="265"/>
    </row>
    <row r="3617" spans="12:74">
      <c r="L3617" s="265"/>
      <c r="M3617" s="265"/>
      <c r="N3617" s="265"/>
      <c r="O3617" s="265"/>
      <c r="P3617" s="265"/>
      <c r="Q3617" s="265"/>
      <c r="BR3617" s="265"/>
      <c r="BS3617" s="265"/>
      <c r="BT3617" s="265"/>
      <c r="BU3617" s="265"/>
      <c r="BV3617" s="265"/>
    </row>
    <row r="3618" spans="12:74">
      <c r="L3618" s="265"/>
      <c r="M3618" s="265"/>
      <c r="N3618" s="265"/>
      <c r="O3618" s="265"/>
      <c r="P3618" s="265"/>
      <c r="Q3618" s="265"/>
      <c r="BR3618" s="265"/>
      <c r="BS3618" s="265"/>
      <c r="BT3618" s="265"/>
      <c r="BU3618" s="265"/>
      <c r="BV3618" s="265"/>
    </row>
    <row r="3619" spans="12:74">
      <c r="L3619" s="265"/>
      <c r="M3619" s="265"/>
      <c r="N3619" s="265"/>
      <c r="O3619" s="265"/>
      <c r="P3619" s="265"/>
      <c r="Q3619" s="265"/>
      <c r="BR3619" s="265"/>
      <c r="BS3619" s="265"/>
      <c r="BT3619" s="265"/>
      <c r="BU3619" s="265"/>
      <c r="BV3619" s="265"/>
    </row>
    <row r="3620" spans="12:74">
      <c r="L3620" s="265"/>
      <c r="M3620" s="265"/>
      <c r="N3620" s="265"/>
      <c r="O3620" s="265"/>
      <c r="P3620" s="265"/>
      <c r="Q3620" s="265"/>
      <c r="BR3620" s="265"/>
      <c r="BS3620" s="265"/>
      <c r="BT3620" s="265"/>
      <c r="BU3620" s="265"/>
      <c r="BV3620" s="265"/>
    </row>
    <row r="3621" spans="12:74">
      <c r="L3621" s="265"/>
      <c r="M3621" s="265"/>
      <c r="N3621" s="265"/>
      <c r="O3621" s="265"/>
      <c r="P3621" s="265"/>
      <c r="Q3621" s="265"/>
      <c r="BR3621" s="265"/>
      <c r="BS3621" s="265"/>
      <c r="BT3621" s="265"/>
      <c r="BU3621" s="265"/>
      <c r="BV3621" s="265"/>
    </row>
    <row r="3622" spans="12:74">
      <c r="L3622" s="265"/>
      <c r="M3622" s="265"/>
      <c r="N3622" s="265"/>
      <c r="O3622" s="265"/>
      <c r="P3622" s="265"/>
      <c r="Q3622" s="265"/>
      <c r="BR3622" s="265"/>
      <c r="BS3622" s="265"/>
      <c r="BT3622" s="265"/>
      <c r="BU3622" s="265"/>
      <c r="BV3622" s="265"/>
    </row>
    <row r="3623" spans="12:74">
      <c r="L3623" s="265"/>
      <c r="M3623" s="265"/>
      <c r="N3623" s="265"/>
      <c r="O3623" s="265"/>
      <c r="P3623" s="265"/>
      <c r="Q3623" s="265"/>
      <c r="BR3623" s="265"/>
      <c r="BS3623" s="265"/>
      <c r="BT3623" s="265"/>
      <c r="BU3623" s="265"/>
      <c r="BV3623" s="265"/>
    </row>
    <row r="3624" spans="12:74">
      <c r="L3624" s="265"/>
      <c r="M3624" s="265"/>
      <c r="N3624" s="265"/>
      <c r="O3624" s="265"/>
      <c r="P3624" s="265"/>
      <c r="Q3624" s="265"/>
      <c r="BR3624" s="265"/>
      <c r="BS3624" s="265"/>
      <c r="BT3624" s="265"/>
      <c r="BU3624" s="265"/>
      <c r="BV3624" s="265"/>
    </row>
    <row r="3625" spans="12:74">
      <c r="L3625" s="265"/>
      <c r="M3625" s="265"/>
      <c r="N3625" s="265"/>
      <c r="O3625" s="265"/>
      <c r="P3625" s="265"/>
      <c r="Q3625" s="265"/>
      <c r="BR3625" s="265"/>
      <c r="BS3625" s="265"/>
      <c r="BT3625" s="265"/>
      <c r="BU3625" s="265"/>
      <c r="BV3625" s="265"/>
    </row>
    <row r="3626" spans="12:74">
      <c r="L3626" s="265"/>
      <c r="M3626" s="265"/>
      <c r="N3626" s="265"/>
      <c r="O3626" s="265"/>
      <c r="P3626" s="265"/>
      <c r="Q3626" s="265"/>
      <c r="BR3626" s="265"/>
      <c r="BS3626" s="265"/>
      <c r="BT3626" s="265"/>
      <c r="BU3626" s="265"/>
      <c r="BV3626" s="265"/>
    </row>
    <row r="3627" spans="12:74">
      <c r="L3627" s="265"/>
      <c r="M3627" s="265"/>
      <c r="N3627" s="265"/>
      <c r="O3627" s="265"/>
      <c r="P3627" s="265"/>
      <c r="Q3627" s="265"/>
      <c r="BR3627" s="265"/>
      <c r="BS3627" s="265"/>
      <c r="BT3627" s="265"/>
      <c r="BU3627" s="265"/>
      <c r="BV3627" s="265"/>
    </row>
    <row r="3628" spans="12:74">
      <c r="L3628" s="265"/>
      <c r="M3628" s="265"/>
      <c r="N3628" s="265"/>
      <c r="O3628" s="265"/>
      <c r="P3628" s="265"/>
      <c r="Q3628" s="265"/>
      <c r="BR3628" s="265"/>
      <c r="BS3628" s="265"/>
      <c r="BT3628" s="265"/>
      <c r="BU3628" s="265"/>
      <c r="BV3628" s="265"/>
    </row>
    <row r="3629" spans="12:74">
      <c r="L3629" s="265"/>
      <c r="M3629" s="265"/>
      <c r="N3629" s="265"/>
      <c r="O3629" s="265"/>
      <c r="P3629" s="265"/>
      <c r="Q3629" s="265"/>
      <c r="BR3629" s="265"/>
      <c r="BS3629" s="265"/>
      <c r="BT3629" s="265"/>
      <c r="BU3629" s="265"/>
      <c r="BV3629" s="265"/>
    </row>
    <row r="3630" spans="12:74">
      <c r="L3630" s="265"/>
      <c r="M3630" s="265"/>
      <c r="N3630" s="265"/>
      <c r="O3630" s="265"/>
      <c r="P3630" s="265"/>
      <c r="Q3630" s="265"/>
      <c r="BR3630" s="265"/>
      <c r="BS3630" s="265"/>
      <c r="BT3630" s="265"/>
      <c r="BU3630" s="265"/>
      <c r="BV3630" s="265"/>
    </row>
    <row r="3631" spans="12:74">
      <c r="L3631" s="265"/>
      <c r="M3631" s="265"/>
      <c r="N3631" s="265"/>
      <c r="O3631" s="265"/>
      <c r="P3631" s="265"/>
      <c r="Q3631" s="265"/>
      <c r="BR3631" s="265"/>
      <c r="BS3631" s="265"/>
      <c r="BT3631" s="265"/>
      <c r="BU3631" s="265"/>
      <c r="BV3631" s="265"/>
    </row>
    <row r="3632" spans="12:74">
      <c r="L3632" s="265"/>
      <c r="M3632" s="265"/>
      <c r="N3632" s="265"/>
      <c r="O3632" s="265"/>
      <c r="P3632" s="265"/>
      <c r="Q3632" s="265"/>
      <c r="BR3632" s="265"/>
      <c r="BS3632" s="265"/>
      <c r="BT3632" s="265"/>
      <c r="BU3632" s="265"/>
      <c r="BV3632" s="265"/>
    </row>
    <row r="3633" spans="12:74">
      <c r="L3633" s="265"/>
      <c r="M3633" s="265"/>
      <c r="N3633" s="265"/>
      <c r="O3633" s="265"/>
      <c r="P3633" s="265"/>
      <c r="Q3633" s="265"/>
      <c r="BR3633" s="265"/>
      <c r="BS3633" s="265"/>
      <c r="BT3633" s="265"/>
      <c r="BU3633" s="265"/>
      <c r="BV3633" s="265"/>
    </row>
    <row r="3634" spans="12:74">
      <c r="L3634" s="265"/>
      <c r="M3634" s="265"/>
      <c r="N3634" s="265"/>
      <c r="O3634" s="265"/>
      <c r="P3634" s="265"/>
      <c r="Q3634" s="265"/>
      <c r="BR3634" s="265"/>
      <c r="BS3634" s="265"/>
      <c r="BT3634" s="265"/>
      <c r="BU3634" s="265"/>
      <c r="BV3634" s="265"/>
    </row>
    <row r="3635" spans="12:74">
      <c r="L3635" s="265"/>
      <c r="M3635" s="265"/>
      <c r="N3635" s="265"/>
      <c r="O3635" s="265"/>
      <c r="P3635" s="265"/>
      <c r="Q3635" s="265"/>
      <c r="BR3635" s="265"/>
      <c r="BS3635" s="265"/>
      <c r="BT3635" s="265"/>
      <c r="BU3635" s="265"/>
      <c r="BV3635" s="265"/>
    </row>
    <row r="3636" spans="12:74">
      <c r="L3636" s="265"/>
      <c r="M3636" s="265"/>
      <c r="N3636" s="265"/>
      <c r="O3636" s="265"/>
      <c r="P3636" s="265"/>
      <c r="Q3636" s="265"/>
      <c r="BR3636" s="265"/>
      <c r="BS3636" s="265"/>
      <c r="BT3636" s="265"/>
      <c r="BU3636" s="265"/>
      <c r="BV3636" s="265"/>
    </row>
    <row r="3637" spans="12:74">
      <c r="L3637" s="265"/>
      <c r="M3637" s="265"/>
      <c r="N3637" s="265"/>
      <c r="O3637" s="265"/>
      <c r="P3637" s="265"/>
      <c r="Q3637" s="265"/>
      <c r="BR3637" s="265"/>
      <c r="BS3637" s="265"/>
      <c r="BT3637" s="265"/>
      <c r="BU3637" s="265"/>
      <c r="BV3637" s="265"/>
    </row>
    <row r="3638" spans="12:74">
      <c r="L3638" s="265"/>
      <c r="M3638" s="265"/>
      <c r="N3638" s="265"/>
      <c r="O3638" s="265"/>
      <c r="P3638" s="265"/>
      <c r="Q3638" s="265"/>
      <c r="BR3638" s="265"/>
      <c r="BS3638" s="265"/>
      <c r="BT3638" s="265"/>
      <c r="BU3638" s="265"/>
      <c r="BV3638" s="265"/>
    </row>
    <row r="3639" spans="12:74">
      <c r="L3639" s="265"/>
      <c r="M3639" s="265"/>
      <c r="N3639" s="265"/>
      <c r="O3639" s="265"/>
      <c r="P3639" s="265"/>
      <c r="Q3639" s="265"/>
      <c r="BR3639" s="265"/>
      <c r="BS3639" s="265"/>
      <c r="BT3639" s="265"/>
      <c r="BU3639" s="265"/>
      <c r="BV3639" s="265"/>
    </row>
    <row r="3640" spans="12:74">
      <c r="L3640" s="265"/>
      <c r="M3640" s="265"/>
      <c r="N3640" s="265"/>
      <c r="O3640" s="265"/>
      <c r="P3640" s="265"/>
      <c r="Q3640" s="265"/>
      <c r="BR3640" s="265"/>
      <c r="BS3640" s="265"/>
      <c r="BT3640" s="265"/>
      <c r="BU3640" s="265"/>
      <c r="BV3640" s="265"/>
    </row>
    <row r="3641" spans="12:74">
      <c r="L3641" s="265"/>
      <c r="M3641" s="265"/>
      <c r="N3641" s="265"/>
      <c r="O3641" s="265"/>
      <c r="P3641" s="265"/>
      <c r="Q3641" s="265"/>
      <c r="BR3641" s="265"/>
      <c r="BS3641" s="265"/>
      <c r="BT3641" s="265"/>
      <c r="BU3641" s="265"/>
      <c r="BV3641" s="265"/>
    </row>
    <row r="3642" spans="12:74">
      <c r="L3642" s="265"/>
      <c r="M3642" s="265"/>
      <c r="N3642" s="265"/>
      <c r="O3642" s="265"/>
      <c r="P3642" s="265"/>
      <c r="Q3642" s="265"/>
      <c r="BR3642" s="265"/>
      <c r="BS3642" s="265"/>
      <c r="BT3642" s="265"/>
      <c r="BU3642" s="265"/>
      <c r="BV3642" s="265"/>
    </row>
    <row r="3643" spans="12:74">
      <c r="L3643" s="265"/>
      <c r="M3643" s="265"/>
      <c r="N3643" s="265"/>
      <c r="O3643" s="265"/>
      <c r="P3643" s="265"/>
      <c r="Q3643" s="265"/>
      <c r="BR3643" s="265"/>
      <c r="BS3643" s="265"/>
      <c r="BT3643" s="265"/>
      <c r="BU3643" s="265"/>
      <c r="BV3643" s="265"/>
    </row>
    <row r="3644" spans="12:74">
      <c r="L3644" s="265"/>
      <c r="M3644" s="265"/>
      <c r="N3644" s="265"/>
      <c r="O3644" s="265"/>
      <c r="P3644" s="265"/>
      <c r="Q3644" s="265"/>
      <c r="BR3644" s="265"/>
      <c r="BS3644" s="265"/>
      <c r="BT3644" s="265"/>
      <c r="BU3644" s="265"/>
      <c r="BV3644" s="265"/>
    </row>
    <row r="3645" spans="12:74">
      <c r="L3645" s="265"/>
      <c r="M3645" s="265"/>
      <c r="N3645" s="265"/>
      <c r="O3645" s="265"/>
      <c r="P3645" s="265"/>
      <c r="Q3645" s="265"/>
      <c r="BR3645" s="265"/>
      <c r="BS3645" s="265"/>
      <c r="BT3645" s="265"/>
      <c r="BU3645" s="265"/>
      <c r="BV3645" s="265"/>
    </row>
    <row r="3646" spans="12:74">
      <c r="L3646" s="265"/>
      <c r="M3646" s="265"/>
      <c r="N3646" s="265"/>
      <c r="O3646" s="265"/>
      <c r="P3646" s="265"/>
      <c r="Q3646" s="265"/>
      <c r="BR3646" s="265"/>
      <c r="BS3646" s="265"/>
      <c r="BT3646" s="265"/>
      <c r="BU3646" s="265"/>
      <c r="BV3646" s="265"/>
    </row>
    <row r="3647" spans="12:74">
      <c r="L3647" s="265"/>
      <c r="M3647" s="265"/>
      <c r="N3647" s="265"/>
      <c r="O3647" s="265"/>
      <c r="P3647" s="265"/>
      <c r="Q3647" s="265"/>
      <c r="BR3647" s="265"/>
      <c r="BS3647" s="265"/>
      <c r="BT3647" s="265"/>
      <c r="BU3647" s="265"/>
      <c r="BV3647" s="265"/>
    </row>
    <row r="3648" spans="12:74">
      <c r="L3648" s="265"/>
      <c r="M3648" s="265"/>
      <c r="N3648" s="265"/>
      <c r="O3648" s="265"/>
      <c r="P3648" s="265"/>
      <c r="Q3648" s="265"/>
      <c r="BR3648" s="265"/>
      <c r="BS3648" s="265"/>
      <c r="BT3648" s="265"/>
      <c r="BU3648" s="265"/>
      <c r="BV3648" s="265"/>
    </row>
    <row r="3649" spans="12:74">
      <c r="L3649" s="265"/>
      <c r="M3649" s="265"/>
      <c r="N3649" s="265"/>
      <c r="O3649" s="265"/>
      <c r="P3649" s="265"/>
      <c r="Q3649" s="265"/>
      <c r="BR3649" s="265"/>
      <c r="BS3649" s="265"/>
      <c r="BT3649" s="265"/>
      <c r="BU3649" s="265"/>
      <c r="BV3649" s="265"/>
    </row>
    <row r="3650" spans="12:74">
      <c r="L3650" s="265"/>
      <c r="M3650" s="265"/>
      <c r="N3650" s="265"/>
      <c r="O3650" s="265"/>
      <c r="P3650" s="265"/>
      <c r="Q3650" s="265"/>
      <c r="BR3650" s="265"/>
      <c r="BS3650" s="265"/>
      <c r="BT3650" s="265"/>
      <c r="BU3650" s="265"/>
      <c r="BV3650" s="265"/>
    </row>
    <row r="3651" spans="12:74">
      <c r="L3651" s="265"/>
      <c r="M3651" s="265"/>
      <c r="N3651" s="265"/>
      <c r="O3651" s="265"/>
      <c r="P3651" s="265"/>
      <c r="Q3651" s="265"/>
      <c r="BR3651" s="265"/>
      <c r="BS3651" s="265"/>
      <c r="BT3651" s="265"/>
      <c r="BU3651" s="265"/>
      <c r="BV3651" s="265"/>
    </row>
    <row r="3652" spans="12:74">
      <c r="L3652" s="265"/>
      <c r="M3652" s="265"/>
      <c r="N3652" s="265"/>
      <c r="O3652" s="265"/>
      <c r="P3652" s="265"/>
      <c r="Q3652" s="265"/>
      <c r="BR3652" s="265"/>
      <c r="BS3652" s="265"/>
      <c r="BT3652" s="265"/>
      <c r="BU3652" s="265"/>
      <c r="BV3652" s="265"/>
    </row>
    <row r="3653" spans="12:74">
      <c r="L3653" s="265"/>
      <c r="M3653" s="265"/>
      <c r="N3653" s="265"/>
      <c r="O3653" s="265"/>
      <c r="P3653" s="265"/>
      <c r="Q3653" s="265"/>
      <c r="BR3653" s="265"/>
      <c r="BS3653" s="265"/>
      <c r="BT3653" s="265"/>
      <c r="BU3653" s="265"/>
      <c r="BV3653" s="265"/>
    </row>
    <row r="3654" spans="12:74">
      <c r="L3654" s="265"/>
      <c r="M3654" s="265"/>
      <c r="N3654" s="265"/>
      <c r="O3654" s="265"/>
      <c r="P3654" s="265"/>
      <c r="Q3654" s="265"/>
      <c r="BR3654" s="265"/>
      <c r="BS3654" s="265"/>
      <c r="BT3654" s="265"/>
      <c r="BU3654" s="265"/>
      <c r="BV3654" s="265"/>
    </row>
    <row r="3655" spans="12:74">
      <c r="L3655" s="265"/>
      <c r="M3655" s="265"/>
      <c r="N3655" s="265"/>
      <c r="O3655" s="265"/>
      <c r="P3655" s="265"/>
      <c r="Q3655" s="265"/>
      <c r="BR3655" s="265"/>
      <c r="BS3655" s="265"/>
      <c r="BT3655" s="265"/>
      <c r="BU3655" s="265"/>
      <c r="BV3655" s="265"/>
    </row>
    <row r="3656" spans="12:74">
      <c r="L3656" s="265"/>
      <c r="M3656" s="265"/>
      <c r="N3656" s="265"/>
      <c r="O3656" s="265"/>
      <c r="P3656" s="265"/>
      <c r="Q3656" s="265"/>
      <c r="BR3656" s="265"/>
      <c r="BS3656" s="265"/>
      <c r="BT3656" s="265"/>
      <c r="BU3656" s="265"/>
      <c r="BV3656" s="265"/>
    </row>
    <row r="3657" spans="12:74">
      <c r="L3657" s="265"/>
      <c r="M3657" s="265"/>
      <c r="N3657" s="265"/>
      <c r="O3657" s="265"/>
      <c r="P3657" s="265"/>
      <c r="Q3657" s="265"/>
      <c r="BR3657" s="265"/>
      <c r="BS3657" s="265"/>
      <c r="BT3657" s="265"/>
      <c r="BU3657" s="265"/>
      <c r="BV3657" s="265"/>
    </row>
    <row r="3658" spans="12:74">
      <c r="L3658" s="265"/>
      <c r="M3658" s="265"/>
      <c r="N3658" s="265"/>
      <c r="O3658" s="265"/>
      <c r="P3658" s="265"/>
      <c r="Q3658" s="265"/>
      <c r="BR3658" s="265"/>
      <c r="BS3658" s="265"/>
      <c r="BT3658" s="265"/>
      <c r="BU3658" s="265"/>
      <c r="BV3658" s="265"/>
    </row>
    <row r="3659" spans="12:74">
      <c r="L3659" s="265"/>
      <c r="M3659" s="265"/>
      <c r="N3659" s="265"/>
      <c r="O3659" s="265"/>
      <c r="P3659" s="265"/>
      <c r="Q3659" s="265"/>
      <c r="BR3659" s="265"/>
      <c r="BS3659" s="265"/>
      <c r="BT3659" s="265"/>
      <c r="BU3659" s="265"/>
      <c r="BV3659" s="265"/>
    </row>
    <row r="3660" spans="12:74">
      <c r="L3660" s="265"/>
      <c r="M3660" s="265"/>
      <c r="N3660" s="265"/>
      <c r="O3660" s="265"/>
      <c r="P3660" s="265"/>
      <c r="Q3660" s="265"/>
      <c r="BR3660" s="265"/>
      <c r="BS3660" s="265"/>
      <c r="BT3660" s="265"/>
      <c r="BU3660" s="265"/>
      <c r="BV3660" s="265"/>
    </row>
    <row r="3661" spans="12:74">
      <c r="L3661" s="265"/>
      <c r="M3661" s="265"/>
      <c r="N3661" s="265"/>
      <c r="O3661" s="265"/>
      <c r="P3661" s="265"/>
      <c r="Q3661" s="265"/>
      <c r="BR3661" s="265"/>
      <c r="BS3661" s="265"/>
      <c r="BT3661" s="265"/>
      <c r="BU3661" s="265"/>
      <c r="BV3661" s="265"/>
    </row>
    <row r="3662" spans="12:74">
      <c r="L3662" s="265"/>
      <c r="M3662" s="265"/>
      <c r="N3662" s="265"/>
      <c r="O3662" s="265"/>
      <c r="P3662" s="265"/>
      <c r="Q3662" s="265"/>
      <c r="BR3662" s="265"/>
      <c r="BS3662" s="265"/>
      <c r="BT3662" s="265"/>
      <c r="BU3662" s="265"/>
      <c r="BV3662" s="265"/>
    </row>
    <row r="3663" spans="12:74">
      <c r="L3663" s="265"/>
      <c r="M3663" s="265"/>
      <c r="N3663" s="265"/>
      <c r="O3663" s="265"/>
      <c r="P3663" s="265"/>
      <c r="Q3663" s="265"/>
      <c r="BR3663" s="265"/>
      <c r="BS3663" s="265"/>
      <c r="BT3663" s="265"/>
      <c r="BU3663" s="265"/>
      <c r="BV3663" s="265"/>
    </row>
    <row r="3664" spans="12:74">
      <c r="L3664" s="265"/>
      <c r="M3664" s="265"/>
      <c r="N3664" s="265"/>
      <c r="O3664" s="265"/>
      <c r="P3664" s="265"/>
      <c r="Q3664" s="265"/>
      <c r="BR3664" s="265"/>
      <c r="BS3664" s="265"/>
      <c r="BT3664" s="265"/>
      <c r="BU3664" s="265"/>
      <c r="BV3664" s="265"/>
    </row>
    <row r="3665" spans="12:74">
      <c r="L3665" s="265"/>
      <c r="M3665" s="265"/>
      <c r="N3665" s="265"/>
      <c r="O3665" s="265"/>
      <c r="P3665" s="265"/>
      <c r="Q3665" s="265"/>
      <c r="BR3665" s="265"/>
      <c r="BS3665" s="265"/>
      <c r="BT3665" s="265"/>
      <c r="BU3665" s="265"/>
      <c r="BV3665" s="265"/>
    </row>
    <row r="3666" spans="12:74">
      <c r="L3666" s="265"/>
      <c r="M3666" s="265"/>
      <c r="N3666" s="265"/>
      <c r="O3666" s="265"/>
      <c r="P3666" s="265"/>
      <c r="Q3666" s="265"/>
      <c r="BR3666" s="265"/>
      <c r="BS3666" s="265"/>
      <c r="BT3666" s="265"/>
      <c r="BU3666" s="265"/>
      <c r="BV3666" s="265"/>
    </row>
    <row r="3667" spans="12:74">
      <c r="L3667" s="265"/>
      <c r="M3667" s="265"/>
      <c r="N3667" s="265"/>
      <c r="O3667" s="265"/>
      <c r="P3667" s="265"/>
      <c r="Q3667" s="265"/>
      <c r="BR3667" s="265"/>
      <c r="BS3667" s="265"/>
      <c r="BT3667" s="265"/>
      <c r="BU3667" s="265"/>
      <c r="BV3667" s="265"/>
    </row>
    <row r="3668" spans="12:74">
      <c r="L3668" s="265"/>
      <c r="M3668" s="265"/>
      <c r="N3668" s="265"/>
      <c r="O3668" s="265"/>
      <c r="P3668" s="265"/>
      <c r="Q3668" s="265"/>
      <c r="BR3668" s="265"/>
      <c r="BS3668" s="265"/>
      <c r="BT3668" s="265"/>
      <c r="BU3668" s="265"/>
      <c r="BV3668" s="265"/>
    </row>
    <row r="3669" spans="12:74">
      <c r="L3669" s="265"/>
      <c r="M3669" s="265"/>
      <c r="N3669" s="265"/>
      <c r="O3669" s="265"/>
      <c r="P3669" s="265"/>
      <c r="Q3669" s="265"/>
      <c r="BR3669" s="265"/>
      <c r="BS3669" s="265"/>
      <c r="BT3669" s="265"/>
      <c r="BU3669" s="265"/>
      <c r="BV3669" s="265"/>
    </row>
    <row r="3670" spans="12:74">
      <c r="L3670" s="265"/>
      <c r="M3670" s="265"/>
      <c r="N3670" s="265"/>
      <c r="O3670" s="265"/>
      <c r="P3670" s="265"/>
      <c r="Q3670" s="265"/>
      <c r="BR3670" s="265"/>
      <c r="BS3670" s="265"/>
      <c r="BT3670" s="265"/>
      <c r="BU3670" s="265"/>
      <c r="BV3670" s="265"/>
    </row>
    <row r="3671" spans="12:74">
      <c r="L3671" s="265"/>
      <c r="M3671" s="265"/>
      <c r="N3671" s="265"/>
      <c r="O3671" s="265"/>
      <c r="P3671" s="265"/>
      <c r="Q3671" s="265"/>
      <c r="BR3671" s="265"/>
      <c r="BS3671" s="265"/>
      <c r="BT3671" s="265"/>
      <c r="BU3671" s="265"/>
      <c r="BV3671" s="265"/>
    </row>
    <row r="3672" spans="12:74">
      <c r="L3672" s="265"/>
      <c r="M3672" s="265"/>
      <c r="N3672" s="265"/>
      <c r="O3672" s="265"/>
      <c r="P3672" s="265"/>
      <c r="Q3672" s="265"/>
      <c r="BR3672" s="265"/>
      <c r="BS3672" s="265"/>
      <c r="BT3672" s="265"/>
      <c r="BU3672" s="265"/>
      <c r="BV3672" s="265"/>
    </row>
    <row r="3673" spans="12:74">
      <c r="L3673" s="265"/>
      <c r="M3673" s="265"/>
      <c r="N3673" s="265"/>
      <c r="O3673" s="265"/>
      <c r="P3673" s="265"/>
      <c r="Q3673" s="265"/>
      <c r="BR3673" s="265"/>
      <c r="BS3673" s="265"/>
      <c r="BT3673" s="265"/>
      <c r="BU3673" s="265"/>
      <c r="BV3673" s="265"/>
    </row>
    <row r="3674" spans="12:74">
      <c r="L3674" s="265"/>
      <c r="M3674" s="265"/>
      <c r="N3674" s="265"/>
      <c r="O3674" s="265"/>
      <c r="P3674" s="265"/>
      <c r="Q3674" s="265"/>
      <c r="BR3674" s="265"/>
      <c r="BS3674" s="265"/>
      <c r="BT3674" s="265"/>
      <c r="BU3674" s="265"/>
      <c r="BV3674" s="265"/>
    </row>
    <row r="3675" spans="12:74">
      <c r="L3675" s="265"/>
      <c r="M3675" s="265"/>
      <c r="N3675" s="265"/>
      <c r="O3675" s="265"/>
      <c r="P3675" s="265"/>
      <c r="Q3675" s="265"/>
      <c r="BR3675" s="265"/>
      <c r="BS3675" s="265"/>
      <c r="BT3675" s="265"/>
      <c r="BU3675" s="265"/>
      <c r="BV3675" s="265"/>
    </row>
    <row r="3676" spans="12:74">
      <c r="L3676" s="265"/>
      <c r="M3676" s="265"/>
      <c r="N3676" s="265"/>
      <c r="O3676" s="265"/>
      <c r="P3676" s="265"/>
      <c r="Q3676" s="265"/>
      <c r="BR3676" s="265"/>
      <c r="BS3676" s="265"/>
      <c r="BT3676" s="265"/>
      <c r="BU3676" s="265"/>
      <c r="BV3676" s="265"/>
    </row>
    <row r="3677" spans="12:74">
      <c r="L3677" s="265"/>
      <c r="M3677" s="265"/>
      <c r="N3677" s="265"/>
      <c r="O3677" s="265"/>
      <c r="P3677" s="265"/>
      <c r="Q3677" s="265"/>
      <c r="BR3677" s="265"/>
      <c r="BS3677" s="265"/>
      <c r="BT3677" s="265"/>
      <c r="BU3677" s="265"/>
      <c r="BV3677" s="265"/>
    </row>
    <row r="3678" spans="12:74">
      <c r="L3678" s="265"/>
      <c r="M3678" s="265"/>
      <c r="N3678" s="265"/>
      <c r="O3678" s="265"/>
      <c r="P3678" s="265"/>
      <c r="Q3678" s="265"/>
      <c r="BR3678" s="265"/>
      <c r="BS3678" s="265"/>
      <c r="BT3678" s="265"/>
      <c r="BU3678" s="265"/>
      <c r="BV3678" s="265"/>
    </row>
    <row r="3679" spans="12:74">
      <c r="L3679" s="265"/>
      <c r="M3679" s="265"/>
      <c r="N3679" s="265"/>
      <c r="O3679" s="265"/>
      <c r="P3679" s="265"/>
      <c r="Q3679" s="265"/>
      <c r="BR3679" s="265"/>
      <c r="BS3679" s="265"/>
      <c r="BT3679" s="265"/>
      <c r="BU3679" s="265"/>
      <c r="BV3679" s="265"/>
    </row>
    <row r="3680" spans="12:74">
      <c r="L3680" s="265"/>
      <c r="M3680" s="265"/>
      <c r="N3680" s="265"/>
      <c r="O3680" s="265"/>
      <c r="P3680" s="265"/>
      <c r="Q3680" s="265"/>
      <c r="BR3680" s="265"/>
      <c r="BS3680" s="265"/>
      <c r="BT3680" s="265"/>
      <c r="BU3680" s="265"/>
      <c r="BV3680" s="265"/>
    </row>
    <row r="3681" spans="12:74">
      <c r="L3681" s="265"/>
      <c r="M3681" s="265"/>
      <c r="N3681" s="265"/>
      <c r="O3681" s="265"/>
      <c r="P3681" s="265"/>
      <c r="Q3681" s="265"/>
      <c r="BR3681" s="265"/>
      <c r="BS3681" s="265"/>
      <c r="BT3681" s="265"/>
      <c r="BU3681" s="265"/>
      <c r="BV3681" s="265"/>
    </row>
    <row r="3682" spans="12:74">
      <c r="L3682" s="265"/>
      <c r="M3682" s="265"/>
      <c r="N3682" s="265"/>
      <c r="O3682" s="265"/>
      <c r="P3682" s="265"/>
      <c r="Q3682" s="265"/>
      <c r="BR3682" s="265"/>
      <c r="BS3682" s="265"/>
      <c r="BT3682" s="265"/>
      <c r="BU3682" s="265"/>
      <c r="BV3682" s="265"/>
    </row>
    <row r="3683" spans="12:74">
      <c r="L3683" s="265"/>
      <c r="M3683" s="265"/>
      <c r="N3683" s="265"/>
      <c r="O3683" s="265"/>
      <c r="P3683" s="265"/>
      <c r="Q3683" s="265"/>
      <c r="BR3683" s="265"/>
      <c r="BS3683" s="265"/>
      <c r="BT3683" s="265"/>
      <c r="BU3683" s="265"/>
      <c r="BV3683" s="265"/>
    </row>
    <row r="3684" spans="12:74">
      <c r="L3684" s="265"/>
      <c r="M3684" s="265"/>
      <c r="N3684" s="265"/>
      <c r="O3684" s="265"/>
      <c r="P3684" s="265"/>
      <c r="Q3684" s="265"/>
      <c r="BR3684" s="265"/>
      <c r="BS3684" s="265"/>
      <c r="BT3684" s="265"/>
      <c r="BU3684" s="265"/>
      <c r="BV3684" s="265"/>
    </row>
    <row r="3685" spans="12:74">
      <c r="L3685" s="265"/>
      <c r="M3685" s="265"/>
      <c r="N3685" s="265"/>
      <c r="O3685" s="265"/>
      <c r="P3685" s="265"/>
      <c r="Q3685" s="265"/>
      <c r="BR3685" s="265"/>
      <c r="BS3685" s="265"/>
      <c r="BT3685" s="265"/>
      <c r="BU3685" s="265"/>
      <c r="BV3685" s="265"/>
    </row>
    <row r="3686" spans="12:74">
      <c r="L3686" s="265"/>
      <c r="M3686" s="265"/>
      <c r="N3686" s="265"/>
      <c r="O3686" s="265"/>
      <c r="P3686" s="265"/>
      <c r="Q3686" s="265"/>
      <c r="BR3686" s="265"/>
      <c r="BS3686" s="265"/>
      <c r="BT3686" s="265"/>
      <c r="BU3686" s="265"/>
      <c r="BV3686" s="265"/>
    </row>
    <row r="3687" spans="12:74">
      <c r="L3687" s="265"/>
      <c r="M3687" s="265"/>
      <c r="N3687" s="265"/>
      <c r="O3687" s="265"/>
      <c r="P3687" s="265"/>
      <c r="Q3687" s="265"/>
      <c r="BR3687" s="265"/>
      <c r="BS3687" s="265"/>
      <c r="BT3687" s="265"/>
      <c r="BU3687" s="265"/>
      <c r="BV3687" s="265"/>
    </row>
    <row r="3688" spans="12:74">
      <c r="L3688" s="265"/>
      <c r="M3688" s="265"/>
      <c r="N3688" s="265"/>
      <c r="O3688" s="265"/>
      <c r="P3688" s="265"/>
      <c r="Q3688" s="265"/>
      <c r="BR3688" s="265"/>
      <c r="BS3688" s="265"/>
      <c r="BT3688" s="265"/>
      <c r="BU3688" s="265"/>
      <c r="BV3688" s="265"/>
    </row>
    <row r="3689" spans="12:74">
      <c r="L3689" s="265"/>
      <c r="M3689" s="265"/>
      <c r="N3689" s="265"/>
      <c r="O3689" s="265"/>
      <c r="P3689" s="265"/>
      <c r="Q3689" s="265"/>
      <c r="BR3689" s="265"/>
      <c r="BS3689" s="265"/>
      <c r="BT3689" s="265"/>
      <c r="BU3689" s="265"/>
      <c r="BV3689" s="265"/>
    </row>
    <row r="3690" spans="12:74">
      <c r="L3690" s="265"/>
      <c r="M3690" s="265"/>
      <c r="N3690" s="265"/>
      <c r="O3690" s="265"/>
      <c r="P3690" s="265"/>
      <c r="Q3690" s="265"/>
      <c r="BR3690" s="265"/>
      <c r="BS3690" s="265"/>
      <c r="BT3690" s="265"/>
      <c r="BU3690" s="265"/>
      <c r="BV3690" s="265"/>
    </row>
    <row r="3691" spans="12:74">
      <c r="L3691" s="265"/>
      <c r="M3691" s="265"/>
      <c r="N3691" s="265"/>
      <c r="O3691" s="265"/>
      <c r="P3691" s="265"/>
      <c r="Q3691" s="265"/>
      <c r="BR3691" s="265"/>
      <c r="BS3691" s="265"/>
      <c r="BT3691" s="265"/>
      <c r="BU3691" s="265"/>
      <c r="BV3691" s="265"/>
    </row>
    <row r="3692" spans="12:74">
      <c r="L3692" s="265"/>
      <c r="M3692" s="265"/>
      <c r="N3692" s="265"/>
      <c r="O3692" s="265"/>
      <c r="P3692" s="265"/>
      <c r="Q3692" s="265"/>
      <c r="BR3692" s="265"/>
      <c r="BS3692" s="265"/>
      <c r="BT3692" s="265"/>
      <c r="BU3692" s="265"/>
      <c r="BV3692" s="265"/>
    </row>
    <row r="3693" spans="12:74">
      <c r="L3693" s="265"/>
      <c r="M3693" s="265"/>
      <c r="N3693" s="265"/>
      <c r="O3693" s="265"/>
      <c r="P3693" s="265"/>
      <c r="Q3693" s="265"/>
      <c r="BR3693" s="265"/>
      <c r="BS3693" s="265"/>
      <c r="BT3693" s="265"/>
      <c r="BU3693" s="265"/>
      <c r="BV3693" s="265"/>
    </row>
    <row r="3694" spans="12:74">
      <c r="L3694" s="265"/>
      <c r="M3694" s="265"/>
      <c r="N3694" s="265"/>
      <c r="O3694" s="265"/>
      <c r="P3694" s="265"/>
      <c r="Q3694" s="265"/>
      <c r="BR3694" s="265"/>
      <c r="BS3694" s="265"/>
      <c r="BT3694" s="265"/>
      <c r="BU3694" s="265"/>
      <c r="BV3694" s="265"/>
    </row>
    <row r="3695" spans="12:74">
      <c r="L3695" s="265"/>
      <c r="M3695" s="265"/>
      <c r="N3695" s="265"/>
      <c r="O3695" s="265"/>
      <c r="P3695" s="265"/>
      <c r="Q3695" s="265"/>
      <c r="BR3695" s="265"/>
      <c r="BS3695" s="265"/>
      <c r="BT3695" s="265"/>
      <c r="BU3695" s="265"/>
      <c r="BV3695" s="265"/>
    </row>
    <row r="3696" spans="12:74">
      <c r="L3696" s="265"/>
      <c r="M3696" s="265"/>
      <c r="N3696" s="265"/>
      <c r="O3696" s="265"/>
      <c r="P3696" s="265"/>
      <c r="Q3696" s="265"/>
      <c r="BR3696" s="265"/>
      <c r="BS3696" s="265"/>
      <c r="BT3696" s="265"/>
      <c r="BU3696" s="265"/>
      <c r="BV3696" s="265"/>
    </row>
    <row r="3697" spans="12:74">
      <c r="L3697" s="265"/>
      <c r="M3697" s="265"/>
      <c r="N3697" s="265"/>
      <c r="O3697" s="265"/>
      <c r="P3697" s="265"/>
      <c r="Q3697" s="265"/>
      <c r="BR3697" s="265"/>
      <c r="BS3697" s="265"/>
      <c r="BT3697" s="265"/>
      <c r="BU3697" s="265"/>
      <c r="BV3697" s="265"/>
    </row>
    <row r="3698" spans="12:74">
      <c r="L3698" s="265"/>
      <c r="M3698" s="265"/>
      <c r="N3698" s="265"/>
      <c r="O3698" s="265"/>
      <c r="P3698" s="265"/>
      <c r="Q3698" s="265"/>
      <c r="BR3698" s="265"/>
      <c r="BS3698" s="265"/>
      <c r="BT3698" s="265"/>
      <c r="BU3698" s="265"/>
      <c r="BV3698" s="265"/>
    </row>
    <row r="3699" spans="12:74">
      <c r="L3699" s="265"/>
      <c r="M3699" s="265"/>
      <c r="N3699" s="265"/>
      <c r="O3699" s="265"/>
      <c r="P3699" s="265"/>
      <c r="Q3699" s="265"/>
      <c r="BR3699" s="265"/>
      <c r="BS3699" s="265"/>
      <c r="BT3699" s="265"/>
      <c r="BU3699" s="265"/>
      <c r="BV3699" s="265"/>
    </row>
    <row r="3700" spans="12:74">
      <c r="L3700" s="265"/>
      <c r="M3700" s="265"/>
      <c r="N3700" s="265"/>
      <c r="O3700" s="265"/>
      <c r="P3700" s="265"/>
      <c r="Q3700" s="265"/>
      <c r="BR3700" s="265"/>
      <c r="BS3700" s="265"/>
      <c r="BT3700" s="265"/>
      <c r="BU3700" s="265"/>
      <c r="BV3700" s="265"/>
    </row>
    <row r="3701" spans="12:74">
      <c r="L3701" s="265"/>
      <c r="M3701" s="265"/>
      <c r="N3701" s="265"/>
      <c r="O3701" s="265"/>
      <c r="P3701" s="265"/>
      <c r="Q3701" s="265"/>
      <c r="BR3701" s="265"/>
      <c r="BS3701" s="265"/>
      <c r="BT3701" s="265"/>
      <c r="BU3701" s="265"/>
      <c r="BV3701" s="265"/>
    </row>
    <row r="3702" spans="12:74">
      <c r="L3702" s="265"/>
      <c r="M3702" s="265"/>
      <c r="N3702" s="265"/>
      <c r="O3702" s="265"/>
      <c r="P3702" s="265"/>
      <c r="Q3702" s="265"/>
      <c r="BR3702" s="265"/>
      <c r="BS3702" s="265"/>
      <c r="BT3702" s="265"/>
      <c r="BU3702" s="265"/>
      <c r="BV3702" s="265"/>
    </row>
    <row r="3703" spans="12:74">
      <c r="L3703" s="265"/>
      <c r="M3703" s="265"/>
      <c r="N3703" s="265"/>
      <c r="O3703" s="265"/>
      <c r="P3703" s="265"/>
      <c r="Q3703" s="265"/>
      <c r="BR3703" s="265"/>
      <c r="BS3703" s="265"/>
      <c r="BT3703" s="265"/>
      <c r="BU3703" s="265"/>
      <c r="BV3703" s="265"/>
    </row>
    <row r="3704" spans="12:74">
      <c r="L3704" s="265"/>
      <c r="M3704" s="265"/>
      <c r="N3704" s="265"/>
      <c r="O3704" s="265"/>
      <c r="P3704" s="265"/>
      <c r="Q3704" s="265"/>
      <c r="BR3704" s="265"/>
      <c r="BS3704" s="265"/>
      <c r="BT3704" s="265"/>
      <c r="BU3704" s="265"/>
      <c r="BV3704" s="265"/>
    </row>
    <row r="3705" spans="12:74">
      <c r="L3705" s="265"/>
      <c r="M3705" s="265"/>
      <c r="N3705" s="265"/>
      <c r="O3705" s="265"/>
      <c r="P3705" s="265"/>
      <c r="Q3705" s="265"/>
      <c r="BR3705" s="265"/>
      <c r="BS3705" s="265"/>
      <c r="BT3705" s="265"/>
      <c r="BU3705" s="265"/>
      <c r="BV3705" s="265"/>
    </row>
    <row r="3706" spans="12:74">
      <c r="L3706" s="265"/>
      <c r="M3706" s="265"/>
      <c r="N3706" s="265"/>
      <c r="O3706" s="265"/>
      <c r="P3706" s="265"/>
      <c r="Q3706" s="265"/>
      <c r="BR3706" s="265"/>
      <c r="BS3706" s="265"/>
      <c r="BT3706" s="265"/>
      <c r="BU3706" s="265"/>
      <c r="BV3706" s="265"/>
    </row>
    <row r="3707" spans="12:74">
      <c r="L3707" s="265"/>
      <c r="M3707" s="265"/>
      <c r="N3707" s="265"/>
      <c r="O3707" s="265"/>
      <c r="P3707" s="265"/>
      <c r="Q3707" s="265"/>
      <c r="BR3707" s="265"/>
      <c r="BS3707" s="265"/>
      <c r="BT3707" s="265"/>
      <c r="BU3707" s="265"/>
      <c r="BV3707" s="265"/>
    </row>
    <row r="3708" spans="12:74">
      <c r="L3708" s="265"/>
      <c r="M3708" s="265"/>
      <c r="N3708" s="265"/>
      <c r="O3708" s="265"/>
      <c r="P3708" s="265"/>
      <c r="Q3708" s="265"/>
      <c r="BR3708" s="265"/>
      <c r="BS3708" s="265"/>
      <c r="BT3708" s="265"/>
      <c r="BU3708" s="265"/>
      <c r="BV3708" s="265"/>
    </row>
    <row r="3709" spans="12:74">
      <c r="L3709" s="265"/>
      <c r="M3709" s="265"/>
      <c r="N3709" s="265"/>
      <c r="O3709" s="265"/>
      <c r="P3709" s="265"/>
      <c r="Q3709" s="265"/>
      <c r="BR3709" s="265"/>
      <c r="BS3709" s="265"/>
      <c r="BT3709" s="265"/>
      <c r="BU3709" s="265"/>
      <c r="BV3709" s="265"/>
    </row>
    <row r="3710" spans="12:74">
      <c r="L3710" s="265"/>
      <c r="M3710" s="265"/>
      <c r="N3710" s="265"/>
      <c r="O3710" s="265"/>
      <c r="P3710" s="265"/>
      <c r="Q3710" s="265"/>
      <c r="BR3710" s="265"/>
      <c r="BS3710" s="265"/>
      <c r="BT3710" s="265"/>
      <c r="BU3710" s="265"/>
      <c r="BV3710" s="265"/>
    </row>
    <row r="3711" spans="12:74">
      <c r="L3711" s="265"/>
      <c r="M3711" s="265"/>
      <c r="N3711" s="265"/>
      <c r="O3711" s="265"/>
      <c r="P3711" s="265"/>
      <c r="Q3711" s="265"/>
      <c r="BR3711" s="265"/>
      <c r="BS3711" s="265"/>
      <c r="BT3711" s="265"/>
      <c r="BU3711" s="265"/>
      <c r="BV3711" s="265"/>
    </row>
    <row r="3712" spans="12:74">
      <c r="L3712" s="265"/>
      <c r="M3712" s="265"/>
      <c r="N3712" s="265"/>
      <c r="O3712" s="265"/>
      <c r="P3712" s="265"/>
      <c r="Q3712" s="265"/>
      <c r="BR3712" s="265"/>
      <c r="BS3712" s="265"/>
      <c r="BT3712" s="265"/>
      <c r="BU3712" s="265"/>
      <c r="BV3712" s="265"/>
    </row>
    <row r="3713" spans="12:74">
      <c r="L3713" s="265"/>
      <c r="M3713" s="265"/>
      <c r="N3713" s="265"/>
      <c r="O3713" s="265"/>
      <c r="P3713" s="265"/>
      <c r="Q3713" s="265"/>
      <c r="BR3713" s="265"/>
      <c r="BS3713" s="265"/>
      <c r="BT3713" s="265"/>
      <c r="BU3713" s="265"/>
      <c r="BV3713" s="265"/>
    </row>
    <row r="3714" spans="12:74">
      <c r="L3714" s="265"/>
      <c r="M3714" s="265"/>
      <c r="N3714" s="265"/>
      <c r="O3714" s="265"/>
      <c r="P3714" s="265"/>
      <c r="Q3714" s="265"/>
      <c r="BR3714" s="265"/>
      <c r="BS3714" s="265"/>
      <c r="BT3714" s="265"/>
      <c r="BU3714" s="265"/>
      <c r="BV3714" s="265"/>
    </row>
    <row r="3715" spans="12:74">
      <c r="L3715" s="265"/>
      <c r="M3715" s="265"/>
      <c r="N3715" s="265"/>
      <c r="O3715" s="265"/>
      <c r="P3715" s="265"/>
      <c r="Q3715" s="265"/>
      <c r="BR3715" s="265"/>
      <c r="BS3715" s="265"/>
      <c r="BT3715" s="265"/>
      <c r="BU3715" s="265"/>
      <c r="BV3715" s="265"/>
    </row>
    <row r="3716" spans="12:74">
      <c r="L3716" s="265"/>
      <c r="M3716" s="265"/>
      <c r="N3716" s="265"/>
      <c r="O3716" s="265"/>
      <c r="P3716" s="265"/>
      <c r="Q3716" s="265"/>
      <c r="BR3716" s="265"/>
      <c r="BS3716" s="265"/>
      <c r="BT3716" s="265"/>
      <c r="BU3716" s="265"/>
      <c r="BV3716" s="265"/>
    </row>
    <row r="3717" spans="12:74">
      <c r="L3717" s="265"/>
      <c r="M3717" s="265"/>
      <c r="N3717" s="265"/>
      <c r="O3717" s="265"/>
      <c r="P3717" s="265"/>
      <c r="Q3717" s="265"/>
      <c r="BR3717" s="265"/>
      <c r="BS3717" s="265"/>
      <c r="BT3717" s="265"/>
      <c r="BU3717" s="265"/>
      <c r="BV3717" s="265"/>
    </row>
    <row r="3718" spans="12:74">
      <c r="L3718" s="265"/>
      <c r="M3718" s="265"/>
      <c r="N3718" s="265"/>
      <c r="O3718" s="265"/>
      <c r="P3718" s="265"/>
      <c r="Q3718" s="265"/>
      <c r="BR3718" s="265"/>
      <c r="BS3718" s="265"/>
      <c r="BT3718" s="265"/>
      <c r="BU3718" s="265"/>
      <c r="BV3718" s="265"/>
    </row>
    <row r="3719" spans="12:74">
      <c r="L3719" s="265"/>
      <c r="M3719" s="265"/>
      <c r="N3719" s="265"/>
      <c r="O3719" s="265"/>
      <c r="P3719" s="265"/>
      <c r="Q3719" s="265"/>
      <c r="BR3719" s="265"/>
      <c r="BS3719" s="265"/>
      <c r="BT3719" s="265"/>
      <c r="BU3719" s="265"/>
      <c r="BV3719" s="265"/>
    </row>
    <row r="3720" spans="12:74">
      <c r="L3720" s="265"/>
      <c r="M3720" s="265"/>
      <c r="N3720" s="265"/>
      <c r="O3720" s="265"/>
      <c r="P3720" s="265"/>
      <c r="Q3720" s="265"/>
      <c r="BR3720" s="265"/>
      <c r="BS3720" s="265"/>
      <c r="BT3720" s="265"/>
      <c r="BU3720" s="265"/>
      <c r="BV3720" s="265"/>
    </row>
    <row r="3721" spans="12:74">
      <c r="L3721" s="265"/>
      <c r="M3721" s="265"/>
      <c r="N3721" s="265"/>
      <c r="O3721" s="265"/>
      <c r="P3721" s="265"/>
      <c r="Q3721" s="265"/>
      <c r="BR3721" s="265"/>
      <c r="BS3721" s="265"/>
      <c r="BT3721" s="265"/>
      <c r="BU3721" s="265"/>
      <c r="BV3721" s="265"/>
    </row>
    <row r="3722" spans="12:74">
      <c r="L3722" s="265"/>
      <c r="M3722" s="265"/>
      <c r="N3722" s="265"/>
      <c r="O3722" s="265"/>
      <c r="P3722" s="265"/>
      <c r="Q3722" s="265"/>
      <c r="BR3722" s="265"/>
      <c r="BS3722" s="265"/>
      <c r="BT3722" s="265"/>
      <c r="BU3722" s="265"/>
      <c r="BV3722" s="265"/>
    </row>
    <row r="3723" spans="12:74">
      <c r="L3723" s="265"/>
      <c r="M3723" s="265"/>
      <c r="N3723" s="265"/>
      <c r="O3723" s="265"/>
      <c r="P3723" s="265"/>
      <c r="Q3723" s="265"/>
      <c r="BR3723" s="265"/>
      <c r="BS3723" s="265"/>
      <c r="BT3723" s="265"/>
      <c r="BU3723" s="265"/>
      <c r="BV3723" s="265"/>
    </row>
    <row r="3724" spans="12:74">
      <c r="L3724" s="265"/>
      <c r="M3724" s="265"/>
      <c r="N3724" s="265"/>
      <c r="O3724" s="265"/>
      <c r="P3724" s="265"/>
      <c r="Q3724" s="265"/>
      <c r="BR3724" s="265"/>
      <c r="BS3724" s="265"/>
      <c r="BT3724" s="265"/>
      <c r="BU3724" s="265"/>
      <c r="BV3724" s="265"/>
    </row>
    <row r="3725" spans="12:74">
      <c r="L3725" s="265"/>
      <c r="M3725" s="265"/>
      <c r="N3725" s="265"/>
      <c r="O3725" s="265"/>
      <c r="P3725" s="265"/>
      <c r="Q3725" s="265"/>
      <c r="BR3725" s="265"/>
      <c r="BS3725" s="265"/>
      <c r="BT3725" s="265"/>
      <c r="BU3725" s="265"/>
      <c r="BV3725" s="265"/>
    </row>
    <row r="3726" spans="12:74">
      <c r="L3726" s="265"/>
      <c r="M3726" s="265"/>
      <c r="N3726" s="265"/>
      <c r="O3726" s="265"/>
      <c r="P3726" s="265"/>
      <c r="Q3726" s="265"/>
      <c r="BR3726" s="265"/>
      <c r="BS3726" s="265"/>
      <c r="BT3726" s="265"/>
      <c r="BU3726" s="265"/>
      <c r="BV3726" s="265"/>
    </row>
    <row r="3727" spans="12:74">
      <c r="L3727" s="265"/>
      <c r="M3727" s="265"/>
      <c r="N3727" s="265"/>
      <c r="O3727" s="265"/>
      <c r="P3727" s="265"/>
      <c r="Q3727" s="265"/>
      <c r="BR3727" s="265"/>
      <c r="BS3727" s="265"/>
      <c r="BT3727" s="265"/>
      <c r="BU3727" s="265"/>
      <c r="BV3727" s="265"/>
    </row>
    <row r="3728" spans="12:74">
      <c r="L3728" s="265"/>
      <c r="M3728" s="265"/>
      <c r="N3728" s="265"/>
      <c r="O3728" s="265"/>
      <c r="P3728" s="265"/>
      <c r="Q3728" s="265"/>
      <c r="BR3728" s="265"/>
      <c r="BS3728" s="265"/>
      <c r="BT3728" s="265"/>
      <c r="BU3728" s="265"/>
      <c r="BV3728" s="265"/>
    </row>
    <row r="3729" spans="12:74">
      <c r="L3729" s="265"/>
      <c r="M3729" s="265"/>
      <c r="N3729" s="265"/>
      <c r="O3729" s="265"/>
      <c r="P3729" s="265"/>
      <c r="Q3729" s="265"/>
      <c r="BR3729" s="265"/>
      <c r="BS3729" s="265"/>
      <c r="BT3729" s="265"/>
      <c r="BU3729" s="265"/>
      <c r="BV3729" s="265"/>
    </row>
    <row r="3730" spans="12:74">
      <c r="L3730" s="265"/>
      <c r="M3730" s="265"/>
      <c r="N3730" s="265"/>
      <c r="O3730" s="265"/>
      <c r="P3730" s="265"/>
      <c r="Q3730" s="265"/>
      <c r="BR3730" s="265"/>
      <c r="BS3730" s="265"/>
      <c r="BT3730" s="265"/>
      <c r="BU3730" s="265"/>
      <c r="BV3730" s="265"/>
    </row>
    <row r="3731" spans="12:74">
      <c r="L3731" s="265"/>
      <c r="M3731" s="265"/>
      <c r="N3731" s="265"/>
      <c r="O3731" s="265"/>
      <c r="P3731" s="265"/>
      <c r="Q3731" s="265"/>
      <c r="BR3731" s="265"/>
      <c r="BS3731" s="265"/>
      <c r="BT3731" s="265"/>
      <c r="BU3731" s="265"/>
      <c r="BV3731" s="265"/>
    </row>
    <row r="3732" spans="12:74">
      <c r="L3732" s="265"/>
      <c r="M3732" s="265"/>
      <c r="N3732" s="265"/>
      <c r="O3732" s="265"/>
      <c r="P3732" s="265"/>
      <c r="Q3732" s="265"/>
      <c r="BR3732" s="265"/>
      <c r="BS3732" s="265"/>
      <c r="BT3732" s="265"/>
      <c r="BU3732" s="265"/>
      <c r="BV3732" s="265"/>
    </row>
    <row r="3733" spans="12:74">
      <c r="L3733" s="265"/>
      <c r="M3733" s="265"/>
      <c r="N3733" s="265"/>
      <c r="O3733" s="265"/>
      <c r="P3733" s="265"/>
      <c r="Q3733" s="265"/>
      <c r="BR3733" s="265"/>
      <c r="BS3733" s="265"/>
      <c r="BT3733" s="265"/>
      <c r="BU3733" s="265"/>
      <c r="BV3733" s="265"/>
    </row>
    <row r="3734" spans="12:74">
      <c r="L3734" s="265"/>
      <c r="M3734" s="265"/>
      <c r="N3734" s="265"/>
      <c r="O3734" s="265"/>
      <c r="P3734" s="265"/>
      <c r="Q3734" s="265"/>
      <c r="BR3734" s="265"/>
      <c r="BS3734" s="265"/>
      <c r="BT3734" s="265"/>
      <c r="BU3734" s="265"/>
      <c r="BV3734" s="265"/>
    </row>
    <row r="3735" spans="12:74">
      <c r="L3735" s="265"/>
      <c r="M3735" s="265"/>
      <c r="N3735" s="265"/>
      <c r="O3735" s="265"/>
      <c r="P3735" s="265"/>
      <c r="Q3735" s="265"/>
      <c r="BR3735" s="265"/>
      <c r="BS3735" s="265"/>
      <c r="BT3735" s="265"/>
      <c r="BU3735" s="265"/>
      <c r="BV3735" s="265"/>
    </row>
    <row r="3736" spans="12:74">
      <c r="L3736" s="265"/>
      <c r="M3736" s="265"/>
      <c r="N3736" s="265"/>
      <c r="O3736" s="265"/>
      <c r="P3736" s="265"/>
      <c r="Q3736" s="265"/>
      <c r="BR3736" s="265"/>
      <c r="BS3736" s="265"/>
      <c r="BT3736" s="265"/>
      <c r="BU3736" s="265"/>
      <c r="BV3736" s="265"/>
    </row>
    <row r="3737" spans="12:74">
      <c r="L3737" s="265"/>
      <c r="M3737" s="265"/>
      <c r="N3737" s="265"/>
      <c r="O3737" s="265"/>
      <c r="P3737" s="265"/>
      <c r="Q3737" s="265"/>
      <c r="BR3737" s="265"/>
      <c r="BS3737" s="265"/>
      <c r="BT3737" s="265"/>
      <c r="BU3737" s="265"/>
      <c r="BV3737" s="265"/>
    </row>
    <row r="3738" spans="12:74">
      <c r="L3738" s="265"/>
      <c r="M3738" s="265"/>
      <c r="N3738" s="265"/>
      <c r="O3738" s="265"/>
      <c r="P3738" s="265"/>
      <c r="Q3738" s="265"/>
      <c r="BR3738" s="265"/>
      <c r="BS3738" s="265"/>
      <c r="BT3738" s="265"/>
      <c r="BU3738" s="265"/>
      <c r="BV3738" s="265"/>
    </row>
    <row r="3739" spans="12:74">
      <c r="L3739" s="265"/>
      <c r="M3739" s="265"/>
      <c r="N3739" s="265"/>
      <c r="O3739" s="265"/>
      <c r="P3739" s="265"/>
      <c r="Q3739" s="265"/>
      <c r="BR3739" s="265"/>
      <c r="BS3739" s="265"/>
      <c r="BT3739" s="265"/>
      <c r="BU3739" s="265"/>
      <c r="BV3739" s="265"/>
    </row>
    <row r="3740" spans="12:74">
      <c r="L3740" s="265"/>
      <c r="M3740" s="265"/>
      <c r="N3740" s="265"/>
      <c r="O3740" s="265"/>
      <c r="P3740" s="265"/>
      <c r="Q3740" s="265"/>
      <c r="BR3740" s="265"/>
      <c r="BS3740" s="265"/>
      <c r="BT3740" s="265"/>
      <c r="BU3740" s="265"/>
      <c r="BV3740" s="265"/>
    </row>
    <row r="3741" spans="12:74">
      <c r="L3741" s="265"/>
      <c r="M3741" s="265"/>
      <c r="N3741" s="265"/>
      <c r="O3741" s="265"/>
      <c r="P3741" s="265"/>
      <c r="Q3741" s="265"/>
      <c r="BR3741" s="265"/>
      <c r="BS3741" s="265"/>
      <c r="BT3741" s="265"/>
      <c r="BU3741" s="265"/>
      <c r="BV3741" s="265"/>
    </row>
    <row r="3742" spans="12:74">
      <c r="L3742" s="265"/>
      <c r="M3742" s="265"/>
      <c r="N3742" s="265"/>
      <c r="O3742" s="265"/>
      <c r="P3742" s="265"/>
      <c r="Q3742" s="265"/>
      <c r="BR3742" s="265"/>
      <c r="BS3742" s="265"/>
      <c r="BT3742" s="265"/>
      <c r="BU3742" s="265"/>
      <c r="BV3742" s="265"/>
    </row>
    <row r="3743" spans="12:74">
      <c r="L3743" s="265"/>
      <c r="M3743" s="265"/>
      <c r="N3743" s="265"/>
      <c r="O3743" s="265"/>
      <c r="P3743" s="265"/>
      <c r="Q3743" s="265"/>
      <c r="BR3743" s="265"/>
      <c r="BS3743" s="265"/>
      <c r="BT3743" s="265"/>
      <c r="BU3743" s="265"/>
      <c r="BV3743" s="265"/>
    </row>
    <row r="3744" spans="12:74">
      <c r="L3744" s="265"/>
      <c r="M3744" s="265"/>
      <c r="N3744" s="265"/>
      <c r="O3744" s="265"/>
      <c r="P3744" s="265"/>
      <c r="Q3744" s="265"/>
      <c r="BR3744" s="265"/>
      <c r="BS3744" s="265"/>
      <c r="BT3744" s="265"/>
      <c r="BU3744" s="265"/>
      <c r="BV3744" s="265"/>
    </row>
    <row r="3745" spans="12:74">
      <c r="L3745" s="265"/>
      <c r="M3745" s="265"/>
      <c r="N3745" s="265"/>
      <c r="O3745" s="265"/>
      <c r="P3745" s="265"/>
      <c r="Q3745" s="265"/>
      <c r="BR3745" s="265"/>
      <c r="BS3745" s="265"/>
      <c r="BT3745" s="265"/>
      <c r="BU3745" s="265"/>
      <c r="BV3745" s="265"/>
    </row>
    <row r="3746" spans="12:74">
      <c r="L3746" s="265"/>
      <c r="M3746" s="265"/>
      <c r="N3746" s="265"/>
      <c r="O3746" s="265"/>
      <c r="P3746" s="265"/>
      <c r="Q3746" s="265"/>
      <c r="BR3746" s="265"/>
      <c r="BS3746" s="265"/>
      <c r="BT3746" s="265"/>
      <c r="BU3746" s="265"/>
      <c r="BV3746" s="265"/>
    </row>
    <row r="3747" spans="12:74">
      <c r="L3747" s="265"/>
      <c r="M3747" s="265"/>
      <c r="N3747" s="265"/>
      <c r="O3747" s="265"/>
      <c r="P3747" s="265"/>
      <c r="Q3747" s="265"/>
      <c r="BR3747" s="265"/>
      <c r="BS3747" s="265"/>
      <c r="BT3747" s="265"/>
      <c r="BU3747" s="265"/>
      <c r="BV3747" s="265"/>
    </row>
    <row r="3748" spans="12:74">
      <c r="L3748" s="265"/>
      <c r="M3748" s="265"/>
      <c r="N3748" s="265"/>
      <c r="O3748" s="265"/>
      <c r="P3748" s="265"/>
      <c r="Q3748" s="265"/>
      <c r="BR3748" s="265"/>
      <c r="BS3748" s="265"/>
      <c r="BT3748" s="265"/>
      <c r="BU3748" s="265"/>
      <c r="BV3748" s="265"/>
    </row>
    <row r="3749" spans="12:74">
      <c r="L3749" s="265"/>
      <c r="M3749" s="265"/>
      <c r="N3749" s="265"/>
      <c r="O3749" s="265"/>
      <c r="P3749" s="265"/>
      <c r="Q3749" s="265"/>
      <c r="BR3749" s="265"/>
      <c r="BS3749" s="265"/>
      <c r="BT3749" s="265"/>
      <c r="BU3749" s="265"/>
      <c r="BV3749" s="265"/>
    </row>
    <row r="3750" spans="12:74">
      <c r="L3750" s="265"/>
      <c r="M3750" s="265"/>
      <c r="N3750" s="265"/>
      <c r="O3750" s="265"/>
      <c r="P3750" s="265"/>
      <c r="Q3750" s="265"/>
      <c r="BR3750" s="265"/>
      <c r="BS3750" s="265"/>
      <c r="BT3750" s="265"/>
      <c r="BU3750" s="265"/>
      <c r="BV3750" s="265"/>
    </row>
    <row r="3751" spans="12:74">
      <c r="L3751" s="265"/>
      <c r="M3751" s="265"/>
      <c r="N3751" s="265"/>
      <c r="O3751" s="265"/>
      <c r="P3751" s="265"/>
      <c r="Q3751" s="265"/>
      <c r="BR3751" s="265"/>
      <c r="BS3751" s="265"/>
      <c r="BT3751" s="265"/>
      <c r="BU3751" s="265"/>
      <c r="BV3751" s="265"/>
    </row>
    <row r="3752" spans="12:74">
      <c r="L3752" s="265"/>
      <c r="M3752" s="265"/>
      <c r="N3752" s="265"/>
      <c r="O3752" s="265"/>
      <c r="P3752" s="265"/>
      <c r="Q3752" s="265"/>
      <c r="BR3752" s="265"/>
      <c r="BS3752" s="265"/>
      <c r="BT3752" s="265"/>
      <c r="BU3752" s="265"/>
      <c r="BV3752" s="265"/>
    </row>
    <row r="3753" spans="12:74">
      <c r="L3753" s="265"/>
      <c r="M3753" s="265"/>
      <c r="N3753" s="265"/>
      <c r="O3753" s="265"/>
      <c r="P3753" s="265"/>
      <c r="Q3753" s="265"/>
      <c r="BR3753" s="265"/>
      <c r="BS3753" s="265"/>
      <c r="BT3753" s="265"/>
      <c r="BU3753" s="265"/>
      <c r="BV3753" s="265"/>
    </row>
    <row r="3754" spans="12:74">
      <c r="L3754" s="265"/>
      <c r="M3754" s="265"/>
      <c r="N3754" s="265"/>
      <c r="O3754" s="265"/>
      <c r="P3754" s="265"/>
      <c r="Q3754" s="265"/>
      <c r="BR3754" s="265"/>
      <c r="BS3754" s="265"/>
      <c r="BT3754" s="265"/>
      <c r="BU3754" s="265"/>
      <c r="BV3754" s="265"/>
    </row>
    <row r="3755" spans="12:74">
      <c r="L3755" s="265"/>
      <c r="M3755" s="265"/>
      <c r="N3755" s="265"/>
      <c r="O3755" s="265"/>
      <c r="P3755" s="265"/>
      <c r="Q3755" s="265"/>
      <c r="BR3755" s="265"/>
      <c r="BS3755" s="265"/>
      <c r="BT3755" s="265"/>
      <c r="BU3755" s="265"/>
      <c r="BV3755" s="265"/>
    </row>
    <row r="3756" spans="12:74">
      <c r="L3756" s="265"/>
      <c r="M3756" s="265"/>
      <c r="N3756" s="265"/>
      <c r="O3756" s="265"/>
      <c r="P3756" s="265"/>
      <c r="Q3756" s="265"/>
      <c r="BR3756" s="265"/>
      <c r="BS3756" s="265"/>
      <c r="BT3756" s="265"/>
      <c r="BU3756" s="265"/>
      <c r="BV3756" s="265"/>
    </row>
    <row r="3757" spans="12:74">
      <c r="L3757" s="265"/>
      <c r="M3757" s="265"/>
      <c r="N3757" s="265"/>
      <c r="O3757" s="265"/>
      <c r="P3757" s="265"/>
      <c r="Q3757" s="265"/>
      <c r="BR3757" s="265"/>
      <c r="BS3757" s="265"/>
      <c r="BT3757" s="265"/>
      <c r="BU3757" s="265"/>
      <c r="BV3757" s="265"/>
    </row>
    <row r="3758" spans="12:74">
      <c r="L3758" s="265"/>
      <c r="M3758" s="265"/>
      <c r="N3758" s="265"/>
      <c r="O3758" s="265"/>
      <c r="P3758" s="265"/>
      <c r="Q3758" s="265"/>
      <c r="BR3758" s="265"/>
      <c r="BS3758" s="265"/>
      <c r="BT3758" s="265"/>
      <c r="BU3758" s="265"/>
      <c r="BV3758" s="265"/>
    </row>
    <row r="3759" spans="12:74">
      <c r="L3759" s="265"/>
      <c r="M3759" s="265"/>
      <c r="N3759" s="265"/>
      <c r="O3759" s="265"/>
      <c r="P3759" s="265"/>
      <c r="Q3759" s="265"/>
      <c r="BR3759" s="265"/>
      <c r="BS3759" s="265"/>
      <c r="BT3759" s="265"/>
      <c r="BU3759" s="265"/>
      <c r="BV3759" s="265"/>
    </row>
    <row r="3760" spans="12:74">
      <c r="L3760" s="265"/>
      <c r="M3760" s="265"/>
      <c r="N3760" s="265"/>
      <c r="O3760" s="265"/>
      <c r="P3760" s="265"/>
      <c r="Q3760" s="265"/>
      <c r="BR3760" s="265"/>
      <c r="BS3760" s="265"/>
      <c r="BT3760" s="265"/>
      <c r="BU3760" s="265"/>
      <c r="BV3760" s="265"/>
    </row>
    <row r="3761" spans="12:74">
      <c r="L3761" s="265"/>
      <c r="M3761" s="265"/>
      <c r="N3761" s="265"/>
      <c r="O3761" s="265"/>
      <c r="P3761" s="265"/>
      <c r="Q3761" s="265"/>
      <c r="BR3761" s="265"/>
      <c r="BS3761" s="265"/>
      <c r="BT3761" s="265"/>
      <c r="BU3761" s="265"/>
      <c r="BV3761" s="265"/>
    </row>
    <row r="3762" spans="12:74">
      <c r="L3762" s="265"/>
      <c r="M3762" s="265"/>
      <c r="N3762" s="265"/>
      <c r="O3762" s="265"/>
      <c r="P3762" s="265"/>
      <c r="Q3762" s="265"/>
      <c r="BR3762" s="265"/>
      <c r="BS3762" s="265"/>
      <c r="BT3762" s="265"/>
      <c r="BU3762" s="265"/>
      <c r="BV3762" s="265"/>
    </row>
    <row r="3763" spans="12:74">
      <c r="L3763" s="265"/>
      <c r="M3763" s="265"/>
      <c r="N3763" s="265"/>
      <c r="O3763" s="265"/>
      <c r="P3763" s="265"/>
      <c r="Q3763" s="265"/>
      <c r="BR3763" s="265"/>
      <c r="BS3763" s="265"/>
      <c r="BT3763" s="265"/>
      <c r="BU3763" s="265"/>
      <c r="BV3763" s="265"/>
    </row>
    <row r="3764" spans="12:74">
      <c r="L3764" s="265"/>
      <c r="M3764" s="265"/>
      <c r="N3764" s="265"/>
      <c r="O3764" s="265"/>
      <c r="P3764" s="265"/>
      <c r="Q3764" s="265"/>
      <c r="BR3764" s="265"/>
      <c r="BS3764" s="265"/>
      <c r="BT3764" s="265"/>
      <c r="BU3764" s="265"/>
      <c r="BV3764" s="265"/>
    </row>
    <row r="3765" spans="12:74">
      <c r="L3765" s="265"/>
      <c r="M3765" s="265"/>
      <c r="N3765" s="265"/>
      <c r="O3765" s="265"/>
      <c r="P3765" s="265"/>
      <c r="Q3765" s="265"/>
      <c r="BR3765" s="265"/>
      <c r="BS3765" s="265"/>
      <c r="BT3765" s="265"/>
      <c r="BU3765" s="265"/>
      <c r="BV3765" s="265"/>
    </row>
    <row r="3766" spans="12:74">
      <c r="L3766" s="265"/>
      <c r="M3766" s="265"/>
      <c r="N3766" s="265"/>
      <c r="O3766" s="265"/>
      <c r="P3766" s="265"/>
      <c r="Q3766" s="265"/>
      <c r="BR3766" s="265"/>
      <c r="BS3766" s="265"/>
      <c r="BT3766" s="265"/>
      <c r="BU3766" s="265"/>
      <c r="BV3766" s="265"/>
    </row>
    <row r="3767" spans="12:74">
      <c r="L3767" s="265"/>
      <c r="M3767" s="265"/>
      <c r="N3767" s="265"/>
      <c r="O3767" s="265"/>
      <c r="P3767" s="265"/>
      <c r="Q3767" s="265"/>
      <c r="BR3767" s="265"/>
      <c r="BS3767" s="265"/>
      <c r="BT3767" s="265"/>
      <c r="BU3767" s="265"/>
      <c r="BV3767" s="265"/>
    </row>
    <row r="3768" spans="12:74">
      <c r="L3768" s="265"/>
      <c r="M3768" s="265"/>
      <c r="N3768" s="265"/>
      <c r="O3768" s="265"/>
      <c r="P3768" s="265"/>
      <c r="Q3768" s="265"/>
      <c r="BR3768" s="265"/>
      <c r="BS3768" s="265"/>
      <c r="BT3768" s="265"/>
      <c r="BU3768" s="265"/>
      <c r="BV3768" s="265"/>
    </row>
    <row r="3769" spans="12:74">
      <c r="L3769" s="265"/>
      <c r="M3769" s="265"/>
      <c r="N3769" s="265"/>
      <c r="O3769" s="265"/>
      <c r="P3769" s="265"/>
      <c r="Q3769" s="265"/>
      <c r="BR3769" s="265"/>
      <c r="BS3769" s="265"/>
      <c r="BT3769" s="265"/>
      <c r="BU3769" s="265"/>
      <c r="BV3769" s="265"/>
    </row>
    <row r="3770" spans="12:74">
      <c r="L3770" s="265"/>
      <c r="M3770" s="265"/>
      <c r="N3770" s="265"/>
      <c r="O3770" s="265"/>
      <c r="P3770" s="265"/>
      <c r="Q3770" s="265"/>
      <c r="BR3770" s="265"/>
      <c r="BS3770" s="265"/>
      <c r="BT3770" s="265"/>
      <c r="BU3770" s="265"/>
      <c r="BV3770" s="265"/>
    </row>
    <row r="3771" spans="12:74">
      <c r="L3771" s="265"/>
      <c r="M3771" s="265"/>
      <c r="N3771" s="265"/>
      <c r="O3771" s="265"/>
      <c r="P3771" s="265"/>
      <c r="Q3771" s="265"/>
      <c r="BR3771" s="265"/>
      <c r="BS3771" s="265"/>
      <c r="BT3771" s="265"/>
      <c r="BU3771" s="265"/>
      <c r="BV3771" s="265"/>
    </row>
    <row r="3772" spans="12:74">
      <c r="L3772" s="265"/>
      <c r="M3772" s="265"/>
      <c r="N3772" s="265"/>
      <c r="O3772" s="265"/>
      <c r="P3772" s="265"/>
      <c r="Q3772" s="265"/>
      <c r="BR3772" s="265"/>
      <c r="BS3772" s="265"/>
      <c r="BT3772" s="265"/>
      <c r="BU3772" s="265"/>
      <c r="BV3772" s="265"/>
    </row>
    <row r="3773" spans="12:74">
      <c r="L3773" s="265"/>
      <c r="M3773" s="265"/>
      <c r="N3773" s="265"/>
      <c r="O3773" s="265"/>
      <c r="P3773" s="265"/>
      <c r="Q3773" s="265"/>
      <c r="BR3773" s="265"/>
      <c r="BS3773" s="265"/>
      <c r="BT3773" s="265"/>
      <c r="BU3773" s="265"/>
      <c r="BV3773" s="265"/>
    </row>
    <row r="3774" spans="12:74">
      <c r="L3774" s="265"/>
      <c r="M3774" s="265"/>
      <c r="N3774" s="265"/>
      <c r="O3774" s="265"/>
      <c r="P3774" s="265"/>
      <c r="Q3774" s="265"/>
      <c r="BR3774" s="265"/>
      <c r="BS3774" s="265"/>
      <c r="BT3774" s="265"/>
      <c r="BU3774" s="265"/>
      <c r="BV3774" s="265"/>
    </row>
    <row r="3775" spans="12:74">
      <c r="L3775" s="265"/>
      <c r="M3775" s="265"/>
      <c r="N3775" s="265"/>
      <c r="O3775" s="265"/>
      <c r="P3775" s="265"/>
      <c r="Q3775" s="265"/>
      <c r="BR3775" s="265"/>
      <c r="BS3775" s="265"/>
      <c r="BT3775" s="265"/>
      <c r="BU3775" s="265"/>
      <c r="BV3775" s="265"/>
    </row>
    <row r="3776" spans="12:74">
      <c r="L3776" s="265"/>
      <c r="M3776" s="265"/>
      <c r="N3776" s="265"/>
      <c r="O3776" s="265"/>
      <c r="P3776" s="265"/>
      <c r="Q3776" s="265"/>
      <c r="BR3776" s="265"/>
      <c r="BS3776" s="265"/>
      <c r="BT3776" s="265"/>
      <c r="BU3776" s="265"/>
      <c r="BV3776" s="265"/>
    </row>
    <row r="3777" spans="12:74">
      <c r="L3777" s="265"/>
      <c r="M3777" s="265"/>
      <c r="N3777" s="265"/>
      <c r="O3777" s="265"/>
      <c r="P3777" s="265"/>
      <c r="Q3777" s="265"/>
      <c r="BR3777" s="265"/>
      <c r="BS3777" s="265"/>
      <c r="BT3777" s="265"/>
      <c r="BU3777" s="265"/>
      <c r="BV3777" s="265"/>
    </row>
    <row r="3778" spans="12:74">
      <c r="L3778" s="265"/>
      <c r="M3778" s="265"/>
      <c r="N3778" s="265"/>
      <c r="O3778" s="265"/>
      <c r="P3778" s="265"/>
      <c r="Q3778" s="265"/>
      <c r="BR3778" s="265"/>
      <c r="BS3778" s="265"/>
      <c r="BT3778" s="265"/>
      <c r="BU3778" s="265"/>
      <c r="BV3778" s="265"/>
    </row>
    <row r="3779" spans="12:74">
      <c r="L3779" s="265"/>
      <c r="M3779" s="265"/>
      <c r="N3779" s="265"/>
      <c r="O3779" s="265"/>
      <c r="P3779" s="265"/>
      <c r="Q3779" s="265"/>
      <c r="BR3779" s="265"/>
      <c r="BS3779" s="265"/>
      <c r="BT3779" s="265"/>
      <c r="BU3779" s="265"/>
      <c r="BV3779" s="265"/>
    </row>
    <row r="3780" spans="12:74">
      <c r="L3780" s="265"/>
      <c r="M3780" s="265"/>
      <c r="N3780" s="265"/>
      <c r="O3780" s="265"/>
      <c r="P3780" s="265"/>
      <c r="Q3780" s="265"/>
      <c r="BR3780" s="265"/>
      <c r="BS3780" s="265"/>
      <c r="BT3780" s="265"/>
      <c r="BU3780" s="265"/>
      <c r="BV3780" s="265"/>
    </row>
    <row r="3781" spans="12:74">
      <c r="L3781" s="265"/>
      <c r="M3781" s="265"/>
      <c r="N3781" s="265"/>
      <c r="O3781" s="265"/>
      <c r="P3781" s="265"/>
      <c r="Q3781" s="265"/>
      <c r="BR3781" s="265"/>
      <c r="BS3781" s="265"/>
      <c r="BT3781" s="265"/>
      <c r="BU3781" s="265"/>
      <c r="BV3781" s="265"/>
    </row>
    <row r="3782" spans="12:74">
      <c r="L3782" s="265"/>
      <c r="M3782" s="265"/>
      <c r="N3782" s="265"/>
      <c r="O3782" s="265"/>
      <c r="P3782" s="265"/>
      <c r="Q3782" s="265"/>
      <c r="BR3782" s="265"/>
      <c r="BS3782" s="265"/>
      <c r="BT3782" s="265"/>
      <c r="BU3782" s="265"/>
      <c r="BV3782" s="265"/>
    </row>
    <row r="3783" spans="12:74">
      <c r="L3783" s="265"/>
      <c r="M3783" s="265"/>
      <c r="N3783" s="265"/>
      <c r="O3783" s="265"/>
      <c r="P3783" s="265"/>
      <c r="Q3783" s="265"/>
      <c r="BR3783" s="265"/>
      <c r="BS3783" s="265"/>
      <c r="BT3783" s="265"/>
      <c r="BU3783" s="265"/>
      <c r="BV3783" s="265"/>
    </row>
    <row r="3784" spans="12:74">
      <c r="L3784" s="265"/>
      <c r="M3784" s="265"/>
      <c r="N3784" s="265"/>
      <c r="O3784" s="265"/>
      <c r="P3784" s="265"/>
      <c r="Q3784" s="265"/>
      <c r="BR3784" s="265"/>
      <c r="BS3784" s="265"/>
      <c r="BT3784" s="265"/>
      <c r="BU3784" s="265"/>
      <c r="BV3784" s="265"/>
    </row>
    <row r="3785" spans="12:74">
      <c r="L3785" s="265"/>
      <c r="M3785" s="265"/>
      <c r="N3785" s="265"/>
      <c r="O3785" s="265"/>
      <c r="P3785" s="265"/>
      <c r="Q3785" s="265"/>
      <c r="BR3785" s="265"/>
      <c r="BS3785" s="265"/>
      <c r="BT3785" s="265"/>
      <c r="BU3785" s="265"/>
      <c r="BV3785" s="265"/>
    </row>
    <row r="3786" spans="12:74">
      <c r="L3786" s="265"/>
      <c r="M3786" s="265"/>
      <c r="N3786" s="265"/>
      <c r="O3786" s="265"/>
      <c r="P3786" s="265"/>
      <c r="Q3786" s="265"/>
      <c r="BR3786" s="265"/>
      <c r="BS3786" s="265"/>
      <c r="BT3786" s="265"/>
      <c r="BU3786" s="265"/>
      <c r="BV3786" s="265"/>
    </row>
    <row r="3787" spans="12:74">
      <c r="L3787" s="265"/>
      <c r="M3787" s="265"/>
      <c r="N3787" s="265"/>
      <c r="O3787" s="265"/>
      <c r="P3787" s="265"/>
      <c r="Q3787" s="265"/>
      <c r="BR3787" s="265"/>
      <c r="BS3787" s="265"/>
      <c r="BT3787" s="265"/>
      <c r="BU3787" s="265"/>
      <c r="BV3787" s="265"/>
    </row>
    <row r="3788" spans="12:74">
      <c r="L3788" s="265"/>
      <c r="M3788" s="265"/>
      <c r="N3788" s="265"/>
      <c r="O3788" s="265"/>
      <c r="P3788" s="265"/>
      <c r="Q3788" s="265"/>
      <c r="BR3788" s="265"/>
      <c r="BS3788" s="265"/>
      <c r="BT3788" s="265"/>
      <c r="BU3788" s="265"/>
      <c r="BV3788" s="265"/>
    </row>
    <row r="3789" spans="12:74">
      <c r="L3789" s="265"/>
      <c r="M3789" s="265"/>
      <c r="N3789" s="265"/>
      <c r="O3789" s="265"/>
      <c r="P3789" s="265"/>
      <c r="Q3789" s="265"/>
      <c r="BR3789" s="265"/>
      <c r="BS3789" s="265"/>
      <c r="BT3789" s="265"/>
      <c r="BU3789" s="265"/>
      <c r="BV3789" s="265"/>
    </row>
    <row r="3790" spans="12:74">
      <c r="L3790" s="265"/>
      <c r="M3790" s="265"/>
      <c r="N3790" s="265"/>
      <c r="O3790" s="265"/>
      <c r="P3790" s="265"/>
      <c r="Q3790" s="265"/>
      <c r="BR3790" s="265"/>
      <c r="BS3790" s="265"/>
      <c r="BT3790" s="265"/>
      <c r="BU3790" s="265"/>
      <c r="BV3790" s="265"/>
    </row>
    <row r="3791" spans="12:74">
      <c r="L3791" s="265"/>
      <c r="M3791" s="265"/>
      <c r="N3791" s="265"/>
      <c r="O3791" s="265"/>
      <c r="P3791" s="265"/>
      <c r="Q3791" s="265"/>
      <c r="BR3791" s="265"/>
      <c r="BS3791" s="265"/>
      <c r="BT3791" s="265"/>
      <c r="BU3791" s="265"/>
      <c r="BV3791" s="265"/>
    </row>
    <row r="3792" spans="12:74">
      <c r="L3792" s="265"/>
      <c r="M3792" s="265"/>
      <c r="N3792" s="265"/>
      <c r="O3792" s="265"/>
      <c r="P3792" s="265"/>
      <c r="Q3792" s="265"/>
      <c r="BR3792" s="265"/>
      <c r="BS3792" s="265"/>
      <c r="BT3792" s="265"/>
      <c r="BU3792" s="265"/>
      <c r="BV3792" s="265"/>
    </row>
    <row r="3793" spans="12:74">
      <c r="L3793" s="265"/>
      <c r="M3793" s="265"/>
      <c r="N3793" s="265"/>
      <c r="O3793" s="265"/>
      <c r="P3793" s="265"/>
      <c r="Q3793" s="265"/>
      <c r="BR3793" s="265"/>
      <c r="BS3793" s="265"/>
      <c r="BT3793" s="265"/>
      <c r="BU3793" s="265"/>
      <c r="BV3793" s="265"/>
    </row>
    <row r="3794" spans="12:74">
      <c r="L3794" s="265"/>
      <c r="M3794" s="265"/>
      <c r="N3794" s="265"/>
      <c r="O3794" s="265"/>
      <c r="P3794" s="265"/>
      <c r="Q3794" s="265"/>
      <c r="BR3794" s="265"/>
      <c r="BS3794" s="265"/>
      <c r="BT3794" s="265"/>
      <c r="BU3794" s="265"/>
      <c r="BV3794" s="265"/>
    </row>
    <row r="3795" spans="12:74">
      <c r="L3795" s="265"/>
      <c r="M3795" s="265"/>
      <c r="N3795" s="265"/>
      <c r="O3795" s="265"/>
      <c r="P3795" s="265"/>
      <c r="Q3795" s="265"/>
      <c r="BR3795" s="265"/>
      <c r="BS3795" s="265"/>
      <c r="BT3795" s="265"/>
      <c r="BU3795" s="265"/>
      <c r="BV3795" s="265"/>
    </row>
    <row r="3796" spans="12:74">
      <c r="L3796" s="265"/>
      <c r="M3796" s="265"/>
      <c r="N3796" s="265"/>
      <c r="O3796" s="265"/>
      <c r="P3796" s="265"/>
      <c r="Q3796" s="265"/>
      <c r="BR3796" s="265"/>
      <c r="BS3796" s="265"/>
      <c r="BT3796" s="265"/>
      <c r="BU3796" s="265"/>
      <c r="BV3796" s="265"/>
    </row>
    <row r="3797" spans="12:74">
      <c r="L3797" s="265"/>
      <c r="M3797" s="265"/>
      <c r="N3797" s="265"/>
      <c r="O3797" s="265"/>
      <c r="P3797" s="265"/>
      <c r="Q3797" s="265"/>
      <c r="BR3797" s="265"/>
      <c r="BS3797" s="265"/>
      <c r="BT3797" s="265"/>
      <c r="BU3797" s="265"/>
      <c r="BV3797" s="265"/>
    </row>
    <row r="3798" spans="12:74">
      <c r="L3798" s="265"/>
      <c r="M3798" s="265"/>
      <c r="N3798" s="265"/>
      <c r="O3798" s="265"/>
      <c r="P3798" s="265"/>
      <c r="Q3798" s="265"/>
      <c r="BR3798" s="265"/>
      <c r="BS3798" s="265"/>
      <c r="BT3798" s="265"/>
      <c r="BU3798" s="265"/>
      <c r="BV3798" s="265"/>
    </row>
    <row r="3799" spans="12:74">
      <c r="L3799" s="265"/>
      <c r="M3799" s="265"/>
      <c r="N3799" s="265"/>
      <c r="O3799" s="265"/>
      <c r="P3799" s="265"/>
      <c r="Q3799" s="265"/>
      <c r="BR3799" s="265"/>
      <c r="BS3799" s="265"/>
      <c r="BT3799" s="265"/>
      <c r="BU3799" s="265"/>
      <c r="BV3799" s="265"/>
    </row>
    <row r="3800" spans="12:74">
      <c r="L3800" s="265"/>
      <c r="M3800" s="265"/>
      <c r="N3800" s="265"/>
      <c r="O3800" s="265"/>
      <c r="P3800" s="265"/>
      <c r="Q3800" s="265"/>
      <c r="BR3800" s="265"/>
      <c r="BS3800" s="265"/>
      <c r="BT3800" s="265"/>
      <c r="BU3800" s="265"/>
      <c r="BV3800" s="265"/>
    </row>
    <row r="3801" spans="12:74">
      <c r="L3801" s="265"/>
      <c r="M3801" s="265"/>
      <c r="N3801" s="265"/>
      <c r="O3801" s="265"/>
      <c r="P3801" s="265"/>
      <c r="Q3801" s="265"/>
      <c r="BR3801" s="265"/>
      <c r="BS3801" s="265"/>
      <c r="BT3801" s="265"/>
      <c r="BU3801" s="265"/>
      <c r="BV3801" s="265"/>
    </row>
    <row r="3802" spans="12:74">
      <c r="L3802" s="265"/>
      <c r="M3802" s="265"/>
      <c r="N3802" s="265"/>
      <c r="O3802" s="265"/>
      <c r="P3802" s="265"/>
      <c r="Q3802" s="265"/>
      <c r="BR3802" s="265"/>
      <c r="BS3802" s="265"/>
      <c r="BT3802" s="265"/>
      <c r="BU3802" s="265"/>
      <c r="BV3802" s="265"/>
    </row>
    <row r="3803" spans="12:74">
      <c r="L3803" s="265"/>
      <c r="M3803" s="265"/>
      <c r="N3803" s="265"/>
      <c r="O3803" s="265"/>
      <c r="P3803" s="265"/>
      <c r="Q3803" s="265"/>
      <c r="BR3803" s="265"/>
      <c r="BS3803" s="265"/>
      <c r="BT3803" s="265"/>
      <c r="BU3803" s="265"/>
      <c r="BV3803" s="265"/>
    </row>
    <row r="3804" spans="12:74">
      <c r="L3804" s="265"/>
      <c r="M3804" s="265"/>
      <c r="N3804" s="265"/>
      <c r="O3804" s="265"/>
      <c r="P3804" s="265"/>
      <c r="Q3804" s="265"/>
      <c r="BR3804" s="265"/>
      <c r="BS3804" s="265"/>
      <c r="BT3804" s="265"/>
      <c r="BU3804" s="265"/>
      <c r="BV3804" s="265"/>
    </row>
    <row r="3805" spans="12:74">
      <c r="L3805" s="265"/>
      <c r="M3805" s="265"/>
      <c r="N3805" s="265"/>
      <c r="O3805" s="265"/>
      <c r="P3805" s="265"/>
      <c r="Q3805" s="265"/>
      <c r="BR3805" s="265"/>
      <c r="BS3805" s="265"/>
      <c r="BT3805" s="265"/>
      <c r="BU3805" s="265"/>
      <c r="BV3805" s="265"/>
    </row>
    <row r="3806" spans="12:74">
      <c r="L3806" s="265"/>
      <c r="M3806" s="265"/>
      <c r="N3806" s="265"/>
      <c r="O3806" s="265"/>
      <c r="P3806" s="265"/>
      <c r="Q3806" s="265"/>
      <c r="BR3806" s="265"/>
      <c r="BS3806" s="265"/>
      <c r="BT3806" s="265"/>
      <c r="BU3806" s="265"/>
      <c r="BV3806" s="265"/>
    </row>
    <row r="3807" spans="12:74">
      <c r="L3807" s="265"/>
      <c r="M3807" s="265"/>
      <c r="N3807" s="265"/>
      <c r="O3807" s="265"/>
      <c r="P3807" s="265"/>
      <c r="Q3807" s="265"/>
      <c r="BR3807" s="265"/>
      <c r="BS3807" s="265"/>
      <c r="BT3807" s="265"/>
      <c r="BU3807" s="265"/>
      <c r="BV3807" s="265"/>
    </row>
    <row r="3808" spans="12:74">
      <c r="L3808" s="265"/>
      <c r="M3808" s="265"/>
      <c r="N3808" s="265"/>
      <c r="O3808" s="265"/>
      <c r="P3808" s="265"/>
      <c r="Q3808" s="265"/>
      <c r="BR3808" s="265"/>
      <c r="BS3808" s="265"/>
      <c r="BT3808" s="265"/>
      <c r="BU3808" s="265"/>
      <c r="BV3808" s="265"/>
    </row>
    <row r="3809" spans="12:74">
      <c r="L3809" s="265"/>
      <c r="M3809" s="265"/>
      <c r="N3809" s="265"/>
      <c r="O3809" s="265"/>
      <c r="P3809" s="265"/>
      <c r="Q3809" s="265"/>
      <c r="BR3809" s="265"/>
      <c r="BS3809" s="265"/>
      <c r="BT3809" s="265"/>
      <c r="BU3809" s="265"/>
      <c r="BV3809" s="265"/>
    </row>
    <row r="3810" spans="12:74">
      <c r="L3810" s="265"/>
      <c r="M3810" s="265"/>
      <c r="N3810" s="265"/>
      <c r="O3810" s="265"/>
      <c r="P3810" s="265"/>
      <c r="Q3810" s="265"/>
      <c r="BR3810" s="265"/>
      <c r="BS3810" s="265"/>
      <c r="BT3810" s="265"/>
      <c r="BU3810" s="265"/>
      <c r="BV3810" s="265"/>
    </row>
    <row r="3811" spans="12:74">
      <c r="L3811" s="265"/>
      <c r="M3811" s="265"/>
      <c r="N3811" s="265"/>
      <c r="O3811" s="265"/>
      <c r="P3811" s="265"/>
      <c r="Q3811" s="265"/>
      <c r="BR3811" s="265"/>
      <c r="BS3811" s="265"/>
      <c r="BT3811" s="265"/>
      <c r="BU3811" s="265"/>
      <c r="BV3811" s="265"/>
    </row>
    <row r="3812" spans="12:74">
      <c r="L3812" s="265"/>
      <c r="M3812" s="265"/>
      <c r="N3812" s="265"/>
      <c r="O3812" s="265"/>
      <c r="P3812" s="265"/>
      <c r="Q3812" s="265"/>
      <c r="BR3812" s="265"/>
      <c r="BS3812" s="265"/>
      <c r="BT3812" s="265"/>
      <c r="BU3812" s="265"/>
      <c r="BV3812" s="265"/>
    </row>
    <row r="3813" spans="12:74">
      <c r="L3813" s="265"/>
      <c r="M3813" s="265"/>
      <c r="N3813" s="265"/>
      <c r="O3813" s="265"/>
      <c r="P3813" s="265"/>
      <c r="Q3813" s="265"/>
      <c r="BR3813" s="265"/>
      <c r="BS3813" s="265"/>
      <c r="BT3813" s="265"/>
      <c r="BU3813" s="265"/>
      <c r="BV3813" s="265"/>
    </row>
    <row r="3814" spans="12:74">
      <c r="L3814" s="265"/>
      <c r="M3814" s="265"/>
      <c r="N3814" s="265"/>
      <c r="O3814" s="265"/>
      <c r="P3814" s="265"/>
      <c r="Q3814" s="265"/>
      <c r="BR3814" s="265"/>
      <c r="BS3814" s="265"/>
      <c r="BT3814" s="265"/>
      <c r="BU3814" s="265"/>
      <c r="BV3814" s="265"/>
    </row>
    <row r="3815" spans="12:74">
      <c r="L3815" s="265"/>
      <c r="M3815" s="265"/>
      <c r="N3815" s="265"/>
      <c r="O3815" s="265"/>
      <c r="P3815" s="265"/>
      <c r="Q3815" s="265"/>
      <c r="BR3815" s="265"/>
      <c r="BS3815" s="265"/>
      <c r="BT3815" s="265"/>
      <c r="BU3815" s="265"/>
      <c r="BV3815" s="265"/>
    </row>
    <row r="3816" spans="12:74">
      <c r="L3816" s="265"/>
      <c r="M3816" s="265"/>
      <c r="N3816" s="265"/>
      <c r="O3816" s="265"/>
      <c r="P3816" s="265"/>
      <c r="Q3816" s="265"/>
      <c r="BR3816" s="265"/>
      <c r="BS3816" s="265"/>
      <c r="BT3816" s="265"/>
      <c r="BU3816" s="265"/>
      <c r="BV3816" s="265"/>
    </row>
    <row r="3817" spans="12:74">
      <c r="L3817" s="265"/>
      <c r="M3817" s="265"/>
      <c r="N3817" s="265"/>
      <c r="O3817" s="265"/>
      <c r="P3817" s="265"/>
      <c r="Q3817" s="265"/>
      <c r="BR3817" s="265"/>
      <c r="BS3817" s="265"/>
      <c r="BT3817" s="265"/>
      <c r="BU3817" s="265"/>
      <c r="BV3817" s="265"/>
    </row>
    <row r="3818" spans="12:74">
      <c r="L3818" s="265"/>
      <c r="M3818" s="265"/>
      <c r="N3818" s="265"/>
      <c r="O3818" s="265"/>
      <c r="P3818" s="265"/>
      <c r="Q3818" s="265"/>
      <c r="BR3818" s="265"/>
      <c r="BS3818" s="265"/>
      <c r="BT3818" s="265"/>
      <c r="BU3818" s="265"/>
      <c r="BV3818" s="265"/>
    </row>
    <row r="3819" spans="12:74">
      <c r="L3819" s="265"/>
      <c r="M3819" s="265"/>
      <c r="N3819" s="265"/>
      <c r="O3819" s="265"/>
      <c r="P3819" s="265"/>
      <c r="Q3819" s="265"/>
      <c r="BR3819" s="265"/>
      <c r="BS3819" s="265"/>
      <c r="BT3819" s="265"/>
      <c r="BU3819" s="265"/>
      <c r="BV3819" s="265"/>
    </row>
    <row r="3820" spans="12:74">
      <c r="L3820" s="265"/>
      <c r="M3820" s="265"/>
      <c r="N3820" s="265"/>
      <c r="O3820" s="265"/>
      <c r="P3820" s="265"/>
      <c r="Q3820" s="265"/>
      <c r="BR3820" s="265"/>
      <c r="BS3820" s="265"/>
      <c r="BT3820" s="265"/>
      <c r="BU3820" s="265"/>
      <c r="BV3820" s="265"/>
    </row>
    <row r="3821" spans="12:74">
      <c r="L3821" s="265"/>
      <c r="M3821" s="265"/>
      <c r="N3821" s="265"/>
      <c r="O3821" s="265"/>
      <c r="P3821" s="265"/>
      <c r="Q3821" s="265"/>
      <c r="BR3821" s="265"/>
      <c r="BS3821" s="265"/>
      <c r="BT3821" s="265"/>
      <c r="BU3821" s="265"/>
      <c r="BV3821" s="265"/>
    </row>
    <row r="3822" spans="12:74">
      <c r="L3822" s="265"/>
      <c r="M3822" s="265"/>
      <c r="N3822" s="265"/>
      <c r="O3822" s="265"/>
      <c r="P3822" s="265"/>
      <c r="Q3822" s="265"/>
      <c r="BR3822" s="265"/>
      <c r="BS3822" s="265"/>
      <c r="BT3822" s="265"/>
      <c r="BU3822" s="265"/>
      <c r="BV3822" s="265"/>
    </row>
    <row r="3823" spans="12:74">
      <c r="L3823" s="265"/>
      <c r="M3823" s="265"/>
      <c r="N3823" s="265"/>
      <c r="O3823" s="265"/>
      <c r="P3823" s="265"/>
      <c r="Q3823" s="265"/>
      <c r="BR3823" s="265"/>
      <c r="BS3823" s="265"/>
      <c r="BT3823" s="265"/>
      <c r="BU3823" s="265"/>
      <c r="BV3823" s="265"/>
    </row>
    <row r="3824" spans="12:74">
      <c r="L3824" s="265"/>
      <c r="M3824" s="265"/>
      <c r="N3824" s="265"/>
      <c r="O3824" s="265"/>
      <c r="P3824" s="265"/>
      <c r="Q3824" s="265"/>
      <c r="BR3824" s="265"/>
      <c r="BS3824" s="265"/>
      <c r="BT3824" s="265"/>
      <c r="BU3824" s="265"/>
      <c r="BV3824" s="265"/>
    </row>
    <row r="3825" spans="12:74">
      <c r="L3825" s="265"/>
      <c r="M3825" s="265"/>
      <c r="N3825" s="265"/>
      <c r="O3825" s="265"/>
      <c r="P3825" s="265"/>
      <c r="Q3825" s="265"/>
      <c r="BR3825" s="265"/>
      <c r="BS3825" s="265"/>
      <c r="BT3825" s="265"/>
      <c r="BU3825" s="265"/>
      <c r="BV3825" s="265"/>
    </row>
    <row r="3826" spans="12:74">
      <c r="L3826" s="265"/>
      <c r="M3826" s="265"/>
      <c r="N3826" s="265"/>
      <c r="O3826" s="265"/>
      <c r="P3826" s="265"/>
      <c r="Q3826" s="265"/>
      <c r="BR3826" s="265"/>
      <c r="BS3826" s="265"/>
      <c r="BT3826" s="265"/>
      <c r="BU3826" s="265"/>
      <c r="BV3826" s="265"/>
    </row>
    <row r="3827" spans="12:74">
      <c r="L3827" s="265"/>
      <c r="M3827" s="265"/>
      <c r="N3827" s="265"/>
      <c r="O3827" s="265"/>
      <c r="P3827" s="265"/>
      <c r="Q3827" s="265"/>
      <c r="BR3827" s="265"/>
      <c r="BS3827" s="265"/>
      <c r="BT3827" s="265"/>
      <c r="BU3827" s="265"/>
      <c r="BV3827" s="265"/>
    </row>
    <row r="3828" spans="12:74">
      <c r="L3828" s="265"/>
      <c r="M3828" s="265"/>
      <c r="N3828" s="265"/>
      <c r="O3828" s="265"/>
      <c r="P3828" s="265"/>
      <c r="Q3828" s="265"/>
      <c r="BR3828" s="265"/>
      <c r="BS3828" s="265"/>
      <c r="BT3828" s="265"/>
      <c r="BU3828" s="265"/>
      <c r="BV3828" s="265"/>
    </row>
    <row r="3829" spans="12:74">
      <c r="L3829" s="265"/>
      <c r="M3829" s="265"/>
      <c r="N3829" s="265"/>
      <c r="O3829" s="265"/>
      <c r="P3829" s="265"/>
      <c r="Q3829" s="265"/>
      <c r="BR3829" s="265"/>
      <c r="BS3829" s="265"/>
      <c r="BT3829" s="265"/>
      <c r="BU3829" s="265"/>
      <c r="BV3829" s="265"/>
    </row>
    <row r="3830" spans="12:74">
      <c r="L3830" s="265"/>
      <c r="M3830" s="265"/>
      <c r="N3830" s="265"/>
      <c r="O3830" s="265"/>
      <c r="P3830" s="265"/>
      <c r="Q3830" s="265"/>
      <c r="BR3830" s="265"/>
      <c r="BS3830" s="265"/>
      <c r="BT3830" s="265"/>
      <c r="BU3830" s="265"/>
      <c r="BV3830" s="265"/>
    </row>
    <row r="3831" spans="12:74">
      <c r="L3831" s="265"/>
      <c r="M3831" s="265"/>
      <c r="N3831" s="265"/>
      <c r="O3831" s="265"/>
      <c r="P3831" s="265"/>
      <c r="Q3831" s="265"/>
      <c r="BR3831" s="265"/>
      <c r="BS3831" s="265"/>
      <c r="BT3831" s="265"/>
      <c r="BU3831" s="265"/>
      <c r="BV3831" s="265"/>
    </row>
    <row r="3832" spans="12:74">
      <c r="L3832" s="265"/>
      <c r="M3832" s="265"/>
      <c r="N3832" s="265"/>
      <c r="O3832" s="265"/>
      <c r="P3832" s="265"/>
      <c r="Q3832" s="265"/>
      <c r="BR3832" s="265"/>
      <c r="BS3832" s="265"/>
      <c r="BT3832" s="265"/>
      <c r="BU3832" s="265"/>
      <c r="BV3832" s="265"/>
    </row>
    <row r="3833" spans="12:74">
      <c r="L3833" s="265"/>
      <c r="M3833" s="265"/>
      <c r="N3833" s="265"/>
      <c r="O3833" s="265"/>
      <c r="P3833" s="265"/>
      <c r="Q3833" s="265"/>
      <c r="BR3833" s="265"/>
      <c r="BS3833" s="265"/>
      <c r="BT3833" s="265"/>
      <c r="BU3833" s="265"/>
      <c r="BV3833" s="265"/>
    </row>
    <row r="3834" spans="12:74">
      <c r="L3834" s="265"/>
      <c r="M3834" s="265"/>
      <c r="N3834" s="265"/>
      <c r="O3834" s="265"/>
      <c r="P3834" s="265"/>
      <c r="Q3834" s="265"/>
      <c r="BR3834" s="265"/>
      <c r="BS3834" s="265"/>
      <c r="BT3834" s="265"/>
      <c r="BU3834" s="265"/>
      <c r="BV3834" s="265"/>
    </row>
    <row r="3835" spans="12:74">
      <c r="L3835" s="265"/>
      <c r="M3835" s="265"/>
      <c r="N3835" s="265"/>
      <c r="O3835" s="265"/>
      <c r="P3835" s="265"/>
      <c r="Q3835" s="265"/>
      <c r="BR3835" s="265"/>
      <c r="BS3835" s="265"/>
      <c r="BT3835" s="265"/>
      <c r="BU3835" s="265"/>
      <c r="BV3835" s="265"/>
    </row>
    <row r="3836" spans="12:74">
      <c r="L3836" s="265"/>
      <c r="M3836" s="265"/>
      <c r="N3836" s="265"/>
      <c r="O3836" s="265"/>
      <c r="P3836" s="265"/>
      <c r="Q3836" s="265"/>
      <c r="BR3836" s="265"/>
      <c r="BS3836" s="265"/>
      <c r="BT3836" s="265"/>
      <c r="BU3836" s="265"/>
      <c r="BV3836" s="265"/>
    </row>
    <row r="3837" spans="12:74">
      <c r="L3837" s="265"/>
      <c r="M3837" s="265"/>
      <c r="N3837" s="265"/>
      <c r="O3837" s="265"/>
      <c r="P3837" s="265"/>
      <c r="Q3837" s="265"/>
      <c r="BR3837" s="265"/>
      <c r="BS3837" s="265"/>
      <c r="BT3837" s="265"/>
      <c r="BU3837" s="265"/>
      <c r="BV3837" s="265"/>
    </row>
    <row r="3838" spans="12:74">
      <c r="L3838" s="265"/>
      <c r="M3838" s="265"/>
      <c r="N3838" s="265"/>
      <c r="O3838" s="265"/>
      <c r="P3838" s="265"/>
      <c r="Q3838" s="265"/>
      <c r="BR3838" s="265"/>
      <c r="BS3838" s="265"/>
      <c r="BT3838" s="265"/>
      <c r="BU3838" s="265"/>
      <c r="BV3838" s="265"/>
    </row>
    <row r="3839" spans="12:74">
      <c r="L3839" s="265"/>
      <c r="M3839" s="265"/>
      <c r="N3839" s="265"/>
      <c r="O3839" s="265"/>
      <c r="P3839" s="265"/>
      <c r="Q3839" s="265"/>
      <c r="BR3839" s="265"/>
      <c r="BS3839" s="265"/>
      <c r="BT3839" s="265"/>
      <c r="BU3839" s="265"/>
      <c r="BV3839" s="265"/>
    </row>
    <row r="3840" spans="12:74">
      <c r="L3840" s="265"/>
      <c r="M3840" s="265"/>
      <c r="N3840" s="265"/>
      <c r="O3840" s="265"/>
      <c r="P3840" s="265"/>
      <c r="Q3840" s="265"/>
      <c r="BR3840" s="265"/>
      <c r="BS3840" s="265"/>
      <c r="BT3840" s="265"/>
      <c r="BU3840" s="265"/>
      <c r="BV3840" s="265"/>
    </row>
    <row r="3841" spans="12:74">
      <c r="L3841" s="265"/>
      <c r="M3841" s="265"/>
      <c r="N3841" s="265"/>
      <c r="O3841" s="265"/>
      <c r="P3841" s="265"/>
      <c r="Q3841" s="265"/>
      <c r="BR3841" s="265"/>
      <c r="BS3841" s="265"/>
      <c r="BT3841" s="265"/>
      <c r="BU3841" s="265"/>
      <c r="BV3841" s="265"/>
    </row>
    <row r="3842" spans="12:74">
      <c r="L3842" s="265"/>
      <c r="M3842" s="265"/>
      <c r="N3842" s="265"/>
      <c r="O3842" s="265"/>
      <c r="P3842" s="265"/>
      <c r="Q3842" s="265"/>
      <c r="BR3842" s="265"/>
      <c r="BS3842" s="265"/>
      <c r="BT3842" s="265"/>
      <c r="BU3842" s="265"/>
      <c r="BV3842" s="265"/>
    </row>
    <row r="3843" spans="12:74">
      <c r="L3843" s="265"/>
      <c r="M3843" s="265"/>
      <c r="N3843" s="265"/>
      <c r="O3843" s="265"/>
      <c r="P3843" s="265"/>
      <c r="Q3843" s="265"/>
      <c r="BR3843" s="265"/>
      <c r="BS3843" s="265"/>
      <c r="BT3843" s="265"/>
      <c r="BU3843" s="265"/>
      <c r="BV3843" s="265"/>
    </row>
    <row r="3844" spans="12:74">
      <c r="L3844" s="265"/>
      <c r="M3844" s="265"/>
      <c r="N3844" s="265"/>
      <c r="O3844" s="265"/>
      <c r="P3844" s="265"/>
      <c r="Q3844" s="265"/>
      <c r="BR3844" s="265"/>
      <c r="BS3844" s="265"/>
      <c r="BT3844" s="265"/>
      <c r="BU3844" s="265"/>
      <c r="BV3844" s="265"/>
    </row>
    <row r="3845" spans="12:74">
      <c r="L3845" s="265"/>
      <c r="M3845" s="265"/>
      <c r="N3845" s="265"/>
      <c r="O3845" s="265"/>
      <c r="P3845" s="265"/>
      <c r="Q3845" s="265"/>
      <c r="BR3845" s="265"/>
      <c r="BS3845" s="265"/>
      <c r="BT3845" s="265"/>
      <c r="BU3845" s="265"/>
      <c r="BV3845" s="265"/>
    </row>
    <row r="3846" spans="12:74">
      <c r="L3846" s="265"/>
      <c r="M3846" s="265"/>
      <c r="N3846" s="265"/>
      <c r="O3846" s="265"/>
      <c r="P3846" s="265"/>
      <c r="Q3846" s="265"/>
      <c r="BR3846" s="265"/>
      <c r="BS3846" s="265"/>
      <c r="BT3846" s="265"/>
      <c r="BU3846" s="265"/>
      <c r="BV3846" s="265"/>
    </row>
    <row r="3847" spans="12:74">
      <c r="L3847" s="265"/>
      <c r="M3847" s="265"/>
      <c r="N3847" s="265"/>
      <c r="O3847" s="265"/>
      <c r="P3847" s="265"/>
      <c r="Q3847" s="265"/>
      <c r="BR3847" s="265"/>
      <c r="BS3847" s="265"/>
      <c r="BT3847" s="265"/>
      <c r="BU3847" s="265"/>
      <c r="BV3847" s="265"/>
    </row>
    <row r="3848" spans="12:74">
      <c r="L3848" s="265"/>
      <c r="M3848" s="265"/>
      <c r="N3848" s="265"/>
      <c r="O3848" s="265"/>
      <c r="P3848" s="265"/>
      <c r="Q3848" s="265"/>
      <c r="BR3848" s="265"/>
      <c r="BS3848" s="265"/>
      <c r="BT3848" s="265"/>
      <c r="BU3848" s="265"/>
      <c r="BV3848" s="265"/>
    </row>
    <row r="3849" spans="12:74">
      <c r="L3849" s="265"/>
      <c r="M3849" s="265"/>
      <c r="N3849" s="265"/>
      <c r="O3849" s="265"/>
      <c r="P3849" s="265"/>
      <c r="Q3849" s="265"/>
      <c r="BR3849" s="265"/>
      <c r="BS3849" s="265"/>
      <c r="BT3849" s="265"/>
      <c r="BU3849" s="265"/>
      <c r="BV3849" s="265"/>
    </row>
    <row r="3850" spans="12:74">
      <c r="L3850" s="265"/>
      <c r="M3850" s="265"/>
      <c r="N3850" s="265"/>
      <c r="O3850" s="265"/>
      <c r="P3850" s="265"/>
      <c r="Q3850" s="265"/>
      <c r="BR3850" s="265"/>
      <c r="BS3850" s="265"/>
      <c r="BT3850" s="265"/>
      <c r="BU3850" s="265"/>
      <c r="BV3850" s="265"/>
    </row>
    <row r="3851" spans="12:74">
      <c r="L3851" s="265"/>
      <c r="M3851" s="265"/>
      <c r="N3851" s="265"/>
      <c r="O3851" s="265"/>
      <c r="P3851" s="265"/>
      <c r="Q3851" s="265"/>
      <c r="BR3851" s="265"/>
      <c r="BS3851" s="265"/>
      <c r="BT3851" s="265"/>
      <c r="BU3851" s="265"/>
      <c r="BV3851" s="265"/>
    </row>
    <row r="3852" spans="12:74">
      <c r="L3852" s="265"/>
      <c r="M3852" s="265"/>
      <c r="N3852" s="265"/>
      <c r="O3852" s="265"/>
      <c r="P3852" s="265"/>
      <c r="Q3852" s="265"/>
      <c r="BR3852" s="265"/>
      <c r="BS3852" s="265"/>
      <c r="BT3852" s="265"/>
      <c r="BU3852" s="265"/>
      <c r="BV3852" s="265"/>
    </row>
    <row r="3853" spans="12:74">
      <c r="L3853" s="265"/>
      <c r="M3853" s="265"/>
      <c r="N3853" s="265"/>
      <c r="O3853" s="265"/>
      <c r="P3853" s="265"/>
      <c r="Q3853" s="265"/>
      <c r="BR3853" s="265"/>
      <c r="BS3853" s="265"/>
      <c r="BT3853" s="265"/>
      <c r="BU3853" s="265"/>
      <c r="BV3853" s="265"/>
    </row>
    <row r="3854" spans="12:74">
      <c r="L3854" s="265"/>
      <c r="M3854" s="265"/>
      <c r="N3854" s="265"/>
      <c r="O3854" s="265"/>
      <c r="P3854" s="265"/>
      <c r="Q3854" s="265"/>
      <c r="BR3854" s="265"/>
      <c r="BS3854" s="265"/>
      <c r="BT3854" s="265"/>
      <c r="BU3854" s="265"/>
      <c r="BV3854" s="265"/>
    </row>
    <row r="3855" spans="12:74">
      <c r="L3855" s="265"/>
      <c r="M3855" s="265"/>
      <c r="N3855" s="265"/>
      <c r="O3855" s="265"/>
      <c r="P3855" s="265"/>
      <c r="Q3855" s="265"/>
      <c r="BR3855" s="265"/>
      <c r="BS3855" s="265"/>
      <c r="BT3855" s="265"/>
      <c r="BU3855" s="265"/>
      <c r="BV3855" s="265"/>
    </row>
    <row r="3856" spans="12:74">
      <c r="L3856" s="265"/>
      <c r="M3856" s="265"/>
      <c r="N3856" s="265"/>
      <c r="O3856" s="265"/>
      <c r="P3856" s="265"/>
      <c r="Q3856" s="265"/>
      <c r="BR3856" s="265"/>
      <c r="BS3856" s="265"/>
      <c r="BT3856" s="265"/>
      <c r="BU3856" s="265"/>
      <c r="BV3856" s="265"/>
    </row>
    <row r="3857" spans="12:74">
      <c r="L3857" s="265"/>
      <c r="M3857" s="265"/>
      <c r="N3857" s="265"/>
      <c r="O3857" s="265"/>
      <c r="P3857" s="265"/>
      <c r="Q3857" s="265"/>
      <c r="BR3857" s="265"/>
      <c r="BS3857" s="265"/>
      <c r="BT3857" s="265"/>
      <c r="BU3857" s="265"/>
      <c r="BV3857" s="265"/>
    </row>
    <row r="3858" spans="12:74">
      <c r="L3858" s="265"/>
      <c r="M3858" s="265"/>
      <c r="N3858" s="265"/>
      <c r="O3858" s="265"/>
      <c r="P3858" s="265"/>
      <c r="Q3858" s="265"/>
      <c r="BR3858" s="265"/>
      <c r="BS3858" s="265"/>
      <c r="BT3858" s="265"/>
      <c r="BU3858" s="265"/>
      <c r="BV3858" s="265"/>
    </row>
    <row r="3859" spans="12:74">
      <c r="L3859" s="265"/>
      <c r="M3859" s="265"/>
      <c r="N3859" s="265"/>
      <c r="O3859" s="265"/>
      <c r="P3859" s="265"/>
      <c r="Q3859" s="265"/>
      <c r="BR3859" s="265"/>
      <c r="BS3859" s="265"/>
      <c r="BT3859" s="265"/>
      <c r="BU3859" s="265"/>
      <c r="BV3859" s="265"/>
    </row>
    <row r="3860" spans="12:74">
      <c r="L3860" s="265"/>
      <c r="M3860" s="265"/>
      <c r="N3860" s="265"/>
      <c r="O3860" s="265"/>
      <c r="P3860" s="265"/>
      <c r="Q3860" s="265"/>
      <c r="BR3860" s="265"/>
      <c r="BS3860" s="265"/>
      <c r="BT3860" s="265"/>
      <c r="BU3860" s="265"/>
      <c r="BV3860" s="265"/>
    </row>
    <row r="3861" spans="12:74">
      <c r="L3861" s="265"/>
      <c r="M3861" s="265"/>
      <c r="N3861" s="265"/>
      <c r="O3861" s="265"/>
      <c r="P3861" s="265"/>
      <c r="Q3861" s="265"/>
      <c r="BR3861" s="265"/>
      <c r="BS3861" s="265"/>
      <c r="BT3861" s="265"/>
      <c r="BU3861" s="265"/>
      <c r="BV3861" s="265"/>
    </row>
    <row r="3862" spans="12:74">
      <c r="L3862" s="265"/>
      <c r="M3862" s="265"/>
      <c r="N3862" s="265"/>
      <c r="O3862" s="265"/>
      <c r="P3862" s="265"/>
      <c r="Q3862" s="265"/>
      <c r="BR3862" s="265"/>
      <c r="BS3862" s="265"/>
      <c r="BT3862" s="265"/>
      <c r="BU3862" s="265"/>
      <c r="BV3862" s="265"/>
    </row>
    <row r="3863" spans="12:74">
      <c r="L3863" s="265"/>
      <c r="M3863" s="265"/>
      <c r="N3863" s="265"/>
      <c r="O3863" s="265"/>
      <c r="P3863" s="265"/>
      <c r="Q3863" s="265"/>
      <c r="BR3863" s="265"/>
      <c r="BS3863" s="265"/>
      <c r="BT3863" s="265"/>
      <c r="BU3863" s="265"/>
      <c r="BV3863" s="265"/>
    </row>
    <row r="3864" spans="12:74">
      <c r="L3864" s="265"/>
      <c r="M3864" s="265"/>
      <c r="N3864" s="265"/>
      <c r="O3864" s="265"/>
      <c r="P3864" s="265"/>
      <c r="Q3864" s="265"/>
      <c r="BR3864" s="265"/>
      <c r="BS3864" s="265"/>
      <c r="BT3864" s="265"/>
      <c r="BU3864" s="265"/>
      <c r="BV3864" s="265"/>
    </row>
    <row r="3865" spans="12:74">
      <c r="L3865" s="265"/>
      <c r="M3865" s="265"/>
      <c r="N3865" s="265"/>
      <c r="O3865" s="265"/>
      <c r="P3865" s="265"/>
      <c r="Q3865" s="265"/>
      <c r="BR3865" s="265"/>
      <c r="BS3865" s="265"/>
      <c r="BT3865" s="265"/>
      <c r="BU3865" s="265"/>
      <c r="BV3865" s="265"/>
    </row>
    <row r="3866" spans="12:74">
      <c r="L3866" s="265"/>
      <c r="M3866" s="265"/>
      <c r="N3866" s="265"/>
      <c r="O3866" s="265"/>
      <c r="P3866" s="265"/>
      <c r="Q3866" s="265"/>
      <c r="BR3866" s="265"/>
      <c r="BS3866" s="265"/>
      <c r="BT3866" s="265"/>
      <c r="BU3866" s="265"/>
      <c r="BV3866" s="265"/>
    </row>
    <row r="3867" spans="12:74">
      <c r="L3867" s="265"/>
      <c r="M3867" s="265"/>
      <c r="N3867" s="265"/>
      <c r="O3867" s="265"/>
      <c r="P3867" s="265"/>
      <c r="Q3867" s="265"/>
      <c r="BR3867" s="265"/>
      <c r="BS3867" s="265"/>
      <c r="BT3867" s="265"/>
      <c r="BU3867" s="265"/>
      <c r="BV3867" s="265"/>
    </row>
    <row r="3868" spans="12:74">
      <c r="L3868" s="265"/>
      <c r="M3868" s="265"/>
      <c r="N3868" s="265"/>
      <c r="O3868" s="265"/>
      <c r="P3868" s="265"/>
      <c r="Q3868" s="265"/>
      <c r="BR3868" s="265"/>
      <c r="BS3868" s="265"/>
      <c r="BT3868" s="265"/>
      <c r="BU3868" s="265"/>
      <c r="BV3868" s="265"/>
    </row>
    <row r="3869" spans="12:74">
      <c r="L3869" s="265"/>
      <c r="M3869" s="265"/>
      <c r="N3869" s="265"/>
      <c r="O3869" s="265"/>
      <c r="P3869" s="265"/>
      <c r="Q3869" s="265"/>
      <c r="BR3869" s="265"/>
      <c r="BS3869" s="265"/>
      <c r="BT3869" s="265"/>
      <c r="BU3869" s="265"/>
      <c r="BV3869" s="265"/>
    </row>
    <row r="3870" spans="12:74">
      <c r="L3870" s="265"/>
      <c r="M3870" s="265"/>
      <c r="N3870" s="265"/>
      <c r="O3870" s="265"/>
      <c r="P3870" s="265"/>
      <c r="Q3870" s="265"/>
      <c r="BR3870" s="265"/>
      <c r="BS3870" s="265"/>
      <c r="BT3870" s="265"/>
      <c r="BU3870" s="265"/>
      <c r="BV3870" s="265"/>
    </row>
    <row r="3871" spans="12:74">
      <c r="L3871" s="265"/>
      <c r="M3871" s="265"/>
      <c r="N3871" s="265"/>
      <c r="O3871" s="265"/>
      <c r="P3871" s="265"/>
      <c r="Q3871" s="265"/>
      <c r="BR3871" s="265"/>
      <c r="BS3871" s="265"/>
      <c r="BT3871" s="265"/>
      <c r="BU3871" s="265"/>
      <c r="BV3871" s="265"/>
    </row>
    <row r="3872" spans="12:74">
      <c r="L3872" s="265"/>
      <c r="M3872" s="265"/>
      <c r="N3872" s="265"/>
      <c r="O3872" s="265"/>
      <c r="P3872" s="265"/>
      <c r="Q3872" s="265"/>
      <c r="BR3872" s="265"/>
      <c r="BS3872" s="265"/>
      <c r="BT3872" s="265"/>
      <c r="BU3872" s="265"/>
      <c r="BV3872" s="265"/>
    </row>
    <row r="3873" spans="12:74">
      <c r="L3873" s="265"/>
      <c r="M3873" s="265"/>
      <c r="N3873" s="265"/>
      <c r="O3873" s="265"/>
      <c r="P3873" s="265"/>
      <c r="Q3873" s="265"/>
      <c r="BR3873" s="265"/>
      <c r="BS3873" s="265"/>
      <c r="BT3873" s="265"/>
      <c r="BU3873" s="265"/>
      <c r="BV3873" s="265"/>
    </row>
    <row r="3874" spans="12:74">
      <c r="L3874" s="265"/>
      <c r="M3874" s="265"/>
      <c r="N3874" s="265"/>
      <c r="O3874" s="265"/>
      <c r="P3874" s="265"/>
      <c r="Q3874" s="265"/>
      <c r="BR3874" s="265"/>
      <c r="BS3874" s="265"/>
      <c r="BT3874" s="265"/>
      <c r="BU3874" s="265"/>
      <c r="BV3874" s="265"/>
    </row>
    <row r="3875" spans="12:74">
      <c r="L3875" s="265"/>
      <c r="M3875" s="265"/>
      <c r="N3875" s="265"/>
      <c r="O3875" s="265"/>
      <c r="P3875" s="265"/>
      <c r="Q3875" s="265"/>
      <c r="BR3875" s="265"/>
      <c r="BS3875" s="265"/>
      <c r="BT3875" s="265"/>
      <c r="BU3875" s="265"/>
      <c r="BV3875" s="265"/>
    </row>
    <row r="3876" spans="12:74">
      <c r="L3876" s="265"/>
      <c r="M3876" s="265"/>
      <c r="N3876" s="265"/>
      <c r="O3876" s="265"/>
      <c r="P3876" s="265"/>
      <c r="Q3876" s="265"/>
      <c r="BR3876" s="265"/>
      <c r="BS3876" s="265"/>
      <c r="BT3876" s="265"/>
      <c r="BU3876" s="265"/>
      <c r="BV3876" s="265"/>
    </row>
    <row r="3877" spans="12:74">
      <c r="L3877" s="265"/>
      <c r="M3877" s="265"/>
      <c r="N3877" s="265"/>
      <c r="O3877" s="265"/>
      <c r="P3877" s="265"/>
      <c r="Q3877" s="265"/>
      <c r="BR3877" s="265"/>
      <c r="BS3877" s="265"/>
      <c r="BT3877" s="265"/>
      <c r="BU3877" s="265"/>
      <c r="BV3877" s="265"/>
    </row>
    <row r="3878" spans="12:74">
      <c r="L3878" s="265"/>
      <c r="M3878" s="265"/>
      <c r="N3878" s="265"/>
      <c r="O3878" s="265"/>
      <c r="P3878" s="265"/>
      <c r="Q3878" s="265"/>
      <c r="BR3878" s="265"/>
      <c r="BS3878" s="265"/>
      <c r="BT3878" s="265"/>
      <c r="BU3878" s="265"/>
      <c r="BV3878" s="265"/>
    </row>
    <row r="3879" spans="12:74">
      <c r="L3879" s="265"/>
      <c r="M3879" s="265"/>
      <c r="N3879" s="265"/>
      <c r="O3879" s="265"/>
      <c r="P3879" s="265"/>
      <c r="Q3879" s="265"/>
      <c r="BR3879" s="265"/>
      <c r="BS3879" s="265"/>
      <c r="BT3879" s="265"/>
      <c r="BU3879" s="265"/>
      <c r="BV3879" s="265"/>
    </row>
    <row r="3880" spans="12:74">
      <c r="L3880" s="265"/>
      <c r="M3880" s="265"/>
      <c r="N3880" s="265"/>
      <c r="O3880" s="265"/>
      <c r="P3880" s="265"/>
      <c r="Q3880" s="265"/>
      <c r="BR3880" s="265"/>
      <c r="BS3880" s="265"/>
      <c r="BT3880" s="265"/>
      <c r="BU3880" s="265"/>
      <c r="BV3880" s="265"/>
    </row>
    <row r="3881" spans="12:74">
      <c r="L3881" s="265"/>
      <c r="M3881" s="265"/>
      <c r="N3881" s="265"/>
      <c r="O3881" s="265"/>
      <c r="P3881" s="265"/>
      <c r="Q3881" s="265"/>
      <c r="BR3881" s="265"/>
      <c r="BS3881" s="265"/>
      <c r="BT3881" s="265"/>
      <c r="BU3881" s="265"/>
      <c r="BV3881" s="265"/>
    </row>
    <row r="3882" spans="12:74">
      <c r="L3882" s="265"/>
      <c r="M3882" s="265"/>
      <c r="N3882" s="265"/>
      <c r="O3882" s="265"/>
      <c r="P3882" s="265"/>
      <c r="Q3882" s="265"/>
      <c r="BR3882" s="265"/>
      <c r="BS3882" s="265"/>
      <c r="BT3882" s="265"/>
      <c r="BU3882" s="265"/>
      <c r="BV3882" s="265"/>
    </row>
    <row r="3883" spans="12:74">
      <c r="L3883" s="265"/>
      <c r="M3883" s="265"/>
      <c r="N3883" s="265"/>
      <c r="O3883" s="265"/>
      <c r="P3883" s="265"/>
      <c r="Q3883" s="265"/>
      <c r="BR3883" s="265"/>
      <c r="BS3883" s="265"/>
      <c r="BT3883" s="265"/>
      <c r="BU3883" s="265"/>
      <c r="BV3883" s="265"/>
    </row>
    <row r="3884" spans="12:74">
      <c r="L3884" s="265"/>
      <c r="M3884" s="265"/>
      <c r="N3884" s="265"/>
      <c r="O3884" s="265"/>
      <c r="P3884" s="265"/>
      <c r="Q3884" s="265"/>
      <c r="BR3884" s="265"/>
      <c r="BS3884" s="265"/>
      <c r="BT3884" s="265"/>
      <c r="BU3884" s="265"/>
      <c r="BV3884" s="265"/>
    </row>
    <row r="3885" spans="12:74">
      <c r="L3885" s="265"/>
      <c r="M3885" s="265"/>
      <c r="N3885" s="265"/>
      <c r="O3885" s="265"/>
      <c r="P3885" s="265"/>
      <c r="Q3885" s="265"/>
      <c r="BR3885" s="265"/>
      <c r="BS3885" s="265"/>
      <c r="BT3885" s="265"/>
      <c r="BU3885" s="265"/>
      <c r="BV3885" s="265"/>
    </row>
    <row r="3886" spans="12:74">
      <c r="L3886" s="265"/>
      <c r="M3886" s="265"/>
      <c r="N3886" s="265"/>
      <c r="O3886" s="265"/>
      <c r="P3886" s="265"/>
      <c r="Q3886" s="265"/>
      <c r="BR3886" s="265"/>
      <c r="BS3886" s="265"/>
      <c r="BT3886" s="265"/>
      <c r="BU3886" s="265"/>
      <c r="BV3886" s="265"/>
    </row>
    <row r="3887" spans="12:74">
      <c r="L3887" s="265"/>
      <c r="M3887" s="265"/>
      <c r="N3887" s="265"/>
      <c r="O3887" s="265"/>
      <c r="P3887" s="265"/>
      <c r="Q3887" s="265"/>
      <c r="BR3887" s="265"/>
      <c r="BS3887" s="265"/>
      <c r="BT3887" s="265"/>
      <c r="BU3887" s="265"/>
      <c r="BV3887" s="265"/>
    </row>
    <row r="3888" spans="12:74">
      <c r="L3888" s="265"/>
      <c r="M3888" s="265"/>
      <c r="N3888" s="265"/>
      <c r="O3888" s="265"/>
      <c r="P3888" s="265"/>
      <c r="Q3888" s="265"/>
      <c r="BR3888" s="265"/>
      <c r="BS3888" s="265"/>
      <c r="BT3888" s="265"/>
      <c r="BU3888" s="265"/>
      <c r="BV3888" s="265"/>
    </row>
    <row r="3889" spans="12:74">
      <c r="L3889" s="265"/>
      <c r="M3889" s="265"/>
      <c r="N3889" s="265"/>
      <c r="O3889" s="265"/>
      <c r="P3889" s="265"/>
      <c r="Q3889" s="265"/>
      <c r="BR3889" s="265"/>
      <c r="BS3889" s="265"/>
      <c r="BT3889" s="265"/>
      <c r="BU3889" s="265"/>
      <c r="BV3889" s="265"/>
    </row>
    <row r="3890" spans="12:74">
      <c r="L3890" s="265"/>
      <c r="M3890" s="265"/>
      <c r="N3890" s="265"/>
      <c r="O3890" s="265"/>
      <c r="P3890" s="265"/>
      <c r="Q3890" s="265"/>
      <c r="BR3890" s="265"/>
      <c r="BS3890" s="265"/>
      <c r="BT3890" s="265"/>
      <c r="BU3890" s="265"/>
      <c r="BV3890" s="265"/>
    </row>
    <row r="3891" spans="12:74">
      <c r="L3891" s="265"/>
      <c r="M3891" s="265"/>
      <c r="N3891" s="265"/>
      <c r="O3891" s="265"/>
      <c r="P3891" s="265"/>
      <c r="Q3891" s="265"/>
      <c r="BR3891" s="265"/>
      <c r="BS3891" s="265"/>
      <c r="BT3891" s="265"/>
      <c r="BU3891" s="265"/>
      <c r="BV3891" s="265"/>
    </row>
    <row r="3892" spans="12:74">
      <c r="L3892" s="265"/>
      <c r="M3892" s="265"/>
      <c r="N3892" s="265"/>
      <c r="O3892" s="265"/>
      <c r="P3892" s="265"/>
      <c r="Q3892" s="265"/>
      <c r="BR3892" s="265"/>
      <c r="BS3892" s="265"/>
      <c r="BT3892" s="265"/>
      <c r="BU3892" s="265"/>
      <c r="BV3892" s="265"/>
    </row>
    <row r="3893" spans="12:74">
      <c r="L3893" s="265"/>
      <c r="M3893" s="265"/>
      <c r="N3893" s="265"/>
      <c r="O3893" s="265"/>
      <c r="P3893" s="265"/>
      <c r="Q3893" s="265"/>
      <c r="BR3893" s="265"/>
      <c r="BS3893" s="265"/>
      <c r="BT3893" s="265"/>
      <c r="BU3893" s="265"/>
      <c r="BV3893" s="265"/>
    </row>
    <row r="3894" spans="12:74">
      <c r="L3894" s="265"/>
      <c r="M3894" s="265"/>
      <c r="N3894" s="265"/>
      <c r="O3894" s="265"/>
      <c r="P3894" s="265"/>
      <c r="Q3894" s="265"/>
      <c r="BR3894" s="265"/>
      <c r="BS3894" s="265"/>
      <c r="BT3894" s="265"/>
      <c r="BU3894" s="265"/>
      <c r="BV3894" s="265"/>
    </row>
    <row r="3895" spans="12:74">
      <c r="L3895" s="265"/>
      <c r="M3895" s="265"/>
      <c r="N3895" s="265"/>
      <c r="O3895" s="265"/>
      <c r="P3895" s="265"/>
      <c r="Q3895" s="265"/>
      <c r="BR3895" s="265"/>
      <c r="BS3895" s="265"/>
      <c r="BT3895" s="265"/>
      <c r="BU3895" s="265"/>
      <c r="BV3895" s="265"/>
    </row>
    <row r="3896" spans="12:74">
      <c r="L3896" s="265"/>
      <c r="M3896" s="265"/>
      <c r="N3896" s="265"/>
      <c r="O3896" s="265"/>
      <c r="P3896" s="265"/>
      <c r="Q3896" s="265"/>
      <c r="BR3896" s="265"/>
      <c r="BS3896" s="265"/>
      <c r="BT3896" s="265"/>
      <c r="BU3896" s="265"/>
      <c r="BV3896" s="265"/>
    </row>
    <row r="3897" spans="12:74">
      <c r="L3897" s="265"/>
      <c r="M3897" s="265"/>
      <c r="N3897" s="265"/>
      <c r="O3897" s="265"/>
      <c r="P3897" s="265"/>
      <c r="Q3897" s="265"/>
      <c r="BR3897" s="265"/>
      <c r="BS3897" s="265"/>
      <c r="BT3897" s="265"/>
      <c r="BU3897" s="265"/>
      <c r="BV3897" s="265"/>
    </row>
    <row r="3898" spans="12:74">
      <c r="L3898" s="265"/>
      <c r="M3898" s="265"/>
      <c r="N3898" s="265"/>
      <c r="O3898" s="265"/>
      <c r="P3898" s="265"/>
      <c r="Q3898" s="265"/>
      <c r="BR3898" s="265"/>
      <c r="BS3898" s="265"/>
      <c r="BT3898" s="265"/>
      <c r="BU3898" s="265"/>
      <c r="BV3898" s="265"/>
    </row>
    <row r="3899" spans="12:74">
      <c r="L3899" s="265"/>
      <c r="M3899" s="265"/>
      <c r="N3899" s="265"/>
      <c r="O3899" s="265"/>
      <c r="P3899" s="265"/>
      <c r="Q3899" s="265"/>
      <c r="BR3899" s="265"/>
      <c r="BS3899" s="265"/>
      <c r="BT3899" s="265"/>
      <c r="BU3899" s="265"/>
      <c r="BV3899" s="265"/>
    </row>
    <row r="3900" spans="12:74">
      <c r="L3900" s="265"/>
      <c r="M3900" s="265"/>
      <c r="N3900" s="265"/>
      <c r="O3900" s="265"/>
      <c r="P3900" s="265"/>
      <c r="Q3900" s="265"/>
      <c r="BR3900" s="265"/>
      <c r="BS3900" s="265"/>
      <c r="BT3900" s="265"/>
      <c r="BU3900" s="265"/>
      <c r="BV3900" s="265"/>
    </row>
    <row r="3901" spans="12:74">
      <c r="L3901" s="265"/>
      <c r="M3901" s="265"/>
      <c r="N3901" s="265"/>
      <c r="O3901" s="265"/>
      <c r="P3901" s="265"/>
      <c r="Q3901" s="265"/>
      <c r="BR3901" s="265"/>
      <c r="BS3901" s="265"/>
      <c r="BT3901" s="265"/>
      <c r="BU3901" s="265"/>
      <c r="BV3901" s="265"/>
    </row>
    <row r="3902" spans="12:74">
      <c r="L3902" s="265"/>
      <c r="M3902" s="265"/>
      <c r="N3902" s="265"/>
      <c r="O3902" s="265"/>
      <c r="P3902" s="265"/>
      <c r="Q3902" s="265"/>
      <c r="BR3902" s="265"/>
      <c r="BS3902" s="265"/>
      <c r="BT3902" s="265"/>
      <c r="BU3902" s="265"/>
      <c r="BV3902" s="265"/>
    </row>
    <row r="3903" spans="12:74">
      <c r="L3903" s="265"/>
      <c r="M3903" s="265"/>
      <c r="N3903" s="265"/>
      <c r="O3903" s="265"/>
      <c r="P3903" s="265"/>
      <c r="Q3903" s="265"/>
      <c r="BR3903" s="265"/>
      <c r="BS3903" s="265"/>
      <c r="BT3903" s="265"/>
      <c r="BU3903" s="265"/>
      <c r="BV3903" s="265"/>
    </row>
    <row r="3904" spans="12:74">
      <c r="L3904" s="265"/>
      <c r="M3904" s="265"/>
      <c r="N3904" s="265"/>
      <c r="O3904" s="265"/>
      <c r="P3904" s="265"/>
      <c r="Q3904" s="265"/>
      <c r="BR3904" s="265"/>
      <c r="BS3904" s="265"/>
      <c r="BT3904" s="265"/>
      <c r="BU3904" s="265"/>
      <c r="BV3904" s="265"/>
    </row>
    <row r="3905" spans="12:74">
      <c r="L3905" s="265"/>
      <c r="M3905" s="265"/>
      <c r="N3905" s="265"/>
      <c r="O3905" s="265"/>
      <c r="P3905" s="265"/>
      <c r="Q3905" s="265"/>
      <c r="BR3905" s="265"/>
      <c r="BS3905" s="265"/>
      <c r="BT3905" s="265"/>
      <c r="BU3905" s="265"/>
      <c r="BV3905" s="265"/>
    </row>
    <row r="3906" spans="12:74">
      <c r="L3906" s="265"/>
      <c r="M3906" s="265"/>
      <c r="N3906" s="265"/>
      <c r="O3906" s="265"/>
      <c r="P3906" s="265"/>
      <c r="Q3906" s="265"/>
      <c r="BR3906" s="265"/>
      <c r="BS3906" s="265"/>
      <c r="BT3906" s="265"/>
      <c r="BU3906" s="265"/>
      <c r="BV3906" s="265"/>
    </row>
    <row r="3907" spans="12:74">
      <c r="L3907" s="265"/>
      <c r="M3907" s="265"/>
      <c r="N3907" s="265"/>
      <c r="O3907" s="265"/>
      <c r="P3907" s="265"/>
      <c r="Q3907" s="265"/>
      <c r="BR3907" s="265"/>
      <c r="BS3907" s="265"/>
      <c r="BT3907" s="265"/>
      <c r="BU3907" s="265"/>
      <c r="BV3907" s="265"/>
    </row>
    <row r="3908" spans="12:74">
      <c r="L3908" s="265"/>
      <c r="M3908" s="265"/>
      <c r="N3908" s="265"/>
      <c r="O3908" s="265"/>
      <c r="P3908" s="265"/>
      <c r="Q3908" s="265"/>
      <c r="BR3908" s="265"/>
      <c r="BS3908" s="265"/>
      <c r="BT3908" s="265"/>
      <c r="BU3908" s="265"/>
      <c r="BV3908" s="265"/>
    </row>
    <row r="3909" spans="12:74">
      <c r="L3909" s="265"/>
      <c r="M3909" s="265"/>
      <c r="N3909" s="265"/>
      <c r="O3909" s="265"/>
      <c r="P3909" s="265"/>
      <c r="Q3909" s="265"/>
      <c r="BR3909" s="265"/>
      <c r="BS3909" s="265"/>
      <c r="BT3909" s="265"/>
      <c r="BU3909" s="265"/>
      <c r="BV3909" s="265"/>
    </row>
    <row r="3910" spans="12:74">
      <c r="L3910" s="265"/>
      <c r="M3910" s="265"/>
      <c r="N3910" s="265"/>
      <c r="O3910" s="265"/>
      <c r="P3910" s="265"/>
      <c r="Q3910" s="265"/>
      <c r="BR3910" s="265"/>
      <c r="BS3910" s="265"/>
      <c r="BT3910" s="265"/>
      <c r="BU3910" s="265"/>
      <c r="BV3910" s="265"/>
    </row>
    <row r="3911" spans="12:74">
      <c r="L3911" s="265"/>
      <c r="M3911" s="265"/>
      <c r="N3911" s="265"/>
      <c r="O3911" s="265"/>
      <c r="P3911" s="265"/>
      <c r="Q3911" s="265"/>
      <c r="BR3911" s="265"/>
      <c r="BS3911" s="265"/>
      <c r="BT3911" s="265"/>
      <c r="BU3911" s="265"/>
      <c r="BV3911" s="265"/>
    </row>
    <row r="3912" spans="12:74">
      <c r="L3912" s="265"/>
      <c r="M3912" s="265"/>
      <c r="N3912" s="265"/>
      <c r="O3912" s="265"/>
      <c r="P3912" s="265"/>
      <c r="Q3912" s="265"/>
      <c r="BR3912" s="265"/>
      <c r="BS3912" s="265"/>
      <c r="BT3912" s="265"/>
      <c r="BU3912" s="265"/>
      <c r="BV3912" s="265"/>
    </row>
    <row r="3913" spans="12:74">
      <c r="L3913" s="265"/>
      <c r="M3913" s="265"/>
      <c r="N3913" s="265"/>
      <c r="O3913" s="265"/>
      <c r="P3913" s="265"/>
      <c r="Q3913" s="265"/>
      <c r="BR3913" s="265"/>
      <c r="BS3913" s="265"/>
      <c r="BT3913" s="265"/>
      <c r="BU3913" s="265"/>
      <c r="BV3913" s="265"/>
    </row>
    <row r="3914" spans="12:74">
      <c r="L3914" s="265"/>
      <c r="M3914" s="265"/>
      <c r="N3914" s="265"/>
      <c r="O3914" s="265"/>
      <c r="P3914" s="265"/>
      <c r="Q3914" s="265"/>
      <c r="BR3914" s="265"/>
      <c r="BS3914" s="265"/>
      <c r="BT3914" s="265"/>
      <c r="BU3914" s="265"/>
      <c r="BV3914" s="265"/>
    </row>
    <row r="3915" spans="12:74">
      <c r="L3915" s="265"/>
      <c r="M3915" s="265"/>
      <c r="N3915" s="265"/>
      <c r="O3915" s="265"/>
      <c r="P3915" s="265"/>
      <c r="Q3915" s="265"/>
      <c r="BR3915" s="265"/>
      <c r="BS3915" s="265"/>
      <c r="BT3915" s="265"/>
      <c r="BU3915" s="265"/>
      <c r="BV3915" s="265"/>
    </row>
    <row r="3916" spans="12:74">
      <c r="L3916" s="265"/>
      <c r="M3916" s="265"/>
      <c r="N3916" s="265"/>
      <c r="O3916" s="265"/>
      <c r="P3916" s="265"/>
      <c r="Q3916" s="265"/>
      <c r="BR3916" s="265"/>
      <c r="BS3916" s="265"/>
      <c r="BT3916" s="265"/>
      <c r="BU3916" s="265"/>
      <c r="BV3916" s="265"/>
    </row>
    <row r="3917" spans="12:74">
      <c r="L3917" s="265"/>
      <c r="M3917" s="265"/>
      <c r="N3917" s="265"/>
      <c r="O3917" s="265"/>
      <c r="P3917" s="265"/>
      <c r="Q3917" s="265"/>
      <c r="BR3917" s="265"/>
      <c r="BS3917" s="265"/>
      <c r="BT3917" s="265"/>
      <c r="BU3917" s="265"/>
      <c r="BV3917" s="265"/>
    </row>
    <row r="3918" spans="12:74">
      <c r="L3918" s="265"/>
      <c r="M3918" s="265"/>
      <c r="N3918" s="265"/>
      <c r="O3918" s="265"/>
      <c r="P3918" s="265"/>
      <c r="Q3918" s="265"/>
      <c r="BR3918" s="265"/>
      <c r="BS3918" s="265"/>
      <c r="BT3918" s="265"/>
      <c r="BU3918" s="265"/>
      <c r="BV3918" s="265"/>
    </row>
    <row r="3919" spans="12:74">
      <c r="L3919" s="265"/>
      <c r="M3919" s="265"/>
      <c r="N3919" s="265"/>
      <c r="O3919" s="265"/>
      <c r="P3919" s="265"/>
      <c r="Q3919" s="265"/>
      <c r="BR3919" s="265"/>
      <c r="BS3919" s="265"/>
      <c r="BT3919" s="265"/>
      <c r="BU3919" s="265"/>
      <c r="BV3919" s="265"/>
    </row>
    <row r="3920" spans="12:74">
      <c r="L3920" s="265"/>
      <c r="M3920" s="265"/>
      <c r="N3920" s="265"/>
      <c r="O3920" s="265"/>
      <c r="P3920" s="265"/>
      <c r="Q3920" s="265"/>
      <c r="BR3920" s="265"/>
      <c r="BS3920" s="265"/>
      <c r="BT3920" s="265"/>
      <c r="BU3920" s="265"/>
      <c r="BV3920" s="265"/>
    </row>
    <row r="3921" spans="12:74">
      <c r="L3921" s="265"/>
      <c r="M3921" s="265"/>
      <c r="N3921" s="265"/>
      <c r="O3921" s="265"/>
      <c r="P3921" s="265"/>
      <c r="Q3921" s="265"/>
      <c r="BR3921" s="265"/>
      <c r="BS3921" s="265"/>
      <c r="BT3921" s="265"/>
      <c r="BU3921" s="265"/>
      <c r="BV3921" s="265"/>
    </row>
    <row r="3922" spans="12:74">
      <c r="L3922" s="265"/>
      <c r="M3922" s="265"/>
      <c r="N3922" s="265"/>
      <c r="O3922" s="265"/>
      <c r="P3922" s="265"/>
      <c r="Q3922" s="265"/>
      <c r="BR3922" s="265"/>
      <c r="BS3922" s="265"/>
      <c r="BT3922" s="265"/>
      <c r="BU3922" s="265"/>
      <c r="BV3922" s="265"/>
    </row>
    <row r="3923" spans="12:74">
      <c r="L3923" s="265"/>
      <c r="M3923" s="265"/>
      <c r="N3923" s="265"/>
      <c r="O3923" s="265"/>
      <c r="P3923" s="265"/>
      <c r="Q3923" s="265"/>
      <c r="BR3923" s="265"/>
      <c r="BS3923" s="265"/>
      <c r="BT3923" s="265"/>
      <c r="BU3923" s="265"/>
      <c r="BV3923" s="265"/>
    </row>
    <row r="3924" spans="12:74">
      <c r="L3924" s="265"/>
      <c r="M3924" s="265"/>
      <c r="N3924" s="265"/>
      <c r="O3924" s="265"/>
      <c r="P3924" s="265"/>
      <c r="Q3924" s="265"/>
      <c r="BR3924" s="265"/>
      <c r="BS3924" s="265"/>
      <c r="BT3924" s="265"/>
      <c r="BU3924" s="265"/>
      <c r="BV3924" s="265"/>
    </row>
    <row r="3925" spans="12:74">
      <c r="L3925" s="265"/>
      <c r="M3925" s="265"/>
      <c r="N3925" s="265"/>
      <c r="O3925" s="265"/>
      <c r="P3925" s="265"/>
      <c r="Q3925" s="265"/>
      <c r="BR3925" s="265"/>
      <c r="BS3925" s="265"/>
      <c r="BT3925" s="265"/>
      <c r="BU3925" s="265"/>
      <c r="BV3925" s="265"/>
    </row>
    <row r="3926" spans="12:74">
      <c r="L3926" s="265"/>
      <c r="M3926" s="265"/>
      <c r="N3926" s="265"/>
      <c r="O3926" s="265"/>
      <c r="P3926" s="265"/>
      <c r="Q3926" s="265"/>
      <c r="BR3926" s="265"/>
      <c r="BS3926" s="265"/>
      <c r="BT3926" s="265"/>
      <c r="BU3926" s="265"/>
      <c r="BV3926" s="265"/>
    </row>
    <row r="3927" spans="12:74">
      <c r="L3927" s="265"/>
      <c r="M3927" s="265"/>
      <c r="N3927" s="265"/>
      <c r="O3927" s="265"/>
      <c r="P3927" s="265"/>
      <c r="Q3927" s="265"/>
      <c r="BR3927" s="265"/>
      <c r="BS3927" s="265"/>
      <c r="BT3927" s="265"/>
      <c r="BU3927" s="265"/>
      <c r="BV3927" s="265"/>
    </row>
    <row r="3928" spans="12:74">
      <c r="L3928" s="265"/>
      <c r="M3928" s="265"/>
      <c r="N3928" s="265"/>
      <c r="O3928" s="265"/>
      <c r="P3928" s="265"/>
      <c r="Q3928" s="265"/>
      <c r="BR3928" s="265"/>
      <c r="BS3928" s="265"/>
      <c r="BT3928" s="265"/>
      <c r="BU3928" s="265"/>
      <c r="BV3928" s="265"/>
    </row>
    <row r="3929" spans="12:74">
      <c r="L3929" s="265"/>
      <c r="M3929" s="265"/>
      <c r="N3929" s="265"/>
      <c r="O3929" s="265"/>
      <c r="P3929" s="265"/>
      <c r="Q3929" s="265"/>
      <c r="BR3929" s="265"/>
      <c r="BS3929" s="265"/>
      <c r="BT3929" s="265"/>
      <c r="BU3929" s="265"/>
      <c r="BV3929" s="265"/>
    </row>
    <row r="3930" spans="12:74">
      <c r="L3930" s="265"/>
      <c r="M3930" s="265"/>
      <c r="N3930" s="265"/>
      <c r="O3930" s="265"/>
      <c r="P3930" s="265"/>
      <c r="Q3930" s="265"/>
      <c r="BR3930" s="265"/>
      <c r="BS3930" s="265"/>
      <c r="BT3930" s="265"/>
      <c r="BU3930" s="265"/>
      <c r="BV3930" s="265"/>
    </row>
    <row r="3931" spans="12:74">
      <c r="L3931" s="265"/>
      <c r="M3931" s="265"/>
      <c r="N3931" s="265"/>
      <c r="O3931" s="265"/>
      <c r="P3931" s="265"/>
      <c r="Q3931" s="265"/>
      <c r="BR3931" s="265"/>
      <c r="BS3931" s="265"/>
      <c r="BT3931" s="265"/>
      <c r="BU3931" s="265"/>
      <c r="BV3931" s="265"/>
    </row>
    <row r="3932" spans="12:74">
      <c r="L3932" s="265"/>
      <c r="M3932" s="265"/>
      <c r="N3932" s="265"/>
      <c r="O3932" s="265"/>
      <c r="P3932" s="265"/>
      <c r="Q3932" s="265"/>
      <c r="BR3932" s="265"/>
      <c r="BS3932" s="265"/>
      <c r="BT3932" s="265"/>
      <c r="BU3932" s="265"/>
      <c r="BV3932" s="265"/>
    </row>
    <row r="3933" spans="12:74">
      <c r="L3933" s="265"/>
      <c r="M3933" s="265"/>
      <c r="N3933" s="265"/>
      <c r="O3933" s="265"/>
      <c r="P3933" s="265"/>
      <c r="Q3933" s="265"/>
      <c r="BR3933" s="265"/>
      <c r="BS3933" s="265"/>
      <c r="BT3933" s="265"/>
      <c r="BU3933" s="265"/>
      <c r="BV3933" s="265"/>
    </row>
    <row r="3934" spans="12:74">
      <c r="L3934" s="265"/>
      <c r="M3934" s="265"/>
      <c r="N3934" s="265"/>
      <c r="O3934" s="265"/>
      <c r="P3934" s="265"/>
      <c r="Q3934" s="265"/>
      <c r="BR3934" s="265"/>
      <c r="BS3934" s="265"/>
      <c r="BT3934" s="265"/>
      <c r="BU3934" s="265"/>
      <c r="BV3934" s="265"/>
    </row>
    <row r="3935" spans="12:74">
      <c r="L3935" s="265"/>
      <c r="M3935" s="265"/>
      <c r="N3935" s="265"/>
      <c r="O3935" s="265"/>
      <c r="P3935" s="265"/>
      <c r="Q3935" s="265"/>
      <c r="BR3935" s="265"/>
      <c r="BS3935" s="265"/>
      <c r="BT3935" s="265"/>
      <c r="BU3935" s="265"/>
      <c r="BV3935" s="265"/>
    </row>
    <row r="3936" spans="12:74">
      <c r="L3936" s="265"/>
      <c r="M3936" s="265"/>
      <c r="N3936" s="265"/>
      <c r="O3936" s="265"/>
      <c r="P3936" s="265"/>
      <c r="Q3936" s="265"/>
      <c r="BR3936" s="265"/>
      <c r="BS3936" s="265"/>
      <c r="BT3936" s="265"/>
      <c r="BU3936" s="265"/>
      <c r="BV3936" s="265"/>
    </row>
    <row r="3937" spans="12:74">
      <c r="L3937" s="265"/>
      <c r="M3937" s="265"/>
      <c r="N3937" s="265"/>
      <c r="O3937" s="265"/>
      <c r="P3937" s="265"/>
      <c r="Q3937" s="265"/>
      <c r="BR3937" s="265"/>
      <c r="BS3937" s="265"/>
      <c r="BT3937" s="265"/>
      <c r="BU3937" s="265"/>
      <c r="BV3937" s="265"/>
    </row>
    <row r="3938" spans="12:74">
      <c r="L3938" s="265"/>
      <c r="M3938" s="265"/>
      <c r="N3938" s="265"/>
      <c r="O3938" s="265"/>
      <c r="P3938" s="265"/>
      <c r="Q3938" s="265"/>
      <c r="BR3938" s="265"/>
      <c r="BS3938" s="265"/>
      <c r="BT3938" s="265"/>
      <c r="BU3938" s="265"/>
      <c r="BV3938" s="265"/>
    </row>
    <row r="3939" spans="12:74">
      <c r="L3939" s="265"/>
      <c r="M3939" s="265"/>
      <c r="N3939" s="265"/>
      <c r="O3939" s="265"/>
      <c r="P3939" s="265"/>
      <c r="Q3939" s="265"/>
      <c r="BR3939" s="265"/>
      <c r="BS3939" s="265"/>
      <c r="BT3939" s="265"/>
      <c r="BU3939" s="265"/>
      <c r="BV3939" s="265"/>
    </row>
    <row r="3940" spans="12:74">
      <c r="L3940" s="265"/>
      <c r="M3940" s="265"/>
      <c r="N3940" s="265"/>
      <c r="O3940" s="265"/>
      <c r="P3940" s="265"/>
      <c r="Q3940" s="265"/>
      <c r="BR3940" s="265"/>
      <c r="BS3940" s="265"/>
      <c r="BT3940" s="265"/>
      <c r="BU3940" s="265"/>
      <c r="BV3940" s="265"/>
    </row>
    <row r="3941" spans="12:74">
      <c r="L3941" s="265"/>
      <c r="M3941" s="265"/>
      <c r="N3941" s="265"/>
      <c r="O3941" s="265"/>
      <c r="P3941" s="265"/>
      <c r="Q3941" s="265"/>
      <c r="BR3941" s="265"/>
      <c r="BS3941" s="265"/>
      <c r="BT3941" s="265"/>
      <c r="BU3941" s="265"/>
      <c r="BV3941" s="265"/>
    </row>
    <row r="3942" spans="12:74">
      <c r="L3942" s="265"/>
      <c r="M3942" s="265"/>
      <c r="N3942" s="265"/>
      <c r="O3942" s="265"/>
      <c r="P3942" s="265"/>
      <c r="Q3942" s="265"/>
      <c r="BR3942" s="265"/>
      <c r="BS3942" s="265"/>
      <c r="BT3942" s="265"/>
      <c r="BU3942" s="265"/>
      <c r="BV3942" s="265"/>
    </row>
    <row r="3943" spans="12:74">
      <c r="L3943" s="265"/>
      <c r="M3943" s="265"/>
      <c r="N3943" s="265"/>
      <c r="O3943" s="265"/>
      <c r="P3943" s="265"/>
      <c r="Q3943" s="265"/>
      <c r="BR3943" s="265"/>
      <c r="BS3943" s="265"/>
      <c r="BT3943" s="265"/>
      <c r="BU3943" s="265"/>
      <c r="BV3943" s="265"/>
    </row>
    <row r="3944" spans="12:74">
      <c r="L3944" s="265"/>
      <c r="M3944" s="265"/>
      <c r="N3944" s="265"/>
      <c r="O3944" s="265"/>
      <c r="P3944" s="265"/>
      <c r="Q3944" s="265"/>
      <c r="BR3944" s="265"/>
      <c r="BS3944" s="265"/>
      <c r="BT3944" s="265"/>
      <c r="BU3944" s="265"/>
      <c r="BV3944" s="265"/>
    </row>
    <row r="3945" spans="12:74">
      <c r="L3945" s="265"/>
      <c r="M3945" s="265"/>
      <c r="N3945" s="265"/>
      <c r="O3945" s="265"/>
      <c r="P3945" s="265"/>
      <c r="Q3945" s="265"/>
      <c r="BR3945" s="265"/>
      <c r="BS3945" s="265"/>
      <c r="BT3945" s="265"/>
      <c r="BU3945" s="265"/>
      <c r="BV3945" s="265"/>
    </row>
    <row r="3946" spans="12:74">
      <c r="L3946" s="265"/>
      <c r="M3946" s="265"/>
      <c r="N3946" s="265"/>
      <c r="O3946" s="265"/>
      <c r="P3946" s="265"/>
      <c r="Q3946" s="265"/>
      <c r="BR3946" s="265"/>
      <c r="BS3946" s="265"/>
      <c r="BT3946" s="265"/>
      <c r="BU3946" s="265"/>
      <c r="BV3946" s="265"/>
    </row>
    <row r="3947" spans="12:74">
      <c r="L3947" s="265"/>
      <c r="M3947" s="265"/>
      <c r="N3947" s="265"/>
      <c r="O3947" s="265"/>
      <c r="P3947" s="265"/>
      <c r="Q3947" s="265"/>
      <c r="BR3947" s="265"/>
      <c r="BS3947" s="265"/>
      <c r="BT3947" s="265"/>
      <c r="BU3947" s="265"/>
      <c r="BV3947" s="265"/>
    </row>
    <row r="3948" spans="12:74">
      <c r="L3948" s="265"/>
      <c r="M3948" s="265"/>
      <c r="N3948" s="265"/>
      <c r="O3948" s="265"/>
      <c r="P3948" s="265"/>
      <c r="Q3948" s="265"/>
      <c r="BR3948" s="265"/>
      <c r="BS3948" s="265"/>
      <c r="BT3948" s="265"/>
      <c r="BU3948" s="265"/>
      <c r="BV3948" s="265"/>
    </row>
    <row r="3949" spans="12:74">
      <c r="L3949" s="265"/>
      <c r="M3949" s="265"/>
      <c r="N3949" s="265"/>
      <c r="O3949" s="265"/>
      <c r="P3949" s="265"/>
      <c r="Q3949" s="265"/>
      <c r="BR3949" s="265"/>
      <c r="BS3949" s="265"/>
      <c r="BT3949" s="265"/>
      <c r="BU3949" s="265"/>
      <c r="BV3949" s="265"/>
    </row>
    <row r="3950" spans="12:74">
      <c r="L3950" s="265"/>
      <c r="M3950" s="265"/>
      <c r="N3950" s="265"/>
      <c r="O3950" s="265"/>
      <c r="P3950" s="265"/>
      <c r="Q3950" s="265"/>
      <c r="BR3950" s="265"/>
      <c r="BS3950" s="265"/>
      <c r="BT3950" s="265"/>
      <c r="BU3950" s="265"/>
      <c r="BV3950" s="265"/>
    </row>
    <row r="3951" spans="12:74">
      <c r="L3951" s="265"/>
      <c r="M3951" s="265"/>
      <c r="N3951" s="265"/>
      <c r="O3951" s="265"/>
      <c r="P3951" s="265"/>
      <c r="Q3951" s="265"/>
      <c r="BR3951" s="265"/>
      <c r="BS3951" s="265"/>
      <c r="BT3951" s="265"/>
      <c r="BU3951" s="265"/>
      <c r="BV3951" s="265"/>
    </row>
    <row r="3952" spans="12:74">
      <c r="L3952" s="265"/>
      <c r="M3952" s="265"/>
      <c r="N3952" s="265"/>
      <c r="O3952" s="265"/>
      <c r="P3952" s="265"/>
      <c r="Q3952" s="265"/>
      <c r="BR3952" s="265"/>
      <c r="BS3952" s="265"/>
      <c r="BT3952" s="265"/>
      <c r="BU3952" s="265"/>
      <c r="BV3952" s="265"/>
    </row>
    <row r="3953" spans="12:74">
      <c r="L3953" s="265"/>
      <c r="M3953" s="265"/>
      <c r="N3953" s="265"/>
      <c r="O3953" s="265"/>
      <c r="P3953" s="265"/>
      <c r="Q3953" s="265"/>
      <c r="BR3953" s="265"/>
      <c r="BS3953" s="265"/>
      <c r="BT3953" s="265"/>
      <c r="BU3953" s="265"/>
      <c r="BV3953" s="265"/>
    </row>
    <row r="3954" spans="12:74">
      <c r="L3954" s="265"/>
      <c r="M3954" s="265"/>
      <c r="N3954" s="265"/>
      <c r="O3954" s="265"/>
      <c r="P3954" s="265"/>
      <c r="Q3954" s="265"/>
      <c r="BR3954" s="265"/>
      <c r="BS3954" s="265"/>
      <c r="BT3954" s="265"/>
      <c r="BU3954" s="265"/>
      <c r="BV3954" s="265"/>
    </row>
    <row r="3955" spans="12:74">
      <c r="L3955" s="265"/>
      <c r="M3955" s="265"/>
      <c r="N3955" s="265"/>
      <c r="O3955" s="265"/>
      <c r="P3955" s="265"/>
      <c r="Q3955" s="265"/>
      <c r="BR3955" s="265"/>
      <c r="BS3955" s="265"/>
      <c r="BT3955" s="265"/>
      <c r="BU3955" s="265"/>
      <c r="BV3955" s="265"/>
    </row>
    <row r="3956" spans="12:74">
      <c r="L3956" s="265"/>
      <c r="M3956" s="265"/>
      <c r="N3956" s="265"/>
      <c r="O3956" s="265"/>
      <c r="P3956" s="265"/>
      <c r="Q3956" s="265"/>
      <c r="BR3956" s="265"/>
      <c r="BS3956" s="265"/>
      <c r="BT3956" s="265"/>
      <c r="BU3956" s="265"/>
      <c r="BV3956" s="265"/>
    </row>
    <row r="3957" spans="12:74">
      <c r="L3957" s="265"/>
      <c r="M3957" s="265"/>
      <c r="N3957" s="265"/>
      <c r="O3957" s="265"/>
      <c r="P3957" s="265"/>
      <c r="Q3957" s="265"/>
      <c r="BR3957" s="265"/>
      <c r="BS3957" s="265"/>
      <c r="BT3957" s="265"/>
      <c r="BU3957" s="265"/>
      <c r="BV3957" s="265"/>
    </row>
    <row r="3958" spans="12:74">
      <c r="L3958" s="265"/>
      <c r="M3958" s="265"/>
      <c r="N3958" s="265"/>
      <c r="O3958" s="265"/>
      <c r="P3958" s="265"/>
      <c r="Q3958" s="265"/>
      <c r="BR3958" s="265"/>
      <c r="BS3958" s="265"/>
      <c r="BT3958" s="265"/>
      <c r="BU3958" s="265"/>
      <c r="BV3958" s="265"/>
    </row>
    <row r="3959" spans="12:74">
      <c r="L3959" s="265"/>
      <c r="M3959" s="265"/>
      <c r="N3959" s="265"/>
      <c r="O3959" s="265"/>
      <c r="P3959" s="265"/>
      <c r="Q3959" s="265"/>
      <c r="BR3959" s="265"/>
      <c r="BS3959" s="265"/>
      <c r="BT3959" s="265"/>
      <c r="BU3959" s="265"/>
      <c r="BV3959" s="265"/>
    </row>
    <row r="3960" spans="12:74">
      <c r="L3960" s="265"/>
      <c r="M3960" s="265"/>
      <c r="N3960" s="265"/>
      <c r="O3960" s="265"/>
      <c r="P3960" s="265"/>
      <c r="Q3960" s="265"/>
      <c r="BR3960" s="265"/>
      <c r="BS3960" s="265"/>
      <c r="BT3960" s="265"/>
      <c r="BU3960" s="265"/>
      <c r="BV3960" s="265"/>
    </row>
    <row r="3961" spans="12:74">
      <c r="L3961" s="265"/>
      <c r="M3961" s="265"/>
      <c r="N3961" s="265"/>
      <c r="O3961" s="265"/>
      <c r="P3961" s="265"/>
      <c r="Q3961" s="265"/>
      <c r="BR3961" s="265"/>
      <c r="BS3961" s="265"/>
      <c r="BT3961" s="265"/>
      <c r="BU3961" s="265"/>
      <c r="BV3961" s="265"/>
    </row>
    <row r="3962" spans="12:74">
      <c r="L3962" s="265"/>
      <c r="M3962" s="265"/>
      <c r="N3962" s="265"/>
      <c r="O3962" s="265"/>
      <c r="P3962" s="265"/>
      <c r="Q3962" s="265"/>
      <c r="BR3962" s="265"/>
      <c r="BS3962" s="265"/>
      <c r="BT3962" s="265"/>
      <c r="BU3962" s="265"/>
      <c r="BV3962" s="265"/>
    </row>
    <row r="3963" spans="12:74">
      <c r="L3963" s="265"/>
      <c r="M3963" s="265"/>
      <c r="N3963" s="265"/>
      <c r="O3963" s="265"/>
      <c r="P3963" s="265"/>
      <c r="Q3963" s="265"/>
      <c r="BR3963" s="265"/>
      <c r="BS3963" s="265"/>
      <c r="BT3963" s="265"/>
      <c r="BU3963" s="265"/>
      <c r="BV3963" s="265"/>
    </row>
    <row r="3964" spans="12:74">
      <c r="L3964" s="265"/>
      <c r="M3964" s="265"/>
      <c r="N3964" s="265"/>
      <c r="O3964" s="265"/>
      <c r="P3964" s="265"/>
      <c r="Q3964" s="265"/>
      <c r="BR3964" s="265"/>
      <c r="BS3964" s="265"/>
      <c r="BT3964" s="265"/>
      <c r="BU3964" s="265"/>
      <c r="BV3964" s="265"/>
    </row>
    <row r="3965" spans="12:74">
      <c r="L3965" s="265"/>
      <c r="M3965" s="265"/>
      <c r="N3965" s="265"/>
      <c r="O3965" s="265"/>
      <c r="P3965" s="265"/>
      <c r="Q3965" s="265"/>
      <c r="BR3965" s="265"/>
      <c r="BS3965" s="265"/>
      <c r="BT3965" s="265"/>
      <c r="BU3965" s="265"/>
      <c r="BV3965" s="265"/>
    </row>
    <row r="3966" spans="12:74">
      <c r="L3966" s="265"/>
      <c r="M3966" s="265"/>
      <c r="N3966" s="265"/>
      <c r="O3966" s="265"/>
      <c r="P3966" s="265"/>
      <c r="Q3966" s="265"/>
      <c r="BR3966" s="265"/>
      <c r="BS3966" s="265"/>
      <c r="BT3966" s="265"/>
      <c r="BU3966" s="265"/>
      <c r="BV3966" s="265"/>
    </row>
    <row r="3967" spans="12:74">
      <c r="L3967" s="265"/>
      <c r="M3967" s="265"/>
      <c r="N3967" s="265"/>
      <c r="O3967" s="265"/>
      <c r="P3967" s="265"/>
      <c r="Q3967" s="265"/>
      <c r="BR3967" s="265"/>
      <c r="BS3967" s="265"/>
      <c r="BT3967" s="265"/>
      <c r="BU3967" s="265"/>
      <c r="BV3967" s="265"/>
    </row>
    <row r="3968" spans="12:74">
      <c r="L3968" s="265"/>
      <c r="M3968" s="265"/>
      <c r="N3968" s="265"/>
      <c r="O3968" s="265"/>
      <c r="P3968" s="265"/>
      <c r="Q3968" s="265"/>
      <c r="BR3968" s="265"/>
      <c r="BS3968" s="265"/>
      <c r="BT3968" s="265"/>
      <c r="BU3968" s="265"/>
      <c r="BV3968" s="265"/>
    </row>
    <row r="3969" spans="12:74">
      <c r="L3969" s="265"/>
      <c r="M3969" s="265"/>
      <c r="N3969" s="265"/>
      <c r="O3969" s="265"/>
      <c r="P3969" s="265"/>
      <c r="Q3969" s="265"/>
      <c r="BR3969" s="265"/>
      <c r="BS3969" s="265"/>
      <c r="BT3969" s="265"/>
      <c r="BU3969" s="265"/>
      <c r="BV3969" s="265"/>
    </row>
    <row r="3970" spans="12:74">
      <c r="L3970" s="265"/>
      <c r="M3970" s="265"/>
      <c r="N3970" s="265"/>
      <c r="O3970" s="265"/>
      <c r="P3970" s="265"/>
      <c r="Q3970" s="265"/>
      <c r="BR3970" s="265"/>
      <c r="BS3970" s="265"/>
      <c r="BT3970" s="265"/>
      <c r="BU3970" s="265"/>
      <c r="BV3970" s="265"/>
    </row>
    <row r="3971" spans="12:74">
      <c r="L3971" s="265"/>
      <c r="M3971" s="265"/>
      <c r="N3971" s="265"/>
      <c r="O3971" s="265"/>
      <c r="P3971" s="265"/>
      <c r="Q3971" s="265"/>
      <c r="BR3971" s="265"/>
      <c r="BS3971" s="265"/>
      <c r="BT3971" s="265"/>
      <c r="BU3971" s="265"/>
      <c r="BV3971" s="265"/>
    </row>
    <row r="3972" spans="12:74">
      <c r="L3972" s="265"/>
      <c r="M3972" s="265"/>
      <c r="N3972" s="265"/>
      <c r="O3972" s="265"/>
      <c r="P3972" s="265"/>
      <c r="Q3972" s="265"/>
      <c r="BR3972" s="265"/>
      <c r="BS3972" s="265"/>
      <c r="BT3972" s="265"/>
      <c r="BU3972" s="265"/>
      <c r="BV3972" s="265"/>
    </row>
    <row r="3973" spans="12:74">
      <c r="L3973" s="265"/>
      <c r="M3973" s="265"/>
      <c r="N3973" s="265"/>
      <c r="O3973" s="265"/>
      <c r="P3973" s="265"/>
      <c r="Q3973" s="265"/>
      <c r="BR3973" s="265"/>
      <c r="BS3973" s="265"/>
      <c r="BT3973" s="265"/>
      <c r="BU3973" s="265"/>
      <c r="BV3973" s="265"/>
    </row>
    <row r="3974" spans="12:74">
      <c r="L3974" s="265"/>
      <c r="M3974" s="265"/>
      <c r="N3974" s="265"/>
      <c r="O3974" s="265"/>
      <c r="P3974" s="265"/>
      <c r="Q3974" s="265"/>
      <c r="BR3974" s="265"/>
      <c r="BS3974" s="265"/>
      <c r="BT3974" s="265"/>
      <c r="BU3974" s="265"/>
      <c r="BV3974" s="265"/>
    </row>
    <row r="3975" spans="12:74">
      <c r="L3975" s="265"/>
      <c r="M3975" s="265"/>
      <c r="N3975" s="265"/>
      <c r="O3975" s="265"/>
      <c r="P3975" s="265"/>
      <c r="Q3975" s="265"/>
      <c r="BR3975" s="265"/>
      <c r="BS3975" s="265"/>
      <c r="BT3975" s="265"/>
      <c r="BU3975" s="265"/>
      <c r="BV3975" s="265"/>
    </row>
    <row r="3976" spans="12:74">
      <c r="L3976" s="265"/>
      <c r="M3976" s="265"/>
      <c r="N3976" s="265"/>
      <c r="O3976" s="265"/>
      <c r="P3976" s="265"/>
      <c r="Q3976" s="265"/>
      <c r="BR3976" s="265"/>
      <c r="BS3976" s="265"/>
      <c r="BT3976" s="265"/>
      <c r="BU3976" s="265"/>
      <c r="BV3976" s="265"/>
    </row>
    <row r="3977" spans="12:74">
      <c r="L3977" s="265"/>
      <c r="M3977" s="265"/>
      <c r="N3977" s="265"/>
      <c r="O3977" s="265"/>
      <c r="P3977" s="265"/>
      <c r="Q3977" s="265"/>
      <c r="BR3977" s="265"/>
      <c r="BS3977" s="265"/>
      <c r="BT3977" s="265"/>
      <c r="BU3977" s="265"/>
      <c r="BV3977" s="265"/>
    </row>
    <row r="3978" spans="12:74">
      <c r="L3978" s="265"/>
      <c r="M3978" s="265"/>
      <c r="N3978" s="265"/>
      <c r="O3978" s="265"/>
      <c r="P3978" s="265"/>
      <c r="Q3978" s="265"/>
      <c r="BR3978" s="265"/>
      <c r="BS3978" s="265"/>
      <c r="BT3978" s="265"/>
      <c r="BU3978" s="265"/>
      <c r="BV3978" s="265"/>
    </row>
    <row r="3979" spans="12:74">
      <c r="L3979" s="265"/>
      <c r="M3979" s="265"/>
      <c r="N3979" s="265"/>
      <c r="O3979" s="265"/>
      <c r="P3979" s="265"/>
      <c r="Q3979" s="265"/>
      <c r="BR3979" s="265"/>
      <c r="BS3979" s="265"/>
      <c r="BT3979" s="265"/>
      <c r="BU3979" s="265"/>
      <c r="BV3979" s="265"/>
    </row>
    <row r="3980" spans="12:74">
      <c r="L3980" s="265"/>
      <c r="M3980" s="265"/>
      <c r="N3980" s="265"/>
      <c r="O3980" s="265"/>
      <c r="P3980" s="265"/>
      <c r="Q3980" s="265"/>
      <c r="BR3980" s="265"/>
      <c r="BS3980" s="265"/>
      <c r="BT3980" s="265"/>
      <c r="BU3980" s="265"/>
      <c r="BV3980" s="265"/>
    </row>
    <row r="3981" spans="12:74">
      <c r="L3981" s="265"/>
      <c r="M3981" s="265"/>
      <c r="N3981" s="265"/>
      <c r="O3981" s="265"/>
      <c r="P3981" s="265"/>
      <c r="Q3981" s="265"/>
      <c r="BR3981" s="265"/>
      <c r="BS3981" s="265"/>
      <c r="BT3981" s="265"/>
      <c r="BU3981" s="265"/>
      <c r="BV3981" s="265"/>
    </row>
    <row r="3982" spans="12:74">
      <c r="L3982" s="265"/>
      <c r="M3982" s="265"/>
      <c r="N3982" s="265"/>
      <c r="O3982" s="265"/>
      <c r="P3982" s="265"/>
      <c r="Q3982" s="265"/>
      <c r="BR3982" s="265"/>
      <c r="BS3982" s="265"/>
      <c r="BT3982" s="265"/>
      <c r="BU3982" s="265"/>
      <c r="BV3982" s="265"/>
    </row>
    <row r="3983" spans="12:74">
      <c r="L3983" s="265"/>
      <c r="M3983" s="265"/>
      <c r="N3983" s="265"/>
      <c r="O3983" s="265"/>
      <c r="P3983" s="265"/>
      <c r="Q3983" s="265"/>
      <c r="BR3983" s="265"/>
      <c r="BS3983" s="265"/>
      <c r="BT3983" s="265"/>
      <c r="BU3983" s="265"/>
      <c r="BV3983" s="265"/>
    </row>
    <row r="3984" spans="12:74">
      <c r="L3984" s="265"/>
      <c r="M3984" s="265"/>
      <c r="N3984" s="265"/>
      <c r="O3984" s="265"/>
      <c r="P3984" s="265"/>
      <c r="Q3984" s="265"/>
      <c r="BR3984" s="265"/>
      <c r="BS3984" s="265"/>
      <c r="BT3984" s="265"/>
      <c r="BU3984" s="265"/>
      <c r="BV3984" s="265"/>
    </row>
    <row r="3985" spans="12:74">
      <c r="L3985" s="265"/>
      <c r="M3985" s="265"/>
      <c r="N3985" s="265"/>
      <c r="O3985" s="265"/>
      <c r="P3985" s="265"/>
      <c r="Q3985" s="265"/>
      <c r="BR3985" s="265"/>
      <c r="BS3985" s="265"/>
      <c r="BT3985" s="265"/>
      <c r="BU3985" s="265"/>
      <c r="BV3985" s="265"/>
    </row>
    <row r="3986" spans="12:74">
      <c r="L3986" s="265"/>
      <c r="M3986" s="265"/>
      <c r="N3986" s="265"/>
      <c r="O3986" s="265"/>
      <c r="P3986" s="265"/>
      <c r="Q3986" s="265"/>
      <c r="BR3986" s="265"/>
      <c r="BS3986" s="265"/>
      <c r="BT3986" s="265"/>
      <c r="BU3986" s="265"/>
      <c r="BV3986" s="265"/>
    </row>
    <row r="3987" spans="12:74">
      <c r="L3987" s="265"/>
      <c r="M3987" s="265"/>
      <c r="N3987" s="265"/>
      <c r="O3987" s="265"/>
      <c r="P3987" s="265"/>
      <c r="Q3987" s="265"/>
      <c r="BR3987" s="265"/>
      <c r="BS3987" s="265"/>
      <c r="BT3987" s="265"/>
      <c r="BU3987" s="265"/>
      <c r="BV3987" s="265"/>
    </row>
    <row r="3988" spans="12:74">
      <c r="L3988" s="265"/>
      <c r="M3988" s="265"/>
      <c r="N3988" s="265"/>
      <c r="O3988" s="265"/>
      <c r="P3988" s="265"/>
      <c r="Q3988" s="265"/>
      <c r="BR3988" s="265"/>
      <c r="BS3988" s="265"/>
      <c r="BT3988" s="265"/>
      <c r="BU3988" s="265"/>
      <c r="BV3988" s="265"/>
    </row>
    <row r="3989" spans="12:74">
      <c r="L3989" s="265"/>
      <c r="M3989" s="265"/>
      <c r="N3989" s="265"/>
      <c r="O3989" s="265"/>
      <c r="P3989" s="265"/>
      <c r="Q3989" s="265"/>
      <c r="BR3989" s="265"/>
      <c r="BS3989" s="265"/>
      <c r="BT3989" s="265"/>
      <c r="BU3989" s="265"/>
      <c r="BV3989" s="265"/>
    </row>
    <row r="3990" spans="12:74">
      <c r="L3990" s="265"/>
      <c r="M3990" s="265"/>
      <c r="N3990" s="265"/>
      <c r="O3990" s="265"/>
      <c r="P3990" s="265"/>
      <c r="Q3990" s="265"/>
      <c r="BR3990" s="265"/>
      <c r="BS3990" s="265"/>
      <c r="BT3990" s="265"/>
      <c r="BU3990" s="265"/>
      <c r="BV3990" s="265"/>
    </row>
    <row r="3991" spans="12:74">
      <c r="L3991" s="265"/>
      <c r="M3991" s="265"/>
      <c r="N3991" s="265"/>
      <c r="O3991" s="265"/>
      <c r="P3991" s="265"/>
      <c r="Q3991" s="265"/>
      <c r="BR3991" s="265"/>
      <c r="BS3991" s="265"/>
      <c r="BT3991" s="265"/>
      <c r="BU3991" s="265"/>
      <c r="BV3991" s="265"/>
    </row>
    <row r="3992" spans="12:74">
      <c r="L3992" s="265"/>
      <c r="M3992" s="265"/>
      <c r="N3992" s="265"/>
      <c r="O3992" s="265"/>
      <c r="P3992" s="265"/>
      <c r="Q3992" s="265"/>
      <c r="BR3992" s="265"/>
      <c r="BS3992" s="265"/>
      <c r="BT3992" s="265"/>
      <c r="BU3992" s="265"/>
      <c r="BV3992" s="265"/>
    </row>
    <row r="3993" spans="12:74">
      <c r="L3993" s="265"/>
      <c r="M3993" s="265"/>
      <c r="N3993" s="265"/>
      <c r="O3993" s="265"/>
      <c r="P3993" s="265"/>
      <c r="Q3993" s="265"/>
      <c r="BR3993" s="265"/>
      <c r="BS3993" s="265"/>
      <c r="BT3993" s="265"/>
      <c r="BU3993" s="265"/>
      <c r="BV3993" s="265"/>
    </row>
    <row r="3994" spans="12:74">
      <c r="L3994" s="265"/>
      <c r="M3994" s="265"/>
      <c r="N3994" s="265"/>
      <c r="O3994" s="265"/>
      <c r="P3994" s="265"/>
      <c r="Q3994" s="265"/>
      <c r="BR3994" s="265"/>
      <c r="BS3994" s="265"/>
      <c r="BT3994" s="265"/>
      <c r="BU3994" s="265"/>
      <c r="BV3994" s="265"/>
    </row>
    <row r="3995" spans="12:74">
      <c r="L3995" s="265"/>
      <c r="M3995" s="265"/>
      <c r="N3995" s="265"/>
      <c r="O3995" s="265"/>
      <c r="P3995" s="265"/>
      <c r="Q3995" s="265"/>
      <c r="BR3995" s="265"/>
      <c r="BS3995" s="265"/>
      <c r="BT3995" s="265"/>
      <c r="BU3995" s="265"/>
      <c r="BV3995" s="265"/>
    </row>
    <row r="3996" spans="12:74">
      <c r="L3996" s="265"/>
      <c r="M3996" s="265"/>
      <c r="N3996" s="265"/>
      <c r="O3996" s="265"/>
      <c r="P3996" s="265"/>
      <c r="Q3996" s="265"/>
      <c r="BR3996" s="265"/>
      <c r="BS3996" s="265"/>
      <c r="BT3996" s="265"/>
      <c r="BU3996" s="265"/>
      <c r="BV3996" s="265"/>
    </row>
    <row r="3997" spans="12:74">
      <c r="L3997" s="265"/>
      <c r="M3997" s="265"/>
      <c r="N3997" s="265"/>
      <c r="O3997" s="265"/>
      <c r="P3997" s="265"/>
      <c r="Q3997" s="265"/>
      <c r="BR3997" s="265"/>
      <c r="BS3997" s="265"/>
      <c r="BT3997" s="265"/>
      <c r="BU3997" s="265"/>
      <c r="BV3997" s="265"/>
    </row>
    <row r="3998" spans="12:74">
      <c r="L3998" s="265"/>
      <c r="M3998" s="265"/>
      <c r="N3998" s="265"/>
      <c r="O3998" s="265"/>
      <c r="P3998" s="265"/>
      <c r="Q3998" s="265"/>
      <c r="BR3998" s="265"/>
      <c r="BS3998" s="265"/>
      <c r="BT3998" s="265"/>
      <c r="BU3998" s="265"/>
      <c r="BV3998" s="265"/>
    </row>
    <row r="3999" spans="12:74">
      <c r="L3999" s="265"/>
      <c r="M3999" s="265"/>
      <c r="N3999" s="265"/>
      <c r="O3999" s="265"/>
      <c r="P3999" s="265"/>
      <c r="Q3999" s="265"/>
      <c r="BR3999" s="265"/>
      <c r="BS3999" s="265"/>
      <c r="BT3999" s="265"/>
      <c r="BU3999" s="265"/>
      <c r="BV3999" s="265"/>
    </row>
    <row r="4000" spans="12:74">
      <c r="L4000" s="265"/>
      <c r="M4000" s="265"/>
      <c r="N4000" s="265"/>
      <c r="O4000" s="265"/>
      <c r="P4000" s="265"/>
      <c r="Q4000" s="265"/>
      <c r="BR4000" s="265"/>
      <c r="BS4000" s="265"/>
      <c r="BT4000" s="265"/>
      <c r="BU4000" s="265"/>
      <c r="BV4000" s="265"/>
    </row>
    <row r="4001" spans="12:74">
      <c r="L4001" s="265"/>
      <c r="M4001" s="265"/>
      <c r="N4001" s="265"/>
      <c r="O4001" s="265"/>
      <c r="P4001" s="265"/>
      <c r="Q4001" s="265"/>
      <c r="BR4001" s="265"/>
      <c r="BS4001" s="265"/>
      <c r="BT4001" s="265"/>
      <c r="BU4001" s="265"/>
      <c r="BV4001" s="265"/>
    </row>
    <row r="4002" spans="12:74">
      <c r="L4002" s="265"/>
      <c r="M4002" s="265"/>
      <c r="N4002" s="265"/>
      <c r="O4002" s="265"/>
      <c r="P4002" s="265"/>
      <c r="Q4002" s="265"/>
      <c r="BR4002" s="265"/>
      <c r="BS4002" s="265"/>
      <c r="BT4002" s="265"/>
      <c r="BU4002" s="265"/>
      <c r="BV4002" s="265"/>
    </row>
    <row r="4003" spans="12:74">
      <c r="L4003" s="265"/>
      <c r="M4003" s="265"/>
      <c r="N4003" s="265"/>
      <c r="O4003" s="265"/>
      <c r="P4003" s="265"/>
      <c r="Q4003" s="265"/>
      <c r="BR4003" s="265"/>
      <c r="BS4003" s="265"/>
      <c r="BT4003" s="265"/>
      <c r="BU4003" s="265"/>
      <c r="BV4003" s="265"/>
    </row>
    <row r="4004" spans="12:74">
      <c r="L4004" s="265"/>
      <c r="M4004" s="265"/>
      <c r="N4004" s="265"/>
      <c r="O4004" s="265"/>
      <c r="P4004" s="265"/>
      <c r="Q4004" s="265"/>
      <c r="BR4004" s="265"/>
      <c r="BS4004" s="265"/>
      <c r="BT4004" s="265"/>
      <c r="BU4004" s="265"/>
      <c r="BV4004" s="265"/>
    </row>
    <row r="4005" spans="12:74">
      <c r="L4005" s="265"/>
      <c r="M4005" s="265"/>
      <c r="N4005" s="265"/>
      <c r="O4005" s="265"/>
      <c r="P4005" s="265"/>
      <c r="Q4005" s="265"/>
      <c r="BR4005" s="265"/>
      <c r="BS4005" s="265"/>
      <c r="BT4005" s="265"/>
      <c r="BU4005" s="265"/>
      <c r="BV4005" s="265"/>
    </row>
    <row r="4006" spans="12:74">
      <c r="L4006" s="265"/>
      <c r="M4006" s="265"/>
      <c r="N4006" s="265"/>
      <c r="O4006" s="265"/>
      <c r="P4006" s="265"/>
      <c r="Q4006" s="265"/>
      <c r="BR4006" s="265"/>
      <c r="BS4006" s="265"/>
      <c r="BT4006" s="265"/>
      <c r="BU4006" s="265"/>
      <c r="BV4006" s="265"/>
    </row>
    <row r="4007" spans="12:74">
      <c r="L4007" s="265"/>
      <c r="M4007" s="265"/>
      <c r="N4007" s="265"/>
      <c r="O4007" s="265"/>
      <c r="P4007" s="265"/>
      <c r="Q4007" s="265"/>
      <c r="BR4007" s="265"/>
      <c r="BS4007" s="265"/>
      <c r="BT4007" s="265"/>
      <c r="BU4007" s="265"/>
      <c r="BV4007" s="265"/>
    </row>
    <row r="4008" spans="12:74">
      <c r="L4008" s="265"/>
      <c r="M4008" s="265"/>
      <c r="N4008" s="265"/>
      <c r="O4008" s="265"/>
      <c r="P4008" s="265"/>
      <c r="Q4008" s="265"/>
      <c r="BR4008" s="265"/>
      <c r="BS4008" s="265"/>
      <c r="BT4008" s="265"/>
      <c r="BU4008" s="265"/>
      <c r="BV4008" s="265"/>
    </row>
    <row r="4009" spans="12:74">
      <c r="L4009" s="265"/>
      <c r="M4009" s="265"/>
      <c r="N4009" s="265"/>
      <c r="O4009" s="265"/>
      <c r="P4009" s="265"/>
      <c r="Q4009" s="265"/>
      <c r="BR4009" s="265"/>
      <c r="BS4009" s="265"/>
      <c r="BT4009" s="265"/>
      <c r="BU4009" s="265"/>
      <c r="BV4009" s="265"/>
    </row>
    <row r="4010" spans="12:74">
      <c r="L4010" s="265"/>
      <c r="M4010" s="265"/>
      <c r="N4010" s="265"/>
      <c r="O4010" s="265"/>
      <c r="P4010" s="265"/>
      <c r="Q4010" s="265"/>
      <c r="BR4010" s="265"/>
      <c r="BS4010" s="265"/>
      <c r="BT4010" s="265"/>
      <c r="BU4010" s="265"/>
      <c r="BV4010" s="265"/>
    </row>
    <row r="4011" spans="12:74">
      <c r="L4011" s="265"/>
      <c r="M4011" s="265"/>
      <c r="N4011" s="265"/>
      <c r="O4011" s="265"/>
      <c r="P4011" s="265"/>
      <c r="Q4011" s="265"/>
      <c r="BR4011" s="265"/>
      <c r="BS4011" s="265"/>
      <c r="BT4011" s="265"/>
      <c r="BU4011" s="265"/>
      <c r="BV4011" s="265"/>
    </row>
    <row r="4012" spans="12:74">
      <c r="L4012" s="265"/>
      <c r="M4012" s="265"/>
      <c r="N4012" s="265"/>
      <c r="O4012" s="265"/>
      <c r="P4012" s="265"/>
      <c r="Q4012" s="265"/>
      <c r="BR4012" s="265"/>
      <c r="BS4012" s="265"/>
      <c r="BT4012" s="265"/>
      <c r="BU4012" s="265"/>
      <c r="BV4012" s="265"/>
    </row>
    <row r="4013" spans="12:74">
      <c r="L4013" s="265"/>
      <c r="M4013" s="265"/>
      <c r="N4013" s="265"/>
      <c r="O4013" s="265"/>
      <c r="P4013" s="265"/>
      <c r="Q4013" s="265"/>
      <c r="BR4013" s="265"/>
      <c r="BS4013" s="265"/>
      <c r="BT4013" s="265"/>
      <c r="BU4013" s="265"/>
      <c r="BV4013" s="265"/>
    </row>
    <row r="4014" spans="12:74">
      <c r="L4014" s="265"/>
      <c r="M4014" s="265"/>
      <c r="N4014" s="265"/>
      <c r="O4014" s="265"/>
      <c r="P4014" s="265"/>
      <c r="Q4014" s="265"/>
      <c r="BR4014" s="265"/>
      <c r="BS4014" s="265"/>
      <c r="BT4014" s="265"/>
      <c r="BU4014" s="265"/>
      <c r="BV4014" s="265"/>
    </row>
    <row r="4015" spans="12:74">
      <c r="L4015" s="265"/>
      <c r="M4015" s="265"/>
      <c r="N4015" s="265"/>
      <c r="O4015" s="265"/>
      <c r="P4015" s="265"/>
      <c r="Q4015" s="265"/>
      <c r="BR4015" s="265"/>
      <c r="BS4015" s="265"/>
      <c r="BT4015" s="265"/>
      <c r="BU4015" s="265"/>
      <c r="BV4015" s="265"/>
    </row>
    <row r="4016" spans="12:74">
      <c r="L4016" s="265"/>
      <c r="M4016" s="265"/>
      <c r="N4016" s="265"/>
      <c r="O4016" s="265"/>
      <c r="P4016" s="265"/>
      <c r="Q4016" s="265"/>
      <c r="BR4016" s="265"/>
      <c r="BS4016" s="265"/>
      <c r="BT4016" s="265"/>
      <c r="BU4016" s="265"/>
      <c r="BV4016" s="265"/>
    </row>
    <row r="4017" spans="12:74">
      <c r="L4017" s="265"/>
      <c r="M4017" s="265"/>
      <c r="N4017" s="265"/>
      <c r="O4017" s="265"/>
      <c r="P4017" s="265"/>
      <c r="Q4017" s="265"/>
      <c r="BR4017" s="265"/>
      <c r="BS4017" s="265"/>
      <c r="BT4017" s="265"/>
      <c r="BU4017" s="265"/>
      <c r="BV4017" s="265"/>
    </row>
    <row r="4018" spans="12:74">
      <c r="L4018" s="265"/>
      <c r="M4018" s="265"/>
      <c r="N4018" s="265"/>
      <c r="O4018" s="265"/>
      <c r="P4018" s="265"/>
      <c r="Q4018" s="265"/>
      <c r="BR4018" s="265"/>
      <c r="BS4018" s="265"/>
      <c r="BT4018" s="265"/>
      <c r="BU4018" s="265"/>
      <c r="BV4018" s="265"/>
    </row>
    <row r="4019" spans="12:74">
      <c r="L4019" s="265"/>
      <c r="M4019" s="265"/>
      <c r="N4019" s="265"/>
      <c r="O4019" s="265"/>
      <c r="P4019" s="265"/>
      <c r="Q4019" s="265"/>
      <c r="BR4019" s="265"/>
      <c r="BS4019" s="265"/>
      <c r="BT4019" s="265"/>
      <c r="BU4019" s="265"/>
      <c r="BV4019" s="265"/>
    </row>
    <row r="4020" spans="12:74">
      <c r="L4020" s="265"/>
      <c r="M4020" s="265"/>
      <c r="N4020" s="265"/>
      <c r="O4020" s="265"/>
      <c r="P4020" s="265"/>
      <c r="Q4020" s="265"/>
      <c r="BR4020" s="265"/>
      <c r="BS4020" s="265"/>
      <c r="BT4020" s="265"/>
      <c r="BU4020" s="265"/>
      <c r="BV4020" s="265"/>
    </row>
    <row r="4021" spans="12:74">
      <c r="L4021" s="265"/>
      <c r="M4021" s="265"/>
      <c r="N4021" s="265"/>
      <c r="O4021" s="265"/>
      <c r="P4021" s="265"/>
      <c r="Q4021" s="265"/>
      <c r="BR4021" s="265"/>
      <c r="BS4021" s="265"/>
      <c r="BT4021" s="265"/>
      <c r="BU4021" s="265"/>
      <c r="BV4021" s="265"/>
    </row>
    <row r="4022" spans="12:74">
      <c r="L4022" s="265"/>
      <c r="M4022" s="265"/>
      <c r="N4022" s="265"/>
      <c r="O4022" s="265"/>
      <c r="P4022" s="265"/>
      <c r="Q4022" s="265"/>
      <c r="BR4022" s="265"/>
      <c r="BS4022" s="265"/>
      <c r="BT4022" s="265"/>
      <c r="BU4022" s="265"/>
      <c r="BV4022" s="265"/>
    </row>
    <row r="4023" spans="12:74">
      <c r="L4023" s="265"/>
      <c r="M4023" s="265"/>
      <c r="N4023" s="265"/>
      <c r="O4023" s="265"/>
      <c r="P4023" s="265"/>
      <c r="Q4023" s="265"/>
      <c r="BR4023" s="265"/>
      <c r="BS4023" s="265"/>
      <c r="BT4023" s="265"/>
      <c r="BU4023" s="265"/>
      <c r="BV4023" s="265"/>
    </row>
    <row r="4024" spans="12:74">
      <c r="L4024" s="265"/>
      <c r="M4024" s="265"/>
      <c r="N4024" s="265"/>
      <c r="O4024" s="265"/>
      <c r="P4024" s="265"/>
      <c r="Q4024" s="265"/>
      <c r="BR4024" s="265"/>
      <c r="BS4024" s="265"/>
      <c r="BT4024" s="265"/>
      <c r="BU4024" s="265"/>
      <c r="BV4024" s="265"/>
    </row>
    <row r="4025" spans="12:74">
      <c r="L4025" s="265"/>
      <c r="M4025" s="265"/>
      <c r="N4025" s="265"/>
      <c r="O4025" s="265"/>
      <c r="P4025" s="265"/>
      <c r="Q4025" s="265"/>
      <c r="BR4025" s="265"/>
      <c r="BS4025" s="265"/>
      <c r="BT4025" s="265"/>
      <c r="BU4025" s="265"/>
      <c r="BV4025" s="265"/>
    </row>
    <row r="4026" spans="12:74">
      <c r="L4026" s="265"/>
      <c r="M4026" s="265"/>
      <c r="N4026" s="265"/>
      <c r="O4026" s="265"/>
      <c r="P4026" s="265"/>
      <c r="Q4026" s="265"/>
      <c r="BR4026" s="265"/>
      <c r="BS4026" s="265"/>
      <c r="BT4026" s="265"/>
      <c r="BU4026" s="265"/>
      <c r="BV4026" s="265"/>
    </row>
    <row r="4027" spans="12:74">
      <c r="L4027" s="265"/>
      <c r="M4027" s="265"/>
      <c r="N4027" s="265"/>
      <c r="O4027" s="265"/>
      <c r="P4027" s="265"/>
      <c r="Q4027" s="265"/>
      <c r="BR4027" s="265"/>
      <c r="BS4027" s="265"/>
      <c r="BT4027" s="265"/>
      <c r="BU4027" s="265"/>
      <c r="BV4027" s="265"/>
    </row>
    <row r="4028" spans="12:74">
      <c r="L4028" s="265"/>
      <c r="M4028" s="265"/>
      <c r="N4028" s="265"/>
      <c r="O4028" s="265"/>
      <c r="P4028" s="265"/>
      <c r="Q4028" s="265"/>
      <c r="BR4028" s="265"/>
      <c r="BS4028" s="265"/>
      <c r="BT4028" s="265"/>
      <c r="BU4028" s="265"/>
      <c r="BV4028" s="265"/>
    </row>
    <row r="4029" spans="12:74">
      <c r="L4029" s="265"/>
      <c r="M4029" s="265"/>
      <c r="N4029" s="265"/>
      <c r="O4029" s="265"/>
      <c r="P4029" s="265"/>
      <c r="Q4029" s="265"/>
      <c r="BR4029" s="265"/>
      <c r="BS4029" s="265"/>
      <c r="BT4029" s="265"/>
      <c r="BU4029" s="265"/>
      <c r="BV4029" s="265"/>
    </row>
    <row r="4030" spans="12:74">
      <c r="L4030" s="265"/>
      <c r="M4030" s="265"/>
      <c r="N4030" s="265"/>
      <c r="O4030" s="265"/>
      <c r="P4030" s="265"/>
      <c r="Q4030" s="265"/>
      <c r="BR4030" s="265"/>
      <c r="BS4030" s="265"/>
      <c r="BT4030" s="265"/>
      <c r="BU4030" s="265"/>
      <c r="BV4030" s="265"/>
    </row>
    <row r="4031" spans="12:74">
      <c r="L4031" s="265"/>
      <c r="M4031" s="265"/>
      <c r="N4031" s="265"/>
      <c r="O4031" s="265"/>
      <c r="P4031" s="265"/>
      <c r="Q4031" s="265"/>
      <c r="BR4031" s="265"/>
      <c r="BS4031" s="265"/>
      <c r="BT4031" s="265"/>
      <c r="BU4031" s="265"/>
      <c r="BV4031" s="265"/>
    </row>
    <row r="4032" spans="12:74">
      <c r="L4032" s="265"/>
      <c r="M4032" s="265"/>
      <c r="N4032" s="265"/>
      <c r="O4032" s="265"/>
      <c r="P4032" s="265"/>
      <c r="Q4032" s="265"/>
      <c r="BR4032" s="265"/>
      <c r="BS4032" s="265"/>
      <c r="BT4032" s="265"/>
      <c r="BU4032" s="265"/>
      <c r="BV4032" s="265"/>
    </row>
    <row r="4033" spans="12:74">
      <c r="L4033" s="265"/>
      <c r="M4033" s="265"/>
      <c r="N4033" s="265"/>
      <c r="O4033" s="265"/>
      <c r="P4033" s="265"/>
      <c r="Q4033" s="265"/>
      <c r="BR4033" s="265"/>
      <c r="BS4033" s="265"/>
      <c r="BT4033" s="265"/>
      <c r="BU4033" s="265"/>
      <c r="BV4033" s="265"/>
    </row>
    <row r="4034" spans="12:74">
      <c r="L4034" s="265"/>
      <c r="M4034" s="265"/>
      <c r="N4034" s="265"/>
      <c r="O4034" s="265"/>
      <c r="P4034" s="265"/>
      <c r="Q4034" s="265"/>
      <c r="BR4034" s="265"/>
      <c r="BS4034" s="265"/>
      <c r="BT4034" s="265"/>
      <c r="BU4034" s="265"/>
      <c r="BV4034" s="265"/>
    </row>
    <row r="4035" spans="12:74">
      <c r="L4035" s="265"/>
      <c r="M4035" s="265"/>
      <c r="N4035" s="265"/>
      <c r="O4035" s="265"/>
      <c r="P4035" s="265"/>
      <c r="Q4035" s="265"/>
      <c r="BR4035" s="265"/>
      <c r="BS4035" s="265"/>
      <c r="BT4035" s="265"/>
      <c r="BU4035" s="265"/>
      <c r="BV4035" s="265"/>
    </row>
    <row r="4036" spans="12:74">
      <c r="L4036" s="265"/>
      <c r="M4036" s="265"/>
      <c r="N4036" s="265"/>
      <c r="O4036" s="265"/>
      <c r="P4036" s="265"/>
      <c r="Q4036" s="265"/>
      <c r="BR4036" s="265"/>
      <c r="BS4036" s="265"/>
      <c r="BT4036" s="265"/>
      <c r="BU4036" s="265"/>
      <c r="BV4036" s="265"/>
    </row>
    <row r="4037" spans="12:74">
      <c r="L4037" s="265"/>
      <c r="M4037" s="265"/>
      <c r="N4037" s="265"/>
      <c r="O4037" s="265"/>
      <c r="P4037" s="265"/>
      <c r="Q4037" s="265"/>
      <c r="BR4037" s="265"/>
      <c r="BS4037" s="265"/>
      <c r="BT4037" s="265"/>
      <c r="BU4037" s="265"/>
      <c r="BV4037" s="265"/>
    </row>
    <row r="4038" spans="12:74">
      <c r="L4038" s="265"/>
      <c r="M4038" s="265"/>
      <c r="N4038" s="265"/>
      <c r="O4038" s="265"/>
      <c r="P4038" s="265"/>
      <c r="Q4038" s="265"/>
      <c r="BR4038" s="265"/>
      <c r="BS4038" s="265"/>
      <c r="BT4038" s="265"/>
      <c r="BU4038" s="265"/>
      <c r="BV4038" s="265"/>
    </row>
    <row r="4039" spans="12:74">
      <c r="L4039" s="265"/>
      <c r="M4039" s="265"/>
      <c r="N4039" s="265"/>
      <c r="O4039" s="265"/>
      <c r="P4039" s="265"/>
      <c r="Q4039" s="265"/>
      <c r="BR4039" s="265"/>
      <c r="BS4039" s="265"/>
      <c r="BT4039" s="265"/>
      <c r="BU4039" s="265"/>
      <c r="BV4039" s="265"/>
    </row>
    <row r="4040" spans="12:74">
      <c r="L4040" s="265"/>
      <c r="M4040" s="265"/>
      <c r="N4040" s="265"/>
      <c r="O4040" s="265"/>
      <c r="P4040" s="265"/>
      <c r="Q4040" s="265"/>
      <c r="BR4040" s="265"/>
      <c r="BS4040" s="265"/>
      <c r="BT4040" s="265"/>
      <c r="BU4040" s="265"/>
      <c r="BV4040" s="265"/>
    </row>
    <row r="4041" spans="12:74">
      <c r="L4041" s="265"/>
      <c r="M4041" s="265"/>
      <c r="N4041" s="265"/>
      <c r="O4041" s="265"/>
      <c r="P4041" s="265"/>
      <c r="Q4041" s="265"/>
      <c r="BR4041" s="265"/>
      <c r="BS4041" s="265"/>
      <c r="BT4041" s="265"/>
      <c r="BU4041" s="265"/>
      <c r="BV4041" s="265"/>
    </row>
    <row r="4042" spans="12:74">
      <c r="L4042" s="265"/>
      <c r="M4042" s="265"/>
      <c r="N4042" s="265"/>
      <c r="O4042" s="265"/>
      <c r="P4042" s="265"/>
      <c r="Q4042" s="265"/>
      <c r="BR4042" s="265"/>
      <c r="BS4042" s="265"/>
      <c r="BT4042" s="265"/>
      <c r="BU4042" s="265"/>
      <c r="BV4042" s="265"/>
    </row>
    <row r="4043" spans="12:74">
      <c r="L4043" s="265"/>
      <c r="M4043" s="265"/>
      <c r="N4043" s="265"/>
      <c r="O4043" s="265"/>
      <c r="P4043" s="265"/>
      <c r="Q4043" s="265"/>
      <c r="BR4043" s="265"/>
      <c r="BS4043" s="265"/>
      <c r="BT4043" s="265"/>
      <c r="BU4043" s="265"/>
      <c r="BV4043" s="265"/>
    </row>
    <row r="4044" spans="12:74">
      <c r="L4044" s="265"/>
      <c r="M4044" s="265"/>
      <c r="N4044" s="265"/>
      <c r="O4044" s="265"/>
      <c r="P4044" s="265"/>
      <c r="Q4044" s="265"/>
      <c r="BR4044" s="265"/>
      <c r="BS4044" s="265"/>
      <c r="BT4044" s="265"/>
      <c r="BU4044" s="265"/>
      <c r="BV4044" s="265"/>
    </row>
    <row r="4045" spans="12:74">
      <c r="L4045" s="265"/>
      <c r="M4045" s="265"/>
      <c r="N4045" s="265"/>
      <c r="O4045" s="265"/>
      <c r="P4045" s="265"/>
      <c r="Q4045" s="265"/>
      <c r="BR4045" s="265"/>
      <c r="BS4045" s="265"/>
      <c r="BT4045" s="265"/>
      <c r="BU4045" s="265"/>
      <c r="BV4045" s="265"/>
    </row>
    <row r="4046" spans="12:74">
      <c r="L4046" s="265"/>
      <c r="M4046" s="265"/>
      <c r="N4046" s="265"/>
      <c r="O4046" s="265"/>
      <c r="P4046" s="265"/>
      <c r="Q4046" s="265"/>
      <c r="BR4046" s="265"/>
      <c r="BS4046" s="265"/>
      <c r="BT4046" s="265"/>
      <c r="BU4046" s="265"/>
      <c r="BV4046" s="265"/>
    </row>
    <row r="4047" spans="12:74">
      <c r="L4047" s="265"/>
      <c r="M4047" s="265"/>
      <c r="N4047" s="265"/>
      <c r="O4047" s="265"/>
      <c r="P4047" s="265"/>
      <c r="Q4047" s="265"/>
      <c r="BR4047" s="265"/>
      <c r="BS4047" s="265"/>
      <c r="BT4047" s="265"/>
      <c r="BU4047" s="265"/>
      <c r="BV4047" s="265"/>
    </row>
    <row r="4048" spans="12:74">
      <c r="L4048" s="265"/>
      <c r="M4048" s="265"/>
      <c r="N4048" s="265"/>
      <c r="O4048" s="265"/>
      <c r="P4048" s="265"/>
      <c r="Q4048" s="265"/>
      <c r="BR4048" s="265"/>
      <c r="BS4048" s="265"/>
      <c r="BT4048" s="265"/>
      <c r="BU4048" s="265"/>
      <c r="BV4048" s="265"/>
    </row>
    <row r="4049" spans="12:74">
      <c r="L4049" s="265"/>
      <c r="M4049" s="265"/>
      <c r="N4049" s="265"/>
      <c r="O4049" s="265"/>
      <c r="P4049" s="265"/>
      <c r="Q4049" s="265"/>
      <c r="BR4049" s="265"/>
      <c r="BS4049" s="265"/>
      <c r="BT4049" s="265"/>
      <c r="BU4049" s="265"/>
      <c r="BV4049" s="265"/>
    </row>
    <row r="4050" spans="12:74">
      <c r="L4050" s="265"/>
      <c r="M4050" s="265"/>
      <c r="N4050" s="265"/>
      <c r="O4050" s="265"/>
      <c r="P4050" s="265"/>
      <c r="Q4050" s="265"/>
      <c r="BR4050" s="265"/>
      <c r="BS4050" s="265"/>
      <c r="BT4050" s="265"/>
      <c r="BU4050" s="265"/>
      <c r="BV4050" s="265"/>
    </row>
    <row r="4051" spans="12:74">
      <c r="L4051" s="265"/>
      <c r="M4051" s="265"/>
      <c r="N4051" s="265"/>
      <c r="O4051" s="265"/>
      <c r="P4051" s="265"/>
      <c r="Q4051" s="265"/>
      <c r="BR4051" s="265"/>
      <c r="BS4051" s="265"/>
      <c r="BT4051" s="265"/>
      <c r="BU4051" s="265"/>
      <c r="BV4051" s="265"/>
    </row>
    <row r="4052" spans="12:74">
      <c r="L4052" s="265"/>
      <c r="M4052" s="265"/>
      <c r="N4052" s="265"/>
      <c r="O4052" s="265"/>
      <c r="P4052" s="265"/>
      <c r="Q4052" s="265"/>
      <c r="BR4052" s="265"/>
      <c r="BS4052" s="265"/>
      <c r="BT4052" s="265"/>
      <c r="BU4052" s="265"/>
      <c r="BV4052" s="265"/>
    </row>
    <row r="4053" spans="12:74">
      <c r="L4053" s="265"/>
      <c r="M4053" s="265"/>
      <c r="N4053" s="265"/>
      <c r="O4053" s="265"/>
      <c r="P4053" s="265"/>
      <c r="Q4053" s="265"/>
      <c r="BR4053" s="265"/>
      <c r="BS4053" s="265"/>
      <c r="BT4053" s="265"/>
      <c r="BU4053" s="265"/>
      <c r="BV4053" s="265"/>
    </row>
    <row r="4054" spans="12:74">
      <c r="L4054" s="265"/>
      <c r="M4054" s="265"/>
      <c r="N4054" s="265"/>
      <c r="O4054" s="265"/>
      <c r="P4054" s="265"/>
      <c r="Q4054" s="265"/>
      <c r="BR4054" s="265"/>
      <c r="BS4054" s="265"/>
      <c r="BT4054" s="265"/>
      <c r="BU4054" s="265"/>
      <c r="BV4054" s="265"/>
    </row>
    <row r="4055" spans="12:74">
      <c r="L4055" s="265"/>
      <c r="M4055" s="265"/>
      <c r="N4055" s="265"/>
      <c r="O4055" s="265"/>
      <c r="P4055" s="265"/>
      <c r="Q4055" s="265"/>
      <c r="BR4055" s="265"/>
      <c r="BS4055" s="265"/>
      <c r="BT4055" s="265"/>
      <c r="BU4055" s="265"/>
      <c r="BV4055" s="265"/>
    </row>
    <row r="4056" spans="12:74">
      <c r="L4056" s="265"/>
      <c r="M4056" s="265"/>
      <c r="N4056" s="265"/>
      <c r="O4056" s="265"/>
      <c r="P4056" s="265"/>
      <c r="Q4056" s="265"/>
      <c r="BR4056" s="265"/>
      <c r="BS4056" s="265"/>
      <c r="BT4056" s="265"/>
      <c r="BU4056" s="265"/>
      <c r="BV4056" s="265"/>
    </row>
    <row r="4057" spans="12:74">
      <c r="L4057" s="265"/>
      <c r="M4057" s="265"/>
      <c r="N4057" s="265"/>
      <c r="O4057" s="265"/>
      <c r="P4057" s="265"/>
      <c r="Q4057" s="265"/>
      <c r="BR4057" s="265"/>
      <c r="BS4057" s="265"/>
      <c r="BT4057" s="265"/>
      <c r="BU4057" s="265"/>
      <c r="BV4057" s="265"/>
    </row>
    <row r="4058" spans="12:74">
      <c r="L4058" s="265"/>
      <c r="M4058" s="265"/>
      <c r="N4058" s="265"/>
      <c r="O4058" s="265"/>
      <c r="P4058" s="265"/>
      <c r="Q4058" s="265"/>
      <c r="BR4058" s="265"/>
      <c r="BS4058" s="265"/>
      <c r="BT4058" s="265"/>
      <c r="BU4058" s="265"/>
      <c r="BV4058" s="265"/>
    </row>
    <row r="4059" spans="12:74">
      <c r="L4059" s="265"/>
      <c r="M4059" s="265"/>
      <c r="N4059" s="265"/>
      <c r="O4059" s="265"/>
      <c r="P4059" s="265"/>
      <c r="Q4059" s="265"/>
      <c r="BR4059" s="265"/>
      <c r="BS4059" s="265"/>
      <c r="BT4059" s="265"/>
      <c r="BU4059" s="265"/>
      <c r="BV4059" s="265"/>
    </row>
    <row r="4060" spans="12:74">
      <c r="L4060" s="265"/>
      <c r="M4060" s="265"/>
      <c r="N4060" s="265"/>
      <c r="O4060" s="265"/>
      <c r="P4060" s="265"/>
      <c r="Q4060" s="265"/>
      <c r="BR4060" s="265"/>
      <c r="BS4060" s="265"/>
      <c r="BT4060" s="265"/>
      <c r="BU4060" s="265"/>
      <c r="BV4060" s="265"/>
    </row>
    <row r="4061" spans="12:74">
      <c r="L4061" s="265"/>
      <c r="M4061" s="265"/>
      <c r="N4061" s="265"/>
      <c r="O4061" s="265"/>
      <c r="P4061" s="265"/>
      <c r="Q4061" s="265"/>
      <c r="BR4061" s="265"/>
      <c r="BS4061" s="265"/>
      <c r="BT4061" s="265"/>
      <c r="BU4061" s="265"/>
      <c r="BV4061" s="265"/>
    </row>
    <row r="4062" spans="12:74">
      <c r="L4062" s="265"/>
      <c r="M4062" s="265"/>
      <c r="N4062" s="265"/>
      <c r="O4062" s="265"/>
      <c r="P4062" s="265"/>
      <c r="Q4062" s="265"/>
      <c r="BR4062" s="265"/>
      <c r="BS4062" s="265"/>
      <c r="BT4062" s="265"/>
      <c r="BU4062" s="265"/>
      <c r="BV4062" s="265"/>
    </row>
    <row r="4063" spans="12:74">
      <c r="L4063" s="265"/>
      <c r="M4063" s="265"/>
      <c r="N4063" s="265"/>
      <c r="O4063" s="265"/>
      <c r="P4063" s="265"/>
      <c r="Q4063" s="265"/>
      <c r="BR4063" s="265"/>
      <c r="BS4063" s="265"/>
      <c r="BT4063" s="265"/>
      <c r="BU4063" s="265"/>
      <c r="BV4063" s="265"/>
    </row>
    <row r="4064" spans="12:74">
      <c r="L4064" s="265"/>
      <c r="M4064" s="265"/>
      <c r="N4064" s="265"/>
      <c r="O4064" s="265"/>
      <c r="P4064" s="265"/>
      <c r="Q4064" s="265"/>
      <c r="BR4064" s="265"/>
      <c r="BS4064" s="265"/>
      <c r="BT4064" s="265"/>
      <c r="BU4064" s="265"/>
      <c r="BV4064" s="265"/>
    </row>
    <row r="4065" spans="12:74">
      <c r="L4065" s="265"/>
      <c r="M4065" s="265"/>
      <c r="N4065" s="265"/>
      <c r="O4065" s="265"/>
      <c r="P4065" s="265"/>
      <c r="Q4065" s="265"/>
      <c r="BR4065" s="265"/>
      <c r="BS4065" s="265"/>
      <c r="BT4065" s="265"/>
      <c r="BU4065" s="265"/>
      <c r="BV4065" s="265"/>
    </row>
    <row r="4066" spans="12:74">
      <c r="L4066" s="265"/>
      <c r="M4066" s="265"/>
      <c r="N4066" s="265"/>
      <c r="O4066" s="265"/>
      <c r="P4066" s="265"/>
      <c r="Q4066" s="265"/>
      <c r="BR4066" s="265"/>
      <c r="BS4066" s="265"/>
      <c r="BT4066" s="265"/>
      <c r="BU4066" s="265"/>
      <c r="BV4066" s="265"/>
    </row>
    <row r="4067" spans="12:74">
      <c r="L4067" s="265"/>
      <c r="M4067" s="265"/>
      <c r="N4067" s="265"/>
      <c r="O4067" s="265"/>
      <c r="P4067" s="265"/>
      <c r="Q4067" s="265"/>
      <c r="BR4067" s="265"/>
      <c r="BS4067" s="265"/>
      <c r="BT4067" s="265"/>
      <c r="BU4067" s="265"/>
      <c r="BV4067" s="265"/>
    </row>
    <row r="4068" spans="12:74">
      <c r="L4068" s="265"/>
      <c r="M4068" s="265"/>
      <c r="N4068" s="265"/>
      <c r="O4068" s="265"/>
      <c r="P4068" s="265"/>
      <c r="Q4068" s="265"/>
      <c r="BR4068" s="265"/>
      <c r="BS4068" s="265"/>
      <c r="BT4068" s="265"/>
      <c r="BU4068" s="265"/>
      <c r="BV4068" s="265"/>
    </row>
    <row r="4069" spans="12:74">
      <c r="L4069" s="265"/>
      <c r="M4069" s="265"/>
      <c r="N4069" s="265"/>
      <c r="O4069" s="265"/>
      <c r="P4069" s="265"/>
      <c r="Q4069" s="265"/>
      <c r="BR4069" s="265"/>
      <c r="BS4069" s="265"/>
      <c r="BT4069" s="265"/>
      <c r="BU4069" s="265"/>
      <c r="BV4069" s="265"/>
    </row>
    <row r="4070" spans="12:74">
      <c r="L4070" s="265"/>
      <c r="M4070" s="265"/>
      <c r="N4070" s="265"/>
      <c r="O4070" s="265"/>
      <c r="P4070" s="265"/>
      <c r="Q4070" s="265"/>
      <c r="BR4070" s="265"/>
      <c r="BS4070" s="265"/>
      <c r="BT4070" s="265"/>
      <c r="BU4070" s="265"/>
      <c r="BV4070" s="265"/>
    </row>
    <row r="4071" spans="12:74">
      <c r="L4071" s="265"/>
      <c r="M4071" s="265"/>
      <c r="N4071" s="265"/>
      <c r="O4071" s="265"/>
      <c r="P4071" s="265"/>
      <c r="Q4071" s="265"/>
      <c r="BR4071" s="265"/>
      <c r="BS4071" s="265"/>
      <c r="BT4071" s="265"/>
      <c r="BU4071" s="265"/>
      <c r="BV4071" s="265"/>
    </row>
    <row r="4072" spans="12:74">
      <c r="L4072" s="265"/>
      <c r="M4072" s="265"/>
      <c r="N4072" s="265"/>
      <c r="O4072" s="265"/>
      <c r="P4072" s="265"/>
      <c r="Q4072" s="265"/>
      <c r="BR4072" s="265"/>
      <c r="BS4072" s="265"/>
      <c r="BT4072" s="265"/>
      <c r="BU4072" s="265"/>
      <c r="BV4072" s="265"/>
    </row>
    <row r="4073" spans="12:74">
      <c r="L4073" s="265"/>
      <c r="M4073" s="265"/>
      <c r="N4073" s="265"/>
      <c r="O4073" s="265"/>
      <c r="P4073" s="265"/>
      <c r="Q4073" s="265"/>
      <c r="BR4073" s="265"/>
      <c r="BS4073" s="265"/>
      <c r="BT4073" s="265"/>
      <c r="BU4073" s="265"/>
      <c r="BV4073" s="265"/>
    </row>
    <row r="4074" spans="12:74">
      <c r="L4074" s="265"/>
      <c r="M4074" s="265"/>
      <c r="N4074" s="265"/>
      <c r="O4074" s="265"/>
      <c r="P4074" s="265"/>
      <c r="Q4074" s="265"/>
      <c r="BR4074" s="265"/>
      <c r="BS4074" s="265"/>
      <c r="BT4074" s="265"/>
      <c r="BU4074" s="265"/>
      <c r="BV4074" s="265"/>
    </row>
    <row r="4075" spans="12:74">
      <c r="L4075" s="265"/>
      <c r="M4075" s="265"/>
      <c r="N4075" s="265"/>
      <c r="O4075" s="265"/>
      <c r="P4075" s="265"/>
      <c r="Q4075" s="265"/>
      <c r="BR4075" s="265"/>
      <c r="BS4075" s="265"/>
      <c r="BT4075" s="265"/>
      <c r="BU4075" s="265"/>
      <c r="BV4075" s="265"/>
    </row>
    <row r="4076" spans="12:74">
      <c r="L4076" s="265"/>
      <c r="M4076" s="265"/>
      <c r="N4076" s="265"/>
      <c r="O4076" s="265"/>
      <c r="P4076" s="265"/>
      <c r="Q4076" s="265"/>
      <c r="BR4076" s="265"/>
      <c r="BS4076" s="265"/>
      <c r="BT4076" s="265"/>
      <c r="BU4076" s="265"/>
      <c r="BV4076" s="265"/>
    </row>
    <row r="4077" spans="12:74">
      <c r="L4077" s="265"/>
      <c r="M4077" s="265"/>
      <c r="N4077" s="265"/>
      <c r="O4077" s="265"/>
      <c r="P4077" s="265"/>
      <c r="Q4077" s="265"/>
      <c r="BR4077" s="265"/>
      <c r="BS4077" s="265"/>
      <c r="BT4077" s="265"/>
      <c r="BU4077" s="265"/>
      <c r="BV4077" s="265"/>
    </row>
    <row r="4078" spans="12:74">
      <c r="L4078" s="265"/>
      <c r="M4078" s="265"/>
      <c r="N4078" s="265"/>
      <c r="O4078" s="265"/>
      <c r="P4078" s="265"/>
      <c r="Q4078" s="265"/>
      <c r="BR4078" s="265"/>
      <c r="BS4078" s="265"/>
      <c r="BT4078" s="265"/>
      <c r="BU4078" s="265"/>
      <c r="BV4078" s="265"/>
    </row>
    <row r="4079" spans="12:74">
      <c r="L4079" s="265"/>
      <c r="M4079" s="265"/>
      <c r="N4079" s="265"/>
      <c r="O4079" s="265"/>
      <c r="P4079" s="265"/>
      <c r="Q4079" s="265"/>
      <c r="BR4079" s="265"/>
      <c r="BS4079" s="265"/>
      <c r="BT4079" s="265"/>
      <c r="BU4079" s="265"/>
      <c r="BV4079" s="265"/>
    </row>
    <row r="4080" spans="12:74">
      <c r="L4080" s="265"/>
      <c r="M4080" s="265"/>
      <c r="N4080" s="265"/>
      <c r="O4080" s="265"/>
      <c r="P4080" s="265"/>
      <c r="Q4080" s="265"/>
      <c r="BR4080" s="265"/>
      <c r="BS4080" s="265"/>
      <c r="BT4080" s="265"/>
      <c r="BU4080" s="265"/>
      <c r="BV4080" s="265"/>
    </row>
    <row r="4081" spans="12:74">
      <c r="L4081" s="265"/>
      <c r="M4081" s="265"/>
      <c r="N4081" s="265"/>
      <c r="O4081" s="265"/>
      <c r="P4081" s="265"/>
      <c r="Q4081" s="265"/>
      <c r="BR4081" s="265"/>
      <c r="BS4081" s="265"/>
      <c r="BT4081" s="265"/>
      <c r="BU4081" s="265"/>
      <c r="BV4081" s="265"/>
    </row>
    <row r="4082" spans="12:74">
      <c r="L4082" s="265"/>
      <c r="M4082" s="265"/>
      <c r="N4082" s="265"/>
      <c r="O4082" s="265"/>
      <c r="P4082" s="265"/>
      <c r="Q4082" s="265"/>
      <c r="BR4082" s="265"/>
      <c r="BS4082" s="265"/>
      <c r="BT4082" s="265"/>
      <c r="BU4082" s="265"/>
      <c r="BV4082" s="265"/>
    </row>
    <row r="4083" spans="12:74">
      <c r="L4083" s="265"/>
      <c r="M4083" s="265"/>
      <c r="N4083" s="265"/>
      <c r="O4083" s="265"/>
      <c r="P4083" s="265"/>
      <c r="Q4083" s="265"/>
      <c r="BR4083" s="265"/>
      <c r="BS4083" s="265"/>
      <c r="BT4083" s="265"/>
      <c r="BU4083" s="265"/>
      <c r="BV4083" s="265"/>
    </row>
    <row r="4084" spans="12:74">
      <c r="L4084" s="265"/>
      <c r="M4084" s="265"/>
      <c r="N4084" s="265"/>
      <c r="O4084" s="265"/>
      <c r="P4084" s="265"/>
      <c r="Q4084" s="265"/>
      <c r="BR4084" s="265"/>
      <c r="BS4084" s="265"/>
      <c r="BT4084" s="265"/>
      <c r="BU4084" s="265"/>
      <c r="BV4084" s="265"/>
    </row>
    <row r="4085" spans="12:74">
      <c r="L4085" s="265"/>
      <c r="M4085" s="265"/>
      <c r="N4085" s="265"/>
      <c r="O4085" s="265"/>
      <c r="P4085" s="265"/>
      <c r="Q4085" s="265"/>
      <c r="BR4085" s="265"/>
      <c r="BS4085" s="265"/>
      <c r="BT4085" s="265"/>
      <c r="BU4085" s="265"/>
      <c r="BV4085" s="265"/>
    </row>
    <row r="4086" spans="12:74">
      <c r="L4086" s="265"/>
      <c r="M4086" s="265"/>
      <c r="N4086" s="265"/>
      <c r="O4086" s="265"/>
      <c r="P4086" s="265"/>
      <c r="Q4086" s="265"/>
      <c r="BR4086" s="265"/>
      <c r="BS4086" s="265"/>
      <c r="BT4086" s="265"/>
      <c r="BU4086" s="265"/>
      <c r="BV4086" s="265"/>
    </row>
    <row r="4087" spans="12:74">
      <c r="L4087" s="265"/>
      <c r="M4087" s="265"/>
      <c r="N4087" s="265"/>
      <c r="O4087" s="265"/>
      <c r="P4087" s="265"/>
      <c r="Q4087" s="265"/>
      <c r="BR4087" s="265"/>
      <c r="BS4087" s="265"/>
      <c r="BT4087" s="265"/>
      <c r="BU4087" s="265"/>
      <c r="BV4087" s="265"/>
    </row>
    <row r="4088" spans="12:74">
      <c r="L4088" s="265"/>
      <c r="M4088" s="265"/>
      <c r="N4088" s="265"/>
      <c r="O4088" s="265"/>
      <c r="P4088" s="265"/>
      <c r="Q4088" s="265"/>
      <c r="BR4088" s="265"/>
      <c r="BS4088" s="265"/>
      <c r="BT4088" s="265"/>
      <c r="BU4088" s="265"/>
      <c r="BV4088" s="265"/>
    </row>
    <row r="4089" spans="12:74">
      <c r="L4089" s="265"/>
      <c r="M4089" s="265"/>
      <c r="N4089" s="265"/>
      <c r="O4089" s="265"/>
      <c r="P4089" s="265"/>
      <c r="Q4089" s="265"/>
      <c r="BR4089" s="265"/>
      <c r="BS4089" s="265"/>
      <c r="BT4089" s="265"/>
      <c r="BU4089" s="265"/>
      <c r="BV4089" s="265"/>
    </row>
    <row r="4090" spans="12:74">
      <c r="L4090" s="265"/>
      <c r="M4090" s="265"/>
      <c r="N4090" s="265"/>
      <c r="O4090" s="265"/>
      <c r="P4090" s="265"/>
      <c r="Q4090" s="265"/>
      <c r="BR4090" s="265"/>
      <c r="BS4090" s="265"/>
      <c r="BT4090" s="265"/>
      <c r="BU4090" s="265"/>
      <c r="BV4090" s="265"/>
    </row>
    <row r="4091" spans="12:74">
      <c r="L4091" s="265"/>
      <c r="M4091" s="265"/>
      <c r="N4091" s="265"/>
      <c r="O4091" s="265"/>
      <c r="P4091" s="265"/>
      <c r="Q4091" s="265"/>
      <c r="BR4091" s="265"/>
      <c r="BS4091" s="265"/>
      <c r="BT4091" s="265"/>
      <c r="BU4091" s="265"/>
      <c r="BV4091" s="265"/>
    </row>
    <row r="4092" spans="12:74">
      <c r="L4092" s="265"/>
      <c r="M4092" s="265"/>
      <c r="N4092" s="265"/>
      <c r="O4092" s="265"/>
      <c r="P4092" s="265"/>
      <c r="Q4092" s="265"/>
      <c r="BR4092" s="265"/>
      <c r="BS4092" s="265"/>
      <c r="BT4092" s="265"/>
      <c r="BU4092" s="265"/>
      <c r="BV4092" s="265"/>
    </row>
    <row r="4093" spans="12:74">
      <c r="L4093" s="265"/>
      <c r="M4093" s="265"/>
      <c r="N4093" s="265"/>
      <c r="O4093" s="265"/>
      <c r="P4093" s="265"/>
      <c r="Q4093" s="265"/>
      <c r="BR4093" s="265"/>
      <c r="BS4093" s="265"/>
      <c r="BT4093" s="265"/>
      <c r="BU4093" s="265"/>
      <c r="BV4093" s="265"/>
    </row>
    <row r="4094" spans="12:74">
      <c r="L4094" s="265"/>
      <c r="M4094" s="265"/>
      <c r="N4094" s="265"/>
      <c r="O4094" s="265"/>
      <c r="P4094" s="265"/>
      <c r="Q4094" s="265"/>
      <c r="BR4094" s="265"/>
      <c r="BS4094" s="265"/>
      <c r="BT4094" s="265"/>
      <c r="BU4094" s="265"/>
      <c r="BV4094" s="265"/>
    </row>
    <row r="4095" spans="12:74">
      <c r="L4095" s="265"/>
      <c r="M4095" s="265"/>
      <c r="N4095" s="265"/>
      <c r="O4095" s="265"/>
      <c r="P4095" s="265"/>
      <c r="Q4095" s="265"/>
      <c r="BR4095" s="265"/>
      <c r="BS4095" s="265"/>
      <c r="BT4095" s="265"/>
      <c r="BU4095" s="265"/>
      <c r="BV4095" s="265"/>
    </row>
    <row r="4096" spans="12:74">
      <c r="L4096" s="265"/>
      <c r="M4096" s="265"/>
      <c r="N4096" s="265"/>
      <c r="O4096" s="265"/>
      <c r="P4096" s="265"/>
      <c r="Q4096" s="265"/>
      <c r="BR4096" s="265"/>
      <c r="BS4096" s="265"/>
      <c r="BT4096" s="265"/>
      <c r="BU4096" s="265"/>
      <c r="BV4096" s="265"/>
    </row>
    <row r="4097" spans="12:74">
      <c r="L4097" s="265"/>
      <c r="M4097" s="265"/>
      <c r="N4097" s="265"/>
      <c r="O4097" s="265"/>
      <c r="P4097" s="265"/>
      <c r="Q4097" s="265"/>
      <c r="BR4097" s="265"/>
      <c r="BS4097" s="265"/>
      <c r="BT4097" s="265"/>
      <c r="BU4097" s="265"/>
      <c r="BV4097" s="265"/>
    </row>
    <row r="4098" spans="12:74">
      <c r="L4098" s="265"/>
      <c r="M4098" s="265"/>
      <c r="N4098" s="265"/>
      <c r="O4098" s="265"/>
      <c r="P4098" s="265"/>
      <c r="Q4098" s="265"/>
      <c r="BR4098" s="265"/>
      <c r="BS4098" s="265"/>
      <c r="BT4098" s="265"/>
      <c r="BU4098" s="265"/>
      <c r="BV4098" s="265"/>
    </row>
    <row r="4099" spans="12:74">
      <c r="L4099" s="265"/>
      <c r="M4099" s="265"/>
      <c r="N4099" s="265"/>
      <c r="O4099" s="265"/>
      <c r="P4099" s="265"/>
      <c r="Q4099" s="265"/>
      <c r="BR4099" s="265"/>
      <c r="BS4099" s="265"/>
      <c r="BT4099" s="265"/>
      <c r="BU4099" s="265"/>
      <c r="BV4099" s="265"/>
    </row>
    <row r="4100" spans="12:74">
      <c r="L4100" s="265"/>
      <c r="M4100" s="265"/>
      <c r="N4100" s="265"/>
      <c r="O4100" s="265"/>
      <c r="P4100" s="265"/>
      <c r="Q4100" s="265"/>
      <c r="BR4100" s="265"/>
      <c r="BS4100" s="265"/>
      <c r="BT4100" s="265"/>
      <c r="BU4100" s="265"/>
      <c r="BV4100" s="265"/>
    </row>
    <row r="4101" spans="12:74">
      <c r="L4101" s="265"/>
      <c r="M4101" s="265"/>
      <c r="N4101" s="265"/>
      <c r="O4101" s="265"/>
      <c r="P4101" s="265"/>
      <c r="Q4101" s="265"/>
      <c r="BR4101" s="265"/>
      <c r="BS4101" s="265"/>
      <c r="BT4101" s="265"/>
      <c r="BU4101" s="265"/>
      <c r="BV4101" s="265"/>
    </row>
    <row r="4102" spans="12:74">
      <c r="L4102" s="265"/>
      <c r="M4102" s="265"/>
      <c r="N4102" s="265"/>
      <c r="O4102" s="265"/>
      <c r="P4102" s="265"/>
      <c r="Q4102" s="265"/>
      <c r="BR4102" s="265"/>
      <c r="BS4102" s="265"/>
      <c r="BT4102" s="265"/>
      <c r="BU4102" s="265"/>
      <c r="BV4102" s="265"/>
    </row>
    <row r="4103" spans="12:74">
      <c r="L4103" s="265"/>
      <c r="M4103" s="265"/>
      <c r="N4103" s="265"/>
      <c r="O4103" s="265"/>
      <c r="P4103" s="265"/>
      <c r="Q4103" s="265"/>
      <c r="BR4103" s="265"/>
      <c r="BS4103" s="265"/>
      <c r="BT4103" s="265"/>
      <c r="BU4103" s="265"/>
      <c r="BV4103" s="265"/>
    </row>
    <row r="4104" spans="12:74">
      <c r="L4104" s="265"/>
      <c r="M4104" s="265"/>
      <c r="N4104" s="265"/>
      <c r="O4104" s="265"/>
      <c r="P4104" s="265"/>
      <c r="Q4104" s="265"/>
      <c r="BR4104" s="265"/>
      <c r="BS4104" s="265"/>
      <c r="BT4104" s="265"/>
      <c r="BU4104" s="265"/>
      <c r="BV4104" s="265"/>
    </row>
    <row r="4105" spans="12:74">
      <c r="L4105" s="265"/>
      <c r="M4105" s="265"/>
      <c r="N4105" s="265"/>
      <c r="O4105" s="265"/>
      <c r="P4105" s="265"/>
      <c r="Q4105" s="265"/>
      <c r="BR4105" s="265"/>
      <c r="BS4105" s="265"/>
      <c r="BT4105" s="265"/>
      <c r="BU4105" s="265"/>
      <c r="BV4105" s="265"/>
    </row>
    <row r="4106" spans="12:74">
      <c r="L4106" s="265"/>
      <c r="M4106" s="265"/>
      <c r="N4106" s="265"/>
      <c r="O4106" s="265"/>
      <c r="P4106" s="265"/>
      <c r="Q4106" s="265"/>
      <c r="BR4106" s="265"/>
      <c r="BS4106" s="265"/>
      <c r="BT4106" s="265"/>
      <c r="BU4106" s="265"/>
      <c r="BV4106" s="265"/>
    </row>
    <row r="4107" spans="12:74">
      <c r="L4107" s="265"/>
      <c r="M4107" s="265"/>
      <c r="N4107" s="265"/>
      <c r="O4107" s="265"/>
      <c r="P4107" s="265"/>
      <c r="Q4107" s="265"/>
      <c r="BR4107" s="265"/>
      <c r="BS4107" s="265"/>
      <c r="BT4107" s="265"/>
      <c r="BU4107" s="265"/>
      <c r="BV4107" s="265"/>
    </row>
    <row r="4108" spans="12:74">
      <c r="L4108" s="265"/>
      <c r="M4108" s="265"/>
      <c r="N4108" s="265"/>
      <c r="O4108" s="265"/>
      <c r="P4108" s="265"/>
      <c r="Q4108" s="265"/>
      <c r="BR4108" s="265"/>
      <c r="BS4108" s="265"/>
      <c r="BT4108" s="265"/>
      <c r="BU4108" s="265"/>
      <c r="BV4108" s="265"/>
    </row>
    <row r="4109" spans="12:74">
      <c r="L4109" s="265"/>
      <c r="M4109" s="265"/>
      <c r="N4109" s="265"/>
      <c r="O4109" s="265"/>
      <c r="P4109" s="265"/>
      <c r="Q4109" s="265"/>
      <c r="BR4109" s="265"/>
      <c r="BS4109" s="265"/>
      <c r="BT4109" s="265"/>
      <c r="BU4109" s="265"/>
      <c r="BV4109" s="265"/>
    </row>
    <row r="4110" spans="12:74">
      <c r="L4110" s="265"/>
      <c r="M4110" s="265"/>
      <c r="N4110" s="265"/>
      <c r="O4110" s="265"/>
      <c r="P4110" s="265"/>
      <c r="Q4110" s="265"/>
      <c r="BR4110" s="265"/>
      <c r="BS4110" s="265"/>
      <c r="BT4110" s="265"/>
      <c r="BU4110" s="265"/>
      <c r="BV4110" s="265"/>
    </row>
    <row r="4111" spans="12:74">
      <c r="L4111" s="265"/>
      <c r="M4111" s="265"/>
      <c r="N4111" s="265"/>
      <c r="O4111" s="265"/>
      <c r="P4111" s="265"/>
      <c r="Q4111" s="265"/>
      <c r="BR4111" s="265"/>
      <c r="BS4111" s="265"/>
      <c r="BT4111" s="265"/>
      <c r="BU4111" s="265"/>
      <c r="BV4111" s="265"/>
    </row>
    <row r="4112" spans="12:74">
      <c r="L4112" s="265"/>
      <c r="M4112" s="265"/>
      <c r="N4112" s="265"/>
      <c r="O4112" s="265"/>
      <c r="P4112" s="265"/>
      <c r="Q4112" s="265"/>
      <c r="BR4112" s="265"/>
      <c r="BS4112" s="265"/>
      <c r="BT4112" s="265"/>
      <c r="BU4112" s="265"/>
      <c r="BV4112" s="265"/>
    </row>
    <row r="4113" spans="12:74">
      <c r="L4113" s="265"/>
      <c r="M4113" s="265"/>
      <c r="N4113" s="265"/>
      <c r="O4113" s="265"/>
      <c r="P4113" s="265"/>
      <c r="Q4113" s="265"/>
      <c r="BR4113" s="265"/>
      <c r="BS4113" s="265"/>
      <c r="BT4113" s="265"/>
      <c r="BU4113" s="265"/>
      <c r="BV4113" s="265"/>
    </row>
    <row r="4114" spans="12:74">
      <c r="L4114" s="265"/>
      <c r="M4114" s="265"/>
      <c r="N4114" s="265"/>
      <c r="O4114" s="265"/>
      <c r="P4114" s="265"/>
      <c r="Q4114" s="265"/>
      <c r="BR4114" s="265"/>
      <c r="BS4114" s="265"/>
      <c r="BT4114" s="265"/>
      <c r="BU4114" s="265"/>
      <c r="BV4114" s="265"/>
    </row>
    <row r="4115" spans="12:74">
      <c r="L4115" s="265"/>
      <c r="M4115" s="265"/>
      <c r="N4115" s="265"/>
      <c r="O4115" s="265"/>
      <c r="P4115" s="265"/>
      <c r="Q4115" s="265"/>
      <c r="BR4115" s="265"/>
      <c r="BS4115" s="265"/>
      <c r="BT4115" s="265"/>
      <c r="BU4115" s="265"/>
      <c r="BV4115" s="265"/>
    </row>
    <row r="4116" spans="12:74">
      <c r="L4116" s="265"/>
      <c r="M4116" s="265"/>
      <c r="N4116" s="265"/>
      <c r="O4116" s="265"/>
      <c r="P4116" s="265"/>
      <c r="Q4116" s="265"/>
      <c r="BR4116" s="265"/>
      <c r="BS4116" s="265"/>
      <c r="BT4116" s="265"/>
      <c r="BU4116" s="265"/>
      <c r="BV4116" s="265"/>
    </row>
    <row r="4117" spans="12:74">
      <c r="L4117" s="265"/>
      <c r="M4117" s="265"/>
      <c r="N4117" s="265"/>
      <c r="O4117" s="265"/>
      <c r="P4117" s="265"/>
      <c r="Q4117" s="265"/>
      <c r="BR4117" s="265"/>
      <c r="BS4117" s="265"/>
      <c r="BT4117" s="265"/>
      <c r="BU4117" s="265"/>
      <c r="BV4117" s="265"/>
    </row>
    <row r="4118" spans="12:74">
      <c r="L4118" s="265"/>
      <c r="M4118" s="265"/>
      <c r="N4118" s="265"/>
      <c r="O4118" s="265"/>
      <c r="P4118" s="265"/>
      <c r="Q4118" s="265"/>
      <c r="BR4118" s="265"/>
      <c r="BS4118" s="265"/>
      <c r="BT4118" s="265"/>
      <c r="BU4118" s="265"/>
      <c r="BV4118" s="265"/>
    </row>
    <row r="4119" spans="12:74">
      <c r="L4119" s="265"/>
      <c r="M4119" s="265"/>
      <c r="N4119" s="265"/>
      <c r="O4119" s="265"/>
      <c r="P4119" s="265"/>
      <c r="Q4119" s="265"/>
      <c r="BR4119" s="265"/>
      <c r="BS4119" s="265"/>
      <c r="BT4119" s="265"/>
      <c r="BU4119" s="265"/>
      <c r="BV4119" s="265"/>
    </row>
    <row r="4120" spans="12:74">
      <c r="L4120" s="265"/>
      <c r="M4120" s="265"/>
      <c r="N4120" s="265"/>
      <c r="O4120" s="265"/>
      <c r="P4120" s="265"/>
      <c r="Q4120" s="265"/>
      <c r="BR4120" s="265"/>
      <c r="BS4120" s="265"/>
      <c r="BT4120" s="265"/>
      <c r="BU4120" s="265"/>
      <c r="BV4120" s="265"/>
    </row>
    <row r="4121" spans="12:74">
      <c r="L4121" s="265"/>
      <c r="M4121" s="265"/>
      <c r="N4121" s="265"/>
      <c r="O4121" s="265"/>
      <c r="P4121" s="265"/>
      <c r="Q4121" s="265"/>
      <c r="BR4121" s="265"/>
      <c r="BS4121" s="265"/>
      <c r="BT4121" s="265"/>
      <c r="BU4121" s="265"/>
      <c r="BV4121" s="265"/>
    </row>
    <row r="4122" spans="12:74">
      <c r="L4122" s="265"/>
      <c r="M4122" s="265"/>
      <c r="N4122" s="265"/>
      <c r="O4122" s="265"/>
      <c r="P4122" s="265"/>
      <c r="Q4122" s="265"/>
      <c r="BR4122" s="265"/>
      <c r="BS4122" s="265"/>
      <c r="BT4122" s="265"/>
      <c r="BU4122" s="265"/>
      <c r="BV4122" s="265"/>
    </row>
    <row r="4123" spans="12:74">
      <c r="L4123" s="265"/>
      <c r="M4123" s="265"/>
      <c r="N4123" s="265"/>
      <c r="O4123" s="265"/>
      <c r="P4123" s="265"/>
      <c r="Q4123" s="265"/>
      <c r="BR4123" s="265"/>
      <c r="BS4123" s="265"/>
      <c r="BT4123" s="265"/>
      <c r="BU4123" s="265"/>
      <c r="BV4123" s="265"/>
    </row>
    <row r="4124" spans="12:74">
      <c r="L4124" s="265"/>
      <c r="M4124" s="265"/>
      <c r="N4124" s="265"/>
      <c r="O4124" s="265"/>
      <c r="P4124" s="265"/>
      <c r="Q4124" s="265"/>
      <c r="BR4124" s="265"/>
      <c r="BS4124" s="265"/>
      <c r="BT4124" s="265"/>
      <c r="BU4124" s="265"/>
      <c r="BV4124" s="265"/>
    </row>
    <row r="4125" spans="12:74">
      <c r="L4125" s="265"/>
      <c r="M4125" s="265"/>
      <c r="N4125" s="265"/>
      <c r="O4125" s="265"/>
      <c r="P4125" s="265"/>
      <c r="Q4125" s="265"/>
      <c r="BR4125" s="265"/>
      <c r="BS4125" s="265"/>
      <c r="BT4125" s="265"/>
      <c r="BU4125" s="265"/>
      <c r="BV4125" s="265"/>
    </row>
    <row r="4126" spans="12:74">
      <c r="L4126" s="265"/>
      <c r="M4126" s="265"/>
      <c r="N4126" s="265"/>
      <c r="O4126" s="265"/>
      <c r="P4126" s="265"/>
      <c r="Q4126" s="265"/>
      <c r="BR4126" s="265"/>
      <c r="BS4126" s="265"/>
      <c r="BT4126" s="265"/>
      <c r="BU4126" s="265"/>
      <c r="BV4126" s="265"/>
    </row>
    <row r="4127" spans="12:74">
      <c r="L4127" s="265"/>
      <c r="M4127" s="265"/>
      <c r="N4127" s="265"/>
      <c r="O4127" s="265"/>
      <c r="P4127" s="265"/>
      <c r="Q4127" s="265"/>
      <c r="BR4127" s="265"/>
      <c r="BS4127" s="265"/>
      <c r="BT4127" s="265"/>
      <c r="BU4127" s="265"/>
      <c r="BV4127" s="265"/>
    </row>
    <row r="4128" spans="12:74">
      <c r="L4128" s="265"/>
      <c r="M4128" s="265"/>
      <c r="N4128" s="265"/>
      <c r="O4128" s="265"/>
      <c r="P4128" s="265"/>
      <c r="Q4128" s="265"/>
      <c r="BR4128" s="265"/>
      <c r="BS4128" s="265"/>
      <c r="BT4128" s="265"/>
      <c r="BU4128" s="265"/>
      <c r="BV4128" s="265"/>
    </row>
    <row r="4129" spans="12:74">
      <c r="L4129" s="265"/>
      <c r="M4129" s="265"/>
      <c r="N4129" s="265"/>
      <c r="O4129" s="265"/>
      <c r="P4129" s="265"/>
      <c r="Q4129" s="265"/>
      <c r="BR4129" s="265"/>
      <c r="BS4129" s="265"/>
      <c r="BT4129" s="265"/>
      <c r="BU4129" s="265"/>
      <c r="BV4129" s="265"/>
    </row>
    <row r="4130" spans="12:74">
      <c r="L4130" s="265"/>
      <c r="M4130" s="265"/>
      <c r="N4130" s="265"/>
      <c r="O4130" s="265"/>
      <c r="P4130" s="265"/>
      <c r="Q4130" s="265"/>
      <c r="BR4130" s="265"/>
      <c r="BS4130" s="265"/>
      <c r="BT4130" s="265"/>
      <c r="BU4130" s="265"/>
      <c r="BV4130" s="265"/>
    </row>
    <row r="4131" spans="12:74">
      <c r="L4131" s="265"/>
      <c r="M4131" s="265"/>
      <c r="N4131" s="265"/>
      <c r="O4131" s="265"/>
      <c r="P4131" s="265"/>
      <c r="Q4131" s="265"/>
      <c r="BR4131" s="265"/>
      <c r="BS4131" s="265"/>
      <c r="BT4131" s="265"/>
      <c r="BU4131" s="265"/>
      <c r="BV4131" s="265"/>
    </row>
    <row r="4132" spans="12:74">
      <c r="L4132" s="265"/>
      <c r="M4132" s="265"/>
      <c r="N4132" s="265"/>
      <c r="O4132" s="265"/>
      <c r="P4132" s="265"/>
      <c r="Q4132" s="265"/>
      <c r="BR4132" s="265"/>
      <c r="BS4132" s="265"/>
      <c r="BT4132" s="265"/>
      <c r="BU4132" s="265"/>
      <c r="BV4132" s="265"/>
    </row>
    <row r="4133" spans="12:74">
      <c r="L4133" s="265"/>
      <c r="M4133" s="265"/>
      <c r="N4133" s="265"/>
      <c r="O4133" s="265"/>
      <c r="P4133" s="265"/>
      <c r="Q4133" s="265"/>
      <c r="BR4133" s="265"/>
      <c r="BS4133" s="265"/>
      <c r="BT4133" s="265"/>
      <c r="BU4133" s="265"/>
      <c r="BV4133" s="265"/>
    </row>
    <row r="4134" spans="12:74">
      <c r="L4134" s="265"/>
      <c r="M4134" s="265"/>
      <c r="N4134" s="265"/>
      <c r="O4134" s="265"/>
      <c r="P4134" s="265"/>
      <c r="Q4134" s="265"/>
      <c r="BR4134" s="265"/>
      <c r="BS4134" s="265"/>
      <c r="BT4134" s="265"/>
      <c r="BU4134" s="265"/>
      <c r="BV4134" s="265"/>
    </row>
    <row r="4135" spans="12:74">
      <c r="L4135" s="265"/>
      <c r="M4135" s="265"/>
      <c r="N4135" s="265"/>
      <c r="O4135" s="265"/>
      <c r="P4135" s="265"/>
      <c r="Q4135" s="265"/>
      <c r="BR4135" s="265"/>
      <c r="BS4135" s="265"/>
      <c r="BT4135" s="265"/>
      <c r="BU4135" s="265"/>
      <c r="BV4135" s="265"/>
    </row>
    <row r="4136" spans="12:74">
      <c r="L4136" s="265"/>
      <c r="M4136" s="265"/>
      <c r="N4136" s="265"/>
      <c r="O4136" s="265"/>
      <c r="P4136" s="265"/>
      <c r="Q4136" s="265"/>
      <c r="BR4136" s="265"/>
      <c r="BS4136" s="265"/>
      <c r="BT4136" s="265"/>
      <c r="BU4136" s="265"/>
      <c r="BV4136" s="265"/>
    </row>
    <row r="4137" spans="12:74">
      <c r="L4137" s="265"/>
      <c r="M4137" s="265"/>
      <c r="N4137" s="265"/>
      <c r="O4137" s="265"/>
      <c r="P4137" s="265"/>
      <c r="Q4137" s="265"/>
      <c r="BR4137" s="265"/>
      <c r="BS4137" s="265"/>
      <c r="BT4137" s="265"/>
      <c r="BU4137" s="265"/>
      <c r="BV4137" s="265"/>
    </row>
    <row r="4138" spans="12:74">
      <c r="L4138" s="265"/>
      <c r="M4138" s="265"/>
      <c r="N4138" s="265"/>
      <c r="O4138" s="265"/>
      <c r="P4138" s="265"/>
      <c r="Q4138" s="265"/>
      <c r="BR4138" s="265"/>
      <c r="BS4138" s="265"/>
      <c r="BT4138" s="265"/>
      <c r="BU4138" s="265"/>
      <c r="BV4138" s="265"/>
    </row>
    <row r="4139" spans="12:74">
      <c r="L4139" s="265"/>
      <c r="M4139" s="265"/>
      <c r="N4139" s="265"/>
      <c r="O4139" s="265"/>
      <c r="P4139" s="265"/>
      <c r="Q4139" s="265"/>
      <c r="BR4139" s="265"/>
      <c r="BS4139" s="265"/>
      <c r="BT4139" s="265"/>
      <c r="BU4139" s="265"/>
      <c r="BV4139" s="265"/>
    </row>
    <row r="4140" spans="12:74">
      <c r="L4140" s="265"/>
      <c r="M4140" s="265"/>
      <c r="N4140" s="265"/>
      <c r="O4140" s="265"/>
      <c r="P4140" s="265"/>
      <c r="Q4140" s="265"/>
      <c r="BR4140" s="265"/>
      <c r="BS4140" s="265"/>
      <c r="BT4140" s="265"/>
      <c r="BU4140" s="265"/>
      <c r="BV4140" s="265"/>
    </row>
    <row r="4141" spans="12:74">
      <c r="L4141" s="265"/>
      <c r="M4141" s="265"/>
      <c r="N4141" s="265"/>
      <c r="O4141" s="265"/>
      <c r="P4141" s="265"/>
      <c r="Q4141" s="265"/>
      <c r="BR4141" s="265"/>
      <c r="BS4141" s="265"/>
      <c r="BT4141" s="265"/>
      <c r="BU4141" s="265"/>
      <c r="BV4141" s="265"/>
    </row>
    <row r="4142" spans="12:74">
      <c r="L4142" s="265"/>
      <c r="M4142" s="265"/>
      <c r="N4142" s="265"/>
      <c r="O4142" s="265"/>
      <c r="P4142" s="265"/>
      <c r="Q4142" s="265"/>
      <c r="BR4142" s="265"/>
      <c r="BS4142" s="265"/>
      <c r="BT4142" s="265"/>
      <c r="BU4142" s="265"/>
      <c r="BV4142" s="265"/>
    </row>
    <row r="4143" spans="12:74">
      <c r="L4143" s="265"/>
      <c r="M4143" s="265"/>
      <c r="N4143" s="265"/>
      <c r="O4143" s="265"/>
      <c r="P4143" s="265"/>
      <c r="Q4143" s="265"/>
      <c r="BR4143" s="265"/>
      <c r="BS4143" s="265"/>
      <c r="BT4143" s="265"/>
      <c r="BU4143" s="265"/>
      <c r="BV4143" s="265"/>
    </row>
    <row r="4144" spans="12:74">
      <c r="L4144" s="265"/>
      <c r="M4144" s="265"/>
      <c r="N4144" s="265"/>
      <c r="O4144" s="265"/>
      <c r="P4144" s="265"/>
      <c r="Q4144" s="265"/>
      <c r="BR4144" s="265"/>
      <c r="BS4144" s="265"/>
      <c r="BT4144" s="265"/>
      <c r="BU4144" s="265"/>
      <c r="BV4144" s="265"/>
    </row>
    <row r="4145" spans="12:74">
      <c r="L4145" s="265"/>
      <c r="M4145" s="265"/>
      <c r="N4145" s="265"/>
      <c r="O4145" s="265"/>
      <c r="P4145" s="265"/>
      <c r="Q4145" s="265"/>
      <c r="BR4145" s="265"/>
      <c r="BS4145" s="265"/>
      <c r="BT4145" s="265"/>
      <c r="BU4145" s="265"/>
      <c r="BV4145" s="265"/>
    </row>
    <row r="4146" spans="12:74">
      <c r="L4146" s="265"/>
      <c r="M4146" s="265"/>
      <c r="N4146" s="265"/>
      <c r="O4146" s="265"/>
      <c r="P4146" s="265"/>
      <c r="Q4146" s="265"/>
      <c r="BR4146" s="265"/>
      <c r="BS4146" s="265"/>
      <c r="BT4146" s="265"/>
      <c r="BU4146" s="265"/>
      <c r="BV4146" s="265"/>
    </row>
    <row r="4147" spans="12:74">
      <c r="L4147" s="265"/>
      <c r="M4147" s="265"/>
      <c r="N4147" s="265"/>
      <c r="O4147" s="265"/>
      <c r="P4147" s="265"/>
      <c r="Q4147" s="265"/>
      <c r="BR4147" s="265"/>
      <c r="BS4147" s="265"/>
      <c r="BT4147" s="265"/>
      <c r="BU4147" s="265"/>
      <c r="BV4147" s="265"/>
    </row>
    <row r="4148" spans="12:74">
      <c r="L4148" s="265"/>
      <c r="M4148" s="265"/>
      <c r="N4148" s="265"/>
      <c r="O4148" s="265"/>
      <c r="P4148" s="265"/>
      <c r="Q4148" s="265"/>
      <c r="BR4148" s="265"/>
      <c r="BS4148" s="265"/>
      <c r="BT4148" s="265"/>
      <c r="BU4148" s="265"/>
      <c r="BV4148" s="265"/>
    </row>
    <row r="4149" spans="12:74">
      <c r="L4149" s="265"/>
      <c r="M4149" s="265"/>
      <c r="N4149" s="265"/>
      <c r="O4149" s="265"/>
      <c r="P4149" s="265"/>
      <c r="Q4149" s="265"/>
      <c r="BR4149" s="265"/>
      <c r="BS4149" s="265"/>
      <c r="BT4149" s="265"/>
      <c r="BU4149" s="265"/>
      <c r="BV4149" s="265"/>
    </row>
    <row r="4150" spans="12:74">
      <c r="L4150" s="265"/>
      <c r="M4150" s="265"/>
      <c r="N4150" s="265"/>
      <c r="O4150" s="265"/>
      <c r="P4150" s="265"/>
      <c r="Q4150" s="265"/>
      <c r="BR4150" s="265"/>
      <c r="BS4150" s="265"/>
      <c r="BT4150" s="265"/>
      <c r="BU4150" s="265"/>
      <c r="BV4150" s="265"/>
    </row>
    <row r="4151" spans="12:74">
      <c r="L4151" s="265"/>
      <c r="M4151" s="265"/>
      <c r="N4151" s="265"/>
      <c r="O4151" s="265"/>
      <c r="P4151" s="265"/>
      <c r="Q4151" s="265"/>
      <c r="BR4151" s="265"/>
      <c r="BS4151" s="265"/>
      <c r="BT4151" s="265"/>
      <c r="BU4151" s="265"/>
      <c r="BV4151" s="265"/>
    </row>
    <row r="4152" spans="12:74">
      <c r="L4152" s="265"/>
      <c r="M4152" s="265"/>
      <c r="N4152" s="265"/>
      <c r="O4152" s="265"/>
      <c r="P4152" s="265"/>
      <c r="Q4152" s="265"/>
      <c r="BR4152" s="265"/>
      <c r="BS4152" s="265"/>
      <c r="BT4152" s="265"/>
      <c r="BU4152" s="265"/>
      <c r="BV4152" s="265"/>
    </row>
    <row r="4153" spans="12:74">
      <c r="L4153" s="265"/>
      <c r="M4153" s="265"/>
      <c r="N4153" s="265"/>
      <c r="O4153" s="265"/>
      <c r="P4153" s="265"/>
      <c r="Q4153" s="265"/>
      <c r="BR4153" s="265"/>
      <c r="BS4153" s="265"/>
      <c r="BT4153" s="265"/>
      <c r="BU4153" s="265"/>
      <c r="BV4153" s="265"/>
    </row>
    <row r="4154" spans="12:74">
      <c r="L4154" s="265"/>
      <c r="M4154" s="265"/>
      <c r="N4154" s="265"/>
      <c r="O4154" s="265"/>
      <c r="P4154" s="265"/>
      <c r="Q4154" s="265"/>
      <c r="BR4154" s="265"/>
      <c r="BS4154" s="265"/>
      <c r="BT4154" s="265"/>
      <c r="BU4154" s="265"/>
      <c r="BV4154" s="265"/>
    </row>
    <row r="4155" spans="12:74">
      <c r="L4155" s="265"/>
      <c r="M4155" s="265"/>
      <c r="N4155" s="265"/>
      <c r="O4155" s="265"/>
      <c r="P4155" s="265"/>
      <c r="Q4155" s="265"/>
      <c r="BR4155" s="265"/>
      <c r="BS4155" s="265"/>
      <c r="BT4155" s="265"/>
      <c r="BU4155" s="265"/>
      <c r="BV4155" s="265"/>
    </row>
    <row r="4156" spans="12:74">
      <c r="L4156" s="265"/>
      <c r="M4156" s="265"/>
      <c r="N4156" s="265"/>
      <c r="O4156" s="265"/>
      <c r="P4156" s="265"/>
      <c r="Q4156" s="265"/>
      <c r="BR4156" s="265"/>
      <c r="BS4156" s="265"/>
      <c r="BT4156" s="265"/>
      <c r="BU4156" s="265"/>
      <c r="BV4156" s="265"/>
    </row>
    <row r="4157" spans="12:74">
      <c r="L4157" s="265"/>
      <c r="M4157" s="265"/>
      <c r="N4157" s="265"/>
      <c r="O4157" s="265"/>
      <c r="P4157" s="265"/>
      <c r="Q4157" s="265"/>
      <c r="BR4157" s="265"/>
      <c r="BS4157" s="265"/>
      <c r="BT4157" s="265"/>
      <c r="BU4157" s="265"/>
      <c r="BV4157" s="265"/>
    </row>
    <row r="4158" spans="12:74">
      <c r="L4158" s="265"/>
      <c r="M4158" s="265"/>
      <c r="N4158" s="265"/>
      <c r="O4158" s="265"/>
      <c r="P4158" s="265"/>
      <c r="Q4158" s="265"/>
      <c r="BR4158" s="265"/>
      <c r="BS4158" s="265"/>
      <c r="BT4158" s="265"/>
      <c r="BU4158" s="265"/>
      <c r="BV4158" s="265"/>
    </row>
    <row r="4159" spans="12:74">
      <c r="L4159" s="265"/>
      <c r="M4159" s="265"/>
      <c r="N4159" s="265"/>
      <c r="O4159" s="265"/>
      <c r="P4159" s="265"/>
      <c r="Q4159" s="265"/>
      <c r="BR4159" s="265"/>
      <c r="BS4159" s="265"/>
      <c r="BT4159" s="265"/>
      <c r="BU4159" s="265"/>
      <c r="BV4159" s="265"/>
    </row>
    <row r="4160" spans="12:74">
      <c r="L4160" s="265"/>
      <c r="M4160" s="265"/>
      <c r="N4160" s="265"/>
      <c r="O4160" s="265"/>
      <c r="P4160" s="265"/>
      <c r="Q4160" s="265"/>
      <c r="BR4160" s="265"/>
      <c r="BS4160" s="265"/>
      <c r="BT4160" s="265"/>
      <c r="BU4160" s="265"/>
      <c r="BV4160" s="265"/>
    </row>
    <row r="4161" spans="12:74">
      <c r="L4161" s="265"/>
      <c r="M4161" s="265"/>
      <c r="N4161" s="265"/>
      <c r="O4161" s="265"/>
      <c r="P4161" s="265"/>
      <c r="Q4161" s="265"/>
      <c r="BR4161" s="265"/>
      <c r="BS4161" s="265"/>
      <c r="BT4161" s="265"/>
      <c r="BU4161" s="265"/>
      <c r="BV4161" s="265"/>
    </row>
    <row r="4162" spans="12:74">
      <c r="L4162" s="265"/>
      <c r="M4162" s="265"/>
      <c r="N4162" s="265"/>
      <c r="O4162" s="265"/>
      <c r="P4162" s="265"/>
      <c r="Q4162" s="265"/>
      <c r="BR4162" s="265"/>
      <c r="BS4162" s="265"/>
      <c r="BT4162" s="265"/>
      <c r="BU4162" s="265"/>
      <c r="BV4162" s="265"/>
    </row>
    <row r="4163" spans="12:74">
      <c r="L4163" s="265"/>
      <c r="M4163" s="265"/>
      <c r="N4163" s="265"/>
      <c r="O4163" s="265"/>
      <c r="P4163" s="265"/>
      <c r="Q4163" s="265"/>
      <c r="BR4163" s="265"/>
      <c r="BS4163" s="265"/>
      <c r="BT4163" s="265"/>
      <c r="BU4163" s="265"/>
      <c r="BV4163" s="265"/>
    </row>
    <row r="4164" spans="12:74">
      <c r="L4164" s="265"/>
      <c r="M4164" s="265"/>
      <c r="N4164" s="265"/>
      <c r="O4164" s="265"/>
      <c r="P4164" s="265"/>
      <c r="Q4164" s="265"/>
      <c r="BR4164" s="265"/>
      <c r="BS4164" s="265"/>
      <c r="BT4164" s="265"/>
      <c r="BU4164" s="265"/>
      <c r="BV4164" s="265"/>
    </row>
    <row r="4165" spans="12:74">
      <c r="L4165" s="265"/>
      <c r="M4165" s="265"/>
      <c r="N4165" s="265"/>
      <c r="O4165" s="265"/>
      <c r="P4165" s="265"/>
      <c r="Q4165" s="265"/>
      <c r="BR4165" s="265"/>
      <c r="BS4165" s="265"/>
      <c r="BT4165" s="265"/>
      <c r="BU4165" s="265"/>
      <c r="BV4165" s="265"/>
    </row>
    <row r="4166" spans="12:74">
      <c r="L4166" s="265"/>
      <c r="M4166" s="265"/>
      <c r="N4166" s="265"/>
      <c r="O4166" s="265"/>
      <c r="P4166" s="265"/>
      <c r="Q4166" s="265"/>
      <c r="BR4166" s="265"/>
      <c r="BS4166" s="265"/>
      <c r="BT4166" s="265"/>
      <c r="BU4166" s="265"/>
      <c r="BV4166" s="265"/>
    </row>
    <row r="4167" spans="12:74">
      <c r="L4167" s="265"/>
      <c r="M4167" s="265"/>
      <c r="N4167" s="265"/>
      <c r="O4167" s="265"/>
      <c r="P4167" s="265"/>
      <c r="Q4167" s="265"/>
      <c r="BR4167" s="265"/>
      <c r="BS4167" s="265"/>
      <c r="BT4167" s="265"/>
      <c r="BU4167" s="265"/>
      <c r="BV4167" s="265"/>
    </row>
    <row r="4168" spans="12:74">
      <c r="L4168" s="265"/>
      <c r="M4168" s="265"/>
      <c r="N4168" s="265"/>
      <c r="O4168" s="265"/>
      <c r="P4168" s="265"/>
      <c r="Q4168" s="265"/>
      <c r="BR4168" s="265"/>
      <c r="BS4168" s="265"/>
      <c r="BT4168" s="265"/>
      <c r="BU4168" s="265"/>
      <c r="BV4168" s="265"/>
    </row>
    <row r="4169" spans="12:74">
      <c r="L4169" s="265"/>
      <c r="M4169" s="265"/>
      <c r="N4169" s="265"/>
      <c r="O4169" s="265"/>
      <c r="P4169" s="265"/>
      <c r="Q4169" s="265"/>
      <c r="BR4169" s="265"/>
      <c r="BS4169" s="265"/>
      <c r="BT4169" s="265"/>
      <c r="BU4169" s="265"/>
      <c r="BV4169" s="265"/>
    </row>
    <row r="4170" spans="12:74">
      <c r="L4170" s="265"/>
      <c r="M4170" s="265"/>
      <c r="N4170" s="265"/>
      <c r="O4170" s="265"/>
      <c r="P4170" s="265"/>
      <c r="Q4170" s="265"/>
      <c r="BR4170" s="265"/>
      <c r="BS4170" s="265"/>
      <c r="BT4170" s="265"/>
      <c r="BU4170" s="265"/>
      <c r="BV4170" s="265"/>
    </row>
    <row r="4171" spans="12:74">
      <c r="L4171" s="265"/>
      <c r="M4171" s="265"/>
      <c r="N4171" s="265"/>
      <c r="O4171" s="265"/>
      <c r="P4171" s="265"/>
      <c r="Q4171" s="265"/>
      <c r="BR4171" s="265"/>
      <c r="BS4171" s="265"/>
      <c r="BT4171" s="265"/>
      <c r="BU4171" s="265"/>
      <c r="BV4171" s="265"/>
    </row>
    <row r="4172" spans="12:74">
      <c r="L4172" s="265"/>
      <c r="M4172" s="265"/>
      <c r="N4172" s="265"/>
      <c r="O4172" s="265"/>
      <c r="P4172" s="265"/>
      <c r="Q4172" s="265"/>
      <c r="BR4172" s="265"/>
      <c r="BS4172" s="265"/>
      <c r="BT4172" s="265"/>
      <c r="BU4172" s="265"/>
      <c r="BV4172" s="265"/>
    </row>
    <row r="4173" spans="12:74">
      <c r="L4173" s="265"/>
      <c r="M4173" s="265"/>
      <c r="N4173" s="265"/>
      <c r="O4173" s="265"/>
      <c r="P4173" s="265"/>
      <c r="Q4173" s="265"/>
      <c r="BR4173" s="265"/>
      <c r="BS4173" s="265"/>
      <c r="BT4173" s="265"/>
      <c r="BU4173" s="265"/>
      <c r="BV4173" s="265"/>
    </row>
    <row r="4174" spans="12:74">
      <c r="L4174" s="265"/>
      <c r="M4174" s="265"/>
      <c r="N4174" s="265"/>
      <c r="O4174" s="265"/>
      <c r="P4174" s="265"/>
      <c r="Q4174" s="265"/>
      <c r="BR4174" s="265"/>
      <c r="BS4174" s="265"/>
      <c r="BT4174" s="265"/>
      <c r="BU4174" s="265"/>
      <c r="BV4174" s="265"/>
    </row>
    <row r="4175" spans="12:74">
      <c r="L4175" s="265"/>
      <c r="M4175" s="265"/>
      <c r="N4175" s="265"/>
      <c r="O4175" s="265"/>
      <c r="P4175" s="265"/>
      <c r="Q4175" s="265"/>
      <c r="BR4175" s="265"/>
      <c r="BS4175" s="265"/>
      <c r="BT4175" s="265"/>
      <c r="BU4175" s="265"/>
      <c r="BV4175" s="265"/>
    </row>
    <row r="4176" spans="12:74">
      <c r="L4176" s="265"/>
      <c r="M4176" s="265"/>
      <c r="N4176" s="265"/>
      <c r="O4176" s="265"/>
      <c r="P4176" s="265"/>
      <c r="Q4176" s="265"/>
      <c r="BR4176" s="265"/>
      <c r="BS4176" s="265"/>
      <c r="BT4176" s="265"/>
      <c r="BU4176" s="265"/>
      <c r="BV4176" s="265"/>
    </row>
    <row r="4177" spans="12:74">
      <c r="L4177" s="265"/>
      <c r="M4177" s="265"/>
      <c r="N4177" s="265"/>
      <c r="O4177" s="265"/>
      <c r="P4177" s="265"/>
      <c r="Q4177" s="265"/>
      <c r="BR4177" s="265"/>
      <c r="BS4177" s="265"/>
      <c r="BT4177" s="265"/>
      <c r="BU4177" s="265"/>
      <c r="BV4177" s="265"/>
    </row>
    <row r="4178" spans="12:74">
      <c r="L4178" s="265"/>
      <c r="M4178" s="265"/>
      <c r="N4178" s="265"/>
      <c r="O4178" s="265"/>
      <c r="P4178" s="265"/>
      <c r="Q4178" s="265"/>
      <c r="BR4178" s="265"/>
      <c r="BS4178" s="265"/>
      <c r="BT4178" s="265"/>
      <c r="BU4178" s="265"/>
      <c r="BV4178" s="265"/>
    </row>
    <row r="4179" spans="12:74">
      <c r="L4179" s="265"/>
      <c r="M4179" s="265"/>
      <c r="N4179" s="265"/>
      <c r="O4179" s="265"/>
      <c r="P4179" s="265"/>
      <c r="Q4179" s="265"/>
      <c r="BR4179" s="265"/>
      <c r="BS4179" s="265"/>
      <c r="BT4179" s="265"/>
      <c r="BU4179" s="265"/>
      <c r="BV4179" s="265"/>
    </row>
    <row r="4180" spans="12:74">
      <c r="L4180" s="265"/>
      <c r="M4180" s="265"/>
      <c r="N4180" s="265"/>
      <c r="O4180" s="265"/>
      <c r="P4180" s="265"/>
      <c r="Q4180" s="265"/>
      <c r="BR4180" s="265"/>
      <c r="BS4180" s="265"/>
      <c r="BT4180" s="265"/>
      <c r="BU4180" s="265"/>
      <c r="BV4180" s="265"/>
    </row>
    <row r="4181" spans="12:74">
      <c r="L4181" s="265"/>
      <c r="M4181" s="265"/>
      <c r="N4181" s="265"/>
      <c r="O4181" s="265"/>
      <c r="P4181" s="265"/>
      <c r="Q4181" s="265"/>
      <c r="BR4181" s="265"/>
      <c r="BS4181" s="265"/>
      <c r="BT4181" s="265"/>
      <c r="BU4181" s="265"/>
      <c r="BV4181" s="265"/>
    </row>
    <row r="4182" spans="12:74">
      <c r="L4182" s="265"/>
      <c r="M4182" s="265"/>
      <c r="N4182" s="265"/>
      <c r="O4182" s="265"/>
      <c r="P4182" s="265"/>
      <c r="Q4182" s="265"/>
      <c r="BR4182" s="265"/>
      <c r="BS4182" s="265"/>
      <c r="BT4182" s="265"/>
      <c r="BU4182" s="265"/>
      <c r="BV4182" s="265"/>
    </row>
    <row r="4183" spans="12:74">
      <c r="L4183" s="265"/>
      <c r="M4183" s="265"/>
      <c r="N4183" s="265"/>
      <c r="O4183" s="265"/>
      <c r="P4183" s="265"/>
      <c r="Q4183" s="265"/>
      <c r="BR4183" s="265"/>
      <c r="BS4183" s="265"/>
      <c r="BT4183" s="265"/>
      <c r="BU4183" s="265"/>
      <c r="BV4183" s="265"/>
    </row>
    <row r="4184" spans="12:74">
      <c r="L4184" s="265"/>
      <c r="M4184" s="265"/>
      <c r="N4184" s="265"/>
      <c r="O4184" s="265"/>
      <c r="P4184" s="265"/>
      <c r="Q4184" s="265"/>
      <c r="BR4184" s="265"/>
      <c r="BS4184" s="265"/>
      <c r="BT4184" s="265"/>
      <c r="BU4184" s="265"/>
      <c r="BV4184" s="265"/>
    </row>
    <row r="4185" spans="12:74">
      <c r="L4185" s="265"/>
      <c r="M4185" s="265"/>
      <c r="N4185" s="265"/>
      <c r="O4185" s="265"/>
      <c r="P4185" s="265"/>
      <c r="Q4185" s="265"/>
      <c r="BR4185" s="265"/>
      <c r="BS4185" s="265"/>
      <c r="BT4185" s="265"/>
      <c r="BU4185" s="265"/>
      <c r="BV4185" s="265"/>
    </row>
    <row r="4186" spans="12:74">
      <c r="L4186" s="265"/>
      <c r="M4186" s="265"/>
      <c r="N4186" s="265"/>
      <c r="O4186" s="265"/>
      <c r="P4186" s="265"/>
      <c r="Q4186" s="265"/>
      <c r="BR4186" s="265"/>
      <c r="BS4186" s="265"/>
      <c r="BT4186" s="265"/>
      <c r="BU4186" s="265"/>
      <c r="BV4186" s="265"/>
    </row>
    <row r="4187" spans="12:74">
      <c r="L4187" s="265"/>
      <c r="M4187" s="265"/>
      <c r="N4187" s="265"/>
      <c r="O4187" s="265"/>
      <c r="P4187" s="265"/>
      <c r="Q4187" s="265"/>
      <c r="BR4187" s="265"/>
      <c r="BS4187" s="265"/>
      <c r="BT4187" s="265"/>
      <c r="BU4187" s="265"/>
      <c r="BV4187" s="265"/>
    </row>
    <row r="4188" spans="12:74">
      <c r="L4188" s="265"/>
      <c r="M4188" s="265"/>
      <c r="N4188" s="265"/>
      <c r="O4188" s="265"/>
      <c r="P4188" s="265"/>
      <c r="Q4188" s="265"/>
      <c r="BR4188" s="265"/>
      <c r="BS4188" s="265"/>
      <c r="BT4188" s="265"/>
      <c r="BU4188" s="265"/>
      <c r="BV4188" s="265"/>
    </row>
    <row r="4189" spans="12:74">
      <c r="L4189" s="265"/>
      <c r="M4189" s="265"/>
      <c r="N4189" s="265"/>
      <c r="O4189" s="265"/>
      <c r="P4189" s="265"/>
      <c r="Q4189" s="265"/>
      <c r="BR4189" s="265"/>
      <c r="BS4189" s="265"/>
      <c r="BT4189" s="265"/>
      <c r="BU4189" s="265"/>
      <c r="BV4189" s="265"/>
    </row>
    <row r="4190" spans="12:74">
      <c r="L4190" s="265"/>
      <c r="M4190" s="265"/>
      <c r="N4190" s="265"/>
      <c r="O4190" s="265"/>
      <c r="P4190" s="265"/>
      <c r="Q4190" s="265"/>
      <c r="BR4190" s="265"/>
      <c r="BS4190" s="265"/>
      <c r="BT4190" s="265"/>
      <c r="BU4190" s="265"/>
      <c r="BV4190" s="265"/>
    </row>
    <row r="4191" spans="12:74">
      <c r="L4191" s="265"/>
      <c r="M4191" s="265"/>
      <c r="N4191" s="265"/>
      <c r="O4191" s="265"/>
      <c r="P4191" s="265"/>
      <c r="Q4191" s="265"/>
      <c r="BR4191" s="265"/>
      <c r="BS4191" s="265"/>
      <c r="BT4191" s="265"/>
      <c r="BU4191" s="265"/>
      <c r="BV4191" s="265"/>
    </row>
    <row r="4192" spans="12:74">
      <c r="L4192" s="265"/>
      <c r="M4192" s="265"/>
      <c r="N4192" s="265"/>
      <c r="O4192" s="265"/>
      <c r="P4192" s="265"/>
      <c r="Q4192" s="265"/>
      <c r="BR4192" s="265"/>
      <c r="BS4192" s="265"/>
      <c r="BT4192" s="265"/>
      <c r="BU4192" s="265"/>
      <c r="BV4192" s="265"/>
    </row>
    <row r="4193" spans="12:74">
      <c r="L4193" s="265"/>
      <c r="M4193" s="265"/>
      <c r="N4193" s="265"/>
      <c r="O4193" s="265"/>
      <c r="P4193" s="265"/>
      <c r="Q4193" s="265"/>
      <c r="BR4193" s="265"/>
      <c r="BS4193" s="265"/>
      <c r="BT4193" s="265"/>
      <c r="BU4193" s="265"/>
      <c r="BV4193" s="265"/>
    </row>
    <row r="4194" spans="12:74">
      <c r="L4194" s="265"/>
      <c r="M4194" s="265"/>
      <c r="N4194" s="265"/>
      <c r="O4194" s="265"/>
      <c r="P4194" s="265"/>
      <c r="Q4194" s="265"/>
      <c r="BR4194" s="265"/>
      <c r="BS4194" s="265"/>
      <c r="BT4194" s="265"/>
      <c r="BU4194" s="265"/>
      <c r="BV4194" s="265"/>
    </row>
    <row r="4195" spans="12:74">
      <c r="L4195" s="265"/>
      <c r="M4195" s="265"/>
      <c r="N4195" s="265"/>
      <c r="O4195" s="265"/>
      <c r="P4195" s="265"/>
      <c r="Q4195" s="265"/>
      <c r="BR4195" s="265"/>
      <c r="BS4195" s="265"/>
      <c r="BT4195" s="265"/>
      <c r="BU4195" s="265"/>
      <c r="BV4195" s="265"/>
    </row>
    <row r="4196" spans="12:74">
      <c r="L4196" s="265"/>
      <c r="M4196" s="265"/>
      <c r="N4196" s="265"/>
      <c r="O4196" s="265"/>
      <c r="P4196" s="265"/>
      <c r="Q4196" s="265"/>
      <c r="BR4196" s="265"/>
      <c r="BS4196" s="265"/>
      <c r="BT4196" s="265"/>
      <c r="BU4196" s="265"/>
      <c r="BV4196" s="265"/>
    </row>
    <row r="4197" spans="12:74">
      <c r="L4197" s="265"/>
      <c r="M4197" s="265"/>
      <c r="N4197" s="265"/>
      <c r="O4197" s="265"/>
      <c r="P4197" s="265"/>
      <c r="Q4197" s="265"/>
      <c r="BR4197" s="265"/>
      <c r="BS4197" s="265"/>
      <c r="BT4197" s="265"/>
      <c r="BU4197" s="265"/>
      <c r="BV4197" s="265"/>
    </row>
    <row r="4198" spans="12:74">
      <c r="L4198" s="265"/>
      <c r="M4198" s="265"/>
      <c r="N4198" s="265"/>
      <c r="O4198" s="265"/>
      <c r="P4198" s="265"/>
      <c r="Q4198" s="265"/>
      <c r="BR4198" s="265"/>
      <c r="BS4198" s="265"/>
      <c r="BT4198" s="265"/>
      <c r="BU4198" s="265"/>
      <c r="BV4198" s="265"/>
    </row>
    <row r="4199" spans="12:74">
      <c r="L4199" s="265"/>
      <c r="M4199" s="265"/>
      <c r="N4199" s="265"/>
      <c r="O4199" s="265"/>
      <c r="P4199" s="265"/>
      <c r="Q4199" s="265"/>
      <c r="BR4199" s="265"/>
      <c r="BS4199" s="265"/>
      <c r="BT4199" s="265"/>
      <c r="BU4199" s="265"/>
      <c r="BV4199" s="265"/>
    </row>
    <row r="4200" spans="12:74">
      <c r="L4200" s="265"/>
      <c r="M4200" s="265"/>
      <c r="N4200" s="265"/>
      <c r="O4200" s="265"/>
      <c r="P4200" s="265"/>
      <c r="Q4200" s="265"/>
      <c r="BR4200" s="265"/>
      <c r="BS4200" s="265"/>
      <c r="BT4200" s="265"/>
      <c r="BU4200" s="265"/>
      <c r="BV4200" s="265"/>
    </row>
    <row r="4201" spans="12:74">
      <c r="L4201" s="265"/>
      <c r="M4201" s="265"/>
      <c r="N4201" s="265"/>
      <c r="O4201" s="265"/>
      <c r="P4201" s="265"/>
      <c r="Q4201" s="265"/>
      <c r="BR4201" s="265"/>
      <c r="BS4201" s="265"/>
      <c r="BT4201" s="265"/>
      <c r="BU4201" s="265"/>
      <c r="BV4201" s="265"/>
    </row>
    <row r="4202" spans="12:74">
      <c r="L4202" s="265"/>
      <c r="M4202" s="265"/>
      <c r="N4202" s="265"/>
      <c r="O4202" s="265"/>
      <c r="P4202" s="265"/>
      <c r="Q4202" s="265"/>
      <c r="BR4202" s="265"/>
      <c r="BS4202" s="265"/>
      <c r="BT4202" s="265"/>
      <c r="BU4202" s="265"/>
      <c r="BV4202" s="265"/>
    </row>
    <row r="4203" spans="12:74">
      <c r="L4203" s="265"/>
      <c r="M4203" s="265"/>
      <c r="N4203" s="265"/>
      <c r="O4203" s="265"/>
      <c r="P4203" s="265"/>
      <c r="Q4203" s="265"/>
      <c r="BR4203" s="265"/>
      <c r="BS4203" s="265"/>
      <c r="BT4203" s="265"/>
      <c r="BU4203" s="265"/>
      <c r="BV4203" s="265"/>
    </row>
    <row r="4204" spans="12:74">
      <c r="L4204" s="265"/>
      <c r="M4204" s="265"/>
      <c r="N4204" s="265"/>
      <c r="O4204" s="265"/>
      <c r="P4204" s="265"/>
      <c r="Q4204" s="265"/>
      <c r="BR4204" s="265"/>
      <c r="BS4204" s="265"/>
      <c r="BT4204" s="265"/>
      <c r="BU4204" s="265"/>
      <c r="BV4204" s="265"/>
    </row>
    <row r="4205" spans="12:74">
      <c r="L4205" s="265"/>
      <c r="M4205" s="265"/>
      <c r="N4205" s="265"/>
      <c r="O4205" s="265"/>
      <c r="P4205" s="265"/>
      <c r="Q4205" s="265"/>
      <c r="BR4205" s="265"/>
      <c r="BS4205" s="265"/>
      <c r="BT4205" s="265"/>
      <c r="BU4205" s="265"/>
      <c r="BV4205" s="265"/>
    </row>
    <row r="4206" spans="12:74">
      <c r="L4206" s="265"/>
      <c r="M4206" s="265"/>
      <c r="N4206" s="265"/>
      <c r="O4206" s="265"/>
      <c r="P4206" s="265"/>
      <c r="Q4206" s="265"/>
      <c r="BR4206" s="265"/>
      <c r="BS4206" s="265"/>
      <c r="BT4206" s="265"/>
      <c r="BU4206" s="265"/>
      <c r="BV4206" s="265"/>
    </row>
    <row r="4207" spans="12:74">
      <c r="L4207" s="265"/>
      <c r="M4207" s="265"/>
      <c r="N4207" s="265"/>
      <c r="O4207" s="265"/>
      <c r="P4207" s="265"/>
      <c r="Q4207" s="265"/>
      <c r="BR4207" s="265"/>
      <c r="BS4207" s="265"/>
      <c r="BT4207" s="265"/>
      <c r="BU4207" s="265"/>
      <c r="BV4207" s="265"/>
    </row>
    <row r="4208" spans="12:74">
      <c r="L4208" s="265"/>
      <c r="M4208" s="265"/>
      <c r="N4208" s="265"/>
      <c r="O4208" s="265"/>
      <c r="P4208" s="265"/>
      <c r="Q4208" s="265"/>
      <c r="BR4208" s="265"/>
      <c r="BS4208" s="265"/>
      <c r="BT4208" s="265"/>
      <c r="BU4208" s="265"/>
      <c r="BV4208" s="265"/>
    </row>
    <row r="4209" spans="12:74">
      <c r="L4209" s="265"/>
      <c r="M4209" s="265"/>
      <c r="N4209" s="265"/>
      <c r="O4209" s="265"/>
      <c r="P4209" s="265"/>
      <c r="Q4209" s="265"/>
      <c r="BR4209" s="265"/>
      <c r="BS4209" s="265"/>
      <c r="BT4209" s="265"/>
      <c r="BU4209" s="265"/>
      <c r="BV4209" s="265"/>
    </row>
    <row r="4210" spans="12:74">
      <c r="L4210" s="265"/>
      <c r="M4210" s="265"/>
      <c r="N4210" s="265"/>
      <c r="O4210" s="265"/>
      <c r="P4210" s="265"/>
      <c r="Q4210" s="265"/>
      <c r="BR4210" s="265"/>
      <c r="BS4210" s="265"/>
      <c r="BT4210" s="265"/>
      <c r="BU4210" s="265"/>
      <c r="BV4210" s="265"/>
    </row>
    <row r="4211" spans="12:74">
      <c r="L4211" s="265"/>
      <c r="M4211" s="265"/>
      <c r="N4211" s="265"/>
      <c r="O4211" s="265"/>
      <c r="P4211" s="265"/>
      <c r="Q4211" s="265"/>
      <c r="BR4211" s="265"/>
      <c r="BS4211" s="265"/>
      <c r="BT4211" s="265"/>
      <c r="BU4211" s="265"/>
      <c r="BV4211" s="265"/>
    </row>
    <row r="4212" spans="12:74">
      <c r="L4212" s="265"/>
      <c r="M4212" s="265"/>
      <c r="N4212" s="265"/>
      <c r="O4212" s="265"/>
      <c r="P4212" s="265"/>
      <c r="Q4212" s="265"/>
      <c r="BR4212" s="265"/>
      <c r="BS4212" s="265"/>
      <c r="BT4212" s="265"/>
      <c r="BU4212" s="265"/>
      <c r="BV4212" s="265"/>
    </row>
    <row r="4213" spans="12:74">
      <c r="L4213" s="265"/>
      <c r="M4213" s="265"/>
      <c r="N4213" s="265"/>
      <c r="O4213" s="265"/>
      <c r="P4213" s="265"/>
      <c r="Q4213" s="265"/>
      <c r="BR4213" s="265"/>
      <c r="BS4213" s="265"/>
      <c r="BT4213" s="265"/>
      <c r="BU4213" s="265"/>
      <c r="BV4213" s="265"/>
    </row>
    <row r="4214" spans="12:74">
      <c r="L4214" s="265"/>
      <c r="M4214" s="265"/>
      <c r="N4214" s="265"/>
      <c r="O4214" s="265"/>
      <c r="P4214" s="265"/>
      <c r="Q4214" s="265"/>
      <c r="BR4214" s="265"/>
      <c r="BS4214" s="265"/>
      <c r="BT4214" s="265"/>
      <c r="BU4214" s="265"/>
      <c r="BV4214" s="265"/>
    </row>
    <row r="4215" spans="12:74">
      <c r="L4215" s="265"/>
      <c r="M4215" s="265"/>
      <c r="N4215" s="265"/>
      <c r="O4215" s="265"/>
      <c r="P4215" s="265"/>
      <c r="Q4215" s="265"/>
      <c r="BR4215" s="265"/>
      <c r="BS4215" s="265"/>
      <c r="BT4215" s="265"/>
      <c r="BU4215" s="265"/>
      <c r="BV4215" s="265"/>
    </row>
    <row r="4216" spans="12:74">
      <c r="L4216" s="265"/>
      <c r="M4216" s="265"/>
      <c r="N4216" s="265"/>
      <c r="O4216" s="265"/>
      <c r="P4216" s="265"/>
      <c r="Q4216" s="265"/>
      <c r="BR4216" s="265"/>
      <c r="BS4216" s="265"/>
      <c r="BT4216" s="265"/>
      <c r="BU4216" s="265"/>
      <c r="BV4216" s="265"/>
    </row>
    <row r="4217" spans="12:74">
      <c r="L4217" s="265"/>
      <c r="M4217" s="265"/>
      <c r="N4217" s="265"/>
      <c r="O4217" s="265"/>
      <c r="P4217" s="265"/>
      <c r="Q4217" s="265"/>
      <c r="BR4217" s="265"/>
      <c r="BS4217" s="265"/>
      <c r="BT4217" s="265"/>
      <c r="BU4217" s="265"/>
      <c r="BV4217" s="265"/>
    </row>
    <row r="4218" spans="12:74">
      <c r="L4218" s="265"/>
      <c r="M4218" s="265"/>
      <c r="N4218" s="265"/>
      <c r="O4218" s="265"/>
      <c r="P4218" s="265"/>
      <c r="Q4218" s="265"/>
      <c r="BR4218" s="265"/>
      <c r="BS4218" s="265"/>
      <c r="BT4218" s="265"/>
      <c r="BU4218" s="265"/>
      <c r="BV4218" s="265"/>
    </row>
    <row r="4219" spans="12:74">
      <c r="L4219" s="265"/>
      <c r="M4219" s="265"/>
      <c r="N4219" s="265"/>
      <c r="O4219" s="265"/>
      <c r="P4219" s="265"/>
      <c r="Q4219" s="265"/>
      <c r="BR4219" s="265"/>
      <c r="BS4219" s="265"/>
      <c r="BT4219" s="265"/>
      <c r="BU4219" s="265"/>
      <c r="BV4219" s="265"/>
    </row>
    <row r="4220" spans="12:74">
      <c r="L4220" s="265"/>
      <c r="M4220" s="265"/>
      <c r="N4220" s="265"/>
      <c r="O4220" s="265"/>
      <c r="P4220" s="265"/>
      <c r="Q4220" s="265"/>
      <c r="BR4220" s="265"/>
      <c r="BS4220" s="265"/>
      <c r="BT4220" s="265"/>
      <c r="BU4220" s="265"/>
      <c r="BV4220" s="265"/>
    </row>
    <row r="4221" spans="12:74">
      <c r="L4221" s="265"/>
      <c r="M4221" s="265"/>
      <c r="N4221" s="265"/>
      <c r="O4221" s="265"/>
      <c r="P4221" s="265"/>
      <c r="Q4221" s="265"/>
      <c r="BR4221" s="265"/>
      <c r="BS4221" s="265"/>
      <c r="BT4221" s="265"/>
      <c r="BU4221" s="265"/>
      <c r="BV4221" s="265"/>
    </row>
    <row r="4222" spans="12:74">
      <c r="L4222" s="265"/>
      <c r="M4222" s="265"/>
      <c r="N4222" s="265"/>
      <c r="O4222" s="265"/>
      <c r="P4222" s="265"/>
      <c r="Q4222" s="265"/>
      <c r="BR4222" s="265"/>
      <c r="BS4222" s="265"/>
      <c r="BT4222" s="265"/>
      <c r="BU4222" s="265"/>
      <c r="BV4222" s="265"/>
    </row>
    <row r="4223" spans="12:74">
      <c r="L4223" s="265"/>
      <c r="M4223" s="265"/>
      <c r="N4223" s="265"/>
      <c r="O4223" s="265"/>
      <c r="P4223" s="265"/>
      <c r="Q4223" s="265"/>
      <c r="BR4223" s="265"/>
      <c r="BS4223" s="265"/>
      <c r="BT4223" s="265"/>
      <c r="BU4223" s="265"/>
      <c r="BV4223" s="265"/>
    </row>
    <row r="4224" spans="12:74">
      <c r="L4224" s="265"/>
      <c r="M4224" s="265"/>
      <c r="N4224" s="265"/>
      <c r="O4224" s="265"/>
      <c r="P4224" s="265"/>
      <c r="Q4224" s="265"/>
      <c r="BR4224" s="265"/>
      <c r="BS4224" s="265"/>
      <c r="BT4224" s="265"/>
      <c r="BU4224" s="265"/>
      <c r="BV4224" s="265"/>
    </row>
    <row r="4225" spans="12:74">
      <c r="L4225" s="265"/>
      <c r="M4225" s="265"/>
      <c r="N4225" s="265"/>
      <c r="O4225" s="265"/>
      <c r="P4225" s="265"/>
      <c r="Q4225" s="265"/>
      <c r="BR4225" s="265"/>
      <c r="BS4225" s="265"/>
      <c r="BT4225" s="265"/>
      <c r="BU4225" s="265"/>
      <c r="BV4225" s="265"/>
    </row>
    <row r="4226" spans="12:74">
      <c r="L4226" s="265"/>
      <c r="M4226" s="265"/>
      <c r="N4226" s="265"/>
      <c r="O4226" s="265"/>
      <c r="P4226" s="265"/>
      <c r="Q4226" s="265"/>
      <c r="BR4226" s="265"/>
      <c r="BS4226" s="265"/>
      <c r="BT4226" s="265"/>
      <c r="BU4226" s="265"/>
      <c r="BV4226" s="265"/>
    </row>
    <row r="4227" spans="12:74">
      <c r="L4227" s="265"/>
      <c r="M4227" s="265"/>
      <c r="N4227" s="265"/>
      <c r="O4227" s="265"/>
      <c r="P4227" s="265"/>
      <c r="Q4227" s="265"/>
      <c r="BR4227" s="265"/>
      <c r="BS4227" s="265"/>
      <c r="BT4227" s="265"/>
      <c r="BU4227" s="265"/>
      <c r="BV4227" s="265"/>
    </row>
    <row r="4228" spans="12:74">
      <c r="L4228" s="265"/>
      <c r="M4228" s="265"/>
      <c r="N4228" s="265"/>
      <c r="O4228" s="265"/>
      <c r="P4228" s="265"/>
      <c r="Q4228" s="265"/>
      <c r="BR4228" s="265"/>
      <c r="BS4228" s="265"/>
      <c r="BT4228" s="265"/>
      <c r="BU4228" s="265"/>
      <c r="BV4228" s="265"/>
    </row>
    <row r="4229" spans="12:74">
      <c r="L4229" s="265"/>
      <c r="M4229" s="265"/>
      <c r="N4229" s="265"/>
      <c r="O4229" s="265"/>
      <c r="P4229" s="265"/>
      <c r="Q4229" s="265"/>
      <c r="BR4229" s="265"/>
      <c r="BS4229" s="265"/>
      <c r="BT4229" s="265"/>
      <c r="BU4229" s="265"/>
      <c r="BV4229" s="265"/>
    </row>
    <row r="4230" spans="12:74">
      <c r="L4230" s="265"/>
      <c r="M4230" s="265"/>
      <c r="N4230" s="265"/>
      <c r="O4230" s="265"/>
      <c r="P4230" s="265"/>
      <c r="Q4230" s="265"/>
      <c r="BR4230" s="265"/>
      <c r="BS4230" s="265"/>
      <c r="BT4230" s="265"/>
      <c r="BU4230" s="265"/>
      <c r="BV4230" s="265"/>
    </row>
    <row r="4231" spans="12:74">
      <c r="L4231" s="265"/>
      <c r="M4231" s="265"/>
      <c r="N4231" s="265"/>
      <c r="O4231" s="265"/>
      <c r="P4231" s="265"/>
      <c r="Q4231" s="265"/>
      <c r="BR4231" s="265"/>
      <c r="BS4231" s="265"/>
      <c r="BT4231" s="265"/>
      <c r="BU4231" s="265"/>
      <c r="BV4231" s="265"/>
    </row>
    <row r="4232" spans="12:74">
      <c r="L4232" s="265"/>
      <c r="M4232" s="265"/>
      <c r="N4232" s="265"/>
      <c r="O4232" s="265"/>
      <c r="P4232" s="265"/>
      <c r="Q4232" s="265"/>
      <c r="BR4232" s="265"/>
      <c r="BS4232" s="265"/>
      <c r="BT4232" s="265"/>
      <c r="BU4232" s="265"/>
      <c r="BV4232" s="265"/>
    </row>
    <row r="4233" spans="12:74">
      <c r="L4233" s="265"/>
      <c r="M4233" s="265"/>
      <c r="N4233" s="265"/>
      <c r="O4233" s="265"/>
      <c r="P4233" s="265"/>
      <c r="Q4233" s="265"/>
      <c r="BR4233" s="265"/>
      <c r="BS4233" s="265"/>
      <c r="BT4233" s="265"/>
      <c r="BU4233" s="265"/>
      <c r="BV4233" s="265"/>
    </row>
    <row r="4234" spans="12:74">
      <c r="L4234" s="265"/>
      <c r="M4234" s="265"/>
      <c r="N4234" s="265"/>
      <c r="O4234" s="265"/>
      <c r="P4234" s="265"/>
      <c r="Q4234" s="265"/>
      <c r="BR4234" s="265"/>
      <c r="BS4234" s="265"/>
      <c r="BT4234" s="265"/>
      <c r="BU4234" s="265"/>
      <c r="BV4234" s="265"/>
    </row>
    <row r="4235" spans="12:74">
      <c r="L4235" s="265"/>
      <c r="M4235" s="265"/>
      <c r="N4235" s="265"/>
      <c r="O4235" s="265"/>
      <c r="P4235" s="265"/>
      <c r="Q4235" s="265"/>
      <c r="BR4235" s="265"/>
      <c r="BS4235" s="265"/>
      <c r="BT4235" s="265"/>
      <c r="BU4235" s="265"/>
      <c r="BV4235" s="265"/>
    </row>
    <row r="4236" spans="12:74">
      <c r="L4236" s="265"/>
      <c r="M4236" s="265"/>
      <c r="N4236" s="265"/>
      <c r="O4236" s="265"/>
      <c r="P4236" s="265"/>
      <c r="Q4236" s="265"/>
      <c r="BR4236" s="265"/>
      <c r="BS4236" s="265"/>
      <c r="BT4236" s="265"/>
      <c r="BU4236" s="265"/>
      <c r="BV4236" s="265"/>
    </row>
    <row r="4237" spans="12:74">
      <c r="L4237" s="265"/>
      <c r="M4237" s="265"/>
      <c r="N4237" s="265"/>
      <c r="O4237" s="265"/>
      <c r="P4237" s="265"/>
      <c r="Q4237" s="265"/>
      <c r="BR4237" s="265"/>
      <c r="BS4237" s="265"/>
      <c r="BT4237" s="265"/>
      <c r="BU4237" s="265"/>
      <c r="BV4237" s="265"/>
    </row>
    <row r="4238" spans="12:74">
      <c r="L4238" s="265"/>
      <c r="M4238" s="265"/>
      <c r="N4238" s="265"/>
      <c r="O4238" s="265"/>
      <c r="P4238" s="265"/>
      <c r="Q4238" s="265"/>
      <c r="BR4238" s="265"/>
      <c r="BS4238" s="265"/>
      <c r="BT4238" s="265"/>
      <c r="BU4238" s="265"/>
      <c r="BV4238" s="265"/>
    </row>
    <row r="4239" spans="12:74">
      <c r="L4239" s="265"/>
      <c r="M4239" s="265"/>
      <c r="N4239" s="265"/>
      <c r="O4239" s="265"/>
      <c r="P4239" s="265"/>
      <c r="Q4239" s="265"/>
      <c r="BR4239" s="265"/>
      <c r="BS4239" s="265"/>
      <c r="BT4239" s="265"/>
      <c r="BU4239" s="265"/>
      <c r="BV4239" s="265"/>
    </row>
    <row r="4240" spans="12:74">
      <c r="L4240" s="265"/>
      <c r="M4240" s="265"/>
      <c r="N4240" s="265"/>
      <c r="O4240" s="265"/>
      <c r="P4240" s="265"/>
      <c r="Q4240" s="265"/>
      <c r="BR4240" s="265"/>
      <c r="BS4240" s="265"/>
      <c r="BT4240" s="265"/>
      <c r="BU4240" s="265"/>
      <c r="BV4240" s="265"/>
    </row>
    <row r="4241" spans="12:74">
      <c r="L4241" s="265"/>
      <c r="M4241" s="265"/>
      <c r="N4241" s="265"/>
      <c r="O4241" s="265"/>
      <c r="P4241" s="265"/>
      <c r="Q4241" s="265"/>
      <c r="BR4241" s="265"/>
      <c r="BS4241" s="265"/>
      <c r="BT4241" s="265"/>
      <c r="BU4241" s="265"/>
      <c r="BV4241" s="265"/>
    </row>
    <row r="4242" spans="12:74">
      <c r="L4242" s="265"/>
      <c r="M4242" s="265"/>
      <c r="N4242" s="265"/>
      <c r="O4242" s="265"/>
      <c r="P4242" s="265"/>
      <c r="Q4242" s="265"/>
      <c r="BR4242" s="265"/>
      <c r="BS4242" s="265"/>
      <c r="BT4242" s="265"/>
      <c r="BU4242" s="265"/>
      <c r="BV4242" s="265"/>
    </row>
    <row r="4243" spans="12:74">
      <c r="L4243" s="265"/>
      <c r="M4243" s="265"/>
      <c r="N4243" s="265"/>
      <c r="O4243" s="265"/>
      <c r="P4243" s="265"/>
      <c r="Q4243" s="265"/>
      <c r="BR4243" s="265"/>
      <c r="BS4243" s="265"/>
      <c r="BT4243" s="265"/>
      <c r="BU4243" s="265"/>
      <c r="BV4243" s="265"/>
    </row>
    <row r="4244" spans="12:74">
      <c r="L4244" s="265"/>
      <c r="M4244" s="265"/>
      <c r="N4244" s="265"/>
      <c r="O4244" s="265"/>
      <c r="P4244" s="265"/>
      <c r="Q4244" s="265"/>
      <c r="BR4244" s="265"/>
      <c r="BS4244" s="265"/>
      <c r="BT4244" s="265"/>
      <c r="BU4244" s="265"/>
      <c r="BV4244" s="265"/>
    </row>
    <row r="4245" spans="12:74">
      <c r="L4245" s="265"/>
      <c r="M4245" s="265"/>
      <c r="N4245" s="265"/>
      <c r="O4245" s="265"/>
      <c r="P4245" s="265"/>
      <c r="Q4245" s="265"/>
      <c r="BR4245" s="265"/>
      <c r="BS4245" s="265"/>
      <c r="BT4245" s="265"/>
      <c r="BU4245" s="265"/>
      <c r="BV4245" s="265"/>
    </row>
    <row r="4246" spans="12:74">
      <c r="L4246" s="265"/>
      <c r="M4246" s="265"/>
      <c r="N4246" s="265"/>
      <c r="O4246" s="265"/>
      <c r="P4246" s="265"/>
      <c r="Q4246" s="265"/>
      <c r="BR4246" s="265"/>
      <c r="BS4246" s="265"/>
      <c r="BT4246" s="265"/>
      <c r="BU4246" s="265"/>
      <c r="BV4246" s="265"/>
    </row>
    <row r="4247" spans="12:74">
      <c r="L4247" s="265"/>
      <c r="M4247" s="265"/>
      <c r="N4247" s="265"/>
      <c r="O4247" s="265"/>
      <c r="P4247" s="265"/>
      <c r="Q4247" s="265"/>
      <c r="BR4247" s="265"/>
      <c r="BS4247" s="265"/>
      <c r="BT4247" s="265"/>
      <c r="BU4247" s="265"/>
      <c r="BV4247" s="265"/>
    </row>
    <row r="4248" spans="12:74">
      <c r="L4248" s="265"/>
      <c r="M4248" s="265"/>
      <c r="N4248" s="265"/>
      <c r="O4248" s="265"/>
      <c r="P4248" s="265"/>
      <c r="Q4248" s="265"/>
      <c r="BR4248" s="265"/>
      <c r="BS4248" s="265"/>
      <c r="BT4248" s="265"/>
      <c r="BU4248" s="265"/>
      <c r="BV4248" s="265"/>
    </row>
    <row r="4249" spans="12:74">
      <c r="L4249" s="265"/>
      <c r="M4249" s="265"/>
      <c r="N4249" s="265"/>
      <c r="O4249" s="265"/>
      <c r="P4249" s="265"/>
      <c r="Q4249" s="265"/>
      <c r="BR4249" s="265"/>
      <c r="BS4249" s="265"/>
      <c r="BT4249" s="265"/>
      <c r="BU4249" s="265"/>
      <c r="BV4249" s="265"/>
    </row>
    <row r="4250" spans="12:74">
      <c r="L4250" s="265"/>
      <c r="M4250" s="265"/>
      <c r="N4250" s="265"/>
      <c r="O4250" s="265"/>
      <c r="P4250" s="265"/>
      <c r="Q4250" s="265"/>
      <c r="BR4250" s="265"/>
      <c r="BS4250" s="265"/>
      <c r="BT4250" s="265"/>
      <c r="BU4250" s="265"/>
      <c r="BV4250" s="265"/>
    </row>
    <row r="4251" spans="12:74">
      <c r="L4251" s="265"/>
      <c r="M4251" s="265"/>
      <c r="N4251" s="265"/>
      <c r="O4251" s="265"/>
      <c r="P4251" s="265"/>
      <c r="Q4251" s="265"/>
      <c r="BR4251" s="265"/>
      <c r="BS4251" s="265"/>
      <c r="BT4251" s="265"/>
      <c r="BU4251" s="265"/>
      <c r="BV4251" s="265"/>
    </row>
    <row r="4252" spans="12:74">
      <c r="L4252" s="265"/>
      <c r="M4252" s="265"/>
      <c r="N4252" s="265"/>
      <c r="O4252" s="265"/>
      <c r="P4252" s="265"/>
      <c r="Q4252" s="265"/>
      <c r="BR4252" s="265"/>
      <c r="BS4252" s="265"/>
      <c r="BT4252" s="265"/>
      <c r="BU4252" s="265"/>
      <c r="BV4252" s="265"/>
    </row>
    <row r="4253" spans="12:74">
      <c r="L4253" s="265"/>
      <c r="M4253" s="265"/>
      <c r="N4253" s="265"/>
      <c r="O4253" s="265"/>
      <c r="P4253" s="265"/>
      <c r="Q4253" s="265"/>
      <c r="BR4253" s="265"/>
      <c r="BS4253" s="265"/>
      <c r="BT4253" s="265"/>
      <c r="BU4253" s="265"/>
      <c r="BV4253" s="265"/>
    </row>
    <row r="4254" spans="12:74">
      <c r="L4254" s="265"/>
      <c r="M4254" s="265"/>
      <c r="N4254" s="265"/>
      <c r="O4254" s="265"/>
      <c r="P4254" s="265"/>
      <c r="Q4254" s="265"/>
      <c r="BR4254" s="265"/>
      <c r="BS4254" s="265"/>
      <c r="BT4254" s="265"/>
      <c r="BU4254" s="265"/>
      <c r="BV4254" s="265"/>
    </row>
    <row r="4255" spans="12:74">
      <c r="L4255" s="265"/>
      <c r="M4255" s="265"/>
      <c r="N4255" s="265"/>
      <c r="O4255" s="265"/>
      <c r="P4255" s="265"/>
      <c r="Q4255" s="265"/>
      <c r="BR4255" s="265"/>
      <c r="BS4255" s="265"/>
      <c r="BT4255" s="265"/>
      <c r="BU4255" s="265"/>
      <c r="BV4255" s="265"/>
    </row>
    <row r="4256" spans="12:74">
      <c r="L4256" s="265"/>
      <c r="M4256" s="265"/>
      <c r="N4256" s="265"/>
      <c r="O4256" s="265"/>
      <c r="P4256" s="265"/>
      <c r="Q4256" s="265"/>
      <c r="BR4256" s="265"/>
      <c r="BS4256" s="265"/>
      <c r="BT4256" s="265"/>
      <c r="BU4256" s="265"/>
      <c r="BV4256" s="265"/>
    </row>
    <row r="4257" spans="12:74">
      <c r="L4257" s="265"/>
      <c r="M4257" s="265"/>
      <c r="N4257" s="265"/>
      <c r="O4257" s="265"/>
      <c r="P4257" s="265"/>
      <c r="Q4257" s="265"/>
      <c r="BR4257" s="265"/>
      <c r="BS4257" s="265"/>
      <c r="BT4257" s="265"/>
      <c r="BU4257" s="265"/>
      <c r="BV4257" s="265"/>
    </row>
    <row r="4258" spans="12:74">
      <c r="L4258" s="265"/>
      <c r="M4258" s="265"/>
      <c r="N4258" s="265"/>
      <c r="O4258" s="265"/>
      <c r="P4258" s="265"/>
      <c r="Q4258" s="265"/>
      <c r="BR4258" s="265"/>
      <c r="BS4258" s="265"/>
      <c r="BT4258" s="265"/>
      <c r="BU4258" s="265"/>
      <c r="BV4258" s="265"/>
    </row>
    <row r="4259" spans="12:74">
      <c r="L4259" s="265"/>
      <c r="M4259" s="265"/>
      <c r="N4259" s="265"/>
      <c r="O4259" s="265"/>
      <c r="P4259" s="265"/>
      <c r="Q4259" s="265"/>
      <c r="BR4259" s="265"/>
      <c r="BS4259" s="265"/>
      <c r="BT4259" s="265"/>
      <c r="BU4259" s="265"/>
      <c r="BV4259" s="265"/>
    </row>
    <row r="4260" spans="12:74">
      <c r="L4260" s="265"/>
      <c r="M4260" s="265"/>
      <c r="N4260" s="265"/>
      <c r="O4260" s="265"/>
      <c r="P4260" s="265"/>
      <c r="Q4260" s="265"/>
      <c r="BR4260" s="265"/>
      <c r="BS4260" s="265"/>
      <c r="BT4260" s="265"/>
      <c r="BU4260" s="265"/>
      <c r="BV4260" s="265"/>
    </row>
    <row r="4261" spans="12:74">
      <c r="L4261" s="265"/>
      <c r="M4261" s="265"/>
      <c r="N4261" s="265"/>
      <c r="O4261" s="265"/>
      <c r="P4261" s="265"/>
      <c r="Q4261" s="265"/>
      <c r="BR4261" s="265"/>
      <c r="BS4261" s="265"/>
      <c r="BT4261" s="265"/>
      <c r="BU4261" s="265"/>
      <c r="BV4261" s="265"/>
    </row>
    <row r="4262" spans="12:74">
      <c r="L4262" s="265"/>
      <c r="M4262" s="265"/>
      <c r="N4262" s="265"/>
      <c r="O4262" s="265"/>
      <c r="P4262" s="265"/>
      <c r="Q4262" s="265"/>
      <c r="BR4262" s="265"/>
      <c r="BS4262" s="265"/>
      <c r="BT4262" s="265"/>
      <c r="BU4262" s="265"/>
      <c r="BV4262" s="265"/>
    </row>
    <row r="4263" spans="12:74">
      <c r="L4263" s="265"/>
      <c r="M4263" s="265"/>
      <c r="N4263" s="265"/>
      <c r="O4263" s="265"/>
      <c r="P4263" s="265"/>
      <c r="Q4263" s="265"/>
      <c r="BR4263" s="265"/>
      <c r="BS4263" s="265"/>
      <c r="BT4263" s="265"/>
      <c r="BU4263" s="265"/>
      <c r="BV4263" s="265"/>
    </row>
    <row r="4264" spans="12:74">
      <c r="L4264" s="265"/>
      <c r="M4264" s="265"/>
      <c r="N4264" s="265"/>
      <c r="O4264" s="265"/>
      <c r="P4264" s="265"/>
      <c r="Q4264" s="265"/>
      <c r="BR4264" s="265"/>
      <c r="BS4264" s="265"/>
      <c r="BT4264" s="265"/>
      <c r="BU4264" s="265"/>
      <c r="BV4264" s="265"/>
    </row>
    <row r="4265" spans="12:74">
      <c r="L4265" s="265"/>
      <c r="M4265" s="265"/>
      <c r="N4265" s="265"/>
      <c r="O4265" s="265"/>
      <c r="P4265" s="265"/>
      <c r="Q4265" s="265"/>
      <c r="BR4265" s="265"/>
      <c r="BS4265" s="265"/>
      <c r="BT4265" s="265"/>
      <c r="BU4265" s="265"/>
      <c r="BV4265" s="265"/>
    </row>
    <row r="4266" spans="12:74">
      <c r="L4266" s="265"/>
      <c r="M4266" s="265"/>
      <c r="N4266" s="265"/>
      <c r="O4266" s="265"/>
      <c r="P4266" s="265"/>
      <c r="Q4266" s="265"/>
      <c r="BR4266" s="265"/>
      <c r="BS4266" s="265"/>
      <c r="BT4266" s="265"/>
      <c r="BU4266" s="265"/>
      <c r="BV4266" s="265"/>
    </row>
    <row r="4267" spans="12:74">
      <c r="L4267" s="265"/>
      <c r="M4267" s="265"/>
      <c r="N4267" s="265"/>
      <c r="O4267" s="265"/>
      <c r="P4267" s="265"/>
      <c r="Q4267" s="265"/>
      <c r="BR4267" s="265"/>
      <c r="BS4267" s="265"/>
      <c r="BT4267" s="265"/>
      <c r="BU4267" s="265"/>
      <c r="BV4267" s="265"/>
    </row>
    <row r="4268" spans="12:74">
      <c r="L4268" s="265"/>
      <c r="M4268" s="265"/>
      <c r="N4268" s="265"/>
      <c r="O4268" s="265"/>
      <c r="P4268" s="265"/>
      <c r="Q4268" s="265"/>
      <c r="BR4268" s="265"/>
      <c r="BS4268" s="265"/>
      <c r="BT4268" s="265"/>
      <c r="BU4268" s="265"/>
      <c r="BV4268" s="265"/>
    </row>
    <row r="4269" spans="12:74">
      <c r="L4269" s="265"/>
      <c r="M4269" s="265"/>
      <c r="N4269" s="265"/>
      <c r="O4269" s="265"/>
      <c r="P4269" s="265"/>
      <c r="Q4269" s="265"/>
      <c r="BR4269" s="265"/>
      <c r="BS4269" s="265"/>
      <c r="BT4269" s="265"/>
      <c r="BU4269" s="265"/>
      <c r="BV4269" s="265"/>
    </row>
    <row r="4270" spans="12:74">
      <c r="L4270" s="265"/>
      <c r="M4270" s="265"/>
      <c r="N4270" s="265"/>
      <c r="O4270" s="265"/>
      <c r="P4270" s="265"/>
      <c r="Q4270" s="265"/>
      <c r="BR4270" s="265"/>
      <c r="BS4270" s="265"/>
      <c r="BT4270" s="265"/>
      <c r="BU4270" s="265"/>
      <c r="BV4270" s="265"/>
    </row>
    <row r="4271" spans="12:74">
      <c r="L4271" s="265"/>
      <c r="M4271" s="265"/>
      <c r="N4271" s="265"/>
      <c r="O4271" s="265"/>
      <c r="P4271" s="265"/>
      <c r="Q4271" s="265"/>
      <c r="BR4271" s="265"/>
      <c r="BS4271" s="265"/>
      <c r="BT4271" s="265"/>
      <c r="BU4271" s="265"/>
      <c r="BV4271" s="265"/>
    </row>
    <row r="4272" spans="12:74">
      <c r="L4272" s="265"/>
      <c r="M4272" s="265"/>
      <c r="N4272" s="265"/>
      <c r="O4272" s="265"/>
      <c r="P4272" s="265"/>
      <c r="Q4272" s="265"/>
      <c r="BR4272" s="265"/>
      <c r="BS4272" s="265"/>
      <c r="BT4272" s="265"/>
      <c r="BU4272" s="265"/>
      <c r="BV4272" s="265"/>
    </row>
    <row r="4273" spans="12:74">
      <c r="L4273" s="265"/>
      <c r="M4273" s="265"/>
      <c r="N4273" s="265"/>
      <c r="O4273" s="265"/>
      <c r="P4273" s="265"/>
      <c r="Q4273" s="265"/>
      <c r="BR4273" s="265"/>
      <c r="BS4273" s="265"/>
      <c r="BT4273" s="265"/>
      <c r="BU4273" s="265"/>
      <c r="BV4273" s="265"/>
    </row>
    <row r="4274" spans="12:74">
      <c r="L4274" s="265"/>
      <c r="M4274" s="265"/>
      <c r="N4274" s="265"/>
      <c r="O4274" s="265"/>
      <c r="P4274" s="265"/>
      <c r="Q4274" s="265"/>
      <c r="BR4274" s="265"/>
      <c r="BS4274" s="265"/>
      <c r="BT4274" s="265"/>
      <c r="BU4274" s="265"/>
      <c r="BV4274" s="265"/>
    </row>
    <row r="4275" spans="12:74">
      <c r="L4275" s="265"/>
      <c r="M4275" s="265"/>
      <c r="N4275" s="265"/>
      <c r="O4275" s="265"/>
      <c r="P4275" s="265"/>
      <c r="Q4275" s="265"/>
      <c r="BR4275" s="265"/>
      <c r="BS4275" s="265"/>
      <c r="BT4275" s="265"/>
      <c r="BU4275" s="265"/>
      <c r="BV4275" s="265"/>
    </row>
    <row r="4276" spans="12:74">
      <c r="L4276" s="265"/>
      <c r="M4276" s="265"/>
      <c r="N4276" s="265"/>
      <c r="O4276" s="265"/>
      <c r="P4276" s="265"/>
      <c r="Q4276" s="265"/>
      <c r="BR4276" s="265"/>
      <c r="BS4276" s="265"/>
      <c r="BT4276" s="265"/>
      <c r="BU4276" s="265"/>
      <c r="BV4276" s="265"/>
    </row>
    <row r="4277" spans="12:74">
      <c r="L4277" s="265"/>
      <c r="M4277" s="265"/>
      <c r="N4277" s="265"/>
      <c r="O4277" s="265"/>
      <c r="P4277" s="265"/>
      <c r="Q4277" s="265"/>
      <c r="BR4277" s="265"/>
      <c r="BS4277" s="265"/>
      <c r="BT4277" s="265"/>
      <c r="BU4277" s="265"/>
      <c r="BV4277" s="265"/>
    </row>
    <row r="4278" spans="12:74">
      <c r="L4278" s="265"/>
      <c r="M4278" s="265"/>
      <c r="N4278" s="265"/>
      <c r="O4278" s="265"/>
      <c r="P4278" s="265"/>
      <c r="Q4278" s="265"/>
      <c r="BR4278" s="265"/>
      <c r="BS4278" s="265"/>
      <c r="BT4278" s="265"/>
      <c r="BU4278" s="265"/>
      <c r="BV4278" s="265"/>
    </row>
    <row r="4279" spans="12:74">
      <c r="L4279" s="265"/>
      <c r="M4279" s="265"/>
      <c r="N4279" s="265"/>
      <c r="O4279" s="265"/>
      <c r="P4279" s="265"/>
      <c r="Q4279" s="265"/>
      <c r="BR4279" s="265"/>
      <c r="BS4279" s="265"/>
      <c r="BT4279" s="265"/>
      <c r="BU4279" s="265"/>
      <c r="BV4279" s="265"/>
    </row>
    <row r="4280" spans="12:74">
      <c r="L4280" s="265"/>
      <c r="M4280" s="265"/>
      <c r="N4280" s="265"/>
      <c r="O4280" s="265"/>
      <c r="P4280" s="265"/>
      <c r="Q4280" s="265"/>
      <c r="BR4280" s="265"/>
      <c r="BS4280" s="265"/>
      <c r="BT4280" s="265"/>
      <c r="BU4280" s="265"/>
      <c r="BV4280" s="265"/>
    </row>
    <row r="4281" spans="12:74">
      <c r="L4281" s="265"/>
      <c r="M4281" s="265"/>
      <c r="N4281" s="265"/>
      <c r="O4281" s="265"/>
      <c r="P4281" s="265"/>
      <c r="Q4281" s="265"/>
      <c r="BR4281" s="265"/>
      <c r="BS4281" s="265"/>
      <c r="BT4281" s="265"/>
      <c r="BU4281" s="265"/>
      <c r="BV4281" s="265"/>
    </row>
    <row r="4282" spans="12:74">
      <c r="L4282" s="265"/>
      <c r="M4282" s="265"/>
      <c r="N4282" s="265"/>
      <c r="O4282" s="265"/>
      <c r="P4282" s="265"/>
      <c r="Q4282" s="265"/>
      <c r="BR4282" s="265"/>
      <c r="BS4282" s="265"/>
      <c r="BT4282" s="265"/>
      <c r="BU4282" s="265"/>
      <c r="BV4282" s="265"/>
    </row>
    <row r="4283" spans="12:74">
      <c r="L4283" s="265"/>
      <c r="M4283" s="265"/>
      <c r="N4283" s="265"/>
      <c r="O4283" s="265"/>
      <c r="P4283" s="265"/>
      <c r="Q4283" s="265"/>
      <c r="BR4283" s="265"/>
      <c r="BS4283" s="265"/>
      <c r="BT4283" s="265"/>
      <c r="BU4283" s="265"/>
      <c r="BV4283" s="265"/>
    </row>
    <row r="4284" spans="12:74">
      <c r="L4284" s="265"/>
      <c r="M4284" s="265"/>
      <c r="N4284" s="265"/>
      <c r="O4284" s="265"/>
      <c r="P4284" s="265"/>
      <c r="Q4284" s="265"/>
      <c r="BR4284" s="265"/>
      <c r="BS4284" s="265"/>
      <c r="BT4284" s="265"/>
      <c r="BU4284" s="265"/>
      <c r="BV4284" s="265"/>
    </row>
    <row r="4285" spans="12:74">
      <c r="L4285" s="265"/>
      <c r="M4285" s="265"/>
      <c r="N4285" s="265"/>
      <c r="O4285" s="265"/>
      <c r="P4285" s="265"/>
      <c r="Q4285" s="265"/>
      <c r="BR4285" s="265"/>
      <c r="BS4285" s="265"/>
      <c r="BT4285" s="265"/>
      <c r="BU4285" s="265"/>
      <c r="BV4285" s="265"/>
    </row>
    <row r="4286" spans="12:74">
      <c r="L4286" s="265"/>
      <c r="M4286" s="265"/>
      <c r="N4286" s="265"/>
      <c r="O4286" s="265"/>
      <c r="P4286" s="265"/>
      <c r="Q4286" s="265"/>
      <c r="BR4286" s="265"/>
      <c r="BS4286" s="265"/>
      <c r="BT4286" s="265"/>
      <c r="BU4286" s="265"/>
      <c r="BV4286" s="265"/>
    </row>
    <row r="4287" spans="12:74">
      <c r="L4287" s="265"/>
      <c r="M4287" s="265"/>
      <c r="N4287" s="265"/>
      <c r="O4287" s="265"/>
      <c r="P4287" s="265"/>
      <c r="Q4287" s="265"/>
      <c r="BR4287" s="265"/>
      <c r="BS4287" s="265"/>
      <c r="BT4287" s="265"/>
      <c r="BU4287" s="265"/>
      <c r="BV4287" s="265"/>
    </row>
    <row r="4288" spans="12:74">
      <c r="L4288" s="265"/>
      <c r="M4288" s="265"/>
      <c r="N4288" s="265"/>
      <c r="O4288" s="265"/>
      <c r="P4288" s="265"/>
      <c r="Q4288" s="265"/>
      <c r="BR4288" s="265"/>
      <c r="BS4288" s="265"/>
      <c r="BT4288" s="265"/>
      <c r="BU4288" s="265"/>
      <c r="BV4288" s="265"/>
    </row>
    <row r="4289" spans="12:74">
      <c r="L4289" s="265"/>
      <c r="M4289" s="265"/>
      <c r="N4289" s="265"/>
      <c r="O4289" s="265"/>
      <c r="P4289" s="265"/>
      <c r="Q4289" s="265"/>
      <c r="BR4289" s="265"/>
      <c r="BS4289" s="265"/>
      <c r="BT4289" s="265"/>
      <c r="BU4289" s="265"/>
      <c r="BV4289" s="265"/>
    </row>
    <row r="4290" spans="12:74">
      <c r="L4290" s="265"/>
      <c r="M4290" s="265"/>
      <c r="N4290" s="265"/>
      <c r="O4290" s="265"/>
      <c r="P4290" s="265"/>
      <c r="Q4290" s="265"/>
      <c r="BR4290" s="265"/>
      <c r="BS4290" s="265"/>
      <c r="BT4290" s="265"/>
      <c r="BU4290" s="265"/>
      <c r="BV4290" s="265"/>
    </row>
    <row r="4291" spans="12:74">
      <c r="L4291" s="265"/>
      <c r="M4291" s="265"/>
      <c r="N4291" s="265"/>
      <c r="O4291" s="265"/>
      <c r="P4291" s="265"/>
      <c r="Q4291" s="265"/>
      <c r="BR4291" s="265"/>
      <c r="BS4291" s="265"/>
      <c r="BT4291" s="265"/>
      <c r="BU4291" s="265"/>
      <c r="BV4291" s="265"/>
    </row>
    <row r="4292" spans="12:74">
      <c r="L4292" s="265"/>
      <c r="M4292" s="265"/>
      <c r="N4292" s="265"/>
      <c r="O4292" s="265"/>
      <c r="P4292" s="265"/>
      <c r="Q4292" s="265"/>
      <c r="BR4292" s="265"/>
      <c r="BS4292" s="265"/>
      <c r="BT4292" s="265"/>
      <c r="BU4292" s="265"/>
      <c r="BV4292" s="265"/>
    </row>
    <row r="4293" spans="12:74">
      <c r="L4293" s="265"/>
      <c r="M4293" s="265"/>
      <c r="N4293" s="265"/>
      <c r="O4293" s="265"/>
      <c r="P4293" s="265"/>
      <c r="Q4293" s="265"/>
      <c r="BR4293" s="265"/>
      <c r="BS4293" s="265"/>
      <c r="BT4293" s="265"/>
      <c r="BU4293" s="265"/>
      <c r="BV4293" s="265"/>
    </row>
    <row r="4294" spans="12:74">
      <c r="L4294" s="265"/>
      <c r="M4294" s="265"/>
      <c r="N4294" s="265"/>
      <c r="O4294" s="265"/>
      <c r="P4294" s="265"/>
      <c r="Q4294" s="265"/>
      <c r="BR4294" s="265"/>
      <c r="BS4294" s="265"/>
      <c r="BT4294" s="265"/>
      <c r="BU4294" s="265"/>
      <c r="BV4294" s="265"/>
    </row>
    <row r="4295" spans="12:74">
      <c r="L4295" s="265"/>
      <c r="M4295" s="265"/>
      <c r="N4295" s="265"/>
      <c r="O4295" s="265"/>
      <c r="P4295" s="265"/>
      <c r="Q4295" s="265"/>
      <c r="BR4295" s="265"/>
      <c r="BS4295" s="265"/>
      <c r="BT4295" s="265"/>
      <c r="BU4295" s="265"/>
      <c r="BV4295" s="265"/>
    </row>
    <row r="4296" spans="12:74">
      <c r="L4296" s="265"/>
      <c r="M4296" s="265"/>
      <c r="N4296" s="265"/>
      <c r="O4296" s="265"/>
      <c r="P4296" s="265"/>
      <c r="Q4296" s="265"/>
      <c r="BR4296" s="265"/>
      <c r="BS4296" s="265"/>
      <c r="BT4296" s="265"/>
      <c r="BU4296" s="265"/>
      <c r="BV4296" s="265"/>
    </row>
    <row r="4297" spans="12:74">
      <c r="L4297" s="265"/>
      <c r="M4297" s="265"/>
      <c r="N4297" s="265"/>
      <c r="O4297" s="265"/>
      <c r="P4297" s="265"/>
      <c r="Q4297" s="265"/>
      <c r="BR4297" s="265"/>
      <c r="BS4297" s="265"/>
      <c r="BT4297" s="265"/>
      <c r="BU4297" s="265"/>
      <c r="BV4297" s="265"/>
    </row>
    <row r="4298" spans="12:74">
      <c r="L4298" s="265"/>
      <c r="M4298" s="265"/>
      <c r="N4298" s="265"/>
      <c r="O4298" s="265"/>
      <c r="P4298" s="265"/>
      <c r="Q4298" s="265"/>
      <c r="BR4298" s="265"/>
      <c r="BS4298" s="265"/>
      <c r="BT4298" s="265"/>
      <c r="BU4298" s="265"/>
      <c r="BV4298" s="265"/>
    </row>
    <row r="4299" spans="12:74">
      <c r="L4299" s="265"/>
      <c r="M4299" s="265"/>
      <c r="N4299" s="265"/>
      <c r="O4299" s="265"/>
      <c r="P4299" s="265"/>
      <c r="Q4299" s="265"/>
      <c r="BR4299" s="265"/>
      <c r="BS4299" s="265"/>
      <c r="BT4299" s="265"/>
      <c r="BU4299" s="265"/>
      <c r="BV4299" s="265"/>
    </row>
    <row r="4300" spans="12:74">
      <c r="L4300" s="265"/>
      <c r="M4300" s="265"/>
      <c r="N4300" s="265"/>
      <c r="O4300" s="265"/>
      <c r="P4300" s="265"/>
      <c r="Q4300" s="265"/>
      <c r="BR4300" s="265"/>
      <c r="BS4300" s="265"/>
      <c r="BT4300" s="265"/>
      <c r="BU4300" s="265"/>
      <c r="BV4300" s="265"/>
    </row>
    <row r="4301" spans="12:74">
      <c r="L4301" s="265"/>
      <c r="M4301" s="265"/>
      <c r="N4301" s="265"/>
      <c r="O4301" s="265"/>
      <c r="P4301" s="265"/>
      <c r="Q4301" s="265"/>
      <c r="BR4301" s="265"/>
      <c r="BS4301" s="265"/>
      <c r="BT4301" s="265"/>
      <c r="BU4301" s="265"/>
      <c r="BV4301" s="265"/>
    </row>
    <row r="4302" spans="12:74">
      <c r="L4302" s="265"/>
      <c r="M4302" s="265"/>
      <c r="N4302" s="265"/>
      <c r="O4302" s="265"/>
      <c r="P4302" s="265"/>
      <c r="Q4302" s="265"/>
      <c r="BR4302" s="265"/>
      <c r="BS4302" s="265"/>
      <c r="BT4302" s="265"/>
      <c r="BU4302" s="265"/>
      <c r="BV4302" s="265"/>
    </row>
    <row r="4303" spans="12:74">
      <c r="L4303" s="265"/>
      <c r="M4303" s="265"/>
      <c r="N4303" s="265"/>
      <c r="O4303" s="265"/>
      <c r="P4303" s="265"/>
      <c r="Q4303" s="265"/>
      <c r="BR4303" s="265"/>
      <c r="BS4303" s="265"/>
      <c r="BT4303" s="265"/>
      <c r="BU4303" s="265"/>
      <c r="BV4303" s="265"/>
    </row>
    <row r="4304" spans="12:74">
      <c r="L4304" s="265"/>
      <c r="M4304" s="265"/>
      <c r="N4304" s="265"/>
      <c r="O4304" s="265"/>
      <c r="P4304" s="265"/>
      <c r="Q4304" s="265"/>
      <c r="BR4304" s="265"/>
      <c r="BS4304" s="265"/>
      <c r="BT4304" s="265"/>
      <c r="BU4304" s="265"/>
      <c r="BV4304" s="265"/>
    </row>
    <row r="4305" spans="12:74">
      <c r="L4305" s="265"/>
      <c r="M4305" s="265"/>
      <c r="N4305" s="265"/>
      <c r="O4305" s="265"/>
      <c r="P4305" s="265"/>
      <c r="Q4305" s="265"/>
      <c r="BR4305" s="265"/>
      <c r="BS4305" s="265"/>
      <c r="BT4305" s="265"/>
      <c r="BU4305" s="265"/>
      <c r="BV4305" s="265"/>
    </row>
    <row r="4306" spans="12:74">
      <c r="L4306" s="265"/>
      <c r="M4306" s="265"/>
      <c r="N4306" s="265"/>
      <c r="O4306" s="265"/>
      <c r="P4306" s="265"/>
      <c r="Q4306" s="265"/>
      <c r="BR4306" s="265"/>
      <c r="BS4306" s="265"/>
      <c r="BT4306" s="265"/>
      <c r="BU4306" s="265"/>
      <c r="BV4306" s="265"/>
    </row>
    <row r="4307" spans="12:74">
      <c r="L4307" s="265"/>
      <c r="M4307" s="265"/>
      <c r="N4307" s="265"/>
      <c r="O4307" s="265"/>
      <c r="P4307" s="265"/>
      <c r="Q4307" s="265"/>
      <c r="BR4307" s="265"/>
      <c r="BS4307" s="265"/>
      <c r="BT4307" s="265"/>
      <c r="BU4307" s="265"/>
      <c r="BV4307" s="265"/>
    </row>
    <row r="4308" spans="12:74">
      <c r="L4308" s="265"/>
      <c r="M4308" s="265"/>
      <c r="N4308" s="265"/>
      <c r="O4308" s="265"/>
      <c r="P4308" s="265"/>
      <c r="Q4308" s="265"/>
      <c r="BR4308" s="265"/>
      <c r="BS4308" s="265"/>
      <c r="BT4308" s="265"/>
      <c r="BU4308" s="265"/>
      <c r="BV4308" s="265"/>
    </row>
    <row r="4309" spans="12:74">
      <c r="L4309" s="265"/>
      <c r="M4309" s="265"/>
      <c r="N4309" s="265"/>
      <c r="O4309" s="265"/>
      <c r="P4309" s="265"/>
      <c r="Q4309" s="265"/>
      <c r="BR4309" s="265"/>
      <c r="BS4309" s="265"/>
      <c r="BT4309" s="265"/>
      <c r="BU4309" s="265"/>
      <c r="BV4309" s="265"/>
    </row>
    <row r="4310" spans="12:74">
      <c r="L4310" s="265"/>
      <c r="M4310" s="265"/>
      <c r="N4310" s="265"/>
      <c r="O4310" s="265"/>
      <c r="P4310" s="265"/>
      <c r="Q4310" s="265"/>
      <c r="BR4310" s="265"/>
      <c r="BS4310" s="265"/>
      <c r="BT4310" s="265"/>
      <c r="BU4310" s="265"/>
      <c r="BV4310" s="265"/>
    </row>
    <row r="4311" spans="12:74">
      <c r="L4311" s="265"/>
      <c r="M4311" s="265"/>
      <c r="N4311" s="265"/>
      <c r="O4311" s="265"/>
      <c r="P4311" s="265"/>
      <c r="Q4311" s="265"/>
      <c r="BR4311" s="265"/>
      <c r="BS4311" s="265"/>
      <c r="BT4311" s="265"/>
      <c r="BU4311" s="265"/>
      <c r="BV4311" s="265"/>
    </row>
    <row r="4312" spans="12:74">
      <c r="L4312" s="265"/>
      <c r="M4312" s="265"/>
      <c r="N4312" s="265"/>
      <c r="O4312" s="265"/>
      <c r="P4312" s="265"/>
      <c r="Q4312" s="265"/>
      <c r="BR4312" s="265"/>
      <c r="BS4312" s="265"/>
      <c r="BT4312" s="265"/>
      <c r="BU4312" s="265"/>
      <c r="BV4312" s="265"/>
    </row>
    <row r="4313" spans="12:74">
      <c r="L4313" s="265"/>
      <c r="M4313" s="265"/>
      <c r="N4313" s="265"/>
      <c r="O4313" s="265"/>
      <c r="P4313" s="265"/>
      <c r="Q4313" s="265"/>
      <c r="BR4313" s="265"/>
      <c r="BS4313" s="265"/>
      <c r="BT4313" s="265"/>
      <c r="BU4313" s="265"/>
      <c r="BV4313" s="265"/>
    </row>
    <row r="4314" spans="12:74">
      <c r="L4314" s="265"/>
      <c r="M4314" s="265"/>
      <c r="N4314" s="265"/>
      <c r="O4314" s="265"/>
      <c r="P4314" s="265"/>
      <c r="Q4314" s="265"/>
      <c r="BR4314" s="265"/>
      <c r="BS4314" s="265"/>
      <c r="BT4314" s="265"/>
      <c r="BU4314" s="265"/>
      <c r="BV4314" s="265"/>
    </row>
    <row r="4315" spans="12:74">
      <c r="L4315" s="265"/>
      <c r="M4315" s="265"/>
      <c r="N4315" s="265"/>
      <c r="O4315" s="265"/>
      <c r="P4315" s="265"/>
      <c r="Q4315" s="265"/>
      <c r="BR4315" s="265"/>
      <c r="BS4315" s="265"/>
      <c r="BT4315" s="265"/>
      <c r="BU4315" s="265"/>
      <c r="BV4315" s="265"/>
    </row>
    <row r="4316" spans="12:74">
      <c r="L4316" s="265"/>
      <c r="M4316" s="265"/>
      <c r="N4316" s="265"/>
      <c r="O4316" s="265"/>
      <c r="P4316" s="265"/>
      <c r="Q4316" s="265"/>
      <c r="BR4316" s="265"/>
      <c r="BS4316" s="265"/>
      <c r="BT4316" s="265"/>
      <c r="BU4316" s="265"/>
      <c r="BV4316" s="265"/>
    </row>
    <row r="4317" spans="12:74">
      <c r="L4317" s="265"/>
      <c r="M4317" s="265"/>
      <c r="N4317" s="265"/>
      <c r="O4317" s="265"/>
      <c r="P4317" s="265"/>
      <c r="Q4317" s="265"/>
      <c r="BR4317" s="265"/>
      <c r="BS4317" s="265"/>
      <c r="BT4317" s="265"/>
      <c r="BU4317" s="265"/>
      <c r="BV4317" s="265"/>
    </row>
    <row r="4318" spans="12:74">
      <c r="L4318" s="265"/>
      <c r="M4318" s="265"/>
      <c r="N4318" s="265"/>
      <c r="O4318" s="265"/>
      <c r="P4318" s="265"/>
      <c r="Q4318" s="265"/>
      <c r="BR4318" s="265"/>
      <c r="BS4318" s="265"/>
      <c r="BT4318" s="265"/>
      <c r="BU4318" s="265"/>
      <c r="BV4318" s="265"/>
    </row>
    <row r="4319" spans="12:74">
      <c r="L4319" s="265"/>
      <c r="M4319" s="265"/>
      <c r="N4319" s="265"/>
      <c r="O4319" s="265"/>
      <c r="P4319" s="265"/>
      <c r="Q4319" s="265"/>
      <c r="BR4319" s="265"/>
      <c r="BS4319" s="265"/>
      <c r="BT4319" s="265"/>
      <c r="BU4319" s="265"/>
      <c r="BV4319" s="265"/>
    </row>
    <row r="4320" spans="12:74">
      <c r="L4320" s="265"/>
      <c r="M4320" s="265"/>
      <c r="N4320" s="265"/>
      <c r="O4320" s="265"/>
      <c r="P4320" s="265"/>
      <c r="Q4320" s="265"/>
      <c r="BR4320" s="265"/>
      <c r="BS4320" s="265"/>
      <c r="BT4320" s="265"/>
      <c r="BU4320" s="265"/>
      <c r="BV4320" s="265"/>
    </row>
    <row r="4321" spans="12:74">
      <c r="L4321" s="265"/>
      <c r="M4321" s="265"/>
      <c r="N4321" s="265"/>
      <c r="O4321" s="265"/>
      <c r="P4321" s="265"/>
      <c r="Q4321" s="265"/>
      <c r="BR4321" s="265"/>
      <c r="BS4321" s="265"/>
      <c r="BT4321" s="265"/>
      <c r="BU4321" s="265"/>
      <c r="BV4321" s="265"/>
    </row>
    <row r="4322" spans="12:74">
      <c r="L4322" s="265"/>
      <c r="M4322" s="265"/>
      <c r="N4322" s="265"/>
      <c r="O4322" s="265"/>
      <c r="P4322" s="265"/>
      <c r="Q4322" s="265"/>
      <c r="BR4322" s="265"/>
      <c r="BS4322" s="265"/>
      <c r="BT4322" s="265"/>
      <c r="BU4322" s="265"/>
      <c r="BV4322" s="265"/>
    </row>
    <row r="4323" spans="12:74">
      <c r="L4323" s="265"/>
      <c r="M4323" s="265"/>
      <c r="N4323" s="265"/>
      <c r="O4323" s="265"/>
      <c r="P4323" s="265"/>
      <c r="Q4323" s="265"/>
      <c r="BR4323" s="265"/>
      <c r="BS4323" s="265"/>
      <c r="BT4323" s="265"/>
      <c r="BU4323" s="265"/>
      <c r="BV4323" s="265"/>
    </row>
    <row r="4324" spans="12:74">
      <c r="L4324" s="265"/>
      <c r="M4324" s="265"/>
      <c r="N4324" s="265"/>
      <c r="O4324" s="265"/>
      <c r="P4324" s="265"/>
      <c r="Q4324" s="265"/>
      <c r="BR4324" s="265"/>
      <c r="BS4324" s="265"/>
      <c r="BT4324" s="265"/>
      <c r="BU4324" s="265"/>
      <c r="BV4324" s="265"/>
    </row>
    <row r="4325" spans="12:74">
      <c r="L4325" s="265"/>
      <c r="M4325" s="265"/>
      <c r="N4325" s="265"/>
      <c r="O4325" s="265"/>
      <c r="P4325" s="265"/>
      <c r="Q4325" s="265"/>
      <c r="BR4325" s="265"/>
      <c r="BS4325" s="265"/>
      <c r="BT4325" s="265"/>
      <c r="BU4325" s="265"/>
      <c r="BV4325" s="265"/>
    </row>
    <row r="4326" spans="12:74">
      <c r="L4326" s="265"/>
      <c r="M4326" s="265"/>
      <c r="N4326" s="265"/>
      <c r="O4326" s="265"/>
      <c r="P4326" s="265"/>
      <c r="Q4326" s="265"/>
      <c r="BR4326" s="265"/>
      <c r="BS4326" s="265"/>
      <c r="BT4326" s="265"/>
      <c r="BU4326" s="265"/>
      <c r="BV4326" s="265"/>
    </row>
    <row r="4327" spans="12:74">
      <c r="L4327" s="265"/>
      <c r="M4327" s="265"/>
      <c r="N4327" s="265"/>
      <c r="O4327" s="265"/>
      <c r="P4327" s="265"/>
      <c r="Q4327" s="265"/>
      <c r="BR4327" s="265"/>
      <c r="BS4327" s="265"/>
      <c r="BT4327" s="265"/>
      <c r="BU4327" s="265"/>
      <c r="BV4327" s="265"/>
    </row>
    <row r="4328" spans="12:74">
      <c r="L4328" s="265"/>
      <c r="M4328" s="265"/>
      <c r="N4328" s="265"/>
      <c r="O4328" s="265"/>
      <c r="P4328" s="265"/>
      <c r="Q4328" s="265"/>
      <c r="BR4328" s="265"/>
      <c r="BS4328" s="265"/>
      <c r="BT4328" s="265"/>
      <c r="BU4328" s="265"/>
      <c r="BV4328" s="265"/>
    </row>
    <row r="4329" spans="12:74">
      <c r="L4329" s="265"/>
      <c r="M4329" s="265"/>
      <c r="N4329" s="265"/>
      <c r="O4329" s="265"/>
      <c r="P4329" s="265"/>
      <c r="Q4329" s="265"/>
      <c r="BR4329" s="265"/>
      <c r="BS4329" s="265"/>
      <c r="BT4329" s="265"/>
      <c r="BU4329" s="265"/>
      <c r="BV4329" s="265"/>
    </row>
    <row r="4330" spans="12:74">
      <c r="L4330" s="265"/>
      <c r="M4330" s="265"/>
      <c r="N4330" s="265"/>
      <c r="O4330" s="265"/>
      <c r="P4330" s="265"/>
      <c r="Q4330" s="265"/>
      <c r="BR4330" s="265"/>
      <c r="BS4330" s="265"/>
      <c r="BT4330" s="265"/>
      <c r="BU4330" s="265"/>
      <c r="BV4330" s="265"/>
    </row>
    <row r="4331" spans="12:74">
      <c r="L4331" s="265"/>
      <c r="M4331" s="265"/>
      <c r="N4331" s="265"/>
      <c r="O4331" s="265"/>
      <c r="P4331" s="265"/>
      <c r="Q4331" s="265"/>
      <c r="BR4331" s="265"/>
      <c r="BS4331" s="265"/>
      <c r="BT4331" s="265"/>
      <c r="BU4331" s="265"/>
      <c r="BV4331" s="265"/>
    </row>
    <row r="4332" spans="12:74">
      <c r="L4332" s="265"/>
      <c r="M4332" s="265"/>
      <c r="N4332" s="265"/>
      <c r="O4332" s="265"/>
      <c r="P4332" s="265"/>
      <c r="Q4332" s="265"/>
      <c r="BR4332" s="265"/>
      <c r="BS4332" s="265"/>
      <c r="BT4332" s="265"/>
      <c r="BU4332" s="265"/>
      <c r="BV4332" s="265"/>
    </row>
    <row r="4333" spans="12:74">
      <c r="L4333" s="265"/>
      <c r="M4333" s="265"/>
      <c r="N4333" s="265"/>
      <c r="O4333" s="265"/>
      <c r="P4333" s="265"/>
      <c r="Q4333" s="265"/>
      <c r="BR4333" s="265"/>
      <c r="BS4333" s="265"/>
      <c r="BT4333" s="265"/>
      <c r="BU4333" s="265"/>
      <c r="BV4333" s="265"/>
    </row>
    <row r="4334" spans="12:74">
      <c r="L4334" s="265"/>
      <c r="M4334" s="265"/>
      <c r="N4334" s="265"/>
      <c r="O4334" s="265"/>
      <c r="P4334" s="265"/>
      <c r="Q4334" s="265"/>
      <c r="BR4334" s="265"/>
      <c r="BS4334" s="265"/>
      <c r="BT4334" s="265"/>
      <c r="BU4334" s="265"/>
      <c r="BV4334" s="265"/>
    </row>
    <row r="4335" spans="12:74">
      <c r="L4335" s="265"/>
      <c r="M4335" s="265"/>
      <c r="N4335" s="265"/>
      <c r="O4335" s="265"/>
      <c r="P4335" s="265"/>
      <c r="Q4335" s="265"/>
      <c r="BR4335" s="265"/>
      <c r="BS4335" s="265"/>
      <c r="BT4335" s="265"/>
      <c r="BU4335" s="265"/>
      <c r="BV4335" s="265"/>
    </row>
    <row r="4336" spans="12:74">
      <c r="L4336" s="265"/>
      <c r="M4336" s="265"/>
      <c r="N4336" s="265"/>
      <c r="O4336" s="265"/>
      <c r="P4336" s="265"/>
      <c r="Q4336" s="265"/>
      <c r="BR4336" s="265"/>
      <c r="BS4336" s="265"/>
      <c r="BT4336" s="265"/>
      <c r="BU4336" s="265"/>
      <c r="BV4336" s="265"/>
    </row>
    <row r="4337" spans="12:74">
      <c r="L4337" s="265"/>
      <c r="M4337" s="265"/>
      <c r="N4337" s="265"/>
      <c r="O4337" s="265"/>
      <c r="P4337" s="265"/>
      <c r="Q4337" s="265"/>
      <c r="BR4337" s="265"/>
      <c r="BS4337" s="265"/>
      <c r="BT4337" s="265"/>
      <c r="BU4337" s="265"/>
      <c r="BV4337" s="265"/>
    </row>
    <row r="4338" spans="12:74">
      <c r="L4338" s="265"/>
      <c r="M4338" s="265"/>
      <c r="N4338" s="265"/>
      <c r="O4338" s="265"/>
      <c r="P4338" s="265"/>
      <c r="Q4338" s="265"/>
      <c r="BR4338" s="265"/>
      <c r="BS4338" s="265"/>
      <c r="BT4338" s="265"/>
      <c r="BU4338" s="265"/>
      <c r="BV4338" s="265"/>
    </row>
    <row r="4339" spans="12:74">
      <c r="L4339" s="265"/>
      <c r="M4339" s="265"/>
      <c r="N4339" s="265"/>
      <c r="O4339" s="265"/>
      <c r="P4339" s="265"/>
      <c r="Q4339" s="265"/>
      <c r="BR4339" s="265"/>
      <c r="BS4339" s="265"/>
      <c r="BT4339" s="265"/>
      <c r="BU4339" s="265"/>
      <c r="BV4339" s="265"/>
    </row>
    <row r="4340" spans="12:74">
      <c r="L4340" s="265"/>
      <c r="M4340" s="265"/>
      <c r="N4340" s="265"/>
      <c r="O4340" s="265"/>
      <c r="P4340" s="265"/>
      <c r="Q4340" s="265"/>
      <c r="BR4340" s="265"/>
      <c r="BS4340" s="265"/>
      <c r="BT4340" s="265"/>
      <c r="BU4340" s="265"/>
      <c r="BV4340" s="265"/>
    </row>
    <row r="4341" spans="12:74">
      <c r="L4341" s="265"/>
      <c r="M4341" s="265"/>
      <c r="N4341" s="265"/>
      <c r="O4341" s="265"/>
      <c r="P4341" s="265"/>
      <c r="Q4341" s="265"/>
      <c r="BR4341" s="265"/>
      <c r="BS4341" s="265"/>
      <c r="BT4341" s="265"/>
      <c r="BU4341" s="265"/>
      <c r="BV4341" s="265"/>
    </row>
    <row r="4342" spans="12:74">
      <c r="L4342" s="265"/>
      <c r="M4342" s="265"/>
      <c r="N4342" s="265"/>
      <c r="O4342" s="265"/>
      <c r="P4342" s="265"/>
      <c r="Q4342" s="265"/>
      <c r="BR4342" s="265"/>
      <c r="BS4342" s="265"/>
      <c r="BT4342" s="265"/>
      <c r="BU4342" s="265"/>
      <c r="BV4342" s="265"/>
    </row>
    <row r="4343" spans="12:74">
      <c r="L4343" s="265"/>
      <c r="M4343" s="265"/>
      <c r="N4343" s="265"/>
      <c r="O4343" s="265"/>
      <c r="P4343" s="265"/>
      <c r="Q4343" s="265"/>
      <c r="BR4343" s="265"/>
      <c r="BS4343" s="265"/>
      <c r="BT4343" s="265"/>
      <c r="BU4343" s="265"/>
      <c r="BV4343" s="265"/>
    </row>
    <row r="4344" spans="12:74">
      <c r="L4344" s="265"/>
      <c r="M4344" s="265"/>
      <c r="N4344" s="265"/>
      <c r="O4344" s="265"/>
      <c r="P4344" s="265"/>
      <c r="Q4344" s="265"/>
      <c r="BR4344" s="265"/>
      <c r="BS4344" s="265"/>
      <c r="BT4344" s="265"/>
      <c r="BU4344" s="265"/>
      <c r="BV4344" s="265"/>
    </row>
    <row r="4345" spans="12:74">
      <c r="L4345" s="265"/>
      <c r="M4345" s="265"/>
      <c r="N4345" s="265"/>
      <c r="O4345" s="265"/>
      <c r="P4345" s="265"/>
      <c r="Q4345" s="265"/>
      <c r="BR4345" s="265"/>
      <c r="BS4345" s="265"/>
      <c r="BT4345" s="265"/>
      <c r="BU4345" s="265"/>
      <c r="BV4345" s="265"/>
    </row>
    <row r="4346" spans="12:74">
      <c r="L4346" s="265"/>
      <c r="M4346" s="265"/>
      <c r="N4346" s="265"/>
      <c r="O4346" s="265"/>
      <c r="P4346" s="265"/>
      <c r="Q4346" s="265"/>
      <c r="BR4346" s="265"/>
      <c r="BS4346" s="265"/>
      <c r="BT4346" s="265"/>
      <c r="BU4346" s="265"/>
      <c r="BV4346" s="265"/>
    </row>
    <row r="4347" spans="12:74">
      <c r="L4347" s="265"/>
      <c r="M4347" s="265"/>
      <c r="N4347" s="265"/>
      <c r="O4347" s="265"/>
      <c r="P4347" s="265"/>
      <c r="Q4347" s="265"/>
      <c r="BR4347" s="265"/>
      <c r="BS4347" s="265"/>
      <c r="BT4347" s="265"/>
      <c r="BU4347" s="265"/>
      <c r="BV4347" s="265"/>
    </row>
    <row r="4348" spans="12:74">
      <c r="L4348" s="265"/>
      <c r="M4348" s="265"/>
      <c r="N4348" s="265"/>
      <c r="O4348" s="265"/>
      <c r="P4348" s="265"/>
      <c r="Q4348" s="265"/>
      <c r="BR4348" s="265"/>
      <c r="BS4348" s="265"/>
      <c r="BT4348" s="265"/>
      <c r="BU4348" s="265"/>
      <c r="BV4348" s="265"/>
    </row>
    <row r="4349" spans="12:74">
      <c r="L4349" s="265"/>
      <c r="M4349" s="265"/>
      <c r="N4349" s="265"/>
      <c r="O4349" s="265"/>
      <c r="P4349" s="265"/>
      <c r="Q4349" s="265"/>
      <c r="BR4349" s="265"/>
      <c r="BS4349" s="265"/>
      <c r="BT4349" s="265"/>
      <c r="BU4349" s="265"/>
      <c r="BV4349" s="265"/>
    </row>
    <row r="4350" spans="12:74">
      <c r="L4350" s="265"/>
      <c r="M4350" s="265"/>
      <c r="N4350" s="265"/>
      <c r="O4350" s="265"/>
      <c r="P4350" s="265"/>
      <c r="Q4350" s="265"/>
      <c r="BR4350" s="265"/>
      <c r="BS4350" s="265"/>
      <c r="BT4350" s="265"/>
      <c r="BU4350" s="265"/>
      <c r="BV4350" s="265"/>
    </row>
    <row r="4351" spans="12:74">
      <c r="L4351" s="265"/>
      <c r="M4351" s="265"/>
      <c r="N4351" s="265"/>
      <c r="O4351" s="265"/>
      <c r="P4351" s="265"/>
      <c r="Q4351" s="265"/>
      <c r="BR4351" s="265"/>
      <c r="BS4351" s="265"/>
      <c r="BT4351" s="265"/>
      <c r="BU4351" s="265"/>
      <c r="BV4351" s="265"/>
    </row>
    <row r="4352" spans="12:74">
      <c r="L4352" s="265"/>
      <c r="M4352" s="265"/>
      <c r="N4352" s="265"/>
      <c r="O4352" s="265"/>
      <c r="P4352" s="265"/>
      <c r="Q4352" s="265"/>
      <c r="BR4352" s="265"/>
      <c r="BS4352" s="265"/>
      <c r="BT4352" s="265"/>
      <c r="BU4352" s="265"/>
      <c r="BV4352" s="265"/>
    </row>
    <row r="4353" spans="12:74">
      <c r="L4353" s="265"/>
      <c r="M4353" s="265"/>
      <c r="N4353" s="265"/>
      <c r="O4353" s="265"/>
      <c r="P4353" s="265"/>
      <c r="Q4353" s="265"/>
      <c r="BR4353" s="265"/>
      <c r="BS4353" s="265"/>
      <c r="BT4353" s="265"/>
      <c r="BU4353" s="265"/>
      <c r="BV4353" s="265"/>
    </row>
    <row r="4354" spans="12:74">
      <c r="L4354" s="265"/>
      <c r="M4354" s="265"/>
      <c r="N4354" s="265"/>
      <c r="O4354" s="265"/>
      <c r="P4354" s="265"/>
      <c r="Q4354" s="265"/>
      <c r="BR4354" s="265"/>
      <c r="BS4354" s="265"/>
      <c r="BT4354" s="265"/>
      <c r="BU4354" s="265"/>
      <c r="BV4354" s="265"/>
    </row>
    <row r="4355" spans="12:74">
      <c r="L4355" s="265"/>
      <c r="M4355" s="265"/>
      <c r="N4355" s="265"/>
      <c r="O4355" s="265"/>
      <c r="P4355" s="265"/>
      <c r="Q4355" s="265"/>
      <c r="BR4355" s="265"/>
      <c r="BS4355" s="265"/>
      <c r="BT4355" s="265"/>
      <c r="BU4355" s="265"/>
      <c r="BV4355" s="265"/>
    </row>
    <row r="4356" spans="12:74">
      <c r="L4356" s="265"/>
      <c r="M4356" s="265"/>
      <c r="N4356" s="265"/>
      <c r="O4356" s="265"/>
      <c r="P4356" s="265"/>
      <c r="Q4356" s="265"/>
      <c r="BR4356" s="265"/>
      <c r="BS4356" s="265"/>
      <c r="BT4356" s="265"/>
      <c r="BU4356" s="265"/>
      <c r="BV4356" s="265"/>
    </row>
    <row r="4357" spans="12:74">
      <c r="L4357" s="265"/>
      <c r="M4357" s="265"/>
      <c r="N4357" s="265"/>
      <c r="O4357" s="265"/>
      <c r="P4357" s="265"/>
      <c r="Q4357" s="265"/>
      <c r="BR4357" s="265"/>
      <c r="BS4357" s="265"/>
      <c r="BT4357" s="265"/>
      <c r="BU4357" s="265"/>
      <c r="BV4357" s="265"/>
    </row>
    <row r="4358" spans="12:74">
      <c r="L4358" s="265"/>
      <c r="M4358" s="265"/>
      <c r="N4358" s="265"/>
      <c r="O4358" s="265"/>
      <c r="P4358" s="265"/>
      <c r="Q4358" s="265"/>
      <c r="BR4358" s="265"/>
      <c r="BS4358" s="265"/>
      <c r="BT4358" s="265"/>
      <c r="BU4358" s="265"/>
      <c r="BV4358" s="265"/>
    </row>
    <row r="4359" spans="12:74">
      <c r="L4359" s="265"/>
      <c r="M4359" s="265"/>
      <c r="N4359" s="265"/>
      <c r="O4359" s="265"/>
      <c r="P4359" s="265"/>
      <c r="Q4359" s="265"/>
      <c r="BR4359" s="265"/>
      <c r="BS4359" s="265"/>
      <c r="BT4359" s="265"/>
      <c r="BU4359" s="265"/>
      <c r="BV4359" s="265"/>
    </row>
    <row r="4360" spans="12:74">
      <c r="L4360" s="265"/>
      <c r="M4360" s="265"/>
      <c r="N4360" s="265"/>
      <c r="O4360" s="265"/>
      <c r="P4360" s="265"/>
      <c r="Q4360" s="265"/>
      <c r="BR4360" s="265"/>
      <c r="BS4360" s="265"/>
      <c r="BT4360" s="265"/>
      <c r="BU4360" s="265"/>
      <c r="BV4360" s="265"/>
    </row>
    <row r="4361" spans="12:74">
      <c r="L4361" s="265"/>
      <c r="M4361" s="265"/>
      <c r="N4361" s="265"/>
      <c r="O4361" s="265"/>
      <c r="P4361" s="265"/>
      <c r="Q4361" s="265"/>
      <c r="BR4361" s="265"/>
      <c r="BS4361" s="265"/>
      <c r="BT4361" s="265"/>
      <c r="BU4361" s="265"/>
      <c r="BV4361" s="265"/>
    </row>
    <row r="4362" spans="12:74">
      <c r="L4362" s="265"/>
      <c r="M4362" s="265"/>
      <c r="N4362" s="265"/>
      <c r="O4362" s="265"/>
      <c r="P4362" s="265"/>
      <c r="Q4362" s="265"/>
      <c r="BR4362" s="265"/>
      <c r="BS4362" s="265"/>
      <c r="BT4362" s="265"/>
      <c r="BU4362" s="265"/>
      <c r="BV4362" s="265"/>
    </row>
    <row r="4363" spans="12:74">
      <c r="L4363" s="265"/>
      <c r="M4363" s="265"/>
      <c r="N4363" s="265"/>
      <c r="O4363" s="265"/>
      <c r="P4363" s="265"/>
      <c r="Q4363" s="265"/>
      <c r="BR4363" s="265"/>
      <c r="BS4363" s="265"/>
      <c r="BT4363" s="265"/>
      <c r="BU4363" s="265"/>
      <c r="BV4363" s="265"/>
    </row>
    <row r="4364" spans="12:74">
      <c r="L4364" s="265"/>
      <c r="M4364" s="265"/>
      <c r="N4364" s="265"/>
      <c r="O4364" s="265"/>
      <c r="P4364" s="265"/>
      <c r="Q4364" s="265"/>
      <c r="BR4364" s="265"/>
      <c r="BS4364" s="265"/>
      <c r="BT4364" s="265"/>
      <c r="BU4364" s="265"/>
      <c r="BV4364" s="265"/>
    </row>
    <row r="4365" spans="12:74">
      <c r="L4365" s="265"/>
      <c r="M4365" s="265"/>
      <c r="N4365" s="265"/>
      <c r="O4365" s="265"/>
      <c r="P4365" s="265"/>
      <c r="Q4365" s="265"/>
      <c r="BR4365" s="265"/>
      <c r="BS4365" s="265"/>
      <c r="BT4365" s="265"/>
      <c r="BU4365" s="265"/>
      <c r="BV4365" s="265"/>
    </row>
    <row r="4366" spans="12:74">
      <c r="L4366" s="265"/>
      <c r="M4366" s="265"/>
      <c r="N4366" s="265"/>
      <c r="O4366" s="265"/>
      <c r="P4366" s="265"/>
      <c r="Q4366" s="265"/>
      <c r="BR4366" s="265"/>
      <c r="BS4366" s="265"/>
      <c r="BT4366" s="265"/>
      <c r="BU4366" s="265"/>
      <c r="BV4366" s="265"/>
    </row>
    <row r="4367" spans="12:74">
      <c r="L4367" s="265"/>
      <c r="M4367" s="265"/>
      <c r="N4367" s="265"/>
      <c r="O4367" s="265"/>
      <c r="P4367" s="265"/>
      <c r="Q4367" s="265"/>
      <c r="BR4367" s="265"/>
      <c r="BS4367" s="265"/>
      <c r="BT4367" s="265"/>
      <c r="BU4367" s="265"/>
      <c r="BV4367" s="265"/>
    </row>
    <row r="4368" spans="12:74">
      <c r="L4368" s="265"/>
      <c r="M4368" s="265"/>
      <c r="N4368" s="265"/>
      <c r="O4368" s="265"/>
      <c r="P4368" s="265"/>
      <c r="Q4368" s="265"/>
      <c r="BR4368" s="265"/>
      <c r="BS4368" s="265"/>
      <c r="BT4368" s="265"/>
      <c r="BU4368" s="265"/>
      <c r="BV4368" s="265"/>
    </row>
    <row r="4369" spans="12:74">
      <c r="L4369" s="265"/>
      <c r="M4369" s="265"/>
      <c r="N4369" s="265"/>
      <c r="O4369" s="265"/>
      <c r="P4369" s="265"/>
      <c r="Q4369" s="265"/>
      <c r="BR4369" s="265"/>
      <c r="BS4369" s="265"/>
      <c r="BT4369" s="265"/>
      <c r="BU4369" s="265"/>
      <c r="BV4369" s="265"/>
    </row>
    <row r="4370" spans="12:74">
      <c r="L4370" s="265"/>
      <c r="M4370" s="265"/>
      <c r="N4370" s="265"/>
      <c r="O4370" s="265"/>
      <c r="P4370" s="265"/>
      <c r="Q4370" s="265"/>
      <c r="BR4370" s="265"/>
      <c r="BS4370" s="265"/>
      <c r="BT4370" s="265"/>
      <c r="BU4370" s="265"/>
      <c r="BV4370" s="265"/>
    </row>
    <row r="4371" spans="12:74">
      <c r="L4371" s="265"/>
      <c r="M4371" s="265"/>
      <c r="N4371" s="265"/>
      <c r="O4371" s="265"/>
      <c r="P4371" s="265"/>
      <c r="Q4371" s="265"/>
      <c r="BR4371" s="265"/>
      <c r="BS4371" s="265"/>
      <c r="BT4371" s="265"/>
      <c r="BU4371" s="265"/>
      <c r="BV4371" s="265"/>
    </row>
    <row r="4372" spans="12:74">
      <c r="L4372" s="265"/>
      <c r="M4372" s="265"/>
      <c r="N4372" s="265"/>
      <c r="O4372" s="265"/>
      <c r="P4372" s="265"/>
      <c r="Q4372" s="265"/>
      <c r="BR4372" s="265"/>
      <c r="BS4372" s="265"/>
      <c r="BT4372" s="265"/>
      <c r="BU4372" s="265"/>
      <c r="BV4372" s="265"/>
    </row>
    <row r="4373" spans="12:74">
      <c r="L4373" s="265"/>
      <c r="M4373" s="265"/>
      <c r="N4373" s="265"/>
      <c r="O4373" s="265"/>
      <c r="P4373" s="265"/>
      <c r="Q4373" s="265"/>
      <c r="BR4373" s="265"/>
      <c r="BS4373" s="265"/>
      <c r="BT4373" s="265"/>
      <c r="BU4373" s="265"/>
      <c r="BV4373" s="265"/>
    </row>
    <row r="4374" spans="12:74">
      <c r="L4374" s="265"/>
      <c r="M4374" s="265"/>
      <c r="N4374" s="265"/>
      <c r="O4374" s="265"/>
      <c r="P4374" s="265"/>
      <c r="Q4374" s="265"/>
      <c r="BR4374" s="265"/>
      <c r="BS4374" s="265"/>
      <c r="BT4374" s="265"/>
      <c r="BU4374" s="265"/>
      <c r="BV4374" s="265"/>
    </row>
    <row r="4375" spans="12:74">
      <c r="L4375" s="265"/>
      <c r="M4375" s="265"/>
      <c r="N4375" s="265"/>
      <c r="O4375" s="265"/>
      <c r="P4375" s="265"/>
      <c r="Q4375" s="265"/>
      <c r="BR4375" s="265"/>
      <c r="BS4375" s="265"/>
      <c r="BT4375" s="265"/>
      <c r="BU4375" s="265"/>
      <c r="BV4375" s="265"/>
    </row>
    <row r="4376" spans="12:74">
      <c r="L4376" s="265"/>
      <c r="M4376" s="265"/>
      <c r="N4376" s="265"/>
      <c r="O4376" s="265"/>
      <c r="P4376" s="265"/>
      <c r="Q4376" s="265"/>
      <c r="BR4376" s="265"/>
      <c r="BS4376" s="265"/>
      <c r="BT4376" s="265"/>
      <c r="BU4376" s="265"/>
      <c r="BV4376" s="265"/>
    </row>
    <row r="4377" spans="12:74">
      <c r="L4377" s="265"/>
      <c r="M4377" s="265"/>
      <c r="N4377" s="265"/>
      <c r="O4377" s="265"/>
      <c r="P4377" s="265"/>
      <c r="Q4377" s="265"/>
      <c r="BR4377" s="265"/>
      <c r="BS4377" s="265"/>
      <c r="BT4377" s="265"/>
      <c r="BU4377" s="265"/>
      <c r="BV4377" s="265"/>
    </row>
    <row r="4378" spans="12:74">
      <c r="L4378" s="265"/>
      <c r="M4378" s="265"/>
      <c r="N4378" s="265"/>
      <c r="O4378" s="265"/>
      <c r="P4378" s="265"/>
      <c r="Q4378" s="265"/>
      <c r="BR4378" s="265"/>
      <c r="BS4378" s="265"/>
      <c r="BT4378" s="265"/>
      <c r="BU4378" s="265"/>
      <c r="BV4378" s="265"/>
    </row>
    <row r="4379" spans="12:74">
      <c r="L4379" s="265"/>
      <c r="M4379" s="265"/>
      <c r="N4379" s="265"/>
      <c r="O4379" s="265"/>
      <c r="P4379" s="265"/>
      <c r="Q4379" s="265"/>
      <c r="BR4379" s="265"/>
      <c r="BS4379" s="265"/>
      <c r="BT4379" s="265"/>
      <c r="BU4379" s="265"/>
      <c r="BV4379" s="265"/>
    </row>
    <row r="4380" spans="12:74">
      <c r="L4380" s="265"/>
      <c r="M4380" s="265"/>
      <c r="N4380" s="265"/>
      <c r="O4380" s="265"/>
      <c r="P4380" s="265"/>
      <c r="Q4380" s="265"/>
      <c r="BR4380" s="265"/>
      <c r="BS4380" s="265"/>
      <c r="BT4380" s="265"/>
      <c r="BU4380" s="265"/>
      <c r="BV4380" s="265"/>
    </row>
    <row r="4381" spans="12:74">
      <c r="L4381" s="265"/>
      <c r="M4381" s="265"/>
      <c r="N4381" s="265"/>
      <c r="O4381" s="265"/>
      <c r="P4381" s="265"/>
      <c r="Q4381" s="265"/>
      <c r="BR4381" s="265"/>
      <c r="BS4381" s="265"/>
      <c r="BT4381" s="265"/>
      <c r="BU4381" s="265"/>
      <c r="BV4381" s="265"/>
    </row>
    <row r="4382" spans="12:74">
      <c r="L4382" s="265"/>
      <c r="M4382" s="265"/>
      <c r="N4382" s="265"/>
      <c r="O4382" s="265"/>
      <c r="P4382" s="265"/>
      <c r="Q4382" s="265"/>
      <c r="BR4382" s="265"/>
      <c r="BS4382" s="265"/>
      <c r="BT4382" s="265"/>
      <c r="BU4382" s="265"/>
      <c r="BV4382" s="265"/>
    </row>
    <row r="4383" spans="12:74">
      <c r="L4383" s="265"/>
      <c r="M4383" s="265"/>
      <c r="N4383" s="265"/>
      <c r="O4383" s="265"/>
      <c r="P4383" s="265"/>
      <c r="Q4383" s="265"/>
      <c r="BR4383" s="265"/>
      <c r="BS4383" s="265"/>
      <c r="BT4383" s="265"/>
      <c r="BU4383" s="265"/>
      <c r="BV4383" s="265"/>
    </row>
    <row r="4384" spans="12:74">
      <c r="L4384" s="265"/>
      <c r="M4384" s="265"/>
      <c r="N4384" s="265"/>
      <c r="O4384" s="265"/>
      <c r="P4384" s="265"/>
      <c r="Q4384" s="265"/>
      <c r="BR4384" s="265"/>
      <c r="BS4384" s="265"/>
      <c r="BT4384" s="265"/>
      <c r="BU4384" s="265"/>
      <c r="BV4384" s="265"/>
    </row>
    <row r="4385" spans="12:74">
      <c r="L4385" s="265"/>
      <c r="M4385" s="265"/>
      <c r="N4385" s="265"/>
      <c r="O4385" s="265"/>
      <c r="P4385" s="265"/>
      <c r="Q4385" s="265"/>
      <c r="BR4385" s="265"/>
      <c r="BS4385" s="265"/>
      <c r="BT4385" s="265"/>
      <c r="BU4385" s="265"/>
      <c r="BV4385" s="265"/>
    </row>
    <row r="4386" spans="12:74">
      <c r="L4386" s="265"/>
      <c r="M4386" s="265"/>
      <c r="N4386" s="265"/>
      <c r="O4386" s="265"/>
      <c r="P4386" s="265"/>
      <c r="Q4386" s="265"/>
      <c r="BR4386" s="265"/>
      <c r="BS4386" s="265"/>
      <c r="BT4386" s="265"/>
      <c r="BU4386" s="265"/>
      <c r="BV4386" s="265"/>
    </row>
    <row r="4387" spans="12:74">
      <c r="L4387" s="265"/>
      <c r="M4387" s="265"/>
      <c r="N4387" s="265"/>
      <c r="O4387" s="265"/>
      <c r="P4387" s="265"/>
      <c r="Q4387" s="265"/>
      <c r="BR4387" s="265"/>
      <c r="BS4387" s="265"/>
      <c r="BT4387" s="265"/>
      <c r="BU4387" s="265"/>
      <c r="BV4387" s="265"/>
    </row>
    <row r="4388" spans="12:74">
      <c r="L4388" s="265"/>
      <c r="M4388" s="265"/>
      <c r="N4388" s="265"/>
      <c r="O4388" s="265"/>
      <c r="P4388" s="265"/>
      <c r="Q4388" s="265"/>
      <c r="BR4388" s="265"/>
      <c r="BS4388" s="265"/>
      <c r="BT4388" s="265"/>
      <c r="BU4388" s="265"/>
      <c r="BV4388" s="265"/>
    </row>
    <row r="4389" spans="12:74">
      <c r="L4389" s="265"/>
      <c r="M4389" s="265"/>
      <c r="N4389" s="265"/>
      <c r="O4389" s="265"/>
      <c r="P4389" s="265"/>
      <c r="Q4389" s="265"/>
      <c r="BR4389" s="265"/>
      <c r="BS4389" s="265"/>
      <c r="BT4389" s="265"/>
      <c r="BU4389" s="265"/>
      <c r="BV4389" s="265"/>
    </row>
    <row r="4390" spans="12:74">
      <c r="L4390" s="265"/>
      <c r="M4390" s="265"/>
      <c r="N4390" s="265"/>
      <c r="O4390" s="265"/>
      <c r="P4390" s="265"/>
      <c r="Q4390" s="265"/>
      <c r="BR4390" s="265"/>
      <c r="BS4390" s="265"/>
      <c r="BT4390" s="265"/>
      <c r="BU4390" s="265"/>
      <c r="BV4390" s="265"/>
    </row>
    <row r="4391" spans="12:74">
      <c r="L4391" s="265"/>
      <c r="M4391" s="265"/>
      <c r="N4391" s="265"/>
      <c r="O4391" s="265"/>
      <c r="P4391" s="265"/>
      <c r="Q4391" s="265"/>
      <c r="BR4391" s="265"/>
      <c r="BS4391" s="265"/>
      <c r="BT4391" s="265"/>
      <c r="BU4391" s="265"/>
      <c r="BV4391" s="265"/>
    </row>
    <row r="4392" spans="12:74">
      <c r="L4392" s="265"/>
      <c r="M4392" s="265"/>
      <c r="N4392" s="265"/>
      <c r="O4392" s="265"/>
      <c r="P4392" s="265"/>
      <c r="Q4392" s="265"/>
      <c r="BR4392" s="265"/>
      <c r="BS4392" s="265"/>
      <c r="BT4392" s="265"/>
      <c r="BU4392" s="265"/>
      <c r="BV4392" s="265"/>
    </row>
    <row r="4393" spans="12:74">
      <c r="L4393" s="265"/>
      <c r="M4393" s="265"/>
      <c r="N4393" s="265"/>
      <c r="O4393" s="265"/>
      <c r="P4393" s="265"/>
      <c r="Q4393" s="265"/>
      <c r="BR4393" s="265"/>
      <c r="BS4393" s="265"/>
      <c r="BT4393" s="265"/>
      <c r="BU4393" s="265"/>
      <c r="BV4393" s="265"/>
    </row>
    <row r="4394" spans="12:74">
      <c r="L4394" s="265"/>
      <c r="M4394" s="265"/>
      <c r="N4394" s="265"/>
      <c r="O4394" s="265"/>
      <c r="P4394" s="265"/>
      <c r="Q4394" s="265"/>
      <c r="BR4394" s="265"/>
      <c r="BS4394" s="265"/>
      <c r="BT4394" s="265"/>
      <c r="BU4394" s="265"/>
      <c r="BV4394" s="265"/>
    </row>
    <row r="4395" spans="12:74">
      <c r="L4395" s="265"/>
      <c r="M4395" s="265"/>
      <c r="N4395" s="265"/>
      <c r="O4395" s="265"/>
      <c r="P4395" s="265"/>
      <c r="Q4395" s="265"/>
      <c r="BR4395" s="265"/>
      <c r="BS4395" s="265"/>
      <c r="BT4395" s="265"/>
      <c r="BU4395" s="265"/>
      <c r="BV4395" s="265"/>
    </row>
    <row r="4396" spans="12:74">
      <c r="L4396" s="265"/>
      <c r="M4396" s="265"/>
      <c r="N4396" s="265"/>
      <c r="O4396" s="265"/>
      <c r="P4396" s="265"/>
      <c r="Q4396" s="265"/>
      <c r="BR4396" s="265"/>
      <c r="BS4396" s="265"/>
      <c r="BT4396" s="265"/>
      <c r="BU4396" s="265"/>
      <c r="BV4396" s="265"/>
    </row>
    <row r="4397" spans="12:74">
      <c r="L4397" s="265"/>
      <c r="M4397" s="265"/>
      <c r="N4397" s="265"/>
      <c r="O4397" s="265"/>
      <c r="P4397" s="265"/>
      <c r="Q4397" s="265"/>
      <c r="BR4397" s="265"/>
      <c r="BS4397" s="265"/>
      <c r="BT4397" s="265"/>
      <c r="BU4397" s="265"/>
      <c r="BV4397" s="265"/>
    </row>
    <row r="4398" spans="12:74">
      <c r="L4398" s="265"/>
      <c r="M4398" s="265"/>
      <c r="N4398" s="265"/>
      <c r="O4398" s="265"/>
      <c r="P4398" s="265"/>
      <c r="Q4398" s="265"/>
      <c r="BR4398" s="265"/>
      <c r="BS4398" s="265"/>
      <c r="BT4398" s="265"/>
      <c r="BU4398" s="265"/>
      <c r="BV4398" s="265"/>
    </row>
    <row r="4399" spans="12:74">
      <c r="L4399" s="265"/>
      <c r="M4399" s="265"/>
      <c r="N4399" s="265"/>
      <c r="O4399" s="265"/>
      <c r="P4399" s="265"/>
      <c r="Q4399" s="265"/>
      <c r="BR4399" s="265"/>
      <c r="BS4399" s="265"/>
      <c r="BT4399" s="265"/>
      <c r="BU4399" s="265"/>
      <c r="BV4399" s="265"/>
    </row>
    <row r="4400" spans="12:74">
      <c r="L4400" s="265"/>
      <c r="M4400" s="265"/>
      <c r="N4400" s="265"/>
      <c r="O4400" s="265"/>
      <c r="P4400" s="265"/>
      <c r="Q4400" s="265"/>
      <c r="BR4400" s="265"/>
      <c r="BS4400" s="265"/>
      <c r="BT4400" s="265"/>
      <c r="BU4400" s="265"/>
      <c r="BV4400" s="265"/>
    </row>
    <row r="4401" spans="12:74">
      <c r="L4401" s="265"/>
      <c r="M4401" s="265"/>
      <c r="N4401" s="265"/>
      <c r="O4401" s="265"/>
      <c r="P4401" s="265"/>
      <c r="Q4401" s="265"/>
      <c r="BR4401" s="265"/>
      <c r="BS4401" s="265"/>
      <c r="BT4401" s="265"/>
      <c r="BU4401" s="265"/>
      <c r="BV4401" s="265"/>
    </row>
    <row r="4402" spans="12:74">
      <c r="L4402" s="265"/>
      <c r="M4402" s="265"/>
      <c r="N4402" s="265"/>
      <c r="O4402" s="265"/>
      <c r="P4402" s="265"/>
      <c r="Q4402" s="265"/>
      <c r="BR4402" s="265"/>
      <c r="BS4402" s="265"/>
      <c r="BT4402" s="265"/>
      <c r="BU4402" s="265"/>
      <c r="BV4402" s="265"/>
    </row>
    <row r="4403" spans="12:74">
      <c r="L4403" s="265"/>
      <c r="M4403" s="265"/>
      <c r="N4403" s="265"/>
      <c r="O4403" s="265"/>
      <c r="P4403" s="265"/>
      <c r="Q4403" s="265"/>
      <c r="BR4403" s="265"/>
      <c r="BS4403" s="265"/>
      <c r="BT4403" s="265"/>
      <c r="BU4403" s="265"/>
      <c r="BV4403" s="265"/>
    </row>
    <row r="4404" spans="12:74">
      <c r="L4404" s="265"/>
      <c r="M4404" s="265"/>
      <c r="N4404" s="265"/>
      <c r="O4404" s="265"/>
      <c r="P4404" s="265"/>
      <c r="Q4404" s="265"/>
      <c r="BR4404" s="265"/>
      <c r="BS4404" s="265"/>
      <c r="BT4404" s="265"/>
      <c r="BU4404" s="265"/>
      <c r="BV4404" s="265"/>
    </row>
    <row r="4405" spans="12:74">
      <c r="L4405" s="265"/>
      <c r="M4405" s="265"/>
      <c r="N4405" s="265"/>
      <c r="O4405" s="265"/>
      <c r="P4405" s="265"/>
      <c r="Q4405" s="265"/>
      <c r="BR4405" s="265"/>
      <c r="BS4405" s="265"/>
      <c r="BT4405" s="265"/>
      <c r="BU4405" s="265"/>
      <c r="BV4405" s="265"/>
    </row>
    <row r="4406" spans="12:74">
      <c r="L4406" s="265"/>
      <c r="M4406" s="265"/>
      <c r="N4406" s="265"/>
      <c r="O4406" s="265"/>
      <c r="P4406" s="265"/>
      <c r="Q4406" s="265"/>
      <c r="BR4406" s="265"/>
      <c r="BS4406" s="265"/>
      <c r="BT4406" s="265"/>
      <c r="BU4406" s="265"/>
      <c r="BV4406" s="265"/>
    </row>
    <row r="4407" spans="12:74">
      <c r="L4407" s="265"/>
      <c r="M4407" s="265"/>
      <c r="N4407" s="265"/>
      <c r="O4407" s="265"/>
      <c r="P4407" s="265"/>
      <c r="Q4407" s="265"/>
      <c r="BR4407" s="265"/>
      <c r="BS4407" s="265"/>
      <c r="BT4407" s="265"/>
      <c r="BU4407" s="265"/>
      <c r="BV4407" s="265"/>
    </row>
    <row r="4408" spans="12:74">
      <c r="L4408" s="265"/>
      <c r="M4408" s="265"/>
      <c r="N4408" s="265"/>
      <c r="O4408" s="265"/>
      <c r="P4408" s="265"/>
      <c r="Q4408" s="265"/>
      <c r="BR4408" s="265"/>
      <c r="BS4408" s="265"/>
      <c r="BT4408" s="265"/>
      <c r="BU4408" s="265"/>
      <c r="BV4408" s="265"/>
    </row>
    <row r="4409" spans="12:74">
      <c r="L4409" s="265"/>
      <c r="M4409" s="265"/>
      <c r="N4409" s="265"/>
      <c r="O4409" s="265"/>
      <c r="P4409" s="265"/>
      <c r="Q4409" s="265"/>
      <c r="BR4409" s="265"/>
      <c r="BS4409" s="265"/>
      <c r="BT4409" s="265"/>
      <c r="BU4409" s="265"/>
      <c r="BV4409" s="265"/>
    </row>
    <row r="4410" spans="12:74">
      <c r="L4410" s="265"/>
      <c r="M4410" s="265"/>
      <c r="N4410" s="265"/>
      <c r="O4410" s="265"/>
      <c r="P4410" s="265"/>
      <c r="Q4410" s="265"/>
      <c r="BR4410" s="265"/>
      <c r="BS4410" s="265"/>
      <c r="BT4410" s="265"/>
      <c r="BU4410" s="265"/>
      <c r="BV4410" s="265"/>
    </row>
    <row r="4411" spans="12:74">
      <c r="L4411" s="265"/>
      <c r="M4411" s="265"/>
      <c r="N4411" s="265"/>
      <c r="O4411" s="265"/>
      <c r="P4411" s="265"/>
      <c r="Q4411" s="265"/>
      <c r="BR4411" s="265"/>
      <c r="BS4411" s="265"/>
      <c r="BT4411" s="265"/>
      <c r="BU4411" s="265"/>
      <c r="BV4411" s="265"/>
    </row>
    <row r="4412" spans="12:74">
      <c r="L4412" s="265"/>
      <c r="M4412" s="265"/>
      <c r="N4412" s="265"/>
      <c r="O4412" s="265"/>
      <c r="P4412" s="265"/>
      <c r="Q4412" s="265"/>
      <c r="BR4412" s="265"/>
      <c r="BS4412" s="265"/>
      <c r="BT4412" s="265"/>
      <c r="BU4412" s="265"/>
      <c r="BV4412" s="265"/>
    </row>
    <row r="4413" spans="12:74">
      <c r="L4413" s="265"/>
      <c r="M4413" s="265"/>
      <c r="N4413" s="265"/>
      <c r="O4413" s="265"/>
      <c r="P4413" s="265"/>
      <c r="Q4413" s="265"/>
      <c r="BR4413" s="265"/>
      <c r="BS4413" s="265"/>
      <c r="BT4413" s="265"/>
      <c r="BU4413" s="265"/>
      <c r="BV4413" s="265"/>
    </row>
    <row r="4414" spans="12:74">
      <c r="L4414" s="265"/>
      <c r="M4414" s="265"/>
      <c r="N4414" s="265"/>
      <c r="O4414" s="265"/>
      <c r="P4414" s="265"/>
      <c r="Q4414" s="265"/>
      <c r="BR4414" s="265"/>
      <c r="BS4414" s="265"/>
      <c r="BT4414" s="265"/>
      <c r="BU4414" s="265"/>
      <c r="BV4414" s="265"/>
    </row>
    <row r="4415" spans="12:74">
      <c r="L4415" s="265"/>
      <c r="M4415" s="265"/>
      <c r="N4415" s="265"/>
      <c r="O4415" s="265"/>
      <c r="P4415" s="265"/>
      <c r="Q4415" s="265"/>
      <c r="BR4415" s="265"/>
      <c r="BS4415" s="265"/>
      <c r="BT4415" s="265"/>
      <c r="BU4415" s="265"/>
      <c r="BV4415" s="265"/>
    </row>
    <row r="4416" spans="12:74">
      <c r="L4416" s="265"/>
      <c r="M4416" s="265"/>
      <c r="N4416" s="265"/>
      <c r="O4416" s="265"/>
      <c r="P4416" s="265"/>
      <c r="Q4416" s="265"/>
      <c r="BR4416" s="265"/>
      <c r="BS4416" s="265"/>
      <c r="BT4416" s="265"/>
      <c r="BU4416" s="265"/>
      <c r="BV4416" s="265"/>
    </row>
    <row r="4417" spans="12:74">
      <c r="L4417" s="265"/>
      <c r="M4417" s="265"/>
      <c r="N4417" s="265"/>
      <c r="O4417" s="265"/>
      <c r="P4417" s="265"/>
      <c r="Q4417" s="265"/>
      <c r="BR4417" s="265"/>
      <c r="BS4417" s="265"/>
      <c r="BT4417" s="265"/>
      <c r="BU4417" s="265"/>
      <c r="BV4417" s="265"/>
    </row>
    <row r="4418" spans="12:74">
      <c r="L4418" s="265"/>
      <c r="M4418" s="265"/>
      <c r="N4418" s="265"/>
      <c r="O4418" s="265"/>
      <c r="P4418" s="265"/>
      <c r="Q4418" s="265"/>
      <c r="BR4418" s="265"/>
      <c r="BS4418" s="265"/>
      <c r="BT4418" s="265"/>
      <c r="BU4418" s="265"/>
      <c r="BV4418" s="265"/>
    </row>
    <row r="4419" spans="12:74">
      <c r="L4419" s="265"/>
      <c r="M4419" s="265"/>
      <c r="N4419" s="265"/>
      <c r="O4419" s="265"/>
      <c r="P4419" s="265"/>
      <c r="Q4419" s="265"/>
      <c r="BR4419" s="265"/>
      <c r="BS4419" s="265"/>
      <c r="BT4419" s="265"/>
      <c r="BU4419" s="265"/>
      <c r="BV4419" s="265"/>
    </row>
    <row r="4420" spans="12:74">
      <c r="L4420" s="265"/>
      <c r="M4420" s="265"/>
      <c r="N4420" s="265"/>
      <c r="O4420" s="265"/>
      <c r="P4420" s="265"/>
      <c r="Q4420" s="265"/>
      <c r="BR4420" s="265"/>
      <c r="BS4420" s="265"/>
      <c r="BT4420" s="265"/>
      <c r="BU4420" s="265"/>
      <c r="BV4420" s="265"/>
    </row>
    <row r="4421" spans="12:74">
      <c r="L4421" s="265"/>
      <c r="M4421" s="265"/>
      <c r="N4421" s="265"/>
      <c r="O4421" s="265"/>
      <c r="P4421" s="265"/>
      <c r="Q4421" s="265"/>
      <c r="BR4421" s="265"/>
      <c r="BS4421" s="265"/>
      <c r="BT4421" s="265"/>
      <c r="BU4421" s="265"/>
      <c r="BV4421" s="265"/>
    </row>
    <row r="4422" spans="12:74">
      <c r="L4422" s="265"/>
      <c r="M4422" s="265"/>
      <c r="N4422" s="265"/>
      <c r="O4422" s="265"/>
      <c r="P4422" s="265"/>
      <c r="Q4422" s="265"/>
      <c r="BR4422" s="265"/>
      <c r="BS4422" s="265"/>
      <c r="BT4422" s="265"/>
      <c r="BU4422" s="265"/>
      <c r="BV4422" s="265"/>
    </row>
    <row r="4423" spans="12:74">
      <c r="L4423" s="265"/>
      <c r="M4423" s="265"/>
      <c r="N4423" s="265"/>
      <c r="O4423" s="265"/>
      <c r="P4423" s="265"/>
      <c r="Q4423" s="265"/>
      <c r="BR4423" s="265"/>
      <c r="BS4423" s="265"/>
      <c r="BT4423" s="265"/>
      <c r="BU4423" s="265"/>
      <c r="BV4423" s="265"/>
    </row>
    <row r="4424" spans="12:74">
      <c r="L4424" s="265"/>
      <c r="M4424" s="265"/>
      <c r="N4424" s="265"/>
      <c r="O4424" s="265"/>
      <c r="P4424" s="265"/>
      <c r="Q4424" s="265"/>
      <c r="BR4424" s="265"/>
      <c r="BS4424" s="265"/>
      <c r="BT4424" s="265"/>
      <c r="BU4424" s="265"/>
      <c r="BV4424" s="265"/>
    </row>
    <row r="4425" spans="12:74">
      <c r="L4425" s="265"/>
      <c r="M4425" s="265"/>
      <c r="N4425" s="265"/>
      <c r="O4425" s="265"/>
      <c r="P4425" s="265"/>
      <c r="Q4425" s="265"/>
      <c r="BR4425" s="265"/>
      <c r="BS4425" s="265"/>
      <c r="BT4425" s="265"/>
      <c r="BU4425" s="265"/>
      <c r="BV4425" s="265"/>
    </row>
    <row r="4426" spans="12:74">
      <c r="L4426" s="265"/>
      <c r="M4426" s="265"/>
      <c r="N4426" s="265"/>
      <c r="O4426" s="265"/>
      <c r="P4426" s="265"/>
      <c r="Q4426" s="265"/>
      <c r="BR4426" s="265"/>
      <c r="BS4426" s="265"/>
      <c r="BT4426" s="265"/>
      <c r="BU4426" s="265"/>
      <c r="BV4426" s="265"/>
    </row>
    <row r="4427" spans="12:74">
      <c r="L4427" s="265"/>
      <c r="M4427" s="265"/>
      <c r="N4427" s="265"/>
      <c r="O4427" s="265"/>
      <c r="P4427" s="265"/>
      <c r="Q4427" s="265"/>
      <c r="BR4427" s="265"/>
      <c r="BS4427" s="265"/>
      <c r="BT4427" s="265"/>
      <c r="BU4427" s="265"/>
      <c r="BV4427" s="265"/>
    </row>
    <row r="4428" spans="12:74">
      <c r="L4428" s="265"/>
      <c r="M4428" s="265"/>
      <c r="N4428" s="265"/>
      <c r="O4428" s="265"/>
      <c r="P4428" s="265"/>
      <c r="Q4428" s="265"/>
      <c r="BR4428" s="265"/>
      <c r="BS4428" s="265"/>
      <c r="BT4428" s="265"/>
      <c r="BU4428" s="265"/>
      <c r="BV4428" s="265"/>
    </row>
    <row r="4429" spans="12:74">
      <c r="L4429" s="265"/>
      <c r="M4429" s="265"/>
      <c r="N4429" s="265"/>
      <c r="O4429" s="265"/>
      <c r="P4429" s="265"/>
      <c r="Q4429" s="265"/>
      <c r="BR4429" s="265"/>
      <c r="BS4429" s="265"/>
      <c r="BT4429" s="265"/>
      <c r="BU4429" s="265"/>
      <c r="BV4429" s="265"/>
    </row>
    <row r="4430" spans="12:74">
      <c r="L4430" s="265"/>
      <c r="M4430" s="265"/>
      <c r="N4430" s="265"/>
      <c r="O4430" s="265"/>
      <c r="P4430" s="265"/>
      <c r="Q4430" s="265"/>
      <c r="BR4430" s="265"/>
      <c r="BS4430" s="265"/>
      <c r="BT4430" s="265"/>
      <c r="BU4430" s="265"/>
      <c r="BV4430" s="265"/>
    </row>
    <row r="4431" spans="12:74">
      <c r="L4431" s="265"/>
      <c r="M4431" s="265"/>
      <c r="N4431" s="265"/>
      <c r="O4431" s="265"/>
      <c r="P4431" s="265"/>
      <c r="Q4431" s="265"/>
      <c r="BR4431" s="265"/>
      <c r="BS4431" s="265"/>
      <c r="BT4431" s="265"/>
      <c r="BU4431" s="265"/>
      <c r="BV4431" s="265"/>
    </row>
    <row r="4432" spans="12:74">
      <c r="L4432" s="265"/>
      <c r="M4432" s="265"/>
      <c r="N4432" s="265"/>
      <c r="O4432" s="265"/>
      <c r="P4432" s="265"/>
      <c r="Q4432" s="265"/>
      <c r="BR4432" s="265"/>
      <c r="BS4432" s="265"/>
      <c r="BT4432" s="265"/>
      <c r="BU4432" s="265"/>
      <c r="BV4432" s="265"/>
    </row>
    <row r="4433" spans="12:74">
      <c r="L4433" s="265"/>
      <c r="M4433" s="265"/>
      <c r="N4433" s="265"/>
      <c r="O4433" s="265"/>
      <c r="P4433" s="265"/>
      <c r="Q4433" s="265"/>
      <c r="BR4433" s="265"/>
      <c r="BS4433" s="265"/>
      <c r="BT4433" s="265"/>
      <c r="BU4433" s="265"/>
      <c r="BV4433" s="265"/>
    </row>
    <row r="4434" spans="12:74">
      <c r="L4434" s="265"/>
      <c r="M4434" s="265"/>
      <c r="N4434" s="265"/>
      <c r="O4434" s="265"/>
      <c r="P4434" s="265"/>
      <c r="Q4434" s="265"/>
      <c r="BR4434" s="265"/>
      <c r="BS4434" s="265"/>
      <c r="BT4434" s="265"/>
      <c r="BU4434" s="265"/>
      <c r="BV4434" s="265"/>
    </row>
    <row r="4435" spans="12:74">
      <c r="L4435" s="265"/>
      <c r="M4435" s="265"/>
      <c r="N4435" s="265"/>
      <c r="O4435" s="265"/>
      <c r="P4435" s="265"/>
      <c r="Q4435" s="265"/>
      <c r="BR4435" s="265"/>
      <c r="BS4435" s="265"/>
      <c r="BT4435" s="265"/>
      <c r="BU4435" s="265"/>
      <c r="BV4435" s="265"/>
    </row>
    <row r="4436" spans="12:74">
      <c r="L4436" s="265"/>
      <c r="M4436" s="265"/>
      <c r="N4436" s="265"/>
      <c r="O4436" s="265"/>
      <c r="P4436" s="265"/>
      <c r="Q4436" s="265"/>
      <c r="BR4436" s="265"/>
      <c r="BS4436" s="265"/>
      <c r="BT4436" s="265"/>
      <c r="BU4436" s="265"/>
      <c r="BV4436" s="265"/>
    </row>
    <row r="4437" spans="12:74">
      <c r="L4437" s="265"/>
      <c r="M4437" s="265"/>
      <c r="N4437" s="265"/>
      <c r="O4437" s="265"/>
      <c r="P4437" s="265"/>
      <c r="Q4437" s="265"/>
      <c r="BR4437" s="265"/>
      <c r="BS4437" s="265"/>
      <c r="BT4437" s="265"/>
      <c r="BU4437" s="265"/>
      <c r="BV4437" s="265"/>
    </row>
    <row r="4438" spans="12:74">
      <c r="L4438" s="265"/>
      <c r="M4438" s="265"/>
      <c r="N4438" s="265"/>
      <c r="O4438" s="265"/>
      <c r="P4438" s="265"/>
      <c r="Q4438" s="265"/>
      <c r="BR4438" s="265"/>
      <c r="BS4438" s="265"/>
      <c r="BT4438" s="265"/>
      <c r="BU4438" s="265"/>
      <c r="BV4438" s="265"/>
    </row>
    <row r="4439" spans="12:74">
      <c r="L4439" s="265"/>
      <c r="M4439" s="265"/>
      <c r="N4439" s="265"/>
      <c r="O4439" s="265"/>
      <c r="P4439" s="265"/>
      <c r="Q4439" s="265"/>
      <c r="BR4439" s="265"/>
      <c r="BS4439" s="265"/>
      <c r="BT4439" s="265"/>
      <c r="BU4439" s="265"/>
      <c r="BV4439" s="265"/>
    </row>
    <row r="4440" spans="12:74">
      <c r="L4440" s="265"/>
      <c r="M4440" s="265"/>
      <c r="N4440" s="265"/>
      <c r="O4440" s="265"/>
      <c r="P4440" s="265"/>
      <c r="Q4440" s="265"/>
      <c r="BR4440" s="265"/>
      <c r="BS4440" s="265"/>
      <c r="BT4440" s="265"/>
      <c r="BU4440" s="265"/>
      <c r="BV4440" s="265"/>
    </row>
    <row r="4441" spans="12:74">
      <c r="L4441" s="265"/>
      <c r="M4441" s="265"/>
      <c r="N4441" s="265"/>
      <c r="O4441" s="265"/>
      <c r="P4441" s="265"/>
      <c r="Q4441" s="265"/>
      <c r="BR4441" s="265"/>
      <c r="BS4441" s="265"/>
      <c r="BT4441" s="265"/>
      <c r="BU4441" s="265"/>
      <c r="BV4441" s="265"/>
    </row>
    <row r="4442" spans="12:74">
      <c r="L4442" s="265"/>
      <c r="M4442" s="265"/>
      <c r="N4442" s="265"/>
      <c r="O4442" s="265"/>
      <c r="P4442" s="265"/>
      <c r="Q4442" s="265"/>
      <c r="BR4442" s="265"/>
      <c r="BS4442" s="265"/>
      <c r="BT4442" s="265"/>
      <c r="BU4442" s="265"/>
      <c r="BV4442" s="265"/>
    </row>
    <row r="4443" spans="12:74">
      <c r="L4443" s="265"/>
      <c r="M4443" s="265"/>
      <c r="N4443" s="265"/>
      <c r="O4443" s="265"/>
      <c r="P4443" s="265"/>
      <c r="Q4443" s="265"/>
      <c r="BR4443" s="265"/>
      <c r="BS4443" s="265"/>
      <c r="BT4443" s="265"/>
      <c r="BU4443" s="265"/>
      <c r="BV4443" s="265"/>
    </row>
    <row r="4444" spans="12:74">
      <c r="L4444" s="265"/>
      <c r="M4444" s="265"/>
      <c r="N4444" s="265"/>
      <c r="O4444" s="265"/>
      <c r="P4444" s="265"/>
      <c r="Q4444" s="265"/>
      <c r="BR4444" s="265"/>
      <c r="BS4444" s="265"/>
      <c r="BT4444" s="265"/>
      <c r="BU4444" s="265"/>
      <c r="BV4444" s="265"/>
    </row>
    <row r="4445" spans="12:74">
      <c r="L4445" s="265"/>
      <c r="M4445" s="265"/>
      <c r="N4445" s="265"/>
      <c r="O4445" s="265"/>
      <c r="P4445" s="265"/>
      <c r="Q4445" s="265"/>
      <c r="BR4445" s="265"/>
      <c r="BS4445" s="265"/>
      <c r="BT4445" s="265"/>
      <c r="BU4445" s="265"/>
      <c r="BV4445" s="265"/>
    </row>
    <row r="4446" spans="12:74">
      <c r="L4446" s="265"/>
      <c r="M4446" s="265"/>
      <c r="N4446" s="265"/>
      <c r="O4446" s="265"/>
      <c r="P4446" s="265"/>
      <c r="Q4446" s="265"/>
      <c r="BR4446" s="265"/>
      <c r="BS4446" s="265"/>
      <c r="BT4446" s="265"/>
      <c r="BU4446" s="265"/>
      <c r="BV4446" s="265"/>
    </row>
    <row r="4447" spans="12:74">
      <c r="L4447" s="265"/>
      <c r="M4447" s="265"/>
      <c r="N4447" s="265"/>
      <c r="O4447" s="265"/>
      <c r="P4447" s="265"/>
      <c r="Q4447" s="265"/>
      <c r="BR4447" s="265"/>
      <c r="BS4447" s="265"/>
      <c r="BT4447" s="265"/>
      <c r="BU4447" s="265"/>
      <c r="BV4447" s="265"/>
    </row>
    <row r="4448" spans="12:74">
      <c r="L4448" s="265"/>
      <c r="M4448" s="265"/>
      <c r="N4448" s="265"/>
      <c r="O4448" s="265"/>
      <c r="P4448" s="265"/>
      <c r="Q4448" s="265"/>
      <c r="BR4448" s="265"/>
      <c r="BS4448" s="265"/>
      <c r="BT4448" s="265"/>
      <c r="BU4448" s="265"/>
      <c r="BV4448" s="265"/>
    </row>
    <row r="4449" spans="12:74">
      <c r="L4449" s="265"/>
      <c r="M4449" s="265"/>
      <c r="N4449" s="265"/>
      <c r="O4449" s="265"/>
      <c r="P4449" s="265"/>
      <c r="Q4449" s="265"/>
      <c r="BR4449" s="265"/>
      <c r="BS4449" s="265"/>
      <c r="BT4449" s="265"/>
      <c r="BU4449" s="265"/>
      <c r="BV4449" s="265"/>
    </row>
    <row r="4450" spans="12:74">
      <c r="L4450" s="265"/>
      <c r="M4450" s="265"/>
      <c r="N4450" s="265"/>
      <c r="O4450" s="265"/>
      <c r="P4450" s="265"/>
      <c r="Q4450" s="265"/>
      <c r="BR4450" s="265"/>
      <c r="BS4450" s="265"/>
      <c r="BT4450" s="265"/>
      <c r="BU4450" s="265"/>
      <c r="BV4450" s="265"/>
    </row>
    <row r="4451" spans="12:74">
      <c r="L4451" s="265"/>
      <c r="M4451" s="265"/>
      <c r="N4451" s="265"/>
      <c r="O4451" s="265"/>
      <c r="P4451" s="265"/>
      <c r="Q4451" s="265"/>
      <c r="BR4451" s="265"/>
      <c r="BS4451" s="265"/>
      <c r="BT4451" s="265"/>
      <c r="BU4451" s="265"/>
      <c r="BV4451" s="265"/>
    </row>
    <row r="4452" spans="12:74">
      <c r="L4452" s="265"/>
      <c r="M4452" s="265"/>
      <c r="N4452" s="265"/>
      <c r="O4452" s="265"/>
      <c r="P4452" s="265"/>
      <c r="Q4452" s="265"/>
      <c r="BR4452" s="265"/>
      <c r="BS4452" s="265"/>
      <c r="BT4452" s="265"/>
      <c r="BU4452" s="265"/>
      <c r="BV4452" s="265"/>
    </row>
    <row r="4453" spans="12:74">
      <c r="L4453" s="265"/>
      <c r="M4453" s="265"/>
      <c r="N4453" s="265"/>
      <c r="O4453" s="265"/>
      <c r="P4453" s="265"/>
      <c r="Q4453" s="265"/>
      <c r="BR4453" s="265"/>
      <c r="BS4453" s="265"/>
      <c r="BT4453" s="265"/>
      <c r="BU4453" s="265"/>
      <c r="BV4453" s="265"/>
    </row>
    <row r="4454" spans="12:74">
      <c r="L4454" s="265"/>
      <c r="M4454" s="265"/>
      <c r="N4454" s="265"/>
      <c r="O4454" s="265"/>
      <c r="P4454" s="265"/>
      <c r="Q4454" s="265"/>
      <c r="BR4454" s="265"/>
      <c r="BS4454" s="265"/>
      <c r="BT4454" s="265"/>
      <c r="BU4454" s="265"/>
      <c r="BV4454" s="265"/>
    </row>
    <row r="4455" spans="12:74">
      <c r="L4455" s="265"/>
      <c r="M4455" s="265"/>
      <c r="N4455" s="265"/>
      <c r="O4455" s="265"/>
      <c r="P4455" s="265"/>
      <c r="Q4455" s="265"/>
      <c r="BR4455" s="265"/>
      <c r="BS4455" s="265"/>
      <c r="BT4455" s="265"/>
      <c r="BU4455" s="265"/>
      <c r="BV4455" s="265"/>
    </row>
    <row r="4456" spans="12:74">
      <c r="L4456" s="265"/>
      <c r="M4456" s="265"/>
      <c r="N4456" s="265"/>
      <c r="O4456" s="265"/>
      <c r="P4456" s="265"/>
      <c r="Q4456" s="265"/>
      <c r="BR4456" s="265"/>
      <c r="BS4456" s="265"/>
      <c r="BT4456" s="265"/>
      <c r="BU4456" s="265"/>
      <c r="BV4456" s="265"/>
    </row>
    <row r="4457" spans="12:74">
      <c r="L4457" s="265"/>
      <c r="M4457" s="265"/>
      <c r="N4457" s="265"/>
      <c r="O4457" s="265"/>
      <c r="P4457" s="265"/>
      <c r="Q4457" s="265"/>
      <c r="BR4457" s="265"/>
      <c r="BS4457" s="265"/>
      <c r="BT4457" s="265"/>
      <c r="BU4457" s="265"/>
      <c r="BV4457" s="265"/>
    </row>
    <row r="4458" spans="12:74">
      <c r="L4458" s="265"/>
      <c r="M4458" s="265"/>
      <c r="N4458" s="265"/>
      <c r="O4458" s="265"/>
      <c r="P4458" s="265"/>
      <c r="Q4458" s="265"/>
      <c r="BR4458" s="265"/>
      <c r="BS4458" s="265"/>
      <c r="BT4458" s="265"/>
      <c r="BU4458" s="265"/>
      <c r="BV4458" s="265"/>
    </row>
    <row r="4459" spans="12:74">
      <c r="L4459" s="265"/>
      <c r="M4459" s="265"/>
      <c r="N4459" s="265"/>
      <c r="O4459" s="265"/>
      <c r="P4459" s="265"/>
      <c r="Q4459" s="265"/>
      <c r="BR4459" s="265"/>
      <c r="BS4459" s="265"/>
      <c r="BT4459" s="265"/>
      <c r="BU4459" s="265"/>
      <c r="BV4459" s="265"/>
    </row>
    <row r="4460" spans="12:74">
      <c r="L4460" s="265"/>
      <c r="M4460" s="265"/>
      <c r="N4460" s="265"/>
      <c r="O4460" s="265"/>
      <c r="P4460" s="265"/>
      <c r="Q4460" s="265"/>
      <c r="BR4460" s="265"/>
      <c r="BS4460" s="265"/>
      <c r="BT4460" s="265"/>
      <c r="BU4460" s="265"/>
      <c r="BV4460" s="265"/>
    </row>
    <row r="4461" spans="12:74">
      <c r="L4461" s="265"/>
      <c r="M4461" s="265"/>
      <c r="N4461" s="265"/>
      <c r="O4461" s="265"/>
      <c r="P4461" s="265"/>
      <c r="Q4461" s="265"/>
      <c r="BR4461" s="265"/>
      <c r="BS4461" s="265"/>
      <c r="BT4461" s="265"/>
      <c r="BU4461" s="265"/>
      <c r="BV4461" s="265"/>
    </row>
    <row r="4462" spans="12:74">
      <c r="L4462" s="265"/>
      <c r="M4462" s="265"/>
      <c r="N4462" s="265"/>
      <c r="O4462" s="265"/>
      <c r="P4462" s="265"/>
      <c r="Q4462" s="265"/>
      <c r="BR4462" s="265"/>
      <c r="BS4462" s="265"/>
      <c r="BT4462" s="265"/>
      <c r="BU4462" s="265"/>
      <c r="BV4462" s="265"/>
    </row>
    <row r="4463" spans="12:74">
      <c r="L4463" s="265"/>
      <c r="M4463" s="265"/>
      <c r="N4463" s="265"/>
      <c r="O4463" s="265"/>
      <c r="P4463" s="265"/>
      <c r="Q4463" s="265"/>
      <c r="BR4463" s="265"/>
      <c r="BS4463" s="265"/>
      <c r="BT4463" s="265"/>
      <c r="BU4463" s="265"/>
      <c r="BV4463" s="265"/>
    </row>
    <row r="4464" spans="12:74">
      <c r="L4464" s="265"/>
      <c r="M4464" s="265"/>
      <c r="N4464" s="265"/>
      <c r="O4464" s="265"/>
      <c r="P4464" s="265"/>
      <c r="Q4464" s="265"/>
      <c r="BR4464" s="265"/>
      <c r="BS4464" s="265"/>
      <c r="BT4464" s="265"/>
      <c r="BU4464" s="265"/>
      <c r="BV4464" s="265"/>
    </row>
    <row r="4465" spans="12:74">
      <c r="L4465" s="265"/>
      <c r="M4465" s="265"/>
      <c r="N4465" s="265"/>
      <c r="O4465" s="265"/>
      <c r="P4465" s="265"/>
      <c r="Q4465" s="265"/>
      <c r="BR4465" s="265"/>
      <c r="BS4465" s="265"/>
      <c r="BT4465" s="265"/>
      <c r="BU4465" s="265"/>
      <c r="BV4465" s="265"/>
    </row>
    <row r="4466" spans="12:74">
      <c r="L4466" s="265"/>
      <c r="M4466" s="265"/>
      <c r="N4466" s="265"/>
      <c r="O4466" s="265"/>
      <c r="P4466" s="265"/>
      <c r="Q4466" s="265"/>
      <c r="BR4466" s="265"/>
      <c r="BS4466" s="265"/>
      <c r="BT4466" s="265"/>
      <c r="BU4466" s="265"/>
      <c r="BV4466" s="265"/>
    </row>
    <row r="4467" spans="12:74">
      <c r="L4467" s="265"/>
      <c r="M4467" s="265"/>
      <c r="N4467" s="265"/>
      <c r="O4467" s="265"/>
      <c r="P4467" s="265"/>
      <c r="Q4467" s="265"/>
      <c r="BR4467" s="265"/>
      <c r="BS4467" s="265"/>
      <c r="BT4467" s="265"/>
      <c r="BU4467" s="265"/>
      <c r="BV4467" s="265"/>
    </row>
    <row r="4468" spans="12:74">
      <c r="L4468" s="265"/>
      <c r="M4468" s="265"/>
      <c r="N4468" s="265"/>
      <c r="O4468" s="265"/>
      <c r="P4468" s="265"/>
      <c r="Q4468" s="265"/>
      <c r="BR4468" s="265"/>
      <c r="BS4468" s="265"/>
      <c r="BT4468" s="265"/>
      <c r="BU4468" s="265"/>
      <c r="BV4468" s="265"/>
    </row>
    <row r="4469" spans="12:74">
      <c r="L4469" s="265"/>
      <c r="M4469" s="265"/>
      <c r="N4469" s="265"/>
      <c r="O4469" s="265"/>
      <c r="P4469" s="265"/>
      <c r="Q4469" s="265"/>
      <c r="BR4469" s="265"/>
      <c r="BS4469" s="265"/>
      <c r="BT4469" s="265"/>
      <c r="BU4469" s="265"/>
      <c r="BV4469" s="265"/>
    </row>
    <row r="4470" spans="12:74">
      <c r="L4470" s="265"/>
      <c r="M4470" s="265"/>
      <c r="N4470" s="265"/>
      <c r="O4470" s="265"/>
      <c r="P4470" s="265"/>
      <c r="Q4470" s="265"/>
      <c r="BR4470" s="265"/>
      <c r="BS4470" s="265"/>
      <c r="BT4470" s="265"/>
      <c r="BU4470" s="265"/>
      <c r="BV4470" s="265"/>
    </row>
    <row r="4471" spans="12:74">
      <c r="L4471" s="265"/>
      <c r="M4471" s="265"/>
      <c r="N4471" s="265"/>
      <c r="O4471" s="265"/>
      <c r="P4471" s="265"/>
      <c r="Q4471" s="265"/>
      <c r="BR4471" s="265"/>
      <c r="BS4471" s="265"/>
      <c r="BT4471" s="265"/>
      <c r="BU4471" s="265"/>
      <c r="BV4471" s="265"/>
    </row>
    <row r="4472" spans="12:74">
      <c r="L4472" s="265"/>
      <c r="M4472" s="265"/>
      <c r="N4472" s="265"/>
      <c r="O4472" s="265"/>
      <c r="P4472" s="265"/>
      <c r="Q4472" s="265"/>
      <c r="BR4472" s="265"/>
      <c r="BS4472" s="265"/>
      <c r="BT4472" s="265"/>
      <c r="BU4472" s="265"/>
      <c r="BV4472" s="265"/>
    </row>
    <row r="4473" spans="12:74">
      <c r="L4473" s="265"/>
      <c r="M4473" s="265"/>
      <c r="N4473" s="265"/>
      <c r="O4473" s="265"/>
      <c r="P4473" s="265"/>
      <c r="Q4473" s="265"/>
      <c r="BR4473" s="265"/>
      <c r="BS4473" s="265"/>
      <c r="BT4473" s="265"/>
      <c r="BU4473" s="265"/>
      <c r="BV4473" s="265"/>
    </row>
    <row r="4474" spans="12:74">
      <c r="L4474" s="265"/>
      <c r="M4474" s="265"/>
      <c r="N4474" s="265"/>
      <c r="O4474" s="265"/>
      <c r="P4474" s="265"/>
      <c r="Q4474" s="265"/>
      <c r="BR4474" s="265"/>
      <c r="BS4474" s="265"/>
      <c r="BT4474" s="265"/>
      <c r="BU4474" s="265"/>
      <c r="BV4474" s="265"/>
    </row>
    <row r="4475" spans="12:74">
      <c r="L4475" s="265"/>
      <c r="M4475" s="265"/>
      <c r="N4475" s="265"/>
      <c r="O4475" s="265"/>
      <c r="P4475" s="265"/>
      <c r="Q4475" s="265"/>
      <c r="BR4475" s="265"/>
      <c r="BS4475" s="265"/>
      <c r="BT4475" s="265"/>
      <c r="BU4475" s="265"/>
      <c r="BV4475" s="265"/>
    </row>
    <row r="4476" spans="12:74">
      <c r="L4476" s="265"/>
      <c r="M4476" s="265"/>
      <c r="N4476" s="265"/>
      <c r="O4476" s="265"/>
      <c r="P4476" s="265"/>
      <c r="Q4476" s="265"/>
      <c r="BR4476" s="265"/>
      <c r="BS4476" s="265"/>
      <c r="BT4476" s="265"/>
      <c r="BU4476" s="265"/>
      <c r="BV4476" s="265"/>
    </row>
    <row r="4477" spans="12:74">
      <c r="L4477" s="265"/>
      <c r="M4477" s="265"/>
      <c r="N4477" s="265"/>
      <c r="O4477" s="265"/>
      <c r="P4477" s="265"/>
      <c r="Q4477" s="265"/>
      <c r="BR4477" s="265"/>
      <c r="BS4477" s="265"/>
      <c r="BT4477" s="265"/>
      <c r="BU4477" s="265"/>
      <c r="BV4477" s="265"/>
    </row>
    <row r="4478" spans="12:74">
      <c r="L4478" s="265"/>
      <c r="M4478" s="265"/>
      <c r="N4478" s="265"/>
      <c r="O4478" s="265"/>
      <c r="P4478" s="265"/>
      <c r="Q4478" s="265"/>
      <c r="BR4478" s="265"/>
      <c r="BS4478" s="265"/>
      <c r="BT4478" s="265"/>
      <c r="BU4478" s="265"/>
      <c r="BV4478" s="265"/>
    </row>
    <row r="4479" spans="12:74">
      <c r="L4479" s="265"/>
      <c r="M4479" s="265"/>
      <c r="N4479" s="265"/>
      <c r="O4479" s="265"/>
      <c r="P4479" s="265"/>
      <c r="Q4479" s="265"/>
      <c r="BR4479" s="265"/>
      <c r="BS4479" s="265"/>
      <c r="BT4479" s="265"/>
      <c r="BU4479" s="265"/>
      <c r="BV4479" s="265"/>
    </row>
    <row r="4480" spans="12:74">
      <c r="L4480" s="265"/>
      <c r="M4480" s="265"/>
      <c r="N4480" s="265"/>
      <c r="O4480" s="265"/>
      <c r="P4480" s="265"/>
      <c r="Q4480" s="265"/>
      <c r="BR4480" s="265"/>
      <c r="BS4480" s="265"/>
      <c r="BT4480" s="265"/>
      <c r="BU4480" s="265"/>
      <c r="BV4480" s="265"/>
    </row>
    <row r="4481" spans="12:74">
      <c r="L4481" s="265"/>
      <c r="M4481" s="265"/>
      <c r="N4481" s="265"/>
      <c r="O4481" s="265"/>
      <c r="P4481" s="265"/>
      <c r="Q4481" s="265"/>
      <c r="BR4481" s="265"/>
      <c r="BS4481" s="265"/>
      <c r="BT4481" s="265"/>
      <c r="BU4481" s="265"/>
      <c r="BV4481" s="265"/>
    </row>
    <row r="4482" spans="12:74">
      <c r="L4482" s="265"/>
      <c r="M4482" s="265"/>
      <c r="N4482" s="265"/>
      <c r="O4482" s="265"/>
      <c r="P4482" s="265"/>
      <c r="Q4482" s="265"/>
      <c r="BR4482" s="265"/>
      <c r="BS4482" s="265"/>
      <c r="BT4482" s="265"/>
      <c r="BU4482" s="265"/>
      <c r="BV4482" s="265"/>
    </row>
    <row r="4483" spans="12:74">
      <c r="L4483" s="265"/>
      <c r="M4483" s="265"/>
      <c r="N4483" s="265"/>
      <c r="O4483" s="265"/>
      <c r="P4483" s="265"/>
      <c r="Q4483" s="265"/>
      <c r="BR4483" s="265"/>
      <c r="BS4483" s="265"/>
      <c r="BT4483" s="265"/>
      <c r="BU4483" s="265"/>
      <c r="BV4483" s="265"/>
    </row>
    <row r="4484" spans="12:74">
      <c r="L4484" s="265"/>
      <c r="M4484" s="265"/>
      <c r="N4484" s="265"/>
      <c r="O4484" s="265"/>
      <c r="P4484" s="265"/>
      <c r="Q4484" s="265"/>
      <c r="BR4484" s="265"/>
      <c r="BS4484" s="265"/>
      <c r="BT4484" s="265"/>
      <c r="BU4484" s="265"/>
      <c r="BV4484" s="265"/>
    </row>
    <row r="4485" spans="12:74">
      <c r="L4485" s="265"/>
      <c r="M4485" s="265"/>
      <c r="N4485" s="265"/>
      <c r="O4485" s="265"/>
      <c r="P4485" s="265"/>
      <c r="Q4485" s="265"/>
      <c r="BR4485" s="265"/>
      <c r="BS4485" s="265"/>
      <c r="BT4485" s="265"/>
      <c r="BU4485" s="265"/>
      <c r="BV4485" s="265"/>
    </row>
    <row r="4486" spans="12:74">
      <c r="L4486" s="265"/>
      <c r="M4486" s="265"/>
      <c r="N4486" s="265"/>
      <c r="O4486" s="265"/>
      <c r="P4486" s="265"/>
      <c r="Q4486" s="265"/>
      <c r="BR4486" s="265"/>
      <c r="BS4486" s="265"/>
      <c r="BT4486" s="265"/>
      <c r="BU4486" s="265"/>
      <c r="BV4486" s="265"/>
    </row>
    <row r="4487" spans="12:74">
      <c r="L4487" s="265"/>
      <c r="M4487" s="265"/>
      <c r="N4487" s="265"/>
      <c r="O4487" s="265"/>
      <c r="P4487" s="265"/>
      <c r="Q4487" s="265"/>
      <c r="BR4487" s="265"/>
      <c r="BS4487" s="265"/>
      <c r="BT4487" s="265"/>
      <c r="BU4487" s="265"/>
      <c r="BV4487" s="265"/>
    </row>
    <row r="4488" spans="12:74">
      <c r="L4488" s="265"/>
      <c r="M4488" s="265"/>
      <c r="N4488" s="265"/>
      <c r="O4488" s="265"/>
      <c r="P4488" s="265"/>
      <c r="Q4488" s="265"/>
      <c r="BR4488" s="265"/>
      <c r="BS4488" s="265"/>
      <c r="BT4488" s="265"/>
      <c r="BU4488" s="265"/>
      <c r="BV4488" s="265"/>
    </row>
    <row r="4489" spans="12:74">
      <c r="L4489" s="265"/>
      <c r="M4489" s="265"/>
      <c r="N4489" s="265"/>
      <c r="O4489" s="265"/>
      <c r="P4489" s="265"/>
      <c r="Q4489" s="265"/>
      <c r="BR4489" s="265"/>
      <c r="BS4489" s="265"/>
      <c r="BT4489" s="265"/>
      <c r="BU4489" s="265"/>
      <c r="BV4489" s="265"/>
    </row>
    <row r="4490" spans="12:74">
      <c r="L4490" s="265"/>
      <c r="M4490" s="265"/>
      <c r="N4490" s="265"/>
      <c r="O4490" s="265"/>
      <c r="P4490" s="265"/>
      <c r="Q4490" s="265"/>
      <c r="BR4490" s="265"/>
      <c r="BS4490" s="265"/>
      <c r="BT4490" s="265"/>
      <c r="BU4490" s="265"/>
      <c r="BV4490" s="265"/>
    </row>
    <row r="4491" spans="12:74">
      <c r="L4491" s="265"/>
      <c r="M4491" s="265"/>
      <c r="N4491" s="265"/>
      <c r="O4491" s="265"/>
      <c r="P4491" s="265"/>
      <c r="Q4491" s="265"/>
      <c r="BR4491" s="265"/>
      <c r="BS4491" s="265"/>
      <c r="BT4491" s="265"/>
      <c r="BU4491" s="265"/>
      <c r="BV4491" s="265"/>
    </row>
    <row r="4492" spans="12:74">
      <c r="L4492" s="265"/>
      <c r="M4492" s="265"/>
      <c r="N4492" s="265"/>
      <c r="O4492" s="265"/>
      <c r="P4492" s="265"/>
      <c r="Q4492" s="265"/>
      <c r="BR4492" s="265"/>
      <c r="BS4492" s="265"/>
      <c r="BT4492" s="265"/>
      <c r="BU4492" s="265"/>
      <c r="BV4492" s="265"/>
    </row>
    <row r="4493" spans="12:74">
      <c r="L4493" s="265"/>
      <c r="M4493" s="265"/>
      <c r="N4493" s="265"/>
      <c r="O4493" s="265"/>
      <c r="P4493" s="265"/>
      <c r="Q4493" s="265"/>
      <c r="BR4493" s="265"/>
      <c r="BS4493" s="265"/>
      <c r="BT4493" s="265"/>
      <c r="BU4493" s="265"/>
      <c r="BV4493" s="265"/>
    </row>
    <row r="4494" spans="12:74">
      <c r="L4494" s="265"/>
      <c r="M4494" s="265"/>
      <c r="N4494" s="265"/>
      <c r="O4494" s="265"/>
      <c r="P4494" s="265"/>
      <c r="Q4494" s="265"/>
      <c r="BR4494" s="265"/>
      <c r="BS4494" s="265"/>
      <c r="BT4494" s="265"/>
      <c r="BU4494" s="265"/>
      <c r="BV4494" s="265"/>
    </row>
    <row r="4495" spans="12:74">
      <c r="L4495" s="265"/>
      <c r="M4495" s="265"/>
      <c r="N4495" s="265"/>
      <c r="O4495" s="265"/>
      <c r="P4495" s="265"/>
      <c r="Q4495" s="265"/>
      <c r="BR4495" s="265"/>
      <c r="BS4495" s="265"/>
      <c r="BT4495" s="265"/>
      <c r="BU4495" s="265"/>
      <c r="BV4495" s="265"/>
    </row>
    <row r="4496" spans="12:74">
      <c r="L4496" s="265"/>
      <c r="M4496" s="265"/>
      <c r="N4496" s="265"/>
      <c r="O4496" s="265"/>
      <c r="P4496" s="265"/>
      <c r="Q4496" s="265"/>
      <c r="BR4496" s="265"/>
      <c r="BS4496" s="265"/>
      <c r="BT4496" s="265"/>
      <c r="BU4496" s="265"/>
      <c r="BV4496" s="265"/>
    </row>
    <row r="4497" spans="12:74">
      <c r="L4497" s="265"/>
      <c r="M4497" s="265"/>
      <c r="N4497" s="265"/>
      <c r="O4497" s="265"/>
      <c r="P4497" s="265"/>
      <c r="Q4497" s="265"/>
      <c r="BR4497" s="265"/>
      <c r="BS4497" s="265"/>
      <c r="BT4497" s="265"/>
      <c r="BU4497" s="265"/>
      <c r="BV4497" s="265"/>
    </row>
    <row r="4498" spans="12:74">
      <c r="L4498" s="265"/>
      <c r="M4498" s="265"/>
      <c r="N4498" s="265"/>
      <c r="O4498" s="265"/>
      <c r="P4498" s="265"/>
      <c r="Q4498" s="265"/>
      <c r="BR4498" s="265"/>
      <c r="BS4498" s="265"/>
      <c r="BT4498" s="265"/>
      <c r="BU4498" s="265"/>
      <c r="BV4498" s="265"/>
    </row>
    <row r="4499" spans="12:74">
      <c r="L4499" s="265"/>
      <c r="M4499" s="265"/>
      <c r="N4499" s="265"/>
      <c r="O4499" s="265"/>
      <c r="P4499" s="265"/>
      <c r="Q4499" s="265"/>
      <c r="BR4499" s="265"/>
      <c r="BS4499" s="265"/>
      <c r="BT4499" s="265"/>
      <c r="BU4499" s="265"/>
      <c r="BV4499" s="265"/>
    </row>
    <row r="4500" spans="12:74">
      <c r="L4500" s="265"/>
      <c r="M4500" s="265"/>
      <c r="N4500" s="265"/>
      <c r="O4500" s="265"/>
      <c r="P4500" s="265"/>
      <c r="Q4500" s="265"/>
      <c r="BR4500" s="265"/>
      <c r="BS4500" s="265"/>
      <c r="BT4500" s="265"/>
      <c r="BU4500" s="265"/>
      <c r="BV4500" s="265"/>
    </row>
    <row r="4501" spans="12:74">
      <c r="L4501" s="265"/>
      <c r="M4501" s="265"/>
      <c r="N4501" s="265"/>
      <c r="O4501" s="265"/>
      <c r="P4501" s="265"/>
      <c r="Q4501" s="265"/>
      <c r="BR4501" s="265"/>
      <c r="BS4501" s="265"/>
      <c r="BT4501" s="265"/>
      <c r="BU4501" s="265"/>
      <c r="BV4501" s="265"/>
    </row>
    <row r="4502" spans="12:74">
      <c r="L4502" s="265"/>
      <c r="M4502" s="265"/>
      <c r="N4502" s="265"/>
      <c r="O4502" s="265"/>
      <c r="P4502" s="265"/>
      <c r="Q4502" s="265"/>
      <c r="BR4502" s="265"/>
      <c r="BS4502" s="265"/>
      <c r="BT4502" s="265"/>
      <c r="BU4502" s="265"/>
      <c r="BV4502" s="265"/>
    </row>
    <row r="4503" spans="12:74">
      <c r="L4503" s="265"/>
      <c r="M4503" s="265"/>
      <c r="N4503" s="265"/>
      <c r="O4503" s="265"/>
      <c r="P4503" s="265"/>
      <c r="Q4503" s="265"/>
      <c r="BR4503" s="265"/>
      <c r="BS4503" s="265"/>
      <c r="BT4503" s="265"/>
      <c r="BU4503" s="265"/>
      <c r="BV4503" s="265"/>
    </row>
    <row r="4504" spans="12:74">
      <c r="L4504" s="265"/>
      <c r="M4504" s="265"/>
      <c r="N4504" s="265"/>
      <c r="O4504" s="265"/>
      <c r="P4504" s="265"/>
      <c r="Q4504" s="265"/>
      <c r="BR4504" s="265"/>
      <c r="BS4504" s="265"/>
      <c r="BT4504" s="265"/>
      <c r="BU4504" s="265"/>
      <c r="BV4504" s="265"/>
    </row>
    <row r="4505" spans="12:74">
      <c r="L4505" s="265"/>
      <c r="M4505" s="265"/>
      <c r="N4505" s="265"/>
      <c r="O4505" s="265"/>
      <c r="P4505" s="265"/>
      <c r="Q4505" s="265"/>
      <c r="BR4505" s="265"/>
      <c r="BS4505" s="265"/>
      <c r="BT4505" s="265"/>
      <c r="BU4505" s="265"/>
      <c r="BV4505" s="265"/>
    </row>
    <row r="4506" spans="12:74">
      <c r="L4506" s="265"/>
      <c r="M4506" s="265"/>
      <c r="N4506" s="265"/>
      <c r="O4506" s="265"/>
      <c r="P4506" s="265"/>
      <c r="Q4506" s="265"/>
      <c r="BR4506" s="265"/>
      <c r="BS4506" s="265"/>
      <c r="BT4506" s="265"/>
      <c r="BU4506" s="265"/>
      <c r="BV4506" s="265"/>
    </row>
    <row r="4507" spans="12:74">
      <c r="L4507" s="265"/>
      <c r="M4507" s="265"/>
      <c r="N4507" s="265"/>
      <c r="O4507" s="265"/>
      <c r="P4507" s="265"/>
      <c r="Q4507" s="265"/>
      <c r="BR4507" s="265"/>
      <c r="BS4507" s="265"/>
      <c r="BT4507" s="265"/>
      <c r="BU4507" s="265"/>
      <c r="BV4507" s="265"/>
    </row>
    <row r="4508" spans="12:74">
      <c r="L4508" s="265"/>
      <c r="M4508" s="265"/>
      <c r="N4508" s="265"/>
      <c r="O4508" s="265"/>
      <c r="P4508" s="265"/>
      <c r="Q4508" s="265"/>
      <c r="BR4508" s="265"/>
      <c r="BS4508" s="265"/>
      <c r="BT4508" s="265"/>
      <c r="BU4508" s="265"/>
      <c r="BV4508" s="265"/>
    </row>
    <row r="4509" spans="12:74">
      <c r="L4509" s="265"/>
      <c r="M4509" s="265"/>
      <c r="N4509" s="265"/>
      <c r="O4509" s="265"/>
      <c r="P4509" s="265"/>
      <c r="Q4509" s="265"/>
      <c r="BR4509" s="265"/>
      <c r="BS4509" s="265"/>
      <c r="BT4509" s="265"/>
      <c r="BU4509" s="265"/>
      <c r="BV4509" s="265"/>
    </row>
    <row r="4510" spans="12:74">
      <c r="L4510" s="265"/>
      <c r="M4510" s="265"/>
      <c r="N4510" s="265"/>
      <c r="O4510" s="265"/>
      <c r="P4510" s="265"/>
      <c r="Q4510" s="265"/>
      <c r="BR4510" s="265"/>
      <c r="BS4510" s="265"/>
      <c r="BT4510" s="265"/>
      <c r="BU4510" s="265"/>
      <c r="BV4510" s="265"/>
    </row>
    <row r="4511" spans="12:74">
      <c r="L4511" s="265"/>
      <c r="M4511" s="265"/>
      <c r="N4511" s="265"/>
      <c r="O4511" s="265"/>
      <c r="P4511" s="265"/>
      <c r="Q4511" s="265"/>
      <c r="BR4511" s="265"/>
      <c r="BS4511" s="265"/>
      <c r="BT4511" s="265"/>
      <c r="BU4511" s="265"/>
      <c r="BV4511" s="265"/>
    </row>
    <row r="4512" spans="12:74">
      <c r="L4512" s="265"/>
      <c r="M4512" s="265"/>
      <c r="N4512" s="265"/>
      <c r="O4512" s="265"/>
      <c r="P4512" s="265"/>
      <c r="Q4512" s="265"/>
      <c r="BR4512" s="265"/>
      <c r="BS4512" s="265"/>
      <c r="BT4512" s="265"/>
      <c r="BU4512" s="265"/>
      <c r="BV4512" s="265"/>
    </row>
    <row r="4513" spans="12:74">
      <c r="L4513" s="265"/>
      <c r="M4513" s="265"/>
      <c r="N4513" s="265"/>
      <c r="O4513" s="265"/>
      <c r="P4513" s="265"/>
      <c r="Q4513" s="265"/>
      <c r="BR4513" s="265"/>
      <c r="BS4513" s="265"/>
      <c r="BT4513" s="265"/>
      <c r="BU4513" s="265"/>
      <c r="BV4513" s="265"/>
    </row>
    <row r="4514" spans="12:74">
      <c r="L4514" s="265"/>
      <c r="M4514" s="265"/>
      <c r="N4514" s="265"/>
      <c r="O4514" s="265"/>
      <c r="P4514" s="265"/>
      <c r="Q4514" s="265"/>
      <c r="BR4514" s="265"/>
      <c r="BS4514" s="265"/>
      <c r="BT4514" s="265"/>
      <c r="BU4514" s="265"/>
      <c r="BV4514" s="265"/>
    </row>
    <row r="4515" spans="12:74">
      <c r="L4515" s="265"/>
      <c r="M4515" s="265"/>
      <c r="N4515" s="265"/>
      <c r="O4515" s="265"/>
      <c r="P4515" s="265"/>
      <c r="Q4515" s="265"/>
      <c r="BR4515" s="265"/>
      <c r="BS4515" s="265"/>
      <c r="BT4515" s="265"/>
      <c r="BU4515" s="265"/>
      <c r="BV4515" s="265"/>
    </row>
    <row r="4516" spans="12:74">
      <c r="L4516" s="265"/>
      <c r="M4516" s="265"/>
      <c r="N4516" s="265"/>
      <c r="O4516" s="265"/>
      <c r="P4516" s="265"/>
      <c r="Q4516" s="265"/>
      <c r="BR4516" s="265"/>
      <c r="BS4516" s="265"/>
      <c r="BT4516" s="265"/>
      <c r="BU4516" s="265"/>
      <c r="BV4516" s="265"/>
    </row>
    <row r="4517" spans="12:74">
      <c r="L4517" s="265"/>
      <c r="M4517" s="265"/>
      <c r="N4517" s="265"/>
      <c r="O4517" s="265"/>
      <c r="P4517" s="265"/>
      <c r="Q4517" s="265"/>
      <c r="BR4517" s="265"/>
      <c r="BS4517" s="265"/>
      <c r="BT4517" s="265"/>
      <c r="BU4517" s="265"/>
      <c r="BV4517" s="265"/>
    </row>
    <row r="4518" spans="12:74">
      <c r="L4518" s="265"/>
      <c r="M4518" s="265"/>
      <c r="N4518" s="265"/>
      <c r="O4518" s="265"/>
      <c r="P4518" s="265"/>
      <c r="Q4518" s="265"/>
      <c r="BR4518" s="265"/>
      <c r="BS4518" s="265"/>
      <c r="BT4518" s="265"/>
      <c r="BU4518" s="265"/>
      <c r="BV4518" s="265"/>
    </row>
    <row r="4519" spans="12:74">
      <c r="L4519" s="265"/>
      <c r="M4519" s="265"/>
      <c r="N4519" s="265"/>
      <c r="O4519" s="265"/>
      <c r="P4519" s="265"/>
      <c r="Q4519" s="265"/>
      <c r="BR4519" s="265"/>
      <c r="BS4519" s="265"/>
      <c r="BT4519" s="265"/>
      <c r="BU4519" s="265"/>
      <c r="BV4519" s="265"/>
    </row>
    <row r="4520" spans="12:74">
      <c r="L4520" s="265"/>
      <c r="M4520" s="265"/>
      <c r="N4520" s="265"/>
      <c r="O4520" s="265"/>
      <c r="P4520" s="265"/>
      <c r="Q4520" s="265"/>
      <c r="BR4520" s="265"/>
      <c r="BS4520" s="265"/>
      <c r="BT4520" s="265"/>
      <c r="BU4520" s="265"/>
      <c r="BV4520" s="265"/>
    </row>
    <row r="4521" spans="12:74">
      <c r="L4521" s="265"/>
      <c r="M4521" s="265"/>
      <c r="N4521" s="265"/>
      <c r="O4521" s="265"/>
      <c r="P4521" s="265"/>
      <c r="Q4521" s="265"/>
      <c r="BR4521" s="265"/>
      <c r="BS4521" s="265"/>
      <c r="BT4521" s="265"/>
      <c r="BU4521" s="265"/>
      <c r="BV4521" s="265"/>
    </row>
    <row r="4522" spans="12:74">
      <c r="L4522" s="265"/>
      <c r="M4522" s="265"/>
      <c r="N4522" s="265"/>
      <c r="O4522" s="265"/>
      <c r="P4522" s="265"/>
      <c r="Q4522" s="265"/>
      <c r="BR4522" s="265"/>
      <c r="BS4522" s="265"/>
      <c r="BT4522" s="265"/>
      <c r="BU4522" s="265"/>
      <c r="BV4522" s="265"/>
    </row>
    <row r="4523" spans="12:74">
      <c r="L4523" s="265"/>
      <c r="M4523" s="265"/>
      <c r="N4523" s="265"/>
      <c r="O4523" s="265"/>
      <c r="P4523" s="265"/>
      <c r="Q4523" s="265"/>
      <c r="BR4523" s="265"/>
      <c r="BS4523" s="265"/>
      <c r="BT4523" s="265"/>
      <c r="BU4523" s="265"/>
      <c r="BV4523" s="265"/>
    </row>
    <row r="4524" spans="12:74">
      <c r="L4524" s="265"/>
      <c r="M4524" s="265"/>
      <c r="N4524" s="265"/>
      <c r="O4524" s="265"/>
      <c r="P4524" s="265"/>
      <c r="Q4524" s="265"/>
      <c r="BR4524" s="265"/>
      <c r="BS4524" s="265"/>
      <c r="BT4524" s="265"/>
      <c r="BU4524" s="265"/>
      <c r="BV4524" s="265"/>
    </row>
    <row r="4525" spans="12:74">
      <c r="L4525" s="265"/>
      <c r="M4525" s="265"/>
      <c r="N4525" s="265"/>
      <c r="O4525" s="265"/>
      <c r="P4525" s="265"/>
      <c r="Q4525" s="265"/>
      <c r="BR4525" s="265"/>
      <c r="BS4525" s="265"/>
      <c r="BT4525" s="265"/>
      <c r="BU4525" s="265"/>
      <c r="BV4525" s="265"/>
    </row>
    <row r="4526" spans="12:74">
      <c r="L4526" s="265"/>
      <c r="M4526" s="265"/>
      <c r="N4526" s="265"/>
      <c r="O4526" s="265"/>
      <c r="P4526" s="265"/>
      <c r="Q4526" s="265"/>
      <c r="BR4526" s="265"/>
      <c r="BS4526" s="265"/>
      <c r="BT4526" s="265"/>
      <c r="BU4526" s="265"/>
      <c r="BV4526" s="265"/>
    </row>
    <row r="4527" spans="12:74">
      <c r="L4527" s="265"/>
      <c r="M4527" s="265"/>
      <c r="N4527" s="265"/>
      <c r="O4527" s="265"/>
      <c r="P4527" s="265"/>
      <c r="Q4527" s="265"/>
      <c r="BR4527" s="265"/>
      <c r="BS4527" s="265"/>
      <c r="BT4527" s="265"/>
      <c r="BU4527" s="265"/>
      <c r="BV4527" s="265"/>
    </row>
    <row r="4528" spans="12:74">
      <c r="L4528" s="265"/>
      <c r="M4528" s="265"/>
      <c r="N4528" s="265"/>
      <c r="O4528" s="265"/>
      <c r="P4528" s="265"/>
      <c r="Q4528" s="265"/>
      <c r="BR4528" s="265"/>
      <c r="BS4528" s="265"/>
      <c r="BT4528" s="265"/>
      <c r="BU4528" s="265"/>
      <c r="BV4528" s="265"/>
    </row>
    <row r="4529" spans="12:74">
      <c r="L4529" s="265"/>
      <c r="M4529" s="265"/>
      <c r="N4529" s="265"/>
      <c r="O4529" s="265"/>
      <c r="P4529" s="265"/>
      <c r="Q4529" s="265"/>
      <c r="BR4529" s="265"/>
      <c r="BS4529" s="265"/>
      <c r="BT4529" s="265"/>
      <c r="BU4529" s="265"/>
      <c r="BV4529" s="265"/>
    </row>
    <row r="4530" spans="12:74">
      <c r="L4530" s="265"/>
      <c r="M4530" s="265"/>
      <c r="N4530" s="265"/>
      <c r="O4530" s="265"/>
      <c r="P4530" s="265"/>
      <c r="Q4530" s="265"/>
      <c r="BR4530" s="265"/>
      <c r="BS4530" s="265"/>
      <c r="BT4530" s="265"/>
      <c r="BU4530" s="265"/>
      <c r="BV4530" s="265"/>
    </row>
    <row r="4531" spans="12:74">
      <c r="L4531" s="265"/>
      <c r="M4531" s="265"/>
      <c r="N4531" s="265"/>
      <c r="O4531" s="265"/>
      <c r="P4531" s="265"/>
      <c r="Q4531" s="265"/>
      <c r="BR4531" s="265"/>
      <c r="BS4531" s="265"/>
      <c r="BT4531" s="265"/>
      <c r="BU4531" s="265"/>
      <c r="BV4531" s="265"/>
    </row>
    <row r="4532" spans="12:74">
      <c r="L4532" s="265"/>
      <c r="M4532" s="265"/>
      <c r="N4532" s="265"/>
      <c r="O4532" s="265"/>
      <c r="P4532" s="265"/>
      <c r="Q4532" s="265"/>
      <c r="BR4532" s="265"/>
      <c r="BS4532" s="265"/>
      <c r="BT4532" s="265"/>
      <c r="BU4532" s="265"/>
      <c r="BV4532" s="265"/>
    </row>
    <row r="4533" spans="12:74">
      <c r="L4533" s="265"/>
      <c r="M4533" s="265"/>
      <c r="N4533" s="265"/>
      <c r="O4533" s="265"/>
      <c r="P4533" s="265"/>
      <c r="Q4533" s="265"/>
      <c r="BR4533" s="265"/>
      <c r="BS4533" s="265"/>
      <c r="BT4533" s="265"/>
      <c r="BU4533" s="265"/>
      <c r="BV4533" s="265"/>
    </row>
    <row r="4534" spans="12:74">
      <c r="L4534" s="265"/>
      <c r="M4534" s="265"/>
      <c r="N4534" s="265"/>
      <c r="O4534" s="265"/>
      <c r="P4534" s="265"/>
      <c r="Q4534" s="265"/>
      <c r="BR4534" s="265"/>
      <c r="BS4534" s="265"/>
      <c r="BT4534" s="265"/>
      <c r="BU4534" s="265"/>
      <c r="BV4534" s="265"/>
    </row>
    <row r="4535" spans="12:74">
      <c r="L4535" s="265"/>
      <c r="M4535" s="265"/>
      <c r="N4535" s="265"/>
      <c r="O4535" s="265"/>
      <c r="P4535" s="265"/>
      <c r="Q4535" s="265"/>
      <c r="BR4535" s="265"/>
      <c r="BS4535" s="265"/>
      <c r="BT4535" s="265"/>
      <c r="BU4535" s="265"/>
      <c r="BV4535" s="265"/>
    </row>
    <row r="4536" spans="12:74">
      <c r="L4536" s="265"/>
      <c r="M4536" s="265"/>
      <c r="N4536" s="265"/>
      <c r="O4536" s="265"/>
      <c r="P4536" s="265"/>
      <c r="Q4536" s="265"/>
      <c r="BR4536" s="265"/>
      <c r="BS4536" s="265"/>
      <c r="BT4536" s="265"/>
      <c r="BU4536" s="265"/>
      <c r="BV4536" s="265"/>
    </row>
    <row r="4537" spans="12:74">
      <c r="L4537" s="265"/>
      <c r="M4537" s="265"/>
      <c r="N4537" s="265"/>
      <c r="O4537" s="265"/>
      <c r="P4537" s="265"/>
      <c r="Q4537" s="265"/>
      <c r="BR4537" s="265"/>
      <c r="BS4537" s="265"/>
      <c r="BT4537" s="265"/>
      <c r="BU4537" s="265"/>
      <c r="BV4537" s="265"/>
    </row>
    <row r="4538" spans="12:74">
      <c r="L4538" s="265"/>
      <c r="M4538" s="265"/>
      <c r="N4538" s="265"/>
      <c r="O4538" s="265"/>
      <c r="P4538" s="265"/>
      <c r="Q4538" s="265"/>
      <c r="BR4538" s="265"/>
      <c r="BS4538" s="265"/>
      <c r="BT4538" s="265"/>
      <c r="BU4538" s="265"/>
      <c r="BV4538" s="265"/>
    </row>
    <row r="4539" spans="12:74">
      <c r="L4539" s="265"/>
      <c r="M4539" s="265"/>
      <c r="N4539" s="265"/>
      <c r="O4539" s="265"/>
      <c r="P4539" s="265"/>
      <c r="Q4539" s="265"/>
      <c r="BR4539" s="265"/>
      <c r="BS4539" s="265"/>
      <c r="BT4539" s="265"/>
      <c r="BU4539" s="265"/>
      <c r="BV4539" s="265"/>
    </row>
    <row r="4540" spans="12:74">
      <c r="L4540" s="265"/>
      <c r="M4540" s="265"/>
      <c r="N4540" s="265"/>
      <c r="O4540" s="265"/>
      <c r="P4540" s="265"/>
      <c r="Q4540" s="265"/>
      <c r="BR4540" s="265"/>
      <c r="BS4540" s="265"/>
      <c r="BT4540" s="265"/>
      <c r="BU4540" s="265"/>
      <c r="BV4540" s="265"/>
    </row>
    <row r="4541" spans="12:74">
      <c r="L4541" s="265"/>
      <c r="M4541" s="265"/>
      <c r="N4541" s="265"/>
      <c r="O4541" s="265"/>
      <c r="P4541" s="265"/>
      <c r="Q4541" s="265"/>
      <c r="BR4541" s="265"/>
      <c r="BS4541" s="265"/>
      <c r="BT4541" s="265"/>
      <c r="BU4541" s="265"/>
      <c r="BV4541" s="265"/>
    </row>
    <row r="4542" spans="12:74">
      <c r="L4542" s="265"/>
      <c r="M4542" s="265"/>
      <c r="N4542" s="265"/>
      <c r="O4542" s="265"/>
      <c r="P4542" s="265"/>
      <c r="Q4542" s="265"/>
      <c r="BR4542" s="265"/>
      <c r="BS4542" s="265"/>
      <c r="BT4542" s="265"/>
      <c r="BU4542" s="265"/>
      <c r="BV4542" s="265"/>
    </row>
    <row r="4543" spans="12:74">
      <c r="L4543" s="265"/>
      <c r="M4543" s="265"/>
      <c r="N4543" s="265"/>
      <c r="O4543" s="265"/>
      <c r="P4543" s="265"/>
      <c r="Q4543" s="265"/>
      <c r="BR4543" s="265"/>
      <c r="BS4543" s="265"/>
      <c r="BT4543" s="265"/>
      <c r="BU4543" s="265"/>
      <c r="BV4543" s="265"/>
    </row>
    <row r="4544" spans="12:74">
      <c r="L4544" s="265"/>
      <c r="M4544" s="265"/>
      <c r="N4544" s="265"/>
      <c r="O4544" s="265"/>
      <c r="P4544" s="265"/>
      <c r="Q4544" s="265"/>
      <c r="BR4544" s="265"/>
      <c r="BS4544" s="265"/>
      <c r="BT4544" s="265"/>
      <c r="BU4544" s="265"/>
      <c r="BV4544" s="265"/>
    </row>
    <row r="4545" spans="12:74">
      <c r="L4545" s="265"/>
      <c r="M4545" s="265"/>
      <c r="N4545" s="265"/>
      <c r="O4545" s="265"/>
      <c r="P4545" s="265"/>
      <c r="Q4545" s="265"/>
      <c r="BR4545" s="265"/>
      <c r="BS4545" s="265"/>
      <c r="BT4545" s="265"/>
      <c r="BU4545" s="265"/>
      <c r="BV4545" s="265"/>
    </row>
    <row r="4546" spans="12:74">
      <c r="L4546" s="265"/>
      <c r="M4546" s="265"/>
      <c r="N4546" s="265"/>
      <c r="O4546" s="265"/>
      <c r="P4546" s="265"/>
      <c r="Q4546" s="265"/>
      <c r="BR4546" s="265"/>
      <c r="BS4546" s="265"/>
      <c r="BT4546" s="265"/>
      <c r="BU4546" s="265"/>
      <c r="BV4546" s="265"/>
    </row>
    <row r="4547" spans="12:74">
      <c r="L4547" s="265"/>
      <c r="M4547" s="265"/>
      <c r="N4547" s="265"/>
      <c r="O4547" s="265"/>
      <c r="P4547" s="265"/>
      <c r="Q4547" s="265"/>
      <c r="BR4547" s="265"/>
      <c r="BS4547" s="265"/>
      <c r="BT4547" s="265"/>
      <c r="BU4547" s="265"/>
      <c r="BV4547" s="265"/>
    </row>
    <row r="4548" spans="12:74">
      <c r="L4548" s="265"/>
      <c r="M4548" s="265"/>
      <c r="N4548" s="265"/>
      <c r="O4548" s="265"/>
      <c r="P4548" s="265"/>
      <c r="Q4548" s="265"/>
      <c r="BR4548" s="265"/>
      <c r="BS4548" s="265"/>
      <c r="BT4548" s="265"/>
      <c r="BU4548" s="265"/>
      <c r="BV4548" s="265"/>
    </row>
    <row r="4549" spans="12:74">
      <c r="L4549" s="265"/>
      <c r="M4549" s="265"/>
      <c r="N4549" s="265"/>
      <c r="O4549" s="265"/>
      <c r="P4549" s="265"/>
      <c r="Q4549" s="265"/>
      <c r="BR4549" s="265"/>
      <c r="BS4549" s="265"/>
      <c r="BT4549" s="265"/>
      <c r="BU4549" s="265"/>
      <c r="BV4549" s="265"/>
    </row>
    <row r="4550" spans="12:74">
      <c r="L4550" s="265"/>
      <c r="M4550" s="265"/>
      <c r="N4550" s="265"/>
      <c r="O4550" s="265"/>
      <c r="P4550" s="265"/>
      <c r="Q4550" s="265"/>
      <c r="BR4550" s="265"/>
      <c r="BS4550" s="265"/>
      <c r="BT4550" s="265"/>
      <c r="BU4550" s="265"/>
      <c r="BV4550" s="265"/>
    </row>
    <row r="4551" spans="12:74">
      <c r="L4551" s="265"/>
      <c r="M4551" s="265"/>
      <c r="N4551" s="265"/>
      <c r="O4551" s="265"/>
      <c r="P4551" s="265"/>
      <c r="Q4551" s="265"/>
      <c r="BR4551" s="265"/>
      <c r="BS4551" s="265"/>
      <c r="BT4551" s="265"/>
      <c r="BU4551" s="265"/>
      <c r="BV4551" s="265"/>
    </row>
    <row r="4552" spans="12:74">
      <c r="L4552" s="265"/>
      <c r="M4552" s="265"/>
      <c r="N4552" s="265"/>
      <c r="O4552" s="265"/>
      <c r="P4552" s="265"/>
      <c r="Q4552" s="265"/>
      <c r="BR4552" s="265"/>
      <c r="BS4552" s="265"/>
      <c r="BT4552" s="265"/>
      <c r="BU4552" s="265"/>
      <c r="BV4552" s="265"/>
    </row>
    <row r="4553" spans="12:74">
      <c r="L4553" s="265"/>
      <c r="M4553" s="265"/>
      <c r="N4553" s="265"/>
      <c r="O4553" s="265"/>
      <c r="P4553" s="265"/>
      <c r="Q4553" s="265"/>
      <c r="BR4553" s="265"/>
      <c r="BS4553" s="265"/>
      <c r="BT4553" s="265"/>
      <c r="BU4553" s="265"/>
      <c r="BV4553" s="265"/>
    </row>
    <row r="4554" spans="12:74">
      <c r="L4554" s="265"/>
      <c r="M4554" s="265"/>
      <c r="N4554" s="265"/>
      <c r="O4554" s="265"/>
      <c r="P4554" s="265"/>
      <c r="Q4554" s="265"/>
      <c r="BR4554" s="265"/>
      <c r="BS4554" s="265"/>
      <c r="BT4554" s="265"/>
      <c r="BU4554" s="265"/>
      <c r="BV4554" s="265"/>
    </row>
    <row r="4555" spans="12:74">
      <c r="L4555" s="265"/>
      <c r="M4555" s="265"/>
      <c r="N4555" s="265"/>
      <c r="O4555" s="265"/>
      <c r="P4555" s="265"/>
      <c r="Q4555" s="265"/>
      <c r="BR4555" s="265"/>
      <c r="BS4555" s="265"/>
      <c r="BT4555" s="265"/>
      <c r="BU4555" s="265"/>
      <c r="BV4555" s="265"/>
    </row>
    <row r="4556" spans="12:74">
      <c r="L4556" s="265"/>
      <c r="M4556" s="265"/>
      <c r="N4556" s="265"/>
      <c r="O4556" s="265"/>
      <c r="P4556" s="265"/>
      <c r="Q4556" s="265"/>
      <c r="BR4556" s="265"/>
      <c r="BS4556" s="265"/>
      <c r="BT4556" s="265"/>
      <c r="BU4556" s="265"/>
      <c r="BV4556" s="265"/>
    </row>
    <row r="4557" spans="12:74">
      <c r="L4557" s="265"/>
      <c r="M4557" s="265"/>
      <c r="N4557" s="265"/>
      <c r="O4557" s="265"/>
      <c r="P4557" s="265"/>
      <c r="Q4557" s="265"/>
      <c r="BR4557" s="265"/>
      <c r="BS4557" s="265"/>
      <c r="BT4557" s="265"/>
      <c r="BU4557" s="265"/>
      <c r="BV4557" s="265"/>
    </row>
    <row r="4558" spans="12:74">
      <c r="L4558" s="265"/>
      <c r="M4558" s="265"/>
      <c r="N4558" s="265"/>
      <c r="O4558" s="265"/>
      <c r="P4558" s="265"/>
      <c r="Q4558" s="265"/>
      <c r="BR4558" s="265"/>
      <c r="BS4558" s="265"/>
      <c r="BT4558" s="265"/>
      <c r="BU4558" s="265"/>
      <c r="BV4558" s="265"/>
    </row>
    <row r="4559" spans="12:74">
      <c r="L4559" s="265"/>
      <c r="M4559" s="265"/>
      <c r="N4559" s="265"/>
      <c r="O4559" s="265"/>
      <c r="P4559" s="265"/>
      <c r="Q4559" s="265"/>
      <c r="BR4559" s="265"/>
      <c r="BS4559" s="265"/>
      <c r="BT4559" s="265"/>
      <c r="BU4559" s="265"/>
      <c r="BV4559" s="265"/>
    </row>
    <row r="4560" spans="12:74">
      <c r="L4560" s="265"/>
      <c r="M4560" s="265"/>
      <c r="N4560" s="265"/>
      <c r="O4560" s="265"/>
      <c r="P4560" s="265"/>
      <c r="Q4560" s="265"/>
      <c r="BR4560" s="265"/>
      <c r="BS4560" s="265"/>
      <c r="BT4560" s="265"/>
      <c r="BU4560" s="265"/>
      <c r="BV4560" s="265"/>
    </row>
    <row r="4561" spans="12:74">
      <c r="L4561" s="265"/>
      <c r="M4561" s="265"/>
      <c r="N4561" s="265"/>
      <c r="O4561" s="265"/>
      <c r="P4561" s="265"/>
      <c r="Q4561" s="265"/>
      <c r="BR4561" s="265"/>
      <c r="BS4561" s="265"/>
      <c r="BT4561" s="265"/>
      <c r="BU4561" s="265"/>
      <c r="BV4561" s="265"/>
    </row>
    <row r="4562" spans="12:74">
      <c r="L4562" s="265"/>
      <c r="M4562" s="265"/>
      <c r="N4562" s="265"/>
      <c r="O4562" s="265"/>
      <c r="P4562" s="265"/>
      <c r="Q4562" s="265"/>
      <c r="BR4562" s="265"/>
      <c r="BS4562" s="265"/>
      <c r="BT4562" s="265"/>
      <c r="BU4562" s="265"/>
      <c r="BV4562" s="265"/>
    </row>
    <row r="4563" spans="12:74">
      <c r="L4563" s="265"/>
      <c r="M4563" s="265"/>
      <c r="N4563" s="265"/>
      <c r="O4563" s="265"/>
      <c r="P4563" s="265"/>
      <c r="Q4563" s="265"/>
      <c r="BR4563" s="265"/>
      <c r="BS4563" s="265"/>
      <c r="BT4563" s="265"/>
      <c r="BU4563" s="265"/>
      <c r="BV4563" s="265"/>
    </row>
    <row r="4564" spans="12:74">
      <c r="L4564" s="265"/>
      <c r="M4564" s="265"/>
      <c r="N4564" s="265"/>
      <c r="O4564" s="265"/>
      <c r="P4564" s="265"/>
      <c r="Q4564" s="265"/>
      <c r="BR4564" s="265"/>
      <c r="BS4564" s="265"/>
      <c r="BT4564" s="265"/>
      <c r="BU4564" s="265"/>
      <c r="BV4564" s="265"/>
    </row>
    <row r="4565" spans="12:74">
      <c r="L4565" s="265"/>
      <c r="M4565" s="265"/>
      <c r="N4565" s="265"/>
      <c r="O4565" s="265"/>
      <c r="P4565" s="265"/>
      <c r="Q4565" s="265"/>
      <c r="BR4565" s="265"/>
      <c r="BS4565" s="265"/>
      <c r="BT4565" s="265"/>
      <c r="BU4565" s="265"/>
      <c r="BV4565" s="265"/>
    </row>
    <row r="4566" spans="12:74">
      <c r="L4566" s="265"/>
      <c r="M4566" s="265"/>
      <c r="N4566" s="265"/>
      <c r="O4566" s="265"/>
      <c r="P4566" s="265"/>
      <c r="Q4566" s="265"/>
      <c r="BR4566" s="265"/>
      <c r="BS4566" s="265"/>
      <c r="BT4566" s="265"/>
      <c r="BU4566" s="265"/>
      <c r="BV4566" s="265"/>
    </row>
    <row r="4567" spans="12:74">
      <c r="L4567" s="265"/>
      <c r="M4567" s="265"/>
      <c r="N4567" s="265"/>
      <c r="O4567" s="265"/>
      <c r="P4567" s="265"/>
      <c r="Q4567" s="265"/>
      <c r="BR4567" s="265"/>
      <c r="BS4567" s="265"/>
      <c r="BT4567" s="265"/>
      <c r="BU4567" s="265"/>
      <c r="BV4567" s="265"/>
    </row>
    <row r="4568" spans="12:74">
      <c r="L4568" s="265"/>
      <c r="M4568" s="265"/>
      <c r="N4568" s="265"/>
      <c r="O4568" s="265"/>
      <c r="P4568" s="265"/>
      <c r="Q4568" s="265"/>
      <c r="BR4568" s="265"/>
      <c r="BS4568" s="265"/>
      <c r="BT4568" s="265"/>
      <c r="BU4568" s="265"/>
      <c r="BV4568" s="265"/>
    </row>
    <row r="4569" spans="12:74">
      <c r="L4569" s="265"/>
      <c r="M4569" s="265"/>
      <c r="N4569" s="265"/>
      <c r="O4569" s="265"/>
      <c r="P4569" s="265"/>
      <c r="Q4569" s="265"/>
      <c r="BR4569" s="265"/>
      <c r="BS4569" s="265"/>
      <c r="BT4569" s="265"/>
      <c r="BU4569" s="265"/>
      <c r="BV4569" s="265"/>
    </row>
    <row r="4570" spans="12:74">
      <c r="L4570" s="265"/>
      <c r="M4570" s="265"/>
      <c r="N4570" s="265"/>
      <c r="O4570" s="265"/>
      <c r="P4570" s="265"/>
      <c r="Q4570" s="265"/>
      <c r="BR4570" s="265"/>
      <c r="BS4570" s="265"/>
      <c r="BT4570" s="265"/>
      <c r="BU4570" s="265"/>
      <c r="BV4570" s="265"/>
    </row>
    <row r="4571" spans="12:74">
      <c r="L4571" s="265"/>
      <c r="M4571" s="265"/>
      <c r="N4571" s="265"/>
      <c r="O4571" s="265"/>
      <c r="P4571" s="265"/>
      <c r="Q4571" s="265"/>
      <c r="BR4571" s="265"/>
      <c r="BS4571" s="265"/>
      <c r="BT4571" s="265"/>
      <c r="BU4571" s="265"/>
      <c r="BV4571" s="265"/>
    </row>
    <row r="4572" spans="12:74">
      <c r="L4572" s="265"/>
      <c r="M4572" s="265"/>
      <c r="N4572" s="265"/>
      <c r="O4572" s="265"/>
      <c r="P4572" s="265"/>
      <c r="Q4572" s="265"/>
      <c r="BR4572" s="265"/>
      <c r="BS4572" s="265"/>
      <c r="BT4572" s="265"/>
      <c r="BU4572" s="265"/>
      <c r="BV4572" s="265"/>
    </row>
    <row r="4573" spans="12:74">
      <c r="L4573" s="265"/>
      <c r="M4573" s="265"/>
      <c r="N4573" s="265"/>
      <c r="O4573" s="265"/>
      <c r="P4573" s="265"/>
      <c r="Q4573" s="265"/>
      <c r="BR4573" s="265"/>
      <c r="BS4573" s="265"/>
      <c r="BT4573" s="265"/>
      <c r="BU4573" s="265"/>
      <c r="BV4573" s="265"/>
    </row>
    <row r="4574" spans="12:74">
      <c r="L4574" s="265"/>
      <c r="M4574" s="265"/>
      <c r="N4574" s="265"/>
      <c r="O4574" s="265"/>
      <c r="P4574" s="265"/>
      <c r="Q4574" s="265"/>
      <c r="BR4574" s="265"/>
      <c r="BS4574" s="265"/>
      <c r="BT4574" s="265"/>
      <c r="BU4574" s="265"/>
      <c r="BV4574" s="265"/>
    </row>
    <row r="4575" spans="12:74">
      <c r="L4575" s="265"/>
      <c r="M4575" s="265"/>
      <c r="N4575" s="265"/>
      <c r="O4575" s="265"/>
      <c r="P4575" s="265"/>
      <c r="Q4575" s="265"/>
      <c r="BR4575" s="265"/>
      <c r="BS4575" s="265"/>
      <c r="BT4575" s="265"/>
      <c r="BU4575" s="265"/>
      <c r="BV4575" s="265"/>
    </row>
    <row r="4576" spans="12:74">
      <c r="L4576" s="265"/>
      <c r="M4576" s="265"/>
      <c r="N4576" s="265"/>
      <c r="O4576" s="265"/>
      <c r="P4576" s="265"/>
      <c r="Q4576" s="265"/>
      <c r="BR4576" s="265"/>
      <c r="BS4576" s="265"/>
      <c r="BT4576" s="265"/>
      <c r="BU4576" s="265"/>
      <c r="BV4576" s="265"/>
    </row>
    <row r="4577" spans="12:74">
      <c r="L4577" s="265"/>
      <c r="M4577" s="265"/>
      <c r="N4577" s="265"/>
      <c r="O4577" s="265"/>
      <c r="P4577" s="265"/>
      <c r="Q4577" s="265"/>
      <c r="BR4577" s="265"/>
      <c r="BS4577" s="265"/>
      <c r="BT4577" s="265"/>
      <c r="BU4577" s="265"/>
      <c r="BV4577" s="265"/>
    </row>
    <row r="4578" spans="12:74">
      <c r="L4578" s="265"/>
      <c r="M4578" s="265"/>
      <c r="N4578" s="265"/>
      <c r="O4578" s="265"/>
      <c r="P4578" s="265"/>
      <c r="Q4578" s="265"/>
      <c r="BR4578" s="265"/>
      <c r="BS4578" s="265"/>
      <c r="BT4578" s="265"/>
      <c r="BU4578" s="265"/>
      <c r="BV4578" s="265"/>
    </row>
    <row r="4579" spans="12:74">
      <c r="L4579" s="265"/>
      <c r="M4579" s="265"/>
      <c r="N4579" s="265"/>
      <c r="O4579" s="265"/>
      <c r="P4579" s="265"/>
      <c r="Q4579" s="265"/>
      <c r="BR4579" s="265"/>
      <c r="BS4579" s="265"/>
      <c r="BT4579" s="265"/>
      <c r="BU4579" s="265"/>
      <c r="BV4579" s="265"/>
    </row>
    <row r="4580" spans="12:74">
      <c r="L4580" s="265"/>
      <c r="M4580" s="265"/>
      <c r="N4580" s="265"/>
      <c r="O4580" s="265"/>
      <c r="P4580" s="265"/>
      <c r="Q4580" s="265"/>
      <c r="BR4580" s="265"/>
      <c r="BS4580" s="265"/>
      <c r="BT4580" s="265"/>
      <c r="BU4580" s="265"/>
      <c r="BV4580" s="265"/>
    </row>
    <row r="4581" spans="12:74">
      <c r="L4581" s="265"/>
      <c r="M4581" s="265"/>
      <c r="N4581" s="265"/>
      <c r="O4581" s="265"/>
      <c r="P4581" s="265"/>
      <c r="Q4581" s="265"/>
      <c r="BR4581" s="265"/>
      <c r="BS4581" s="265"/>
      <c r="BT4581" s="265"/>
      <c r="BU4581" s="265"/>
      <c r="BV4581" s="265"/>
    </row>
    <row r="4582" spans="12:74">
      <c r="L4582" s="265"/>
      <c r="M4582" s="265"/>
      <c r="N4582" s="265"/>
      <c r="O4582" s="265"/>
      <c r="P4582" s="265"/>
      <c r="Q4582" s="265"/>
      <c r="BR4582" s="265"/>
      <c r="BS4582" s="265"/>
      <c r="BT4582" s="265"/>
      <c r="BU4582" s="265"/>
      <c r="BV4582" s="265"/>
    </row>
    <row r="4583" spans="12:74">
      <c r="L4583" s="265"/>
      <c r="M4583" s="265"/>
      <c r="N4583" s="265"/>
      <c r="O4583" s="265"/>
      <c r="P4583" s="265"/>
      <c r="Q4583" s="265"/>
      <c r="BR4583" s="265"/>
      <c r="BS4583" s="265"/>
      <c r="BT4583" s="265"/>
      <c r="BU4583" s="265"/>
      <c r="BV4583" s="265"/>
    </row>
    <row r="4584" spans="12:74">
      <c r="L4584" s="265"/>
      <c r="M4584" s="265"/>
      <c r="N4584" s="265"/>
      <c r="O4584" s="265"/>
      <c r="P4584" s="265"/>
      <c r="Q4584" s="265"/>
      <c r="BR4584" s="265"/>
      <c r="BS4584" s="265"/>
      <c r="BT4584" s="265"/>
      <c r="BU4584" s="265"/>
      <c r="BV4584" s="265"/>
    </row>
    <row r="4585" spans="12:74">
      <c r="L4585" s="265"/>
      <c r="M4585" s="265"/>
      <c r="N4585" s="265"/>
      <c r="O4585" s="265"/>
      <c r="P4585" s="265"/>
      <c r="Q4585" s="265"/>
      <c r="BR4585" s="265"/>
      <c r="BS4585" s="265"/>
      <c r="BT4585" s="265"/>
      <c r="BU4585" s="265"/>
      <c r="BV4585" s="265"/>
    </row>
    <row r="4586" spans="12:74">
      <c r="L4586" s="265"/>
      <c r="M4586" s="265"/>
      <c r="N4586" s="265"/>
      <c r="O4586" s="265"/>
      <c r="P4586" s="265"/>
      <c r="Q4586" s="265"/>
      <c r="BR4586" s="265"/>
      <c r="BS4586" s="265"/>
      <c r="BT4586" s="265"/>
      <c r="BU4586" s="265"/>
      <c r="BV4586" s="265"/>
    </row>
    <row r="4587" spans="12:74">
      <c r="L4587" s="265"/>
      <c r="M4587" s="265"/>
      <c r="N4587" s="265"/>
      <c r="O4587" s="265"/>
      <c r="P4587" s="265"/>
      <c r="Q4587" s="265"/>
      <c r="BR4587" s="265"/>
      <c r="BS4587" s="265"/>
      <c r="BT4587" s="265"/>
      <c r="BU4587" s="265"/>
      <c r="BV4587" s="265"/>
    </row>
    <row r="4588" spans="12:74">
      <c r="L4588" s="265"/>
      <c r="M4588" s="265"/>
      <c r="N4588" s="265"/>
      <c r="O4588" s="265"/>
      <c r="P4588" s="265"/>
      <c r="Q4588" s="265"/>
      <c r="BR4588" s="265"/>
      <c r="BS4588" s="265"/>
      <c r="BT4588" s="265"/>
      <c r="BU4588" s="265"/>
      <c r="BV4588" s="265"/>
    </row>
    <row r="4589" spans="12:74">
      <c r="L4589" s="265"/>
      <c r="M4589" s="265"/>
      <c r="N4589" s="265"/>
      <c r="O4589" s="265"/>
      <c r="P4589" s="265"/>
      <c r="Q4589" s="265"/>
      <c r="BR4589" s="265"/>
      <c r="BS4589" s="265"/>
      <c r="BT4589" s="265"/>
      <c r="BU4589" s="265"/>
      <c r="BV4589" s="265"/>
    </row>
    <row r="4590" spans="12:74">
      <c r="L4590" s="265"/>
      <c r="M4590" s="265"/>
      <c r="N4590" s="265"/>
      <c r="O4590" s="265"/>
      <c r="P4590" s="265"/>
      <c r="Q4590" s="265"/>
      <c r="BR4590" s="265"/>
      <c r="BS4590" s="265"/>
      <c r="BT4590" s="265"/>
      <c r="BU4590" s="265"/>
      <c r="BV4590" s="265"/>
    </row>
    <row r="4591" spans="12:74">
      <c r="L4591" s="265"/>
      <c r="M4591" s="265"/>
      <c r="N4591" s="265"/>
      <c r="O4591" s="265"/>
      <c r="P4591" s="265"/>
      <c r="Q4591" s="265"/>
      <c r="BR4591" s="265"/>
      <c r="BS4591" s="265"/>
      <c r="BT4591" s="265"/>
      <c r="BU4591" s="265"/>
      <c r="BV4591" s="265"/>
    </row>
    <row r="4592" spans="12:74">
      <c r="L4592" s="265"/>
      <c r="M4592" s="265"/>
      <c r="N4592" s="265"/>
      <c r="O4592" s="265"/>
      <c r="P4592" s="265"/>
      <c r="Q4592" s="265"/>
      <c r="BR4592" s="265"/>
      <c r="BS4592" s="265"/>
      <c r="BT4592" s="265"/>
      <c r="BU4592" s="265"/>
      <c r="BV4592" s="265"/>
    </row>
    <row r="4593" spans="12:74">
      <c r="L4593" s="265"/>
      <c r="M4593" s="265"/>
      <c r="N4593" s="265"/>
      <c r="O4593" s="265"/>
      <c r="P4593" s="265"/>
      <c r="Q4593" s="265"/>
      <c r="BR4593" s="265"/>
      <c r="BS4593" s="265"/>
      <c r="BT4593" s="265"/>
      <c r="BU4593" s="265"/>
      <c r="BV4593" s="265"/>
    </row>
    <row r="4594" spans="12:74">
      <c r="L4594" s="265"/>
      <c r="M4594" s="265"/>
      <c r="N4594" s="265"/>
      <c r="O4594" s="265"/>
      <c r="P4594" s="265"/>
      <c r="Q4594" s="265"/>
      <c r="BR4594" s="265"/>
      <c r="BS4594" s="265"/>
      <c r="BT4594" s="265"/>
      <c r="BU4594" s="265"/>
      <c r="BV4594" s="265"/>
    </row>
    <row r="4595" spans="12:74">
      <c r="L4595" s="265"/>
      <c r="M4595" s="265"/>
      <c r="N4595" s="265"/>
      <c r="O4595" s="265"/>
      <c r="P4595" s="265"/>
      <c r="Q4595" s="265"/>
      <c r="BR4595" s="265"/>
      <c r="BS4595" s="265"/>
      <c r="BT4595" s="265"/>
      <c r="BU4595" s="265"/>
      <c r="BV4595" s="265"/>
    </row>
    <row r="4596" spans="12:74">
      <c r="L4596" s="265"/>
      <c r="M4596" s="265"/>
      <c r="N4596" s="265"/>
      <c r="O4596" s="265"/>
      <c r="P4596" s="265"/>
      <c r="Q4596" s="265"/>
      <c r="BR4596" s="265"/>
      <c r="BS4596" s="265"/>
      <c r="BT4596" s="265"/>
      <c r="BU4596" s="265"/>
      <c r="BV4596" s="265"/>
    </row>
    <row r="4597" spans="12:74">
      <c r="L4597" s="265"/>
      <c r="M4597" s="265"/>
      <c r="N4597" s="265"/>
      <c r="O4597" s="265"/>
      <c r="P4597" s="265"/>
      <c r="Q4597" s="265"/>
      <c r="BR4597" s="265"/>
      <c r="BS4597" s="265"/>
      <c r="BT4597" s="265"/>
      <c r="BU4597" s="265"/>
      <c r="BV4597" s="265"/>
    </row>
    <row r="4598" spans="12:74">
      <c r="L4598" s="265"/>
      <c r="M4598" s="265"/>
      <c r="N4598" s="265"/>
      <c r="O4598" s="265"/>
      <c r="P4598" s="265"/>
      <c r="Q4598" s="265"/>
      <c r="BR4598" s="265"/>
      <c r="BS4598" s="265"/>
      <c r="BT4598" s="265"/>
      <c r="BU4598" s="265"/>
      <c r="BV4598" s="265"/>
    </row>
    <row r="4599" spans="12:74">
      <c r="L4599" s="265"/>
      <c r="M4599" s="265"/>
      <c r="N4599" s="265"/>
      <c r="O4599" s="265"/>
      <c r="P4599" s="265"/>
      <c r="Q4599" s="265"/>
      <c r="BR4599" s="265"/>
      <c r="BS4599" s="265"/>
      <c r="BT4599" s="265"/>
      <c r="BU4599" s="265"/>
      <c r="BV4599" s="265"/>
    </row>
    <row r="4600" spans="12:74">
      <c r="L4600" s="265"/>
      <c r="M4600" s="265"/>
      <c r="N4600" s="265"/>
      <c r="O4600" s="265"/>
      <c r="P4600" s="265"/>
      <c r="Q4600" s="265"/>
      <c r="BR4600" s="265"/>
      <c r="BS4600" s="265"/>
      <c r="BT4600" s="265"/>
      <c r="BU4600" s="265"/>
      <c r="BV4600" s="265"/>
    </row>
    <row r="4601" spans="12:74">
      <c r="L4601" s="265"/>
      <c r="M4601" s="265"/>
      <c r="N4601" s="265"/>
      <c r="O4601" s="265"/>
      <c r="P4601" s="265"/>
      <c r="Q4601" s="265"/>
      <c r="BR4601" s="265"/>
      <c r="BS4601" s="265"/>
      <c r="BT4601" s="265"/>
      <c r="BU4601" s="265"/>
      <c r="BV4601" s="265"/>
    </row>
    <row r="4602" spans="12:74">
      <c r="L4602" s="265"/>
      <c r="M4602" s="265"/>
      <c r="N4602" s="265"/>
      <c r="O4602" s="265"/>
      <c r="P4602" s="265"/>
      <c r="Q4602" s="265"/>
      <c r="BR4602" s="265"/>
      <c r="BS4602" s="265"/>
      <c r="BT4602" s="265"/>
      <c r="BU4602" s="265"/>
      <c r="BV4602" s="265"/>
    </row>
    <row r="4603" spans="12:74">
      <c r="L4603" s="265"/>
      <c r="M4603" s="265"/>
      <c r="N4603" s="265"/>
      <c r="O4603" s="265"/>
      <c r="P4603" s="265"/>
      <c r="Q4603" s="265"/>
      <c r="BR4603" s="265"/>
      <c r="BS4603" s="265"/>
      <c r="BT4603" s="265"/>
      <c r="BU4603" s="265"/>
      <c r="BV4603" s="265"/>
    </row>
    <row r="4604" spans="12:74">
      <c r="L4604" s="265"/>
      <c r="M4604" s="265"/>
      <c r="N4604" s="265"/>
      <c r="O4604" s="265"/>
      <c r="P4604" s="265"/>
      <c r="Q4604" s="265"/>
      <c r="BR4604" s="265"/>
      <c r="BS4604" s="265"/>
      <c r="BT4604" s="265"/>
      <c r="BU4604" s="265"/>
      <c r="BV4604" s="265"/>
    </row>
    <row r="4605" spans="12:74">
      <c r="L4605" s="265"/>
      <c r="M4605" s="265"/>
      <c r="N4605" s="265"/>
      <c r="O4605" s="265"/>
      <c r="P4605" s="265"/>
      <c r="Q4605" s="265"/>
      <c r="BR4605" s="265"/>
      <c r="BS4605" s="265"/>
      <c r="BT4605" s="265"/>
      <c r="BU4605" s="265"/>
      <c r="BV4605" s="265"/>
    </row>
    <row r="4606" spans="12:74">
      <c r="L4606" s="265"/>
      <c r="M4606" s="265"/>
      <c r="N4606" s="265"/>
      <c r="O4606" s="265"/>
      <c r="P4606" s="265"/>
      <c r="Q4606" s="265"/>
      <c r="BR4606" s="265"/>
      <c r="BS4606" s="265"/>
      <c r="BT4606" s="265"/>
      <c r="BU4606" s="265"/>
      <c r="BV4606" s="265"/>
    </row>
    <row r="4607" spans="12:74">
      <c r="L4607" s="265"/>
      <c r="M4607" s="265"/>
      <c r="N4607" s="265"/>
      <c r="O4607" s="265"/>
      <c r="P4607" s="265"/>
      <c r="Q4607" s="265"/>
      <c r="BR4607" s="265"/>
      <c r="BS4607" s="265"/>
      <c r="BT4607" s="265"/>
      <c r="BU4607" s="265"/>
      <c r="BV4607" s="265"/>
    </row>
    <row r="4608" spans="12:74">
      <c r="L4608" s="265"/>
      <c r="M4608" s="265"/>
      <c r="N4608" s="265"/>
      <c r="O4608" s="265"/>
      <c r="P4608" s="265"/>
      <c r="Q4608" s="265"/>
      <c r="BR4608" s="265"/>
      <c r="BS4608" s="265"/>
      <c r="BT4608" s="265"/>
      <c r="BU4608" s="265"/>
      <c r="BV4608" s="265"/>
    </row>
    <row r="4609" spans="12:74">
      <c r="L4609" s="265"/>
      <c r="M4609" s="265"/>
      <c r="N4609" s="265"/>
      <c r="O4609" s="265"/>
      <c r="P4609" s="265"/>
      <c r="Q4609" s="265"/>
      <c r="BR4609" s="265"/>
      <c r="BS4609" s="265"/>
      <c r="BT4609" s="265"/>
      <c r="BU4609" s="265"/>
      <c r="BV4609" s="265"/>
    </row>
    <row r="4610" spans="12:74">
      <c r="L4610" s="265"/>
      <c r="M4610" s="265"/>
      <c r="N4610" s="265"/>
      <c r="O4610" s="265"/>
      <c r="P4610" s="265"/>
      <c r="Q4610" s="265"/>
      <c r="BR4610" s="265"/>
      <c r="BS4610" s="265"/>
      <c r="BT4610" s="265"/>
      <c r="BU4610" s="265"/>
      <c r="BV4610" s="265"/>
    </row>
    <row r="4611" spans="12:74">
      <c r="L4611" s="265"/>
      <c r="M4611" s="265"/>
      <c r="N4611" s="265"/>
      <c r="O4611" s="265"/>
      <c r="P4611" s="265"/>
      <c r="Q4611" s="265"/>
      <c r="BR4611" s="265"/>
      <c r="BS4611" s="265"/>
      <c r="BT4611" s="265"/>
      <c r="BU4611" s="265"/>
      <c r="BV4611" s="265"/>
    </row>
    <row r="4612" spans="12:74">
      <c r="L4612" s="265"/>
      <c r="M4612" s="265"/>
      <c r="N4612" s="265"/>
      <c r="O4612" s="265"/>
      <c r="P4612" s="265"/>
      <c r="Q4612" s="265"/>
      <c r="BR4612" s="265"/>
      <c r="BS4612" s="265"/>
      <c r="BT4612" s="265"/>
      <c r="BU4612" s="265"/>
      <c r="BV4612" s="265"/>
    </row>
    <row r="4613" spans="12:74">
      <c r="L4613" s="265"/>
      <c r="M4613" s="265"/>
      <c r="N4613" s="265"/>
      <c r="O4613" s="265"/>
      <c r="P4613" s="265"/>
      <c r="Q4613" s="265"/>
      <c r="BR4613" s="265"/>
      <c r="BS4613" s="265"/>
      <c r="BT4613" s="265"/>
      <c r="BU4613" s="265"/>
      <c r="BV4613" s="265"/>
    </row>
    <row r="4614" spans="12:74">
      <c r="L4614" s="265"/>
      <c r="M4614" s="265"/>
      <c r="N4614" s="265"/>
      <c r="O4614" s="265"/>
      <c r="P4614" s="265"/>
      <c r="Q4614" s="265"/>
      <c r="BR4614" s="265"/>
      <c r="BS4614" s="265"/>
      <c r="BT4614" s="265"/>
      <c r="BU4614" s="265"/>
      <c r="BV4614" s="265"/>
    </row>
    <row r="4615" spans="12:74">
      <c r="L4615" s="265"/>
      <c r="M4615" s="265"/>
      <c r="N4615" s="265"/>
      <c r="O4615" s="265"/>
      <c r="P4615" s="265"/>
      <c r="Q4615" s="265"/>
      <c r="BR4615" s="265"/>
      <c r="BS4615" s="265"/>
      <c r="BT4615" s="265"/>
      <c r="BU4615" s="265"/>
      <c r="BV4615" s="265"/>
    </row>
    <row r="4616" spans="12:74">
      <c r="L4616" s="265"/>
      <c r="M4616" s="265"/>
      <c r="N4616" s="265"/>
      <c r="O4616" s="265"/>
      <c r="P4616" s="265"/>
      <c r="Q4616" s="265"/>
      <c r="BR4616" s="265"/>
      <c r="BS4616" s="265"/>
      <c r="BT4616" s="265"/>
      <c r="BU4616" s="265"/>
      <c r="BV4616" s="265"/>
    </row>
    <row r="4617" spans="12:74">
      <c r="L4617" s="265"/>
      <c r="M4617" s="265"/>
      <c r="N4617" s="265"/>
      <c r="O4617" s="265"/>
      <c r="P4617" s="265"/>
      <c r="Q4617" s="265"/>
      <c r="BR4617" s="265"/>
      <c r="BS4617" s="265"/>
      <c r="BT4617" s="265"/>
      <c r="BU4617" s="265"/>
      <c r="BV4617" s="265"/>
    </row>
    <row r="4618" spans="12:74">
      <c r="L4618" s="265"/>
      <c r="M4618" s="265"/>
      <c r="N4618" s="265"/>
      <c r="O4618" s="265"/>
      <c r="P4618" s="265"/>
      <c r="Q4618" s="265"/>
      <c r="BR4618" s="265"/>
      <c r="BS4618" s="265"/>
      <c r="BT4618" s="265"/>
      <c r="BU4618" s="265"/>
      <c r="BV4618" s="265"/>
    </row>
    <row r="4619" spans="12:74">
      <c r="L4619" s="265"/>
      <c r="M4619" s="265"/>
      <c r="N4619" s="265"/>
      <c r="O4619" s="265"/>
      <c r="P4619" s="265"/>
      <c r="Q4619" s="265"/>
      <c r="BR4619" s="265"/>
      <c r="BS4619" s="265"/>
      <c r="BT4619" s="265"/>
      <c r="BU4619" s="265"/>
      <c r="BV4619" s="265"/>
    </row>
    <row r="4620" spans="12:74">
      <c r="L4620" s="265"/>
      <c r="M4620" s="265"/>
      <c r="N4620" s="265"/>
      <c r="O4620" s="265"/>
      <c r="P4620" s="265"/>
      <c r="Q4620" s="265"/>
      <c r="BR4620" s="265"/>
      <c r="BS4620" s="265"/>
      <c r="BT4620" s="265"/>
      <c r="BU4620" s="265"/>
      <c r="BV4620" s="265"/>
    </row>
    <row r="4621" spans="12:74">
      <c r="L4621" s="265"/>
      <c r="M4621" s="265"/>
      <c r="N4621" s="265"/>
      <c r="O4621" s="265"/>
      <c r="P4621" s="265"/>
      <c r="Q4621" s="265"/>
      <c r="BR4621" s="265"/>
      <c r="BS4621" s="265"/>
      <c r="BT4621" s="265"/>
      <c r="BU4621" s="265"/>
      <c r="BV4621" s="265"/>
    </row>
    <row r="4622" spans="12:74">
      <c r="L4622" s="265"/>
      <c r="M4622" s="265"/>
      <c r="N4622" s="265"/>
      <c r="O4622" s="265"/>
      <c r="P4622" s="265"/>
      <c r="Q4622" s="265"/>
      <c r="BR4622" s="265"/>
      <c r="BS4622" s="265"/>
      <c r="BT4622" s="265"/>
      <c r="BU4622" s="265"/>
      <c r="BV4622" s="265"/>
    </row>
    <row r="4623" spans="12:74">
      <c r="L4623" s="265"/>
      <c r="M4623" s="265"/>
      <c r="N4623" s="265"/>
      <c r="O4623" s="265"/>
      <c r="P4623" s="265"/>
      <c r="Q4623" s="265"/>
      <c r="BR4623" s="265"/>
      <c r="BS4623" s="265"/>
      <c r="BT4623" s="265"/>
      <c r="BU4623" s="265"/>
      <c r="BV4623" s="265"/>
    </row>
    <row r="4624" spans="12:74">
      <c r="L4624" s="265"/>
      <c r="M4624" s="265"/>
      <c r="N4624" s="265"/>
      <c r="O4624" s="265"/>
      <c r="P4624" s="265"/>
      <c r="Q4624" s="265"/>
      <c r="BR4624" s="265"/>
      <c r="BS4624" s="265"/>
      <c r="BT4624" s="265"/>
      <c r="BU4624" s="265"/>
      <c r="BV4624" s="265"/>
    </row>
    <row r="4625" spans="12:74">
      <c r="L4625" s="265"/>
      <c r="M4625" s="265"/>
      <c r="N4625" s="265"/>
      <c r="O4625" s="265"/>
      <c r="P4625" s="265"/>
      <c r="Q4625" s="265"/>
      <c r="BR4625" s="265"/>
      <c r="BS4625" s="265"/>
      <c r="BT4625" s="265"/>
      <c r="BU4625" s="265"/>
      <c r="BV4625" s="265"/>
    </row>
    <row r="4626" spans="12:74">
      <c r="L4626" s="265"/>
      <c r="M4626" s="265"/>
      <c r="N4626" s="265"/>
      <c r="O4626" s="265"/>
      <c r="P4626" s="265"/>
      <c r="Q4626" s="265"/>
      <c r="BR4626" s="265"/>
      <c r="BS4626" s="265"/>
      <c r="BT4626" s="265"/>
      <c r="BU4626" s="265"/>
      <c r="BV4626" s="265"/>
    </row>
    <row r="4627" spans="12:74">
      <c r="L4627" s="265"/>
      <c r="M4627" s="265"/>
      <c r="N4627" s="265"/>
      <c r="O4627" s="265"/>
      <c r="P4627" s="265"/>
      <c r="Q4627" s="265"/>
      <c r="BR4627" s="265"/>
      <c r="BS4627" s="265"/>
      <c r="BT4627" s="265"/>
      <c r="BU4627" s="265"/>
      <c r="BV4627" s="265"/>
    </row>
    <row r="4628" spans="12:74">
      <c r="L4628" s="265"/>
      <c r="M4628" s="265"/>
      <c r="N4628" s="265"/>
      <c r="O4628" s="265"/>
      <c r="P4628" s="265"/>
      <c r="Q4628" s="265"/>
      <c r="BR4628" s="265"/>
      <c r="BS4628" s="265"/>
      <c r="BT4628" s="265"/>
      <c r="BU4628" s="265"/>
      <c r="BV4628" s="265"/>
    </row>
    <row r="4629" spans="12:74">
      <c r="L4629" s="265"/>
      <c r="M4629" s="265"/>
      <c r="N4629" s="265"/>
      <c r="O4629" s="265"/>
      <c r="P4629" s="265"/>
      <c r="Q4629" s="265"/>
      <c r="BR4629" s="265"/>
      <c r="BS4629" s="265"/>
      <c r="BT4629" s="265"/>
      <c r="BU4629" s="265"/>
      <c r="BV4629" s="265"/>
    </row>
    <row r="4630" spans="12:74">
      <c r="L4630" s="265"/>
      <c r="M4630" s="265"/>
      <c r="N4630" s="265"/>
      <c r="O4630" s="265"/>
      <c r="P4630" s="265"/>
      <c r="Q4630" s="265"/>
      <c r="BR4630" s="265"/>
      <c r="BS4630" s="265"/>
      <c r="BT4630" s="265"/>
      <c r="BU4630" s="265"/>
      <c r="BV4630" s="265"/>
    </row>
    <row r="4631" spans="12:74">
      <c r="L4631" s="265"/>
      <c r="M4631" s="265"/>
      <c r="N4631" s="265"/>
      <c r="O4631" s="265"/>
      <c r="P4631" s="265"/>
      <c r="Q4631" s="265"/>
      <c r="BR4631" s="265"/>
      <c r="BS4631" s="265"/>
      <c r="BT4631" s="265"/>
      <c r="BU4631" s="265"/>
      <c r="BV4631" s="265"/>
    </row>
    <row r="4632" spans="12:74">
      <c r="L4632" s="265"/>
      <c r="M4632" s="265"/>
      <c r="N4632" s="265"/>
      <c r="O4632" s="265"/>
      <c r="P4632" s="265"/>
      <c r="Q4632" s="265"/>
      <c r="BR4632" s="265"/>
      <c r="BS4632" s="265"/>
      <c r="BT4632" s="265"/>
      <c r="BU4632" s="265"/>
      <c r="BV4632" s="265"/>
    </row>
    <row r="4633" spans="12:74">
      <c r="L4633" s="265"/>
      <c r="M4633" s="265"/>
      <c r="N4633" s="265"/>
      <c r="O4633" s="265"/>
      <c r="P4633" s="265"/>
      <c r="Q4633" s="265"/>
      <c r="BR4633" s="265"/>
      <c r="BS4633" s="265"/>
      <c r="BT4633" s="265"/>
      <c r="BU4633" s="265"/>
      <c r="BV4633" s="265"/>
    </row>
    <row r="4634" spans="12:74">
      <c r="L4634" s="265"/>
      <c r="M4634" s="265"/>
      <c r="N4634" s="265"/>
      <c r="O4634" s="265"/>
      <c r="P4634" s="265"/>
      <c r="Q4634" s="265"/>
      <c r="BR4634" s="265"/>
      <c r="BS4634" s="265"/>
      <c r="BT4634" s="265"/>
      <c r="BU4634" s="265"/>
      <c r="BV4634" s="265"/>
    </row>
    <row r="4635" spans="12:74">
      <c r="L4635" s="265"/>
      <c r="M4635" s="265"/>
      <c r="N4635" s="265"/>
      <c r="O4635" s="265"/>
      <c r="P4635" s="265"/>
      <c r="Q4635" s="265"/>
      <c r="BR4635" s="265"/>
      <c r="BS4635" s="265"/>
      <c r="BT4635" s="265"/>
      <c r="BU4635" s="265"/>
      <c r="BV4635" s="265"/>
    </row>
    <row r="4636" spans="12:74">
      <c r="L4636" s="265"/>
      <c r="M4636" s="265"/>
      <c r="N4636" s="265"/>
      <c r="O4636" s="265"/>
      <c r="P4636" s="265"/>
      <c r="Q4636" s="265"/>
      <c r="BR4636" s="265"/>
      <c r="BS4636" s="265"/>
      <c r="BT4636" s="265"/>
      <c r="BU4636" s="265"/>
      <c r="BV4636" s="265"/>
    </row>
    <row r="4637" spans="12:74">
      <c r="L4637" s="265"/>
      <c r="M4637" s="265"/>
      <c r="N4637" s="265"/>
      <c r="O4637" s="265"/>
      <c r="P4637" s="265"/>
      <c r="Q4637" s="265"/>
      <c r="BR4637" s="265"/>
      <c r="BS4637" s="265"/>
      <c r="BT4637" s="265"/>
      <c r="BU4637" s="265"/>
      <c r="BV4637" s="265"/>
    </row>
    <row r="4638" spans="12:74">
      <c r="L4638" s="265"/>
      <c r="M4638" s="265"/>
      <c r="N4638" s="265"/>
      <c r="O4638" s="265"/>
      <c r="P4638" s="265"/>
      <c r="Q4638" s="265"/>
      <c r="BR4638" s="265"/>
      <c r="BS4638" s="265"/>
      <c r="BT4638" s="265"/>
      <c r="BU4638" s="265"/>
      <c r="BV4638" s="265"/>
    </row>
    <row r="4639" spans="12:74">
      <c r="L4639" s="265"/>
      <c r="M4639" s="265"/>
      <c r="N4639" s="265"/>
      <c r="O4639" s="265"/>
      <c r="P4639" s="265"/>
      <c r="Q4639" s="265"/>
      <c r="BR4639" s="265"/>
      <c r="BS4639" s="265"/>
      <c r="BT4639" s="265"/>
      <c r="BU4639" s="265"/>
      <c r="BV4639" s="265"/>
    </row>
    <row r="4640" spans="12:74">
      <c r="L4640" s="265"/>
      <c r="M4640" s="265"/>
      <c r="N4640" s="265"/>
      <c r="O4640" s="265"/>
      <c r="P4640" s="265"/>
      <c r="Q4640" s="265"/>
      <c r="BR4640" s="265"/>
      <c r="BS4640" s="265"/>
      <c r="BT4640" s="265"/>
      <c r="BU4640" s="265"/>
      <c r="BV4640" s="265"/>
    </row>
    <row r="4641" spans="12:74">
      <c r="L4641" s="265"/>
      <c r="M4641" s="265"/>
      <c r="N4641" s="265"/>
      <c r="O4641" s="265"/>
      <c r="P4641" s="265"/>
      <c r="Q4641" s="265"/>
      <c r="BR4641" s="265"/>
      <c r="BS4641" s="265"/>
      <c r="BT4641" s="265"/>
      <c r="BU4641" s="265"/>
      <c r="BV4641" s="265"/>
    </row>
    <row r="4642" spans="12:74">
      <c r="L4642" s="265"/>
      <c r="M4642" s="265"/>
      <c r="N4642" s="265"/>
      <c r="O4642" s="265"/>
      <c r="P4642" s="265"/>
      <c r="Q4642" s="265"/>
      <c r="BR4642" s="265"/>
      <c r="BS4642" s="265"/>
      <c r="BT4642" s="265"/>
      <c r="BU4642" s="265"/>
      <c r="BV4642" s="265"/>
    </row>
    <row r="4643" spans="12:74">
      <c r="L4643" s="265"/>
      <c r="M4643" s="265"/>
      <c r="N4643" s="265"/>
      <c r="O4643" s="265"/>
      <c r="P4643" s="265"/>
      <c r="Q4643" s="265"/>
      <c r="BR4643" s="265"/>
      <c r="BS4643" s="265"/>
      <c r="BT4643" s="265"/>
      <c r="BU4643" s="265"/>
      <c r="BV4643" s="265"/>
    </row>
    <row r="4644" spans="12:74">
      <c r="L4644" s="265"/>
      <c r="M4644" s="265"/>
      <c r="N4644" s="265"/>
      <c r="O4644" s="265"/>
      <c r="P4644" s="265"/>
      <c r="Q4644" s="265"/>
      <c r="BR4644" s="265"/>
      <c r="BS4644" s="265"/>
      <c r="BT4644" s="265"/>
      <c r="BU4644" s="265"/>
      <c r="BV4644" s="265"/>
    </row>
    <row r="4645" spans="12:74">
      <c r="L4645" s="265"/>
      <c r="M4645" s="265"/>
      <c r="N4645" s="265"/>
      <c r="O4645" s="265"/>
      <c r="P4645" s="265"/>
      <c r="Q4645" s="265"/>
      <c r="BR4645" s="265"/>
      <c r="BS4645" s="265"/>
      <c r="BT4645" s="265"/>
      <c r="BU4645" s="265"/>
      <c r="BV4645" s="265"/>
    </row>
    <row r="4646" spans="12:74">
      <c r="L4646" s="265"/>
      <c r="M4646" s="265"/>
      <c r="N4646" s="265"/>
      <c r="O4646" s="265"/>
      <c r="P4646" s="265"/>
      <c r="Q4646" s="265"/>
      <c r="BR4646" s="265"/>
      <c r="BS4646" s="265"/>
      <c r="BT4646" s="265"/>
      <c r="BU4646" s="265"/>
      <c r="BV4646" s="265"/>
    </row>
    <row r="4647" spans="12:74">
      <c r="L4647" s="265"/>
      <c r="M4647" s="265"/>
      <c r="N4647" s="265"/>
      <c r="O4647" s="265"/>
      <c r="P4647" s="265"/>
      <c r="Q4647" s="265"/>
      <c r="BR4647" s="265"/>
      <c r="BS4647" s="265"/>
      <c r="BT4647" s="265"/>
      <c r="BU4647" s="265"/>
      <c r="BV4647" s="265"/>
    </row>
    <row r="4648" spans="12:74">
      <c r="L4648" s="265"/>
      <c r="M4648" s="265"/>
      <c r="N4648" s="265"/>
      <c r="O4648" s="265"/>
      <c r="P4648" s="265"/>
      <c r="Q4648" s="265"/>
      <c r="BR4648" s="265"/>
      <c r="BS4648" s="265"/>
      <c r="BT4648" s="265"/>
      <c r="BU4648" s="265"/>
      <c r="BV4648" s="265"/>
    </row>
    <row r="4649" spans="12:74">
      <c r="L4649" s="265"/>
      <c r="M4649" s="265"/>
      <c r="N4649" s="265"/>
      <c r="O4649" s="265"/>
      <c r="P4649" s="265"/>
      <c r="Q4649" s="265"/>
      <c r="BR4649" s="265"/>
      <c r="BS4649" s="265"/>
      <c r="BT4649" s="265"/>
      <c r="BU4649" s="265"/>
      <c r="BV4649" s="265"/>
    </row>
    <row r="4650" spans="12:74">
      <c r="L4650" s="265"/>
      <c r="M4650" s="265"/>
      <c r="N4650" s="265"/>
      <c r="O4650" s="265"/>
      <c r="P4650" s="265"/>
      <c r="Q4650" s="265"/>
      <c r="BR4650" s="265"/>
      <c r="BS4650" s="265"/>
      <c r="BT4650" s="265"/>
      <c r="BU4650" s="265"/>
      <c r="BV4650" s="265"/>
    </row>
    <row r="4651" spans="12:74">
      <c r="L4651" s="265"/>
      <c r="M4651" s="265"/>
      <c r="N4651" s="265"/>
      <c r="O4651" s="265"/>
      <c r="P4651" s="265"/>
      <c r="Q4651" s="265"/>
      <c r="BR4651" s="265"/>
      <c r="BS4651" s="265"/>
      <c r="BT4651" s="265"/>
      <c r="BU4651" s="265"/>
      <c r="BV4651" s="265"/>
    </row>
    <row r="4652" spans="12:74">
      <c r="L4652" s="265"/>
      <c r="M4652" s="265"/>
      <c r="N4652" s="265"/>
      <c r="O4652" s="265"/>
      <c r="P4652" s="265"/>
      <c r="Q4652" s="265"/>
      <c r="BR4652" s="265"/>
      <c r="BS4652" s="265"/>
      <c r="BT4652" s="265"/>
      <c r="BU4652" s="265"/>
      <c r="BV4652" s="265"/>
    </row>
    <row r="4653" spans="12:74">
      <c r="L4653" s="265"/>
      <c r="M4653" s="265"/>
      <c r="N4653" s="265"/>
      <c r="O4653" s="265"/>
      <c r="P4653" s="265"/>
      <c r="Q4653" s="265"/>
      <c r="BR4653" s="265"/>
      <c r="BS4653" s="265"/>
      <c r="BT4653" s="265"/>
      <c r="BU4653" s="265"/>
      <c r="BV4653" s="265"/>
    </row>
    <row r="4654" spans="12:74">
      <c r="L4654" s="265"/>
      <c r="M4654" s="265"/>
      <c r="N4654" s="265"/>
      <c r="O4654" s="265"/>
      <c r="P4654" s="265"/>
      <c r="Q4654" s="265"/>
      <c r="BR4654" s="265"/>
      <c r="BS4654" s="265"/>
      <c r="BT4654" s="265"/>
      <c r="BU4654" s="265"/>
      <c r="BV4654" s="265"/>
    </row>
    <row r="4655" spans="12:74">
      <c r="L4655" s="265"/>
      <c r="M4655" s="265"/>
      <c r="N4655" s="265"/>
      <c r="O4655" s="265"/>
      <c r="P4655" s="265"/>
      <c r="Q4655" s="265"/>
      <c r="BR4655" s="265"/>
      <c r="BS4655" s="265"/>
      <c r="BT4655" s="265"/>
      <c r="BU4655" s="265"/>
      <c r="BV4655" s="265"/>
    </row>
    <row r="4656" spans="12:74">
      <c r="L4656" s="265"/>
      <c r="M4656" s="265"/>
      <c r="N4656" s="265"/>
      <c r="O4656" s="265"/>
      <c r="P4656" s="265"/>
      <c r="Q4656" s="265"/>
      <c r="BR4656" s="265"/>
      <c r="BS4656" s="265"/>
      <c r="BT4656" s="265"/>
      <c r="BU4656" s="265"/>
      <c r="BV4656" s="265"/>
    </row>
    <row r="4657" spans="12:74">
      <c r="L4657" s="265"/>
      <c r="M4657" s="265"/>
      <c r="N4657" s="265"/>
      <c r="O4657" s="265"/>
      <c r="P4657" s="265"/>
      <c r="Q4657" s="265"/>
      <c r="BR4657" s="265"/>
      <c r="BS4657" s="265"/>
      <c r="BT4657" s="265"/>
      <c r="BU4657" s="265"/>
      <c r="BV4657" s="265"/>
    </row>
    <row r="4658" spans="12:74">
      <c r="L4658" s="265"/>
      <c r="M4658" s="265"/>
      <c r="N4658" s="265"/>
      <c r="O4658" s="265"/>
      <c r="P4658" s="265"/>
      <c r="Q4658" s="265"/>
      <c r="BR4658" s="265"/>
      <c r="BS4658" s="265"/>
      <c r="BT4658" s="265"/>
      <c r="BU4658" s="265"/>
      <c r="BV4658" s="265"/>
    </row>
    <row r="4659" spans="12:74">
      <c r="L4659" s="265"/>
      <c r="M4659" s="265"/>
      <c r="N4659" s="265"/>
      <c r="O4659" s="265"/>
      <c r="P4659" s="265"/>
      <c r="Q4659" s="265"/>
      <c r="BR4659" s="265"/>
      <c r="BS4659" s="265"/>
      <c r="BT4659" s="265"/>
      <c r="BU4659" s="265"/>
      <c r="BV4659" s="265"/>
    </row>
    <row r="4660" spans="12:74">
      <c r="L4660" s="265"/>
      <c r="M4660" s="265"/>
      <c r="N4660" s="265"/>
      <c r="O4660" s="265"/>
      <c r="P4660" s="265"/>
      <c r="Q4660" s="265"/>
      <c r="BR4660" s="265"/>
      <c r="BS4660" s="265"/>
      <c r="BT4660" s="265"/>
      <c r="BU4660" s="265"/>
      <c r="BV4660" s="265"/>
    </row>
    <row r="4661" spans="12:74">
      <c r="L4661" s="265"/>
      <c r="M4661" s="265"/>
      <c r="N4661" s="265"/>
      <c r="O4661" s="265"/>
      <c r="P4661" s="265"/>
      <c r="Q4661" s="265"/>
      <c r="BR4661" s="265"/>
      <c r="BS4661" s="265"/>
      <c r="BT4661" s="265"/>
      <c r="BU4661" s="265"/>
      <c r="BV4661" s="265"/>
    </row>
    <row r="4662" spans="12:74">
      <c r="L4662" s="265"/>
      <c r="M4662" s="265"/>
      <c r="N4662" s="265"/>
      <c r="O4662" s="265"/>
      <c r="P4662" s="265"/>
      <c r="Q4662" s="265"/>
      <c r="BR4662" s="265"/>
      <c r="BS4662" s="265"/>
      <c r="BT4662" s="265"/>
      <c r="BU4662" s="265"/>
      <c r="BV4662" s="265"/>
    </row>
    <row r="4663" spans="12:74">
      <c r="L4663" s="265"/>
      <c r="M4663" s="265"/>
      <c r="N4663" s="265"/>
      <c r="O4663" s="265"/>
      <c r="P4663" s="265"/>
      <c r="Q4663" s="265"/>
      <c r="BR4663" s="265"/>
      <c r="BS4663" s="265"/>
      <c r="BT4663" s="265"/>
      <c r="BU4663" s="265"/>
      <c r="BV4663" s="265"/>
    </row>
    <row r="4664" spans="12:74">
      <c r="L4664" s="265"/>
      <c r="M4664" s="265"/>
      <c r="N4664" s="265"/>
      <c r="O4664" s="265"/>
      <c r="P4664" s="265"/>
      <c r="Q4664" s="265"/>
      <c r="BR4664" s="265"/>
      <c r="BS4664" s="265"/>
      <c r="BT4664" s="265"/>
      <c r="BU4664" s="265"/>
      <c r="BV4664" s="265"/>
    </row>
    <row r="4665" spans="12:74">
      <c r="L4665" s="265"/>
      <c r="M4665" s="265"/>
      <c r="N4665" s="265"/>
      <c r="O4665" s="265"/>
      <c r="P4665" s="265"/>
      <c r="Q4665" s="265"/>
      <c r="BR4665" s="265"/>
      <c r="BS4665" s="265"/>
      <c r="BT4665" s="265"/>
      <c r="BU4665" s="265"/>
      <c r="BV4665" s="265"/>
    </row>
    <row r="4666" spans="12:74">
      <c r="L4666" s="265"/>
      <c r="M4666" s="265"/>
      <c r="N4666" s="265"/>
      <c r="O4666" s="265"/>
      <c r="P4666" s="265"/>
      <c r="Q4666" s="265"/>
      <c r="BR4666" s="265"/>
      <c r="BS4666" s="265"/>
      <c r="BT4666" s="265"/>
      <c r="BU4666" s="265"/>
      <c r="BV4666" s="265"/>
    </row>
    <row r="4667" spans="12:74">
      <c r="L4667" s="265"/>
      <c r="M4667" s="265"/>
      <c r="N4667" s="265"/>
      <c r="O4667" s="265"/>
      <c r="P4667" s="265"/>
      <c r="Q4667" s="265"/>
      <c r="BR4667" s="265"/>
      <c r="BS4667" s="265"/>
      <c r="BT4667" s="265"/>
      <c r="BU4667" s="265"/>
      <c r="BV4667" s="265"/>
    </row>
    <row r="4668" spans="12:74">
      <c r="L4668" s="265"/>
      <c r="M4668" s="265"/>
      <c r="N4668" s="265"/>
      <c r="O4668" s="265"/>
      <c r="P4668" s="265"/>
      <c r="Q4668" s="265"/>
      <c r="BR4668" s="265"/>
      <c r="BS4668" s="265"/>
      <c r="BT4668" s="265"/>
      <c r="BU4668" s="265"/>
      <c r="BV4668" s="265"/>
    </row>
    <row r="4669" spans="12:74">
      <c r="L4669" s="265"/>
      <c r="M4669" s="265"/>
      <c r="N4669" s="265"/>
      <c r="O4669" s="265"/>
      <c r="P4669" s="265"/>
      <c r="Q4669" s="265"/>
      <c r="BR4669" s="265"/>
      <c r="BS4669" s="265"/>
      <c r="BT4669" s="265"/>
      <c r="BU4669" s="265"/>
      <c r="BV4669" s="265"/>
    </row>
    <row r="4670" spans="12:74">
      <c r="L4670" s="265"/>
      <c r="M4670" s="265"/>
      <c r="N4670" s="265"/>
      <c r="O4670" s="265"/>
      <c r="P4670" s="265"/>
      <c r="Q4670" s="265"/>
      <c r="BR4670" s="265"/>
      <c r="BS4670" s="265"/>
      <c r="BT4670" s="265"/>
      <c r="BU4670" s="265"/>
      <c r="BV4670" s="265"/>
    </row>
    <row r="4671" spans="12:74">
      <c r="L4671" s="265"/>
      <c r="M4671" s="265"/>
      <c r="N4671" s="265"/>
      <c r="O4671" s="265"/>
      <c r="P4671" s="265"/>
      <c r="Q4671" s="265"/>
      <c r="BR4671" s="265"/>
      <c r="BS4671" s="265"/>
      <c r="BT4671" s="265"/>
      <c r="BU4671" s="265"/>
      <c r="BV4671" s="265"/>
    </row>
    <row r="4672" spans="12:74">
      <c r="L4672" s="265"/>
      <c r="M4672" s="265"/>
      <c r="N4672" s="265"/>
      <c r="O4672" s="265"/>
      <c r="P4672" s="265"/>
      <c r="Q4672" s="265"/>
      <c r="BR4672" s="265"/>
      <c r="BS4672" s="265"/>
      <c r="BT4672" s="265"/>
      <c r="BU4672" s="265"/>
      <c r="BV4672" s="265"/>
    </row>
    <row r="4673" spans="12:74">
      <c r="L4673" s="265"/>
      <c r="M4673" s="265"/>
      <c r="N4673" s="265"/>
      <c r="O4673" s="265"/>
      <c r="P4673" s="265"/>
      <c r="Q4673" s="265"/>
      <c r="BR4673" s="265"/>
      <c r="BS4673" s="265"/>
      <c r="BT4673" s="265"/>
      <c r="BU4673" s="265"/>
      <c r="BV4673" s="265"/>
    </row>
    <row r="4674" spans="12:74">
      <c r="L4674" s="265"/>
      <c r="M4674" s="265"/>
      <c r="N4674" s="265"/>
      <c r="O4674" s="265"/>
      <c r="P4674" s="265"/>
      <c r="Q4674" s="265"/>
      <c r="BR4674" s="265"/>
      <c r="BS4674" s="265"/>
      <c r="BT4674" s="265"/>
      <c r="BU4674" s="265"/>
      <c r="BV4674" s="265"/>
    </row>
    <row r="4675" spans="12:74">
      <c r="L4675" s="265"/>
      <c r="M4675" s="265"/>
      <c r="N4675" s="265"/>
      <c r="O4675" s="265"/>
      <c r="P4675" s="265"/>
      <c r="Q4675" s="265"/>
      <c r="BR4675" s="265"/>
      <c r="BS4675" s="265"/>
      <c r="BT4675" s="265"/>
      <c r="BU4675" s="265"/>
      <c r="BV4675" s="265"/>
    </row>
    <row r="4676" spans="12:74">
      <c r="L4676" s="265"/>
      <c r="M4676" s="265"/>
      <c r="N4676" s="265"/>
      <c r="O4676" s="265"/>
      <c r="P4676" s="265"/>
      <c r="Q4676" s="265"/>
      <c r="BR4676" s="265"/>
      <c r="BS4676" s="265"/>
      <c r="BT4676" s="265"/>
      <c r="BU4676" s="265"/>
      <c r="BV4676" s="265"/>
    </row>
    <row r="4677" spans="12:74">
      <c r="L4677" s="265"/>
      <c r="M4677" s="265"/>
      <c r="N4677" s="265"/>
      <c r="O4677" s="265"/>
      <c r="P4677" s="265"/>
      <c r="Q4677" s="265"/>
      <c r="BR4677" s="265"/>
      <c r="BS4677" s="265"/>
      <c r="BT4677" s="265"/>
      <c r="BU4677" s="265"/>
      <c r="BV4677" s="265"/>
    </row>
    <row r="4678" spans="12:74">
      <c r="L4678" s="265"/>
      <c r="M4678" s="265"/>
      <c r="N4678" s="265"/>
      <c r="O4678" s="265"/>
      <c r="P4678" s="265"/>
      <c r="Q4678" s="265"/>
      <c r="BR4678" s="265"/>
      <c r="BS4678" s="265"/>
      <c r="BT4678" s="265"/>
      <c r="BU4678" s="265"/>
      <c r="BV4678" s="265"/>
    </row>
    <row r="4679" spans="12:74">
      <c r="L4679" s="265"/>
      <c r="M4679" s="265"/>
      <c r="N4679" s="265"/>
      <c r="O4679" s="265"/>
      <c r="P4679" s="265"/>
      <c r="Q4679" s="265"/>
      <c r="BR4679" s="265"/>
      <c r="BS4679" s="265"/>
      <c r="BT4679" s="265"/>
      <c r="BU4679" s="265"/>
      <c r="BV4679" s="265"/>
    </row>
    <row r="4680" spans="12:74">
      <c r="L4680" s="265"/>
      <c r="M4680" s="265"/>
      <c r="N4680" s="265"/>
      <c r="O4680" s="265"/>
      <c r="P4680" s="265"/>
      <c r="Q4680" s="265"/>
      <c r="BR4680" s="265"/>
      <c r="BS4680" s="265"/>
      <c r="BT4680" s="265"/>
      <c r="BU4680" s="265"/>
      <c r="BV4680" s="265"/>
    </row>
    <row r="4681" spans="12:74">
      <c r="L4681" s="265"/>
      <c r="M4681" s="265"/>
      <c r="N4681" s="265"/>
      <c r="O4681" s="265"/>
      <c r="P4681" s="265"/>
      <c r="Q4681" s="265"/>
      <c r="BR4681" s="265"/>
      <c r="BS4681" s="265"/>
      <c r="BT4681" s="265"/>
      <c r="BU4681" s="265"/>
      <c r="BV4681" s="265"/>
    </row>
    <row r="4682" spans="12:74">
      <c r="L4682" s="265"/>
      <c r="M4682" s="265"/>
      <c r="N4682" s="265"/>
      <c r="O4682" s="265"/>
      <c r="P4682" s="265"/>
      <c r="Q4682" s="265"/>
      <c r="BR4682" s="265"/>
      <c r="BS4682" s="265"/>
      <c r="BT4682" s="265"/>
      <c r="BU4682" s="265"/>
      <c r="BV4682" s="265"/>
    </row>
    <row r="4683" spans="12:74">
      <c r="L4683" s="265"/>
      <c r="M4683" s="265"/>
      <c r="N4683" s="265"/>
      <c r="O4683" s="265"/>
      <c r="P4683" s="265"/>
      <c r="Q4683" s="265"/>
      <c r="BR4683" s="265"/>
      <c r="BS4683" s="265"/>
      <c r="BT4683" s="265"/>
      <c r="BU4683" s="265"/>
      <c r="BV4683" s="265"/>
    </row>
    <row r="4684" spans="12:74">
      <c r="L4684" s="265"/>
      <c r="M4684" s="265"/>
      <c r="N4684" s="265"/>
      <c r="O4684" s="265"/>
      <c r="P4684" s="265"/>
      <c r="Q4684" s="265"/>
      <c r="BR4684" s="265"/>
      <c r="BS4684" s="265"/>
      <c r="BT4684" s="265"/>
      <c r="BU4684" s="265"/>
      <c r="BV4684" s="265"/>
    </row>
    <row r="4685" spans="12:74">
      <c r="L4685" s="265"/>
      <c r="M4685" s="265"/>
      <c r="N4685" s="265"/>
      <c r="O4685" s="265"/>
      <c r="P4685" s="265"/>
      <c r="Q4685" s="265"/>
      <c r="BR4685" s="265"/>
      <c r="BS4685" s="265"/>
      <c r="BT4685" s="265"/>
      <c r="BU4685" s="265"/>
      <c r="BV4685" s="265"/>
    </row>
    <row r="4686" spans="12:74">
      <c r="L4686" s="265"/>
      <c r="M4686" s="265"/>
      <c r="N4686" s="265"/>
      <c r="O4686" s="265"/>
      <c r="P4686" s="265"/>
      <c r="Q4686" s="265"/>
      <c r="BR4686" s="265"/>
      <c r="BS4686" s="265"/>
      <c r="BT4686" s="265"/>
      <c r="BU4686" s="265"/>
      <c r="BV4686" s="265"/>
    </row>
    <row r="4687" spans="12:74">
      <c r="L4687" s="265"/>
      <c r="M4687" s="265"/>
      <c r="N4687" s="265"/>
      <c r="O4687" s="265"/>
      <c r="P4687" s="265"/>
      <c r="Q4687" s="265"/>
      <c r="BR4687" s="265"/>
      <c r="BS4687" s="265"/>
      <c r="BT4687" s="265"/>
      <c r="BU4687" s="265"/>
      <c r="BV4687" s="265"/>
    </row>
    <row r="4688" spans="12:74">
      <c r="L4688" s="265"/>
      <c r="M4688" s="265"/>
      <c r="N4688" s="265"/>
      <c r="O4688" s="265"/>
      <c r="P4688" s="265"/>
      <c r="Q4688" s="265"/>
      <c r="BR4688" s="265"/>
      <c r="BS4688" s="265"/>
      <c r="BT4688" s="265"/>
      <c r="BU4688" s="265"/>
      <c r="BV4688" s="265"/>
    </row>
    <row r="4689" spans="12:74">
      <c r="L4689" s="265"/>
      <c r="M4689" s="265"/>
      <c r="N4689" s="265"/>
      <c r="O4689" s="265"/>
      <c r="P4689" s="265"/>
      <c r="Q4689" s="265"/>
      <c r="BR4689" s="265"/>
      <c r="BS4689" s="265"/>
      <c r="BT4689" s="265"/>
      <c r="BU4689" s="265"/>
      <c r="BV4689" s="265"/>
    </row>
    <row r="4690" spans="12:74">
      <c r="L4690" s="265"/>
      <c r="M4690" s="265"/>
      <c r="N4690" s="265"/>
      <c r="O4690" s="265"/>
      <c r="P4690" s="265"/>
      <c r="Q4690" s="265"/>
      <c r="BR4690" s="265"/>
      <c r="BS4690" s="265"/>
      <c r="BT4690" s="265"/>
      <c r="BU4690" s="265"/>
      <c r="BV4690" s="265"/>
    </row>
    <row r="4691" spans="12:74">
      <c r="L4691" s="265"/>
      <c r="M4691" s="265"/>
      <c r="N4691" s="265"/>
      <c r="O4691" s="265"/>
      <c r="P4691" s="265"/>
      <c r="Q4691" s="265"/>
      <c r="BR4691" s="265"/>
      <c r="BS4691" s="265"/>
      <c r="BT4691" s="265"/>
      <c r="BU4691" s="265"/>
      <c r="BV4691" s="265"/>
    </row>
    <row r="4692" spans="12:74">
      <c r="L4692" s="265"/>
      <c r="M4692" s="265"/>
      <c r="N4692" s="265"/>
      <c r="O4692" s="265"/>
      <c r="P4692" s="265"/>
      <c r="Q4692" s="265"/>
      <c r="BR4692" s="265"/>
      <c r="BS4692" s="265"/>
      <c r="BT4692" s="265"/>
      <c r="BU4692" s="265"/>
      <c r="BV4692" s="265"/>
    </row>
    <row r="4693" spans="12:74">
      <c r="L4693" s="265"/>
      <c r="M4693" s="265"/>
      <c r="N4693" s="265"/>
      <c r="O4693" s="265"/>
      <c r="P4693" s="265"/>
      <c r="Q4693" s="265"/>
      <c r="BR4693" s="265"/>
      <c r="BS4693" s="265"/>
      <c r="BT4693" s="265"/>
      <c r="BU4693" s="265"/>
      <c r="BV4693" s="265"/>
    </row>
    <row r="4694" spans="12:74">
      <c r="L4694" s="265"/>
      <c r="M4694" s="265"/>
      <c r="N4694" s="265"/>
      <c r="O4694" s="265"/>
      <c r="P4694" s="265"/>
      <c r="Q4694" s="265"/>
      <c r="BR4694" s="265"/>
      <c r="BS4694" s="265"/>
      <c r="BT4694" s="265"/>
      <c r="BU4694" s="265"/>
      <c r="BV4694" s="265"/>
    </row>
  </sheetData>
  <phoneticPr fontId="299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W84"/>
  <sheetViews>
    <sheetView showGridLines="0" topLeftCell="I14" zoomScale="95" zoomScaleNormal="95" workbookViewId="0">
      <selection activeCell="L36" sqref="L36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1014" t="s">
        <v>1220</v>
      </c>
      <c r="C1" s="1110"/>
      <c r="D1" s="1015"/>
      <c r="E1" s="1015"/>
      <c r="F1" s="1219" t="s">
        <v>1005</v>
      </c>
      <c r="G1" s="1220">
        <f ca="1">LnkTXTIRTEco</f>
        <v>0.16800000000000001</v>
      </c>
    </row>
    <row r="2" spans="2:19" ht="23.25" customHeight="1">
      <c r="B2" s="138" t="str">
        <f>CAPA!C9</f>
        <v>Creluz</v>
      </c>
      <c r="C2" s="70"/>
      <c r="D2" s="70"/>
      <c r="E2" s="70"/>
      <c r="F2" s="121" t="s">
        <v>1009</v>
      </c>
      <c r="G2" s="122">
        <f ca="1">LnkTXTIRTTotal</f>
        <v>-5.8700000000000002E-2</v>
      </c>
    </row>
    <row r="3" spans="2:19" ht="16.5">
      <c r="B3" s="71" t="s">
        <v>819</v>
      </c>
      <c r="K3" s="71" t="s">
        <v>1221</v>
      </c>
      <c r="O3" s="9" t="s">
        <v>1222</v>
      </c>
    </row>
    <row r="4" spans="2:19">
      <c r="B4" s="1257" t="s">
        <v>906</v>
      </c>
      <c r="C4" s="1257" t="s">
        <v>831</v>
      </c>
      <c r="K4" s="1257" t="s">
        <v>1027</v>
      </c>
      <c r="L4" s="1257" t="s">
        <v>834</v>
      </c>
      <c r="M4" s="1257" t="s">
        <v>57</v>
      </c>
      <c r="P4" s="68" t="s">
        <v>1223</v>
      </c>
    </row>
    <row r="5" spans="2:19">
      <c r="B5" s="1258" t="s">
        <v>1224</v>
      </c>
      <c r="C5" s="1259">
        <f ca="1">SUM(C6,C9)</f>
        <v>131812.77545285714</v>
      </c>
      <c r="K5" s="68" t="s">
        <v>909</v>
      </c>
      <c r="L5" s="93">
        <f ca="1">M5</f>
        <v>118365.851</v>
      </c>
      <c r="M5" s="140">
        <f ca="1">FornecimentoE</f>
        <v>118365.851</v>
      </c>
      <c r="P5" s="68" t="s">
        <v>1225</v>
      </c>
    </row>
    <row r="6" spans="2:19">
      <c r="B6" s="1260" t="s">
        <v>1226</v>
      </c>
      <c r="C6" s="1261">
        <f ca="1">SUM(C7:C8)</f>
        <v>118365.851</v>
      </c>
      <c r="E6" s="1517">
        <f ca="1">C23/LnkTXTEV-1</f>
        <v>0.11360476302288514</v>
      </c>
      <c r="K6" s="68" t="s">
        <v>918</v>
      </c>
      <c r="M6" s="140">
        <f ca="1">DSUM(MercadoBase,"TUSD_E",INDIRECT("Mercado_Criterio"&amp;Calc_Mercado!B17))</f>
        <v>0</v>
      </c>
      <c r="P6" s="68" t="s">
        <v>1227</v>
      </c>
    </row>
    <row r="7" spans="2:19">
      <c r="B7" s="144" t="s">
        <v>909</v>
      </c>
      <c r="C7" s="145">
        <f ca="1">M5</f>
        <v>118365.851</v>
      </c>
      <c r="K7" s="68" t="s">
        <v>1228</v>
      </c>
      <c r="M7" s="140">
        <f ca="1">LivreE</f>
        <v>0</v>
      </c>
      <c r="P7" s="68" t="s">
        <v>1229</v>
      </c>
    </row>
    <row r="8" spans="2:19">
      <c r="B8" s="144" t="s">
        <v>918</v>
      </c>
      <c r="C8" s="145">
        <f ca="1">M6</f>
        <v>0</v>
      </c>
      <c r="K8" s="68" t="s">
        <v>1010</v>
      </c>
      <c r="M8" s="140">
        <f ca="1">LivreE_A1</f>
        <v>0</v>
      </c>
      <c r="P8" s="68" t="s">
        <v>1230</v>
      </c>
    </row>
    <row r="9" spans="2:19">
      <c r="B9" s="1260" t="s">
        <v>1231</v>
      </c>
      <c r="C9" s="1261">
        <f ca="1">SUM(C10:C12)</f>
        <v>13446.92445285714</v>
      </c>
      <c r="K9" s="815" t="s">
        <v>1232</v>
      </c>
      <c r="L9" s="1734">
        <f ca="1">M9</f>
        <v>88977.127999999982</v>
      </c>
      <c r="M9" s="1262">
        <f ca="1">FornecimentoE_BT</f>
        <v>88977.127999999982</v>
      </c>
      <c r="P9" s="68" t="s">
        <v>1233</v>
      </c>
    </row>
    <row r="10" spans="2:19">
      <c r="B10" s="144" t="s">
        <v>1234</v>
      </c>
      <c r="C10" s="145">
        <f ca="1">N16+N17</f>
        <v>9661.8193099999971</v>
      </c>
      <c r="J10" s="125"/>
      <c r="P10" s="79"/>
    </row>
    <row r="11" spans="2:19">
      <c r="B11" s="144" t="s">
        <v>1235</v>
      </c>
      <c r="C11" s="145">
        <f ca="1">N18</f>
        <v>285.64920279410063</v>
      </c>
      <c r="K11" s="71" t="s">
        <v>1236</v>
      </c>
      <c r="L11" s="71"/>
      <c r="M11" s="126"/>
      <c r="P11" s="68" t="s">
        <v>1237</v>
      </c>
      <c r="Q11" s="502">
        <f ca="1">M20/(C6+M20)</f>
        <v>7.5466649409501374E-2</v>
      </c>
      <c r="R11" s="69">
        <f ca="1">Q11*($M$24+LnkTXTGPM)</f>
        <v>8367.874846700488</v>
      </c>
    </row>
    <row r="12" spans="2:19">
      <c r="B12" s="144" t="s">
        <v>1238</v>
      </c>
      <c r="C12" s="145">
        <f ca="1">N19</f>
        <v>3499.4559400630428</v>
      </c>
      <c r="D12" s="72"/>
      <c r="F12" s="72"/>
      <c r="G12" s="127"/>
      <c r="K12" s="146" t="s">
        <v>906</v>
      </c>
      <c r="L12" s="146" t="s">
        <v>834</v>
      </c>
      <c r="M12" s="1263" t="s">
        <v>1239</v>
      </c>
      <c r="N12" s="1264" t="s">
        <v>27</v>
      </c>
      <c r="P12" s="68" t="s">
        <v>1240</v>
      </c>
      <c r="Q12" s="397">
        <v>0.1389</v>
      </c>
      <c r="R12" s="69"/>
      <c r="S12" s="141"/>
    </row>
    <row r="13" spans="2:19">
      <c r="B13" s="727" t="s">
        <v>1241</v>
      </c>
      <c r="C13" s="1594">
        <f ca="1">IFERROR(E23,0)</f>
        <v>167.56036837237681</v>
      </c>
      <c r="D13" s="92"/>
      <c r="E13" s="92"/>
      <c r="F13" s="92"/>
      <c r="G13" s="92"/>
      <c r="K13" s="68" t="s">
        <v>1242</v>
      </c>
      <c r="M13" s="397">
        <f>CAPA!H30</f>
        <v>0</v>
      </c>
      <c r="N13" s="475">
        <f ca="1">IFERROR(IF($M$21&lt;$M$20,M13,($M$20/$M$21)*M13),0)</f>
        <v>0</v>
      </c>
      <c r="P13" s="68" t="s">
        <v>1243</v>
      </c>
      <c r="Q13" s="502">
        <f ca="1">IF(Q11&lt;Q12,Q11,(IF(Q11=0,0,Q11*0.75+Q12*0.25)))</f>
        <v>7.5466649409501374E-2</v>
      </c>
      <c r="R13" s="69">
        <f ca="1">($M$5+$M$6-$M$8)*Q13/(1-Q13)</f>
        <v>9661.8193099999971</v>
      </c>
    </row>
    <row r="14" spans="2:19">
      <c r="B14" s="1265" t="s">
        <v>1244</v>
      </c>
      <c r="C14" s="1266">
        <f ca="1">C13*C5</f>
        <v>22086597.211066131</v>
      </c>
      <c r="D14" s="128"/>
      <c r="E14" s="128"/>
      <c r="F14" s="128"/>
      <c r="G14" s="129"/>
      <c r="K14" s="68" t="s">
        <v>1245</v>
      </c>
      <c r="L14" s="397">
        <f>CAPA!K34</f>
        <v>5.9458041541695102E-2</v>
      </c>
      <c r="M14" s="397">
        <f>IF(CAPA!P1="verdadeiro",IF(CAPA!H29=0,CAPA!K34,CAPA!H29),CAPA!H41)</f>
        <v>8.1764731699427329E-2</v>
      </c>
      <c r="N14" s="397">
        <f ca="1">IFERROR(N17/((M5+M6-M8+N16)+N17),0)</f>
        <v>7.5466649409501374E-2</v>
      </c>
      <c r="P14" s="68" t="s">
        <v>1246</v>
      </c>
      <c r="Q14" s="502">
        <f ca="1">(M17+M16)/(M16+M17+M5+M6)</f>
        <v>8.1642226009163751E-2</v>
      </c>
      <c r="R14" s="69">
        <f ca="1">IF(CAPA!H33="",(M5+M6-M8)/(1-M14)*M14,CAPA!H33)+IF(CAPA!H34="",M13*M9,CAPA!H34)</f>
        <v>10522.752496681569</v>
      </c>
    </row>
    <row r="15" spans="2:19">
      <c r="E15" s="79"/>
      <c r="F15" s="72"/>
      <c r="G15" s="127"/>
      <c r="K15" s="815" t="s">
        <v>1247</v>
      </c>
      <c r="L15" s="815"/>
      <c r="M15" s="1526">
        <f>IF(CAPA!H31=0,0,CAPA!H31)</f>
        <v>0</v>
      </c>
      <c r="N15" s="1527">
        <f ca="1">IFERROR(M22/(LnkTXTEV+N17+N16),0)</f>
        <v>2.9564742791086281E-2</v>
      </c>
      <c r="P15" s="68" t="s">
        <v>1248</v>
      </c>
      <c r="Q15" s="79">
        <f ca="1">IF(Q14&lt;Q13,Q14,Q13)</f>
        <v>7.5466649409501374E-2</v>
      </c>
      <c r="R15" s="69">
        <f ca="1">IF(R14&lt;R13,R14,R13)</f>
        <v>9661.8193099999971</v>
      </c>
      <c r="S15" s="79">
        <f ca="1">R15/(M5+R15)</f>
        <v>7.5466649409501374E-2</v>
      </c>
    </row>
    <row r="16" spans="2:19">
      <c r="B16" s="130" t="s">
        <v>1249</v>
      </c>
      <c r="C16" s="131"/>
      <c r="D16" s="132"/>
      <c r="E16" s="132"/>
      <c r="F16" s="132"/>
      <c r="K16" s="1595" t="s">
        <v>1250</v>
      </c>
      <c r="L16" s="1595"/>
      <c r="M16" s="1595">
        <f ca="1">IF(CAPA!H34="",M13*M9,CAPA!H34)</f>
        <v>0</v>
      </c>
      <c r="N16" s="476">
        <f ca="1">IF(CAPA!P1="verdadeiro",IF($M$21&lt;$M$20,M16,($M$20/$M$21)*M16),M16)</f>
        <v>0</v>
      </c>
      <c r="P16" s="141" t="s">
        <v>1251</v>
      </c>
      <c r="Q16" s="79">
        <f ca="1">IF(Q15&gt;Q12,Q12,Q15)</f>
        <v>7.5466649409501374E-2</v>
      </c>
      <c r="R16" s="69">
        <f ca="1">($M$5+$M$6-$M$8+R15)*Q16</f>
        <v>9661.8193099999971</v>
      </c>
    </row>
    <row r="17" spans="1:23">
      <c r="B17" s="1257" t="s">
        <v>1252</v>
      </c>
      <c r="C17" s="1257" t="s">
        <v>1253</v>
      </c>
      <c r="D17" s="1257"/>
      <c r="E17" s="1257" t="s">
        <v>1254</v>
      </c>
      <c r="F17" s="1257" t="s">
        <v>1255</v>
      </c>
      <c r="K17" s="140" t="s">
        <v>1256</v>
      </c>
      <c r="L17" s="140">
        <f ca="1">(L5+L6-L8+L16)/(1-L14)*L14</f>
        <v>7482.7089026545382</v>
      </c>
      <c r="M17" s="140">
        <f>IF(CAPA!H33="",(M5+M6-M8+M16)/(1-M14)*M14,CAPA!H33)</f>
        <v>10522.752496681569</v>
      </c>
      <c r="N17" s="476">
        <f ca="1">IF(CAPA!P1="verdadeiro",IF($M$21&lt;$M$20,M17,($M$20/$M$21)*M17),M17)+M23</f>
        <v>9661.8193099999971</v>
      </c>
      <c r="O17" s="141"/>
      <c r="P17" s="68" t="s">
        <v>1257</v>
      </c>
      <c r="Q17" s="397">
        <f ca="1">Q15-Q16</f>
        <v>0</v>
      </c>
      <c r="R17" s="69">
        <f ca="1">R15-R16</f>
        <v>0</v>
      </c>
    </row>
    <row r="18" spans="1:23">
      <c r="B18" s="78" t="s">
        <v>313</v>
      </c>
      <c r="C18" s="789">
        <f ca="1">IFERROR(C70*O30,0)</f>
        <v>0</v>
      </c>
      <c r="D18" s="123"/>
      <c r="E18" s="123">
        <f>CAPA!E58</f>
        <v>0</v>
      </c>
      <c r="F18" s="77">
        <f ca="1">C18*E18</f>
        <v>0</v>
      </c>
      <c r="G18" s="790"/>
      <c r="H18" s="792"/>
      <c r="I18" s="134"/>
      <c r="K18" s="140" t="s">
        <v>1235</v>
      </c>
      <c r="L18" s="140">
        <f ca="1">N18</f>
        <v>285.64920279410063</v>
      </c>
      <c r="M18" s="476"/>
      <c r="N18" s="1567">
        <f ca="1">(N16+N17)*N15</f>
        <v>285.64920279410063</v>
      </c>
      <c r="P18" s="68" t="s">
        <v>1258</v>
      </c>
      <c r="Q18" s="79">
        <f ca="1">R17/M9</f>
        <v>0</v>
      </c>
    </row>
    <row r="19" spans="1:23">
      <c r="B19" s="78" t="s">
        <v>52</v>
      </c>
      <c r="C19" s="255" cm="1">
        <f t="array" ref="C19">TabEnergiaProinfa[MWh]</f>
        <v>2068.1152777892089</v>
      </c>
      <c r="D19" s="89"/>
      <c r="E19" s="89">
        <v>0</v>
      </c>
      <c r="F19" s="77">
        <v>0</v>
      </c>
      <c r="G19" s="791"/>
      <c r="H19" s="792"/>
      <c r="K19" s="1262" t="s">
        <v>1238</v>
      </c>
      <c r="L19" s="140">
        <f ca="1">N19</f>
        <v>3499.4559400630428</v>
      </c>
      <c r="M19" s="1528"/>
      <c r="N19" s="1568">
        <f ca="1">(M5+M6)*N15</f>
        <v>3499.4559400630428</v>
      </c>
      <c r="Q19" s="141"/>
    </row>
    <row r="20" spans="1:23">
      <c r="B20" s="78" t="str">
        <f>B63</f>
        <v>Angra</v>
      </c>
      <c r="C20" s="255">
        <f ca="1">C63*O30</f>
        <v>3700.1466691083947</v>
      </c>
      <c r="D20" s="89"/>
      <c r="E20" s="89">
        <f>E63</f>
        <v>349.15</v>
      </c>
      <c r="F20" s="77">
        <f ca="1">E20*C20</f>
        <v>1291906.2095191958</v>
      </c>
      <c r="G20" s="791"/>
      <c r="H20" s="792"/>
      <c r="J20" s="134"/>
      <c r="K20" s="140" t="s">
        <v>1259</v>
      </c>
      <c r="L20" s="140"/>
      <c r="M20" s="1739">
        <v>9661.8193099999971</v>
      </c>
      <c r="N20" s="398"/>
      <c r="O20" s="141"/>
    </row>
    <row r="21" spans="1:23">
      <c r="B21" s="1729" t="str">
        <f>B64</f>
        <v>CCGF</v>
      </c>
      <c r="C21" s="255">
        <f ca="1">(C64+C65)*O30</f>
        <v>28578.513426430407</v>
      </c>
      <c r="D21" s="89"/>
      <c r="E21" s="89">
        <f>SUM(F64:F65)/(C64+C65)</f>
        <v>145.40524344018064</v>
      </c>
      <c r="F21" s="77">
        <f ca="1">E21*C21</f>
        <v>4155465.7019285844</v>
      </c>
      <c r="G21" s="791"/>
      <c r="H21" s="792"/>
      <c r="K21" s="1262" t="s">
        <v>1260</v>
      </c>
      <c r="L21" s="1262"/>
      <c r="M21" s="1262">
        <f ca="1">M16+M17</f>
        <v>10522.752496681569</v>
      </c>
      <c r="N21" s="1267"/>
    </row>
    <row r="22" spans="1:23">
      <c r="B22" s="1729" t="s">
        <v>1261</v>
      </c>
      <c r="C22" s="255">
        <f ca="1">IF(J60=0,E35,(J48+J60))*O30</f>
        <v>97466.000079529127</v>
      </c>
      <c r="D22" s="89"/>
      <c r="E22" s="89">
        <f ca="1">IF(K60=0,H35,(N48+N60)/(M48+M60))</f>
        <v>170.71825340160956</v>
      </c>
      <c r="F22" s="77">
        <f ca="1">E22*C22</f>
        <v>16639225.29961835</v>
      </c>
      <c r="G22" s="791"/>
      <c r="H22" s="792"/>
      <c r="K22" s="68" t="s">
        <v>1262</v>
      </c>
      <c r="M22" s="1525">
        <f>SUMIFS(TabPerdaDIT[Valor],TabPerdaDIT[Dados de perda],"Perdas RB")</f>
        <v>3785.1051428571432</v>
      </c>
    </row>
    <row r="23" spans="1:23">
      <c r="B23" s="1268" t="s">
        <v>1263</v>
      </c>
      <c r="C23" s="1269">
        <f ca="1">SUM(C18:C22)</f>
        <v>131812.77545285714</v>
      </c>
      <c r="D23" s="1270"/>
      <c r="E23" s="1270">
        <f ca="1">IF(SUM(C18:C22)=0,0,SUM(F18:F22)/SUM(C18:C22))</f>
        <v>167.56036837237681</v>
      </c>
      <c r="F23" s="1271">
        <f ca="1">SUM(F18:F22)</f>
        <v>22086597.211066131</v>
      </c>
      <c r="G23" s="791"/>
      <c r="H23" s="792"/>
      <c r="K23" s="68" t="s">
        <v>1264</v>
      </c>
      <c r="M23" s="1525">
        <f>SUMIFS(TabPerdaDIT[Valor],TabPerdaDIT[Dados de perda],"Perdas DITs")</f>
        <v>0</v>
      </c>
    </row>
    <row r="24" spans="1:23" ht="27.75" customHeight="1">
      <c r="F24" s="135"/>
      <c r="G24" s="791"/>
      <c r="H24" s="834"/>
      <c r="J24" s="72"/>
      <c r="K24" s="1596" t="s">
        <v>1265</v>
      </c>
      <c r="L24" s="1596"/>
      <c r="M24" s="1597">
        <f ca="1">SUMIF(CUSD!F6:F30,"Energia",CUSD!G6:G30)/1000-M7</f>
        <v>110881.75919000001</v>
      </c>
      <c r="N24" s="68">
        <f ca="1">LnkTXTEV</f>
        <v>118365.851</v>
      </c>
    </row>
    <row r="25" spans="1:23">
      <c r="E25" s="93"/>
      <c r="F25" s="135"/>
      <c r="G25" s="127"/>
      <c r="H25" s="72"/>
      <c r="I25" s="72"/>
      <c r="J25" s="72"/>
      <c r="K25" s="1596" t="s">
        <v>930</v>
      </c>
      <c r="L25" s="1596"/>
      <c r="M25" s="1598">
        <f>E35+M26+C70</f>
        <v>10682.78549</v>
      </c>
      <c r="N25" s="774">
        <f ca="1">M24/M25-1</f>
        <v>9.3794800797783324</v>
      </c>
      <c r="O25" s="1681"/>
      <c r="P25" s="1681"/>
    </row>
    <row r="26" spans="1:23">
      <c r="A26" s="74"/>
      <c r="B26" s="881" t="s">
        <v>1266</v>
      </c>
      <c r="F26" s="91" t="s">
        <v>2352</v>
      </c>
      <c r="G26" s="72"/>
      <c r="H26" s="72"/>
      <c r="I26" s="72"/>
      <c r="K26" s="1596" t="s">
        <v>1267</v>
      </c>
      <c r="L26" s="1596"/>
      <c r="M26" s="1599">
        <f>SUMIFS(Faturas!V:V,Faturas!U:U,"Proinfa*")/1000</f>
        <v>175.93298999999999</v>
      </c>
    </row>
    <row r="27" spans="1:23" ht="24" customHeight="1">
      <c r="B27" s="1600" t="s">
        <v>25</v>
      </c>
      <c r="C27" s="1600" t="s">
        <v>1007</v>
      </c>
      <c r="D27" s="1600" t="s">
        <v>1268</v>
      </c>
      <c r="E27" s="1600" t="s">
        <v>57</v>
      </c>
      <c r="F27" s="1600" t="s">
        <v>1269</v>
      </c>
      <c r="G27" s="1272" t="s">
        <v>1270</v>
      </c>
      <c r="H27" s="1272" t="s">
        <v>1271</v>
      </c>
      <c r="I27" s="1272" t="s">
        <v>1272</v>
      </c>
      <c r="K27" s="130"/>
      <c r="L27" s="130"/>
      <c r="M27" s="830"/>
      <c r="N27" s="101"/>
      <c r="O27" s="101"/>
    </row>
    <row r="28" spans="1:23">
      <c r="A28" s="74" t="s">
        <v>2294</v>
      </c>
      <c r="B28" s="520" t="s">
        <v>2295</v>
      </c>
      <c r="C28" s="520" t="s">
        <v>2296</v>
      </c>
      <c r="D28" s="520">
        <f>IF(B28="","",SUMIFS(Faturas!V:V,Faturas!U:U,"Consumo*",Faturas!S:S,Energia!C28,Faturas!R:R,Energia!B28))</f>
        <v>6607968.4500000002</v>
      </c>
      <c r="E28" s="520">
        <f>IF(B28="","",D28/1000)</f>
        <v>6607.9684500000003</v>
      </c>
      <c r="F28" s="1675">
        <f>I28</f>
        <v>0.28499999999999998</v>
      </c>
      <c r="G28" s="521">
        <f>IFERROR(VLOOKUP(CONCATENATE(A28,A78),BD!$H$43:$S$59,12,FALSE),"")</f>
        <v>273.92</v>
      </c>
      <c r="H28" s="521">
        <f>IF(B28="","",IFERROR(G28*(1-F28),0))</f>
        <v>195.85280000000003</v>
      </c>
      <c r="I28" s="519">
        <f>I29</f>
        <v>0.28499999999999998</v>
      </c>
      <c r="K28" s="71" t="s">
        <v>1273</v>
      </c>
      <c r="L28" s="71"/>
      <c r="Q28" s="68" t="s">
        <v>57</v>
      </c>
      <c r="R28" s="68" t="s">
        <v>1269</v>
      </c>
      <c r="S28" s="68" t="s">
        <v>1270</v>
      </c>
      <c r="T28" s="68" t="s">
        <v>1271</v>
      </c>
      <c r="U28" s="68" t="s">
        <v>1272</v>
      </c>
    </row>
    <row r="29" spans="1:23" ht="16.5">
      <c r="A29" s="74" t="s">
        <v>2294</v>
      </c>
      <c r="B29" s="520" t="s">
        <v>2295</v>
      </c>
      <c r="C29" s="520" t="s">
        <v>261</v>
      </c>
      <c r="D29" s="520">
        <f>IF(B29="","",SUMIFS(Faturas!V:V,Faturas!U:U,"Consumo*",Faturas!S:S,Energia!C29,Faturas!R:R,Energia!B29))</f>
        <v>3898884.05</v>
      </c>
      <c r="E29" s="520">
        <f>IF(B29="","",D29/1000)</f>
        <v>3898.8840499999997</v>
      </c>
      <c r="F29" s="1675">
        <f t="shared" ref="F29:F32" si="0">I29</f>
        <v>0.28499999999999998</v>
      </c>
      <c r="G29" s="521">
        <f>IFERROR(VLOOKUP(CONCATENATE(A29,A79),BD!$H$43:$S$59,12,FALSE),"")</f>
        <v>273.92</v>
      </c>
      <c r="H29" s="521">
        <f t="shared" ref="H29:H34" si="1">IF(B29="","",IFERROR(G29*(1-F29),0))</f>
        <v>195.85280000000003</v>
      </c>
      <c r="I29" s="519">
        <f>IF(A79="","",_xlfn.IFNA(VLOOKUP(CONCATENATE($B$2,A29,A79),DescontosTE[[#All],[chave]:[2021]],8,FALSE),0))</f>
        <v>0.28499999999999998</v>
      </c>
      <c r="K29" s="1273" t="s">
        <v>20</v>
      </c>
      <c r="L29" s="1601"/>
      <c r="M29" s="1601" t="s">
        <v>1274</v>
      </c>
      <c r="N29" s="1601" t="s">
        <v>1275</v>
      </c>
      <c r="O29" s="1274" t="s">
        <v>1276</v>
      </c>
      <c r="P29" s="130"/>
      <c r="Q29" s="68">
        <v>88939.902920000008</v>
      </c>
      <c r="R29" s="68">
        <f>R30</f>
        <v>0.63819999999999999</v>
      </c>
      <c r="S29" s="68">
        <v>273.60000000000002</v>
      </c>
      <c r="T29" s="521">
        <f ca="1">IF(N30="","",IFERROR(S29*(1-R29),0))</f>
        <v>98.98848000000001</v>
      </c>
      <c r="U29" s="141">
        <f ca="1">T29*Q29</f>
        <v>8804025.801398363</v>
      </c>
      <c r="V29" s="68">
        <f>S29*Q29</f>
        <v>24333957.438912004</v>
      </c>
      <c r="W29" s="141">
        <f ca="1">V29-U29</f>
        <v>15529931.637513641</v>
      </c>
    </row>
    <row r="30" spans="1:23">
      <c r="A30" s="74"/>
      <c r="B30" s="520"/>
      <c r="C30" s="520"/>
      <c r="D30" s="520" t="str">
        <f>IF(B30="","",SUMIFS(Faturas!V:V,Faturas!U:U,"Consumo*",Faturas!S:S,Energia!C30,Faturas!R:R,Energia!B30))</f>
        <v/>
      </c>
      <c r="E30" s="520" t="str">
        <f>IF(B30="","",D30/1000)</f>
        <v/>
      </c>
      <c r="F30" s="612" t="str">
        <f t="shared" si="0"/>
        <v/>
      </c>
      <c r="G30" s="521" t="str">
        <f>IFERROR(VLOOKUP(CONCATENATE(A30,A80),BD!$H$43:$S$59,12,FALSE),"")</f>
        <v/>
      </c>
      <c r="H30" s="521" t="str">
        <f t="shared" si="1"/>
        <v/>
      </c>
      <c r="I30" s="519" t="str">
        <f>IF(A80="","",_xlfn.IFNA(VLOOKUP(CONCATENATE($B$2,A30,A80),DescontosTE[[#All],[chave]:[2021]],8,FALSE),0))</f>
        <v/>
      </c>
      <c r="K30" s="68" t="s">
        <v>1277</v>
      </c>
      <c r="M30" s="141">
        <f>IF(J60=0,E35,(J48+J60))+C63+C64+C65+C70</f>
        <v>129869.79086400587</v>
      </c>
      <c r="N30" s="93">
        <f ca="1">LnkTXTER-LnkTXTProinfa</f>
        <v>129744.66017506793</v>
      </c>
      <c r="O30" s="211">
        <f ca="1">N30/M30</f>
        <v>0.99903649118008531</v>
      </c>
      <c r="P30" s="130"/>
      <c r="Q30" s="68">
        <v>121096.97702999999</v>
      </c>
      <c r="R30" s="68">
        <v>0.63819999999999999</v>
      </c>
      <c r="S30" s="68">
        <v>273.60000000000002</v>
      </c>
      <c r="T30" s="521" t="str">
        <f>IF(J28="","",IFERROR(S30*(1-R30),0))</f>
        <v/>
      </c>
      <c r="U30" s="141" t="e">
        <f t="shared" ref="U30" si="2">T30*Q30</f>
        <v>#VALUE!</v>
      </c>
      <c r="V30" s="68">
        <f t="shared" ref="V30" si="3">S30*Q30</f>
        <v>33132132.915408</v>
      </c>
      <c r="W30" s="141" t="e">
        <f t="shared" ref="V30:W31" si="4">V30-U30</f>
        <v>#VALUE!</v>
      </c>
    </row>
    <row r="31" spans="1:23" ht="15.75">
      <c r="A31" s="74"/>
      <c r="B31" s="520"/>
      <c r="C31" s="520"/>
      <c r="D31" s="520" t="str">
        <f>IF(B31="","",SUMIFS(Faturas!V:V,Faturas!U:U,"Consumo*",Faturas!S:S,Energia!C31,Faturas!R:R,Energia!B31))</f>
        <v/>
      </c>
      <c r="E31" s="520" t="str">
        <f t="shared" ref="E31:E34" si="5">IF(B31="","",D31/1000)</f>
        <v/>
      </c>
      <c r="F31" s="612" t="str">
        <f t="shared" si="0"/>
        <v/>
      </c>
      <c r="G31" s="521" t="str">
        <f>IFERROR(VLOOKUP(CONCATENATE(A31,A81),BD!$H$43:$S$59,12,FALSE),"")</f>
        <v/>
      </c>
      <c r="H31" s="521" t="str">
        <f t="shared" si="1"/>
        <v/>
      </c>
      <c r="I31" s="519" t="str">
        <f>IF(A81="","",_xlfn.IFNA(VLOOKUP(CONCATENATE($B$2,A31,A81),DescontosTE[[#All],[chave]:[2021]],8,FALSE),0))</f>
        <v/>
      </c>
      <c r="K31" s="822"/>
      <c r="L31" s="824"/>
      <c r="M31" s="823"/>
      <c r="N31" s="825"/>
      <c r="O31" s="130"/>
      <c r="P31" s="68">
        <v>252593.90320000003</v>
      </c>
      <c r="Q31" s="68">
        <v>0.53600000000000003</v>
      </c>
      <c r="R31" s="68">
        <v>273.60000000000002</v>
      </c>
      <c r="S31" s="521" t="str">
        <f>IF(J29="","",IFERROR(R31*(1-Q31),0))</f>
        <v/>
      </c>
      <c r="T31" s="141" t="e">
        <f>S31*P31</f>
        <v>#VALUE!</v>
      </c>
      <c r="U31" s="68">
        <f>R31*P31</f>
        <v>69109691.915520012</v>
      </c>
      <c r="V31" s="141" t="e">
        <f t="shared" si="4"/>
        <v>#VALUE!</v>
      </c>
    </row>
    <row r="32" spans="1:23" ht="15.75">
      <c r="A32" s="74"/>
      <c r="B32" s="520"/>
      <c r="C32" s="520"/>
      <c r="D32" s="520" t="str">
        <f>IF(B32="","",SUMIFS(Faturas!V:V,Faturas!U:U,"Consumo*",Faturas!S:S,Energia!C32,Faturas!R:R,Energia!B32))</f>
        <v/>
      </c>
      <c r="E32" s="520" t="str">
        <f t="shared" si="5"/>
        <v/>
      </c>
      <c r="F32" s="612" t="str">
        <f t="shared" si="0"/>
        <v/>
      </c>
      <c r="G32" s="521" t="str">
        <f>IFERROR(VLOOKUP(CONCATENATE(A32,A82),BD!$H$43:$S$59,12,FALSE),"")</f>
        <v/>
      </c>
      <c r="H32" s="521" t="str">
        <f t="shared" si="1"/>
        <v/>
      </c>
      <c r="I32" s="519" t="str">
        <f>IF(A82="","",_xlfn.IFNA(VLOOKUP(CONCATENATE($B$2,A32,A82),DescontosTE[[#All],[chave]:[2021]],8,FALSE),0))</f>
        <v/>
      </c>
      <c r="K32" s="1795"/>
      <c r="L32" s="1795"/>
      <c r="M32" s="826"/>
      <c r="N32" s="826"/>
      <c r="P32" s="68" t="s">
        <v>177</v>
      </c>
      <c r="Q32" s="68" t="s">
        <v>177</v>
      </c>
      <c r="R32" s="68" t="s">
        <v>177</v>
      </c>
      <c r="S32" s="68" t="s">
        <v>177</v>
      </c>
      <c r="T32" s="141" t="e">
        <f ca="1">SUM(T29:T31)</f>
        <v>#VALUE!</v>
      </c>
      <c r="V32" s="141" t="e">
        <f>SUM(V29:V31)</f>
        <v>#VALUE!</v>
      </c>
    </row>
    <row r="33" spans="1:22" ht="16.5" customHeight="1">
      <c r="A33" s="74"/>
      <c r="B33" s="520"/>
      <c r="C33" s="520"/>
      <c r="D33" s="520"/>
      <c r="E33" s="520" t="str">
        <f t="shared" si="5"/>
        <v/>
      </c>
      <c r="F33" s="612" t="str">
        <f t="shared" ref="F33:F34" si="6">IF(B33="","",I33)</f>
        <v/>
      </c>
      <c r="G33" s="521" t="str">
        <f>IFERROR(VLOOKUP(CONCATENATE(A33,A83),BD!$H$43:$S$59,12,FALSE),"")</f>
        <v/>
      </c>
      <c r="H33" s="521" t="str">
        <f t="shared" si="1"/>
        <v/>
      </c>
      <c r="I33" s="519" t="str">
        <f>IF(A83="","",_xlfn.IFNA(VLOOKUP(CONCATENATE($B$2,A33,A83),DescontosTE[[#All],[chave]:[2021]],8,FALSE),0))</f>
        <v/>
      </c>
      <c r="K33" s="1735" t="s">
        <v>2382</v>
      </c>
      <c r="L33" s="1736"/>
      <c r="M33" s="826"/>
      <c r="N33" s="824"/>
      <c r="O33" s="130"/>
      <c r="P33" s="68" t="s">
        <v>177</v>
      </c>
      <c r="Q33" s="68" t="s">
        <v>177</v>
      </c>
      <c r="R33" s="68" t="s">
        <v>177</v>
      </c>
      <c r="S33" s="68" t="s">
        <v>177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0"/>
      <c r="C34" s="520"/>
      <c r="D34" s="520" t="str">
        <f>IF(B34="","",SUMIFS(Faturas!V:V,Faturas!U:U,"Consumo*",Faturas!S:S,Energia!C34,Faturas!R:R,Energia!B34))</f>
        <v/>
      </c>
      <c r="E34" s="520" t="str">
        <f t="shared" si="5"/>
        <v/>
      </c>
      <c r="F34" s="612" t="str">
        <f t="shared" si="6"/>
        <v/>
      </c>
      <c r="G34" s="521" t="str">
        <f>IFERROR(VLOOKUP(CONCATENATE(A34,A84),BD!$H$43:$S$59,12,FALSE),"")</f>
        <v/>
      </c>
      <c r="H34" s="521" t="str">
        <f t="shared" si="1"/>
        <v/>
      </c>
      <c r="I34" s="519" t="str">
        <f>IF(A84="","",_xlfn.IFNA(VLOOKUP(CONCATENATE($B$2,A34,A84),DescontosTE[[#All],[chave]:[2021]],8,FALSE),0))</f>
        <v/>
      </c>
      <c r="K34" s="1737" t="s">
        <v>2383</v>
      </c>
      <c r="L34" s="1738">
        <f ca="1">(L16+L17+L18+L19)/LnkTXTEV</f>
        <v>9.5194804500765021E-2</v>
      </c>
      <c r="M34" s="772"/>
      <c r="N34" s="101"/>
      <c r="O34" s="130"/>
      <c r="V34" s="141" t="e">
        <f>V32+V33</f>
        <v>#VALUE!</v>
      </c>
    </row>
    <row r="35" spans="1:22" ht="14.25" customHeight="1">
      <c r="A35" s="74"/>
      <c r="B35" s="753"/>
      <c r="C35" s="754"/>
      <c r="D35" s="755">
        <f>SUM(D28:D34)</f>
        <v>10506852.5</v>
      </c>
      <c r="E35" s="755">
        <f>SUM(E28:E34)</f>
        <v>10506.852500000001</v>
      </c>
      <c r="F35" s="752"/>
      <c r="G35" s="748">
        <f>IFERROR(SUMPRODUCT(G28:G34,E28:E34)/SUM(E28:E34),0)</f>
        <v>273.91999999999996</v>
      </c>
      <c r="H35" s="749">
        <f>IFERROR(SUMPRODUCT(H28:H34,E28:E34)/SUM(E28:E34),0)</f>
        <v>195.85280000000003</v>
      </c>
      <c r="I35" s="748"/>
      <c r="K35" s="101"/>
      <c r="L35" s="772"/>
      <c r="M35" s="772"/>
      <c r="N35" s="773"/>
      <c r="O35" s="130"/>
      <c r="P35" s="68" t="s">
        <v>177</v>
      </c>
      <c r="Q35" s="68" t="s">
        <v>177</v>
      </c>
      <c r="R35" s="68" t="s">
        <v>177</v>
      </c>
      <c r="S35" s="68" t="s">
        <v>177</v>
      </c>
      <c r="T35" s="68" t="s">
        <v>177</v>
      </c>
    </row>
    <row r="36" spans="1:22" ht="24" customHeight="1">
      <c r="A36" s="74"/>
      <c r="C36" s="68"/>
      <c r="J36" s="74"/>
      <c r="O36" s="130"/>
    </row>
    <row r="37" spans="1:22" ht="24" customHeight="1">
      <c r="A37" s="74"/>
      <c r="B37" s="881" t="s">
        <v>1278</v>
      </c>
      <c r="C37" s="68"/>
      <c r="J37" s="74"/>
      <c r="O37" s="130"/>
    </row>
    <row r="38" spans="1:22" ht="24" customHeight="1">
      <c r="A38" s="74"/>
      <c r="C38" s="68"/>
      <c r="J38" s="74"/>
      <c r="O38" s="130"/>
    </row>
    <row r="39" spans="1:22" ht="24" customHeight="1">
      <c r="A39" s="74"/>
      <c r="B39" s="881" t="s">
        <v>1279</v>
      </c>
      <c r="C39" s="69"/>
      <c r="G39" s="137"/>
      <c r="O39" s="130"/>
    </row>
    <row r="40" spans="1:22" ht="24" customHeight="1">
      <c r="A40" s="74"/>
      <c r="B40" s="1275" t="s">
        <v>906</v>
      </c>
      <c r="C40" s="1276" t="s">
        <v>1280</v>
      </c>
      <c r="D40" s="1277"/>
      <c r="E40" s="1276" t="s">
        <v>70</v>
      </c>
      <c r="F40" s="1276" t="s">
        <v>69</v>
      </c>
      <c r="G40" s="1276" t="s">
        <v>1281</v>
      </c>
      <c r="H40" s="1276" t="s">
        <v>1282</v>
      </c>
      <c r="I40" s="1276" t="s">
        <v>1283</v>
      </c>
      <c r="J40" s="1276" t="s">
        <v>57</v>
      </c>
      <c r="K40" s="1276" t="s">
        <v>1284</v>
      </c>
      <c r="L40" s="1276" t="s">
        <v>1285</v>
      </c>
      <c r="M40" s="1276" t="s">
        <v>1286</v>
      </c>
      <c r="N40" s="1276" t="s">
        <v>1287</v>
      </c>
      <c r="O40" s="130"/>
    </row>
    <row r="41" spans="1:22" ht="24" customHeight="1">
      <c r="A41" s="74"/>
      <c r="B41" s="1518" t="s">
        <v>245</v>
      </c>
      <c r="C41" s="1518" t="s">
        <v>2343</v>
      </c>
      <c r="D41" s="1518"/>
      <c r="E41" s="1519"/>
      <c r="F41" s="1520"/>
      <c r="G41" s="1521"/>
      <c r="H41" s="1522"/>
      <c r="I41" s="1519"/>
      <c r="J41" s="1518">
        <v>1200</v>
      </c>
      <c r="K41" s="1523">
        <f>H35</f>
        <v>195.85280000000003</v>
      </c>
      <c r="L41" s="820">
        <f>IFERROR(J41*K41,0)</f>
        <v>235023.36000000004</v>
      </c>
      <c r="M41" s="827">
        <f t="shared" ref="M41:M47" ca="1" si="7">IFERROR(J41*$O$30,0)</f>
        <v>1198.8437894161025</v>
      </c>
      <c r="N41" s="820">
        <f ca="1">IFERROR(K41*M41,0)</f>
        <v>234796.91291975408</v>
      </c>
      <c r="O41" s="130"/>
    </row>
    <row r="42" spans="1:22" ht="24" customHeight="1">
      <c r="A42" s="74"/>
      <c r="B42" s="1518"/>
      <c r="C42" s="1518"/>
      <c r="D42" s="1518"/>
      <c r="E42" s="1519"/>
      <c r="F42" s="1520"/>
      <c r="G42" s="1521"/>
      <c r="H42" s="1522"/>
      <c r="I42" s="1524"/>
      <c r="J42" s="1518"/>
      <c r="K42" s="1523">
        <f>H8</f>
        <v>0</v>
      </c>
      <c r="L42" s="820">
        <f>IFERROR(J42*K42,0)</f>
        <v>0</v>
      </c>
      <c r="M42" s="827">
        <f t="shared" ca="1" si="7"/>
        <v>0</v>
      </c>
      <c r="N42" s="820">
        <f ca="1">IFERROR(K42*M42,0)</f>
        <v>0</v>
      </c>
      <c r="O42" s="130"/>
    </row>
    <row r="43" spans="1:22" ht="24" customHeight="1">
      <c r="A43" s="74"/>
      <c r="B43" s="1518"/>
      <c r="C43" s="1518"/>
      <c r="D43" s="1518" t="s">
        <v>177</v>
      </c>
      <c r="E43" s="1519" t="str">
        <f t="shared" ref="E43:E47" si="8">IF(B43="","",D43/1000)</f>
        <v/>
      </c>
      <c r="F43" s="1520" t="str">
        <f>IF(B43="","",I43)</f>
        <v/>
      </c>
      <c r="G43" s="1521" t="s">
        <v>177</v>
      </c>
      <c r="H43" s="1522">
        <v>0</v>
      </c>
      <c r="I43" s="1519">
        <v>0</v>
      </c>
      <c r="J43" s="1518"/>
      <c r="K43" s="1523">
        <f>IFERROR(E43*(VLOOKUP(EDATE(G43,-1),Índices!#REF!,3,FALSE)/VLOOKUP(EDATE(F43,-1),Índices!#REF!,3,FALSE)),0)</f>
        <v>0</v>
      </c>
      <c r="L43" s="820">
        <f t="shared" ref="L43:L47" si="9">J43*K43</f>
        <v>0</v>
      </c>
      <c r="M43" s="827">
        <f t="shared" ca="1" si="7"/>
        <v>0</v>
      </c>
      <c r="N43" s="820">
        <f t="shared" ref="N43:N47" ca="1" si="10">K43*M43</f>
        <v>0</v>
      </c>
      <c r="O43" s="130"/>
    </row>
    <row r="44" spans="1:22" ht="24" customHeight="1">
      <c r="A44" s="74"/>
      <c r="B44" s="1518"/>
      <c r="C44" s="1518"/>
      <c r="D44" s="1518" t="s">
        <v>177</v>
      </c>
      <c r="E44" s="1519" t="str">
        <f t="shared" si="8"/>
        <v/>
      </c>
      <c r="F44" s="1520" t="str">
        <f>IF(B44="","",I44)</f>
        <v/>
      </c>
      <c r="G44" s="1521" t="s">
        <v>177</v>
      </c>
      <c r="H44" s="1522">
        <v>0</v>
      </c>
      <c r="I44" s="1519">
        <v>0</v>
      </c>
      <c r="J44" s="1518"/>
      <c r="K44" s="1523">
        <f>IFERROR(E44*(VLOOKUP(EDATE(G44,-1),Índices!#REF!,3,FALSE)/VLOOKUP(EDATE(F44,-1),Índices!#REF!,3,FALSE)),0)</f>
        <v>0</v>
      </c>
      <c r="L44" s="820">
        <f t="shared" si="9"/>
        <v>0</v>
      </c>
      <c r="M44" s="827">
        <f t="shared" ca="1" si="7"/>
        <v>0</v>
      </c>
      <c r="N44" s="820">
        <f ca="1">K44*M44</f>
        <v>0</v>
      </c>
      <c r="O44" s="130"/>
    </row>
    <row r="45" spans="1:22" ht="24" customHeight="1">
      <c r="A45" s="74"/>
      <c r="B45" s="1518"/>
      <c r="C45" s="1518"/>
      <c r="D45" s="1518" t="s">
        <v>177</v>
      </c>
      <c r="E45" s="1519" t="str">
        <f t="shared" si="8"/>
        <v/>
      </c>
      <c r="F45" s="1520" t="str">
        <f>IF(B45="","",I45)</f>
        <v/>
      </c>
      <c r="G45" s="1521" t="s">
        <v>177</v>
      </c>
      <c r="H45" s="1522">
        <v>0</v>
      </c>
      <c r="I45" s="1519">
        <v>0</v>
      </c>
      <c r="J45" s="1518"/>
      <c r="K45" s="1523">
        <f>IFERROR(E45*(VLOOKUP(EDATE(G45,-1),Índices!#REF!,3,FALSE)/VLOOKUP(EDATE(F45,-1),Índices!#REF!,3,FALSE)),0)</f>
        <v>0</v>
      </c>
      <c r="L45" s="820">
        <f t="shared" si="9"/>
        <v>0</v>
      </c>
      <c r="M45" s="827">
        <f t="shared" ca="1" si="7"/>
        <v>0</v>
      </c>
      <c r="N45" s="820">
        <f t="shared" ca="1" si="10"/>
        <v>0</v>
      </c>
      <c r="O45" s="130"/>
    </row>
    <row r="46" spans="1:22" ht="24" customHeight="1">
      <c r="A46" s="74"/>
      <c r="B46" s="1518"/>
      <c r="C46" s="1518"/>
      <c r="D46" s="1518" t="s">
        <v>177</v>
      </c>
      <c r="E46" s="1519" t="str">
        <f t="shared" si="8"/>
        <v/>
      </c>
      <c r="F46" s="1520" t="str">
        <f>IF(B46="","",I46)</f>
        <v/>
      </c>
      <c r="G46" s="1521" t="s">
        <v>177</v>
      </c>
      <c r="H46" s="1522">
        <v>0</v>
      </c>
      <c r="I46" s="1519">
        <v>0</v>
      </c>
      <c r="J46" s="1518"/>
      <c r="K46" s="1523">
        <f>IFERROR(E46*(VLOOKUP(EDATE(G46,-1),Índices!#REF!,3,FALSE)/VLOOKUP(EDATE(F46,-1),Índices!#REF!,3,FALSE)),0)</f>
        <v>0</v>
      </c>
      <c r="L46" s="820">
        <f t="shared" si="9"/>
        <v>0</v>
      </c>
      <c r="M46" s="827">
        <f t="shared" ca="1" si="7"/>
        <v>0</v>
      </c>
      <c r="N46" s="820">
        <f t="shared" ca="1" si="10"/>
        <v>0</v>
      </c>
      <c r="O46" s="130"/>
    </row>
    <row r="47" spans="1:22" ht="24" customHeight="1">
      <c r="A47" s="74"/>
      <c r="B47" s="1518"/>
      <c r="C47" s="1518"/>
      <c r="D47" s="1518" t="s">
        <v>177</v>
      </c>
      <c r="E47" s="1519" t="str">
        <f t="shared" si="8"/>
        <v/>
      </c>
      <c r="F47" s="1520" t="str">
        <f>IF(B47="","",I47)</f>
        <v/>
      </c>
      <c r="G47" s="1521" t="s">
        <v>177</v>
      </c>
      <c r="H47" s="1522">
        <v>0</v>
      </c>
      <c r="I47" s="1519">
        <v>0</v>
      </c>
      <c r="J47" s="1518"/>
      <c r="K47" s="1523">
        <f>IFERROR(E47*(VLOOKUP(EDATE(G47,-1),Índices!#REF!,3,FALSE)/VLOOKUP(EDATE(F47,-1),Índices!#REF!,3,FALSE)),0)</f>
        <v>0</v>
      </c>
      <c r="L47" s="820">
        <f t="shared" si="9"/>
        <v>0</v>
      </c>
      <c r="M47" s="827">
        <f t="shared" ca="1" si="7"/>
        <v>0</v>
      </c>
      <c r="N47" s="820">
        <f t="shared" ca="1" si="10"/>
        <v>0</v>
      </c>
      <c r="O47" s="130"/>
    </row>
    <row r="48" spans="1:22" ht="24" customHeight="1">
      <c r="A48" s="74"/>
      <c r="B48" s="1278" t="s">
        <v>897</v>
      </c>
      <c r="C48" s="1279"/>
      <c r="D48" s="1279"/>
      <c r="E48" s="1278"/>
      <c r="F48" s="1278"/>
      <c r="G48" s="1280"/>
      <c r="H48" s="1278"/>
      <c r="I48" s="1278"/>
      <c r="J48" s="1281">
        <f>SUM(J41:J47)</f>
        <v>1200</v>
      </c>
      <c r="K48" s="1282">
        <f ca="1">IFERROR(SUMPRODUCT(K41:K47,M41:M47)/SUM(M41:M47),0)</f>
        <v>195.85280000000003</v>
      </c>
      <c r="L48" s="1278"/>
      <c r="M48" s="1283">
        <f ca="1">SUM(M41:M47)</f>
        <v>1198.8437894161025</v>
      </c>
      <c r="N48" s="1283">
        <f ca="1">SUM(N41:N47)</f>
        <v>234796.91291975408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81" t="s">
        <v>1288</v>
      </c>
      <c r="C51" s="69"/>
      <c r="G51" s="137"/>
      <c r="O51" s="130"/>
      <c r="V51" s="68">
        <v>59464827.420289896</v>
      </c>
    </row>
    <row r="52" spans="1:22" ht="14.25" customHeight="1">
      <c r="A52" s="74"/>
      <c r="B52" s="1275" t="s">
        <v>906</v>
      </c>
      <c r="C52" s="1276" t="s">
        <v>1280</v>
      </c>
      <c r="D52" s="1277"/>
      <c r="E52" s="1276" t="s">
        <v>70</v>
      </c>
      <c r="F52" s="1276" t="s">
        <v>69</v>
      </c>
      <c r="G52" s="1276" t="s">
        <v>1281</v>
      </c>
      <c r="H52" s="1276" t="s">
        <v>1282</v>
      </c>
      <c r="I52" s="1276" t="s">
        <v>1283</v>
      </c>
      <c r="J52" s="1276" t="s">
        <v>57</v>
      </c>
      <c r="K52" s="1276" t="s">
        <v>1284</v>
      </c>
      <c r="L52" s="1276" t="s">
        <v>1285</v>
      </c>
      <c r="M52" s="1276" t="s">
        <v>1286</v>
      </c>
      <c r="N52" s="1276" t="s">
        <v>1287</v>
      </c>
      <c r="O52" s="130"/>
      <c r="V52" s="141" t="e">
        <f>V34-V51</f>
        <v>#VALUE!</v>
      </c>
    </row>
    <row r="53" spans="1:22" ht="18" customHeight="1">
      <c r="A53" s="74"/>
      <c r="B53" s="1518" t="s">
        <v>2342</v>
      </c>
      <c r="C53" s="1518" t="s">
        <v>2344</v>
      </c>
      <c r="D53" s="1518"/>
      <c r="E53" s="1519">
        <v>139.80000000000001</v>
      </c>
      <c r="F53" s="1520">
        <v>44013</v>
      </c>
      <c r="G53" s="1521">
        <v>44774</v>
      </c>
      <c r="H53" s="1522">
        <v>11</v>
      </c>
      <c r="I53" s="1519">
        <v>365</v>
      </c>
      <c r="J53" s="1518">
        <f>H53*I53*24</f>
        <v>96360</v>
      </c>
      <c r="K53" s="1523">
        <f>E53*VLOOKUP(EDATE(G53,-1),Índices!B5:F405,3,FALSE)/VLOOKUP(EDATE(F53,-1),Índices!B5:F405,3,FALSE)</f>
        <v>170.40524534932575</v>
      </c>
      <c r="L53" s="820">
        <f>IFERROR(J53*K53,0)</f>
        <v>16420249.44186103</v>
      </c>
      <c r="M53" s="827">
        <f t="shared" ref="M53:M59" ca="1" si="11">IFERROR(J53*$O$30,0)</f>
        <v>96267.156290113024</v>
      </c>
      <c r="N53" s="820">
        <f ca="1">IFERROR(K53*M53,0)</f>
        <v>16404428.386698598</v>
      </c>
      <c r="O53" s="136"/>
    </row>
    <row r="54" spans="1:22">
      <c r="B54" s="1518"/>
      <c r="C54" s="1518"/>
      <c r="D54" s="1518"/>
      <c r="E54" s="1519"/>
      <c r="F54" s="1520"/>
      <c r="G54" s="1521"/>
      <c r="H54" s="1522"/>
      <c r="I54" s="1524"/>
      <c r="J54" s="1518"/>
      <c r="K54" s="1523"/>
      <c r="L54" s="820">
        <f>IFERROR(J54*K54,0)</f>
        <v>0</v>
      </c>
      <c r="M54" s="827">
        <f t="shared" ca="1" si="11"/>
        <v>0</v>
      </c>
      <c r="N54" s="820">
        <f ca="1">IFERROR(K54*M54,0)</f>
        <v>0</v>
      </c>
      <c r="V54" s="68">
        <v>7728827.6146981604</v>
      </c>
    </row>
    <row r="55" spans="1:22">
      <c r="B55" s="1518"/>
      <c r="C55" s="1518"/>
      <c r="D55" s="1518" t="s">
        <v>177</v>
      </c>
      <c r="E55" s="1519" t="str">
        <f t="shared" ref="E55:E59" si="12">IF(B55="","",D55/1000)</f>
        <v/>
      </c>
      <c r="F55" s="1520" t="str">
        <f>IF(B55="","",I55)</f>
        <v/>
      </c>
      <c r="G55" s="1521" t="s">
        <v>177</v>
      </c>
      <c r="H55" s="1522">
        <v>0</v>
      </c>
      <c r="I55" s="1519">
        <v>0</v>
      </c>
      <c r="J55" s="1518"/>
      <c r="K55" s="1523">
        <f>IFERROR(E55*(VLOOKUP(EDATE(G55,-1),Índices!B7:D501,3,FALSE)/VLOOKUP(EDATE(F55,-1),Índices!B7:D501,3,FALSE)),0)</f>
        <v>0</v>
      </c>
      <c r="L55" s="820">
        <f t="shared" ref="L55:L59" si="13">J55*K55</f>
        <v>0</v>
      </c>
      <c r="M55" s="827">
        <f t="shared" ca="1" si="11"/>
        <v>0</v>
      </c>
      <c r="N55" s="820">
        <f t="shared" ref="N55:N59" ca="1" si="14">K55*M55</f>
        <v>0</v>
      </c>
    </row>
    <row r="56" spans="1:22">
      <c r="B56" s="1518"/>
      <c r="C56" s="1518"/>
      <c r="D56" s="1518" t="s">
        <v>177</v>
      </c>
      <c r="E56" s="1519" t="str">
        <f t="shared" si="12"/>
        <v/>
      </c>
      <c r="F56" s="1520" t="str">
        <f>IF(B56="","",I56)</f>
        <v/>
      </c>
      <c r="G56" s="1521" t="s">
        <v>177</v>
      </c>
      <c r="H56" s="1522">
        <v>0</v>
      </c>
      <c r="I56" s="1519">
        <v>0</v>
      </c>
      <c r="J56" s="1518"/>
      <c r="K56" s="1523">
        <f>IFERROR(E56*(VLOOKUP(EDATE(G56,-1),Índices!B8:D502,3,FALSE)/VLOOKUP(EDATE(F56,-1),Índices!B8:D502,3,FALSE)),0)</f>
        <v>0</v>
      </c>
      <c r="L56" s="820">
        <f t="shared" si="13"/>
        <v>0</v>
      </c>
      <c r="M56" s="827">
        <f t="shared" ca="1" si="11"/>
        <v>0</v>
      </c>
      <c r="N56" s="820">
        <f t="shared" ca="1" si="14"/>
        <v>0</v>
      </c>
      <c r="V56" s="141" t="e">
        <f>V52+V54</f>
        <v>#VALUE!</v>
      </c>
    </row>
    <row r="57" spans="1:22">
      <c r="B57" s="1518"/>
      <c r="C57" s="1518"/>
      <c r="D57" s="1518" t="s">
        <v>177</v>
      </c>
      <c r="E57" s="1519" t="str">
        <f t="shared" si="12"/>
        <v/>
      </c>
      <c r="F57" s="1520" t="str">
        <f>IF(B57="","",I57)</f>
        <v/>
      </c>
      <c r="G57" s="1521" t="s">
        <v>177</v>
      </c>
      <c r="H57" s="1522">
        <v>0</v>
      </c>
      <c r="I57" s="1519">
        <v>0</v>
      </c>
      <c r="J57" s="1518"/>
      <c r="K57" s="1523">
        <f>IFERROR(E57*(VLOOKUP(EDATE(G57,-1),Índices!B9:D503,3,FALSE)/VLOOKUP(EDATE(F57,-1),Índices!B9:D503,3,FALSE)),0)</f>
        <v>0</v>
      </c>
      <c r="L57" s="820">
        <f t="shared" si="13"/>
        <v>0</v>
      </c>
      <c r="M57" s="827">
        <f t="shared" ca="1" si="11"/>
        <v>0</v>
      </c>
      <c r="N57" s="820">
        <f t="shared" ca="1" si="14"/>
        <v>0</v>
      </c>
    </row>
    <row r="58" spans="1:22">
      <c r="B58" s="1518"/>
      <c r="C58" s="1518"/>
      <c r="D58" s="1518" t="s">
        <v>177</v>
      </c>
      <c r="E58" s="1519" t="str">
        <f t="shared" si="12"/>
        <v/>
      </c>
      <c r="F58" s="1520" t="str">
        <f>IF(B58="","",I58)</f>
        <v/>
      </c>
      <c r="G58" s="1521" t="s">
        <v>177</v>
      </c>
      <c r="H58" s="1522">
        <v>0</v>
      </c>
      <c r="I58" s="1519">
        <v>0</v>
      </c>
      <c r="J58" s="1518"/>
      <c r="K58" s="1523">
        <f>IFERROR(E58*(VLOOKUP(EDATE(G58,-1),Índices!B10:D504,3,FALSE)/VLOOKUP(EDATE(F58,-1),Índices!B10:D504,3,FALSE)),0)</f>
        <v>0</v>
      </c>
      <c r="L58" s="820">
        <f t="shared" si="13"/>
        <v>0</v>
      </c>
      <c r="M58" s="827">
        <f t="shared" ca="1" si="11"/>
        <v>0</v>
      </c>
      <c r="N58" s="820">
        <f t="shared" ca="1" si="14"/>
        <v>0</v>
      </c>
    </row>
    <row r="59" spans="1:22">
      <c r="B59" s="1518"/>
      <c r="C59" s="1518"/>
      <c r="D59" s="1518" t="s">
        <v>177</v>
      </c>
      <c r="E59" s="1519" t="str">
        <f t="shared" si="12"/>
        <v/>
      </c>
      <c r="F59" s="1520" t="str">
        <f>IF(B59="","",I59)</f>
        <v/>
      </c>
      <c r="G59" s="1521" t="s">
        <v>177</v>
      </c>
      <c r="H59" s="1522">
        <v>0</v>
      </c>
      <c r="I59" s="1519">
        <v>0</v>
      </c>
      <c r="J59" s="1518"/>
      <c r="K59" s="1523">
        <f>IFERROR(E59*(VLOOKUP(EDATE(G59,-1),Índices!B11:D505,3,FALSE)/VLOOKUP(EDATE(F59,-1),Índices!B11:D505,3,FALSE)),0)</f>
        <v>0</v>
      </c>
      <c r="L59" s="820">
        <f t="shared" si="13"/>
        <v>0</v>
      </c>
      <c r="M59" s="827">
        <f t="shared" ca="1" si="11"/>
        <v>0</v>
      </c>
      <c r="N59" s="820">
        <f t="shared" ca="1" si="14"/>
        <v>0</v>
      </c>
    </row>
    <row r="60" spans="1:22">
      <c r="B60" s="1278" t="s">
        <v>897</v>
      </c>
      <c r="C60" s="1279"/>
      <c r="D60" s="1279"/>
      <c r="E60" s="1278"/>
      <c r="F60" s="1278"/>
      <c r="G60" s="1280"/>
      <c r="H60" s="1278"/>
      <c r="I60" s="1278"/>
      <c r="J60" s="1281">
        <f>SUM(J53:J59)</f>
        <v>96360</v>
      </c>
      <c r="K60" s="1282">
        <f ca="1">IFERROR(SUMPRODUCT(K53:K59,M53:M59)/SUM(M53:M59),0)</f>
        <v>170.40524534932575</v>
      </c>
      <c r="L60" s="1278"/>
      <c r="M60" s="1283">
        <f ca="1">SUM(M53:M59)</f>
        <v>96267.156290113024</v>
      </c>
      <c r="N60" s="1283">
        <f ca="1">SUM(N53:N59)</f>
        <v>16404428.386698598</v>
      </c>
    </row>
    <row r="61" spans="1:22">
      <c r="C61" s="423"/>
      <c r="D61" s="423"/>
      <c r="E61" s="423"/>
      <c r="K61" s="68" t="s">
        <v>1289</v>
      </c>
    </row>
    <row r="62" spans="1:22" ht="15.75">
      <c r="B62" s="1284" t="s">
        <v>1290</v>
      </c>
      <c r="C62" s="1285" t="s">
        <v>1291</v>
      </c>
      <c r="D62" s="1286"/>
      <c r="E62" s="1287" t="s">
        <v>1292</v>
      </c>
      <c r="F62" s="1287" t="s">
        <v>1293</v>
      </c>
      <c r="H62" s="1288" t="s">
        <v>1294</v>
      </c>
      <c r="I62" s="1602" t="s">
        <v>47</v>
      </c>
      <c r="J62" s="1603" t="s">
        <v>48</v>
      </c>
      <c r="K62" s="1289" t="s">
        <v>1255</v>
      </c>
    </row>
    <row r="63" spans="1:22" ht="15.75">
      <c r="B63" s="78" t="s">
        <v>1295</v>
      </c>
      <c r="C63" s="831">
        <f>IF(ISERROR(VLOOKUP("Angra",AngraCota[],5,FALSE)),0,VLOOKUP("Angra",AngraCota[],5,FALSE))</f>
        <v>3703.7152314003015</v>
      </c>
      <c r="D63" s="832">
        <f t="shared" ref="D63:D65" si="15">E63</f>
        <v>349.15</v>
      </c>
      <c r="E63" s="819">
        <f>IFERROR(VLOOKUP("Angra",AngraCota[],4,FALSE),0)</f>
        <v>349.15</v>
      </c>
      <c r="F63" s="108">
        <f>C63*E63</f>
        <v>1293152.1730434152</v>
      </c>
      <c r="H63" s="1290" t="s">
        <v>1296</v>
      </c>
      <c r="I63" s="1725">
        <v>0.88500000000000001</v>
      </c>
      <c r="J63" s="1727">
        <v>195.04</v>
      </c>
      <c r="K63" s="1291">
        <f>(J63*(1-I63)*(C64+C65))</f>
        <v>641622.83400908986</v>
      </c>
    </row>
    <row r="64" spans="1:22" ht="15.75">
      <c r="B64" s="78" t="s">
        <v>1296</v>
      </c>
      <c r="C64" s="831">
        <f>BD!AE22</f>
        <v>12602.631705785965</v>
      </c>
      <c r="D64" s="832">
        <f t="shared" si="15"/>
        <v>152.33265813814194</v>
      </c>
      <c r="E64" s="819">
        <f>BD!AG22</f>
        <v>152.33265813814194</v>
      </c>
      <c r="F64" s="108">
        <f>C64*E64</f>
        <v>1919792.387278402</v>
      </c>
      <c r="H64" s="828" t="s">
        <v>1297</v>
      </c>
      <c r="I64" s="1726">
        <f>I63</f>
        <v>0.88500000000000001</v>
      </c>
      <c r="J64" s="1728">
        <f>J63</f>
        <v>195.04</v>
      </c>
      <c r="K64" s="829"/>
    </row>
    <row r="65" spans="1:11" ht="15.75">
      <c r="B65" s="78" t="s">
        <v>1296</v>
      </c>
      <c r="C65" s="831">
        <f>BD!AE23</f>
        <v>16003.443926819604</v>
      </c>
      <c r="D65" s="832">
        <f t="shared" si="15"/>
        <v>139.94993916249666</v>
      </c>
      <c r="E65" s="819">
        <f>BD!AG23</f>
        <v>139.94993916249666</v>
      </c>
      <c r="F65" s="108">
        <f>C65*E65</f>
        <v>2239681.0039488301</v>
      </c>
      <c r="H65" s="1646" t="s">
        <v>1298</v>
      </c>
      <c r="I65" s="1726">
        <f>I64</f>
        <v>0.88500000000000001</v>
      </c>
      <c r="J65" s="1728">
        <f>J64</f>
        <v>195.04</v>
      </c>
      <c r="K65" s="829">
        <f>(J65*(1-I65)*I68*K68*365*24)</f>
        <v>1041340.7620345327</v>
      </c>
    </row>
    <row r="66" spans="1:11" ht="15.75">
      <c r="B66" s="821"/>
      <c r="C66" s="821">
        <f>SUM(C63:C65)</f>
        <v>32309.79086400587</v>
      </c>
      <c r="D66" s="821"/>
      <c r="E66" s="821"/>
      <c r="F66" s="821">
        <f>SUM(F63:F65)</f>
        <v>5452625.5642706472</v>
      </c>
      <c r="H66" s="1647" t="s">
        <v>1299</v>
      </c>
      <c r="I66" s="1292"/>
      <c r="J66" s="1293"/>
      <c r="K66" s="1294">
        <f>SUM(K63:K65)</f>
        <v>1682963.5960436226</v>
      </c>
    </row>
    <row r="67" spans="1:11" ht="15.75">
      <c r="H67" s="1796" t="s">
        <v>50</v>
      </c>
      <c r="I67" s="1796"/>
      <c r="J67" s="1604"/>
      <c r="K67" s="1604" t="s">
        <v>49</v>
      </c>
    </row>
    <row r="68" spans="1:11" ht="15.75">
      <c r="C68" s="124">
        <f ca="1">+C64*O30</f>
        <v>12590.488958983304</v>
      </c>
      <c r="H68" s="816" t="str">
        <f>CAPA!C9</f>
        <v>Creluz</v>
      </c>
      <c r="I68" s="833" cm="1">
        <f t="array" ref="I68">GSFRH[Fator de rateio]</f>
        <v>3.59565E-4</v>
      </c>
      <c r="J68" s="972">
        <f>J63</f>
        <v>195.04</v>
      </c>
      <c r="K68" s="817" cm="1">
        <f t="array" ref="K68">GSFRH[MWm repactuado]</f>
        <v>14739.74</v>
      </c>
    </row>
    <row r="69" spans="1:11" ht="15">
      <c r="B69" s="1284" t="s">
        <v>1300</v>
      </c>
      <c r="C69" s="1285" t="s">
        <v>1291</v>
      </c>
      <c r="D69" s="1286"/>
      <c r="E69" s="1287" t="s">
        <v>1292</v>
      </c>
      <c r="F69" s="1287" t="s">
        <v>1293</v>
      </c>
    </row>
    <row r="70" spans="1:11">
      <c r="B70" s="78" t="s">
        <v>1301</v>
      </c>
      <c r="C70" s="831">
        <f>CAPA!D58</f>
        <v>0</v>
      </c>
      <c r="D70" s="832">
        <f t="shared" ref="D70" si="16">E70</f>
        <v>0</v>
      </c>
      <c r="E70" s="819">
        <v>0</v>
      </c>
      <c r="F70" s="108">
        <f>C70*E70</f>
        <v>0</v>
      </c>
    </row>
    <row r="71" spans="1:11">
      <c r="B71" s="78"/>
      <c r="C71" s="831"/>
      <c r="D71" s="832"/>
      <c r="E71" s="819"/>
      <c r="F71" s="108"/>
      <c r="J71" s="141"/>
    </row>
    <row r="72" spans="1:11">
      <c r="B72" s="821"/>
      <c r="C72" s="821">
        <f>SUM(C70:C71)</f>
        <v>0</v>
      </c>
      <c r="D72" s="821"/>
      <c r="E72" s="821"/>
      <c r="F72" s="821">
        <f>SUM(F70:F71)</f>
        <v>0</v>
      </c>
      <c r="J72" s="141"/>
    </row>
    <row r="77" spans="1:11">
      <c r="A77" s="68" t="s">
        <v>1302</v>
      </c>
    </row>
    <row r="78" spans="1:11">
      <c r="A78" s="68" t="str">
        <f>TRIM(LEFT(C28,3))</f>
        <v>A2</v>
      </c>
    </row>
    <row r="79" spans="1:11">
      <c r="A79" s="68" t="str">
        <f t="shared" ref="A79:A84" si="17">TRIM(LEFT(C29,3))</f>
        <v>A4</v>
      </c>
    </row>
    <row r="80" spans="1:11">
      <c r="A80" s="68" t="str">
        <f t="shared" si="17"/>
        <v/>
      </c>
    </row>
    <row r="81" spans="1:1">
      <c r="A81" s="68" t="str">
        <f t="shared" si="17"/>
        <v/>
      </c>
    </row>
    <row r="82" spans="1:1">
      <c r="A82" s="68" t="str">
        <f t="shared" si="17"/>
        <v/>
      </c>
    </row>
    <row r="83" spans="1:1">
      <c r="A83" s="68" t="str">
        <f t="shared" si="17"/>
        <v/>
      </c>
    </row>
    <row r="84" spans="1:1">
      <c r="A84" s="68" t="str">
        <f t="shared" si="17"/>
        <v/>
      </c>
    </row>
  </sheetData>
  <mergeCells count="2">
    <mergeCell ref="K32:L32"/>
    <mergeCell ref="H67:I67"/>
  </mergeCells>
  <conditionalFormatting sqref="K13:N21">
    <cfRule type="cellIs" dxfId="50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M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9 U4:V6 T2:AC3 W4:AD11 T20:AC20 U12:AB19 O88:AC1048576 P32:AC33 P34:U34 W34:AC34 P35:AC87 Q22:AB28 P23:P29 T21:AA21 N62:N1048576 U29:AB29 P31:R31 Q29:S30 T31:AC31 U30:AD30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N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U12:AB19 W4:AD11 U4:V6 T19 T20:AC20 T2:AC3 O88:AC1048576 P32:AC33 P34:U34 W34:AC34 P35:AC87 Q22:AB28 P23:P29 T21:AA21 N62:N1048576 U29:AB29 P31:R31 Q29:S30 T31:AC31 U30:AD30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20:AC20 T2:AC3 U4:AD11 O88:AC1048576 P32:AC33 P34:U34 W34:AC34 P35:AC87 Q22:AB28 P23:P29 T15:AB19 T21:AA21 U12:AB14 N62:N1048576 U29:AB29 P31:R31 Q29:S30 T31:AC31 U30:AD30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5:AB19 T2:AC3 U4:AD11 O88:AC1048576 P32:AC33 P34:U34 W34:AC34 P35:AC87 Q22:AB28 P23:P29 T21:AA21 T20:AC20 U12:AB14 N62:N1048576 U29:AB29 P31:R31 Q29:S30 T31:AC31 U30:AD30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D13" sqref="D13"/>
    </sheetView>
  </sheetViews>
  <sheetFormatPr defaultColWidth="9.140625" defaultRowHeight="14.25"/>
  <cols>
    <col min="1" max="1" width="3.5703125" style="150" customWidth="1"/>
    <col min="2" max="2" width="25.42578125" style="150" customWidth="1"/>
    <col min="3" max="3" width="28" style="150" bestFit="1" customWidth="1"/>
    <col min="4" max="4" width="16.85546875" style="150" customWidth="1"/>
    <col min="5" max="5" width="15.28515625" style="150" customWidth="1"/>
    <col min="6" max="7" width="15.28515625" style="153" customWidth="1"/>
    <col min="8" max="8" width="15.28515625" style="150" customWidth="1"/>
    <col min="9" max="9" width="17.85546875" style="150" customWidth="1"/>
    <col min="10" max="25" width="15.28515625" style="150" customWidth="1"/>
    <col min="26" max="26" width="3.42578125" style="150" customWidth="1"/>
    <col min="27" max="27" width="6.85546875" style="150" customWidth="1"/>
    <col min="28" max="16384" width="9.140625" style="150"/>
  </cols>
  <sheetData>
    <row r="1" spans="2:27" ht="30.75" customHeight="1">
      <c r="B1" s="1295" t="s">
        <v>763</v>
      </c>
      <c r="C1" s="1110">
        <f>Resultado!C1</f>
        <v>0</v>
      </c>
      <c r="D1" s="1296"/>
      <c r="E1" s="1297"/>
      <c r="F1" s="1298"/>
      <c r="G1" s="1219" t="s">
        <v>1005</v>
      </c>
      <c r="H1" s="1299">
        <f ca="1">LnkTXTIRTEco</f>
        <v>0.16800000000000001</v>
      </c>
    </row>
    <row r="2" spans="2:27">
      <c r="B2" s="138" t="str">
        <f>CAPA!C9</f>
        <v>Creluz</v>
      </c>
      <c r="C2" s="70"/>
      <c r="D2" s="70"/>
      <c r="G2" s="121" t="s">
        <v>1009</v>
      </c>
      <c r="H2" s="147">
        <f ca="1">LnkTXTIRTTotal</f>
        <v>-5.8700000000000002E-2</v>
      </c>
    </row>
    <row r="3" spans="2:27">
      <c r="D3" s="152"/>
      <c r="G3" s="151"/>
      <c r="H3" s="151"/>
    </row>
    <row r="4" spans="2:27">
      <c r="D4" s="152"/>
      <c r="G4" s="151"/>
      <c r="H4" s="151"/>
    </row>
    <row r="5" spans="2:27">
      <c r="D5" s="152"/>
      <c r="F5" s="154"/>
      <c r="G5" s="151"/>
      <c r="H5" s="151"/>
    </row>
    <row r="6" spans="2:27">
      <c r="B6" s="1300" t="s">
        <v>1303</v>
      </c>
      <c r="C6" s="1300"/>
      <c r="D6" s="1300"/>
      <c r="E6" s="1300"/>
      <c r="F6" s="1300"/>
      <c r="G6" s="1300"/>
      <c r="H6" s="1300"/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</row>
    <row r="7" spans="2:27">
      <c r="D7" s="152"/>
      <c r="G7" s="151"/>
      <c r="H7" s="151"/>
    </row>
    <row r="8" spans="2:27" ht="28.5">
      <c r="B8" s="1301" t="s">
        <v>906</v>
      </c>
      <c r="C8" s="1301" t="s">
        <v>1304</v>
      </c>
      <c r="D8" s="1301" t="s">
        <v>1305</v>
      </c>
      <c r="E8" s="1301" t="s">
        <v>1306</v>
      </c>
      <c r="H8" s="151"/>
    </row>
    <row r="9" spans="2:27">
      <c r="B9" s="157" t="s">
        <v>1025</v>
      </c>
      <c r="C9" s="180">
        <f>SUMIFS($M$18:$M$63,$D$18:$D$63,"Ponta")</f>
        <v>0</v>
      </c>
      <c r="D9" s="180">
        <f>SUMIFS($J$18:$J$63,$D$18:$D$63,"Ponta")</f>
        <v>0</v>
      </c>
      <c r="E9" s="180">
        <f>SUMIFS($L$18:$L$63,$D$18:$D$63,"Ponta")</f>
        <v>0</v>
      </c>
    </row>
    <row r="10" spans="2:27">
      <c r="B10" s="1302" t="s">
        <v>1307</v>
      </c>
      <c r="C10" s="1303">
        <f>SUMIFS($M$18:$M$63,$D$18:$D$63,"Fora Ponta")</f>
        <v>0</v>
      </c>
      <c r="D10" s="1303">
        <f>SUMIFS($J$18:$J$63,$D$18:$D$63,"Fora Ponta")</f>
        <v>0</v>
      </c>
      <c r="E10" s="1303">
        <f>SUMIFS($L$18:$L$63,$D$18:$D$63,"Fora Ponta")</f>
        <v>0</v>
      </c>
    </row>
    <row r="11" spans="2:27">
      <c r="D11" s="68"/>
      <c r="E11" s="68"/>
      <c r="G11" s="150"/>
    </row>
    <row r="12" spans="2:27">
      <c r="B12" s="155"/>
      <c r="C12" s="155"/>
      <c r="D12" s="155"/>
      <c r="E12" s="155"/>
      <c r="F12" s="155"/>
      <c r="G12" s="155"/>
      <c r="H12" s="155"/>
    </row>
    <row r="13" spans="2:27">
      <c r="B13" s="156"/>
    </row>
    <row r="14" spans="2:27">
      <c r="B14" s="157"/>
      <c r="F14" s="1304" t="s">
        <v>1308</v>
      </c>
      <c r="G14" s="1305"/>
      <c r="H14" s="1305"/>
      <c r="I14" s="1305"/>
      <c r="J14" s="1305"/>
      <c r="K14" s="1305"/>
      <c r="L14" s="1305"/>
      <c r="M14" s="1305"/>
      <c r="N14" s="1305"/>
      <c r="O14" s="1305"/>
      <c r="P14" s="1305"/>
      <c r="Q14" s="1305"/>
      <c r="R14" s="1306"/>
    </row>
    <row r="15" spans="2:27">
      <c r="B15" s="1802" t="s">
        <v>1309</v>
      </c>
      <c r="C15" s="1803" t="s">
        <v>1310</v>
      </c>
      <c r="D15" s="1804" t="s">
        <v>119</v>
      </c>
      <c r="E15" s="1805" t="s">
        <v>1311</v>
      </c>
      <c r="F15" s="1805"/>
      <c r="G15" s="1805"/>
      <c r="H15" s="1806"/>
      <c r="I15" s="1807" t="s">
        <v>1312</v>
      </c>
      <c r="J15" s="1808"/>
      <c r="K15" s="1808"/>
      <c r="L15" s="1808"/>
      <c r="M15" s="1809" t="s">
        <v>1313</v>
      </c>
      <c r="N15" s="1810"/>
      <c r="O15" s="1810"/>
      <c r="P15" s="1810"/>
      <c r="Q15" s="1810"/>
      <c r="R15" s="1810"/>
      <c r="S15" s="1810"/>
      <c r="T15" s="1810"/>
      <c r="U15" s="1810"/>
      <c r="V15" s="1810"/>
      <c r="W15" s="1810"/>
      <c r="X15" s="1810"/>
      <c r="Y15" s="1810"/>
      <c r="Z15" s="65"/>
      <c r="AA15" s="386"/>
    </row>
    <row r="16" spans="2:27">
      <c r="B16" s="1802"/>
      <c r="C16" s="1803"/>
      <c r="D16" s="1804"/>
      <c r="E16" s="1813" t="s">
        <v>162</v>
      </c>
      <c r="F16" s="1814"/>
      <c r="G16" s="1814" t="s">
        <v>1314</v>
      </c>
      <c r="H16" s="1815"/>
      <c r="I16" s="1816" t="s">
        <v>162</v>
      </c>
      <c r="J16" s="1817"/>
      <c r="K16" s="1817" t="s">
        <v>1314</v>
      </c>
      <c r="L16" s="1818"/>
      <c r="M16" s="1811"/>
      <c r="N16" s="1812"/>
      <c r="O16" s="1812"/>
      <c r="P16" s="1812"/>
      <c r="Q16" s="1812"/>
      <c r="R16" s="1812"/>
      <c r="S16" s="1812"/>
      <c r="T16" s="1812"/>
      <c r="U16" s="1812"/>
      <c r="V16" s="1812"/>
      <c r="W16" s="1812"/>
      <c r="X16" s="1812"/>
      <c r="Y16" s="1812"/>
      <c r="Z16" s="65"/>
      <c r="AA16" s="386"/>
    </row>
    <row r="17" spans="2:27">
      <c r="B17" s="1802"/>
      <c r="C17" s="1803"/>
      <c r="D17" s="1804"/>
      <c r="E17" s="387" t="s">
        <v>834</v>
      </c>
      <c r="F17" s="388" t="s">
        <v>831</v>
      </c>
      <c r="G17" s="388" t="s">
        <v>834</v>
      </c>
      <c r="H17" s="389" t="s">
        <v>831</v>
      </c>
      <c r="I17" s="390" t="s">
        <v>834</v>
      </c>
      <c r="J17" s="391" t="s">
        <v>831</v>
      </c>
      <c r="K17" s="391" t="s">
        <v>834</v>
      </c>
      <c r="L17" s="391" t="s">
        <v>831</v>
      </c>
      <c r="M17" s="392" t="s">
        <v>897</v>
      </c>
      <c r="N17" s="392">
        <f>SAS_RA0_DataInicio</f>
        <v>44378</v>
      </c>
      <c r="O17" s="392">
        <f>EDATE(N17,1)</f>
        <v>44409</v>
      </c>
      <c r="P17" s="392">
        <f t="shared" ref="P17:Y17" si="0">EDATE(O17,1)</f>
        <v>44440</v>
      </c>
      <c r="Q17" s="392">
        <f t="shared" si="0"/>
        <v>44470</v>
      </c>
      <c r="R17" s="392">
        <f t="shared" si="0"/>
        <v>44501</v>
      </c>
      <c r="S17" s="392">
        <f t="shared" si="0"/>
        <v>44531</v>
      </c>
      <c r="T17" s="392">
        <f t="shared" si="0"/>
        <v>44562</v>
      </c>
      <c r="U17" s="392">
        <f t="shared" si="0"/>
        <v>44593</v>
      </c>
      <c r="V17" s="392">
        <f t="shared" si="0"/>
        <v>44621</v>
      </c>
      <c r="W17" s="392">
        <f t="shared" si="0"/>
        <v>44652</v>
      </c>
      <c r="X17" s="392">
        <f t="shared" si="0"/>
        <v>44682</v>
      </c>
      <c r="Y17" s="392">
        <f t="shared" si="0"/>
        <v>44713</v>
      </c>
      <c r="Z17" s="65"/>
      <c r="AA17" s="328" t="s">
        <v>910</v>
      </c>
    </row>
    <row r="18" spans="2:27" hidden="1">
      <c r="B18" s="1648">
        <f>RBBD!B3</f>
        <v>0</v>
      </c>
      <c r="C18" s="1648">
        <f>RBBD!C3</f>
        <v>0</v>
      </c>
      <c r="D18" s="1648">
        <f>RBBD!D3</f>
        <v>0</v>
      </c>
      <c r="E18" s="1648">
        <f>RBBD!E3</f>
        <v>0</v>
      </c>
      <c r="F18" s="1648">
        <f>RBBD!F3</f>
        <v>0</v>
      </c>
      <c r="G18" s="1648">
        <f>RBBD!G3</f>
        <v>0</v>
      </c>
      <c r="H18" s="1648">
        <f>RBBD!H3</f>
        <v>0</v>
      </c>
      <c r="I18" s="1648">
        <f>E18*$M18</f>
        <v>0</v>
      </c>
      <c r="J18" s="1648">
        <f>F18*$M18</f>
        <v>0</v>
      </c>
      <c r="K18" s="1648">
        <f>G18*$M18</f>
        <v>0</v>
      </c>
      <c r="L18" s="1648">
        <f>H18*$M18</f>
        <v>0</v>
      </c>
      <c r="M18" s="1648">
        <f>SUM(N18:Y18)</f>
        <v>0</v>
      </c>
      <c r="N18" s="1648">
        <f>RBBD!I3</f>
        <v>0</v>
      </c>
      <c r="O18" s="1648">
        <f>RBBD!J3</f>
        <v>0</v>
      </c>
      <c r="P18" s="1648">
        <f>RBBD!K3</f>
        <v>0</v>
      </c>
      <c r="Q18" s="1648">
        <f>RBBD!L3</f>
        <v>0</v>
      </c>
      <c r="R18" s="1648">
        <f>RBBD!M3</f>
        <v>0</v>
      </c>
      <c r="S18" s="1648">
        <f>RBBD!N3</f>
        <v>0</v>
      </c>
      <c r="T18" s="1648">
        <f>RBBD!O3</f>
        <v>0</v>
      </c>
      <c r="U18" s="1648">
        <f>RBBD!P3</f>
        <v>0</v>
      </c>
      <c r="V18" s="1648">
        <f>RBBD!Q3</f>
        <v>0</v>
      </c>
      <c r="W18" s="1648">
        <f>RBBD!R3</f>
        <v>0</v>
      </c>
      <c r="X18" s="1648">
        <f>RBBD!S3</f>
        <v>0</v>
      </c>
      <c r="Y18" s="1648">
        <f>RBBD!T3</f>
        <v>0</v>
      </c>
      <c r="Z18" s="65"/>
      <c r="AA18" s="328">
        <f t="shared" ref="AA18:AA23" si="1">IF(B18=0,0,1)</f>
        <v>0</v>
      </c>
    </row>
    <row r="19" spans="2:27" hidden="1">
      <c r="B19" s="1648">
        <f>RBBD!B4</f>
        <v>0</v>
      </c>
      <c r="C19" s="1648">
        <f>RBBD!C4</f>
        <v>0</v>
      </c>
      <c r="D19" s="1648">
        <f>RBBD!D4</f>
        <v>0</v>
      </c>
      <c r="E19" s="1648">
        <f>RBBD!E4</f>
        <v>0</v>
      </c>
      <c r="F19" s="1648">
        <f>RBBD!F4</f>
        <v>0</v>
      </c>
      <c r="G19" s="1648">
        <f>RBBD!G4</f>
        <v>0</v>
      </c>
      <c r="H19" s="1648">
        <f>RBBD!H4</f>
        <v>0</v>
      </c>
      <c r="I19" s="1648">
        <f t="shared" ref="I19:L60" si="2">E19*$M19</f>
        <v>0</v>
      </c>
      <c r="J19" s="1648">
        <f t="shared" si="2"/>
        <v>0</v>
      </c>
      <c r="K19" s="1648">
        <f t="shared" si="2"/>
        <v>0</v>
      </c>
      <c r="L19" s="1648">
        <f t="shared" si="2"/>
        <v>0</v>
      </c>
      <c r="M19" s="1648">
        <f t="shared" ref="M19:M60" si="3">SUM(N19:Y19)</f>
        <v>0</v>
      </c>
      <c r="N19" s="1648">
        <f>RBBD!I4</f>
        <v>0</v>
      </c>
      <c r="O19" s="1648">
        <f>RBBD!J4</f>
        <v>0</v>
      </c>
      <c r="P19" s="1648">
        <f>RBBD!K4</f>
        <v>0</v>
      </c>
      <c r="Q19" s="1648">
        <f>RBBD!L4</f>
        <v>0</v>
      </c>
      <c r="R19" s="1648">
        <f>RBBD!M4</f>
        <v>0</v>
      </c>
      <c r="S19" s="1648">
        <f>RBBD!N4</f>
        <v>0</v>
      </c>
      <c r="T19" s="1648">
        <f>RBBD!O4</f>
        <v>0</v>
      </c>
      <c r="U19" s="1648">
        <f>RBBD!P4</f>
        <v>0</v>
      </c>
      <c r="V19" s="1648">
        <f>RBBD!Q4</f>
        <v>0</v>
      </c>
      <c r="W19" s="1648">
        <f>RBBD!R4</f>
        <v>0</v>
      </c>
      <c r="X19" s="1648">
        <f>RBBD!S4</f>
        <v>0</v>
      </c>
      <c r="Y19" s="1648">
        <f>RBBD!T4</f>
        <v>0</v>
      </c>
      <c r="Z19" s="65"/>
      <c r="AA19" s="328">
        <f t="shared" si="1"/>
        <v>0</v>
      </c>
    </row>
    <row r="20" spans="2:27" hidden="1">
      <c r="B20" s="1648">
        <f>RBBD!B5</f>
        <v>0</v>
      </c>
      <c r="C20" s="1648">
        <f>RBBD!C5</f>
        <v>0</v>
      </c>
      <c r="D20" s="1648">
        <f>RBBD!D5</f>
        <v>0</v>
      </c>
      <c r="E20" s="1648">
        <f>RBBD!E5</f>
        <v>0</v>
      </c>
      <c r="F20" s="1648">
        <f>RBBD!F5</f>
        <v>0</v>
      </c>
      <c r="G20" s="1648">
        <f>RBBD!G5</f>
        <v>0</v>
      </c>
      <c r="H20" s="1648">
        <f>RBBD!H5</f>
        <v>0</v>
      </c>
      <c r="I20" s="1648">
        <f t="shared" si="2"/>
        <v>0</v>
      </c>
      <c r="J20" s="1648">
        <f t="shared" si="2"/>
        <v>0</v>
      </c>
      <c r="K20" s="1648">
        <f t="shared" si="2"/>
        <v>0</v>
      </c>
      <c r="L20" s="1648">
        <f t="shared" si="2"/>
        <v>0</v>
      </c>
      <c r="M20" s="1648">
        <f t="shared" si="3"/>
        <v>0</v>
      </c>
      <c r="N20" s="1648">
        <f>RBBD!I5</f>
        <v>0</v>
      </c>
      <c r="O20" s="1648">
        <f>RBBD!J5</f>
        <v>0</v>
      </c>
      <c r="P20" s="1648">
        <f>RBBD!K5</f>
        <v>0</v>
      </c>
      <c r="Q20" s="1648">
        <f>RBBD!L5</f>
        <v>0</v>
      </c>
      <c r="R20" s="1648">
        <f>RBBD!M5</f>
        <v>0</v>
      </c>
      <c r="S20" s="1648">
        <f>RBBD!N5</f>
        <v>0</v>
      </c>
      <c r="T20" s="1648">
        <f>RBBD!O5</f>
        <v>0</v>
      </c>
      <c r="U20" s="1648">
        <f>RBBD!P5</f>
        <v>0</v>
      </c>
      <c r="V20" s="1648">
        <f>RBBD!Q5</f>
        <v>0</v>
      </c>
      <c r="W20" s="1648">
        <f>RBBD!R5</f>
        <v>0</v>
      </c>
      <c r="X20" s="1648">
        <f>RBBD!S5</f>
        <v>0</v>
      </c>
      <c r="Y20" s="1648">
        <f>RBBD!T5</f>
        <v>0</v>
      </c>
      <c r="Z20" s="65"/>
      <c r="AA20" s="328">
        <f t="shared" si="1"/>
        <v>0</v>
      </c>
    </row>
    <row r="21" spans="2:27" hidden="1">
      <c r="B21" s="1648">
        <f>RBBD!B6</f>
        <v>0</v>
      </c>
      <c r="C21" s="1648">
        <f>RBBD!C6</f>
        <v>0</v>
      </c>
      <c r="D21" s="1648">
        <f>RBBD!D6</f>
        <v>0</v>
      </c>
      <c r="E21" s="1648">
        <f>RBBD!E6</f>
        <v>0</v>
      </c>
      <c r="F21" s="1648">
        <f>RBBD!F6</f>
        <v>0</v>
      </c>
      <c r="G21" s="1648">
        <f>RBBD!G6</f>
        <v>0</v>
      </c>
      <c r="H21" s="1648">
        <f>RBBD!H6</f>
        <v>0</v>
      </c>
      <c r="I21" s="1648">
        <f t="shared" si="2"/>
        <v>0</v>
      </c>
      <c r="J21" s="1648">
        <f t="shared" si="2"/>
        <v>0</v>
      </c>
      <c r="K21" s="1648">
        <f t="shared" si="2"/>
        <v>0</v>
      </c>
      <c r="L21" s="1648">
        <f t="shared" si="2"/>
        <v>0</v>
      </c>
      <c r="M21" s="1648">
        <f t="shared" si="3"/>
        <v>0</v>
      </c>
      <c r="N21" s="1648">
        <f>RBBD!I6</f>
        <v>0</v>
      </c>
      <c r="O21" s="1648">
        <f>RBBD!J6</f>
        <v>0</v>
      </c>
      <c r="P21" s="1648">
        <f>RBBD!K6</f>
        <v>0</v>
      </c>
      <c r="Q21" s="1648">
        <f>RBBD!L6</f>
        <v>0</v>
      </c>
      <c r="R21" s="1648">
        <f>RBBD!M6</f>
        <v>0</v>
      </c>
      <c r="S21" s="1648">
        <f>RBBD!N6</f>
        <v>0</v>
      </c>
      <c r="T21" s="1648">
        <f>RBBD!O6</f>
        <v>0</v>
      </c>
      <c r="U21" s="1648">
        <f>RBBD!P6</f>
        <v>0</v>
      </c>
      <c r="V21" s="1648">
        <f>RBBD!Q6</f>
        <v>0</v>
      </c>
      <c r="W21" s="1648">
        <f>RBBD!R6</f>
        <v>0</v>
      </c>
      <c r="X21" s="1648">
        <f>RBBD!S6</f>
        <v>0</v>
      </c>
      <c r="Y21" s="1648">
        <f>RBBD!T6</f>
        <v>0</v>
      </c>
      <c r="Z21" s="65"/>
      <c r="AA21" s="328">
        <f t="shared" si="1"/>
        <v>0</v>
      </c>
    </row>
    <row r="22" spans="2:27" hidden="1">
      <c r="B22" s="1648">
        <f>RBBD!B7</f>
        <v>0</v>
      </c>
      <c r="C22" s="1648">
        <f>RBBD!C7</f>
        <v>0</v>
      </c>
      <c r="D22" s="1648">
        <f>RBBD!D7</f>
        <v>0</v>
      </c>
      <c r="E22" s="1648">
        <f>RBBD!E7</f>
        <v>0</v>
      </c>
      <c r="F22" s="1648">
        <f>RBBD!F7</f>
        <v>0</v>
      </c>
      <c r="G22" s="1648">
        <f>RBBD!G7</f>
        <v>0</v>
      </c>
      <c r="H22" s="1648">
        <f>RBBD!H7</f>
        <v>0</v>
      </c>
      <c r="I22" s="1648">
        <f t="shared" si="2"/>
        <v>0</v>
      </c>
      <c r="J22" s="1648">
        <f t="shared" si="2"/>
        <v>0</v>
      </c>
      <c r="K22" s="1648">
        <f t="shared" si="2"/>
        <v>0</v>
      </c>
      <c r="L22" s="1648">
        <f t="shared" si="2"/>
        <v>0</v>
      </c>
      <c r="M22" s="1648">
        <f t="shared" si="3"/>
        <v>0</v>
      </c>
      <c r="N22" s="1648">
        <f>RBBD!I7</f>
        <v>0</v>
      </c>
      <c r="O22" s="1648">
        <f>RBBD!J7</f>
        <v>0</v>
      </c>
      <c r="P22" s="1648">
        <f>RBBD!K7</f>
        <v>0</v>
      </c>
      <c r="Q22" s="1648">
        <f>RBBD!L7</f>
        <v>0</v>
      </c>
      <c r="R22" s="1648">
        <f>RBBD!M7</f>
        <v>0</v>
      </c>
      <c r="S22" s="1648">
        <f>RBBD!N7</f>
        <v>0</v>
      </c>
      <c r="T22" s="1648">
        <f>RBBD!O7</f>
        <v>0</v>
      </c>
      <c r="U22" s="1648">
        <f>RBBD!P7</f>
        <v>0</v>
      </c>
      <c r="V22" s="1648">
        <f>RBBD!Q7</f>
        <v>0</v>
      </c>
      <c r="W22" s="1648">
        <f>RBBD!R7</f>
        <v>0</v>
      </c>
      <c r="X22" s="1648">
        <f>RBBD!S7</f>
        <v>0</v>
      </c>
      <c r="Y22" s="1648">
        <f>RBBD!T7</f>
        <v>0</v>
      </c>
      <c r="Z22" s="65"/>
      <c r="AA22" s="328">
        <f t="shared" si="1"/>
        <v>0</v>
      </c>
    </row>
    <row r="23" spans="2:27" hidden="1">
      <c r="B23" s="1648">
        <f>RBBD!B8</f>
        <v>0</v>
      </c>
      <c r="C23" s="1648">
        <f>RBBD!C8</f>
        <v>0</v>
      </c>
      <c r="D23" s="1648">
        <f>RBBD!D8</f>
        <v>0</v>
      </c>
      <c r="E23" s="1648">
        <f>RBBD!E8</f>
        <v>0</v>
      </c>
      <c r="F23" s="1648">
        <f>RBBD!F8</f>
        <v>0</v>
      </c>
      <c r="G23" s="1648">
        <f>RBBD!G8</f>
        <v>0</v>
      </c>
      <c r="H23" s="1648">
        <f>RBBD!H8</f>
        <v>0</v>
      </c>
      <c r="I23" s="1648">
        <f t="shared" si="2"/>
        <v>0</v>
      </c>
      <c r="J23" s="1648">
        <f t="shared" si="2"/>
        <v>0</v>
      </c>
      <c r="K23" s="1648">
        <f t="shared" si="2"/>
        <v>0</v>
      </c>
      <c r="L23" s="1648">
        <f t="shared" si="2"/>
        <v>0</v>
      </c>
      <c r="M23" s="1648">
        <f t="shared" si="3"/>
        <v>0</v>
      </c>
      <c r="N23" s="1648">
        <f>RBBD!I8</f>
        <v>0</v>
      </c>
      <c r="O23" s="1648">
        <f>RBBD!J8</f>
        <v>0</v>
      </c>
      <c r="P23" s="1648">
        <f>RBBD!K8</f>
        <v>0</v>
      </c>
      <c r="Q23" s="1648">
        <f>RBBD!L8</f>
        <v>0</v>
      </c>
      <c r="R23" s="1648">
        <f>RBBD!M8</f>
        <v>0</v>
      </c>
      <c r="S23" s="1648">
        <f>RBBD!N8</f>
        <v>0</v>
      </c>
      <c r="T23" s="1648">
        <f>RBBD!O8</f>
        <v>0</v>
      </c>
      <c r="U23" s="1648">
        <f>RBBD!P8</f>
        <v>0</v>
      </c>
      <c r="V23" s="1648">
        <f>RBBD!Q8</f>
        <v>0</v>
      </c>
      <c r="W23" s="1648">
        <f>RBBD!R8</f>
        <v>0</v>
      </c>
      <c r="X23" s="1648">
        <f>RBBD!S8</f>
        <v>0</v>
      </c>
      <c r="Y23" s="1648">
        <f>RBBD!T8</f>
        <v>0</v>
      </c>
      <c r="Z23" s="65"/>
      <c r="AA23" s="328">
        <f t="shared" si="1"/>
        <v>0</v>
      </c>
    </row>
    <row r="24" spans="2:27" hidden="1">
      <c r="B24" s="1648">
        <f>RBBD!B9</f>
        <v>0</v>
      </c>
      <c r="C24" s="1648">
        <f>RBBD!C9</f>
        <v>0</v>
      </c>
      <c r="D24" s="1648">
        <f>RBBD!D9</f>
        <v>0</v>
      </c>
      <c r="E24" s="1648">
        <f>RBBD!E9</f>
        <v>0</v>
      </c>
      <c r="F24" s="1648">
        <f>RBBD!F9</f>
        <v>0</v>
      </c>
      <c r="G24" s="1648">
        <f>RBBD!G9</f>
        <v>0</v>
      </c>
      <c r="H24" s="1648">
        <f>RBBD!H9</f>
        <v>0</v>
      </c>
      <c r="I24" s="1648">
        <f t="shared" si="2"/>
        <v>0</v>
      </c>
      <c r="J24" s="1648">
        <f t="shared" si="2"/>
        <v>0</v>
      </c>
      <c r="K24" s="1648">
        <f t="shared" si="2"/>
        <v>0</v>
      </c>
      <c r="L24" s="1648">
        <f t="shared" si="2"/>
        <v>0</v>
      </c>
      <c r="M24" s="1648">
        <f t="shared" si="3"/>
        <v>0</v>
      </c>
      <c r="N24" s="1648">
        <f>RBBD!I9</f>
        <v>0</v>
      </c>
      <c r="O24" s="1648">
        <f>RBBD!J9</f>
        <v>0</v>
      </c>
      <c r="P24" s="1648">
        <f>RBBD!K9</f>
        <v>0</v>
      </c>
      <c r="Q24" s="1648">
        <f>RBBD!L9</f>
        <v>0</v>
      </c>
      <c r="R24" s="1648">
        <f>RBBD!M9</f>
        <v>0</v>
      </c>
      <c r="S24" s="1648">
        <f>RBBD!N9</f>
        <v>0</v>
      </c>
      <c r="T24" s="1648">
        <f>RBBD!O9</f>
        <v>0</v>
      </c>
      <c r="U24" s="1648">
        <f>RBBD!P9</f>
        <v>0</v>
      </c>
      <c r="V24" s="1648">
        <f>RBBD!Q9</f>
        <v>0</v>
      </c>
      <c r="W24" s="1648">
        <f>RBBD!R9</f>
        <v>0</v>
      </c>
      <c r="X24" s="1648">
        <f>RBBD!S9</f>
        <v>0</v>
      </c>
      <c r="Y24" s="1648">
        <f>RBBD!T9</f>
        <v>0</v>
      </c>
      <c r="Z24" s="65"/>
      <c r="AA24" s="328">
        <f t="shared" ref="AA24:AA38" si="4">IF(B24=0,0,1)</f>
        <v>0</v>
      </c>
    </row>
    <row r="25" spans="2:27" hidden="1">
      <c r="B25" s="1648">
        <f>RBBD!B10</f>
        <v>0</v>
      </c>
      <c r="C25" s="1648">
        <f>RBBD!C10</f>
        <v>0</v>
      </c>
      <c r="D25" s="1648">
        <f>RBBD!D10</f>
        <v>0</v>
      </c>
      <c r="E25" s="1648">
        <f>RBBD!E10</f>
        <v>0</v>
      </c>
      <c r="F25" s="1648">
        <f>RBBD!F10</f>
        <v>0</v>
      </c>
      <c r="G25" s="1648">
        <f>RBBD!G10</f>
        <v>0</v>
      </c>
      <c r="H25" s="1648">
        <f>RBBD!H10</f>
        <v>0</v>
      </c>
      <c r="I25" s="1648">
        <f t="shared" si="2"/>
        <v>0</v>
      </c>
      <c r="J25" s="1648">
        <f t="shared" si="2"/>
        <v>0</v>
      </c>
      <c r="K25" s="1648">
        <f t="shared" si="2"/>
        <v>0</v>
      </c>
      <c r="L25" s="1648">
        <f t="shared" si="2"/>
        <v>0</v>
      </c>
      <c r="M25" s="1648">
        <f t="shared" si="3"/>
        <v>0</v>
      </c>
      <c r="N25" s="1648">
        <f>RBBD!I10</f>
        <v>0</v>
      </c>
      <c r="O25" s="1648">
        <f>RBBD!J10</f>
        <v>0</v>
      </c>
      <c r="P25" s="1648">
        <f>RBBD!K10</f>
        <v>0</v>
      </c>
      <c r="Q25" s="1648">
        <f>RBBD!L10</f>
        <v>0</v>
      </c>
      <c r="R25" s="1648">
        <f>RBBD!M10</f>
        <v>0</v>
      </c>
      <c r="S25" s="1648">
        <f>RBBD!N10</f>
        <v>0</v>
      </c>
      <c r="T25" s="1648">
        <f>RBBD!O10</f>
        <v>0</v>
      </c>
      <c r="U25" s="1648">
        <f>RBBD!P10</f>
        <v>0</v>
      </c>
      <c r="V25" s="1648">
        <f>RBBD!Q10</f>
        <v>0</v>
      </c>
      <c r="W25" s="1648">
        <f>RBBD!R10</f>
        <v>0</v>
      </c>
      <c r="X25" s="1648">
        <f>RBBD!S10</f>
        <v>0</v>
      </c>
      <c r="Y25" s="1648">
        <f>RBBD!T10</f>
        <v>0</v>
      </c>
      <c r="Z25" s="65"/>
      <c r="AA25" s="328">
        <f t="shared" si="4"/>
        <v>0</v>
      </c>
    </row>
    <row r="26" spans="2:27" hidden="1">
      <c r="B26" s="1648">
        <f>RBBD!B11</f>
        <v>0</v>
      </c>
      <c r="C26" s="1648">
        <f>RBBD!C11</f>
        <v>0</v>
      </c>
      <c r="D26" s="1648">
        <f>RBBD!D11</f>
        <v>0</v>
      </c>
      <c r="E26" s="1648">
        <f>RBBD!E11</f>
        <v>0</v>
      </c>
      <c r="F26" s="1648">
        <f>RBBD!F11</f>
        <v>0</v>
      </c>
      <c r="G26" s="1648">
        <f>RBBD!G11</f>
        <v>0</v>
      </c>
      <c r="H26" s="1648">
        <f>RBBD!H11</f>
        <v>0</v>
      </c>
      <c r="I26" s="1648">
        <f t="shared" si="2"/>
        <v>0</v>
      </c>
      <c r="J26" s="1648">
        <f t="shared" si="2"/>
        <v>0</v>
      </c>
      <c r="K26" s="1648">
        <f t="shared" si="2"/>
        <v>0</v>
      </c>
      <c r="L26" s="1648">
        <f t="shared" si="2"/>
        <v>0</v>
      </c>
      <c r="M26" s="1648">
        <f t="shared" si="3"/>
        <v>0</v>
      </c>
      <c r="N26" s="1648">
        <f>RBBD!I11</f>
        <v>0</v>
      </c>
      <c r="O26" s="1648">
        <f>RBBD!J11</f>
        <v>0</v>
      </c>
      <c r="P26" s="1648">
        <f>RBBD!K11</f>
        <v>0</v>
      </c>
      <c r="Q26" s="1648">
        <f>RBBD!L11</f>
        <v>0</v>
      </c>
      <c r="R26" s="1648">
        <f>RBBD!M11</f>
        <v>0</v>
      </c>
      <c r="S26" s="1648">
        <f>RBBD!N11</f>
        <v>0</v>
      </c>
      <c r="T26" s="1648">
        <f>RBBD!O11</f>
        <v>0</v>
      </c>
      <c r="U26" s="1648">
        <f>RBBD!P11</f>
        <v>0</v>
      </c>
      <c r="V26" s="1648">
        <f>RBBD!Q11</f>
        <v>0</v>
      </c>
      <c r="W26" s="1648">
        <f>RBBD!R11</f>
        <v>0</v>
      </c>
      <c r="X26" s="1648">
        <f>RBBD!S11</f>
        <v>0</v>
      </c>
      <c r="Y26" s="1648">
        <f>RBBD!T11</f>
        <v>0</v>
      </c>
      <c r="Z26" s="65"/>
      <c r="AA26" s="328">
        <f t="shared" si="4"/>
        <v>0</v>
      </c>
    </row>
    <row r="27" spans="2:27" hidden="1">
      <c r="B27" s="1648">
        <f>RBBD!B12</f>
        <v>0</v>
      </c>
      <c r="C27" s="1648">
        <f>RBBD!C12</f>
        <v>0</v>
      </c>
      <c r="D27" s="1648">
        <f>RBBD!D12</f>
        <v>0</v>
      </c>
      <c r="E27" s="1648">
        <f>RBBD!E12</f>
        <v>0</v>
      </c>
      <c r="F27" s="1648">
        <f>RBBD!F12</f>
        <v>0</v>
      </c>
      <c r="G27" s="1648">
        <f>RBBD!G12</f>
        <v>0</v>
      </c>
      <c r="H27" s="1648">
        <f>RBBD!H12</f>
        <v>0</v>
      </c>
      <c r="I27" s="1648">
        <f t="shared" si="2"/>
        <v>0</v>
      </c>
      <c r="J27" s="1648">
        <f t="shared" si="2"/>
        <v>0</v>
      </c>
      <c r="K27" s="1648">
        <f t="shared" si="2"/>
        <v>0</v>
      </c>
      <c r="L27" s="1648">
        <f t="shared" si="2"/>
        <v>0</v>
      </c>
      <c r="M27" s="1648">
        <f t="shared" si="3"/>
        <v>0</v>
      </c>
      <c r="N27" s="1648">
        <f>RBBD!I12</f>
        <v>0</v>
      </c>
      <c r="O27" s="1648">
        <f>RBBD!J12</f>
        <v>0</v>
      </c>
      <c r="P27" s="1648">
        <f>RBBD!K12</f>
        <v>0</v>
      </c>
      <c r="Q27" s="1648">
        <f>RBBD!L12</f>
        <v>0</v>
      </c>
      <c r="R27" s="1648">
        <f>RBBD!M12</f>
        <v>0</v>
      </c>
      <c r="S27" s="1648">
        <f>RBBD!N12</f>
        <v>0</v>
      </c>
      <c r="T27" s="1648">
        <f>RBBD!O12</f>
        <v>0</v>
      </c>
      <c r="U27" s="1648">
        <f>RBBD!P12</f>
        <v>0</v>
      </c>
      <c r="V27" s="1648">
        <f>RBBD!Q12</f>
        <v>0</v>
      </c>
      <c r="W27" s="1648">
        <f>RBBD!R12</f>
        <v>0</v>
      </c>
      <c r="X27" s="1648">
        <f>RBBD!S12</f>
        <v>0</v>
      </c>
      <c r="Y27" s="1648">
        <f>RBBD!T12</f>
        <v>0</v>
      </c>
      <c r="Z27" s="65"/>
      <c r="AA27" s="328">
        <f t="shared" si="4"/>
        <v>0</v>
      </c>
    </row>
    <row r="28" spans="2:27" hidden="1">
      <c r="B28" s="1648">
        <f>RBBD!B13</f>
        <v>0</v>
      </c>
      <c r="C28" s="1648">
        <f>RBBD!C13</f>
        <v>0</v>
      </c>
      <c r="D28" s="1648">
        <f>RBBD!D13</f>
        <v>0</v>
      </c>
      <c r="E28" s="1648">
        <f>RBBD!G13</f>
        <v>0</v>
      </c>
      <c r="F28" s="1648">
        <f>RBBD!H13</f>
        <v>0</v>
      </c>
      <c r="G28" s="1648">
        <f>RBBD!E13</f>
        <v>0</v>
      </c>
      <c r="H28" s="1648">
        <f>RBBD!F13</f>
        <v>0</v>
      </c>
      <c r="I28" s="1648">
        <f t="shared" si="2"/>
        <v>0</v>
      </c>
      <c r="J28" s="1648">
        <f t="shared" si="2"/>
        <v>0</v>
      </c>
      <c r="K28" s="1648">
        <f t="shared" si="2"/>
        <v>0</v>
      </c>
      <c r="L28" s="1648">
        <f t="shared" si="2"/>
        <v>0</v>
      </c>
      <c r="M28" s="1648">
        <f t="shared" si="3"/>
        <v>0</v>
      </c>
      <c r="N28" s="1648">
        <f>RBBD!I13</f>
        <v>0</v>
      </c>
      <c r="O28" s="1648">
        <f>RBBD!J13</f>
        <v>0</v>
      </c>
      <c r="P28" s="1648">
        <f>RBBD!K13</f>
        <v>0</v>
      </c>
      <c r="Q28" s="1648">
        <f>RBBD!L13</f>
        <v>0</v>
      </c>
      <c r="R28" s="1648">
        <f>RBBD!M13</f>
        <v>0</v>
      </c>
      <c r="S28" s="1648">
        <f>RBBD!N13</f>
        <v>0</v>
      </c>
      <c r="T28" s="1648">
        <f>RBBD!O13</f>
        <v>0</v>
      </c>
      <c r="U28" s="1648">
        <f>RBBD!P13</f>
        <v>0</v>
      </c>
      <c r="V28" s="1648">
        <f>RBBD!Q13</f>
        <v>0</v>
      </c>
      <c r="W28" s="1648">
        <f>RBBD!R13</f>
        <v>0</v>
      </c>
      <c r="X28" s="1648">
        <f>RBBD!S13</f>
        <v>0</v>
      </c>
      <c r="Y28" s="1648">
        <f>RBBD!T13</f>
        <v>0</v>
      </c>
      <c r="Z28" s="65"/>
      <c r="AA28" s="328">
        <f t="shared" si="4"/>
        <v>0</v>
      </c>
    </row>
    <row r="29" spans="2:27" hidden="1">
      <c r="B29" s="1648">
        <f>RBBD!B14</f>
        <v>0</v>
      </c>
      <c r="C29" s="1648">
        <f>RBBD!C14</f>
        <v>0</v>
      </c>
      <c r="D29" s="1648">
        <f>RBBD!D14</f>
        <v>0</v>
      </c>
      <c r="E29" s="1648">
        <f>RBBD!G14</f>
        <v>0</v>
      </c>
      <c r="F29" s="1648">
        <f>RBBD!H14</f>
        <v>0</v>
      </c>
      <c r="G29" s="1648">
        <f>RBBD!E14</f>
        <v>0</v>
      </c>
      <c r="H29" s="1648">
        <f>RBBD!F14</f>
        <v>0</v>
      </c>
      <c r="I29" s="1648">
        <f t="shared" si="2"/>
        <v>0</v>
      </c>
      <c r="J29" s="1648">
        <f t="shared" si="2"/>
        <v>0</v>
      </c>
      <c r="K29" s="1648">
        <f t="shared" si="2"/>
        <v>0</v>
      </c>
      <c r="L29" s="1648">
        <f t="shared" si="2"/>
        <v>0</v>
      </c>
      <c r="M29" s="1648">
        <f t="shared" si="3"/>
        <v>0</v>
      </c>
      <c r="N29" s="1648">
        <f>RBBD!I14</f>
        <v>0</v>
      </c>
      <c r="O29" s="1648">
        <f>RBBD!J14</f>
        <v>0</v>
      </c>
      <c r="P29" s="1648">
        <f>RBBD!K14</f>
        <v>0</v>
      </c>
      <c r="Q29" s="1648">
        <f>RBBD!L14</f>
        <v>0</v>
      </c>
      <c r="R29" s="1648">
        <f>RBBD!M14</f>
        <v>0</v>
      </c>
      <c r="S29" s="1648">
        <f>RBBD!N14</f>
        <v>0</v>
      </c>
      <c r="T29" s="1648">
        <f>RBBD!O14</f>
        <v>0</v>
      </c>
      <c r="U29" s="1648">
        <f>RBBD!P14</f>
        <v>0</v>
      </c>
      <c r="V29" s="1648">
        <f>RBBD!Q14</f>
        <v>0</v>
      </c>
      <c r="W29" s="1648">
        <f>RBBD!R14</f>
        <v>0</v>
      </c>
      <c r="X29" s="1648">
        <f>RBBD!S14</f>
        <v>0</v>
      </c>
      <c r="Y29" s="1648">
        <f>RBBD!T14</f>
        <v>0</v>
      </c>
      <c r="Z29" s="65"/>
      <c r="AA29" s="328">
        <f t="shared" si="4"/>
        <v>0</v>
      </c>
    </row>
    <row r="30" spans="2:27" hidden="1">
      <c r="B30" s="1648">
        <f>RBBD!B15</f>
        <v>0</v>
      </c>
      <c r="C30" s="1648">
        <f>RBBD!C15</f>
        <v>0</v>
      </c>
      <c r="D30" s="1648">
        <f>RBBD!D15</f>
        <v>0</v>
      </c>
      <c r="E30" s="1648">
        <f>RBBD!G15</f>
        <v>0</v>
      </c>
      <c r="F30" s="1648">
        <f>RBBD!H15</f>
        <v>0</v>
      </c>
      <c r="G30" s="1648">
        <f>RBBD!E15</f>
        <v>0</v>
      </c>
      <c r="H30" s="1648">
        <f>RBBD!F15</f>
        <v>0</v>
      </c>
      <c r="I30" s="1648">
        <f t="shared" si="2"/>
        <v>0</v>
      </c>
      <c r="J30" s="1648">
        <f t="shared" si="2"/>
        <v>0</v>
      </c>
      <c r="K30" s="1648">
        <f t="shared" si="2"/>
        <v>0</v>
      </c>
      <c r="L30" s="1648">
        <f t="shared" si="2"/>
        <v>0</v>
      </c>
      <c r="M30" s="1648">
        <f t="shared" si="3"/>
        <v>0</v>
      </c>
      <c r="N30" s="1648">
        <f>RBBD!I15</f>
        <v>0</v>
      </c>
      <c r="O30" s="1648">
        <f>RBBD!J15</f>
        <v>0</v>
      </c>
      <c r="P30" s="1648">
        <f>RBBD!K15</f>
        <v>0</v>
      </c>
      <c r="Q30" s="1648">
        <f>RBBD!L15</f>
        <v>0</v>
      </c>
      <c r="R30" s="1648">
        <f>RBBD!M15</f>
        <v>0</v>
      </c>
      <c r="S30" s="1648">
        <f>RBBD!N15</f>
        <v>0</v>
      </c>
      <c r="T30" s="1648">
        <f>RBBD!O15</f>
        <v>0</v>
      </c>
      <c r="U30" s="1648">
        <f>RBBD!P15</f>
        <v>0</v>
      </c>
      <c r="V30" s="1648">
        <f>RBBD!Q15</f>
        <v>0</v>
      </c>
      <c r="W30" s="1648">
        <f>RBBD!R15</f>
        <v>0</v>
      </c>
      <c r="X30" s="1648">
        <f>RBBD!S15</f>
        <v>0</v>
      </c>
      <c r="Y30" s="1648">
        <f>RBBD!T15</f>
        <v>0</v>
      </c>
      <c r="Z30" s="65"/>
      <c r="AA30" s="328">
        <f t="shared" si="4"/>
        <v>0</v>
      </c>
    </row>
    <row r="31" spans="2:27" hidden="1">
      <c r="B31" s="1648">
        <f>RBBD!B16</f>
        <v>0</v>
      </c>
      <c r="C31" s="1648">
        <f>RBBD!C16</f>
        <v>0</v>
      </c>
      <c r="D31" s="1648">
        <f>RBBD!D16</f>
        <v>0</v>
      </c>
      <c r="E31" s="1648">
        <f>RBBD!G16</f>
        <v>0</v>
      </c>
      <c r="F31" s="1648">
        <f>RBBD!H16</f>
        <v>0</v>
      </c>
      <c r="G31" s="1648">
        <f>RBBD!E16</f>
        <v>0</v>
      </c>
      <c r="H31" s="1648">
        <f>RBBD!F16</f>
        <v>0</v>
      </c>
      <c r="I31" s="1648">
        <f t="shared" si="2"/>
        <v>0</v>
      </c>
      <c r="J31" s="1648">
        <f t="shared" si="2"/>
        <v>0</v>
      </c>
      <c r="K31" s="1648">
        <f t="shared" si="2"/>
        <v>0</v>
      </c>
      <c r="L31" s="1648">
        <f t="shared" si="2"/>
        <v>0</v>
      </c>
      <c r="M31" s="1648">
        <f t="shared" si="3"/>
        <v>0</v>
      </c>
      <c r="N31" s="1648">
        <f>RBBD!I16</f>
        <v>0</v>
      </c>
      <c r="O31" s="1648">
        <f>RBBD!J16</f>
        <v>0</v>
      </c>
      <c r="P31" s="1648">
        <f>RBBD!K16</f>
        <v>0</v>
      </c>
      <c r="Q31" s="1648">
        <f>RBBD!L16</f>
        <v>0</v>
      </c>
      <c r="R31" s="1648">
        <f>RBBD!M16</f>
        <v>0</v>
      </c>
      <c r="S31" s="1648">
        <f>RBBD!N16</f>
        <v>0</v>
      </c>
      <c r="T31" s="1648">
        <f>RBBD!O16</f>
        <v>0</v>
      </c>
      <c r="U31" s="1648">
        <f>RBBD!P16</f>
        <v>0</v>
      </c>
      <c r="V31" s="1648">
        <f>RBBD!Q16</f>
        <v>0</v>
      </c>
      <c r="W31" s="1648">
        <f>RBBD!R16</f>
        <v>0</v>
      </c>
      <c r="X31" s="1648">
        <f>RBBD!S16</f>
        <v>0</v>
      </c>
      <c r="Y31" s="1648">
        <f>RBBD!T16</f>
        <v>0</v>
      </c>
      <c r="Z31" s="65"/>
      <c r="AA31" s="328">
        <f t="shared" si="4"/>
        <v>0</v>
      </c>
    </row>
    <row r="32" spans="2:27" hidden="1">
      <c r="B32" s="1648">
        <f>RBBD!B17</f>
        <v>0</v>
      </c>
      <c r="C32" s="1648">
        <f>RBBD!C17</f>
        <v>0</v>
      </c>
      <c r="D32" s="1648">
        <f>RBBD!D17</f>
        <v>0</v>
      </c>
      <c r="E32" s="1648">
        <f>RBBD!G17</f>
        <v>0</v>
      </c>
      <c r="F32" s="1648">
        <f>RBBD!H17</f>
        <v>0</v>
      </c>
      <c r="G32" s="1648">
        <f>RBBD!E17</f>
        <v>0</v>
      </c>
      <c r="H32" s="1648">
        <f>RBBD!F17</f>
        <v>0</v>
      </c>
      <c r="I32" s="1648">
        <f t="shared" si="2"/>
        <v>0</v>
      </c>
      <c r="J32" s="1648">
        <f t="shared" si="2"/>
        <v>0</v>
      </c>
      <c r="K32" s="1648">
        <f t="shared" si="2"/>
        <v>0</v>
      </c>
      <c r="L32" s="1648">
        <f t="shared" si="2"/>
        <v>0</v>
      </c>
      <c r="M32" s="1648">
        <f t="shared" si="3"/>
        <v>0</v>
      </c>
      <c r="N32" s="1648">
        <f>RBBD!I17</f>
        <v>0</v>
      </c>
      <c r="O32" s="1648">
        <f>RBBD!J17</f>
        <v>0</v>
      </c>
      <c r="P32" s="1648">
        <f>RBBD!K17</f>
        <v>0</v>
      </c>
      <c r="Q32" s="1648">
        <f>RBBD!L17</f>
        <v>0</v>
      </c>
      <c r="R32" s="1648">
        <f>RBBD!M17</f>
        <v>0</v>
      </c>
      <c r="S32" s="1648">
        <f>RBBD!N17</f>
        <v>0</v>
      </c>
      <c r="T32" s="1648">
        <f>RBBD!O17</f>
        <v>0</v>
      </c>
      <c r="U32" s="1648">
        <f>RBBD!P17</f>
        <v>0</v>
      </c>
      <c r="V32" s="1648">
        <f>RBBD!Q17</f>
        <v>0</v>
      </c>
      <c r="W32" s="1648">
        <f>RBBD!R17</f>
        <v>0</v>
      </c>
      <c r="X32" s="1648">
        <f>RBBD!S17</f>
        <v>0</v>
      </c>
      <c r="Y32" s="1648">
        <f>RBBD!T17</f>
        <v>0</v>
      </c>
      <c r="Z32" s="65"/>
      <c r="AA32" s="328">
        <f t="shared" si="4"/>
        <v>0</v>
      </c>
    </row>
    <row r="33" spans="2:27" hidden="1">
      <c r="B33" s="1648">
        <f>RBBD!B18</f>
        <v>0</v>
      </c>
      <c r="C33" s="1648">
        <f>RBBD!C18</f>
        <v>0</v>
      </c>
      <c r="D33" s="1648">
        <f>RBBD!D18</f>
        <v>0</v>
      </c>
      <c r="E33" s="1648">
        <f>RBBD!G18</f>
        <v>0</v>
      </c>
      <c r="F33" s="1648">
        <f>RBBD!H18</f>
        <v>0</v>
      </c>
      <c r="G33" s="1648">
        <f>RBBD!E18</f>
        <v>0</v>
      </c>
      <c r="H33" s="1648">
        <f>RBBD!F18</f>
        <v>0</v>
      </c>
      <c r="I33" s="1648">
        <f t="shared" si="2"/>
        <v>0</v>
      </c>
      <c r="J33" s="1648">
        <f t="shared" si="2"/>
        <v>0</v>
      </c>
      <c r="K33" s="1648">
        <f t="shared" si="2"/>
        <v>0</v>
      </c>
      <c r="L33" s="1648">
        <f t="shared" si="2"/>
        <v>0</v>
      </c>
      <c r="M33" s="1648">
        <f t="shared" si="3"/>
        <v>0</v>
      </c>
      <c r="N33" s="1648">
        <f>RBBD!I18</f>
        <v>0</v>
      </c>
      <c r="O33" s="1648">
        <f>RBBD!J18</f>
        <v>0</v>
      </c>
      <c r="P33" s="1648">
        <f>RBBD!K18</f>
        <v>0</v>
      </c>
      <c r="Q33" s="1648">
        <f>RBBD!L18</f>
        <v>0</v>
      </c>
      <c r="R33" s="1648">
        <f>RBBD!M18</f>
        <v>0</v>
      </c>
      <c r="S33" s="1648">
        <f>RBBD!N18</f>
        <v>0</v>
      </c>
      <c r="T33" s="1648">
        <f>RBBD!O18</f>
        <v>0</v>
      </c>
      <c r="U33" s="1648">
        <f>RBBD!P18</f>
        <v>0</v>
      </c>
      <c r="V33" s="1648">
        <f>RBBD!Q18</f>
        <v>0</v>
      </c>
      <c r="W33" s="1648">
        <f>RBBD!R18</f>
        <v>0</v>
      </c>
      <c r="X33" s="1648">
        <f>RBBD!S18</f>
        <v>0</v>
      </c>
      <c r="Y33" s="1648">
        <f>RBBD!T18</f>
        <v>0</v>
      </c>
      <c r="Z33" s="65"/>
      <c r="AA33" s="328">
        <f t="shared" si="4"/>
        <v>0</v>
      </c>
    </row>
    <row r="34" spans="2:27" hidden="1">
      <c r="B34" s="1648">
        <f>RBBD!B19</f>
        <v>0</v>
      </c>
      <c r="C34" s="1648">
        <f>RBBD!C19</f>
        <v>0</v>
      </c>
      <c r="D34" s="1648">
        <f>RBBD!D19</f>
        <v>0</v>
      </c>
      <c r="E34" s="1648">
        <f>RBBD!G19</f>
        <v>0</v>
      </c>
      <c r="F34" s="1648">
        <f>RBBD!H19</f>
        <v>0</v>
      </c>
      <c r="G34" s="1648">
        <f>RBBD!E19</f>
        <v>0</v>
      </c>
      <c r="H34" s="1648">
        <f>RBBD!F19</f>
        <v>0</v>
      </c>
      <c r="I34" s="1648">
        <f t="shared" si="2"/>
        <v>0</v>
      </c>
      <c r="J34" s="1648">
        <f t="shared" si="2"/>
        <v>0</v>
      </c>
      <c r="K34" s="1648">
        <f t="shared" si="2"/>
        <v>0</v>
      </c>
      <c r="L34" s="1648">
        <f t="shared" si="2"/>
        <v>0</v>
      </c>
      <c r="M34" s="1648">
        <f t="shared" si="3"/>
        <v>0</v>
      </c>
      <c r="N34" s="1648">
        <f>RBBD!I19</f>
        <v>0</v>
      </c>
      <c r="O34" s="1648">
        <f>RBBD!J19</f>
        <v>0</v>
      </c>
      <c r="P34" s="1648">
        <f>RBBD!K19</f>
        <v>0</v>
      </c>
      <c r="Q34" s="1648">
        <f>RBBD!L19</f>
        <v>0</v>
      </c>
      <c r="R34" s="1648">
        <f>RBBD!M19</f>
        <v>0</v>
      </c>
      <c r="S34" s="1648">
        <f>RBBD!N19</f>
        <v>0</v>
      </c>
      <c r="T34" s="1648">
        <f>RBBD!O19</f>
        <v>0</v>
      </c>
      <c r="U34" s="1648">
        <f>RBBD!P19</f>
        <v>0</v>
      </c>
      <c r="V34" s="1648">
        <f>RBBD!Q19</f>
        <v>0</v>
      </c>
      <c r="W34" s="1648">
        <f>RBBD!R19</f>
        <v>0</v>
      </c>
      <c r="X34" s="1648">
        <f>RBBD!S19</f>
        <v>0</v>
      </c>
      <c r="Y34" s="1648">
        <f>RBBD!T19</f>
        <v>0</v>
      </c>
      <c r="Z34" s="65"/>
      <c r="AA34" s="328">
        <f t="shared" si="4"/>
        <v>0</v>
      </c>
    </row>
    <row r="35" spans="2:27" hidden="1">
      <c r="B35" s="1648">
        <f>RBBD!B20</f>
        <v>0</v>
      </c>
      <c r="C35" s="1648">
        <f>RBBD!C20</f>
        <v>0</v>
      </c>
      <c r="D35" s="1648">
        <f>RBBD!D20</f>
        <v>0</v>
      </c>
      <c r="E35" s="1648">
        <f>RBBD!G20</f>
        <v>0</v>
      </c>
      <c r="F35" s="1648">
        <f>RBBD!H20</f>
        <v>0</v>
      </c>
      <c r="G35" s="1648">
        <f>RBBD!E20</f>
        <v>0</v>
      </c>
      <c r="H35" s="1648">
        <f>RBBD!F20</f>
        <v>0</v>
      </c>
      <c r="I35" s="1648">
        <f t="shared" si="2"/>
        <v>0</v>
      </c>
      <c r="J35" s="1648">
        <f t="shared" si="2"/>
        <v>0</v>
      </c>
      <c r="K35" s="1648">
        <f t="shared" si="2"/>
        <v>0</v>
      </c>
      <c r="L35" s="1648">
        <f t="shared" si="2"/>
        <v>0</v>
      </c>
      <c r="M35" s="1648">
        <f t="shared" si="3"/>
        <v>0</v>
      </c>
      <c r="N35" s="1648">
        <f>RBBD!I20</f>
        <v>0</v>
      </c>
      <c r="O35" s="1648">
        <f>RBBD!J20</f>
        <v>0</v>
      </c>
      <c r="P35" s="1648">
        <f>RBBD!K20</f>
        <v>0</v>
      </c>
      <c r="Q35" s="1648">
        <f>RBBD!L20</f>
        <v>0</v>
      </c>
      <c r="R35" s="1648">
        <f>RBBD!M20</f>
        <v>0</v>
      </c>
      <c r="S35" s="1648">
        <f>RBBD!N20</f>
        <v>0</v>
      </c>
      <c r="T35" s="1648">
        <f>RBBD!O20</f>
        <v>0</v>
      </c>
      <c r="U35" s="1648">
        <f>RBBD!P20</f>
        <v>0</v>
      </c>
      <c r="V35" s="1648">
        <f>RBBD!Q20</f>
        <v>0</v>
      </c>
      <c r="W35" s="1648">
        <f>RBBD!R20</f>
        <v>0</v>
      </c>
      <c r="X35" s="1648">
        <f>RBBD!S20</f>
        <v>0</v>
      </c>
      <c r="Y35" s="1648">
        <f>RBBD!T20</f>
        <v>0</v>
      </c>
      <c r="Z35" s="65"/>
      <c r="AA35" s="328">
        <f t="shared" si="4"/>
        <v>0</v>
      </c>
    </row>
    <row r="36" spans="2:27" hidden="1">
      <c r="B36" s="1648">
        <f>RBBD!B21</f>
        <v>0</v>
      </c>
      <c r="C36" s="1648">
        <f>RBBD!C21</f>
        <v>0</v>
      </c>
      <c r="D36" s="1648">
        <f>RBBD!D21</f>
        <v>0</v>
      </c>
      <c r="E36" s="1648">
        <f>RBBD!G21</f>
        <v>0</v>
      </c>
      <c r="F36" s="1648">
        <f>RBBD!H21</f>
        <v>0</v>
      </c>
      <c r="G36" s="1648">
        <f>RBBD!E21</f>
        <v>0</v>
      </c>
      <c r="H36" s="1648">
        <f>RBBD!F21</f>
        <v>0</v>
      </c>
      <c r="I36" s="1648">
        <f t="shared" si="2"/>
        <v>0</v>
      </c>
      <c r="J36" s="1648">
        <f t="shared" si="2"/>
        <v>0</v>
      </c>
      <c r="K36" s="1648">
        <f t="shared" si="2"/>
        <v>0</v>
      </c>
      <c r="L36" s="1648">
        <f t="shared" si="2"/>
        <v>0</v>
      </c>
      <c r="M36" s="1648">
        <f t="shared" si="3"/>
        <v>0</v>
      </c>
      <c r="N36" s="1648">
        <f>RBBD!I21</f>
        <v>0</v>
      </c>
      <c r="O36" s="1648">
        <f>RBBD!J21</f>
        <v>0</v>
      </c>
      <c r="P36" s="1648">
        <f>RBBD!K21</f>
        <v>0</v>
      </c>
      <c r="Q36" s="1648">
        <f>RBBD!L21</f>
        <v>0</v>
      </c>
      <c r="R36" s="1648">
        <f>RBBD!M21</f>
        <v>0</v>
      </c>
      <c r="S36" s="1648">
        <f>RBBD!N21</f>
        <v>0</v>
      </c>
      <c r="T36" s="1648">
        <f>RBBD!O21</f>
        <v>0</v>
      </c>
      <c r="U36" s="1648">
        <f>RBBD!P21</f>
        <v>0</v>
      </c>
      <c r="V36" s="1648">
        <f>RBBD!Q21</f>
        <v>0</v>
      </c>
      <c r="W36" s="1648">
        <f>RBBD!R21</f>
        <v>0</v>
      </c>
      <c r="X36" s="1648">
        <f>RBBD!S21</f>
        <v>0</v>
      </c>
      <c r="Y36" s="1648">
        <f>RBBD!T21</f>
        <v>0</v>
      </c>
      <c r="Z36" s="65"/>
      <c r="AA36" s="328">
        <f t="shared" si="4"/>
        <v>0</v>
      </c>
    </row>
    <row r="37" spans="2:27" hidden="1">
      <c r="B37" s="1648">
        <f>RBBD!B22</f>
        <v>0</v>
      </c>
      <c r="C37" s="1648">
        <f>RBBD!C22</f>
        <v>0</v>
      </c>
      <c r="D37" s="1648">
        <f>RBBD!D22</f>
        <v>0</v>
      </c>
      <c r="E37" s="1648">
        <f>RBBD!G22</f>
        <v>0</v>
      </c>
      <c r="F37" s="1648">
        <f>RBBD!H22</f>
        <v>0</v>
      </c>
      <c r="G37" s="1648">
        <f>RBBD!E22</f>
        <v>0</v>
      </c>
      <c r="H37" s="1648">
        <f>RBBD!F22</f>
        <v>0</v>
      </c>
      <c r="I37" s="1648">
        <f t="shared" si="2"/>
        <v>0</v>
      </c>
      <c r="J37" s="1648">
        <f t="shared" si="2"/>
        <v>0</v>
      </c>
      <c r="K37" s="1648">
        <f t="shared" si="2"/>
        <v>0</v>
      </c>
      <c r="L37" s="1648">
        <f t="shared" si="2"/>
        <v>0</v>
      </c>
      <c r="M37" s="1648">
        <f t="shared" si="3"/>
        <v>0</v>
      </c>
      <c r="N37" s="1648">
        <f>RBBD!I22</f>
        <v>0</v>
      </c>
      <c r="O37" s="1648">
        <f>RBBD!J22</f>
        <v>0</v>
      </c>
      <c r="P37" s="1648">
        <f>RBBD!K22</f>
        <v>0</v>
      </c>
      <c r="Q37" s="1648">
        <f>RBBD!L22</f>
        <v>0</v>
      </c>
      <c r="R37" s="1648">
        <f>RBBD!M22</f>
        <v>0</v>
      </c>
      <c r="S37" s="1648">
        <f>RBBD!N22</f>
        <v>0</v>
      </c>
      <c r="T37" s="1648">
        <f>RBBD!O22</f>
        <v>0</v>
      </c>
      <c r="U37" s="1648">
        <f>RBBD!P22</f>
        <v>0</v>
      </c>
      <c r="V37" s="1648">
        <f>RBBD!Q22</f>
        <v>0</v>
      </c>
      <c r="W37" s="1648">
        <f>RBBD!R22</f>
        <v>0</v>
      </c>
      <c r="X37" s="1648">
        <f>RBBD!S22</f>
        <v>0</v>
      </c>
      <c r="Y37" s="1648">
        <f>RBBD!T22</f>
        <v>0</v>
      </c>
      <c r="Z37" s="65"/>
      <c r="AA37" s="328">
        <f t="shared" si="4"/>
        <v>0</v>
      </c>
    </row>
    <row r="38" spans="2:27" hidden="1">
      <c r="B38" s="1648">
        <f>RBBD!B23</f>
        <v>0</v>
      </c>
      <c r="C38" s="1648">
        <f>RBBD!C23</f>
        <v>0</v>
      </c>
      <c r="D38" s="1648">
        <f>RBBD!D23</f>
        <v>0</v>
      </c>
      <c r="E38" s="1648">
        <f>RBBD!G23</f>
        <v>0</v>
      </c>
      <c r="F38" s="1648">
        <f>RBBD!H23</f>
        <v>0</v>
      </c>
      <c r="G38" s="1648">
        <f>RBBD!E23</f>
        <v>0</v>
      </c>
      <c r="H38" s="1648">
        <f>RBBD!F23</f>
        <v>0</v>
      </c>
      <c r="I38" s="1648">
        <f t="shared" si="2"/>
        <v>0</v>
      </c>
      <c r="J38" s="1648">
        <f t="shared" si="2"/>
        <v>0</v>
      </c>
      <c r="K38" s="1648">
        <f t="shared" si="2"/>
        <v>0</v>
      </c>
      <c r="L38" s="1648">
        <f t="shared" si="2"/>
        <v>0</v>
      </c>
      <c r="M38" s="1648">
        <f t="shared" si="3"/>
        <v>0</v>
      </c>
      <c r="N38" s="1648">
        <f>RBBD!I23</f>
        <v>0</v>
      </c>
      <c r="O38" s="1648">
        <f>RBBD!J23</f>
        <v>0</v>
      </c>
      <c r="P38" s="1648">
        <f>RBBD!K23</f>
        <v>0</v>
      </c>
      <c r="Q38" s="1648">
        <f>RBBD!L23</f>
        <v>0</v>
      </c>
      <c r="R38" s="1648">
        <f>RBBD!M23</f>
        <v>0</v>
      </c>
      <c r="S38" s="1648">
        <f>RBBD!N23</f>
        <v>0</v>
      </c>
      <c r="T38" s="1648">
        <f>RBBD!O23</f>
        <v>0</v>
      </c>
      <c r="U38" s="1648">
        <f>RBBD!P23</f>
        <v>0</v>
      </c>
      <c r="V38" s="1648">
        <f>RBBD!Q23</f>
        <v>0</v>
      </c>
      <c r="W38" s="1648">
        <f>RBBD!R23</f>
        <v>0</v>
      </c>
      <c r="X38" s="1648">
        <f>RBBD!S23</f>
        <v>0</v>
      </c>
      <c r="Y38" s="1648">
        <f>RBBD!T23</f>
        <v>0</v>
      </c>
      <c r="Z38" s="65"/>
      <c r="AA38" s="328">
        <f t="shared" si="4"/>
        <v>0</v>
      </c>
    </row>
    <row r="39" spans="2:27" hidden="1">
      <c r="B39" s="1648">
        <f>RBBD!B24</f>
        <v>0</v>
      </c>
      <c r="C39" s="1648">
        <f>RBBD!C24</f>
        <v>0</v>
      </c>
      <c r="D39" s="1648">
        <f>RBBD!D24</f>
        <v>0</v>
      </c>
      <c r="E39" s="1648">
        <f>RBBD!G24</f>
        <v>0</v>
      </c>
      <c r="F39" s="1648">
        <f>RBBD!H24</f>
        <v>0</v>
      </c>
      <c r="G39" s="1648">
        <f>RBBD!E24</f>
        <v>0</v>
      </c>
      <c r="H39" s="1648">
        <f>RBBD!F24</f>
        <v>0</v>
      </c>
      <c r="I39" s="1648">
        <f t="shared" si="2"/>
        <v>0</v>
      </c>
      <c r="J39" s="1648">
        <f t="shared" si="2"/>
        <v>0</v>
      </c>
      <c r="K39" s="1648">
        <f t="shared" si="2"/>
        <v>0</v>
      </c>
      <c r="L39" s="1648">
        <f t="shared" si="2"/>
        <v>0</v>
      </c>
      <c r="M39" s="1648">
        <f t="shared" si="3"/>
        <v>0</v>
      </c>
      <c r="N39" s="1648">
        <f>RBBD!I24</f>
        <v>0</v>
      </c>
      <c r="O39" s="1648">
        <f>RBBD!J24</f>
        <v>0</v>
      </c>
      <c r="P39" s="1648">
        <f>RBBD!K24</f>
        <v>0</v>
      </c>
      <c r="Q39" s="1648">
        <f>RBBD!L24</f>
        <v>0</v>
      </c>
      <c r="R39" s="1648">
        <f>RBBD!M24</f>
        <v>0</v>
      </c>
      <c r="S39" s="1648">
        <f>RBBD!N24</f>
        <v>0</v>
      </c>
      <c r="T39" s="1648">
        <f>RBBD!O24</f>
        <v>0</v>
      </c>
      <c r="U39" s="1648">
        <f>RBBD!P24</f>
        <v>0</v>
      </c>
      <c r="V39" s="1648">
        <f>RBBD!Q24</f>
        <v>0</v>
      </c>
      <c r="W39" s="1648">
        <f>RBBD!R24</f>
        <v>0</v>
      </c>
      <c r="X39" s="1648">
        <f>RBBD!S24</f>
        <v>0</v>
      </c>
      <c r="Y39" s="1648">
        <f>RBBD!T24</f>
        <v>0</v>
      </c>
      <c r="Z39" s="65"/>
      <c r="AA39" s="328">
        <f t="shared" ref="AA39:AA60" si="5">IF(B39=0,0,1)</f>
        <v>0</v>
      </c>
    </row>
    <row r="40" spans="2:27" hidden="1">
      <c r="B40" s="1648">
        <f>RBBD!B25</f>
        <v>0</v>
      </c>
      <c r="C40" s="1648">
        <f>RBBD!C25</f>
        <v>0</v>
      </c>
      <c r="D40" s="1648">
        <f>RBBD!D25</f>
        <v>0</v>
      </c>
      <c r="E40" s="1648">
        <f>RBBD!G25</f>
        <v>0</v>
      </c>
      <c r="F40" s="1648">
        <f>RBBD!H25</f>
        <v>0</v>
      </c>
      <c r="G40" s="1648">
        <f>RBBD!E25</f>
        <v>0</v>
      </c>
      <c r="H40" s="1648">
        <f>RBBD!F25</f>
        <v>0</v>
      </c>
      <c r="I40" s="1648">
        <f t="shared" si="2"/>
        <v>0</v>
      </c>
      <c r="J40" s="1648">
        <f t="shared" si="2"/>
        <v>0</v>
      </c>
      <c r="K40" s="1648">
        <f t="shared" si="2"/>
        <v>0</v>
      </c>
      <c r="L40" s="1648">
        <f t="shared" si="2"/>
        <v>0</v>
      </c>
      <c r="M40" s="1648">
        <f t="shared" si="3"/>
        <v>0</v>
      </c>
      <c r="N40" s="1648">
        <f>RBBD!I25</f>
        <v>0</v>
      </c>
      <c r="O40" s="1648">
        <f>RBBD!J25</f>
        <v>0</v>
      </c>
      <c r="P40" s="1648">
        <f>RBBD!K25</f>
        <v>0</v>
      </c>
      <c r="Q40" s="1648">
        <f>RBBD!L25</f>
        <v>0</v>
      </c>
      <c r="R40" s="1648">
        <f>RBBD!M25</f>
        <v>0</v>
      </c>
      <c r="S40" s="1648">
        <f>RBBD!N25</f>
        <v>0</v>
      </c>
      <c r="T40" s="1648">
        <f>RBBD!O25</f>
        <v>0</v>
      </c>
      <c r="U40" s="1648">
        <f>RBBD!P25</f>
        <v>0</v>
      </c>
      <c r="V40" s="1648">
        <f>RBBD!Q25</f>
        <v>0</v>
      </c>
      <c r="W40" s="1648">
        <f>RBBD!R25</f>
        <v>0</v>
      </c>
      <c r="X40" s="1648">
        <f>RBBD!S25</f>
        <v>0</v>
      </c>
      <c r="Y40" s="1648">
        <f>RBBD!T25</f>
        <v>0</v>
      </c>
      <c r="Z40" s="65"/>
      <c r="AA40" s="328">
        <f t="shared" si="5"/>
        <v>0</v>
      </c>
    </row>
    <row r="41" spans="2:27" hidden="1">
      <c r="B41" s="1648">
        <f>RBBD!B26</f>
        <v>0</v>
      </c>
      <c r="C41" s="1648">
        <f>RBBD!C26</f>
        <v>0</v>
      </c>
      <c r="D41" s="1648">
        <f>RBBD!D26</f>
        <v>0</v>
      </c>
      <c r="E41" s="1648">
        <f>RBBD!G26</f>
        <v>0</v>
      </c>
      <c r="F41" s="1648">
        <f>RBBD!H26</f>
        <v>0</v>
      </c>
      <c r="G41" s="1648">
        <f>RBBD!E26</f>
        <v>0</v>
      </c>
      <c r="H41" s="1648">
        <f>RBBD!F26</f>
        <v>0</v>
      </c>
      <c r="I41" s="1648">
        <f t="shared" si="2"/>
        <v>0</v>
      </c>
      <c r="J41" s="1648">
        <f t="shared" si="2"/>
        <v>0</v>
      </c>
      <c r="K41" s="1648">
        <f t="shared" si="2"/>
        <v>0</v>
      </c>
      <c r="L41" s="1648">
        <f t="shared" si="2"/>
        <v>0</v>
      </c>
      <c r="M41" s="1648">
        <f t="shared" si="3"/>
        <v>0</v>
      </c>
      <c r="N41" s="1648">
        <f>RBBD!I26</f>
        <v>0</v>
      </c>
      <c r="O41" s="1648">
        <f>RBBD!J26</f>
        <v>0</v>
      </c>
      <c r="P41" s="1648">
        <f>RBBD!K26</f>
        <v>0</v>
      </c>
      <c r="Q41" s="1648">
        <f>RBBD!L26</f>
        <v>0</v>
      </c>
      <c r="R41" s="1648">
        <f>RBBD!M26</f>
        <v>0</v>
      </c>
      <c r="S41" s="1648">
        <f>RBBD!N26</f>
        <v>0</v>
      </c>
      <c r="T41" s="1648">
        <f>RBBD!O26</f>
        <v>0</v>
      </c>
      <c r="U41" s="1648">
        <f>RBBD!P26</f>
        <v>0</v>
      </c>
      <c r="V41" s="1648">
        <f>RBBD!Q26</f>
        <v>0</v>
      </c>
      <c r="W41" s="1648">
        <f>RBBD!R26</f>
        <v>0</v>
      </c>
      <c r="X41" s="1648">
        <f>RBBD!S26</f>
        <v>0</v>
      </c>
      <c r="Y41" s="1648">
        <f>RBBD!T26</f>
        <v>0</v>
      </c>
      <c r="Z41" s="65"/>
      <c r="AA41" s="328">
        <f t="shared" si="5"/>
        <v>0</v>
      </c>
    </row>
    <row r="42" spans="2:27" hidden="1">
      <c r="B42" s="1648">
        <f>RBBD!B27</f>
        <v>0</v>
      </c>
      <c r="C42" s="1648">
        <f>RBBD!C27</f>
        <v>0</v>
      </c>
      <c r="D42" s="1648">
        <f>RBBD!D27</f>
        <v>0</v>
      </c>
      <c r="E42" s="1648">
        <f>RBBD!G27</f>
        <v>0</v>
      </c>
      <c r="F42" s="1648">
        <f>RBBD!H27</f>
        <v>0</v>
      </c>
      <c r="G42" s="1648">
        <f>RBBD!E27</f>
        <v>0</v>
      </c>
      <c r="H42" s="1648">
        <f>RBBD!F27</f>
        <v>0</v>
      </c>
      <c r="I42" s="1648">
        <f t="shared" si="2"/>
        <v>0</v>
      </c>
      <c r="J42" s="1648">
        <f t="shared" si="2"/>
        <v>0</v>
      </c>
      <c r="K42" s="1648">
        <f t="shared" si="2"/>
        <v>0</v>
      </c>
      <c r="L42" s="1648">
        <f t="shared" si="2"/>
        <v>0</v>
      </c>
      <c r="M42" s="1648">
        <f t="shared" si="3"/>
        <v>0</v>
      </c>
      <c r="N42" s="1648">
        <f>RBBD!I27</f>
        <v>0</v>
      </c>
      <c r="O42" s="1648">
        <f>RBBD!J27</f>
        <v>0</v>
      </c>
      <c r="P42" s="1648">
        <f>RBBD!K27</f>
        <v>0</v>
      </c>
      <c r="Q42" s="1648">
        <f>RBBD!L27</f>
        <v>0</v>
      </c>
      <c r="R42" s="1648">
        <f>RBBD!M27</f>
        <v>0</v>
      </c>
      <c r="S42" s="1648">
        <f>RBBD!N27</f>
        <v>0</v>
      </c>
      <c r="T42" s="1648">
        <f>RBBD!O27</f>
        <v>0</v>
      </c>
      <c r="U42" s="1648">
        <f>RBBD!P27</f>
        <v>0</v>
      </c>
      <c r="V42" s="1648">
        <f>RBBD!Q27</f>
        <v>0</v>
      </c>
      <c r="W42" s="1648">
        <f>RBBD!R27</f>
        <v>0</v>
      </c>
      <c r="X42" s="1648">
        <f>RBBD!S27</f>
        <v>0</v>
      </c>
      <c r="Y42" s="1648">
        <f>RBBD!T27</f>
        <v>0</v>
      </c>
      <c r="Z42" s="65"/>
      <c r="AA42" s="328">
        <f t="shared" si="5"/>
        <v>0</v>
      </c>
    </row>
    <row r="43" spans="2:27" hidden="1">
      <c r="B43" s="1648">
        <f>RBBD!B28</f>
        <v>0</v>
      </c>
      <c r="C43" s="1648">
        <f>RBBD!C28</f>
        <v>0</v>
      </c>
      <c r="D43" s="1648">
        <f>RBBD!D28</f>
        <v>0</v>
      </c>
      <c r="E43" s="1648">
        <f>RBBD!G28</f>
        <v>0</v>
      </c>
      <c r="F43" s="1648">
        <f>RBBD!H28</f>
        <v>0</v>
      </c>
      <c r="G43" s="1648">
        <f>RBBD!E28</f>
        <v>0</v>
      </c>
      <c r="H43" s="1648">
        <f>RBBD!F28</f>
        <v>0</v>
      </c>
      <c r="I43" s="1648">
        <f t="shared" si="2"/>
        <v>0</v>
      </c>
      <c r="J43" s="1648">
        <f t="shared" si="2"/>
        <v>0</v>
      </c>
      <c r="K43" s="1648">
        <f t="shared" si="2"/>
        <v>0</v>
      </c>
      <c r="L43" s="1648">
        <f t="shared" si="2"/>
        <v>0</v>
      </c>
      <c r="M43" s="1648">
        <f t="shared" si="3"/>
        <v>0</v>
      </c>
      <c r="N43" s="1648">
        <f>RBBD!I28</f>
        <v>0</v>
      </c>
      <c r="O43" s="1648">
        <f>RBBD!J28</f>
        <v>0</v>
      </c>
      <c r="P43" s="1648">
        <f>RBBD!K28</f>
        <v>0</v>
      </c>
      <c r="Q43" s="1648">
        <f>RBBD!L28</f>
        <v>0</v>
      </c>
      <c r="R43" s="1648">
        <f>RBBD!M28</f>
        <v>0</v>
      </c>
      <c r="S43" s="1648">
        <f>RBBD!N28</f>
        <v>0</v>
      </c>
      <c r="T43" s="1648">
        <f>RBBD!O28</f>
        <v>0</v>
      </c>
      <c r="U43" s="1648">
        <f>RBBD!P28</f>
        <v>0</v>
      </c>
      <c r="V43" s="1648">
        <f>RBBD!Q28</f>
        <v>0</v>
      </c>
      <c r="W43" s="1648">
        <f>RBBD!R28</f>
        <v>0</v>
      </c>
      <c r="X43" s="1648">
        <f>RBBD!S28</f>
        <v>0</v>
      </c>
      <c r="Y43" s="1648">
        <f>RBBD!T28</f>
        <v>0</v>
      </c>
      <c r="Z43" s="65"/>
      <c r="AA43" s="328">
        <f t="shared" si="5"/>
        <v>0</v>
      </c>
    </row>
    <row r="44" spans="2:27" hidden="1">
      <c r="B44" s="1648">
        <f>RBBD!B29</f>
        <v>0</v>
      </c>
      <c r="C44" s="1648">
        <f>RBBD!C29</f>
        <v>0</v>
      </c>
      <c r="D44" s="1648">
        <f>RBBD!D29</f>
        <v>0</v>
      </c>
      <c r="E44" s="1648">
        <f>RBBD!G29</f>
        <v>0</v>
      </c>
      <c r="F44" s="1648">
        <f>RBBD!H29</f>
        <v>0</v>
      </c>
      <c r="G44" s="1648">
        <f>RBBD!E29</f>
        <v>0</v>
      </c>
      <c r="H44" s="1648">
        <f>RBBD!F29</f>
        <v>0</v>
      </c>
      <c r="I44" s="1648">
        <f t="shared" si="2"/>
        <v>0</v>
      </c>
      <c r="J44" s="1648">
        <f t="shared" si="2"/>
        <v>0</v>
      </c>
      <c r="K44" s="1648">
        <f t="shared" si="2"/>
        <v>0</v>
      </c>
      <c r="L44" s="1648">
        <f t="shared" si="2"/>
        <v>0</v>
      </c>
      <c r="M44" s="1648">
        <f t="shared" si="3"/>
        <v>0</v>
      </c>
      <c r="N44" s="1648">
        <f>RBBD!I29</f>
        <v>0</v>
      </c>
      <c r="O44" s="1648">
        <f>RBBD!J29</f>
        <v>0</v>
      </c>
      <c r="P44" s="1648">
        <f>RBBD!K29</f>
        <v>0</v>
      </c>
      <c r="Q44" s="1648">
        <f>RBBD!L29</f>
        <v>0</v>
      </c>
      <c r="R44" s="1648">
        <f>RBBD!M29</f>
        <v>0</v>
      </c>
      <c r="S44" s="1648">
        <f>RBBD!N29</f>
        <v>0</v>
      </c>
      <c r="T44" s="1648">
        <f>RBBD!O29</f>
        <v>0</v>
      </c>
      <c r="U44" s="1648">
        <f>RBBD!P29</f>
        <v>0</v>
      </c>
      <c r="V44" s="1648">
        <f>RBBD!Q29</f>
        <v>0</v>
      </c>
      <c r="W44" s="1648">
        <f>RBBD!R29</f>
        <v>0</v>
      </c>
      <c r="X44" s="1648">
        <f>RBBD!S29</f>
        <v>0</v>
      </c>
      <c r="Y44" s="1648">
        <f>RBBD!T29</f>
        <v>0</v>
      </c>
      <c r="Z44" s="65"/>
      <c r="AA44" s="328">
        <f t="shared" si="5"/>
        <v>0</v>
      </c>
    </row>
    <row r="45" spans="2:27" hidden="1">
      <c r="B45" s="1648">
        <f>RBBD!B30</f>
        <v>0</v>
      </c>
      <c r="C45" s="1648">
        <f>RBBD!C30</f>
        <v>0</v>
      </c>
      <c r="D45" s="1648">
        <f>RBBD!D30</f>
        <v>0</v>
      </c>
      <c r="E45" s="1648">
        <f>RBBD!G30</f>
        <v>0</v>
      </c>
      <c r="F45" s="1648">
        <f>RBBD!H30</f>
        <v>0</v>
      </c>
      <c r="G45" s="1648">
        <f>RBBD!E30</f>
        <v>0</v>
      </c>
      <c r="H45" s="1648">
        <f>RBBD!F30</f>
        <v>0</v>
      </c>
      <c r="I45" s="1648">
        <f t="shared" si="2"/>
        <v>0</v>
      </c>
      <c r="J45" s="1648">
        <f t="shared" si="2"/>
        <v>0</v>
      </c>
      <c r="K45" s="1648">
        <f t="shared" si="2"/>
        <v>0</v>
      </c>
      <c r="L45" s="1648">
        <f t="shared" si="2"/>
        <v>0</v>
      </c>
      <c r="M45" s="1648">
        <f t="shared" si="3"/>
        <v>0</v>
      </c>
      <c r="N45" s="1648">
        <f>RBBD!I30</f>
        <v>0</v>
      </c>
      <c r="O45" s="1648">
        <f>RBBD!J30</f>
        <v>0</v>
      </c>
      <c r="P45" s="1648">
        <f>RBBD!K30</f>
        <v>0</v>
      </c>
      <c r="Q45" s="1648">
        <f>RBBD!L30</f>
        <v>0</v>
      </c>
      <c r="R45" s="1648">
        <f>RBBD!M30</f>
        <v>0</v>
      </c>
      <c r="S45" s="1648">
        <f>RBBD!N30</f>
        <v>0</v>
      </c>
      <c r="T45" s="1648">
        <f>RBBD!O30</f>
        <v>0</v>
      </c>
      <c r="U45" s="1648">
        <f>RBBD!P30</f>
        <v>0</v>
      </c>
      <c r="V45" s="1648">
        <f>RBBD!Q30</f>
        <v>0</v>
      </c>
      <c r="W45" s="1648">
        <f>RBBD!R30</f>
        <v>0</v>
      </c>
      <c r="X45" s="1648">
        <f>RBBD!S30</f>
        <v>0</v>
      </c>
      <c r="Y45" s="1648">
        <f>RBBD!T30</f>
        <v>0</v>
      </c>
      <c r="Z45" s="65"/>
      <c r="AA45" s="328">
        <f t="shared" si="5"/>
        <v>0</v>
      </c>
    </row>
    <row r="46" spans="2:27" hidden="1">
      <c r="B46" s="1648">
        <f>RBBD!B31</f>
        <v>0</v>
      </c>
      <c r="C46" s="1648">
        <f>RBBD!C31</f>
        <v>0</v>
      </c>
      <c r="D46" s="1648">
        <f>RBBD!D31</f>
        <v>0</v>
      </c>
      <c r="E46" s="1648">
        <f>RBBD!G31</f>
        <v>0</v>
      </c>
      <c r="F46" s="1648">
        <f>RBBD!H31</f>
        <v>0</v>
      </c>
      <c r="G46" s="1648">
        <f>RBBD!E31</f>
        <v>0</v>
      </c>
      <c r="H46" s="1648">
        <f>RBBD!F31</f>
        <v>0</v>
      </c>
      <c r="I46" s="1648">
        <f t="shared" si="2"/>
        <v>0</v>
      </c>
      <c r="J46" s="1648">
        <f t="shared" si="2"/>
        <v>0</v>
      </c>
      <c r="K46" s="1648">
        <f t="shared" si="2"/>
        <v>0</v>
      </c>
      <c r="L46" s="1648">
        <f t="shared" si="2"/>
        <v>0</v>
      </c>
      <c r="M46" s="1648">
        <f t="shared" si="3"/>
        <v>0</v>
      </c>
      <c r="N46" s="1648">
        <f>RBBD!I31</f>
        <v>0</v>
      </c>
      <c r="O46" s="1648">
        <f>RBBD!J31</f>
        <v>0</v>
      </c>
      <c r="P46" s="1648">
        <f>RBBD!K31</f>
        <v>0</v>
      </c>
      <c r="Q46" s="1648">
        <f>RBBD!L31</f>
        <v>0</v>
      </c>
      <c r="R46" s="1648">
        <f>RBBD!M31</f>
        <v>0</v>
      </c>
      <c r="S46" s="1648">
        <f>RBBD!N31</f>
        <v>0</v>
      </c>
      <c r="T46" s="1648">
        <f>RBBD!O31</f>
        <v>0</v>
      </c>
      <c r="U46" s="1648">
        <f>RBBD!P31</f>
        <v>0</v>
      </c>
      <c r="V46" s="1648">
        <f>RBBD!Q31</f>
        <v>0</v>
      </c>
      <c r="W46" s="1648">
        <f>RBBD!R31</f>
        <v>0</v>
      </c>
      <c r="X46" s="1648">
        <f>RBBD!S31</f>
        <v>0</v>
      </c>
      <c r="Y46" s="1648">
        <f>RBBD!T31</f>
        <v>0</v>
      </c>
      <c r="Z46" s="65"/>
      <c r="AA46" s="328">
        <f t="shared" si="5"/>
        <v>0</v>
      </c>
    </row>
    <row r="47" spans="2:27" hidden="1">
      <c r="B47" s="1648">
        <f>RBBD!B32</f>
        <v>0</v>
      </c>
      <c r="C47" s="1648">
        <f>RBBD!C32</f>
        <v>0</v>
      </c>
      <c r="D47" s="1648">
        <f>RBBD!D32</f>
        <v>0</v>
      </c>
      <c r="E47" s="1648">
        <f>RBBD!G32</f>
        <v>0</v>
      </c>
      <c r="F47" s="1648">
        <f>RBBD!H32</f>
        <v>0</v>
      </c>
      <c r="G47" s="1648">
        <f>RBBD!E32</f>
        <v>0</v>
      </c>
      <c r="H47" s="1648">
        <f>RBBD!F32</f>
        <v>0</v>
      </c>
      <c r="I47" s="1648">
        <f t="shared" si="2"/>
        <v>0</v>
      </c>
      <c r="J47" s="1648">
        <f t="shared" si="2"/>
        <v>0</v>
      </c>
      <c r="K47" s="1648">
        <f t="shared" si="2"/>
        <v>0</v>
      </c>
      <c r="L47" s="1648">
        <f t="shared" si="2"/>
        <v>0</v>
      </c>
      <c r="M47" s="1648">
        <f t="shared" si="3"/>
        <v>0</v>
      </c>
      <c r="N47" s="1648">
        <f>RBBD!I32</f>
        <v>0</v>
      </c>
      <c r="O47" s="1648">
        <f>RBBD!J32</f>
        <v>0</v>
      </c>
      <c r="P47" s="1648">
        <f>RBBD!K32</f>
        <v>0</v>
      </c>
      <c r="Q47" s="1648">
        <f>RBBD!L32</f>
        <v>0</v>
      </c>
      <c r="R47" s="1648">
        <f>RBBD!M32</f>
        <v>0</v>
      </c>
      <c r="S47" s="1648">
        <f>RBBD!N32</f>
        <v>0</v>
      </c>
      <c r="T47" s="1648">
        <f>RBBD!O32</f>
        <v>0</v>
      </c>
      <c r="U47" s="1648">
        <f>RBBD!P32</f>
        <v>0</v>
      </c>
      <c r="V47" s="1648">
        <f>RBBD!Q32</f>
        <v>0</v>
      </c>
      <c r="W47" s="1648">
        <f>RBBD!R32</f>
        <v>0</v>
      </c>
      <c r="X47" s="1648">
        <f>RBBD!S32</f>
        <v>0</v>
      </c>
      <c r="Y47" s="1648">
        <f>RBBD!T32</f>
        <v>0</v>
      </c>
      <c r="Z47" s="65"/>
      <c r="AA47" s="328">
        <f t="shared" si="5"/>
        <v>0</v>
      </c>
    </row>
    <row r="48" spans="2:27" hidden="1">
      <c r="B48" s="1648">
        <f>RBBD!B33</f>
        <v>0</v>
      </c>
      <c r="C48" s="1648">
        <f>RBBD!C33</f>
        <v>0</v>
      </c>
      <c r="D48" s="1648">
        <f>RBBD!D33</f>
        <v>0</v>
      </c>
      <c r="E48" s="1648">
        <f>RBBD!G33</f>
        <v>0</v>
      </c>
      <c r="F48" s="1648">
        <f>RBBD!H33</f>
        <v>0</v>
      </c>
      <c r="G48" s="1648">
        <f>RBBD!E33</f>
        <v>0</v>
      </c>
      <c r="H48" s="1648">
        <f>RBBD!F33</f>
        <v>0</v>
      </c>
      <c r="I48" s="1648">
        <f t="shared" si="2"/>
        <v>0</v>
      </c>
      <c r="J48" s="1648">
        <f t="shared" si="2"/>
        <v>0</v>
      </c>
      <c r="K48" s="1648">
        <f t="shared" si="2"/>
        <v>0</v>
      </c>
      <c r="L48" s="1648">
        <f t="shared" si="2"/>
        <v>0</v>
      </c>
      <c r="M48" s="1648">
        <f t="shared" si="3"/>
        <v>0</v>
      </c>
      <c r="N48" s="1648">
        <f>RBBD!I33</f>
        <v>0</v>
      </c>
      <c r="O48" s="1648">
        <f>RBBD!J33</f>
        <v>0</v>
      </c>
      <c r="P48" s="1648">
        <f>RBBD!K33</f>
        <v>0</v>
      </c>
      <c r="Q48" s="1648">
        <f>RBBD!L33</f>
        <v>0</v>
      </c>
      <c r="R48" s="1648">
        <f>RBBD!M33</f>
        <v>0</v>
      </c>
      <c r="S48" s="1648">
        <f>RBBD!N33</f>
        <v>0</v>
      </c>
      <c r="T48" s="1648">
        <f>RBBD!O33</f>
        <v>0</v>
      </c>
      <c r="U48" s="1648">
        <f>RBBD!P33</f>
        <v>0</v>
      </c>
      <c r="V48" s="1648">
        <f>RBBD!Q33</f>
        <v>0</v>
      </c>
      <c r="W48" s="1648">
        <f>RBBD!R33</f>
        <v>0</v>
      </c>
      <c r="X48" s="1648">
        <f>RBBD!S33</f>
        <v>0</v>
      </c>
      <c r="Y48" s="1648">
        <f>RBBD!T33</f>
        <v>0</v>
      </c>
      <c r="Z48" s="65"/>
      <c r="AA48" s="328">
        <f t="shared" si="5"/>
        <v>0</v>
      </c>
    </row>
    <row r="49" spans="2:27" hidden="1">
      <c r="B49" s="1648">
        <f>RBBD!B34</f>
        <v>0</v>
      </c>
      <c r="C49" s="1648">
        <f>RBBD!C34</f>
        <v>0</v>
      </c>
      <c r="D49" s="1648">
        <f>RBBD!D34</f>
        <v>0</v>
      </c>
      <c r="E49" s="1648">
        <f>RBBD!G34</f>
        <v>0</v>
      </c>
      <c r="F49" s="1648">
        <f>RBBD!H34</f>
        <v>0</v>
      </c>
      <c r="G49" s="1648">
        <f>RBBD!E34</f>
        <v>0</v>
      </c>
      <c r="H49" s="1648">
        <f>RBBD!F34</f>
        <v>0</v>
      </c>
      <c r="I49" s="1648">
        <f t="shared" si="2"/>
        <v>0</v>
      </c>
      <c r="J49" s="1648">
        <f t="shared" si="2"/>
        <v>0</v>
      </c>
      <c r="K49" s="1648">
        <f t="shared" si="2"/>
        <v>0</v>
      </c>
      <c r="L49" s="1648">
        <f t="shared" si="2"/>
        <v>0</v>
      </c>
      <c r="M49" s="1648">
        <f t="shared" si="3"/>
        <v>0</v>
      </c>
      <c r="N49" s="1648">
        <f>RBBD!I34</f>
        <v>0</v>
      </c>
      <c r="O49" s="1648">
        <f>RBBD!J34</f>
        <v>0</v>
      </c>
      <c r="P49" s="1648">
        <f>RBBD!K34</f>
        <v>0</v>
      </c>
      <c r="Q49" s="1648">
        <f>RBBD!L34</f>
        <v>0</v>
      </c>
      <c r="R49" s="1648">
        <f>RBBD!M34</f>
        <v>0</v>
      </c>
      <c r="S49" s="1648">
        <f>RBBD!N34</f>
        <v>0</v>
      </c>
      <c r="T49" s="1648">
        <f>RBBD!O34</f>
        <v>0</v>
      </c>
      <c r="U49" s="1648">
        <f>RBBD!P34</f>
        <v>0</v>
      </c>
      <c r="V49" s="1648">
        <f>RBBD!Q34</f>
        <v>0</v>
      </c>
      <c r="W49" s="1648">
        <f>RBBD!R34</f>
        <v>0</v>
      </c>
      <c r="X49" s="1648">
        <f>RBBD!S34</f>
        <v>0</v>
      </c>
      <c r="Y49" s="1648">
        <f>RBBD!T34</f>
        <v>0</v>
      </c>
      <c r="Z49" s="65"/>
      <c r="AA49" s="328">
        <f t="shared" si="5"/>
        <v>0</v>
      </c>
    </row>
    <row r="50" spans="2:27" hidden="1">
      <c r="B50" s="1648">
        <f>RBBD!B35</f>
        <v>0</v>
      </c>
      <c r="C50" s="1648">
        <f>RBBD!C35</f>
        <v>0</v>
      </c>
      <c r="D50" s="1648">
        <f>RBBD!D35</f>
        <v>0</v>
      </c>
      <c r="E50" s="1648">
        <f>RBBD!G35</f>
        <v>0</v>
      </c>
      <c r="F50" s="1648">
        <f>RBBD!H35</f>
        <v>0</v>
      </c>
      <c r="G50" s="1648">
        <f>RBBD!E35</f>
        <v>0</v>
      </c>
      <c r="H50" s="1648">
        <f>RBBD!F35</f>
        <v>0</v>
      </c>
      <c r="I50" s="1648">
        <f t="shared" si="2"/>
        <v>0</v>
      </c>
      <c r="J50" s="1648">
        <f t="shared" si="2"/>
        <v>0</v>
      </c>
      <c r="K50" s="1648">
        <f t="shared" si="2"/>
        <v>0</v>
      </c>
      <c r="L50" s="1648">
        <f t="shared" si="2"/>
        <v>0</v>
      </c>
      <c r="M50" s="1648">
        <f t="shared" si="3"/>
        <v>0</v>
      </c>
      <c r="N50" s="1648">
        <f>RBBD!I35</f>
        <v>0</v>
      </c>
      <c r="O50" s="1648">
        <f>RBBD!J35</f>
        <v>0</v>
      </c>
      <c r="P50" s="1648">
        <f>RBBD!K35</f>
        <v>0</v>
      </c>
      <c r="Q50" s="1648">
        <f>RBBD!L35</f>
        <v>0</v>
      </c>
      <c r="R50" s="1648">
        <f>RBBD!M35</f>
        <v>0</v>
      </c>
      <c r="S50" s="1648">
        <f>RBBD!N35</f>
        <v>0</v>
      </c>
      <c r="T50" s="1648">
        <f>RBBD!O35</f>
        <v>0</v>
      </c>
      <c r="U50" s="1648">
        <f>RBBD!P35</f>
        <v>0</v>
      </c>
      <c r="V50" s="1648">
        <f>RBBD!Q35</f>
        <v>0</v>
      </c>
      <c r="W50" s="1648">
        <f>RBBD!R35</f>
        <v>0</v>
      </c>
      <c r="X50" s="1648">
        <f>RBBD!S35</f>
        <v>0</v>
      </c>
      <c r="Y50" s="1648">
        <f>RBBD!T35</f>
        <v>0</v>
      </c>
      <c r="Z50" s="65"/>
      <c r="AA50" s="328">
        <f t="shared" si="5"/>
        <v>0</v>
      </c>
    </row>
    <row r="51" spans="2:27" hidden="1">
      <c r="B51" s="1648">
        <f>RBBD!B36</f>
        <v>0</v>
      </c>
      <c r="C51" s="1648">
        <f>RBBD!C36</f>
        <v>0</v>
      </c>
      <c r="D51" s="1648">
        <f>RBBD!D36</f>
        <v>0</v>
      </c>
      <c r="E51" s="1648">
        <f>RBBD!G36</f>
        <v>0</v>
      </c>
      <c r="F51" s="1648">
        <f>RBBD!H36</f>
        <v>0</v>
      </c>
      <c r="G51" s="1648">
        <f>RBBD!E36</f>
        <v>0</v>
      </c>
      <c r="H51" s="1648">
        <f>RBBD!F36</f>
        <v>0</v>
      </c>
      <c r="I51" s="1648">
        <f t="shared" si="2"/>
        <v>0</v>
      </c>
      <c r="J51" s="1648">
        <f t="shared" si="2"/>
        <v>0</v>
      </c>
      <c r="K51" s="1648">
        <f t="shared" si="2"/>
        <v>0</v>
      </c>
      <c r="L51" s="1648">
        <f t="shared" si="2"/>
        <v>0</v>
      </c>
      <c r="M51" s="1648">
        <f t="shared" si="3"/>
        <v>0</v>
      </c>
      <c r="N51" s="1648">
        <f>RBBD!I36</f>
        <v>0</v>
      </c>
      <c r="O51" s="1648">
        <f>RBBD!J36</f>
        <v>0</v>
      </c>
      <c r="P51" s="1648">
        <f>RBBD!K36</f>
        <v>0</v>
      </c>
      <c r="Q51" s="1648">
        <f>RBBD!L36</f>
        <v>0</v>
      </c>
      <c r="R51" s="1648">
        <f>RBBD!M36</f>
        <v>0</v>
      </c>
      <c r="S51" s="1648">
        <f>RBBD!N36</f>
        <v>0</v>
      </c>
      <c r="T51" s="1648">
        <f>RBBD!O36</f>
        <v>0</v>
      </c>
      <c r="U51" s="1648">
        <f>RBBD!P36</f>
        <v>0</v>
      </c>
      <c r="V51" s="1648">
        <f>RBBD!Q36</f>
        <v>0</v>
      </c>
      <c r="W51" s="1648">
        <f>RBBD!R36</f>
        <v>0</v>
      </c>
      <c r="X51" s="1648">
        <f>RBBD!S36</f>
        <v>0</v>
      </c>
      <c r="Y51" s="1648">
        <f>RBBD!T36</f>
        <v>0</v>
      </c>
      <c r="Z51" s="65"/>
      <c r="AA51" s="328">
        <f t="shared" si="5"/>
        <v>0</v>
      </c>
    </row>
    <row r="52" spans="2:27" hidden="1">
      <c r="B52" s="1648">
        <f>RBBD!B37</f>
        <v>0</v>
      </c>
      <c r="C52" s="1648">
        <f>RBBD!C37</f>
        <v>0</v>
      </c>
      <c r="D52" s="1648">
        <f>RBBD!D37</f>
        <v>0</v>
      </c>
      <c r="E52" s="1648">
        <f>RBBD!G37</f>
        <v>0</v>
      </c>
      <c r="F52" s="1648">
        <f>RBBD!H37</f>
        <v>0</v>
      </c>
      <c r="G52" s="1648">
        <f>RBBD!E37</f>
        <v>0</v>
      </c>
      <c r="H52" s="1648">
        <f>RBBD!F37</f>
        <v>0</v>
      </c>
      <c r="I52" s="1648">
        <f t="shared" si="2"/>
        <v>0</v>
      </c>
      <c r="J52" s="1648">
        <f t="shared" si="2"/>
        <v>0</v>
      </c>
      <c r="K52" s="1648">
        <f t="shared" si="2"/>
        <v>0</v>
      </c>
      <c r="L52" s="1648">
        <f t="shared" si="2"/>
        <v>0</v>
      </c>
      <c r="M52" s="1648">
        <f t="shared" si="3"/>
        <v>0</v>
      </c>
      <c r="N52" s="1648">
        <f>RBBD!I37</f>
        <v>0</v>
      </c>
      <c r="O52" s="1648">
        <f>RBBD!J37</f>
        <v>0</v>
      </c>
      <c r="P52" s="1648">
        <f>RBBD!K37</f>
        <v>0</v>
      </c>
      <c r="Q52" s="1648">
        <f>RBBD!L37</f>
        <v>0</v>
      </c>
      <c r="R52" s="1648">
        <f>RBBD!M37</f>
        <v>0</v>
      </c>
      <c r="S52" s="1648">
        <f>RBBD!N37</f>
        <v>0</v>
      </c>
      <c r="T52" s="1648">
        <f>RBBD!O37</f>
        <v>0</v>
      </c>
      <c r="U52" s="1648">
        <f>RBBD!P37</f>
        <v>0</v>
      </c>
      <c r="V52" s="1648">
        <f>RBBD!Q37</f>
        <v>0</v>
      </c>
      <c r="W52" s="1648">
        <f>RBBD!R37</f>
        <v>0</v>
      </c>
      <c r="X52" s="1648">
        <f>RBBD!S37</f>
        <v>0</v>
      </c>
      <c r="Y52" s="1648">
        <f>RBBD!T37</f>
        <v>0</v>
      </c>
      <c r="Z52" s="65"/>
      <c r="AA52" s="328">
        <f t="shared" si="5"/>
        <v>0</v>
      </c>
    </row>
    <row r="53" spans="2:27" hidden="1">
      <c r="B53" s="1648">
        <f>RBBD!B38</f>
        <v>0</v>
      </c>
      <c r="C53" s="1648">
        <f>RBBD!C38</f>
        <v>0</v>
      </c>
      <c r="D53" s="1648">
        <f>RBBD!D38</f>
        <v>0</v>
      </c>
      <c r="E53" s="1648">
        <f>RBBD!G38</f>
        <v>0</v>
      </c>
      <c r="F53" s="1648">
        <f>RBBD!H38</f>
        <v>0</v>
      </c>
      <c r="G53" s="1648">
        <f>RBBD!E38</f>
        <v>0</v>
      </c>
      <c r="H53" s="1648">
        <f>RBBD!F38</f>
        <v>0</v>
      </c>
      <c r="I53" s="1648">
        <f t="shared" si="2"/>
        <v>0</v>
      </c>
      <c r="J53" s="1648">
        <f t="shared" si="2"/>
        <v>0</v>
      </c>
      <c r="K53" s="1648">
        <f t="shared" si="2"/>
        <v>0</v>
      </c>
      <c r="L53" s="1648">
        <f t="shared" si="2"/>
        <v>0</v>
      </c>
      <c r="M53" s="1648">
        <f t="shared" si="3"/>
        <v>0</v>
      </c>
      <c r="N53" s="1648">
        <f>RBBD!I38</f>
        <v>0</v>
      </c>
      <c r="O53" s="1648">
        <f>RBBD!J38</f>
        <v>0</v>
      </c>
      <c r="P53" s="1648">
        <f>RBBD!K38</f>
        <v>0</v>
      </c>
      <c r="Q53" s="1648">
        <f>RBBD!L38</f>
        <v>0</v>
      </c>
      <c r="R53" s="1648">
        <f>RBBD!M38</f>
        <v>0</v>
      </c>
      <c r="S53" s="1648">
        <f>RBBD!N38</f>
        <v>0</v>
      </c>
      <c r="T53" s="1648">
        <f>RBBD!O38</f>
        <v>0</v>
      </c>
      <c r="U53" s="1648">
        <f>RBBD!P38</f>
        <v>0</v>
      </c>
      <c r="V53" s="1648">
        <f>RBBD!Q38</f>
        <v>0</v>
      </c>
      <c r="W53" s="1648">
        <f>RBBD!R38</f>
        <v>0</v>
      </c>
      <c r="X53" s="1648">
        <f>RBBD!S38</f>
        <v>0</v>
      </c>
      <c r="Y53" s="1648">
        <f>RBBD!T38</f>
        <v>0</v>
      </c>
      <c r="Z53" s="65"/>
      <c r="AA53" s="328">
        <f t="shared" si="5"/>
        <v>0</v>
      </c>
    </row>
    <row r="54" spans="2:27" hidden="1">
      <c r="B54" s="1648">
        <f>RBBD!B39</f>
        <v>0</v>
      </c>
      <c r="C54" s="1648">
        <f>RBBD!C39</f>
        <v>0</v>
      </c>
      <c r="D54" s="1648">
        <f>RBBD!D39</f>
        <v>0</v>
      </c>
      <c r="E54" s="1648">
        <f>RBBD!G39</f>
        <v>0</v>
      </c>
      <c r="F54" s="1648">
        <f>RBBD!H39</f>
        <v>0</v>
      </c>
      <c r="G54" s="1648">
        <f>RBBD!E39</f>
        <v>0</v>
      </c>
      <c r="H54" s="1648">
        <f>RBBD!F39</f>
        <v>0</v>
      </c>
      <c r="I54" s="1648">
        <f t="shared" si="2"/>
        <v>0</v>
      </c>
      <c r="J54" s="1648">
        <f t="shared" si="2"/>
        <v>0</v>
      </c>
      <c r="K54" s="1648">
        <f t="shared" si="2"/>
        <v>0</v>
      </c>
      <c r="L54" s="1648">
        <f t="shared" si="2"/>
        <v>0</v>
      </c>
      <c r="M54" s="1648">
        <f t="shared" si="3"/>
        <v>0</v>
      </c>
      <c r="N54" s="1648">
        <f>RBBD!I39</f>
        <v>0</v>
      </c>
      <c r="O54" s="1648">
        <f>RBBD!J39</f>
        <v>0</v>
      </c>
      <c r="P54" s="1648">
        <f>RBBD!K39</f>
        <v>0</v>
      </c>
      <c r="Q54" s="1648">
        <f>RBBD!L39</f>
        <v>0</v>
      </c>
      <c r="R54" s="1648">
        <f>RBBD!M39</f>
        <v>0</v>
      </c>
      <c r="S54" s="1648">
        <f>RBBD!N39</f>
        <v>0</v>
      </c>
      <c r="T54" s="1648">
        <f>RBBD!O39</f>
        <v>0</v>
      </c>
      <c r="U54" s="1648">
        <f>RBBD!P39</f>
        <v>0</v>
      </c>
      <c r="V54" s="1648">
        <f>RBBD!Q39</f>
        <v>0</v>
      </c>
      <c r="W54" s="1648">
        <f>RBBD!R39</f>
        <v>0</v>
      </c>
      <c r="X54" s="1648">
        <f>RBBD!S39</f>
        <v>0</v>
      </c>
      <c r="Y54" s="1648">
        <f>RBBD!T39</f>
        <v>0</v>
      </c>
      <c r="Z54" s="65"/>
      <c r="AA54" s="328">
        <f t="shared" si="5"/>
        <v>0</v>
      </c>
    </row>
    <row r="55" spans="2:27" hidden="1">
      <c r="B55" s="1648">
        <f>RBBD!B40</f>
        <v>0</v>
      </c>
      <c r="C55" s="1648">
        <f>RBBD!C40</f>
        <v>0</v>
      </c>
      <c r="D55" s="1648">
        <f>RBBD!D40</f>
        <v>0</v>
      </c>
      <c r="E55" s="1648">
        <f>RBBD!G40</f>
        <v>0</v>
      </c>
      <c r="F55" s="1648">
        <f>RBBD!H40</f>
        <v>0</v>
      </c>
      <c r="G55" s="1648">
        <f>RBBD!E40</f>
        <v>0</v>
      </c>
      <c r="H55" s="1648">
        <f>RBBD!F40</f>
        <v>0</v>
      </c>
      <c r="I55" s="1648">
        <f t="shared" si="2"/>
        <v>0</v>
      </c>
      <c r="J55" s="1648">
        <f t="shared" si="2"/>
        <v>0</v>
      </c>
      <c r="K55" s="1648">
        <f t="shared" si="2"/>
        <v>0</v>
      </c>
      <c r="L55" s="1648">
        <f t="shared" si="2"/>
        <v>0</v>
      </c>
      <c r="M55" s="1648">
        <f t="shared" si="3"/>
        <v>0</v>
      </c>
      <c r="N55" s="1648">
        <f>RBBD!I40</f>
        <v>0</v>
      </c>
      <c r="O55" s="1648">
        <f>RBBD!J40</f>
        <v>0</v>
      </c>
      <c r="P55" s="1648">
        <f>RBBD!K40</f>
        <v>0</v>
      </c>
      <c r="Q55" s="1648">
        <f>RBBD!L40</f>
        <v>0</v>
      </c>
      <c r="R55" s="1648">
        <f>RBBD!M40</f>
        <v>0</v>
      </c>
      <c r="S55" s="1648">
        <f>RBBD!N40</f>
        <v>0</v>
      </c>
      <c r="T55" s="1648">
        <f>RBBD!O40</f>
        <v>0</v>
      </c>
      <c r="U55" s="1648">
        <f>RBBD!P40</f>
        <v>0</v>
      </c>
      <c r="V55" s="1648">
        <f>RBBD!Q40</f>
        <v>0</v>
      </c>
      <c r="W55" s="1648">
        <f>RBBD!R40</f>
        <v>0</v>
      </c>
      <c r="X55" s="1648">
        <f>RBBD!S40</f>
        <v>0</v>
      </c>
      <c r="Y55" s="1648">
        <f>RBBD!T40</f>
        <v>0</v>
      </c>
      <c r="Z55" s="65"/>
      <c r="AA55" s="328">
        <f t="shared" si="5"/>
        <v>0</v>
      </c>
    </row>
    <row r="56" spans="2:27" hidden="1">
      <c r="B56" s="1648">
        <f>RBBD!B41</f>
        <v>0</v>
      </c>
      <c r="C56" s="1648">
        <f>RBBD!C41</f>
        <v>0</v>
      </c>
      <c r="D56" s="1648">
        <f>RBBD!D41</f>
        <v>0</v>
      </c>
      <c r="E56" s="1648">
        <f>RBBD!G41</f>
        <v>0</v>
      </c>
      <c r="F56" s="1648">
        <f>RBBD!H41</f>
        <v>0</v>
      </c>
      <c r="G56" s="1648">
        <f>RBBD!E41</f>
        <v>0</v>
      </c>
      <c r="H56" s="1648">
        <f>RBBD!F41</f>
        <v>0</v>
      </c>
      <c r="I56" s="1648">
        <f t="shared" si="2"/>
        <v>0</v>
      </c>
      <c r="J56" s="1648">
        <f t="shared" si="2"/>
        <v>0</v>
      </c>
      <c r="K56" s="1648">
        <f t="shared" si="2"/>
        <v>0</v>
      </c>
      <c r="L56" s="1648">
        <f t="shared" si="2"/>
        <v>0</v>
      </c>
      <c r="M56" s="1648">
        <f t="shared" si="3"/>
        <v>0</v>
      </c>
      <c r="N56" s="1648">
        <f>RBBD!I41</f>
        <v>0</v>
      </c>
      <c r="O56" s="1648">
        <f>RBBD!J41</f>
        <v>0</v>
      </c>
      <c r="P56" s="1648">
        <f>RBBD!K41</f>
        <v>0</v>
      </c>
      <c r="Q56" s="1648">
        <f>RBBD!L41</f>
        <v>0</v>
      </c>
      <c r="R56" s="1648">
        <f>RBBD!M41</f>
        <v>0</v>
      </c>
      <c r="S56" s="1648">
        <f>RBBD!N41</f>
        <v>0</v>
      </c>
      <c r="T56" s="1648">
        <f>RBBD!O41</f>
        <v>0</v>
      </c>
      <c r="U56" s="1648">
        <f>RBBD!P41</f>
        <v>0</v>
      </c>
      <c r="V56" s="1648">
        <f>RBBD!Q41</f>
        <v>0</v>
      </c>
      <c r="W56" s="1648">
        <f>RBBD!R41</f>
        <v>0</v>
      </c>
      <c r="X56" s="1648">
        <f>RBBD!S41</f>
        <v>0</v>
      </c>
      <c r="Y56" s="1648">
        <f>RBBD!T41</f>
        <v>0</v>
      </c>
      <c r="Z56" s="65"/>
      <c r="AA56" s="328">
        <f t="shared" si="5"/>
        <v>0</v>
      </c>
    </row>
    <row r="57" spans="2:27" hidden="1">
      <c r="B57" s="1648">
        <f>RBBD!B42</f>
        <v>0</v>
      </c>
      <c r="C57" s="1648">
        <f>RBBD!C42</f>
        <v>0</v>
      </c>
      <c r="D57" s="1648">
        <f>RBBD!D42</f>
        <v>0</v>
      </c>
      <c r="E57" s="1648">
        <f>RBBD!G42</f>
        <v>0</v>
      </c>
      <c r="F57" s="1648">
        <f>RBBD!H42</f>
        <v>0</v>
      </c>
      <c r="G57" s="1648">
        <f>RBBD!E42</f>
        <v>0</v>
      </c>
      <c r="H57" s="1648">
        <f>RBBD!F42</f>
        <v>0</v>
      </c>
      <c r="I57" s="1648">
        <f t="shared" si="2"/>
        <v>0</v>
      </c>
      <c r="J57" s="1648">
        <f t="shared" si="2"/>
        <v>0</v>
      </c>
      <c r="K57" s="1648">
        <f t="shared" si="2"/>
        <v>0</v>
      </c>
      <c r="L57" s="1648">
        <f t="shared" si="2"/>
        <v>0</v>
      </c>
      <c r="M57" s="1648">
        <f t="shared" si="3"/>
        <v>0</v>
      </c>
      <c r="N57" s="1648">
        <f>RBBD!I42</f>
        <v>0</v>
      </c>
      <c r="O57" s="1648">
        <f>RBBD!J42</f>
        <v>0</v>
      </c>
      <c r="P57" s="1648">
        <f>RBBD!K42</f>
        <v>0</v>
      </c>
      <c r="Q57" s="1648">
        <f>RBBD!L42</f>
        <v>0</v>
      </c>
      <c r="R57" s="1648">
        <f>RBBD!M42</f>
        <v>0</v>
      </c>
      <c r="S57" s="1648">
        <f>RBBD!N42</f>
        <v>0</v>
      </c>
      <c r="T57" s="1648">
        <f>RBBD!O42</f>
        <v>0</v>
      </c>
      <c r="U57" s="1648">
        <f>RBBD!P42</f>
        <v>0</v>
      </c>
      <c r="V57" s="1648">
        <f>RBBD!Q42</f>
        <v>0</v>
      </c>
      <c r="W57" s="1648">
        <f>RBBD!R42</f>
        <v>0</v>
      </c>
      <c r="X57" s="1648">
        <f>RBBD!S42</f>
        <v>0</v>
      </c>
      <c r="Y57" s="1648">
        <f>RBBD!T42</f>
        <v>0</v>
      </c>
      <c r="Z57" s="65"/>
      <c r="AA57" s="328">
        <f t="shared" si="5"/>
        <v>0</v>
      </c>
    </row>
    <row r="58" spans="2:27" hidden="1">
      <c r="B58" s="1648">
        <f>RBBD!B43</f>
        <v>0</v>
      </c>
      <c r="C58" s="1648">
        <f>RBBD!C43</f>
        <v>0</v>
      </c>
      <c r="D58" s="1648">
        <f>RBBD!D43</f>
        <v>0</v>
      </c>
      <c r="E58" s="1648">
        <f>RBBD!G43</f>
        <v>0</v>
      </c>
      <c r="F58" s="1648">
        <f>RBBD!H43</f>
        <v>0</v>
      </c>
      <c r="G58" s="1648">
        <f>RBBD!E43</f>
        <v>0</v>
      </c>
      <c r="H58" s="1648">
        <f>RBBD!F43</f>
        <v>0</v>
      </c>
      <c r="I58" s="1648">
        <f t="shared" si="2"/>
        <v>0</v>
      </c>
      <c r="J58" s="1648">
        <f t="shared" si="2"/>
        <v>0</v>
      </c>
      <c r="K58" s="1648">
        <f t="shared" si="2"/>
        <v>0</v>
      </c>
      <c r="L58" s="1648">
        <f t="shared" si="2"/>
        <v>0</v>
      </c>
      <c r="M58" s="1648">
        <f t="shared" si="3"/>
        <v>0</v>
      </c>
      <c r="N58" s="1648">
        <f>RBBD!I43</f>
        <v>0</v>
      </c>
      <c r="O58" s="1648">
        <f>RBBD!J43</f>
        <v>0</v>
      </c>
      <c r="P58" s="1648">
        <f>RBBD!K43</f>
        <v>0</v>
      </c>
      <c r="Q58" s="1648">
        <f>RBBD!L43</f>
        <v>0</v>
      </c>
      <c r="R58" s="1648">
        <f>RBBD!M43</f>
        <v>0</v>
      </c>
      <c r="S58" s="1648">
        <f>RBBD!N43</f>
        <v>0</v>
      </c>
      <c r="T58" s="1648">
        <f>RBBD!O43</f>
        <v>0</v>
      </c>
      <c r="U58" s="1648">
        <f>RBBD!P43</f>
        <v>0</v>
      </c>
      <c r="V58" s="1648">
        <f>RBBD!Q43</f>
        <v>0</v>
      </c>
      <c r="W58" s="1648">
        <f>RBBD!R43</f>
        <v>0</v>
      </c>
      <c r="X58" s="1648">
        <f>RBBD!S43</f>
        <v>0</v>
      </c>
      <c r="Y58" s="1648">
        <f>RBBD!T43</f>
        <v>0</v>
      </c>
      <c r="Z58" s="65"/>
      <c r="AA58" s="328">
        <f t="shared" si="5"/>
        <v>0</v>
      </c>
    </row>
    <row r="59" spans="2:27" hidden="1">
      <c r="B59" s="1648">
        <f>RBBD!B44</f>
        <v>0</v>
      </c>
      <c r="C59" s="1648">
        <f>RBBD!C44</f>
        <v>0</v>
      </c>
      <c r="D59" s="1648">
        <f>RBBD!D44</f>
        <v>0</v>
      </c>
      <c r="E59" s="1648">
        <f>RBBD!G44</f>
        <v>0</v>
      </c>
      <c r="F59" s="1648">
        <f>RBBD!H44</f>
        <v>0</v>
      </c>
      <c r="G59" s="1648">
        <f>RBBD!E44</f>
        <v>0</v>
      </c>
      <c r="H59" s="1648">
        <f>RBBD!F44</f>
        <v>0</v>
      </c>
      <c r="I59" s="1648">
        <f t="shared" si="2"/>
        <v>0</v>
      </c>
      <c r="J59" s="1648">
        <f t="shared" si="2"/>
        <v>0</v>
      </c>
      <c r="K59" s="1648">
        <f t="shared" si="2"/>
        <v>0</v>
      </c>
      <c r="L59" s="1648">
        <f t="shared" si="2"/>
        <v>0</v>
      </c>
      <c r="M59" s="1648">
        <f t="shared" si="3"/>
        <v>0</v>
      </c>
      <c r="N59" s="1648">
        <f>RBBD!I44</f>
        <v>0</v>
      </c>
      <c r="O59" s="1648">
        <f>RBBD!J44</f>
        <v>0</v>
      </c>
      <c r="P59" s="1648">
        <f>RBBD!K44</f>
        <v>0</v>
      </c>
      <c r="Q59" s="1648">
        <f>RBBD!L44</f>
        <v>0</v>
      </c>
      <c r="R59" s="1648">
        <f>RBBD!M44</f>
        <v>0</v>
      </c>
      <c r="S59" s="1648">
        <f>RBBD!N44</f>
        <v>0</v>
      </c>
      <c r="T59" s="1648">
        <f>RBBD!O44</f>
        <v>0</v>
      </c>
      <c r="U59" s="1648">
        <f>RBBD!P44</f>
        <v>0</v>
      </c>
      <c r="V59" s="1648">
        <f>RBBD!Q44</f>
        <v>0</v>
      </c>
      <c r="W59" s="1648">
        <f>RBBD!R44</f>
        <v>0</v>
      </c>
      <c r="X59" s="1648">
        <f>RBBD!S44</f>
        <v>0</v>
      </c>
      <c r="Y59" s="1648">
        <f>RBBD!T44</f>
        <v>0</v>
      </c>
      <c r="Z59" s="65"/>
      <c r="AA59" s="328">
        <f t="shared" si="5"/>
        <v>0</v>
      </c>
    </row>
    <row r="60" spans="2:27" hidden="1">
      <c r="B60" s="1648">
        <f>RBBD!B45</f>
        <v>0</v>
      </c>
      <c r="C60" s="1648">
        <f>RBBD!C45</f>
        <v>0</v>
      </c>
      <c r="D60" s="1648">
        <f>RBBD!D45</f>
        <v>0</v>
      </c>
      <c r="E60" s="1648">
        <f>RBBD!G45</f>
        <v>0</v>
      </c>
      <c r="F60" s="1648">
        <f>RBBD!H45</f>
        <v>0</v>
      </c>
      <c r="G60" s="1648">
        <f>RBBD!E45</f>
        <v>0</v>
      </c>
      <c r="H60" s="1648">
        <f>RBBD!F45</f>
        <v>0</v>
      </c>
      <c r="I60" s="1648">
        <f t="shared" si="2"/>
        <v>0</v>
      </c>
      <c r="J60" s="1648">
        <f t="shared" si="2"/>
        <v>0</v>
      </c>
      <c r="K60" s="1648">
        <f t="shared" si="2"/>
        <v>0</v>
      </c>
      <c r="L60" s="1648">
        <f t="shared" si="2"/>
        <v>0</v>
      </c>
      <c r="M60" s="1648">
        <f t="shared" si="3"/>
        <v>0</v>
      </c>
      <c r="N60" s="1648">
        <f>RBBD!I45</f>
        <v>0</v>
      </c>
      <c r="O60" s="1648">
        <f>RBBD!J45</f>
        <v>0</v>
      </c>
      <c r="P60" s="1648">
        <f>RBBD!K45</f>
        <v>0</v>
      </c>
      <c r="Q60" s="1648">
        <f>RBBD!L45</f>
        <v>0</v>
      </c>
      <c r="R60" s="1648">
        <f>RBBD!M45</f>
        <v>0</v>
      </c>
      <c r="S60" s="1648">
        <f>RBBD!N45</f>
        <v>0</v>
      </c>
      <c r="T60" s="1648">
        <f>RBBD!O45</f>
        <v>0</v>
      </c>
      <c r="U60" s="1648">
        <f>RBBD!P45</f>
        <v>0</v>
      </c>
      <c r="V60" s="1648">
        <f>RBBD!Q45</f>
        <v>0</v>
      </c>
      <c r="W60" s="1648">
        <f>RBBD!R45</f>
        <v>0</v>
      </c>
      <c r="X60" s="1648">
        <f>RBBD!S45</f>
        <v>0</v>
      </c>
      <c r="Y60" s="1648">
        <f>RBBD!T45</f>
        <v>0</v>
      </c>
      <c r="Z60" s="65"/>
      <c r="AA60" s="328">
        <f t="shared" si="5"/>
        <v>0</v>
      </c>
    </row>
    <row r="61" spans="2:27">
      <c r="T61" s="68"/>
      <c r="U61" s="68"/>
      <c r="V61" s="68"/>
      <c r="W61" s="68"/>
    </row>
    <row r="62" spans="2:27">
      <c r="C62" s="1307" t="s">
        <v>1315</v>
      </c>
      <c r="D62" s="1308"/>
      <c r="E62" s="1308" t="e">
        <f>SUM(I18:I61)/SUM(M18:M61)</f>
        <v>#DIV/0!</v>
      </c>
      <c r="F62" s="1308" t="e">
        <f>SUM(J18:J61)/SUM(M18:M61)</f>
        <v>#DIV/0!</v>
      </c>
      <c r="G62" s="1308" t="e">
        <f>SUM(K18:K61)/SUM(M18:M61)</f>
        <v>#DIV/0!</v>
      </c>
      <c r="H62" s="1308" t="e">
        <f>SUM(L18:L61)/SUM(M18:M61)</f>
        <v>#DIV/0!</v>
      </c>
      <c r="I62" s="1309">
        <f>SUM(I16:I61)</f>
        <v>0</v>
      </c>
      <c r="J62" s="1309">
        <f>SUM(J16:J61)</f>
        <v>0</v>
      </c>
      <c r="K62" s="1309">
        <f>SUM(K16:K61)</f>
        <v>0</v>
      </c>
      <c r="L62" s="1309">
        <f>SUM(L16:L61)</f>
        <v>0</v>
      </c>
      <c r="M62" s="1309">
        <f>SUM(M17:M61)</f>
        <v>0</v>
      </c>
      <c r="N62" s="1309">
        <f>SUM(N18:N61)</f>
        <v>0</v>
      </c>
      <c r="O62" s="1309">
        <f t="shared" ref="O62:Y62" si="6">SUM(O18:O61)</f>
        <v>0</v>
      </c>
      <c r="P62" s="1309">
        <f t="shared" si="6"/>
        <v>0</v>
      </c>
      <c r="Q62" s="1309">
        <f t="shared" si="6"/>
        <v>0</v>
      </c>
      <c r="R62" s="1309">
        <f t="shared" si="6"/>
        <v>0</v>
      </c>
      <c r="S62" s="1309">
        <f t="shared" si="6"/>
        <v>0</v>
      </c>
      <c r="T62" s="1309">
        <f t="shared" si="6"/>
        <v>0</v>
      </c>
      <c r="U62" s="1309">
        <f t="shared" si="6"/>
        <v>0</v>
      </c>
      <c r="V62" s="1309">
        <f t="shared" si="6"/>
        <v>0</v>
      </c>
      <c r="W62" s="1309">
        <f t="shared" si="6"/>
        <v>0</v>
      </c>
      <c r="X62" s="1309">
        <f t="shared" si="6"/>
        <v>0</v>
      </c>
      <c r="Y62" s="1309">
        <f t="shared" si="6"/>
        <v>0</v>
      </c>
    </row>
    <row r="63" spans="2:27">
      <c r="C63" s="158"/>
      <c r="D63" s="159"/>
      <c r="E63" s="159"/>
      <c r="F63" s="160"/>
      <c r="G63" s="160"/>
      <c r="H63" s="161"/>
      <c r="T63" s="68"/>
      <c r="U63" s="68"/>
      <c r="V63" s="68"/>
      <c r="W63" s="68"/>
    </row>
    <row r="64" spans="2:27">
      <c r="C64" s="162"/>
      <c r="T64" s="68"/>
      <c r="U64" s="68"/>
      <c r="V64" s="68"/>
      <c r="W64" s="68"/>
    </row>
    <row r="65" spans="2:51">
      <c r="C65" s="158"/>
      <c r="D65" s="159"/>
      <c r="E65" s="159"/>
      <c r="F65" s="160"/>
      <c r="G65" s="160"/>
      <c r="H65" s="161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7"/>
      <c r="AH65" s="157"/>
      <c r="AI65" s="157"/>
      <c r="AJ65" s="157"/>
      <c r="AK65" s="157"/>
      <c r="AL65" s="284"/>
      <c r="AM65" s="285"/>
      <c r="AN65" s="284"/>
      <c r="AO65" s="157"/>
      <c r="AP65" s="157"/>
      <c r="AQ65" s="157"/>
      <c r="AR65" s="157"/>
      <c r="AS65" s="157"/>
      <c r="AT65" s="157"/>
      <c r="AU65" s="157"/>
      <c r="AV65" s="157"/>
      <c r="AW65" s="157"/>
      <c r="AX65" s="157"/>
      <c r="AY65" s="157"/>
    </row>
    <row r="66" spans="2:51">
      <c r="B66" s="163"/>
      <c r="C66" s="163"/>
      <c r="D66" s="163"/>
      <c r="E66" s="163"/>
      <c r="F66" s="163"/>
      <c r="G66" s="163"/>
      <c r="H66" s="163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68"/>
      <c r="V66" s="68"/>
      <c r="W66" s="68"/>
      <c r="X66" s="68"/>
      <c r="Y66" s="68"/>
      <c r="AG66" s="157"/>
      <c r="AH66" s="157"/>
      <c r="AI66" s="157"/>
      <c r="AJ66" s="157"/>
      <c r="AK66" s="157"/>
      <c r="AL66" s="284"/>
      <c r="AM66" s="285"/>
      <c r="AN66" s="284"/>
      <c r="AO66" s="157"/>
      <c r="AP66" s="157"/>
      <c r="AQ66" s="157"/>
      <c r="AR66" s="157"/>
      <c r="AS66" s="157"/>
      <c r="AT66" s="157"/>
      <c r="AU66" s="157"/>
      <c r="AV66" s="157"/>
      <c r="AW66" s="157"/>
      <c r="AX66" s="157"/>
      <c r="AY66" s="157"/>
    </row>
    <row r="67" spans="2:51">
      <c r="B67" s="1300" t="s">
        <v>1316</v>
      </c>
      <c r="C67" s="1300"/>
      <c r="D67" s="1300"/>
      <c r="E67" s="1300"/>
      <c r="F67" s="1300"/>
      <c r="G67" s="1300"/>
      <c r="H67" s="1300"/>
      <c r="I67" s="1300"/>
      <c r="T67" s="68"/>
      <c r="U67" s="68"/>
      <c r="V67" s="68"/>
      <c r="W67" s="68"/>
      <c r="X67" s="68"/>
      <c r="Y67" s="68"/>
      <c r="AG67" s="157"/>
      <c r="AH67" s="157"/>
      <c r="AI67" s="157"/>
      <c r="AJ67" s="157"/>
      <c r="AK67" s="157"/>
      <c r="AL67" s="284"/>
      <c r="AM67" s="285"/>
      <c r="AN67" s="284"/>
      <c r="AO67" s="157"/>
      <c r="AP67" s="157"/>
      <c r="AQ67" s="157"/>
      <c r="AR67" s="157"/>
      <c r="AS67" s="157"/>
      <c r="AT67" s="157"/>
      <c r="AU67" s="157"/>
      <c r="AV67" s="157"/>
      <c r="AW67" s="157"/>
      <c r="AX67" s="157"/>
      <c r="AY67" s="157"/>
    </row>
    <row r="68" spans="2:51">
      <c r="B68" s="157"/>
      <c r="C68" s="155"/>
      <c r="D68" s="163"/>
      <c r="E68" s="163"/>
      <c r="F68" s="163"/>
      <c r="G68" s="163"/>
      <c r="H68" s="163"/>
      <c r="I68" s="163"/>
      <c r="J68" s="157"/>
      <c r="K68" s="157"/>
      <c r="L68" s="157"/>
      <c r="M68" s="157"/>
      <c r="N68" s="157"/>
      <c r="O68" s="157"/>
      <c r="P68" s="157"/>
      <c r="Q68" s="157"/>
      <c r="T68" s="68"/>
      <c r="U68" s="68"/>
      <c r="V68" s="68"/>
      <c r="W68" s="68"/>
      <c r="X68" s="68"/>
      <c r="Y68" s="68"/>
      <c r="AG68" s="157"/>
      <c r="AH68" s="157"/>
      <c r="AI68" s="157"/>
      <c r="AJ68" s="157"/>
      <c r="AK68" s="157"/>
      <c r="AL68" s="284"/>
      <c r="AM68" s="285"/>
      <c r="AN68" s="284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</row>
    <row r="69" spans="2:51">
      <c r="B69" s="157"/>
      <c r="D69" s="730"/>
      <c r="E69" s="1310">
        <f>IF(MONTH(E70)=7,E70,0)</f>
        <v>44378</v>
      </c>
      <c r="F69" s="1310">
        <f t="shared" ref="F69:P69" si="7">IF(MONTH(F70)=7,F70,0)</f>
        <v>0</v>
      </c>
      <c r="G69" s="1310">
        <f t="shared" si="7"/>
        <v>0</v>
      </c>
      <c r="H69" s="1310">
        <f t="shared" si="7"/>
        <v>0</v>
      </c>
      <c r="I69" s="1310">
        <f t="shared" si="7"/>
        <v>0</v>
      </c>
      <c r="J69" s="1310">
        <f t="shared" si="7"/>
        <v>0</v>
      </c>
      <c r="K69" s="1310">
        <f t="shared" si="7"/>
        <v>0</v>
      </c>
      <c r="L69" s="1310">
        <f t="shared" si="7"/>
        <v>0</v>
      </c>
      <c r="M69" s="1310">
        <f t="shared" si="7"/>
        <v>0</v>
      </c>
      <c r="N69" s="1310">
        <f t="shared" si="7"/>
        <v>0</v>
      </c>
      <c r="O69" s="1310">
        <f t="shared" si="7"/>
        <v>0</v>
      </c>
      <c r="P69" s="1310">
        <f t="shared" si="7"/>
        <v>0</v>
      </c>
      <c r="Q69" s="798">
        <f>SUM(E69:P69)</f>
        <v>44378</v>
      </c>
      <c r="T69" s="68"/>
      <c r="U69" s="68"/>
      <c r="V69" s="68"/>
      <c r="W69" s="68"/>
      <c r="X69" s="68"/>
      <c r="Y69" s="68"/>
      <c r="AG69" s="157"/>
      <c r="AH69" s="157"/>
      <c r="AI69" s="157"/>
      <c r="AJ69" s="157"/>
      <c r="AK69" s="157"/>
      <c r="AL69" s="284"/>
      <c r="AM69" s="285"/>
      <c r="AN69" s="284"/>
      <c r="AO69" s="157"/>
      <c r="AP69" s="157"/>
      <c r="AQ69" s="157"/>
      <c r="AR69" s="157"/>
      <c r="AS69" s="157"/>
      <c r="AT69" s="157"/>
      <c r="AU69" s="157"/>
      <c r="AV69" s="157"/>
      <c r="AW69" s="157"/>
      <c r="AX69" s="157"/>
      <c r="AY69" s="157"/>
    </row>
    <row r="70" spans="2:51">
      <c r="B70" s="157"/>
      <c r="D70" s="298" t="s">
        <v>1317</v>
      </c>
      <c r="E70" s="1311">
        <f>G76</f>
        <v>44378</v>
      </c>
      <c r="F70" s="1311">
        <f>G77</f>
        <v>44409</v>
      </c>
      <c r="G70" s="1311">
        <f>G78</f>
        <v>44440</v>
      </c>
      <c r="H70" s="1311">
        <f>G79</f>
        <v>44470</v>
      </c>
      <c r="I70" s="1311">
        <f>G80</f>
        <v>44501</v>
      </c>
      <c r="J70" s="1311">
        <f>G81</f>
        <v>44531</v>
      </c>
      <c r="K70" s="1311">
        <f>G82</f>
        <v>44562</v>
      </c>
      <c r="L70" s="1311">
        <f>G83</f>
        <v>44593</v>
      </c>
      <c r="M70" s="1311">
        <f>G84</f>
        <v>44621</v>
      </c>
      <c r="N70" s="1311">
        <f>G85</f>
        <v>44652</v>
      </c>
      <c r="O70" s="1311">
        <f>G86</f>
        <v>44682</v>
      </c>
      <c r="P70" s="1311">
        <f>G87</f>
        <v>44713</v>
      </c>
      <c r="T70" s="68"/>
      <c r="U70" s="68"/>
      <c r="V70" s="68"/>
      <c r="W70" s="68"/>
      <c r="X70" s="68"/>
      <c r="Y70" s="68"/>
      <c r="AG70" s="157"/>
      <c r="AH70" s="157"/>
      <c r="AI70" s="157"/>
      <c r="AJ70" s="157"/>
      <c r="AK70" s="157"/>
      <c r="AL70" s="284"/>
      <c r="AM70" s="285"/>
      <c r="AN70" s="284"/>
      <c r="AO70" s="157"/>
      <c r="AP70" s="157"/>
      <c r="AQ70" s="157"/>
      <c r="AR70" s="157"/>
      <c r="AS70" s="157"/>
      <c r="AT70" s="157"/>
      <c r="AU70" s="157"/>
      <c r="AV70" s="157"/>
      <c r="AW70" s="157"/>
      <c r="AX70" s="157"/>
      <c r="AY70" s="157"/>
    </row>
    <row r="71" spans="2:51">
      <c r="B71" s="157"/>
      <c r="C71" s="1312" t="s">
        <v>1318</v>
      </c>
      <c r="D71" s="1313">
        <f>SUM(E71:P71)</f>
        <v>0</v>
      </c>
      <c r="E71" s="1314">
        <f>SUMIF($G$76:$G$420,E70,$N$76:$N$420)</f>
        <v>0</v>
      </c>
      <c r="F71" s="1314">
        <f t="shared" ref="F71:P71" si="8">SUMIF($G$76:$G$420,F70,$N$76:$N$420)</f>
        <v>0</v>
      </c>
      <c r="G71" s="1314">
        <f t="shared" si="8"/>
        <v>0</v>
      </c>
      <c r="H71" s="1314">
        <f t="shared" si="8"/>
        <v>0</v>
      </c>
      <c r="I71" s="1314">
        <f t="shared" si="8"/>
        <v>0</v>
      </c>
      <c r="J71" s="1314">
        <f t="shared" si="8"/>
        <v>0</v>
      </c>
      <c r="K71" s="1314">
        <f t="shared" si="8"/>
        <v>0</v>
      </c>
      <c r="L71" s="1314">
        <f t="shared" si="8"/>
        <v>0</v>
      </c>
      <c r="M71" s="1314">
        <f t="shared" si="8"/>
        <v>0</v>
      </c>
      <c r="N71" s="1314">
        <f t="shared" si="8"/>
        <v>0</v>
      </c>
      <c r="O71" s="1314">
        <f t="shared" si="8"/>
        <v>0</v>
      </c>
      <c r="P71" s="1314">
        <f t="shared" si="8"/>
        <v>0</v>
      </c>
      <c r="T71" s="68"/>
      <c r="U71" s="68"/>
      <c r="V71" s="68"/>
      <c r="W71" s="68"/>
      <c r="X71" s="68"/>
      <c r="Y71" s="68"/>
      <c r="AG71" s="157"/>
      <c r="AH71" s="157"/>
      <c r="AI71" s="157"/>
      <c r="AJ71" s="157"/>
      <c r="AK71" s="157"/>
      <c r="AL71" s="284"/>
      <c r="AM71" s="285"/>
      <c r="AN71" s="284"/>
      <c r="AO71" s="157"/>
      <c r="AP71" s="157"/>
      <c r="AQ71" s="157"/>
      <c r="AR71" s="157"/>
      <c r="AS71" s="157"/>
      <c r="AT71" s="157"/>
      <c r="AU71" s="157"/>
      <c r="AV71" s="157"/>
      <c r="AW71" s="157"/>
      <c r="AX71" s="157"/>
      <c r="AY71" s="157"/>
    </row>
    <row r="72" spans="2:51">
      <c r="B72" s="157"/>
      <c r="C72" s="1312" t="s">
        <v>1319</v>
      </c>
      <c r="D72" s="1313">
        <f>SUM(E72:P72)</f>
        <v>0</v>
      </c>
      <c r="E72" s="1314">
        <f>SUMIF(Indexador!$B$25:$B$48,'Rede Básica + Ajuste'!E70,Indexador!$J$25:$J$48)</f>
        <v>0</v>
      </c>
      <c r="F72" s="1314">
        <f>SUMIF(Indexador!$B$25:$B$48,'Rede Básica + Ajuste'!F70,Indexador!$J$25:$J$48)</f>
        <v>0</v>
      </c>
      <c r="G72" s="1314">
        <f>SUMIF(Indexador!$B$25:$B$48,'Rede Básica + Ajuste'!G70,Indexador!$J$25:$J$48)</f>
        <v>0</v>
      </c>
      <c r="H72" s="1314">
        <f>SUMIF(Indexador!$B$25:$B$48,'Rede Básica + Ajuste'!H70,Indexador!$J$25:$J$48)</f>
        <v>0</v>
      </c>
      <c r="I72" s="1314">
        <f>SUMIF(Indexador!$B$25:$B$48,'Rede Básica + Ajuste'!I70,Indexador!$J$25:$J$48)</f>
        <v>0</v>
      </c>
      <c r="J72" s="1314">
        <f>SUMIF(Indexador!$B$25:$B$48,'Rede Básica + Ajuste'!J70,Indexador!$J$25:$J$48)</f>
        <v>0</v>
      </c>
      <c r="K72" s="1314">
        <f>SUMIF(Indexador!$B$25:$B$48,'Rede Básica + Ajuste'!K70,Indexador!$J$25:$J$48)</f>
        <v>0</v>
      </c>
      <c r="L72" s="1314">
        <f>SUMIF(Indexador!$B$25:$B$48,'Rede Básica + Ajuste'!L70,Indexador!$J$25:$J$48)</f>
        <v>0</v>
      </c>
      <c r="M72" s="1314">
        <f>SUMIF(Indexador!$B$25:$B$48,'Rede Básica + Ajuste'!M70,Indexador!$J$25:$J$48)</f>
        <v>0</v>
      </c>
      <c r="N72" s="1314">
        <f>SUMIF(Indexador!$B$25:$B$48,'Rede Básica + Ajuste'!N70,Indexador!$J$25:$J$48)</f>
        <v>0</v>
      </c>
      <c r="O72" s="1314">
        <f>SUMIF(Indexador!$B$25:$B$48,'Rede Básica + Ajuste'!O70,Indexador!$J$25:$J$48)</f>
        <v>0</v>
      </c>
      <c r="P72" s="1314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7"/>
      <c r="AH72" s="157"/>
      <c r="AI72" s="157"/>
      <c r="AJ72" s="157"/>
      <c r="AK72" s="157"/>
      <c r="AL72" s="284"/>
      <c r="AM72" s="285"/>
      <c r="AN72" s="284"/>
      <c r="AO72" s="157"/>
      <c r="AP72" s="157"/>
      <c r="AQ72" s="157"/>
      <c r="AR72" s="157"/>
      <c r="AS72" s="157"/>
      <c r="AT72" s="157"/>
      <c r="AU72" s="157"/>
      <c r="AV72" s="157"/>
      <c r="AW72" s="157"/>
      <c r="AX72" s="157"/>
      <c r="AY72" s="157"/>
    </row>
    <row r="73" spans="2:51">
      <c r="B73" s="157"/>
      <c r="G73" s="150"/>
      <c r="M73" s="95"/>
      <c r="S73" s="68"/>
      <c r="T73" s="68"/>
      <c r="U73" s="68"/>
      <c r="V73" s="68"/>
      <c r="W73" s="68"/>
      <c r="X73" s="68"/>
      <c r="AF73" s="157"/>
      <c r="AG73" s="157"/>
      <c r="AH73" s="157"/>
      <c r="AI73" s="157"/>
      <c r="AJ73" s="157"/>
      <c r="AK73" s="284"/>
      <c r="AL73" s="285"/>
      <c r="AM73" s="284"/>
      <c r="AN73" s="157"/>
      <c r="AO73" s="157"/>
      <c r="AP73" s="157"/>
      <c r="AQ73" s="157"/>
      <c r="AR73" s="157"/>
      <c r="AS73" s="157"/>
      <c r="AT73" s="157"/>
      <c r="AU73" s="157"/>
      <c r="AV73" s="157"/>
      <c r="AW73" s="157"/>
      <c r="AX73" s="157"/>
    </row>
    <row r="74" spans="2:51" ht="15.75">
      <c r="B74" s="157"/>
      <c r="C74" s="274"/>
      <c r="D74" s="274"/>
      <c r="E74" s="274"/>
      <c r="F74" s="274"/>
      <c r="G74" s="274"/>
      <c r="H74" s="274"/>
      <c r="I74" s="274"/>
      <c r="J74" s="1798" t="s">
        <v>1320</v>
      </c>
      <c r="K74" s="1799"/>
      <c r="L74" s="1797" t="s">
        <v>1321</v>
      </c>
      <c r="M74" s="1797"/>
      <c r="N74" s="282"/>
      <c r="O74" s="274"/>
      <c r="AF74" s="157"/>
      <c r="AG74" s="157"/>
      <c r="AH74" s="157"/>
      <c r="AI74" s="284"/>
      <c r="AJ74" s="285"/>
      <c r="AK74" s="284"/>
      <c r="AL74" s="157"/>
      <c r="AM74" s="157"/>
      <c r="AN74" s="157"/>
      <c r="AO74" s="157"/>
      <c r="AP74" s="157"/>
      <c r="AQ74" s="157"/>
      <c r="AR74" s="157"/>
      <c r="AS74" s="157"/>
      <c r="AT74" s="157"/>
      <c r="AU74" s="157"/>
      <c r="AV74" s="157"/>
      <c r="AW74" s="157"/>
      <c r="AX74" s="157"/>
    </row>
    <row r="75" spans="2:51" ht="15.75">
      <c r="B75" s="157"/>
      <c r="C75" s="1800" t="s">
        <v>1303</v>
      </c>
      <c r="D75" s="1801"/>
      <c r="F75" s="274"/>
      <c r="G75" s="1315" t="s">
        <v>774</v>
      </c>
      <c r="H75" s="1316" t="s">
        <v>1322</v>
      </c>
      <c r="I75" s="1316" t="s">
        <v>1323</v>
      </c>
      <c r="J75" s="1649" t="s">
        <v>1324</v>
      </c>
      <c r="K75" s="1649" t="s">
        <v>1325</v>
      </c>
      <c r="L75" s="1649" t="s">
        <v>1324</v>
      </c>
      <c r="M75" s="1649" t="s">
        <v>1325</v>
      </c>
      <c r="N75" s="281" t="s">
        <v>1326</v>
      </c>
      <c r="AF75" s="157"/>
      <c r="AG75" s="157"/>
      <c r="AH75" s="284"/>
      <c r="AI75" s="285"/>
      <c r="AJ75" s="284"/>
      <c r="AK75" s="157"/>
      <c r="AL75" s="157"/>
      <c r="AM75" s="157"/>
      <c r="AN75" s="157"/>
      <c r="AO75" s="157"/>
      <c r="AP75" s="157"/>
      <c r="AQ75" s="157"/>
      <c r="AR75" s="157"/>
      <c r="AS75" s="157"/>
      <c r="AT75" s="157"/>
      <c r="AU75" s="157"/>
      <c r="AV75" s="157"/>
      <c r="AW75" s="157"/>
      <c r="AX75" s="157"/>
    </row>
    <row r="76" spans="2:51" ht="15.75">
      <c r="B76" s="157"/>
      <c r="C76" s="1312" t="s">
        <v>1327</v>
      </c>
      <c r="D76" s="1317">
        <f>IF(D18="Ponta",B18,0)</f>
        <v>0</v>
      </c>
      <c r="E76" s="18"/>
      <c r="F76" s="274"/>
      <c r="G76" s="1318">
        <f>DATE(YEAR(CAPA!C14),MONTH(CAPA!C14),1)</f>
        <v>44378</v>
      </c>
      <c r="H76" s="276">
        <f>SUMIFS($N$18:$N$60,$B$18:$B$60,$D$76,$D$18:$D$60,"Ponta")</f>
        <v>0</v>
      </c>
      <c r="I76" s="276">
        <f>SUMIFS($N$18:$N$60,$B$18:$B$60,$D$76,$D$18:$D$60,"Fora Ponta")</f>
        <v>0</v>
      </c>
      <c r="J76" s="276">
        <f>SUMIFS($E$18:$E$60,$B$18:$B$60,$D$76,$D$18:$D$60,"Ponta")</f>
        <v>0</v>
      </c>
      <c r="K76" s="276">
        <f>SUMIFS($E$18:$E$60,$B$18:$B$60,$D$76,$D$18:$D$60,"Fora Ponta")</f>
        <v>0</v>
      </c>
      <c r="L76" s="1319">
        <f>IF(MONTH(DataRevRea)=7,'Rede Básica + Ajuste'!J76,IF(G76&lt;$Q$69,(SUMIFS($E$18:$E$60,$B$18:$B$60,$D$76,$D$18:$D$60,"Ponta")),(SUMIFS($F$18:$F$60,$B$18:$B$60,$D$76,$D$18:$D$60,"Ponta"))))</f>
        <v>0</v>
      </c>
      <c r="M76" s="1319">
        <f>IF(MONTH(DataRevRea)=7,'Rede Básica + Ajuste'!K76,IF(G76&lt;$Q$69,(SUMIFS($E$18:$E$60,$B$18:$B$60,$D$76,$D$18:$D$60,"Fora Ponta")),(SUMIFS($F$18:$F$60,$B$18:$B$60,$D$76,$D$18:$D$60,"Fora Ponta"))))</f>
        <v>0</v>
      </c>
      <c r="N76" s="1320">
        <f>+(H76*(L76-J76))+(I76*(M76-K76))</f>
        <v>0</v>
      </c>
      <c r="AF76" s="157"/>
      <c r="AG76" s="157"/>
      <c r="AH76" s="284"/>
      <c r="AI76" s="285"/>
      <c r="AJ76" s="284"/>
      <c r="AK76" s="157"/>
      <c r="AL76" s="157"/>
      <c r="AM76" s="157"/>
      <c r="AN76" s="157"/>
      <c r="AO76" s="157"/>
      <c r="AP76" s="157"/>
      <c r="AQ76" s="157"/>
      <c r="AR76" s="157"/>
      <c r="AS76" s="157"/>
      <c r="AT76" s="157"/>
      <c r="AU76" s="157"/>
      <c r="AV76" s="157"/>
      <c r="AW76" s="157"/>
      <c r="AX76" s="157"/>
    </row>
    <row r="77" spans="2:51" ht="15.75">
      <c r="B77" s="157"/>
      <c r="C77" s="274"/>
      <c r="D77" s="274"/>
      <c r="E77" s="274"/>
      <c r="F77" s="274"/>
      <c r="G77" s="275">
        <f>DATE(YEAR(G76),MONTH(G76)+1,1)</f>
        <v>44409</v>
      </c>
      <c r="H77" s="276">
        <f>SUMIFS($O$18:$O$60,$B$18:$B$60,$D$76,$D$18:$D$60,"Ponta")</f>
        <v>0</v>
      </c>
      <c r="I77" s="276">
        <f>SUMIFS($O$18:$O$60,$B$18:$B$60,$D$76,$D$18:$D$60,"Fora Ponta")</f>
        <v>0</v>
      </c>
      <c r="J77" s="276">
        <f t="shared" ref="J77:J87" si="9">SUMIFS($E$18:$E$60,$B$18:$B$60,$D$76,$D$18:$D$60,"Ponta")</f>
        <v>0</v>
      </c>
      <c r="K77" s="276">
        <f t="shared" ref="K77:K87" si="10">SUMIFS($E$18:$E$60,$B$18:$B$60,$D$76,$D$18:$D$60,"Fora Ponta")</f>
        <v>0</v>
      </c>
      <c r="L77" s="276">
        <f>IF(MONTH(DataRevRea)=7,'Rede Básica + Ajuste'!J77,IF(G77&lt;$Q$69,(SUMIFS($E$18:$E$60,$B$18:$B$60,$D$76,$D$18:$D$60,"Ponta")),(SUMIFS($F$18:$F$60,$B$18:$B$60,$D$76,$D$18:$D$60,"Ponta"))))</f>
        <v>0</v>
      </c>
      <c r="M77" s="276">
        <f>IF(MONTH(DataRevRea)=7,'Rede Básica + Ajuste'!K77,IF(G77&lt;$Q$69,(SUMIFS($E$18:$E$60,$B$18:$B$60,$D$76,$D$18:$D$60,"Fora Ponta")),(SUMIFS($F$18:$F$60,$B$18:$B$60,$D$76,$D$18:$D$60,"Fora Ponta"))))</f>
        <v>0</v>
      </c>
      <c r="N77" s="283">
        <f t="shared" ref="N77:N87" si="11">+(H77*(L77-J77))+(I77*(M77-K77))</f>
        <v>0</v>
      </c>
      <c r="AF77" s="157"/>
      <c r="AG77" s="157"/>
      <c r="AH77" s="284"/>
      <c r="AI77" s="285"/>
      <c r="AJ77" s="284"/>
      <c r="AK77" s="157"/>
      <c r="AL77" s="157"/>
      <c r="AM77" s="157"/>
      <c r="AN77" s="157"/>
      <c r="AO77" s="157"/>
      <c r="AP77" s="157"/>
      <c r="AQ77" s="157"/>
      <c r="AR77" s="157"/>
      <c r="AS77" s="157"/>
      <c r="AT77" s="157"/>
      <c r="AU77" s="157"/>
      <c r="AV77" s="157"/>
      <c r="AW77" s="157"/>
      <c r="AX77" s="157"/>
    </row>
    <row r="78" spans="2:51" ht="15.75">
      <c r="B78" s="157"/>
      <c r="C78" s="277"/>
      <c r="D78" s="1321" t="s">
        <v>1328</v>
      </c>
      <c r="E78" s="1322" t="s">
        <v>1329</v>
      </c>
      <c r="F78" s="274"/>
      <c r="G78" s="275">
        <f t="shared" ref="G78:G87" si="12">DATE(YEAR(G77),MONTH(G77)+1,1)</f>
        <v>44440</v>
      </c>
      <c r="H78" s="276">
        <f>SUMIFS($P$18:$P$60,$B$18:$B$60,$D$76,$D$18:$D$60,"Ponta")</f>
        <v>0</v>
      </c>
      <c r="I78" s="276">
        <f>SUMIFS($P$18:$P$60,$B$18:$B$60,$D$76,$D$18:$D$60,"Fora Ponta")</f>
        <v>0</v>
      </c>
      <c r="J78" s="276">
        <f t="shared" si="9"/>
        <v>0</v>
      </c>
      <c r="K78" s="276">
        <f t="shared" si="10"/>
        <v>0</v>
      </c>
      <c r="L78" s="276">
        <f>IF(MONTH(DataRevRea)=7,'Rede Básica + Ajuste'!J78,IF(G78&lt;$Q$69,(SUMIFS($E$18:$E$60,$B$18:$B$60,$D$76,$D$18:$D$60,"Ponta")),(SUMIFS($F$18:$F$60,$B$18:$B$60,$D$76,$D$18:$D$60,"Ponta"))))</f>
        <v>0</v>
      </c>
      <c r="M78" s="276">
        <f>IF(MONTH(DataRevRea)=7,'Rede Básica + Ajuste'!K78,IF(G78&lt;$Q$69,(SUMIFS($E$18:$E$60,$B$18:$B$60,$D$76,$D$18:$D$60,"Fora Ponta")),(SUMIFS($F$18:$F$60,$B$18:$B$60,$D$76,$D$18:$D$60,"Fora Ponta"))))</f>
        <v>0</v>
      </c>
      <c r="N78" s="283">
        <f t="shared" si="11"/>
        <v>0</v>
      </c>
      <c r="AF78" s="157"/>
      <c r="AG78" s="157"/>
      <c r="AH78" s="284"/>
      <c r="AI78" s="285"/>
      <c r="AJ78" s="284"/>
      <c r="AK78" s="157"/>
      <c r="AL78" s="157"/>
      <c r="AM78" s="157"/>
      <c r="AN78" s="157"/>
      <c r="AO78" s="157"/>
      <c r="AP78" s="157"/>
      <c r="AQ78" s="157"/>
      <c r="AR78" s="157"/>
      <c r="AS78" s="157"/>
      <c r="AT78" s="157"/>
      <c r="AU78" s="157"/>
      <c r="AV78" s="157"/>
      <c r="AW78" s="157"/>
      <c r="AX78" s="157"/>
    </row>
    <row r="79" spans="2:51" ht="15.75">
      <c r="B79" s="157"/>
      <c r="C79" s="1323" t="str">
        <f>"Cobertura "&amp;YEAR(CAPA!C14)</f>
        <v>Cobertura 2021</v>
      </c>
      <c r="D79" s="1324">
        <f>SUMPRODUCT(H76:H87,J76:J87)</f>
        <v>0</v>
      </c>
      <c r="E79" s="1324">
        <f>SUMPRODUCT(I76:I87,K76:K87)</f>
        <v>0</v>
      </c>
      <c r="F79" s="274"/>
      <c r="G79" s="275">
        <f t="shared" si="12"/>
        <v>44470</v>
      </c>
      <c r="H79" s="276">
        <f>SUMIFS($Q$18:$Q$60,$B$18:$B$60,$D$76,$D$18:$D$60,"Ponta")</f>
        <v>0</v>
      </c>
      <c r="I79" s="276">
        <f>SUMIFS($Q$18:$Q$60,$B$18:$B$60,$D$76,$D$18:$D$60,"Fora Ponta")</f>
        <v>0</v>
      </c>
      <c r="J79" s="276">
        <f t="shared" si="9"/>
        <v>0</v>
      </c>
      <c r="K79" s="276">
        <f t="shared" si="10"/>
        <v>0</v>
      </c>
      <c r="L79" s="276">
        <f>IF(MONTH(DataRevRea)=7,'Rede Básica + Ajuste'!J79,IF(G79&lt;$Q$69,(SUMIFS($E$18:$E$60,$B$18:$B$60,$D$76,$D$18:$D$60,"Ponta")),(SUMIFS($F$18:$F$60,$B$18:$B$60,$D$76,$D$18:$D$60,"Ponta"))))</f>
        <v>0</v>
      </c>
      <c r="M79" s="276">
        <f>IF(MONTH(DataRevRea)=7,'Rede Básica + Ajuste'!K79,IF(G79&lt;$Q$69,(SUMIFS($E$18:$E$60,$B$18:$B$60,$D$76,$D$18:$D$60,"Fora Ponta")),(SUMIFS($F$18:$F$60,$B$18:$B$60,$D$76,$D$18:$D$60,"Fora Ponta"))))</f>
        <v>0</v>
      </c>
      <c r="N79" s="283">
        <f t="shared" si="11"/>
        <v>0</v>
      </c>
      <c r="AF79" s="157"/>
      <c r="AG79" s="157"/>
      <c r="AH79" s="284"/>
      <c r="AI79" s="285"/>
      <c r="AJ79" s="284"/>
      <c r="AK79" s="157"/>
      <c r="AL79" s="157"/>
      <c r="AM79" s="157"/>
      <c r="AN79" s="157"/>
      <c r="AO79" s="157"/>
      <c r="AP79" s="157"/>
      <c r="AQ79" s="157"/>
      <c r="AR79" s="157"/>
      <c r="AS79" s="157"/>
      <c r="AT79" s="157"/>
      <c r="AU79" s="157"/>
      <c r="AV79" s="157"/>
      <c r="AW79" s="157"/>
      <c r="AX79" s="157"/>
    </row>
    <row r="80" spans="2:51" ht="15.75">
      <c r="B80" s="157"/>
      <c r="C80" s="1323" t="s">
        <v>1330</v>
      </c>
      <c r="D80" s="1324">
        <f>SUMPRODUCT(H76:H87,L76:L87)</f>
        <v>0</v>
      </c>
      <c r="E80" s="1324">
        <f>SUMPRODUCT(I76:I87,M76:M87)</f>
        <v>0</v>
      </c>
      <c r="F80" s="274"/>
      <c r="G80" s="275">
        <f t="shared" si="12"/>
        <v>44501</v>
      </c>
      <c r="H80" s="276">
        <f>SUMIFS($R$18:$R$60,$B$18:$B$60,$D$76,$D$18:$D$60,"Ponta")</f>
        <v>0</v>
      </c>
      <c r="I80" s="276">
        <f>SUMIFS($R$18:$R$60,$B$18:$B$60,$D$76,$D$18:$D$60,"Fora Ponta")</f>
        <v>0</v>
      </c>
      <c r="J80" s="276">
        <f t="shared" si="9"/>
        <v>0</v>
      </c>
      <c r="K80" s="276">
        <f t="shared" si="10"/>
        <v>0</v>
      </c>
      <c r="L80" s="276">
        <f>IF(MONTH(DataRevRea)=7,'Rede Básica + Ajuste'!J80,IF(G80&lt;$Q$69,(SUMIFS($E$18:$E$60,$B$18:$B$60,$D$76,$D$18:$D$60,"Ponta")),(SUMIFS($F$18:$F$60,$B$18:$B$60,$D$76,$D$18:$D$60,"Ponta"))))</f>
        <v>0</v>
      </c>
      <c r="M80" s="276">
        <f>IF(MONTH(DataRevRea)=7,'Rede Básica + Ajuste'!K80,IF(G80&lt;$Q$69,(SUMIFS($E$18:$E$60,$B$18:$B$60,$D$76,$D$18:$D$60,"Fora Ponta")),(SUMIFS($F$18:$F$60,$B$18:$B$60,$D$76,$D$18:$D$60,"Fora Ponta"))))</f>
        <v>0</v>
      </c>
      <c r="N80" s="283">
        <f t="shared" si="11"/>
        <v>0</v>
      </c>
      <c r="AF80" s="157"/>
      <c r="AG80" s="157"/>
      <c r="AH80" s="284"/>
      <c r="AI80" s="285"/>
      <c r="AJ80" s="284"/>
      <c r="AK80" s="157"/>
      <c r="AL80" s="157"/>
      <c r="AM80" s="157"/>
      <c r="AN80" s="157"/>
      <c r="AO80" s="157"/>
      <c r="AP80" s="157"/>
      <c r="AQ80" s="157"/>
      <c r="AR80" s="157"/>
      <c r="AS80" s="157"/>
      <c r="AT80" s="157"/>
      <c r="AU80" s="157"/>
      <c r="AV80" s="157"/>
      <c r="AW80" s="157"/>
      <c r="AX80" s="157"/>
    </row>
    <row r="81" spans="2:50" ht="15.75">
      <c r="B81" s="157"/>
      <c r="C81" s="274"/>
      <c r="D81" s="274"/>
      <c r="E81" s="274"/>
      <c r="F81" s="274"/>
      <c r="G81" s="275">
        <f t="shared" si="12"/>
        <v>44531</v>
      </c>
      <c r="H81" s="276">
        <f>SUMIFS($S$18:$S$60,$B$18:$B$60,$D$76,$D$18:$D$60,"Ponta")</f>
        <v>0</v>
      </c>
      <c r="I81" s="276">
        <f>SUMIFS($S$18:$S$60,$B$18:$B$60,$D$76,$D$18:$D$60,"Fora Ponta")</f>
        <v>0</v>
      </c>
      <c r="J81" s="276">
        <f t="shared" si="9"/>
        <v>0</v>
      </c>
      <c r="K81" s="276">
        <f t="shared" si="10"/>
        <v>0</v>
      </c>
      <c r="L81" s="276">
        <f>IF(MONTH(DataRevRea)=7,'Rede Básica + Ajuste'!J81,IF(G81&lt;$Q$69,(SUMIFS($E$18:$E$60,$B$18:$B$60,$D$76,$D$18:$D$60,"Ponta")),(SUMIFS($F$18:$F$60,$B$18:$B$60,$D$76,$D$18:$D$60,"Ponta"))))</f>
        <v>0</v>
      </c>
      <c r="M81" s="276">
        <f>IF(MONTH(DataRevRea)=7,'Rede Básica + Ajuste'!K81,IF(G81&lt;$Q$69,(SUMIFS($E$18:$E$60,$B$18:$B$60,$D$76,$D$18:$D$60,"Fora Ponta")),(SUMIFS($F$18:$F$60,$B$18:$B$60,$D$76,$D$18:$D$60,"Fora Ponta"))))</f>
        <v>0</v>
      </c>
      <c r="N81" s="283">
        <f t="shared" si="11"/>
        <v>0</v>
      </c>
      <c r="AF81" s="157"/>
      <c r="AG81" s="157"/>
      <c r="AH81" s="284"/>
      <c r="AI81" s="285"/>
      <c r="AJ81" s="284"/>
      <c r="AK81" s="157"/>
      <c r="AL81" s="157"/>
      <c r="AM81" s="157"/>
      <c r="AN81" s="157"/>
      <c r="AO81" s="157"/>
      <c r="AP81" s="157"/>
      <c r="AQ81" s="157"/>
      <c r="AR81" s="157"/>
      <c r="AS81" s="157"/>
      <c r="AT81" s="157"/>
      <c r="AU81" s="157"/>
      <c r="AV81" s="157"/>
      <c r="AW81" s="157"/>
      <c r="AX81" s="157"/>
    </row>
    <row r="82" spans="2:50" ht="15.75">
      <c r="B82" s="157"/>
      <c r="C82" s="286"/>
      <c r="D82" s="286"/>
      <c r="E82" s="286"/>
      <c r="F82" s="274"/>
      <c r="G82" s="275">
        <f t="shared" si="12"/>
        <v>44562</v>
      </c>
      <c r="H82" s="276">
        <f>SUMIFS($T$18:$T$60,$B$18:$B$60,$D$76,$D$18:$D$60,"Ponta")</f>
        <v>0</v>
      </c>
      <c r="I82" s="276">
        <f>SUMIFS($T$18:$T$60,$B$18:$B$60,$D$76,$D$18:$D$60,"Fora Ponta")</f>
        <v>0</v>
      </c>
      <c r="J82" s="276">
        <f t="shared" si="9"/>
        <v>0</v>
      </c>
      <c r="K82" s="276">
        <f t="shared" si="10"/>
        <v>0</v>
      </c>
      <c r="L82" s="276">
        <f>IF(MONTH(DataRevRea)=7,'Rede Básica + Ajuste'!J82,IF(G82&lt;$Q$69,(SUMIFS($E$18:$E$60,$B$18:$B$60,$D$76,$D$18:$D$60,"Ponta")),(SUMIFS($F$18:$F$60,$B$18:$B$60,$D$76,$D$18:$D$60,"Ponta"))))</f>
        <v>0</v>
      </c>
      <c r="M82" s="276">
        <f>IF(MONTH(DataRevRea)=7,'Rede Básica + Ajuste'!K82,IF(G82&lt;$Q$69,(SUMIFS($E$18:$E$60,$B$18:$B$60,$D$76,$D$18:$D$60,"Fora Ponta")),(SUMIFS($F$18:$F$60,$B$18:$B$60,$D$76,$D$18:$D$60,"Fora Ponta"))))</f>
        <v>0</v>
      </c>
      <c r="N82" s="283">
        <f t="shared" si="11"/>
        <v>0</v>
      </c>
      <c r="AF82" s="157"/>
      <c r="AG82" s="157"/>
      <c r="AH82" s="284"/>
      <c r="AI82" s="285"/>
      <c r="AJ82" s="284"/>
      <c r="AK82" s="157"/>
      <c r="AL82" s="157"/>
      <c r="AM82" s="157"/>
      <c r="AN82" s="157"/>
      <c r="AO82" s="157"/>
      <c r="AP82" s="157"/>
      <c r="AQ82" s="157"/>
      <c r="AR82" s="157"/>
      <c r="AS82" s="157"/>
      <c r="AT82" s="157"/>
      <c r="AU82" s="157"/>
      <c r="AV82" s="157"/>
      <c r="AW82" s="157"/>
      <c r="AX82" s="157"/>
    </row>
    <row r="83" spans="2:50" ht="15.75">
      <c r="B83" s="157"/>
      <c r="C83" s="278"/>
      <c r="D83" s="278"/>
      <c r="E83" s="287"/>
      <c r="F83" s="274"/>
      <c r="G83" s="275">
        <f t="shared" si="12"/>
        <v>44593</v>
      </c>
      <c r="H83" s="276">
        <f>SUMIFS($U$18:$U$60,$B$18:$B$60,$D$76,$D$18:$D$60,"Ponta")</f>
        <v>0</v>
      </c>
      <c r="I83" s="276">
        <f>SUMIFS($U$18:$U$60,$B$18:$B$60,$D$76,$D$18:$D$60,"Fora Ponta")</f>
        <v>0</v>
      </c>
      <c r="J83" s="276">
        <f t="shared" si="9"/>
        <v>0</v>
      </c>
      <c r="K83" s="276">
        <f t="shared" si="10"/>
        <v>0</v>
      </c>
      <c r="L83" s="276">
        <f>IF(MONTH(DataRevRea)=7,'Rede Básica + Ajuste'!J83,IF(G83&lt;$Q$69,(SUMIFS($E$18:$E$60,$B$18:$B$60,$D$76,$D$18:$D$60,"Ponta")),(SUMIFS($F$18:$F$60,$B$18:$B$60,$D$76,$D$18:$D$60,"Ponta"))))</f>
        <v>0</v>
      </c>
      <c r="M83" s="276">
        <f>IF(MONTH(DataRevRea)=7,'Rede Básica + Ajuste'!K83,IF(G83&lt;$Q$69,(SUMIFS($E$18:$E$60,$B$18:$B$60,$D$76,$D$18:$D$60,"Fora Ponta")),(SUMIFS($F$18:$F$60,$B$18:$B$60,$D$76,$D$18:$D$60,"Fora Ponta"))))</f>
        <v>0</v>
      </c>
      <c r="N83" s="283">
        <f t="shared" si="11"/>
        <v>0</v>
      </c>
      <c r="AF83" s="157"/>
      <c r="AG83" s="157"/>
      <c r="AH83" s="284"/>
      <c r="AI83" s="285"/>
      <c r="AJ83" s="284"/>
      <c r="AK83" s="157"/>
      <c r="AL83" s="157"/>
      <c r="AM83" s="157"/>
      <c r="AN83" s="157"/>
      <c r="AO83" s="157"/>
      <c r="AP83" s="157"/>
      <c r="AQ83" s="157"/>
      <c r="AR83" s="157"/>
      <c r="AS83" s="157"/>
      <c r="AT83" s="157"/>
      <c r="AU83" s="157"/>
      <c r="AV83" s="157"/>
      <c r="AW83" s="157"/>
      <c r="AX83" s="157"/>
    </row>
    <row r="84" spans="2:50" ht="15.75">
      <c r="B84" s="157"/>
      <c r="C84" s="288"/>
      <c r="D84" s="278"/>
      <c r="E84" s="287"/>
      <c r="F84" s="274"/>
      <c r="G84" s="275">
        <f t="shared" si="12"/>
        <v>44621</v>
      </c>
      <c r="H84" s="276">
        <f>SUMIFS($V$18:$V$60,$B$18:$B$60,$D$76,$D$18:$D$60,"Ponta")</f>
        <v>0</v>
      </c>
      <c r="I84" s="276">
        <f>SUMIFS($V$18:$V$60,$B$18:$B$60,$D$76,$D$18:$D$60,"Fora Ponta")</f>
        <v>0</v>
      </c>
      <c r="J84" s="276">
        <f t="shared" si="9"/>
        <v>0</v>
      </c>
      <c r="K84" s="276">
        <f t="shared" si="10"/>
        <v>0</v>
      </c>
      <c r="L84" s="276">
        <f>IF(MONTH(DataRevRea)=7,'Rede Básica + Ajuste'!J84,IF(G84&lt;$Q$69,(SUMIFS($E$18:$E$60,$B$18:$B$60,$D$76,$D$18:$D$60,"Ponta")),(SUMIFS($F$18:$F$60,$B$18:$B$60,$D$76,$D$18:$D$60,"Ponta"))))</f>
        <v>0</v>
      </c>
      <c r="M84" s="276">
        <f>IF(MONTH(DataRevRea)=7,'Rede Básica + Ajuste'!K84,IF(G84&lt;$Q$69,(SUMIFS($E$18:$E$60,$B$18:$B$60,$D$76,$D$18:$D$60,"Fora Ponta")),(SUMIFS($F$18:$F$60,$B$18:$B$60,$D$76,$D$18:$D$60,"Fora Ponta"))))</f>
        <v>0</v>
      </c>
      <c r="N84" s="283">
        <f t="shared" si="11"/>
        <v>0</v>
      </c>
      <c r="AF84" s="157"/>
      <c r="AG84" s="157"/>
      <c r="AH84" s="284"/>
      <c r="AI84" s="285"/>
      <c r="AJ84" s="284"/>
      <c r="AK84" s="157"/>
      <c r="AL84" s="157"/>
      <c r="AM84" s="157"/>
      <c r="AN84" s="157"/>
      <c r="AO84" s="157"/>
      <c r="AP84" s="157"/>
      <c r="AQ84" s="157"/>
      <c r="AR84" s="157"/>
      <c r="AS84" s="157"/>
      <c r="AT84" s="157"/>
      <c r="AU84" s="157"/>
      <c r="AV84" s="157"/>
      <c r="AW84" s="157"/>
      <c r="AX84" s="157"/>
    </row>
    <row r="85" spans="2:50" ht="15.75">
      <c r="B85" s="157"/>
      <c r="C85" s="274"/>
      <c r="D85" s="274"/>
      <c r="E85" s="274"/>
      <c r="F85" s="274"/>
      <c r="G85" s="275">
        <f t="shared" si="12"/>
        <v>44652</v>
      </c>
      <c r="H85" s="276">
        <f>SUMIFS($W$18:$W$60,$B$18:$B$60,$D$76,$D$18:$D$60,"Ponta")</f>
        <v>0</v>
      </c>
      <c r="I85" s="276">
        <f>SUMIFS($W$18:$W$60,$B$18:$B$60,$D$76,$D$18:$D$60,"Fora Ponta")</f>
        <v>0</v>
      </c>
      <c r="J85" s="276">
        <f t="shared" si="9"/>
        <v>0</v>
      </c>
      <c r="K85" s="276">
        <f t="shared" si="10"/>
        <v>0</v>
      </c>
      <c r="L85" s="276">
        <f>IF(MONTH(DataRevRea)=7,'Rede Básica + Ajuste'!J85,IF(G85&lt;$Q$69,(SUMIFS($E$18:$E$60,$B$18:$B$60,$D$76,$D$18:$D$60,"Ponta")),(SUMIFS($F$18:$F$60,$B$18:$B$60,$D$76,$D$18:$D$60,"Ponta"))))</f>
        <v>0</v>
      </c>
      <c r="M85" s="276">
        <f>IF(MONTH(DataRevRea)=7,'Rede Básica + Ajuste'!K85,IF(G85&lt;$Q$69,(SUMIFS($E$18:$E$60,$B$18:$B$60,$D$76,$D$18:$D$60,"Fora Ponta")),(SUMIFS($F$18:$F$60,$B$18:$B$60,$D$76,$D$18:$D$60,"Fora Ponta"))))</f>
        <v>0</v>
      </c>
      <c r="N85" s="283">
        <f t="shared" si="11"/>
        <v>0</v>
      </c>
      <c r="AF85" s="157"/>
      <c r="AG85" s="157"/>
      <c r="AH85" s="284"/>
      <c r="AI85" s="285"/>
      <c r="AJ85" s="284"/>
      <c r="AK85" s="157"/>
      <c r="AL85" s="157"/>
      <c r="AM85" s="157"/>
      <c r="AN85" s="157"/>
      <c r="AO85" s="157"/>
      <c r="AP85" s="157"/>
      <c r="AQ85" s="157"/>
      <c r="AR85" s="157"/>
      <c r="AS85" s="157"/>
      <c r="AT85" s="157"/>
      <c r="AU85" s="157"/>
      <c r="AV85" s="157"/>
      <c r="AW85" s="157"/>
      <c r="AX85" s="157"/>
    </row>
    <row r="86" spans="2:50" ht="15.75">
      <c r="B86" s="157"/>
      <c r="C86" s="280"/>
      <c r="D86" s="280"/>
      <c r="E86" s="280"/>
      <c r="F86" s="274"/>
      <c r="G86" s="275">
        <f t="shared" si="12"/>
        <v>44682</v>
      </c>
      <c r="H86" s="276">
        <f>SUMIFS($X$18:$X$60,$B$18:$B$60,$D$76,$D$18:$D$60,"Ponta")</f>
        <v>0</v>
      </c>
      <c r="I86" s="276">
        <f>SUMIFS($X$18:$X$60,$B$18:$B$60,$D$76,$D$18:$D$60,"Fora Ponta")</f>
        <v>0</v>
      </c>
      <c r="J86" s="276">
        <f t="shared" si="9"/>
        <v>0</v>
      </c>
      <c r="K86" s="276">
        <f t="shared" si="10"/>
        <v>0</v>
      </c>
      <c r="L86" s="276">
        <f>IF(MONTH(DataRevRea)=7,'Rede Básica + Ajuste'!J86,IF(G86&lt;$Q$69,(SUMIFS($E$18:$E$60,$B$18:$B$60,$D$76,$D$18:$D$60,"Ponta")),(SUMIFS($F$18:$F$60,$B$18:$B$60,$D$76,$D$18:$D$60,"Ponta"))))</f>
        <v>0</v>
      </c>
      <c r="M86" s="276">
        <f>IF(MONTH(DataRevRea)=7,'Rede Básica + Ajuste'!K86,IF(G86&lt;$Q$69,(SUMIFS($E$18:$E$60,$B$18:$B$60,$D$76,$D$18:$D$60,"Fora Ponta")),(SUMIFS($F$18:$F$60,$B$18:$B$60,$D$76,$D$18:$D$60,"Fora Ponta"))))</f>
        <v>0</v>
      </c>
      <c r="N86" s="283">
        <f t="shared" si="11"/>
        <v>0</v>
      </c>
      <c r="AF86" s="157"/>
      <c r="AG86" s="157"/>
      <c r="AH86" s="284"/>
      <c r="AI86" s="285"/>
      <c r="AJ86" s="284"/>
      <c r="AK86" s="157"/>
      <c r="AL86" s="157"/>
      <c r="AM86" s="157"/>
      <c r="AN86" s="157"/>
      <c r="AO86" s="157"/>
      <c r="AP86" s="157"/>
      <c r="AQ86" s="157"/>
      <c r="AR86" s="157"/>
      <c r="AS86" s="157"/>
      <c r="AT86" s="157"/>
      <c r="AU86" s="157"/>
      <c r="AV86" s="157"/>
      <c r="AW86" s="157"/>
      <c r="AX86" s="157"/>
    </row>
    <row r="87" spans="2:50" ht="15.75">
      <c r="B87" s="157"/>
      <c r="C87" s="278"/>
      <c r="D87" s="279"/>
      <c r="E87" s="278"/>
      <c r="F87" s="274"/>
      <c r="G87" s="1650">
        <f t="shared" si="12"/>
        <v>44713</v>
      </c>
      <c r="H87" s="1651">
        <f>SUMIFS($Y$18:$Y$60,$B$18:$B$60,$D$76,$D$18:$D$60,"Ponta")</f>
        <v>0</v>
      </c>
      <c r="I87" s="1651">
        <f>SUMIFS($Y$18:$Y$60,$B$18:$B$60,$D$76,$D$18:$D$60,"Fora Ponta")</f>
        <v>0</v>
      </c>
      <c r="J87" s="1651">
        <f t="shared" si="9"/>
        <v>0</v>
      </c>
      <c r="K87" s="1651">
        <f t="shared" si="10"/>
        <v>0</v>
      </c>
      <c r="L87" s="1651">
        <f>IF(MONTH(DataRevRea)=7,'Rede Básica + Ajuste'!J87,IF(G87&lt;$Q$69,(SUMIFS($E$18:$E$60,$B$18:$B$60,$D$76,$D$18:$D$60,"Ponta")),(SUMIFS($F$18:$F$60,$B$18:$B$60,$D$76,$D$18:$D$60,"Ponta"))))</f>
        <v>0</v>
      </c>
      <c r="M87" s="1651">
        <f>IF(MONTH(DataRevRea)=7,'Rede Básica + Ajuste'!K87,IF(G87&lt;$Q$69,(SUMIFS($E$18:$E$60,$B$18:$B$60,$D$76,$D$18:$D$60,"Fora Ponta")),(SUMIFS($F$18:$F$60,$B$18:$B$60,$D$76,$D$18:$D$60,"Fora Ponta"))))</f>
        <v>0</v>
      </c>
      <c r="N87" s="1652">
        <f t="shared" si="11"/>
        <v>0</v>
      </c>
      <c r="AF87" s="157"/>
      <c r="AG87" s="157"/>
      <c r="AH87" s="284"/>
      <c r="AI87" s="285"/>
      <c r="AJ87" s="284"/>
      <c r="AK87" s="157"/>
      <c r="AL87" s="157"/>
      <c r="AM87" s="157"/>
      <c r="AN87" s="157"/>
      <c r="AO87" s="157"/>
      <c r="AP87" s="157"/>
      <c r="AQ87" s="157"/>
      <c r="AR87" s="157"/>
      <c r="AS87" s="157"/>
      <c r="AT87" s="157"/>
      <c r="AU87" s="157"/>
      <c r="AV87" s="157"/>
      <c r="AW87" s="157"/>
      <c r="AX87" s="157"/>
    </row>
    <row r="88" spans="2:50">
      <c r="G88" s="150"/>
      <c r="AF88" s="157"/>
      <c r="AG88" s="157"/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  <c r="AT88" s="157"/>
      <c r="AU88" s="157"/>
      <c r="AV88" s="157"/>
      <c r="AW88" s="157"/>
      <c r="AX88" s="157"/>
    </row>
    <row r="89" spans="2:50" ht="15.75">
      <c r="C89" s="274"/>
      <c r="D89" s="274"/>
      <c r="E89" s="274"/>
      <c r="F89" s="274"/>
      <c r="G89" s="274"/>
      <c r="H89" s="274"/>
      <c r="I89" s="274"/>
      <c r="J89" s="1798" t="s">
        <v>1320</v>
      </c>
      <c r="K89" s="1799"/>
      <c r="L89" s="1797" t="s">
        <v>1321</v>
      </c>
      <c r="M89" s="1797"/>
      <c r="N89" s="282"/>
    </row>
    <row r="90" spans="2:50" ht="15.75">
      <c r="C90" s="1800" t="s">
        <v>1331</v>
      </c>
      <c r="D90" s="1801"/>
      <c r="F90" s="274"/>
      <c r="G90" s="1315" t="s">
        <v>774</v>
      </c>
      <c r="H90" s="1316" t="s">
        <v>1322</v>
      </c>
      <c r="I90" s="1316" t="s">
        <v>1323</v>
      </c>
      <c r="J90" s="1649" t="s">
        <v>1324</v>
      </c>
      <c r="K90" s="1649" t="s">
        <v>1325</v>
      </c>
      <c r="L90" s="1649" t="s">
        <v>1324</v>
      </c>
      <c r="M90" s="1649" t="s">
        <v>1325</v>
      </c>
      <c r="N90" s="281" t="s">
        <v>1326</v>
      </c>
    </row>
    <row r="91" spans="2:50" ht="15.75">
      <c r="C91" s="1312" t="s">
        <v>1327</v>
      </c>
      <c r="D91" s="1317">
        <f>IF(D18="Ponta",B18,0)</f>
        <v>0</v>
      </c>
      <c r="E91" s="18"/>
      <c r="F91" s="274"/>
      <c r="G91" s="1318">
        <f>G76</f>
        <v>44378</v>
      </c>
      <c r="H91" s="276">
        <f>H76</f>
        <v>0</v>
      </c>
      <c r="I91" s="276">
        <f>I76</f>
        <v>0</v>
      </c>
      <c r="J91" s="276">
        <f>SUMIFS($G$18:$G$60,$B$18:$B$60,$D$76,$D$18:$D$60,"Ponta")</f>
        <v>0</v>
      </c>
      <c r="K91" s="276">
        <f>SUMIFS($G$18:$G$60,$B$18:$B$60,$D$76,$D$18:$D$60,"Fora Ponta")</f>
        <v>0</v>
      </c>
      <c r="L91" s="1319">
        <f>IF(MONTH(DataRevRea)=7,'Rede Básica + Ajuste'!J91,IF(G91&lt;$Q$69,(SUMIFS($G$18:$G$60,$B$18:$B$60,$D$91,$D$18:$D$60,"Ponta")),(SUMIFS($H$18:$H$60,$B$18:$B$60,$D$91,$D$18:$D$60,"Ponta"))))</f>
        <v>0</v>
      </c>
      <c r="M91" s="1319">
        <f>IF(MONTH(DataRevRea)=7,'Rede Básica + Ajuste'!K91,IF(G91&lt;$Q$69,(SUMIFS($G$18:$G$60,$B$18:$B$60,$D$91,$D$18:$D$60,"Fora Ponta")),(SUMIFS($H$18:$H$60,$B$18:$B$60,$D$91,$D$18:$D$60,"Fora Ponta"))))</f>
        <v>0</v>
      </c>
      <c r="N91" s="1320">
        <f>+(H91*(L91-J91))+(I91*(M91-K91))</f>
        <v>0</v>
      </c>
    </row>
    <row r="92" spans="2:50" ht="15.75">
      <c r="C92" s="274"/>
      <c r="D92" s="274"/>
      <c r="E92" s="274"/>
      <c r="F92" s="274"/>
      <c r="G92" s="275">
        <f t="shared" ref="G92:I102" si="13">G77</f>
        <v>44409</v>
      </c>
      <c r="H92" s="276">
        <f t="shared" si="13"/>
        <v>0</v>
      </c>
      <c r="I92" s="276">
        <f t="shared" si="13"/>
        <v>0</v>
      </c>
      <c r="J92" s="276">
        <f t="shared" ref="J92:J102" si="14">SUMIFS($G$18:$G$60,$B$18:$B$60,$D$76,$D$18:$D$60,"Ponta")</f>
        <v>0</v>
      </c>
      <c r="K92" s="276">
        <f t="shared" ref="K92:K102" si="15">SUMIFS($G$18:$G$60,$B$18:$B$60,$D$76,$D$18:$D$60,"Fora Ponta")</f>
        <v>0</v>
      </c>
      <c r="L92" s="276">
        <f>IF(MONTH(DataRevRea)=7,'Rede Básica + Ajuste'!J92,IF(G92&lt;$Q$69,(SUMIFS($G$18:$G$60,$B$18:$B$60,$D$91,$D$18:$D$60,"Ponta")),(SUMIFS($H$18:$H$60,$B$18:$B$60,$D$91,$D$18:$D$60,"Ponta"))))</f>
        <v>0</v>
      </c>
      <c r="M92" s="276">
        <f>IF(MONTH(DataRevRea)=7,'Rede Básica + Ajuste'!K92,IF(G92&lt;$Q$69,(SUMIFS($G$18:$G$60,$B$18:$B$60,$D$91,$D$18:$D$60,"Fora Ponta")),(SUMIFS($H$18:$H$60,$B$18:$B$60,$D$91,$D$18:$D$60,"Fora Ponta"))))</f>
        <v>0</v>
      </c>
      <c r="N92" s="283">
        <f t="shared" ref="N92:N102" si="16">+(H92*(L92-J92))+(I92*(M92-K92))</f>
        <v>0</v>
      </c>
    </row>
    <row r="93" spans="2:50" ht="15.75">
      <c r="C93" s="277"/>
      <c r="D93" s="1321" t="s">
        <v>1328</v>
      </c>
      <c r="E93" s="1322" t="s">
        <v>1329</v>
      </c>
      <c r="F93" s="274"/>
      <c r="G93" s="275">
        <f t="shared" si="13"/>
        <v>44440</v>
      </c>
      <c r="H93" s="276">
        <f t="shared" si="13"/>
        <v>0</v>
      </c>
      <c r="I93" s="276">
        <f t="shared" si="13"/>
        <v>0</v>
      </c>
      <c r="J93" s="276">
        <f t="shared" si="14"/>
        <v>0</v>
      </c>
      <c r="K93" s="276">
        <f t="shared" si="15"/>
        <v>0</v>
      </c>
      <c r="L93" s="276">
        <f>IF(MONTH(DataRevRea)=7,'Rede Básica + Ajuste'!J93,IF(G93&lt;$Q$69,(SUMIFS($G$18:$G$60,$B$18:$B$60,$D$91,$D$18:$D$60,"Ponta")),(SUMIFS($H$18:$H$60,$B$18:$B$60,$D$91,$D$18:$D$60,"Ponta"))))</f>
        <v>0</v>
      </c>
      <c r="M93" s="276">
        <f>IF(MONTH(DataRevRea)=7,'Rede Básica + Ajuste'!K93,IF(G93&lt;$Q$69,(SUMIFS($G$18:$G$60,$B$18:$B$60,$D$91,$D$18:$D$60,"Fora Ponta")),(SUMIFS($H$18:$H$60,$B$18:$B$60,$D$91,$D$18:$D$60,"Fora Ponta"))))</f>
        <v>0</v>
      </c>
      <c r="N93" s="283">
        <f t="shared" si="16"/>
        <v>0</v>
      </c>
    </row>
    <row r="94" spans="2:50" ht="15.75">
      <c r="C94" s="1323" t="str">
        <f>C79</f>
        <v>Cobertura 2021</v>
      </c>
      <c r="D94" s="1324">
        <f>SUMPRODUCT(H91:H102,J91:J102)</f>
        <v>0</v>
      </c>
      <c r="E94" s="1324">
        <f>SUMPRODUCT(I91:I102,K91:K102)</f>
        <v>0</v>
      </c>
      <c r="F94" s="274"/>
      <c r="G94" s="275">
        <f t="shared" si="13"/>
        <v>44470</v>
      </c>
      <c r="H94" s="276">
        <f t="shared" si="13"/>
        <v>0</v>
      </c>
      <c r="I94" s="276">
        <f t="shared" si="13"/>
        <v>0</v>
      </c>
      <c r="J94" s="276">
        <f t="shared" si="14"/>
        <v>0</v>
      </c>
      <c r="K94" s="276">
        <f t="shared" si="15"/>
        <v>0</v>
      </c>
      <c r="L94" s="276">
        <f>IF(MONTH(DataRevRea)=7,'Rede Básica + Ajuste'!J94,IF(G94&lt;$Q$69,(SUMIFS($G$18:$G$60,$B$18:$B$60,$D$91,$D$18:$D$60,"Ponta")),(SUMIFS($H$18:$H$60,$B$18:$B$60,$D$91,$D$18:$D$60,"Ponta"))))</f>
        <v>0</v>
      </c>
      <c r="M94" s="276">
        <f>IF(MONTH(DataRevRea)=7,'Rede Básica + Ajuste'!K94,IF(G94&lt;$Q$69,(SUMIFS($G$18:$G$60,$B$18:$B$60,$D$91,$D$18:$D$60,"Fora Ponta")),(SUMIFS($H$18:$H$60,$B$18:$B$60,$D$91,$D$18:$D$60,"Fora Ponta"))))</f>
        <v>0</v>
      </c>
      <c r="N94" s="283">
        <f t="shared" si="16"/>
        <v>0</v>
      </c>
    </row>
    <row r="95" spans="2:50" ht="15.75">
      <c r="C95" s="1323" t="s">
        <v>1330</v>
      </c>
      <c r="D95" s="1324">
        <f>SUMPRODUCT(H91:H102,L91:L102)</f>
        <v>0</v>
      </c>
      <c r="E95" s="1324">
        <f>SUMPRODUCT(I91:I102,M91:M102)</f>
        <v>0</v>
      </c>
      <c r="F95" s="274"/>
      <c r="G95" s="275">
        <f t="shared" si="13"/>
        <v>44501</v>
      </c>
      <c r="H95" s="276">
        <f t="shared" si="13"/>
        <v>0</v>
      </c>
      <c r="I95" s="276">
        <f t="shared" si="13"/>
        <v>0</v>
      </c>
      <c r="J95" s="276">
        <f t="shared" si="14"/>
        <v>0</v>
      </c>
      <c r="K95" s="276">
        <f t="shared" si="15"/>
        <v>0</v>
      </c>
      <c r="L95" s="276">
        <f>IF(MONTH(DataRevRea)=7,'Rede Básica + Ajuste'!J95,IF(G95&lt;$Q$69,(SUMIFS($G$18:$G$60,$B$18:$B$60,$D$91,$D$18:$D$60,"Ponta")),(SUMIFS($H$18:$H$60,$B$18:$B$60,$D$91,$D$18:$D$60,"Ponta"))))</f>
        <v>0</v>
      </c>
      <c r="M95" s="276">
        <f>IF(MONTH(DataRevRea)=7,'Rede Básica + Ajuste'!K95,IF(G95&lt;$Q$69,(SUMIFS($G$18:$G$60,$B$18:$B$60,$D$91,$D$18:$D$60,"Fora Ponta")),(SUMIFS($H$18:$H$60,$B$18:$B$60,$D$91,$D$18:$D$60,"Fora Ponta"))))</f>
        <v>0</v>
      </c>
      <c r="N95" s="283">
        <f t="shared" si="16"/>
        <v>0</v>
      </c>
    </row>
    <row r="96" spans="2:50" ht="15.75">
      <c r="C96" s="274"/>
      <c r="D96" s="274"/>
      <c r="E96" s="274"/>
      <c r="F96" s="274"/>
      <c r="G96" s="275">
        <f t="shared" si="13"/>
        <v>44531</v>
      </c>
      <c r="H96" s="276">
        <f t="shared" si="13"/>
        <v>0</v>
      </c>
      <c r="I96" s="276">
        <f t="shared" si="13"/>
        <v>0</v>
      </c>
      <c r="J96" s="276">
        <f t="shared" si="14"/>
        <v>0</v>
      </c>
      <c r="K96" s="276">
        <f t="shared" si="15"/>
        <v>0</v>
      </c>
      <c r="L96" s="276">
        <f>IF(MONTH(DataRevRea)=7,'Rede Básica + Ajuste'!J96,IF(G96&lt;$Q$69,(SUMIFS($G$18:$G$60,$B$18:$B$60,$D$91,$D$18:$D$60,"Ponta")),(SUMIFS($H$18:$H$60,$B$18:$B$60,$D$91,$D$18:$D$60,"Ponta"))))</f>
        <v>0</v>
      </c>
      <c r="M96" s="276">
        <f>IF(MONTH(DataRevRea)=7,'Rede Básica + Ajuste'!K96,IF(G96&lt;$Q$69,(SUMIFS($G$18:$G$60,$B$18:$B$60,$D$91,$D$18:$D$60,"Fora Ponta")),(SUMIFS($H$18:$H$60,$B$18:$B$60,$D$91,$D$18:$D$60,"Fora Ponta"))))</f>
        <v>0</v>
      </c>
      <c r="N96" s="283">
        <f t="shared" si="16"/>
        <v>0</v>
      </c>
    </row>
    <row r="97" spans="3:14" ht="15.75">
      <c r="C97" s="286"/>
      <c r="D97" s="286"/>
      <c r="E97" s="286"/>
      <c r="F97" s="274"/>
      <c r="G97" s="275">
        <f t="shared" si="13"/>
        <v>44562</v>
      </c>
      <c r="H97" s="276">
        <f t="shared" si="13"/>
        <v>0</v>
      </c>
      <c r="I97" s="276">
        <f t="shared" si="13"/>
        <v>0</v>
      </c>
      <c r="J97" s="276">
        <f t="shared" si="14"/>
        <v>0</v>
      </c>
      <c r="K97" s="276">
        <f t="shared" si="15"/>
        <v>0</v>
      </c>
      <c r="L97" s="276">
        <f>IF(MONTH(DataRevRea)=7,'Rede Básica + Ajuste'!J97,IF(G97&lt;$Q$69,(SUMIFS($G$18:$G$60,$B$18:$B$60,$D$91,$D$18:$D$60,"Ponta")),(SUMIFS($H$18:$H$60,$B$18:$B$60,$D$91,$D$18:$D$60,"Ponta"))))</f>
        <v>0</v>
      </c>
      <c r="M97" s="276">
        <f>IF(MONTH(DataRevRea)=7,'Rede Básica + Ajuste'!K97,IF(G97&lt;$Q$69,(SUMIFS($G$18:$G$60,$B$18:$B$60,$D$91,$D$18:$D$60,"Fora Ponta")),(SUMIFS($H$18:$H$60,$B$18:$B$60,$D$91,$D$18:$D$60,"Fora Ponta"))))</f>
        <v>0</v>
      </c>
      <c r="N97" s="283">
        <f t="shared" si="16"/>
        <v>0</v>
      </c>
    </row>
    <row r="98" spans="3:14" ht="15.75">
      <c r="C98" s="278"/>
      <c r="D98" s="278"/>
      <c r="E98" s="287"/>
      <c r="F98" s="274"/>
      <c r="G98" s="275">
        <f t="shared" si="13"/>
        <v>44593</v>
      </c>
      <c r="H98" s="276">
        <f t="shared" si="13"/>
        <v>0</v>
      </c>
      <c r="I98" s="276">
        <f t="shared" si="13"/>
        <v>0</v>
      </c>
      <c r="J98" s="276">
        <f t="shared" si="14"/>
        <v>0</v>
      </c>
      <c r="K98" s="276">
        <f t="shared" si="15"/>
        <v>0</v>
      </c>
      <c r="L98" s="276">
        <f>IF(MONTH(DataRevRea)=7,'Rede Básica + Ajuste'!J98,IF(G98&lt;$Q$69,(SUMIFS($G$18:$G$60,$B$18:$B$60,$D$91,$D$18:$D$60,"Ponta")),(SUMIFS($H$18:$H$60,$B$18:$B$60,$D$91,$D$18:$D$60,"Ponta"))))</f>
        <v>0</v>
      </c>
      <c r="M98" s="276">
        <f>IF(MONTH(DataRevRea)=7,'Rede Básica + Ajuste'!K98,IF(G98&lt;$Q$69,(SUMIFS($G$18:$G$60,$B$18:$B$60,$D$91,$D$18:$D$60,"Fora Ponta")),(SUMIFS($H$18:$H$60,$B$18:$B$60,$D$91,$D$18:$D$60,"Fora Ponta"))))</f>
        <v>0</v>
      </c>
      <c r="N98" s="283">
        <f t="shared" si="16"/>
        <v>0</v>
      </c>
    </row>
    <row r="99" spans="3:14" ht="15.75">
      <c r="C99" s="288"/>
      <c r="D99" s="278"/>
      <c r="E99" s="287"/>
      <c r="F99" s="274"/>
      <c r="G99" s="275">
        <f t="shared" si="13"/>
        <v>44621</v>
      </c>
      <c r="H99" s="276">
        <f t="shared" si="13"/>
        <v>0</v>
      </c>
      <c r="I99" s="276">
        <f t="shared" si="13"/>
        <v>0</v>
      </c>
      <c r="J99" s="276">
        <f t="shared" si="14"/>
        <v>0</v>
      </c>
      <c r="K99" s="276">
        <f t="shared" si="15"/>
        <v>0</v>
      </c>
      <c r="L99" s="276">
        <f>IF(MONTH(DataRevRea)=7,'Rede Básica + Ajuste'!J99,IF(G99&lt;$Q$69,(SUMIFS($G$18:$G$60,$B$18:$B$60,$D$91,$D$18:$D$60,"Ponta")),(SUMIFS($H$18:$H$60,$B$18:$B$60,$D$91,$D$18:$D$60,"Ponta"))))</f>
        <v>0</v>
      </c>
      <c r="M99" s="276">
        <f>IF(MONTH(DataRevRea)=7,'Rede Básica + Ajuste'!K99,IF(G99&lt;$Q$69,(SUMIFS($G$18:$G$60,$B$18:$B$60,$D$91,$D$18:$D$60,"Fora Ponta")),(SUMIFS($H$18:$H$60,$B$18:$B$60,$D$91,$D$18:$D$60,"Fora Ponta"))))</f>
        <v>0</v>
      </c>
      <c r="N99" s="283">
        <f t="shared" si="16"/>
        <v>0</v>
      </c>
    </row>
    <row r="100" spans="3:14" ht="15.75">
      <c r="C100" s="274"/>
      <c r="D100" s="274"/>
      <c r="E100" s="274"/>
      <c r="F100" s="274"/>
      <c r="G100" s="275">
        <f t="shared" si="13"/>
        <v>44652</v>
      </c>
      <c r="H100" s="276">
        <f t="shared" si="13"/>
        <v>0</v>
      </c>
      <c r="I100" s="276">
        <f t="shared" si="13"/>
        <v>0</v>
      </c>
      <c r="J100" s="276">
        <f t="shared" si="14"/>
        <v>0</v>
      </c>
      <c r="K100" s="276">
        <f t="shared" si="15"/>
        <v>0</v>
      </c>
      <c r="L100" s="276">
        <f>IF(MONTH(DataRevRea)=7,'Rede Básica + Ajuste'!J100,IF(G100&lt;$Q$69,(SUMIFS($G$18:$G$60,$B$18:$B$60,$D$91,$D$18:$D$60,"Ponta")),(SUMIFS($H$18:$H$60,$B$18:$B$60,$D$91,$D$18:$D$60,"Ponta"))))</f>
        <v>0</v>
      </c>
      <c r="M100" s="276">
        <f>IF(MONTH(DataRevRea)=7,'Rede Básica + Ajuste'!K100,IF(G100&lt;$Q$69,(SUMIFS($G$18:$G$60,$B$18:$B$60,$D$91,$D$18:$D$60,"Fora Ponta")),(SUMIFS($H$18:$H$60,$B$18:$B$60,$D$91,$D$18:$D$60,"Fora Ponta"))))</f>
        <v>0</v>
      </c>
      <c r="N100" s="283">
        <f t="shared" si="16"/>
        <v>0</v>
      </c>
    </row>
    <row r="101" spans="3:14" ht="15.75">
      <c r="C101" s="280"/>
      <c r="D101" s="280"/>
      <c r="E101" s="280"/>
      <c r="F101" s="274"/>
      <c r="G101" s="275">
        <f t="shared" si="13"/>
        <v>44682</v>
      </c>
      <c r="H101" s="276">
        <f t="shared" si="13"/>
        <v>0</v>
      </c>
      <c r="I101" s="276">
        <f t="shared" si="13"/>
        <v>0</v>
      </c>
      <c r="J101" s="276">
        <f t="shared" si="14"/>
        <v>0</v>
      </c>
      <c r="K101" s="276">
        <f t="shared" si="15"/>
        <v>0</v>
      </c>
      <c r="L101" s="276">
        <f>IF(MONTH(DataRevRea)=7,'Rede Básica + Ajuste'!J101,IF(G101&lt;$Q$69,(SUMIFS($G$18:$G$60,$B$18:$B$60,$D$91,$D$18:$D$60,"Ponta")),(SUMIFS($H$18:$H$60,$B$18:$B$60,$D$91,$D$18:$D$60,"Ponta"))))</f>
        <v>0</v>
      </c>
      <c r="M101" s="276">
        <f>IF(MONTH(DataRevRea)=7,'Rede Básica + Ajuste'!K101,IF(G101&lt;$Q$69,(SUMIFS($G$18:$G$60,$B$18:$B$60,$D$91,$D$18:$D$60,"Fora Ponta")),(SUMIFS($H$18:$H$60,$B$18:$B$60,$D$91,$D$18:$D$60,"Fora Ponta"))))</f>
        <v>0</v>
      </c>
      <c r="N101" s="283">
        <f t="shared" si="16"/>
        <v>0</v>
      </c>
    </row>
    <row r="102" spans="3:14" ht="15.75">
      <c r="C102" s="278"/>
      <c r="D102" s="279"/>
      <c r="E102" s="278"/>
      <c r="F102" s="274"/>
      <c r="G102" s="1650">
        <f t="shared" si="13"/>
        <v>44713</v>
      </c>
      <c r="H102" s="1651">
        <f t="shared" si="13"/>
        <v>0</v>
      </c>
      <c r="I102" s="1651">
        <f t="shared" si="13"/>
        <v>0</v>
      </c>
      <c r="J102" s="1651">
        <f t="shared" si="14"/>
        <v>0</v>
      </c>
      <c r="K102" s="1651">
        <f t="shared" si="15"/>
        <v>0</v>
      </c>
      <c r="L102" s="1651">
        <f>IF(MONTH(DataRevRea)=7,'Rede Básica + Ajuste'!J102,IF(G102&lt;$Q$69,(SUMIFS($G$18:$G$60,$B$18:$B$60,$D$91,$D$18:$D$60,"Ponta")),(SUMIFS($H$18:$H$60,$B$18:$B$60,$D$91,$D$18:$D$60,"Ponta"))))</f>
        <v>0</v>
      </c>
      <c r="M102" s="1651">
        <f>IF(MONTH(DataRevRea)=7,'Rede Básica + Ajuste'!K102,IF(G102&lt;$Q$69,(SUMIFS($G$18:$G$60,$B$18:$B$60,$D$91,$D$18:$D$60,"Fora Ponta")),(SUMIFS($H$18:$H$60,$B$18:$B$60,$D$91,$D$18:$D$60,"Fora Ponta"))))</f>
        <v>0</v>
      </c>
      <c r="N102" s="1652">
        <f t="shared" si="16"/>
        <v>0</v>
      </c>
    </row>
    <row r="103" spans="3:14">
      <c r="G103" s="150"/>
    </row>
    <row r="104" spans="3:14" ht="15.75">
      <c r="C104" s="274"/>
      <c r="D104" s="274"/>
      <c r="E104" s="274"/>
      <c r="F104" s="274"/>
      <c r="G104" s="274"/>
      <c r="H104" s="274"/>
      <c r="I104" s="274"/>
      <c r="J104" s="1798" t="s">
        <v>1320</v>
      </c>
      <c r="K104" s="1799"/>
      <c r="L104" s="1797" t="s">
        <v>1321</v>
      </c>
      <c r="M104" s="1797"/>
      <c r="N104" s="282"/>
    </row>
    <row r="105" spans="3:14" ht="15.75">
      <c r="C105" s="1800" t="s">
        <v>1303</v>
      </c>
      <c r="D105" s="1801"/>
      <c r="F105" s="274"/>
      <c r="G105" s="1315" t="s">
        <v>774</v>
      </c>
      <c r="H105" s="1316" t="s">
        <v>1322</v>
      </c>
      <c r="I105" s="1316" t="s">
        <v>1323</v>
      </c>
      <c r="J105" s="1649" t="s">
        <v>1324</v>
      </c>
      <c r="K105" s="1649" t="s">
        <v>1325</v>
      </c>
      <c r="L105" s="1649" t="s">
        <v>1324</v>
      </c>
      <c r="M105" s="1649" t="s">
        <v>1325</v>
      </c>
      <c r="N105" s="281" t="s">
        <v>1326</v>
      </c>
    </row>
    <row r="106" spans="3:14" ht="15.75">
      <c r="C106" s="1312" t="s">
        <v>1327</v>
      </c>
      <c r="D106" s="1325">
        <f>IF(D19="Ponta",B19,0)</f>
        <v>0</v>
      </c>
      <c r="E106" s="18"/>
      <c r="F106" s="274"/>
      <c r="G106" s="1318">
        <f>G91</f>
        <v>44378</v>
      </c>
      <c r="H106" s="276">
        <f>SUMIFS($N$18:$N$60,$B$18:$B$60,$D$106,$D$18:$D$60,"Ponta")</f>
        <v>0</v>
      </c>
      <c r="I106" s="276">
        <f>SUMIFS($N$18:$N$60,$B$18:$B$60,$D$106,$D$18:$D$60,"Fora Ponta")</f>
        <v>0</v>
      </c>
      <c r="J106" s="276">
        <f>SUMIFS($E$18:$E$60,$B$18:$B$60,$D$106,$D$18:$D$60,"Ponta")</f>
        <v>0</v>
      </c>
      <c r="K106" s="276">
        <f>SUMIFS($E$18:$E$60,$B$18:$B$60,$D$106,$D$18:$D$60,"Fora Ponta")</f>
        <v>0</v>
      </c>
      <c r="L106" s="1319">
        <f>IF(MONTH(DataRevRea)=7,'Rede Básica + Ajuste'!J106,IF(G106&lt;$Q$69,(SUMIFS($E$18:$E$60,$B$18:$B$60,$D$106,$D$18:$D$60,"Ponta")),(SUMIFS($F$18:$F$60,$B$18:$B$60,$D$106,$D$18:$D$60,"Ponta"))))</f>
        <v>0</v>
      </c>
      <c r="M106" s="1319">
        <f>IF(MONTH(DataRevRea)=7,'Rede Básica + Ajuste'!K106,IF(G106&lt;$Q$69,(SUMIFS($E$18:$E$60,$B$18:$B$60,$D$106,$D$18:$D$60,"Fora Ponta")),(SUMIFS($F$18:$F$60,$B$18:$B$60,$D$106,$D$18:$D$60,"Fora Ponta"))))</f>
        <v>0</v>
      </c>
      <c r="N106" s="1320">
        <f>+(H106*(L106-J106))+(I106*(M106-K106))</f>
        <v>0</v>
      </c>
    </row>
    <row r="107" spans="3:14" ht="15.75">
      <c r="C107" s="274"/>
      <c r="D107" s="274"/>
      <c r="E107" s="274"/>
      <c r="F107" s="274"/>
      <c r="G107" s="275">
        <f t="shared" ref="G107:G117" si="17">G92</f>
        <v>44409</v>
      </c>
      <c r="H107" s="276">
        <f>SUMIFS($O$18:$O$60,$B$18:$B$60,$D$106,$D$18:$D$60,"Ponta")</f>
        <v>0</v>
      </c>
      <c r="I107" s="276">
        <f>SUMIFS($O$18:$O$60,$B$18:$B$60,$D$106,$D$18:$D$60,"Fora Ponta")</f>
        <v>0</v>
      </c>
      <c r="J107" s="276">
        <f t="shared" ref="J107:J117" si="18">SUMIFS($E$18:$E$60,$B$18:$B$60,$D$106,$D$18:$D$60,"Ponta")</f>
        <v>0</v>
      </c>
      <c r="K107" s="276">
        <f t="shared" ref="K107:K117" si="19">SUMIFS($E$18:$E$60,$B$18:$B$60,$D$106,$D$18:$D$60,"Fora Ponta")</f>
        <v>0</v>
      </c>
      <c r="L107" s="276">
        <f>IF(MONTH(DataRevRea)=7,'Rede Básica + Ajuste'!J107,IF(G107&lt;$Q$69,(SUMIFS($E$18:$E$60,$B$18:$B$60,$D$106,$D$18:$D$60,"Ponta")),(SUMIFS($F$18:$F$60,$B$18:$B$60,$D$106,$D$18:$D$60,"Ponta"))))</f>
        <v>0</v>
      </c>
      <c r="M107" s="276">
        <f>IF(MONTH(DataRevRea)=7,'Rede Básica + Ajuste'!K107,IF(G107&lt;$Q$69,(SUMIFS($E$18:$E$60,$B$18:$B$60,$D$106,$D$18:$D$60,"Fora Ponta")),(SUMIFS($F$18:$F$60,$B$18:$B$60,$D$106,$D$18:$D$60,"Fora Ponta"))))</f>
        <v>0</v>
      </c>
      <c r="N107" s="283">
        <f t="shared" ref="N107:N117" si="20">+(H107*(L107-J107))+(I107*(M107-K107))</f>
        <v>0</v>
      </c>
    </row>
    <row r="108" spans="3:14" ht="15.75">
      <c r="C108" s="277"/>
      <c r="D108" s="1321" t="s">
        <v>1328</v>
      </c>
      <c r="E108" s="1322" t="s">
        <v>1329</v>
      </c>
      <c r="F108" s="274"/>
      <c r="G108" s="275">
        <f t="shared" si="17"/>
        <v>44440</v>
      </c>
      <c r="H108" s="276">
        <f>SUMIFS($P$18:$P$60,$B$18:$B$60,$D$106,$D$18:$D$60,"Ponta")</f>
        <v>0</v>
      </c>
      <c r="I108" s="276">
        <f>SUMIFS($P$18:$P$60,$B$18:$B$60,$D$106,$D$18:$D$60,"Fora Ponta")</f>
        <v>0</v>
      </c>
      <c r="J108" s="276">
        <f t="shared" si="18"/>
        <v>0</v>
      </c>
      <c r="K108" s="276">
        <f t="shared" si="19"/>
        <v>0</v>
      </c>
      <c r="L108" s="276">
        <f>IF(MONTH(DataRevRea)=7,'Rede Básica + Ajuste'!J108,IF(G108&lt;$Q$69,(SUMIFS($E$18:$E$60,$B$18:$B$60,$D$106,$D$18:$D$60,"Ponta")),(SUMIFS($F$18:$F$60,$B$18:$B$60,$D$106,$D$18:$D$60,"Ponta"))))</f>
        <v>0</v>
      </c>
      <c r="M108" s="276">
        <f>IF(MONTH(DataRevRea)=7,'Rede Básica + Ajuste'!K108,IF(G108&lt;$Q$69,(SUMIFS($E$18:$E$60,$B$18:$B$60,$D$106,$D$18:$D$60,"Fora Ponta")),(SUMIFS($F$18:$F$60,$B$18:$B$60,$D$106,$D$18:$D$60,"Fora Ponta"))))</f>
        <v>0</v>
      </c>
      <c r="N108" s="283">
        <f t="shared" si="20"/>
        <v>0</v>
      </c>
    </row>
    <row r="109" spans="3:14" ht="15.75">
      <c r="C109" s="1323" t="str">
        <f>C94</f>
        <v>Cobertura 2021</v>
      </c>
      <c r="D109" s="1324">
        <f>SUMPRODUCT(H106:H117,J106:J117)</f>
        <v>0</v>
      </c>
      <c r="E109" s="1324">
        <f>SUMPRODUCT(I106:I117,K106:K117)</f>
        <v>0</v>
      </c>
      <c r="F109" s="274"/>
      <c r="G109" s="275">
        <f t="shared" si="17"/>
        <v>44470</v>
      </c>
      <c r="H109" s="276">
        <f>SUMIFS($Q$18:$Q$60,$B$18:$B$60,$D$106,$D$18:$D$60,"Ponta")</f>
        <v>0</v>
      </c>
      <c r="I109" s="276">
        <f>SUMIFS($Q$18:$Q$60,$B$18:$B$60,$D$106,$D$18:$D$60,"Fora Ponta")</f>
        <v>0</v>
      </c>
      <c r="J109" s="276">
        <f t="shared" si="18"/>
        <v>0</v>
      </c>
      <c r="K109" s="276">
        <f t="shared" si="19"/>
        <v>0</v>
      </c>
      <c r="L109" s="276">
        <f>IF(MONTH(DataRevRea)=7,'Rede Básica + Ajuste'!J109,IF(G109&lt;$Q$69,(SUMIFS($E$18:$E$60,$B$18:$B$60,$D$106,$D$18:$D$60,"Ponta")),(SUMIFS($F$18:$F$60,$B$18:$B$60,$D$106,$D$18:$D$60,"Ponta"))))</f>
        <v>0</v>
      </c>
      <c r="M109" s="276">
        <f>IF(MONTH(DataRevRea)=7,'Rede Básica + Ajuste'!K109,IF(G109&lt;$Q$69,(SUMIFS($E$18:$E$60,$B$18:$B$60,$D$106,$D$18:$D$60,"Fora Ponta")),(SUMIFS($F$18:$F$60,$B$18:$B$60,$D$106,$D$18:$D$60,"Fora Ponta"))))</f>
        <v>0</v>
      </c>
      <c r="N109" s="283">
        <f t="shared" si="20"/>
        <v>0</v>
      </c>
    </row>
    <row r="110" spans="3:14" ht="15.75">
      <c r="C110" s="1323" t="s">
        <v>1330</v>
      </c>
      <c r="D110" s="1324">
        <f>SUMPRODUCT(H106:H117,L106:L117)</f>
        <v>0</v>
      </c>
      <c r="E110" s="1324">
        <f>SUMPRODUCT(I106:I117,M106:M117)</f>
        <v>0</v>
      </c>
      <c r="F110" s="274"/>
      <c r="G110" s="275">
        <f t="shared" si="17"/>
        <v>44501</v>
      </c>
      <c r="H110" s="276">
        <f>SUMIFS($R$18:$R$60,$B$18:$B$60,$D$106,$D$18:$D$60,"Ponta")</f>
        <v>0</v>
      </c>
      <c r="I110" s="276">
        <f>SUMIFS($R$18:$R$60,$B$18:$B$60,$D$106,$D$18:$D$60,"Fora Ponta")</f>
        <v>0</v>
      </c>
      <c r="J110" s="276">
        <f t="shared" si="18"/>
        <v>0</v>
      </c>
      <c r="K110" s="276">
        <f t="shared" si="19"/>
        <v>0</v>
      </c>
      <c r="L110" s="276">
        <f>IF(MONTH(DataRevRea)=7,'Rede Básica + Ajuste'!J110,IF(G110&lt;$Q$69,(SUMIFS($E$18:$E$60,$B$18:$B$60,$D$106,$D$18:$D$60,"Ponta")),(SUMIFS($F$18:$F$60,$B$18:$B$60,$D$106,$D$18:$D$60,"Ponta"))))</f>
        <v>0</v>
      </c>
      <c r="M110" s="276">
        <f>IF(MONTH(DataRevRea)=7,'Rede Básica + Ajuste'!K110,IF(G110&lt;$Q$69,(SUMIFS($E$18:$E$60,$B$18:$B$60,$D$106,$D$18:$D$60,"Fora Ponta")),(SUMIFS($F$18:$F$60,$B$18:$B$60,$D$106,$D$18:$D$60,"Fora Ponta"))))</f>
        <v>0</v>
      </c>
      <c r="N110" s="283">
        <f t="shared" si="20"/>
        <v>0</v>
      </c>
    </row>
    <row r="111" spans="3:14" ht="15.75">
      <c r="C111" s="274"/>
      <c r="D111" s="274"/>
      <c r="E111" s="274"/>
      <c r="F111" s="274"/>
      <c r="G111" s="275">
        <f t="shared" si="17"/>
        <v>44531</v>
      </c>
      <c r="H111" s="276">
        <f>SUMIFS($S$18:$S$60,$B$18:$B$60,$D$106,$D$18:$D$60,"Ponta")</f>
        <v>0</v>
      </c>
      <c r="I111" s="276">
        <f>SUMIFS($S$18:$S$60,$B$18:$B$60,$D$106,$D$18:$D$60,"Fora Ponta")</f>
        <v>0</v>
      </c>
      <c r="J111" s="276">
        <f t="shared" si="18"/>
        <v>0</v>
      </c>
      <c r="K111" s="276">
        <f t="shared" si="19"/>
        <v>0</v>
      </c>
      <c r="L111" s="276">
        <f>IF(MONTH(DataRevRea)=7,'Rede Básica + Ajuste'!J111,IF(G111&lt;$Q$69,(SUMIFS($E$18:$E$60,$B$18:$B$60,$D$106,$D$18:$D$60,"Ponta")),(SUMIFS($F$18:$F$60,$B$18:$B$60,$D$106,$D$18:$D$60,"Ponta"))))</f>
        <v>0</v>
      </c>
      <c r="M111" s="276">
        <f>IF(MONTH(DataRevRea)=7,'Rede Básica + Ajuste'!K111,IF(G111&lt;$Q$69,(SUMIFS($E$18:$E$60,$B$18:$B$60,$D$106,$D$18:$D$60,"Fora Ponta")),(SUMIFS($F$18:$F$60,$B$18:$B$60,$D$106,$D$18:$D$60,"Fora Ponta"))))</f>
        <v>0</v>
      </c>
      <c r="N111" s="283">
        <f t="shared" si="20"/>
        <v>0</v>
      </c>
    </row>
    <row r="112" spans="3:14" ht="15.75">
      <c r="C112" s="286"/>
      <c r="D112" s="286"/>
      <c r="E112" s="286"/>
      <c r="F112" s="274"/>
      <c r="G112" s="275">
        <f t="shared" si="17"/>
        <v>44562</v>
      </c>
      <c r="H112" s="276">
        <f>SUMIFS($T$18:$T$60,$B$18:$B$60,$D$106,$D$18:$D$60,"Ponta")</f>
        <v>0</v>
      </c>
      <c r="I112" s="276">
        <f>SUMIFS($T$18:$T$60,$B$18:$B$60,$D$106,$D$18:$D$60,"Fora Ponta")</f>
        <v>0</v>
      </c>
      <c r="J112" s="276">
        <f t="shared" si="18"/>
        <v>0</v>
      </c>
      <c r="K112" s="276">
        <f t="shared" si="19"/>
        <v>0</v>
      </c>
      <c r="L112" s="276">
        <f>IF(MONTH(DataRevRea)=7,'Rede Básica + Ajuste'!J112,IF(G112&lt;$Q$69,(SUMIFS($E$18:$E$60,$B$18:$B$60,$D$106,$D$18:$D$60,"Ponta")),(SUMIFS($F$18:$F$60,$B$18:$B$60,$D$106,$D$18:$D$60,"Ponta"))))</f>
        <v>0</v>
      </c>
      <c r="M112" s="276">
        <f>IF(MONTH(DataRevRea)=7,'Rede Básica + Ajuste'!K112,IF(G112&lt;$Q$69,(SUMIFS($E$18:$E$60,$B$18:$B$60,$D$106,$D$18:$D$60,"Fora Ponta")),(SUMIFS($F$18:$F$60,$B$18:$B$60,$D$106,$D$18:$D$60,"Fora Ponta"))))</f>
        <v>0</v>
      </c>
      <c r="N112" s="283">
        <f t="shared" si="20"/>
        <v>0</v>
      </c>
    </row>
    <row r="113" spans="3:14" ht="15.75">
      <c r="C113" s="278"/>
      <c r="D113" s="278"/>
      <c r="E113" s="287"/>
      <c r="F113" s="274"/>
      <c r="G113" s="275">
        <f t="shared" si="17"/>
        <v>44593</v>
      </c>
      <c r="H113" s="276">
        <f>SUMIFS($U$18:$U$60,$B$18:$B$60,$D$106,$D$18:$D$60,"Ponta")</f>
        <v>0</v>
      </c>
      <c r="I113" s="276">
        <f>SUMIFS($U$18:$U$60,$B$18:$B$60,$D$106,$D$18:$D$60,"Fora Ponta")</f>
        <v>0</v>
      </c>
      <c r="J113" s="276">
        <f t="shared" si="18"/>
        <v>0</v>
      </c>
      <c r="K113" s="276">
        <f t="shared" si="19"/>
        <v>0</v>
      </c>
      <c r="L113" s="276">
        <f>IF(MONTH(DataRevRea)=7,'Rede Básica + Ajuste'!J113,IF(G113&lt;$Q$69,(SUMIFS($E$18:$E$60,$B$18:$B$60,$D$106,$D$18:$D$60,"Ponta")),(SUMIFS($F$18:$F$60,$B$18:$B$60,$D$106,$D$18:$D$60,"Ponta"))))</f>
        <v>0</v>
      </c>
      <c r="M113" s="276">
        <f>IF(MONTH(DataRevRea)=7,'Rede Básica + Ajuste'!K113,IF(G113&lt;$Q$69,(SUMIFS($E$18:$E$60,$B$18:$B$60,$D$106,$D$18:$D$60,"Fora Ponta")),(SUMIFS($F$18:$F$60,$B$18:$B$60,$D$106,$D$18:$D$60,"Fora Ponta"))))</f>
        <v>0</v>
      </c>
      <c r="N113" s="283">
        <f t="shared" si="20"/>
        <v>0</v>
      </c>
    </row>
    <row r="114" spans="3:14" ht="15.75">
      <c r="C114" s="288"/>
      <c r="D114" s="278"/>
      <c r="E114" s="287"/>
      <c r="F114" s="274"/>
      <c r="G114" s="275">
        <f t="shared" si="17"/>
        <v>44621</v>
      </c>
      <c r="H114" s="276">
        <f>SUMIFS($V$18:$V$60,$B$18:$B$60,$D$106,$D$18:$D$60,"Ponta")</f>
        <v>0</v>
      </c>
      <c r="I114" s="276">
        <f>SUMIFS($V$18:$V$60,$B$18:$B$60,$D$106,$D$18:$D$60,"Fora Ponta")</f>
        <v>0</v>
      </c>
      <c r="J114" s="276">
        <f t="shared" si="18"/>
        <v>0</v>
      </c>
      <c r="K114" s="276">
        <f t="shared" si="19"/>
        <v>0</v>
      </c>
      <c r="L114" s="276">
        <f>IF(MONTH(DataRevRea)=7,'Rede Básica + Ajuste'!J114,IF(G114&lt;$Q$69,(SUMIFS($E$18:$E$60,$B$18:$B$60,$D$106,$D$18:$D$60,"Ponta")),(SUMIFS($F$18:$F$60,$B$18:$B$60,$D$106,$D$18:$D$60,"Ponta"))))</f>
        <v>0</v>
      </c>
      <c r="M114" s="276">
        <f>IF(MONTH(DataRevRea)=7,'Rede Básica + Ajuste'!K114,IF(G114&lt;$Q$69,(SUMIFS($E$18:$E$60,$B$18:$B$60,$D$106,$D$18:$D$60,"Fora Ponta")),(SUMIFS($F$18:$F$60,$B$18:$B$60,$D$106,$D$18:$D$60,"Fora Ponta"))))</f>
        <v>0</v>
      </c>
      <c r="N114" s="283">
        <f t="shared" si="20"/>
        <v>0</v>
      </c>
    </row>
    <row r="115" spans="3:14" ht="15.75">
      <c r="C115" s="274"/>
      <c r="D115" s="274"/>
      <c r="E115" s="274"/>
      <c r="F115" s="274"/>
      <c r="G115" s="275">
        <f t="shared" si="17"/>
        <v>44652</v>
      </c>
      <c r="H115" s="276">
        <f>SUMIFS($W$18:$W$60,$B$18:$B$60,$D$106,$D$18:$D$60,"Ponta")</f>
        <v>0</v>
      </c>
      <c r="I115" s="276">
        <f>SUMIFS($W$18:$W$60,$B$18:$B$60,$D$106,$D$18:$D$60,"Fora Ponta")</f>
        <v>0</v>
      </c>
      <c r="J115" s="276">
        <f t="shared" si="18"/>
        <v>0</v>
      </c>
      <c r="K115" s="276">
        <f t="shared" si="19"/>
        <v>0</v>
      </c>
      <c r="L115" s="276">
        <f>IF(MONTH(DataRevRea)=7,'Rede Básica + Ajuste'!J115,IF(G115&lt;$Q$69,(SUMIFS($E$18:$E$60,$B$18:$B$60,$D$106,$D$18:$D$60,"Ponta")),(SUMIFS($F$18:$F$60,$B$18:$B$60,$D$106,$D$18:$D$60,"Ponta"))))</f>
        <v>0</v>
      </c>
      <c r="M115" s="276">
        <f>IF(MONTH(DataRevRea)=7,'Rede Básica + Ajuste'!K115,IF(G115&lt;$Q$69,(SUMIFS($E$18:$E$60,$B$18:$B$60,$D$106,$D$18:$D$60,"Fora Ponta")),(SUMIFS($F$18:$F$60,$B$18:$B$60,$D$106,$D$18:$D$60,"Fora Ponta"))))</f>
        <v>0</v>
      </c>
      <c r="N115" s="283">
        <f t="shared" si="20"/>
        <v>0</v>
      </c>
    </row>
    <row r="116" spans="3:14" ht="15.75">
      <c r="C116" s="280"/>
      <c r="D116" s="280"/>
      <c r="E116" s="280"/>
      <c r="F116" s="274"/>
      <c r="G116" s="275">
        <f t="shared" si="17"/>
        <v>44682</v>
      </c>
      <c r="H116" s="276">
        <f>SUMIFS($X$18:$X$60,$B$18:$B$60,$D$106,$D$18:$D$60,"Ponta")</f>
        <v>0</v>
      </c>
      <c r="I116" s="276">
        <f>SUMIFS($X$18:$X$60,$B$18:$B$60,$D$106,$D$18:$D$60,"Fora Ponta")</f>
        <v>0</v>
      </c>
      <c r="J116" s="276">
        <f t="shared" si="18"/>
        <v>0</v>
      </c>
      <c r="K116" s="276">
        <f t="shared" si="19"/>
        <v>0</v>
      </c>
      <c r="L116" s="276">
        <f>IF(MONTH(DataRevRea)=7,'Rede Básica + Ajuste'!J116,IF(G116&lt;$Q$69,(SUMIFS($E$18:$E$60,$B$18:$B$60,$D$106,$D$18:$D$60,"Ponta")),(SUMIFS($F$18:$F$60,$B$18:$B$60,$D$106,$D$18:$D$60,"Ponta"))))</f>
        <v>0</v>
      </c>
      <c r="M116" s="276">
        <f>IF(MONTH(DataRevRea)=7,'Rede Básica + Ajuste'!K116,IF(G116&lt;$Q$69,(SUMIFS($E$18:$E$60,$B$18:$B$60,$D$106,$D$18:$D$60,"Fora Ponta")),(SUMIFS($F$18:$F$60,$B$18:$B$60,$D$106,$D$18:$D$60,"Fora Ponta"))))</f>
        <v>0</v>
      </c>
      <c r="N116" s="283">
        <f t="shared" si="20"/>
        <v>0</v>
      </c>
    </row>
    <row r="117" spans="3:14" ht="15.75">
      <c r="C117" s="278"/>
      <c r="D117" s="279"/>
      <c r="E117" s="278"/>
      <c r="F117" s="274"/>
      <c r="G117" s="1650">
        <f t="shared" si="17"/>
        <v>44713</v>
      </c>
      <c r="H117" s="1651">
        <f>SUMIFS($Y$18:$Y$60,$B$18:$B$60,$D$106,$D$18:$D$60,"Ponta")</f>
        <v>0</v>
      </c>
      <c r="I117" s="1651">
        <f>SUMIFS($Y$18:$Y$60,$B$18:$B$60,$D$106,$D$18:$D$60,"Fora Ponta")</f>
        <v>0</v>
      </c>
      <c r="J117" s="1651">
        <f t="shared" si="18"/>
        <v>0</v>
      </c>
      <c r="K117" s="1651">
        <f t="shared" si="19"/>
        <v>0</v>
      </c>
      <c r="L117" s="1651">
        <f>IF(MONTH(DataRevRea)=7,'Rede Básica + Ajuste'!J117,IF(G117&lt;$Q$69,(SUMIFS($E$18:$E$60,$B$18:$B$60,$D$106,$D$18:$D$60,"Ponta")),(SUMIFS($F$18:$F$60,$B$18:$B$60,$D$106,$D$18:$D$60,"Ponta"))))</f>
        <v>0</v>
      </c>
      <c r="M117" s="1651">
        <f>IF(MONTH(DataRevRea)=7,'Rede Básica + Ajuste'!K117,IF(G117&lt;$Q$69,(SUMIFS($E$18:$E$60,$B$18:$B$60,$D$106,$D$18:$D$60,"Fora Ponta")),(SUMIFS($F$18:$F$60,$B$18:$B$60,$D$106,$D$18:$D$60,"Fora Ponta"))))</f>
        <v>0</v>
      </c>
      <c r="N117" s="1652">
        <f t="shared" si="20"/>
        <v>0</v>
      </c>
    </row>
    <row r="118" spans="3:14">
      <c r="G118" s="150"/>
    </row>
    <row r="119" spans="3:14" ht="15.75">
      <c r="C119" s="274"/>
      <c r="D119" s="274"/>
      <c r="E119" s="274"/>
      <c r="F119" s="274"/>
      <c r="G119" s="274"/>
      <c r="H119" s="274"/>
      <c r="I119" s="274"/>
      <c r="J119" s="1798" t="s">
        <v>1320</v>
      </c>
      <c r="K119" s="1799"/>
      <c r="L119" s="1797" t="s">
        <v>1321</v>
      </c>
      <c r="M119" s="1797"/>
      <c r="N119" s="282"/>
    </row>
    <row r="120" spans="3:14" ht="15.75">
      <c r="C120" s="1800" t="s">
        <v>1331</v>
      </c>
      <c r="D120" s="1801"/>
      <c r="F120" s="274"/>
      <c r="G120" s="1315" t="s">
        <v>774</v>
      </c>
      <c r="H120" s="1316" t="s">
        <v>1322</v>
      </c>
      <c r="I120" s="1316" t="s">
        <v>1323</v>
      </c>
      <c r="J120" s="1649" t="s">
        <v>1324</v>
      </c>
      <c r="K120" s="1649" t="s">
        <v>1325</v>
      </c>
      <c r="L120" s="1649" t="s">
        <v>1324</v>
      </c>
      <c r="M120" s="1649" t="s">
        <v>1325</v>
      </c>
      <c r="N120" s="281" t="s">
        <v>1326</v>
      </c>
    </row>
    <row r="121" spans="3:14" ht="15.75">
      <c r="C121" s="1312" t="s">
        <v>1327</v>
      </c>
      <c r="D121" s="1325">
        <f>IF(D19="Ponta",B19,0)</f>
        <v>0</v>
      </c>
      <c r="E121" s="18"/>
      <c r="F121" s="274"/>
      <c r="G121" s="1318">
        <f>G106</f>
        <v>44378</v>
      </c>
      <c r="H121" s="276">
        <f>H106</f>
        <v>0</v>
      </c>
      <c r="I121" s="276">
        <f>I106</f>
        <v>0</v>
      </c>
      <c r="J121" s="276">
        <f>SUMIFS($G$18:$G$60,$B$18:$B$60,$D$121,$D$18:$D$60,"Ponta")</f>
        <v>0</v>
      </c>
      <c r="K121" s="276">
        <f>SUMIFS($G$18:$G$60,$B$18:$B$60,$D$121,$D$18:$D$60,"Fora Ponta")</f>
        <v>0</v>
      </c>
      <c r="L121" s="1319">
        <f>IF(MONTH(DataRevRea)=7,'Rede Básica + Ajuste'!J121,IF(G121&lt;$Q$69,(SUMIFS($G$18:$G$60,$B$18:$B$60,$D$121,$D$18:$D$60,"Ponta")),(SUMIFS($H$18:$H$60,$B$18:$B$60,$D$121,$D$18:$D$60,"Ponta"))))</f>
        <v>0</v>
      </c>
      <c r="M121" s="1319">
        <f>IF(MONTH(DataRevRea)=7,'Rede Básica + Ajuste'!K121,IF(G121&lt;$Q$69,(SUMIFS($G$18:$G$60,$B$18:$B$60,$D$121,$D$18:$D$60,"Fora Ponta")),(SUMIFS($H$18:$H$60,$B$18:$B$60,$D$121,$D$18:$D$60,"Fora Ponta"))))</f>
        <v>0</v>
      </c>
      <c r="N121" s="1320">
        <f>+(H121*(L121-J121))+(I121*(M121-K121))</f>
        <v>0</v>
      </c>
    </row>
    <row r="122" spans="3:14" ht="15.75">
      <c r="C122" s="274"/>
      <c r="D122" s="274"/>
      <c r="E122" s="274"/>
      <c r="F122" s="274"/>
      <c r="G122" s="275">
        <f t="shared" ref="G122:I132" si="21">G107</f>
        <v>44409</v>
      </c>
      <c r="H122" s="276">
        <f t="shared" si="21"/>
        <v>0</v>
      </c>
      <c r="I122" s="276">
        <f t="shared" si="21"/>
        <v>0</v>
      </c>
      <c r="J122" s="276">
        <f t="shared" ref="J122:J132" si="22">SUMIFS($G$18:$G$60,$B$18:$B$60,$D$121,$D$18:$D$60,"Ponta")</f>
        <v>0</v>
      </c>
      <c r="K122" s="276">
        <f t="shared" ref="K122:K132" si="23">SUMIFS($G$18:$G$60,$B$18:$B$60,$D$121,$D$18:$D$60,"Fora Ponta")</f>
        <v>0</v>
      </c>
      <c r="L122" s="276">
        <f>IF(MONTH(DataRevRea)=7,'Rede Básica + Ajuste'!J122,IF(G122&lt;$Q$69,(SUMIFS($G$18:$G$60,$B$18:$B$60,$D$121,$D$18:$D$60,"Ponta")),(SUMIFS($H$18:$H$60,$B$18:$B$60,$D$121,$D$18:$D$60,"Ponta"))))</f>
        <v>0</v>
      </c>
      <c r="M122" s="276">
        <f>IF(MONTH(DataRevRea)=7,'Rede Básica + Ajuste'!K122,IF(G122&lt;$Q$69,(SUMIFS($G$18:$G$60,$B$18:$B$60,$D$121,$D$18:$D$60,"Fora Ponta")),(SUMIFS($H$18:$H$60,$B$18:$B$60,$D$121,$D$18:$D$60,"Fora Ponta"))))</f>
        <v>0</v>
      </c>
      <c r="N122" s="283">
        <f t="shared" ref="N122:N132" si="24">+(H122*(L122-J122))+(I122*(M122-K122))</f>
        <v>0</v>
      </c>
    </row>
    <row r="123" spans="3:14" ht="15.75">
      <c r="C123" s="277"/>
      <c r="D123" s="1321" t="s">
        <v>1328</v>
      </c>
      <c r="E123" s="1322" t="s">
        <v>1329</v>
      </c>
      <c r="F123" s="274"/>
      <c r="G123" s="275">
        <f t="shared" si="21"/>
        <v>44440</v>
      </c>
      <c r="H123" s="276">
        <f t="shared" si="21"/>
        <v>0</v>
      </c>
      <c r="I123" s="276">
        <f t="shared" si="21"/>
        <v>0</v>
      </c>
      <c r="J123" s="276">
        <f t="shared" si="22"/>
        <v>0</v>
      </c>
      <c r="K123" s="276">
        <f t="shared" si="23"/>
        <v>0</v>
      </c>
      <c r="L123" s="276">
        <f>IF(MONTH(DataRevRea)=7,'Rede Básica + Ajuste'!J123,IF(G123&lt;$Q$69,(SUMIFS($G$18:$G$60,$B$18:$B$60,$D$121,$D$18:$D$60,"Ponta")),(SUMIFS($H$18:$H$60,$B$18:$B$60,$D$121,$D$18:$D$60,"Ponta"))))</f>
        <v>0</v>
      </c>
      <c r="M123" s="276">
        <f>IF(MONTH(DataRevRea)=7,'Rede Básica + Ajuste'!K123,IF(G123&lt;$Q$69,(SUMIFS($G$18:$G$60,$B$18:$B$60,$D$121,$D$18:$D$60,"Fora Ponta")),(SUMIFS($H$18:$H$60,$B$18:$B$60,$D$121,$D$18:$D$60,"Fora Ponta"))))</f>
        <v>0</v>
      </c>
      <c r="N123" s="283">
        <f t="shared" si="24"/>
        <v>0</v>
      </c>
    </row>
    <row r="124" spans="3:14" ht="15.75">
      <c r="C124" s="1323" t="str">
        <f>C109</f>
        <v>Cobertura 2021</v>
      </c>
      <c r="D124" s="1324">
        <f>SUMPRODUCT(H121:H132,J121:J132)</f>
        <v>0</v>
      </c>
      <c r="E124" s="1324">
        <f>SUMPRODUCT(I121:I132,K121:K132)</f>
        <v>0</v>
      </c>
      <c r="F124" s="274"/>
      <c r="G124" s="275">
        <f t="shared" si="21"/>
        <v>44470</v>
      </c>
      <c r="H124" s="276">
        <f t="shared" si="21"/>
        <v>0</v>
      </c>
      <c r="I124" s="276">
        <f t="shared" si="21"/>
        <v>0</v>
      </c>
      <c r="J124" s="276">
        <f t="shared" si="22"/>
        <v>0</v>
      </c>
      <c r="K124" s="276">
        <f t="shared" si="23"/>
        <v>0</v>
      </c>
      <c r="L124" s="276">
        <f>IF(MONTH(DataRevRea)=7,'Rede Básica + Ajuste'!J124,IF(G124&lt;$Q$69,(SUMIFS($G$18:$G$60,$B$18:$B$60,$D$121,$D$18:$D$60,"Ponta")),(SUMIFS($H$18:$H$60,$B$18:$B$60,$D$121,$D$18:$D$60,"Ponta"))))</f>
        <v>0</v>
      </c>
      <c r="M124" s="276">
        <f>IF(MONTH(DataRevRea)=7,'Rede Básica + Ajuste'!K124,IF(G124&lt;$Q$69,(SUMIFS($G$18:$G$60,$B$18:$B$60,$D$121,$D$18:$D$60,"Fora Ponta")),(SUMIFS($H$18:$H$60,$B$18:$B$60,$D$121,$D$18:$D$60,"Fora Ponta"))))</f>
        <v>0</v>
      </c>
      <c r="N124" s="283">
        <f t="shared" si="24"/>
        <v>0</v>
      </c>
    </row>
    <row r="125" spans="3:14" ht="15.75">
      <c r="C125" s="1323" t="s">
        <v>1330</v>
      </c>
      <c r="D125" s="1324">
        <f>SUMPRODUCT(H121:H132,L121:L132)</f>
        <v>0</v>
      </c>
      <c r="E125" s="1324">
        <f>SUMPRODUCT(I121:I132,M121:M132)</f>
        <v>0</v>
      </c>
      <c r="F125" s="274"/>
      <c r="G125" s="275">
        <f t="shared" si="21"/>
        <v>44501</v>
      </c>
      <c r="H125" s="276">
        <f t="shared" si="21"/>
        <v>0</v>
      </c>
      <c r="I125" s="276">
        <f t="shared" si="21"/>
        <v>0</v>
      </c>
      <c r="J125" s="276">
        <f t="shared" si="22"/>
        <v>0</v>
      </c>
      <c r="K125" s="276">
        <f t="shared" si="23"/>
        <v>0</v>
      </c>
      <c r="L125" s="276">
        <f>IF(MONTH(DataRevRea)=7,'Rede Básica + Ajuste'!J125,IF(G125&lt;$Q$69,(SUMIFS($G$18:$G$60,$B$18:$B$60,$D$121,$D$18:$D$60,"Ponta")),(SUMIFS($H$18:$H$60,$B$18:$B$60,$D$121,$D$18:$D$60,"Ponta"))))</f>
        <v>0</v>
      </c>
      <c r="M125" s="276">
        <f>IF(MONTH(DataRevRea)=7,'Rede Básica + Ajuste'!K125,IF(G125&lt;$Q$69,(SUMIFS($G$18:$G$60,$B$18:$B$60,$D$121,$D$18:$D$60,"Fora Ponta")),(SUMIFS($H$18:$H$60,$B$18:$B$60,$D$121,$D$18:$D$60,"Fora Ponta"))))</f>
        <v>0</v>
      </c>
      <c r="N125" s="283">
        <f t="shared" si="24"/>
        <v>0</v>
      </c>
    </row>
    <row r="126" spans="3:14" ht="15.75">
      <c r="C126" s="274"/>
      <c r="D126" s="274"/>
      <c r="E126" s="274"/>
      <c r="F126" s="274"/>
      <c r="G126" s="275">
        <f t="shared" si="21"/>
        <v>44531</v>
      </c>
      <c r="H126" s="276">
        <f t="shared" si="21"/>
        <v>0</v>
      </c>
      <c r="I126" s="276">
        <f t="shared" si="21"/>
        <v>0</v>
      </c>
      <c r="J126" s="276">
        <f t="shared" si="22"/>
        <v>0</v>
      </c>
      <c r="K126" s="276">
        <f t="shared" si="23"/>
        <v>0</v>
      </c>
      <c r="L126" s="276">
        <f>IF(MONTH(DataRevRea)=7,'Rede Básica + Ajuste'!J126,IF(G126&lt;$Q$69,(SUMIFS($G$18:$G$60,$B$18:$B$60,$D$121,$D$18:$D$60,"Ponta")),(SUMIFS($H$18:$H$60,$B$18:$B$60,$D$121,$D$18:$D$60,"Ponta"))))</f>
        <v>0</v>
      </c>
      <c r="M126" s="276">
        <f>IF(MONTH(DataRevRea)=7,'Rede Básica + Ajuste'!K126,IF(G126&lt;$Q$69,(SUMIFS($G$18:$G$60,$B$18:$B$60,$D$121,$D$18:$D$60,"Fora Ponta")),(SUMIFS($H$18:$H$60,$B$18:$B$60,$D$121,$D$18:$D$60,"Fora Ponta"))))</f>
        <v>0</v>
      </c>
      <c r="N126" s="283">
        <f t="shared" si="24"/>
        <v>0</v>
      </c>
    </row>
    <row r="127" spans="3:14" ht="15.75">
      <c r="C127" s="286"/>
      <c r="D127" s="286"/>
      <c r="E127" s="286"/>
      <c r="F127" s="274"/>
      <c r="G127" s="275">
        <f t="shared" si="21"/>
        <v>44562</v>
      </c>
      <c r="H127" s="276">
        <f t="shared" si="21"/>
        <v>0</v>
      </c>
      <c r="I127" s="276">
        <f t="shared" si="21"/>
        <v>0</v>
      </c>
      <c r="J127" s="276">
        <f t="shared" si="22"/>
        <v>0</v>
      </c>
      <c r="K127" s="276">
        <f t="shared" si="23"/>
        <v>0</v>
      </c>
      <c r="L127" s="276">
        <f>IF(MONTH(DataRevRea)=7,'Rede Básica + Ajuste'!J127,IF(G127&lt;$Q$69,(SUMIFS($G$18:$G$60,$B$18:$B$60,$D$121,$D$18:$D$60,"Ponta")),(SUMIFS($H$18:$H$60,$B$18:$B$60,$D$121,$D$18:$D$60,"Ponta"))))</f>
        <v>0</v>
      </c>
      <c r="M127" s="276">
        <f>IF(MONTH(DataRevRea)=7,'Rede Básica + Ajuste'!K127,IF(G127&lt;$Q$69,(SUMIFS($G$18:$G$60,$B$18:$B$60,$D$121,$D$18:$D$60,"Fora Ponta")),(SUMIFS($H$18:$H$60,$B$18:$B$60,$D$121,$D$18:$D$60,"Fora Ponta"))))</f>
        <v>0</v>
      </c>
      <c r="N127" s="283">
        <f t="shared" si="24"/>
        <v>0</v>
      </c>
    </row>
    <row r="128" spans="3:14" ht="15.75">
      <c r="C128" s="278"/>
      <c r="D128" s="278"/>
      <c r="E128" s="287"/>
      <c r="F128" s="274"/>
      <c r="G128" s="275">
        <f t="shared" si="21"/>
        <v>44593</v>
      </c>
      <c r="H128" s="276">
        <f t="shared" si="21"/>
        <v>0</v>
      </c>
      <c r="I128" s="276">
        <f t="shared" si="21"/>
        <v>0</v>
      </c>
      <c r="J128" s="276">
        <f t="shared" si="22"/>
        <v>0</v>
      </c>
      <c r="K128" s="276">
        <f t="shared" si="23"/>
        <v>0</v>
      </c>
      <c r="L128" s="276">
        <f>IF(MONTH(DataRevRea)=7,'Rede Básica + Ajuste'!J128,IF(G128&lt;$Q$69,(SUMIFS($G$18:$G$60,$B$18:$B$60,$D$121,$D$18:$D$60,"Ponta")),(SUMIFS($H$18:$H$60,$B$18:$B$60,$D$121,$D$18:$D$60,"Ponta"))))</f>
        <v>0</v>
      </c>
      <c r="M128" s="276">
        <f>IF(MONTH(DataRevRea)=7,'Rede Básica + Ajuste'!K128,IF(G128&lt;$Q$69,(SUMIFS($G$18:$G$60,$B$18:$B$60,$D$121,$D$18:$D$60,"Fora Ponta")),(SUMIFS($H$18:$H$60,$B$18:$B$60,$D$121,$D$18:$D$60,"Fora Ponta"))))</f>
        <v>0</v>
      </c>
      <c r="N128" s="283">
        <f t="shared" si="24"/>
        <v>0</v>
      </c>
    </row>
    <row r="129" spans="3:14" ht="15.75">
      <c r="C129" s="288"/>
      <c r="D129" s="278"/>
      <c r="E129" s="287"/>
      <c r="F129" s="274"/>
      <c r="G129" s="275">
        <f t="shared" si="21"/>
        <v>44621</v>
      </c>
      <c r="H129" s="276">
        <f t="shared" si="21"/>
        <v>0</v>
      </c>
      <c r="I129" s="276">
        <f t="shared" si="21"/>
        <v>0</v>
      </c>
      <c r="J129" s="276">
        <f t="shared" si="22"/>
        <v>0</v>
      </c>
      <c r="K129" s="276">
        <f t="shared" si="23"/>
        <v>0</v>
      </c>
      <c r="L129" s="276">
        <f>IF(MONTH(DataRevRea)=7,'Rede Básica + Ajuste'!J129,IF(G129&lt;$Q$69,(SUMIFS($G$18:$G$60,$B$18:$B$60,$D$121,$D$18:$D$60,"Ponta")),(SUMIFS($H$18:$H$60,$B$18:$B$60,$D$121,$D$18:$D$60,"Ponta"))))</f>
        <v>0</v>
      </c>
      <c r="M129" s="276">
        <f>IF(MONTH(DataRevRea)=7,'Rede Básica + Ajuste'!K129,IF(G129&lt;$Q$69,(SUMIFS($G$18:$G$60,$B$18:$B$60,$D$121,$D$18:$D$60,"Fora Ponta")),(SUMIFS($H$18:$H$60,$B$18:$B$60,$D$121,$D$18:$D$60,"Fora Ponta"))))</f>
        <v>0</v>
      </c>
      <c r="N129" s="283">
        <f t="shared" si="24"/>
        <v>0</v>
      </c>
    </row>
    <row r="130" spans="3:14" ht="15.75">
      <c r="C130" s="274"/>
      <c r="D130" s="274"/>
      <c r="E130" s="274"/>
      <c r="F130" s="274"/>
      <c r="G130" s="275">
        <f t="shared" si="21"/>
        <v>44652</v>
      </c>
      <c r="H130" s="276">
        <f t="shared" si="21"/>
        <v>0</v>
      </c>
      <c r="I130" s="276">
        <f t="shared" si="21"/>
        <v>0</v>
      </c>
      <c r="J130" s="276">
        <f t="shared" si="22"/>
        <v>0</v>
      </c>
      <c r="K130" s="276">
        <f t="shared" si="23"/>
        <v>0</v>
      </c>
      <c r="L130" s="276">
        <f>IF(MONTH(DataRevRea)=7,'Rede Básica + Ajuste'!J130,IF(G130&lt;$Q$69,(SUMIFS($G$18:$G$60,$B$18:$B$60,$D$121,$D$18:$D$60,"Ponta")),(SUMIFS($H$18:$H$60,$B$18:$B$60,$D$121,$D$18:$D$60,"Ponta"))))</f>
        <v>0</v>
      </c>
      <c r="M130" s="276">
        <f>IF(MONTH(DataRevRea)=7,'Rede Básica + Ajuste'!K130,IF(G130&lt;$Q$69,(SUMIFS($G$18:$G$60,$B$18:$B$60,$D$121,$D$18:$D$60,"Fora Ponta")),(SUMIFS($H$18:$H$60,$B$18:$B$60,$D$121,$D$18:$D$60,"Fora Ponta"))))</f>
        <v>0</v>
      </c>
      <c r="N130" s="283">
        <f t="shared" si="24"/>
        <v>0</v>
      </c>
    </row>
    <row r="131" spans="3:14" ht="15.75">
      <c r="C131" s="280"/>
      <c r="D131" s="280"/>
      <c r="E131" s="280"/>
      <c r="F131" s="274"/>
      <c r="G131" s="275">
        <f t="shared" si="21"/>
        <v>44682</v>
      </c>
      <c r="H131" s="276">
        <f t="shared" si="21"/>
        <v>0</v>
      </c>
      <c r="I131" s="276">
        <f t="shared" si="21"/>
        <v>0</v>
      </c>
      <c r="J131" s="276">
        <f t="shared" si="22"/>
        <v>0</v>
      </c>
      <c r="K131" s="276">
        <f t="shared" si="23"/>
        <v>0</v>
      </c>
      <c r="L131" s="276">
        <f>IF(MONTH(DataRevRea)=7,'Rede Básica + Ajuste'!J131,IF(G131&lt;$Q$69,(SUMIFS($G$18:$G$60,$B$18:$B$60,$D$121,$D$18:$D$60,"Ponta")),(SUMIFS($H$18:$H$60,$B$18:$B$60,$D$121,$D$18:$D$60,"Ponta"))))</f>
        <v>0</v>
      </c>
      <c r="M131" s="276">
        <f>IF(MONTH(DataRevRea)=7,'Rede Básica + Ajuste'!K131,IF(G131&lt;$Q$69,(SUMIFS($G$18:$G$60,$B$18:$B$60,$D$121,$D$18:$D$60,"Fora Ponta")),(SUMIFS($H$18:$H$60,$B$18:$B$60,$D$121,$D$18:$D$60,"Fora Ponta"))))</f>
        <v>0</v>
      </c>
      <c r="N131" s="283">
        <f t="shared" si="24"/>
        <v>0</v>
      </c>
    </row>
    <row r="132" spans="3:14" ht="15.75">
      <c r="C132" s="278"/>
      <c r="D132" s="279"/>
      <c r="E132" s="278"/>
      <c r="F132" s="274"/>
      <c r="G132" s="1650">
        <f t="shared" si="21"/>
        <v>44713</v>
      </c>
      <c r="H132" s="1651">
        <f t="shared" si="21"/>
        <v>0</v>
      </c>
      <c r="I132" s="1651">
        <f t="shared" si="21"/>
        <v>0</v>
      </c>
      <c r="J132" s="1651">
        <f t="shared" si="22"/>
        <v>0</v>
      </c>
      <c r="K132" s="1651">
        <f t="shared" si="23"/>
        <v>0</v>
      </c>
      <c r="L132" s="1651">
        <f>IF(MONTH(DataRevRea)=7,'Rede Básica + Ajuste'!J132,IF(G132&lt;$Q$69,(SUMIFS($G$18:$G$60,$B$18:$B$60,$D$121,$D$18:$D$60,"Ponta")),(SUMIFS($H$18:$H$60,$B$18:$B$60,$D$121,$D$18:$D$60,"Ponta"))))</f>
        <v>0</v>
      </c>
      <c r="M132" s="1651">
        <f>IF(MONTH(DataRevRea)=7,'Rede Básica + Ajuste'!K132,IF(G132&lt;$Q$69,(SUMIFS($G$18:$G$60,$B$18:$B$60,$D$121,$D$18:$D$60,"Fora Ponta")),(SUMIFS($H$18:$H$60,$B$18:$B$60,$D$121,$D$18:$D$60,"Fora Ponta"))))</f>
        <v>0</v>
      </c>
      <c r="N132" s="1652">
        <f t="shared" si="24"/>
        <v>0</v>
      </c>
    </row>
    <row r="133" spans="3:14">
      <c r="G133" s="150"/>
    </row>
    <row r="134" spans="3:14" ht="15.75">
      <c r="C134" s="274"/>
      <c r="D134" s="274"/>
      <c r="E134" s="274"/>
      <c r="F134" s="274"/>
      <c r="G134" s="274"/>
      <c r="H134" s="274"/>
      <c r="I134" s="274"/>
      <c r="J134" s="1798" t="s">
        <v>1320</v>
      </c>
      <c r="K134" s="1799"/>
      <c r="L134" s="1797" t="s">
        <v>1321</v>
      </c>
      <c r="M134" s="1797"/>
      <c r="N134" s="282"/>
    </row>
    <row r="135" spans="3:14" ht="15.75">
      <c r="C135" s="1800" t="s">
        <v>1303</v>
      </c>
      <c r="D135" s="1801"/>
      <c r="F135" s="274"/>
      <c r="G135" s="1315" t="s">
        <v>774</v>
      </c>
      <c r="H135" s="1316" t="s">
        <v>1322</v>
      </c>
      <c r="I135" s="1316" t="s">
        <v>1323</v>
      </c>
      <c r="J135" s="1649" t="s">
        <v>1324</v>
      </c>
      <c r="K135" s="1649" t="s">
        <v>1325</v>
      </c>
      <c r="L135" s="1649" t="s">
        <v>1324</v>
      </c>
      <c r="M135" s="1649" t="s">
        <v>1325</v>
      </c>
      <c r="N135" s="281" t="s">
        <v>1326</v>
      </c>
    </row>
    <row r="136" spans="3:14" ht="15.75">
      <c r="C136" s="1312" t="s">
        <v>1327</v>
      </c>
      <c r="D136" s="1325">
        <f>IF(D20="Ponta",B20,0)</f>
        <v>0</v>
      </c>
      <c r="E136" s="18"/>
      <c r="F136" s="274"/>
      <c r="G136" s="1318">
        <f>G121</f>
        <v>44378</v>
      </c>
      <c r="H136" s="276">
        <f>SUMIFS($N$18:$N$60,$B$18:$B$60,$D$136,$D$18:$D$60,"Ponta")</f>
        <v>0</v>
      </c>
      <c r="I136" s="276">
        <f>SUMIFS($N$18:$N$60,$B$18:$B$60,$D$136,$D$18:$D$60,"Fora Ponta")</f>
        <v>0</v>
      </c>
      <c r="J136" s="276">
        <f>SUMIFS($E$18:$E$60,$B$18:$B$60,$D$136,$D$18:$D$60,"Ponta")</f>
        <v>0</v>
      </c>
      <c r="K136" s="276">
        <f>SUMIFS($E$18:$E$60,$B$18:$B$60,$D$136,$D$18:$D$60,"Fora Ponta")</f>
        <v>0</v>
      </c>
      <c r="L136" s="1319">
        <f>IF(MONTH(DataRevRea)=7,'Rede Básica + Ajuste'!J136,IF(G136&lt;$Q$69,(SUMIFS($E$18:$E$60,$B$18:$B$60,$D$136,$D$18:$D$60,"Ponta")),(SUMIFS($F$18:$F$60,$B$18:$B$60,$D$136,$D$18:$D$60,"Ponta"))))</f>
        <v>0</v>
      </c>
      <c r="M136" s="1319">
        <f>IF(MONTH(DataRevRea)=7,'Rede Básica + Ajuste'!K136,IF(G136&lt;$Q$69,(SUMIFS($E$18:$E$60,$B$18:$B$60,$D$136,$D$18:$D$60,"Fora Ponta")),(SUMIFS($F$18:$F$60,$B$18:$B$60,$D$136,$D$18:$D$60,"Fora Ponta"))))</f>
        <v>0</v>
      </c>
      <c r="N136" s="1320">
        <f>+(H136*(L136-J136))+(I136*(M136-K136))</f>
        <v>0</v>
      </c>
    </row>
    <row r="137" spans="3:14" ht="15.75">
      <c r="C137" s="274"/>
      <c r="D137" s="274"/>
      <c r="E137" s="274"/>
      <c r="F137" s="274"/>
      <c r="G137" s="275">
        <f t="shared" ref="G137:G147" si="25">G122</f>
        <v>44409</v>
      </c>
      <c r="H137" s="276">
        <f>SUMIFS($O$18:$O$60,$B$18:$B$60,$D$136,$D$18:$D$60,"Ponta")</f>
        <v>0</v>
      </c>
      <c r="I137" s="276">
        <f>SUMIFS($O$18:$O$60,$B$18:$B$60,$D$136,$D$18:$D$60,"Fora Ponta")</f>
        <v>0</v>
      </c>
      <c r="J137" s="276">
        <f t="shared" ref="J137:J147" si="26">SUMIFS($E$18:$E$60,$B$18:$B$60,$D$106,$D$18:$D$60,"Ponta")</f>
        <v>0</v>
      </c>
      <c r="K137" s="276">
        <f t="shared" ref="K137:K147" si="27">SUMIFS($E$18:$E$60,$B$18:$B$60,$D$136,$D$18:$D$60,"Fora Ponta")</f>
        <v>0</v>
      </c>
      <c r="L137" s="276">
        <f>IF(MONTH(DataRevRea)=7,'Rede Básica + Ajuste'!J137,IF(G137&lt;$Q$69,(SUMIFS($E$18:$E$60,$B$18:$B$60,$D$136,$D$18:$D$60,"Ponta")),(SUMIFS($F$18:$F$60,$B$18:$B$60,$D$136,$D$18:$D$60,"Ponta"))))</f>
        <v>0</v>
      </c>
      <c r="M137" s="276">
        <f>IF(MONTH(DataRevRea)=7,'Rede Básica + Ajuste'!K137,IF(G137&lt;$Q$69,(SUMIFS($E$18:$E$60,$B$18:$B$60,$D$136,$D$18:$D$60,"Fora Ponta")),(SUMIFS($F$18:$F$60,$B$18:$B$60,$D$136,$D$18:$D$60,"Fora Ponta"))))</f>
        <v>0</v>
      </c>
      <c r="N137" s="283">
        <f t="shared" ref="N137:N147" si="28">+(H137*(L137-J137))+(I137*(M137-K137))</f>
        <v>0</v>
      </c>
    </row>
    <row r="138" spans="3:14" ht="15.75">
      <c r="C138" s="277"/>
      <c r="D138" s="1321" t="s">
        <v>1328</v>
      </c>
      <c r="E138" s="1322" t="s">
        <v>1329</v>
      </c>
      <c r="F138" s="274"/>
      <c r="G138" s="275">
        <f t="shared" si="25"/>
        <v>44440</v>
      </c>
      <c r="H138" s="276">
        <f>SUMIFS($P$18:$P$60,$B$18:$B$60,$D$136,$D$18:$D$60,"Ponta")</f>
        <v>0</v>
      </c>
      <c r="I138" s="276">
        <f>SUMIFS($P$18:$P$60,$B$18:$B$60,$D$136,$D$18:$D$60,"Fora Ponta")</f>
        <v>0</v>
      </c>
      <c r="J138" s="276">
        <f t="shared" si="26"/>
        <v>0</v>
      </c>
      <c r="K138" s="276">
        <f t="shared" si="27"/>
        <v>0</v>
      </c>
      <c r="L138" s="276">
        <f>IF(MONTH(DataRevRea)=7,'Rede Básica + Ajuste'!J138,IF(G138&lt;$Q$69,(SUMIFS($E$18:$E$60,$B$18:$B$60,$D$136,$D$18:$D$60,"Ponta")),(SUMIFS($F$18:$F$60,$B$18:$B$60,$D$136,$D$18:$D$60,"Ponta"))))</f>
        <v>0</v>
      </c>
      <c r="M138" s="276">
        <f>IF(MONTH(DataRevRea)=7,'Rede Básica + Ajuste'!K138,IF(G138&lt;$Q$69,(SUMIFS($E$18:$E$60,$B$18:$B$60,$D$136,$D$18:$D$60,"Fora Ponta")),(SUMIFS($F$18:$F$60,$B$18:$B$60,$D$136,$D$18:$D$60,"Fora Ponta"))))</f>
        <v>0</v>
      </c>
      <c r="N138" s="283">
        <f t="shared" si="28"/>
        <v>0</v>
      </c>
    </row>
    <row r="139" spans="3:14" ht="15.75">
      <c r="C139" s="1323" t="str">
        <f>C124</f>
        <v>Cobertura 2021</v>
      </c>
      <c r="D139" s="1324">
        <f>SUMPRODUCT(H136:H147,J136:J147)</f>
        <v>0</v>
      </c>
      <c r="E139" s="1324">
        <f>SUMPRODUCT(I136:I147,K136:K147)</f>
        <v>0</v>
      </c>
      <c r="F139" s="274"/>
      <c r="G139" s="275">
        <f t="shared" si="25"/>
        <v>44470</v>
      </c>
      <c r="H139" s="276">
        <f>SUMIFS($Q$18:$Q$60,$B$18:$B$60,$D$136,$D$18:$D$60,"Ponta")</f>
        <v>0</v>
      </c>
      <c r="I139" s="276">
        <f>SUMIFS($Q$18:$Q$60,$B$18:$B$60,$D$136,$D$18:$D$60,"Fora Ponta")</f>
        <v>0</v>
      </c>
      <c r="J139" s="276">
        <f t="shared" si="26"/>
        <v>0</v>
      </c>
      <c r="K139" s="276">
        <f t="shared" si="27"/>
        <v>0</v>
      </c>
      <c r="L139" s="276">
        <f>IF(MONTH(DataRevRea)=7,'Rede Básica + Ajuste'!J139,IF(G139&lt;$Q$69,(SUMIFS($E$18:$E$60,$B$18:$B$60,$D$136,$D$18:$D$60,"Ponta")),(SUMIFS($F$18:$F$60,$B$18:$B$60,$D$136,$D$18:$D$60,"Ponta"))))</f>
        <v>0</v>
      </c>
      <c r="M139" s="276">
        <f>IF(MONTH(DataRevRea)=7,'Rede Básica + Ajuste'!K139,IF(G139&lt;$Q$69,(SUMIFS($E$18:$E$60,$B$18:$B$60,$D$136,$D$18:$D$60,"Fora Ponta")),(SUMIFS($F$18:$F$60,$B$18:$B$60,$D$136,$D$18:$D$60,"Fora Ponta"))))</f>
        <v>0</v>
      </c>
      <c r="N139" s="283">
        <f t="shared" si="28"/>
        <v>0</v>
      </c>
    </row>
    <row r="140" spans="3:14" ht="15.75">
      <c r="C140" s="1323" t="s">
        <v>1330</v>
      </c>
      <c r="D140" s="1324">
        <f>SUMPRODUCT(H136:H147,L136:L147)</f>
        <v>0</v>
      </c>
      <c r="E140" s="1324">
        <f>SUMPRODUCT(I136:I147,M136:M147)</f>
        <v>0</v>
      </c>
      <c r="F140" s="274"/>
      <c r="G140" s="275">
        <f t="shared" si="25"/>
        <v>44501</v>
      </c>
      <c r="H140" s="276">
        <f>SUMIFS($R$18:$R$60,$B$18:$B$60,$D$136,$D$18:$D$60,"Ponta")</f>
        <v>0</v>
      </c>
      <c r="I140" s="276">
        <f>SUMIFS($R$18:$R$60,$B$18:$B$60,$D$136,$D$18:$D$60,"Fora Ponta")</f>
        <v>0</v>
      </c>
      <c r="J140" s="276">
        <f t="shared" si="26"/>
        <v>0</v>
      </c>
      <c r="K140" s="276">
        <f t="shared" si="27"/>
        <v>0</v>
      </c>
      <c r="L140" s="276">
        <f>IF(MONTH(DataRevRea)=7,'Rede Básica + Ajuste'!J140,IF(G140&lt;$Q$69,(SUMIFS($E$18:$E$60,$B$18:$B$60,$D$136,$D$18:$D$60,"Ponta")),(SUMIFS($F$18:$F$60,$B$18:$B$60,$D$136,$D$18:$D$60,"Ponta"))))</f>
        <v>0</v>
      </c>
      <c r="M140" s="276">
        <f>IF(MONTH(DataRevRea)=7,'Rede Básica + Ajuste'!K140,IF(G140&lt;$Q$69,(SUMIFS($E$18:$E$60,$B$18:$B$60,$D$136,$D$18:$D$60,"Fora Ponta")),(SUMIFS($F$18:$F$60,$B$18:$B$60,$D$136,$D$18:$D$60,"Fora Ponta"))))</f>
        <v>0</v>
      </c>
      <c r="N140" s="283">
        <f t="shared" si="28"/>
        <v>0</v>
      </c>
    </row>
    <row r="141" spans="3:14" ht="15.75">
      <c r="C141" s="274"/>
      <c r="D141" s="274"/>
      <c r="E141" s="274"/>
      <c r="F141" s="274"/>
      <c r="G141" s="275">
        <f t="shared" si="25"/>
        <v>44531</v>
      </c>
      <c r="H141" s="276">
        <f>SUMIFS($S$18:$S$60,$B$18:$B$60,$D$136,$D$18:$D$60,"Ponta")</f>
        <v>0</v>
      </c>
      <c r="I141" s="276">
        <f>SUMIFS($S$18:$S$60,$B$18:$B$60,$D$136,$D$18:$D$60,"Fora Ponta")</f>
        <v>0</v>
      </c>
      <c r="J141" s="276">
        <f t="shared" si="26"/>
        <v>0</v>
      </c>
      <c r="K141" s="276">
        <f t="shared" si="27"/>
        <v>0</v>
      </c>
      <c r="L141" s="276">
        <f>IF(MONTH(DataRevRea)=7,'Rede Básica + Ajuste'!J141,IF(G141&lt;$Q$69,(SUMIFS($E$18:$E$60,$B$18:$B$60,$D$136,$D$18:$D$60,"Ponta")),(SUMIFS($F$18:$F$60,$B$18:$B$60,$D$136,$D$18:$D$60,"Ponta"))))</f>
        <v>0</v>
      </c>
      <c r="M141" s="276">
        <f>IF(MONTH(DataRevRea)=7,'Rede Básica + Ajuste'!K141,IF(G141&lt;$Q$69,(SUMIFS($E$18:$E$60,$B$18:$B$60,$D$136,$D$18:$D$60,"Fora Ponta")),(SUMIFS($F$18:$F$60,$B$18:$B$60,$D$136,$D$18:$D$60,"Fora Ponta"))))</f>
        <v>0</v>
      </c>
      <c r="N141" s="283">
        <f t="shared" si="28"/>
        <v>0</v>
      </c>
    </row>
    <row r="142" spans="3:14" ht="15.75">
      <c r="C142" s="286"/>
      <c r="D142" s="286"/>
      <c r="E142" s="286"/>
      <c r="F142" s="274"/>
      <c r="G142" s="275">
        <f t="shared" si="25"/>
        <v>44562</v>
      </c>
      <c r="H142" s="276">
        <f>SUMIFS($T$18:$T$60,$B$18:$B$60,$D$136,$D$18:$D$60,"Ponta")</f>
        <v>0</v>
      </c>
      <c r="I142" s="276">
        <f>SUMIFS($T$18:$T$60,$B$18:$B$60,$D$136,$D$18:$D$60,"Fora Ponta")</f>
        <v>0</v>
      </c>
      <c r="J142" s="276">
        <f t="shared" si="26"/>
        <v>0</v>
      </c>
      <c r="K142" s="276">
        <f t="shared" si="27"/>
        <v>0</v>
      </c>
      <c r="L142" s="276">
        <f>IF(MONTH(DataRevRea)=7,'Rede Básica + Ajuste'!J142,IF(G142&lt;$Q$69,(SUMIFS($E$18:$E$60,$B$18:$B$60,$D$136,$D$18:$D$60,"Ponta")),(SUMIFS($F$18:$F$60,$B$18:$B$60,$D$136,$D$18:$D$60,"Ponta"))))</f>
        <v>0</v>
      </c>
      <c r="M142" s="276">
        <f>IF(MONTH(DataRevRea)=7,'Rede Básica + Ajuste'!K142,IF(G142&lt;$Q$69,(SUMIFS($E$18:$E$60,$B$18:$B$60,$D$136,$D$18:$D$60,"Fora Ponta")),(SUMIFS($F$18:$F$60,$B$18:$B$60,$D$136,$D$18:$D$60,"Fora Ponta"))))</f>
        <v>0</v>
      </c>
      <c r="N142" s="283">
        <f t="shared" si="28"/>
        <v>0</v>
      </c>
    </row>
    <row r="143" spans="3:14" ht="15.75">
      <c r="C143" s="278"/>
      <c r="D143" s="278"/>
      <c r="E143" s="287"/>
      <c r="F143" s="274"/>
      <c r="G143" s="275">
        <f t="shared" si="25"/>
        <v>44593</v>
      </c>
      <c r="H143" s="276">
        <f>SUMIFS($U$18:$U$60,$B$18:$B$60,$D$136,$D$18:$D$60,"Ponta")</f>
        <v>0</v>
      </c>
      <c r="I143" s="276">
        <f>SUMIFS($U$18:$U$60,$B$18:$B$60,$D$136,$D$18:$D$60,"Fora Ponta")</f>
        <v>0</v>
      </c>
      <c r="J143" s="276">
        <f t="shared" si="26"/>
        <v>0</v>
      </c>
      <c r="K143" s="276">
        <f t="shared" si="27"/>
        <v>0</v>
      </c>
      <c r="L143" s="276">
        <f>IF(MONTH(DataRevRea)=7,'Rede Básica + Ajuste'!J143,IF(G143&lt;$Q$69,(SUMIFS($E$18:$E$60,$B$18:$B$60,$D$136,$D$18:$D$60,"Ponta")),(SUMIFS($F$18:$F$60,$B$18:$B$60,$D$136,$D$18:$D$60,"Ponta"))))</f>
        <v>0</v>
      </c>
      <c r="M143" s="276">
        <f>IF(MONTH(DataRevRea)=7,'Rede Básica + Ajuste'!K143,IF(G143&lt;$Q$69,(SUMIFS($E$18:$E$60,$B$18:$B$60,$D$136,$D$18:$D$60,"Fora Ponta")),(SUMIFS($F$18:$F$60,$B$18:$B$60,$D$136,$D$18:$D$60,"Fora Ponta"))))</f>
        <v>0</v>
      </c>
      <c r="N143" s="283">
        <f t="shared" si="28"/>
        <v>0</v>
      </c>
    </row>
    <row r="144" spans="3:14" ht="15.75">
      <c r="C144" s="288"/>
      <c r="D144" s="278"/>
      <c r="E144" s="287"/>
      <c r="F144" s="274"/>
      <c r="G144" s="275">
        <f t="shared" si="25"/>
        <v>44621</v>
      </c>
      <c r="H144" s="276">
        <f>SUMIFS($V$18:$V$60,$B$18:$B$60,$D$136,$D$18:$D$60,"Ponta")</f>
        <v>0</v>
      </c>
      <c r="I144" s="276">
        <f>SUMIFS($V$18:$V$60,$B$18:$B$60,$D$136,$D$18:$D$60,"Fora Ponta")</f>
        <v>0</v>
      </c>
      <c r="J144" s="276">
        <f t="shared" si="26"/>
        <v>0</v>
      </c>
      <c r="K144" s="276">
        <f t="shared" si="27"/>
        <v>0</v>
      </c>
      <c r="L144" s="276">
        <f>IF(MONTH(DataRevRea)=7,'Rede Básica + Ajuste'!J144,IF(G144&lt;$Q$69,(SUMIFS($E$18:$E$60,$B$18:$B$60,$D$136,$D$18:$D$60,"Ponta")),(SUMIFS($F$18:$F$60,$B$18:$B$60,$D$136,$D$18:$D$60,"Ponta"))))</f>
        <v>0</v>
      </c>
      <c r="M144" s="276">
        <f>IF(MONTH(DataRevRea)=7,'Rede Básica + Ajuste'!K144,IF(G144&lt;$Q$69,(SUMIFS($E$18:$E$60,$B$18:$B$60,$D$136,$D$18:$D$60,"Fora Ponta")),(SUMIFS($F$18:$F$60,$B$18:$B$60,$D$136,$D$18:$D$60,"Fora Ponta"))))</f>
        <v>0</v>
      </c>
      <c r="N144" s="283">
        <f t="shared" si="28"/>
        <v>0</v>
      </c>
    </row>
    <row r="145" spans="3:14" ht="15.75">
      <c r="C145" s="274"/>
      <c r="D145" s="274"/>
      <c r="E145" s="274"/>
      <c r="F145" s="274"/>
      <c r="G145" s="275">
        <f t="shared" si="25"/>
        <v>44652</v>
      </c>
      <c r="H145" s="276">
        <f>SUMIFS($W$18:$W$60,$B$18:$B$60,$D$136,$D$18:$D$60,"Ponta")</f>
        <v>0</v>
      </c>
      <c r="I145" s="276">
        <f>SUMIFS($W$18:$W$60,$B$18:$B$60,$D$136,$D$18:$D$60,"Fora Ponta")</f>
        <v>0</v>
      </c>
      <c r="J145" s="276">
        <f t="shared" si="26"/>
        <v>0</v>
      </c>
      <c r="K145" s="276">
        <f t="shared" si="27"/>
        <v>0</v>
      </c>
      <c r="L145" s="276">
        <f>IF(MONTH(DataRevRea)=7,'Rede Básica + Ajuste'!J145,IF(G145&lt;$Q$69,(SUMIFS($E$18:$E$60,$B$18:$B$60,$D$136,$D$18:$D$60,"Ponta")),(SUMIFS($F$18:$F$60,$B$18:$B$60,$D$136,$D$18:$D$60,"Ponta"))))</f>
        <v>0</v>
      </c>
      <c r="M145" s="276">
        <f>IF(MONTH(DataRevRea)=7,'Rede Básica + Ajuste'!K145,IF(G145&lt;$Q$69,(SUMIFS($E$18:$E$60,$B$18:$B$60,$D$136,$D$18:$D$60,"Fora Ponta")),(SUMIFS($F$18:$F$60,$B$18:$B$60,$D$136,$D$18:$D$60,"Fora Ponta"))))</f>
        <v>0</v>
      </c>
      <c r="N145" s="283">
        <f t="shared" si="28"/>
        <v>0</v>
      </c>
    </row>
    <row r="146" spans="3:14" ht="15.75">
      <c r="C146" s="280"/>
      <c r="D146" s="280"/>
      <c r="E146" s="280"/>
      <c r="F146" s="274"/>
      <c r="G146" s="275">
        <f t="shared" si="25"/>
        <v>44682</v>
      </c>
      <c r="H146" s="276">
        <f>SUMIFS($X$18:$X$60,$B$18:$B$60,$D$136,$D$18:$D$60,"Ponta")</f>
        <v>0</v>
      </c>
      <c r="I146" s="276">
        <f>SUMIFS($X$18:$X$60,$B$18:$B$60,$D$136,$D$18:$D$60,"Fora Ponta")</f>
        <v>0</v>
      </c>
      <c r="J146" s="276">
        <f t="shared" si="26"/>
        <v>0</v>
      </c>
      <c r="K146" s="276">
        <f t="shared" si="27"/>
        <v>0</v>
      </c>
      <c r="L146" s="276">
        <f>IF(MONTH(DataRevRea)=7,'Rede Básica + Ajuste'!J146,IF(G146&lt;$Q$69,(SUMIFS($E$18:$E$60,$B$18:$B$60,$D$136,$D$18:$D$60,"Ponta")),(SUMIFS($F$18:$F$60,$B$18:$B$60,$D$136,$D$18:$D$60,"Ponta"))))</f>
        <v>0</v>
      </c>
      <c r="M146" s="276">
        <f>IF(MONTH(DataRevRea)=7,'Rede Básica + Ajuste'!K146,IF(G146&lt;$Q$69,(SUMIFS($E$18:$E$60,$B$18:$B$60,$D$136,$D$18:$D$60,"Fora Ponta")),(SUMIFS($F$18:$F$60,$B$18:$B$60,$D$136,$D$18:$D$60,"Fora Ponta"))))</f>
        <v>0</v>
      </c>
      <c r="N146" s="283">
        <f t="shared" si="28"/>
        <v>0</v>
      </c>
    </row>
    <row r="147" spans="3:14" ht="15.75">
      <c r="C147" s="278"/>
      <c r="D147" s="279"/>
      <c r="E147" s="278"/>
      <c r="F147" s="274"/>
      <c r="G147" s="1650">
        <f t="shared" si="25"/>
        <v>44713</v>
      </c>
      <c r="H147" s="1651">
        <f>SUMIFS($Y$18:$Y$60,$B$18:$B$60,$D$136,$D$18:$D$60,"Ponta")</f>
        <v>0</v>
      </c>
      <c r="I147" s="1651">
        <f>SUMIFS($Y$18:$Y$60,$B$18:$B$60,$D$136,$D$18:$D$60,"Fora Ponta")</f>
        <v>0</v>
      </c>
      <c r="J147" s="1651">
        <f t="shared" si="26"/>
        <v>0</v>
      </c>
      <c r="K147" s="1651">
        <f t="shared" si="27"/>
        <v>0</v>
      </c>
      <c r="L147" s="1651">
        <f>IF(MONTH(DataRevRea)=7,'Rede Básica + Ajuste'!J147,IF(G147&lt;$Q$69,(SUMIFS($E$18:$E$60,$B$18:$B$60,$D$136,$D$18:$D$60,"Ponta")),(SUMIFS($F$18:$F$60,$B$18:$B$60,$D$136,$D$18:$D$60,"Ponta"))))</f>
        <v>0</v>
      </c>
      <c r="M147" s="1651">
        <f>IF(MONTH(DataRevRea)=7,'Rede Básica + Ajuste'!K147,IF(G147&lt;$Q$69,(SUMIFS($E$18:$E$60,$B$18:$B$60,$D$136,$D$18:$D$60,"Fora Ponta")),(SUMIFS($F$18:$F$60,$B$18:$B$60,$D$136,$D$18:$D$60,"Fora Ponta"))))</f>
        <v>0</v>
      </c>
      <c r="N147" s="1652">
        <f t="shared" si="28"/>
        <v>0</v>
      </c>
    </row>
    <row r="148" spans="3:14">
      <c r="G148" s="150"/>
    </row>
    <row r="149" spans="3:14" ht="15.75">
      <c r="C149" s="274"/>
      <c r="D149" s="274"/>
      <c r="E149" s="274"/>
      <c r="F149" s="274"/>
      <c r="G149" s="274"/>
      <c r="H149" s="274"/>
      <c r="I149" s="274"/>
      <c r="J149" s="1798" t="s">
        <v>1320</v>
      </c>
      <c r="K149" s="1799"/>
      <c r="L149" s="1797" t="s">
        <v>1321</v>
      </c>
      <c r="M149" s="1797"/>
      <c r="N149" s="282"/>
    </row>
    <row r="150" spans="3:14" ht="15.75">
      <c r="C150" s="1800" t="s">
        <v>1331</v>
      </c>
      <c r="D150" s="1801"/>
      <c r="F150" s="274"/>
      <c r="G150" s="1315" t="s">
        <v>774</v>
      </c>
      <c r="H150" s="1316" t="s">
        <v>1322</v>
      </c>
      <c r="I150" s="1316" t="s">
        <v>1323</v>
      </c>
      <c r="J150" s="1649" t="s">
        <v>1324</v>
      </c>
      <c r="K150" s="1649" t="s">
        <v>1325</v>
      </c>
      <c r="L150" s="1649" t="s">
        <v>1324</v>
      </c>
      <c r="M150" s="1649" t="s">
        <v>1325</v>
      </c>
      <c r="N150" s="281" t="s">
        <v>1326</v>
      </c>
    </row>
    <row r="151" spans="3:14" ht="15.75">
      <c r="C151" s="1312" t="s">
        <v>1327</v>
      </c>
      <c r="D151" s="1325">
        <f>IF(D20="Ponta",B20,0)</f>
        <v>0</v>
      </c>
      <c r="E151" s="18"/>
      <c r="F151" s="274"/>
      <c r="G151" s="1318">
        <f>G136</f>
        <v>44378</v>
      </c>
      <c r="H151" s="276">
        <f>H136</f>
        <v>0</v>
      </c>
      <c r="I151" s="276">
        <f>I136</f>
        <v>0</v>
      </c>
      <c r="J151" s="276">
        <f>SUMIFS($G$18:$G$60,$B$18:$B$60,$D$151,$D$18:$D$60,"Ponta")</f>
        <v>0</v>
      </c>
      <c r="K151" s="276">
        <f>SUMIFS($G$18:$G$60,$B$18:$B$60,$D$151,$D$18:$D$60,"Fora Ponta")</f>
        <v>0</v>
      </c>
      <c r="L151" s="1319">
        <f>IF(MONTH(DataRevRea)=7,'Rede Básica + Ajuste'!J151,IF(G151&lt;$Q$69,(SUMIFS($G$18:$G$60,$B$18:$B$60,$D$151,$D$18:$D$60,"Ponta")),(SUMIFS($H$18:$H$60,$B$18:$B$60,$D$151,$D$18:$D$60,"Ponta"))))</f>
        <v>0</v>
      </c>
      <c r="M151" s="1319">
        <f>IF(MONTH(DataRevRea)=7,'Rede Básica + Ajuste'!K151,IF(G151&lt;$Q$69,(SUMIFS($G$18:$G$60,$B$18:$B$60,$D$151,$D$18:$D$60,"Fora Ponta")),(SUMIFS($H$18:$H$60,$B$18:$B$60,$D$151,$D$18:$D$60,"Fora Ponta"))))</f>
        <v>0</v>
      </c>
      <c r="N151" s="1320">
        <f>+(H151*(L151-J151))+(I151*(M151-K151))</f>
        <v>0</v>
      </c>
    </row>
    <row r="152" spans="3:14" ht="15.75">
      <c r="C152" s="274"/>
      <c r="D152" s="274"/>
      <c r="E152" s="274"/>
      <c r="F152" s="274"/>
      <c r="G152" s="275">
        <f t="shared" ref="G152:I162" si="29">G137</f>
        <v>44409</v>
      </c>
      <c r="H152" s="276">
        <f t="shared" si="29"/>
        <v>0</v>
      </c>
      <c r="I152" s="276">
        <f t="shared" si="29"/>
        <v>0</v>
      </c>
      <c r="J152" s="276">
        <f t="shared" ref="J152:J162" si="30">SUMIFS($G$18:$G$60,$B$18:$B$60,$D$151,$D$18:$D$60,"Ponta")</f>
        <v>0</v>
      </c>
      <c r="K152" s="276">
        <f t="shared" ref="K152:K162" si="31">SUMIFS($G$18:$G$60,$B$18:$B$60,$D$151,$D$18:$D$60,"Fora Ponta")</f>
        <v>0</v>
      </c>
      <c r="L152" s="276">
        <f>IF(MONTH(DataRevRea)=7,'Rede Básica + Ajuste'!J152,IF(G152&lt;$Q$69,(SUMIFS($G$18:$G$60,$B$18:$B$60,$D$151,$D$18:$D$60,"Ponta")),(SUMIFS($H$18:$H$60,$B$18:$B$60,$D$151,$D$18:$D$60,"Ponta"))))</f>
        <v>0</v>
      </c>
      <c r="M152" s="276">
        <f>IF(MONTH(DataRevRea)=7,'Rede Básica + Ajuste'!K152,IF(G152&lt;$Q$69,(SUMIFS($G$18:$G$60,$B$18:$B$60,$D$151,$D$18:$D$60,"Fora Ponta")),(SUMIFS($H$18:$H$60,$B$18:$B$60,$D$151,$D$18:$D$60,"Fora Ponta"))))</f>
        <v>0</v>
      </c>
      <c r="N152" s="283">
        <f t="shared" ref="N152:N162" si="32">+(H152*(L152-J152))+(I152*(M152-K152))</f>
        <v>0</v>
      </c>
    </row>
    <row r="153" spans="3:14" ht="15.75">
      <c r="C153" s="277"/>
      <c r="D153" s="1321" t="s">
        <v>1328</v>
      </c>
      <c r="E153" s="1322" t="s">
        <v>1329</v>
      </c>
      <c r="F153" s="274"/>
      <c r="G153" s="275">
        <f t="shared" si="29"/>
        <v>44440</v>
      </c>
      <c r="H153" s="276">
        <f t="shared" si="29"/>
        <v>0</v>
      </c>
      <c r="I153" s="276">
        <f t="shared" si="29"/>
        <v>0</v>
      </c>
      <c r="J153" s="276">
        <f t="shared" si="30"/>
        <v>0</v>
      </c>
      <c r="K153" s="276">
        <f t="shared" si="31"/>
        <v>0</v>
      </c>
      <c r="L153" s="276">
        <f>IF(MONTH(DataRevRea)=7,'Rede Básica + Ajuste'!J153,IF(G153&lt;$Q$69,(SUMIFS($G$18:$G$60,$B$18:$B$60,$D$151,$D$18:$D$60,"Ponta")),(SUMIFS($H$18:$H$60,$B$18:$B$60,$D$151,$D$18:$D$60,"Ponta"))))</f>
        <v>0</v>
      </c>
      <c r="M153" s="276">
        <f>IF(MONTH(DataRevRea)=7,'Rede Básica + Ajuste'!K153,IF(G153&lt;$Q$69,(SUMIFS($G$18:$G$60,$B$18:$B$60,$D$151,$D$18:$D$60,"Fora Ponta")),(SUMIFS($H$18:$H$60,$B$18:$B$60,$D$151,$D$18:$D$60,"Fora Ponta"))))</f>
        <v>0</v>
      </c>
      <c r="N153" s="283">
        <f t="shared" si="32"/>
        <v>0</v>
      </c>
    </row>
    <row r="154" spans="3:14" ht="15.75">
      <c r="C154" s="1323" t="str">
        <f>C139</f>
        <v>Cobertura 2021</v>
      </c>
      <c r="D154" s="1324">
        <f>SUMPRODUCT(H151:H162,J151:J162)</f>
        <v>0</v>
      </c>
      <c r="E154" s="1324">
        <f>SUMPRODUCT(I151:I162,K151:K162)</f>
        <v>0</v>
      </c>
      <c r="F154" s="274"/>
      <c r="G154" s="275">
        <f t="shared" si="29"/>
        <v>44470</v>
      </c>
      <c r="H154" s="276">
        <f t="shared" si="29"/>
        <v>0</v>
      </c>
      <c r="I154" s="276">
        <f t="shared" si="29"/>
        <v>0</v>
      </c>
      <c r="J154" s="276">
        <f t="shared" si="30"/>
        <v>0</v>
      </c>
      <c r="K154" s="276">
        <f t="shared" si="31"/>
        <v>0</v>
      </c>
      <c r="L154" s="276">
        <f>IF(MONTH(DataRevRea)=7,'Rede Básica + Ajuste'!J154,IF(G154&lt;$Q$69,(SUMIFS($G$18:$G$60,$B$18:$B$60,$D$151,$D$18:$D$60,"Ponta")),(SUMIFS($H$18:$H$60,$B$18:$B$60,$D$151,$D$18:$D$60,"Ponta"))))</f>
        <v>0</v>
      </c>
      <c r="M154" s="276">
        <f>IF(MONTH(DataRevRea)=7,'Rede Básica + Ajuste'!K154,IF(G154&lt;$Q$69,(SUMIFS($G$18:$G$60,$B$18:$B$60,$D$151,$D$18:$D$60,"Fora Ponta")),(SUMIFS($H$18:$H$60,$B$18:$B$60,$D$151,$D$18:$D$60,"Fora Ponta"))))</f>
        <v>0</v>
      </c>
      <c r="N154" s="283">
        <f t="shared" si="32"/>
        <v>0</v>
      </c>
    </row>
    <row r="155" spans="3:14" ht="15.75">
      <c r="C155" s="1323" t="s">
        <v>1330</v>
      </c>
      <c r="D155" s="1324">
        <f>SUMPRODUCT(H151:H162,L151:L162)</f>
        <v>0</v>
      </c>
      <c r="E155" s="1324">
        <f>SUMPRODUCT(I151:I162,M151:M162)</f>
        <v>0</v>
      </c>
      <c r="F155" s="274"/>
      <c r="G155" s="275">
        <f t="shared" si="29"/>
        <v>44501</v>
      </c>
      <c r="H155" s="276">
        <f t="shared" si="29"/>
        <v>0</v>
      </c>
      <c r="I155" s="276">
        <f t="shared" si="29"/>
        <v>0</v>
      </c>
      <c r="J155" s="276">
        <f t="shared" si="30"/>
        <v>0</v>
      </c>
      <c r="K155" s="276">
        <f t="shared" si="31"/>
        <v>0</v>
      </c>
      <c r="L155" s="276">
        <f>IF(MONTH(DataRevRea)=7,'Rede Básica + Ajuste'!J155,IF(G155&lt;$Q$69,(SUMIFS($G$18:$G$60,$B$18:$B$60,$D$151,$D$18:$D$60,"Ponta")),(SUMIFS($H$18:$H$60,$B$18:$B$60,$D$151,$D$18:$D$60,"Ponta"))))</f>
        <v>0</v>
      </c>
      <c r="M155" s="276">
        <f>IF(MONTH(DataRevRea)=7,'Rede Básica + Ajuste'!K155,IF(G155&lt;$Q$69,(SUMIFS($G$18:$G$60,$B$18:$B$60,$D$151,$D$18:$D$60,"Fora Ponta")),(SUMIFS($H$18:$H$60,$B$18:$B$60,$D$151,$D$18:$D$60,"Fora Ponta"))))</f>
        <v>0</v>
      </c>
      <c r="N155" s="283">
        <f t="shared" si="32"/>
        <v>0</v>
      </c>
    </row>
    <row r="156" spans="3:14" ht="15.75">
      <c r="C156" s="274"/>
      <c r="D156" s="274"/>
      <c r="E156" s="274"/>
      <c r="F156" s="274"/>
      <c r="G156" s="275">
        <f t="shared" si="29"/>
        <v>44531</v>
      </c>
      <c r="H156" s="276">
        <f t="shared" si="29"/>
        <v>0</v>
      </c>
      <c r="I156" s="276">
        <f t="shared" si="29"/>
        <v>0</v>
      </c>
      <c r="J156" s="276">
        <f t="shared" si="30"/>
        <v>0</v>
      </c>
      <c r="K156" s="276">
        <f t="shared" si="31"/>
        <v>0</v>
      </c>
      <c r="L156" s="276">
        <f>IF(MONTH(DataRevRea)=7,'Rede Básica + Ajuste'!J156,IF(G156&lt;$Q$69,(SUMIFS($G$18:$G$60,$B$18:$B$60,$D$151,$D$18:$D$60,"Ponta")),(SUMIFS($H$18:$H$60,$B$18:$B$60,$D$151,$D$18:$D$60,"Ponta"))))</f>
        <v>0</v>
      </c>
      <c r="M156" s="276">
        <f>IF(MONTH(DataRevRea)=7,'Rede Básica + Ajuste'!K156,IF(G156&lt;$Q$69,(SUMIFS($G$18:$G$60,$B$18:$B$60,$D$151,$D$18:$D$60,"Fora Ponta")),(SUMIFS($H$18:$H$60,$B$18:$B$60,$D$151,$D$18:$D$60,"Fora Ponta"))))</f>
        <v>0</v>
      </c>
      <c r="N156" s="283">
        <f t="shared" si="32"/>
        <v>0</v>
      </c>
    </row>
    <row r="157" spans="3:14" ht="15.75">
      <c r="C157" s="286"/>
      <c r="D157" s="286"/>
      <c r="E157" s="286"/>
      <c r="F157" s="274"/>
      <c r="G157" s="275">
        <f t="shared" si="29"/>
        <v>44562</v>
      </c>
      <c r="H157" s="276">
        <f t="shared" si="29"/>
        <v>0</v>
      </c>
      <c r="I157" s="276">
        <f t="shared" si="29"/>
        <v>0</v>
      </c>
      <c r="J157" s="276">
        <f t="shared" si="30"/>
        <v>0</v>
      </c>
      <c r="K157" s="276">
        <f t="shared" si="31"/>
        <v>0</v>
      </c>
      <c r="L157" s="276">
        <f>IF(MONTH(DataRevRea)=7,'Rede Básica + Ajuste'!J157,IF(G157&lt;$Q$69,(SUMIFS($G$18:$G$60,$B$18:$B$60,$D$151,$D$18:$D$60,"Ponta")),(SUMIFS($H$18:$H$60,$B$18:$B$60,$D$151,$D$18:$D$60,"Ponta"))))</f>
        <v>0</v>
      </c>
      <c r="M157" s="276">
        <f>IF(MONTH(DataRevRea)=7,'Rede Básica + Ajuste'!K157,IF(G157&lt;$Q$69,(SUMIFS($G$18:$G$60,$B$18:$B$60,$D$151,$D$18:$D$60,"Fora Ponta")),(SUMIFS($H$18:$H$60,$B$18:$B$60,$D$151,$D$18:$D$60,"Fora Ponta"))))</f>
        <v>0</v>
      </c>
      <c r="N157" s="283">
        <f t="shared" si="32"/>
        <v>0</v>
      </c>
    </row>
    <row r="158" spans="3:14" ht="15.75">
      <c r="C158" s="278"/>
      <c r="D158" s="278"/>
      <c r="E158" s="287"/>
      <c r="F158" s="274"/>
      <c r="G158" s="275">
        <f t="shared" si="29"/>
        <v>44593</v>
      </c>
      <c r="H158" s="276">
        <f t="shared" si="29"/>
        <v>0</v>
      </c>
      <c r="I158" s="276">
        <f t="shared" si="29"/>
        <v>0</v>
      </c>
      <c r="J158" s="276">
        <f t="shared" si="30"/>
        <v>0</v>
      </c>
      <c r="K158" s="276">
        <f t="shared" si="31"/>
        <v>0</v>
      </c>
      <c r="L158" s="276">
        <f>IF(MONTH(DataRevRea)=7,'Rede Básica + Ajuste'!J158,IF(G158&lt;$Q$69,(SUMIFS($G$18:$G$60,$B$18:$B$60,$D$151,$D$18:$D$60,"Ponta")),(SUMIFS($H$18:$H$60,$B$18:$B$60,$D$151,$D$18:$D$60,"Ponta"))))</f>
        <v>0</v>
      </c>
      <c r="M158" s="276">
        <f>IF(MONTH(DataRevRea)=7,'Rede Básica + Ajuste'!K158,IF(G158&lt;$Q$69,(SUMIFS($G$18:$G$60,$B$18:$B$60,$D$151,$D$18:$D$60,"Fora Ponta")),(SUMIFS($H$18:$H$60,$B$18:$B$60,$D$151,$D$18:$D$60,"Fora Ponta"))))</f>
        <v>0</v>
      </c>
      <c r="N158" s="283">
        <f t="shared" si="32"/>
        <v>0</v>
      </c>
    </row>
    <row r="159" spans="3:14" ht="15.75">
      <c r="C159" s="288"/>
      <c r="D159" s="278"/>
      <c r="E159" s="287"/>
      <c r="F159" s="274"/>
      <c r="G159" s="275">
        <f t="shared" si="29"/>
        <v>44621</v>
      </c>
      <c r="H159" s="276">
        <f t="shared" si="29"/>
        <v>0</v>
      </c>
      <c r="I159" s="276">
        <f t="shared" si="29"/>
        <v>0</v>
      </c>
      <c r="J159" s="276">
        <f t="shared" si="30"/>
        <v>0</v>
      </c>
      <c r="K159" s="276">
        <f t="shared" si="31"/>
        <v>0</v>
      </c>
      <c r="L159" s="276">
        <f>IF(MONTH(DataRevRea)=7,'Rede Básica + Ajuste'!J159,IF(G159&lt;$Q$69,(SUMIFS($G$18:$G$60,$B$18:$B$60,$D$151,$D$18:$D$60,"Ponta")),(SUMIFS($H$18:$H$60,$B$18:$B$60,$D$151,$D$18:$D$60,"Ponta"))))</f>
        <v>0</v>
      </c>
      <c r="M159" s="276">
        <f>IF(MONTH(DataRevRea)=7,'Rede Básica + Ajuste'!K159,IF(G159&lt;$Q$69,(SUMIFS($G$18:$G$60,$B$18:$B$60,$D$151,$D$18:$D$60,"Fora Ponta")),(SUMIFS($H$18:$H$60,$B$18:$B$60,$D$151,$D$18:$D$60,"Fora Ponta"))))</f>
        <v>0</v>
      </c>
      <c r="N159" s="283">
        <f t="shared" si="32"/>
        <v>0</v>
      </c>
    </row>
    <row r="160" spans="3:14" ht="15.75">
      <c r="C160" s="274"/>
      <c r="D160" s="274"/>
      <c r="E160" s="274"/>
      <c r="F160" s="274"/>
      <c r="G160" s="275">
        <f t="shared" si="29"/>
        <v>44652</v>
      </c>
      <c r="H160" s="276">
        <f t="shared" si="29"/>
        <v>0</v>
      </c>
      <c r="I160" s="276">
        <f t="shared" si="29"/>
        <v>0</v>
      </c>
      <c r="J160" s="276">
        <f t="shared" si="30"/>
        <v>0</v>
      </c>
      <c r="K160" s="276">
        <f t="shared" si="31"/>
        <v>0</v>
      </c>
      <c r="L160" s="276">
        <f>IF(MONTH(DataRevRea)=7,'Rede Básica + Ajuste'!J160,IF(G160&lt;$Q$69,(SUMIFS($G$18:$G$60,$B$18:$B$60,$D$151,$D$18:$D$60,"Ponta")),(SUMIFS($H$18:$H$60,$B$18:$B$60,$D$151,$D$18:$D$60,"Ponta"))))</f>
        <v>0</v>
      </c>
      <c r="M160" s="276">
        <f>IF(MONTH(DataRevRea)=7,'Rede Básica + Ajuste'!K160,IF(G160&lt;$Q$69,(SUMIFS($G$18:$G$60,$B$18:$B$60,$D$151,$D$18:$D$60,"Fora Ponta")),(SUMIFS($H$18:$H$60,$B$18:$B$60,$D$151,$D$18:$D$60,"Fora Ponta"))))</f>
        <v>0</v>
      </c>
      <c r="N160" s="283">
        <f t="shared" si="32"/>
        <v>0</v>
      </c>
    </row>
    <row r="161" spans="3:14" ht="15.75">
      <c r="C161" s="280"/>
      <c r="D161" s="280"/>
      <c r="E161" s="280"/>
      <c r="F161" s="274"/>
      <c r="G161" s="275">
        <f t="shared" si="29"/>
        <v>44682</v>
      </c>
      <c r="H161" s="276">
        <f t="shared" si="29"/>
        <v>0</v>
      </c>
      <c r="I161" s="276">
        <f>I146</f>
        <v>0</v>
      </c>
      <c r="J161" s="276">
        <f t="shared" si="30"/>
        <v>0</v>
      </c>
      <c r="K161" s="276">
        <f t="shared" si="31"/>
        <v>0</v>
      </c>
      <c r="L161" s="276">
        <f>IF(MONTH(DataRevRea)=7,'Rede Básica + Ajuste'!J161,IF(G161&lt;$Q$69,(SUMIFS($G$18:$G$60,$B$18:$B$60,$D$151,$D$18:$D$60,"Ponta")),(SUMIFS($H$18:$H$60,$B$18:$B$60,$D$151,$D$18:$D$60,"Ponta"))))</f>
        <v>0</v>
      </c>
      <c r="M161" s="276">
        <f>IF(MONTH(DataRevRea)=7,'Rede Básica + Ajuste'!K161,IF(G161&lt;$Q$69,(SUMIFS($G$18:$G$60,$B$18:$B$60,$D$151,$D$18:$D$60,"Fora Ponta")),(SUMIFS($H$18:$H$60,$B$18:$B$60,$D$151,$D$18:$D$60,"Fora Ponta"))))</f>
        <v>0</v>
      </c>
      <c r="N161" s="283">
        <f t="shared" si="32"/>
        <v>0</v>
      </c>
    </row>
    <row r="162" spans="3:14" ht="15.75">
      <c r="C162" s="278"/>
      <c r="D162" s="279"/>
      <c r="E162" s="278"/>
      <c r="F162" s="274"/>
      <c r="G162" s="1650">
        <f t="shared" si="29"/>
        <v>44713</v>
      </c>
      <c r="H162" s="1651">
        <f t="shared" si="29"/>
        <v>0</v>
      </c>
      <c r="I162" s="1651">
        <f t="shared" si="29"/>
        <v>0</v>
      </c>
      <c r="J162" s="1651">
        <f t="shared" si="30"/>
        <v>0</v>
      </c>
      <c r="K162" s="1651">
        <f t="shared" si="31"/>
        <v>0</v>
      </c>
      <c r="L162" s="1651">
        <f>IF(MONTH(DataRevRea)=7,'Rede Básica + Ajuste'!J162,IF(G162&lt;$Q$69,(SUMIFS($G$18:$G$60,$B$18:$B$60,$D$151,$D$18:$D$60,"Ponta")),(SUMIFS($H$18:$H$60,$B$18:$B$60,$D$151,$D$18:$D$60,"Ponta"))))</f>
        <v>0</v>
      </c>
      <c r="M162" s="1651">
        <f>IF(MONTH(DataRevRea)=7,'Rede Básica + Ajuste'!K162,IF(G162&lt;$Q$69,(SUMIFS($G$18:$G$60,$B$18:$B$60,$D$151,$D$18:$D$60,"Fora Ponta")),(SUMIFS($H$18:$H$60,$B$18:$B$60,$D$151,$D$18:$D$60,"Fora Ponta"))))</f>
        <v>0</v>
      </c>
      <c r="N162" s="1652">
        <f t="shared" si="32"/>
        <v>0</v>
      </c>
    </row>
    <row r="164" spans="3:14" ht="15.75">
      <c r="C164" s="274"/>
      <c r="D164" s="274"/>
      <c r="E164" s="274"/>
      <c r="F164" s="274"/>
      <c r="G164" s="274"/>
      <c r="H164" s="274"/>
      <c r="I164" s="274"/>
      <c r="J164" s="1798" t="s">
        <v>1320</v>
      </c>
      <c r="K164" s="1799"/>
      <c r="L164" s="1797" t="s">
        <v>1321</v>
      </c>
      <c r="M164" s="1797"/>
      <c r="N164" s="282"/>
    </row>
    <row r="165" spans="3:14" ht="15.75">
      <c r="C165" s="1800" t="s">
        <v>1303</v>
      </c>
      <c r="D165" s="1801"/>
      <c r="F165" s="274"/>
      <c r="G165" s="1315" t="s">
        <v>774</v>
      </c>
      <c r="H165" s="1316" t="s">
        <v>1322</v>
      </c>
      <c r="I165" s="1316" t="s">
        <v>1323</v>
      </c>
      <c r="J165" s="1649" t="s">
        <v>1324</v>
      </c>
      <c r="K165" s="1649" t="s">
        <v>1325</v>
      </c>
      <c r="L165" s="1649" t="s">
        <v>1324</v>
      </c>
      <c r="M165" s="1649" t="s">
        <v>1325</v>
      </c>
      <c r="N165" s="281" t="s">
        <v>1326</v>
      </c>
    </row>
    <row r="166" spans="3:14" ht="15.75">
      <c r="C166" s="1312" t="s">
        <v>1327</v>
      </c>
      <c r="D166" s="1325">
        <f>IF(D21="Ponta",B21,0)</f>
        <v>0</v>
      </c>
      <c r="E166" s="18"/>
      <c r="F166" s="274"/>
      <c r="G166" s="1318">
        <f>G151</f>
        <v>44378</v>
      </c>
      <c r="H166" s="276">
        <f>SUMIFS($N$18:$N$60,$B$18:$B$60,$D$166,$D$18:$D$60,"Ponta")</f>
        <v>0</v>
      </c>
      <c r="I166" s="276">
        <f>SUMIFS($N$18:$N$60,$B$18:$B$60,$D$166,$D$18:$D$60,"Fora Ponta")</f>
        <v>0</v>
      </c>
      <c r="J166" s="276">
        <f>SUMIFS($E$18:$E$60,$B$18:$B$60,$D$166,$D$18:$D$60,"Ponta")</f>
        <v>0</v>
      </c>
      <c r="K166" s="276">
        <f>SUMIFS($E$18:$E$60,$B$18:$B$60,$D$166,$D$18:$D$60,"Fora Ponta")</f>
        <v>0</v>
      </c>
      <c r="L166" s="1319">
        <f>IF(MONTH(DataRevRea)=7,'Rede Básica + Ajuste'!J166,IF(G166&lt;$Q$69,(SUMIFS($E$18:$E$60,$B$18:$B$60,$D$166,$D$18:$D$60,"Ponta")),(SUMIFS($F$18:$F$60,$B$18:$B$60,$D$166,$D$18:$D$60,"Ponta"))))</f>
        <v>0</v>
      </c>
      <c r="M166" s="1319">
        <f>IF(MONTH(DataRevRea)=7,'Rede Básica + Ajuste'!K166,IF(G166&lt;$Q$69,(SUMIFS($E$18:$E$60,$B$18:$B$60,$D$166,$D$18:$D$60,"Fora Ponta")),(SUMIFS($F$18:$F$60,$B$18:$B$60,$D$166,$D$18:$D$60,"Fora Ponta"))))</f>
        <v>0</v>
      </c>
      <c r="N166" s="1320">
        <f>+(H166*(L166-J166))+(I166*(M166-K166))</f>
        <v>0</v>
      </c>
    </row>
    <row r="167" spans="3:14" ht="15.75">
      <c r="C167" s="274"/>
      <c r="D167" s="274"/>
      <c r="E167" s="274"/>
      <c r="F167" s="274"/>
      <c r="G167" s="275">
        <f t="shared" ref="G167:G177" si="33">G152</f>
        <v>44409</v>
      </c>
      <c r="H167" s="276">
        <f>SUMIFS($O$18:$O$60,$B$18:$B$60,$D$166,$D$18:$D$60,"Ponta")</f>
        <v>0</v>
      </c>
      <c r="I167" s="276">
        <f>SUMIFS($O$18:$O$60,$B$18:$B$60,$D$166,$D$18:$D$60,"Fora Ponta")</f>
        <v>0</v>
      </c>
      <c r="J167" s="276">
        <f t="shared" ref="J167:J177" si="34">SUMIFS($E$18:$E$60,$B$18:$B$60,$D$166,$D$18:$D$60,"Ponta")</f>
        <v>0</v>
      </c>
      <c r="K167" s="276">
        <f t="shared" ref="K167:K177" si="35">SUMIFS($E$18:$E$60,$B$18:$B$60,$D$166,$D$18:$D$60,"Fora Ponta")</f>
        <v>0</v>
      </c>
      <c r="L167" s="276">
        <f>IF(MONTH(DataRevRea)=7,'Rede Básica + Ajuste'!J167,IF(G167&lt;$Q$69,(SUMIFS($E$18:$E$60,$B$18:$B$60,$D$166,$D$18:$D$60,"Ponta")),(SUMIFS($F$18:$F$60,$B$18:$B$60,$D$166,$D$18:$D$60,"Ponta"))))</f>
        <v>0</v>
      </c>
      <c r="M167" s="276">
        <f>IF(MONTH(DataRevRea)=7,'Rede Básica + Ajuste'!K167,IF(G167&lt;$Q$69,(SUMIFS($E$18:$E$60,$B$18:$B$60,$D$166,$D$18:$D$60,"Fora Ponta")),(SUMIFS($F$18:$F$60,$B$18:$B$60,$D$166,$D$18:$D$60,"Fora Ponta"))))</f>
        <v>0</v>
      </c>
      <c r="N167" s="283">
        <f t="shared" ref="N167:N177" si="36">+(H167*(L167-J167))+(I167*(M167-K167))</f>
        <v>0</v>
      </c>
    </row>
    <row r="168" spans="3:14" ht="15.75">
      <c r="C168" s="277"/>
      <c r="D168" s="1321" t="s">
        <v>1328</v>
      </c>
      <c r="E168" s="1322" t="s">
        <v>1329</v>
      </c>
      <c r="F168" s="274"/>
      <c r="G168" s="275">
        <f t="shared" si="33"/>
        <v>44440</v>
      </c>
      <c r="H168" s="276">
        <f>SUMIFS($P$18:$P$60,$B$18:$B$60,$D$166,$D$18:$D$60,"Ponta")</f>
        <v>0</v>
      </c>
      <c r="I168" s="276">
        <f>SUMIFS($P$18:$P$60,$B$18:$B$60,$D$166,$D$18:$D$60,"Fora Ponta")</f>
        <v>0</v>
      </c>
      <c r="J168" s="276">
        <f t="shared" si="34"/>
        <v>0</v>
      </c>
      <c r="K168" s="276">
        <f t="shared" si="35"/>
        <v>0</v>
      </c>
      <c r="L168" s="276">
        <f>IF(MONTH(DataRevRea)=7,'Rede Básica + Ajuste'!J168,IF(G168&lt;$Q$69,(SUMIFS($E$18:$E$60,$B$18:$B$60,$D$166,$D$18:$D$60,"Ponta")),(SUMIFS($F$18:$F$60,$B$18:$B$60,$D$166,$D$18:$D$60,"Ponta"))))</f>
        <v>0</v>
      </c>
      <c r="M168" s="276">
        <f>IF(MONTH(DataRevRea)=7,'Rede Básica + Ajuste'!K168,IF(G168&lt;$Q$69,(SUMIFS($E$18:$E$60,$B$18:$B$60,$D$166,$D$18:$D$60,"Fora Ponta")),(SUMIFS($F$18:$F$60,$B$18:$B$60,$D$166,$D$18:$D$60,"Fora Ponta"))))</f>
        <v>0</v>
      </c>
      <c r="N168" s="283">
        <f t="shared" si="36"/>
        <v>0</v>
      </c>
    </row>
    <row r="169" spans="3:14" ht="15.75">
      <c r="C169" s="1323" t="str">
        <f>C154</f>
        <v>Cobertura 2021</v>
      </c>
      <c r="D169" s="1324">
        <f>SUMPRODUCT(H166:H177,J166:J177)</f>
        <v>0</v>
      </c>
      <c r="E169" s="1324">
        <f>SUMPRODUCT(I166:I177,K166:K177)</f>
        <v>0</v>
      </c>
      <c r="F169" s="274"/>
      <c r="G169" s="275">
        <f t="shared" si="33"/>
        <v>44470</v>
      </c>
      <c r="H169" s="276">
        <f>SUMIFS($Q$18:$Q$60,$B$18:$B$60,$D$166,$D$18:$D$60,"Ponta")</f>
        <v>0</v>
      </c>
      <c r="I169" s="276">
        <f>SUMIFS($Q$18:$Q$60,$B$18:$B$60,$D$166,$D$18:$D$60,"Fora Ponta")</f>
        <v>0</v>
      </c>
      <c r="J169" s="276">
        <f t="shared" si="34"/>
        <v>0</v>
      </c>
      <c r="K169" s="276">
        <f t="shared" si="35"/>
        <v>0</v>
      </c>
      <c r="L169" s="276">
        <f>IF(MONTH(DataRevRea)=7,'Rede Básica + Ajuste'!J169,IF(G169&lt;$Q$69,(SUMIFS($E$18:$E$60,$B$18:$B$60,$D$166,$D$18:$D$60,"Ponta")),(SUMIFS($F$18:$F$60,$B$18:$B$60,$D$166,$D$18:$D$60,"Ponta"))))</f>
        <v>0</v>
      </c>
      <c r="M169" s="276">
        <f>IF(MONTH(DataRevRea)=7,'Rede Básica + Ajuste'!K169,IF(G169&lt;$Q$69,(SUMIFS($E$18:$E$60,$B$18:$B$60,$D$166,$D$18:$D$60,"Fora Ponta")),(SUMIFS($F$18:$F$60,$B$18:$B$60,$D$166,$D$18:$D$60,"Fora Ponta"))))</f>
        <v>0</v>
      </c>
      <c r="N169" s="283">
        <f t="shared" si="36"/>
        <v>0</v>
      </c>
    </row>
    <row r="170" spans="3:14" ht="15.75">
      <c r="C170" s="1323" t="s">
        <v>1330</v>
      </c>
      <c r="D170" s="1324">
        <f>SUMPRODUCT(H166:H177,L166:L177)</f>
        <v>0</v>
      </c>
      <c r="E170" s="1324">
        <f>SUMPRODUCT(I166:I177,M166:M177)</f>
        <v>0</v>
      </c>
      <c r="F170" s="274"/>
      <c r="G170" s="275">
        <f t="shared" si="33"/>
        <v>44501</v>
      </c>
      <c r="H170" s="276">
        <f>SUMIFS($R$18:$R$60,$B$18:$B$60,$D$166,$D$18:$D$60,"Ponta")</f>
        <v>0</v>
      </c>
      <c r="I170" s="276">
        <f>SUMIFS($R$18:$R$60,$B$18:$B$60,$D$166,$D$18:$D$60,"Fora Ponta")</f>
        <v>0</v>
      </c>
      <c r="J170" s="276">
        <f t="shared" si="34"/>
        <v>0</v>
      </c>
      <c r="K170" s="276">
        <f t="shared" si="35"/>
        <v>0</v>
      </c>
      <c r="L170" s="276">
        <f>IF(MONTH(DataRevRea)=7,'Rede Básica + Ajuste'!J170,IF(G170&lt;$Q$69,(SUMIFS($E$18:$E$60,$B$18:$B$60,$D$166,$D$18:$D$60,"Ponta")),(SUMIFS($F$18:$F$60,$B$18:$B$60,$D$166,$D$18:$D$60,"Ponta"))))</f>
        <v>0</v>
      </c>
      <c r="M170" s="276">
        <f>IF(MONTH(DataRevRea)=7,'Rede Básica + Ajuste'!K170,IF(G170&lt;$Q$69,(SUMIFS($E$18:$E$60,$B$18:$B$60,$D$166,$D$18:$D$60,"Fora Ponta")),(SUMIFS($F$18:$F$60,$B$18:$B$60,$D$166,$D$18:$D$60,"Fora Ponta"))))</f>
        <v>0</v>
      </c>
      <c r="N170" s="283">
        <f t="shared" si="36"/>
        <v>0</v>
      </c>
    </row>
    <row r="171" spans="3:14" ht="15.75">
      <c r="C171" s="274"/>
      <c r="D171" s="274"/>
      <c r="E171" s="274"/>
      <c r="F171" s="274"/>
      <c r="G171" s="275">
        <f t="shared" si="33"/>
        <v>44531</v>
      </c>
      <c r="H171" s="276">
        <f>SUMIFS($S$18:$S$60,$B$18:$B$60,$D$166,$D$18:$D$60,"Ponta")</f>
        <v>0</v>
      </c>
      <c r="I171" s="276">
        <f>SUMIFS($S$18:$S$60,$B$18:$B$60,$D$166,$D$18:$D$60,"Fora Ponta")</f>
        <v>0</v>
      </c>
      <c r="J171" s="276">
        <f t="shared" si="34"/>
        <v>0</v>
      </c>
      <c r="K171" s="276">
        <f t="shared" si="35"/>
        <v>0</v>
      </c>
      <c r="L171" s="276">
        <f>IF(MONTH(DataRevRea)=7,'Rede Básica + Ajuste'!J171,IF(G171&lt;$Q$69,(SUMIFS($E$18:$E$60,$B$18:$B$60,$D$166,$D$18:$D$60,"Ponta")),(SUMIFS($F$18:$F$60,$B$18:$B$60,$D$166,$D$18:$D$60,"Ponta"))))</f>
        <v>0</v>
      </c>
      <c r="M171" s="276">
        <f>IF(MONTH(DataRevRea)=7,'Rede Básica + Ajuste'!K171,IF(G171&lt;$Q$69,(SUMIFS($E$18:$E$60,$B$18:$B$60,$D$166,$D$18:$D$60,"Fora Ponta")),(SUMIFS($F$18:$F$60,$B$18:$B$60,$D$166,$D$18:$D$60,"Fora Ponta"))))</f>
        <v>0</v>
      </c>
      <c r="N171" s="283">
        <f t="shared" si="36"/>
        <v>0</v>
      </c>
    </row>
    <row r="172" spans="3:14" ht="15.75">
      <c r="C172" s="286"/>
      <c r="D172" s="286"/>
      <c r="E172" s="286"/>
      <c r="F172" s="274"/>
      <c r="G172" s="275">
        <f t="shared" si="33"/>
        <v>44562</v>
      </c>
      <c r="H172" s="276">
        <f>SUMIFS($T$18:$T$60,$B$18:$B$60,$D$166,$D$18:$D$60,"Ponta")</f>
        <v>0</v>
      </c>
      <c r="I172" s="276">
        <f>SUMIFS($T$18:$T$60,$B$18:$B$60,$D$166,$D$18:$D$60,"Fora Ponta")</f>
        <v>0</v>
      </c>
      <c r="J172" s="276">
        <f t="shared" si="34"/>
        <v>0</v>
      </c>
      <c r="K172" s="276">
        <f t="shared" si="35"/>
        <v>0</v>
      </c>
      <c r="L172" s="276">
        <f>IF(MONTH(DataRevRea)=7,'Rede Básica + Ajuste'!J172,IF(G172&lt;$Q$69,(SUMIFS($E$18:$E$60,$B$18:$B$60,$D$166,$D$18:$D$60,"Ponta")),(SUMIFS($F$18:$F$60,$B$18:$B$60,$D$166,$D$18:$D$60,"Ponta"))))</f>
        <v>0</v>
      </c>
      <c r="M172" s="276">
        <f>IF(MONTH(DataRevRea)=7,'Rede Básica + Ajuste'!K172,IF(G172&lt;$Q$69,(SUMIFS($E$18:$E$60,$B$18:$B$60,$D$166,$D$18:$D$60,"Fora Ponta")),(SUMIFS($F$18:$F$60,$B$18:$B$60,$D$166,$D$18:$D$60,"Fora Ponta"))))</f>
        <v>0</v>
      </c>
      <c r="N172" s="283">
        <f t="shared" si="36"/>
        <v>0</v>
      </c>
    </row>
    <row r="173" spans="3:14" ht="15.75">
      <c r="C173" s="278"/>
      <c r="D173" s="278"/>
      <c r="E173" s="287"/>
      <c r="F173" s="274"/>
      <c r="G173" s="275">
        <f t="shared" si="33"/>
        <v>44593</v>
      </c>
      <c r="H173" s="276">
        <f>SUMIFS($U$18:$U$60,$B$18:$B$60,$D$166,$D$18:$D$60,"Ponta")</f>
        <v>0</v>
      </c>
      <c r="I173" s="276">
        <f>SUMIFS($U$18:$U$60,$B$18:$B$60,$D$166,$D$18:$D$60,"Fora Ponta")</f>
        <v>0</v>
      </c>
      <c r="J173" s="276">
        <f t="shared" si="34"/>
        <v>0</v>
      </c>
      <c r="K173" s="276">
        <f t="shared" si="35"/>
        <v>0</v>
      </c>
      <c r="L173" s="276">
        <f>IF(MONTH(DataRevRea)=7,'Rede Básica + Ajuste'!J173,IF(G173&lt;$Q$69,(SUMIFS($E$18:$E$60,$B$18:$B$60,$D$166,$D$18:$D$60,"Ponta")),(SUMIFS($F$18:$F$60,$B$18:$B$60,$D$166,$D$18:$D$60,"Ponta"))))</f>
        <v>0</v>
      </c>
      <c r="M173" s="276">
        <f>IF(MONTH(DataRevRea)=7,'Rede Básica + Ajuste'!K173,IF(G173&lt;$Q$69,(SUMIFS($E$18:$E$60,$B$18:$B$60,$D$166,$D$18:$D$60,"Fora Ponta")),(SUMIFS($F$18:$F$60,$B$18:$B$60,$D$166,$D$18:$D$60,"Fora Ponta"))))</f>
        <v>0</v>
      </c>
      <c r="N173" s="283">
        <f t="shared" si="36"/>
        <v>0</v>
      </c>
    </row>
    <row r="174" spans="3:14" ht="15.75">
      <c r="C174" s="288"/>
      <c r="D174" s="278"/>
      <c r="E174" s="287"/>
      <c r="F174" s="274"/>
      <c r="G174" s="275">
        <f t="shared" si="33"/>
        <v>44621</v>
      </c>
      <c r="H174" s="276">
        <f>SUMIFS($V$18:$V$60,$B$18:$B$60,$D$166,$D$18:$D$60,"Ponta")</f>
        <v>0</v>
      </c>
      <c r="I174" s="276">
        <f>SUMIFS($V$18:$V$60,$B$18:$B$60,$D$166,$D$18:$D$60,"Fora Ponta")</f>
        <v>0</v>
      </c>
      <c r="J174" s="276">
        <f t="shared" si="34"/>
        <v>0</v>
      </c>
      <c r="K174" s="276">
        <f t="shared" si="35"/>
        <v>0</v>
      </c>
      <c r="L174" s="276">
        <f>IF(MONTH(DataRevRea)=7,'Rede Básica + Ajuste'!J174,IF(G174&lt;$Q$69,(SUMIFS($E$18:$E$60,$B$18:$B$60,$D$166,$D$18:$D$60,"Ponta")),(SUMIFS($F$18:$F$60,$B$18:$B$60,$D$166,$D$18:$D$60,"Ponta"))))</f>
        <v>0</v>
      </c>
      <c r="M174" s="276">
        <f>IF(MONTH(DataRevRea)=7,'Rede Básica + Ajuste'!K174,IF(G174&lt;$Q$69,(SUMIFS($E$18:$E$60,$B$18:$B$60,$D$166,$D$18:$D$60,"Fora Ponta")),(SUMIFS($F$18:$F$60,$B$18:$B$60,$D$166,$D$18:$D$60,"Fora Ponta"))))</f>
        <v>0</v>
      </c>
      <c r="N174" s="283">
        <f t="shared" si="36"/>
        <v>0</v>
      </c>
    </row>
    <row r="175" spans="3:14" ht="15.75">
      <c r="C175" s="274"/>
      <c r="D175" s="274"/>
      <c r="E175" s="274"/>
      <c r="F175" s="274"/>
      <c r="G175" s="275">
        <f t="shared" si="33"/>
        <v>44652</v>
      </c>
      <c r="H175" s="276">
        <f>SUMIFS($W$18:$W$60,$B$18:$B$60,$D$166,$D$18:$D$60,"Ponta")</f>
        <v>0</v>
      </c>
      <c r="I175" s="276">
        <f>SUMIFS($W$18:$W$60,$B$18:$B$60,$D$166,$D$18:$D$60,"Fora Ponta")</f>
        <v>0</v>
      </c>
      <c r="J175" s="276">
        <f t="shared" si="34"/>
        <v>0</v>
      </c>
      <c r="K175" s="276">
        <f t="shared" si="35"/>
        <v>0</v>
      </c>
      <c r="L175" s="276">
        <f>IF(MONTH(DataRevRea)=7,'Rede Básica + Ajuste'!J175,IF(G175&lt;$Q$69,(SUMIFS($E$18:$E$60,$B$18:$B$60,$D$166,$D$18:$D$60,"Ponta")),(SUMIFS($F$18:$F$60,$B$18:$B$60,$D$166,$D$18:$D$60,"Ponta"))))</f>
        <v>0</v>
      </c>
      <c r="M175" s="276">
        <f>IF(MONTH(DataRevRea)=7,'Rede Básica + Ajuste'!K175,IF(G175&lt;$Q$69,(SUMIFS($E$18:$E$60,$B$18:$B$60,$D$166,$D$18:$D$60,"Fora Ponta")),(SUMIFS($F$18:$F$60,$B$18:$B$60,$D$166,$D$18:$D$60,"Fora Ponta"))))</f>
        <v>0</v>
      </c>
      <c r="N175" s="283">
        <f t="shared" si="36"/>
        <v>0</v>
      </c>
    </row>
    <row r="176" spans="3:14" ht="15.75">
      <c r="C176" s="280"/>
      <c r="D176" s="280"/>
      <c r="E176" s="280"/>
      <c r="F176" s="274"/>
      <c r="G176" s="275">
        <f t="shared" si="33"/>
        <v>44682</v>
      </c>
      <c r="H176" s="276">
        <f>SUMIFS($X$18:$X$60,$B$18:$B$60,$D$166,$D$18:$D$60,"Ponta")</f>
        <v>0</v>
      </c>
      <c r="I176" s="276">
        <f>SUMIFS($X$18:$X$60,$B$18:$B$60,$D$166,$D$18:$D$60,"Fora Ponta")</f>
        <v>0</v>
      </c>
      <c r="J176" s="276">
        <f t="shared" si="34"/>
        <v>0</v>
      </c>
      <c r="K176" s="276">
        <f t="shared" si="35"/>
        <v>0</v>
      </c>
      <c r="L176" s="276">
        <f>IF(MONTH(DataRevRea)=7,'Rede Básica + Ajuste'!J176,IF(G176&lt;$Q$69,(SUMIFS($E$18:$E$60,$B$18:$B$60,$D$166,$D$18:$D$60,"Ponta")),(SUMIFS($F$18:$F$60,$B$18:$B$60,$D$166,$D$18:$D$60,"Ponta"))))</f>
        <v>0</v>
      </c>
      <c r="M176" s="276">
        <f>IF(MONTH(DataRevRea)=7,'Rede Básica + Ajuste'!K176,IF(G176&lt;$Q$69,(SUMIFS($E$18:$E$60,$B$18:$B$60,$D$166,$D$18:$D$60,"Fora Ponta")),(SUMIFS($F$18:$F$60,$B$18:$B$60,$D$166,$D$18:$D$60,"Fora Ponta"))))</f>
        <v>0</v>
      </c>
      <c r="N176" s="283">
        <f t="shared" si="36"/>
        <v>0</v>
      </c>
    </row>
    <row r="177" spans="3:14" ht="15.75">
      <c r="C177" s="278"/>
      <c r="D177" s="279"/>
      <c r="E177" s="278"/>
      <c r="F177" s="274"/>
      <c r="G177" s="1650">
        <f t="shared" si="33"/>
        <v>44713</v>
      </c>
      <c r="H177" s="1651">
        <f>SUMIFS($Y$18:$Y$60,$B$18:$B$60,$D$166,$D$18:$D$60,"Ponta")</f>
        <v>0</v>
      </c>
      <c r="I177" s="1651">
        <f>SUMIFS($Y$18:$Y$60,$B$18:$B$60,$D$166,$D$18:$D$60,"Fora Ponta")</f>
        <v>0</v>
      </c>
      <c r="J177" s="1651">
        <f t="shared" si="34"/>
        <v>0</v>
      </c>
      <c r="K177" s="1651">
        <f t="shared" si="35"/>
        <v>0</v>
      </c>
      <c r="L177" s="1651">
        <f>IF(MONTH(DataRevRea)=7,'Rede Básica + Ajuste'!J177,IF(G177&lt;$Q$69,(SUMIFS($E$18:$E$60,$B$18:$B$60,$D$166,$D$18:$D$60,"Ponta")),(SUMIFS($F$18:$F$60,$B$18:$B$60,$D$166,$D$18:$D$60,"Ponta"))))</f>
        <v>0</v>
      </c>
      <c r="M177" s="1651">
        <f>IF(MONTH(DataRevRea)=7,'Rede Básica + Ajuste'!K177,IF(G177&lt;$Q$69,(SUMIFS($E$18:$E$60,$B$18:$B$60,$D$166,$D$18:$D$60,"Fora Ponta")),(SUMIFS($F$18:$F$60,$B$18:$B$60,$D$166,$D$18:$D$60,"Fora Ponta"))))</f>
        <v>0</v>
      </c>
      <c r="N177" s="1652">
        <f t="shared" si="36"/>
        <v>0</v>
      </c>
    </row>
    <row r="178" spans="3:14">
      <c r="G178" s="150"/>
    </row>
    <row r="179" spans="3:14" ht="15.75">
      <c r="C179" s="274"/>
      <c r="D179" s="274"/>
      <c r="E179" s="274"/>
      <c r="F179" s="274"/>
      <c r="G179" s="274"/>
      <c r="H179" s="274"/>
      <c r="I179" s="274"/>
      <c r="J179" s="1798" t="s">
        <v>1320</v>
      </c>
      <c r="K179" s="1799"/>
      <c r="L179" s="1797" t="s">
        <v>1321</v>
      </c>
      <c r="M179" s="1797"/>
      <c r="N179" s="282"/>
    </row>
    <row r="180" spans="3:14" ht="15.75">
      <c r="C180" s="1800" t="s">
        <v>1331</v>
      </c>
      <c r="D180" s="1801"/>
      <c r="F180" s="274"/>
      <c r="G180" s="1315" t="s">
        <v>774</v>
      </c>
      <c r="H180" s="1316" t="s">
        <v>1322</v>
      </c>
      <c r="I180" s="1316" t="s">
        <v>1323</v>
      </c>
      <c r="J180" s="1649" t="s">
        <v>1324</v>
      </c>
      <c r="K180" s="1649" t="s">
        <v>1325</v>
      </c>
      <c r="L180" s="1649" t="s">
        <v>1324</v>
      </c>
      <c r="M180" s="1649" t="s">
        <v>1325</v>
      </c>
      <c r="N180" s="281" t="s">
        <v>1326</v>
      </c>
    </row>
    <row r="181" spans="3:14" ht="15.75">
      <c r="C181" s="1312" t="s">
        <v>1327</v>
      </c>
      <c r="D181" s="1325">
        <f>IF(D21="Ponta",B21,0)</f>
        <v>0</v>
      </c>
      <c r="E181" s="18"/>
      <c r="F181" s="274"/>
      <c r="G181" s="1318">
        <f>G166</f>
        <v>44378</v>
      </c>
      <c r="H181" s="276">
        <f>H166</f>
        <v>0</v>
      </c>
      <c r="I181" s="276">
        <f>I166</f>
        <v>0</v>
      </c>
      <c r="J181" s="1319">
        <f>SUMIFS($G$18:$G$60,$B$18:$B$60,$D$181,$D$18:$D$60,"Ponta")</f>
        <v>0</v>
      </c>
      <c r="K181" s="1319">
        <f>SUMIFS($G$18:$G$60,$B$18:$B$60,$D$181,$D$18:$D$60,"Fora Ponta")</f>
        <v>0</v>
      </c>
      <c r="L181" s="1319">
        <f>IF(MONTH(DataRevRea)=7,'Rede Básica + Ajuste'!J181,IF(G181&lt;$Q$69,(SUMIFS($G$18:$G$60,$B$18:$B$60,$D$181,$D$18:$D$60,"Ponta")),(SUMIFS($H$18:$H$60,$B$18:$B$60,$D$181,$D$18:$D$60,"Ponta"))))</f>
        <v>0</v>
      </c>
      <c r="M181" s="1319">
        <f>IF(MONTH(DataRevRea)=7,'Rede Básica + Ajuste'!K181,IF(G181&lt;$Q$69,(SUMIFS($G$18:$G$60,$B$18:$B$60,$D$181,$D$18:$D$60,"Fora Ponta")),(SUMIFS($H$18:$H$60,$B$18:$B$60,$D$181,$D$18:$D$60,"Fora Ponta"))))</f>
        <v>0</v>
      </c>
      <c r="N181" s="1320">
        <f>+(H181*(L181-J181))+(I181*(M181-K181))</f>
        <v>0</v>
      </c>
    </row>
    <row r="182" spans="3:14" ht="15.75">
      <c r="C182" s="274"/>
      <c r="D182" s="274"/>
      <c r="E182" s="274"/>
      <c r="F182" s="274"/>
      <c r="G182" s="275">
        <f t="shared" ref="G182:I192" si="37">G167</f>
        <v>44409</v>
      </c>
      <c r="H182" s="276">
        <f t="shared" si="37"/>
        <v>0</v>
      </c>
      <c r="I182" s="276">
        <f t="shared" si="37"/>
        <v>0</v>
      </c>
      <c r="J182" s="276">
        <f t="shared" ref="J182:J192" si="38">SUMIFS($G$18:$G$60,$B$18:$B$60,$D$181,$D$18:$D$60,"Ponta")</f>
        <v>0</v>
      </c>
      <c r="K182" s="276">
        <f t="shared" ref="K182:K192" si="39">SUMIFS($G$18:$G$60,$B$18:$B$60,$D$181,$D$18:$D$60,"Fora Ponta")</f>
        <v>0</v>
      </c>
      <c r="L182" s="276">
        <f>IF(MONTH(DataRevRea)=7,'Rede Básica + Ajuste'!J182,IF(G182&lt;$Q$69,(SUMIFS($G$18:$G$60,$B$18:$B$60,$D$181,$D$18:$D$60,"Ponta")),(SUMIFS($H$18:$H$60,$B$18:$B$60,$D$181,$D$18:$D$60,"Ponta"))))</f>
        <v>0</v>
      </c>
      <c r="M182" s="276">
        <f>IF(MONTH(DataRevRea)=7,'Rede Básica + Ajuste'!K182,IF(G182&lt;$Q$69,(SUMIFS($G$18:$G$60,$B$18:$B$60,$D$181,$D$18:$D$60,"Fora Ponta")),(SUMIFS($H$18:$H$60,$B$18:$B$60,$D$181,$D$18:$D$60,"Fora Ponta"))))</f>
        <v>0</v>
      </c>
      <c r="N182" s="283">
        <f t="shared" ref="N182:N192" si="40">+(H182*(L182-J182))+(I182*(M182-K182))</f>
        <v>0</v>
      </c>
    </row>
    <row r="183" spans="3:14" ht="15.75">
      <c r="C183" s="277"/>
      <c r="D183" s="1321" t="s">
        <v>1328</v>
      </c>
      <c r="E183" s="1322" t="s">
        <v>1329</v>
      </c>
      <c r="F183" s="274"/>
      <c r="G183" s="275">
        <f t="shared" si="37"/>
        <v>44440</v>
      </c>
      <c r="H183" s="276">
        <f t="shared" si="37"/>
        <v>0</v>
      </c>
      <c r="I183" s="276">
        <f t="shared" si="37"/>
        <v>0</v>
      </c>
      <c r="J183" s="276">
        <f t="shared" si="38"/>
        <v>0</v>
      </c>
      <c r="K183" s="276">
        <f t="shared" si="39"/>
        <v>0</v>
      </c>
      <c r="L183" s="276">
        <f>IF(MONTH(DataRevRea)=7,'Rede Básica + Ajuste'!J183,IF(G183&lt;$Q$69,(SUMIFS($G$18:$G$60,$B$18:$B$60,$D$181,$D$18:$D$60,"Ponta")),(SUMIFS($H$18:$H$60,$B$18:$B$60,$D$181,$D$18:$D$60,"Ponta"))))</f>
        <v>0</v>
      </c>
      <c r="M183" s="276">
        <f>IF(MONTH(DataRevRea)=7,'Rede Básica + Ajuste'!K183,IF(G183&lt;$Q$69,(SUMIFS($G$18:$G$60,$B$18:$B$60,$D$181,$D$18:$D$60,"Fora Ponta")),(SUMIFS($H$18:$H$60,$B$18:$B$60,$D$181,$D$18:$D$60,"Fora Ponta"))))</f>
        <v>0</v>
      </c>
      <c r="N183" s="283">
        <f t="shared" si="40"/>
        <v>0</v>
      </c>
    </row>
    <row r="184" spans="3:14" ht="15.75">
      <c r="C184" s="1323" t="str">
        <f>C169</f>
        <v>Cobertura 2021</v>
      </c>
      <c r="D184" s="1324">
        <f>SUMPRODUCT(H181:H192,J181:J192)</f>
        <v>0</v>
      </c>
      <c r="E184" s="1324">
        <f>SUMPRODUCT(I181:I192,K181:K192)</f>
        <v>0</v>
      </c>
      <c r="F184" s="274"/>
      <c r="G184" s="275">
        <f t="shared" si="37"/>
        <v>44470</v>
      </c>
      <c r="H184" s="276">
        <f t="shared" si="37"/>
        <v>0</v>
      </c>
      <c r="I184" s="276">
        <f t="shared" si="37"/>
        <v>0</v>
      </c>
      <c r="J184" s="276">
        <f t="shared" si="38"/>
        <v>0</v>
      </c>
      <c r="K184" s="276">
        <f t="shared" si="39"/>
        <v>0</v>
      </c>
      <c r="L184" s="276">
        <f>IF(MONTH(DataRevRea)=7,'Rede Básica + Ajuste'!J184,IF(G184&lt;$Q$69,(SUMIFS($G$18:$G$60,$B$18:$B$60,$D$181,$D$18:$D$60,"Ponta")),(SUMIFS($H$18:$H$60,$B$18:$B$60,$D$181,$D$18:$D$60,"Ponta"))))</f>
        <v>0</v>
      </c>
      <c r="M184" s="276">
        <f>IF(MONTH(DataRevRea)=7,'Rede Básica + Ajuste'!K184,IF(G184&lt;$Q$69,(SUMIFS($G$18:$G$60,$B$18:$B$60,$D$181,$D$18:$D$60,"Fora Ponta")),(SUMIFS($H$18:$H$60,$B$18:$B$60,$D$181,$D$18:$D$60,"Fora Ponta"))))</f>
        <v>0</v>
      </c>
      <c r="N184" s="283">
        <f t="shared" si="40"/>
        <v>0</v>
      </c>
    </row>
    <row r="185" spans="3:14" ht="15.75">
      <c r="C185" s="1323" t="s">
        <v>1330</v>
      </c>
      <c r="D185" s="1324">
        <f>SUMPRODUCT(H181:H192,L181:L192)</f>
        <v>0</v>
      </c>
      <c r="E185" s="1324">
        <f>SUMPRODUCT(I181:I192,M181:M192)</f>
        <v>0</v>
      </c>
      <c r="F185" s="274"/>
      <c r="G185" s="275">
        <f t="shared" si="37"/>
        <v>44501</v>
      </c>
      <c r="H185" s="276">
        <f t="shared" si="37"/>
        <v>0</v>
      </c>
      <c r="I185" s="276">
        <f t="shared" si="37"/>
        <v>0</v>
      </c>
      <c r="J185" s="276">
        <f t="shared" si="38"/>
        <v>0</v>
      </c>
      <c r="K185" s="276">
        <f t="shared" si="39"/>
        <v>0</v>
      </c>
      <c r="L185" s="276">
        <f>IF(MONTH(DataRevRea)=7,'Rede Básica + Ajuste'!J185,IF(G185&lt;$Q$69,(SUMIFS($G$18:$G$60,$B$18:$B$60,$D$181,$D$18:$D$60,"Ponta")),(SUMIFS($H$18:$H$60,$B$18:$B$60,$D$181,$D$18:$D$60,"Ponta"))))</f>
        <v>0</v>
      </c>
      <c r="M185" s="276">
        <f>IF(MONTH(DataRevRea)=7,'Rede Básica + Ajuste'!K185,IF(G185&lt;$Q$69,(SUMIFS($G$18:$G$60,$B$18:$B$60,$D$181,$D$18:$D$60,"Fora Ponta")),(SUMIFS($H$18:$H$60,$B$18:$B$60,$D$181,$D$18:$D$60,"Fora Ponta"))))</f>
        <v>0</v>
      </c>
      <c r="N185" s="283">
        <f t="shared" si="40"/>
        <v>0</v>
      </c>
    </row>
    <row r="186" spans="3:14" ht="15.75">
      <c r="C186" s="274"/>
      <c r="D186" s="274"/>
      <c r="E186" s="274"/>
      <c r="F186" s="274"/>
      <c r="G186" s="275">
        <f t="shared" si="37"/>
        <v>44531</v>
      </c>
      <c r="H186" s="276">
        <f t="shared" si="37"/>
        <v>0</v>
      </c>
      <c r="I186" s="276">
        <f t="shared" si="37"/>
        <v>0</v>
      </c>
      <c r="J186" s="276">
        <f t="shared" si="38"/>
        <v>0</v>
      </c>
      <c r="K186" s="276">
        <f t="shared" si="39"/>
        <v>0</v>
      </c>
      <c r="L186" s="276">
        <f>IF(MONTH(DataRevRea)=7,'Rede Básica + Ajuste'!J186,IF(G186&lt;$Q$69,(SUMIFS($G$18:$G$60,$B$18:$B$60,$D$181,$D$18:$D$60,"Ponta")),(SUMIFS($H$18:$H$60,$B$18:$B$60,$D$181,$D$18:$D$60,"Ponta"))))</f>
        <v>0</v>
      </c>
      <c r="M186" s="276">
        <f>IF(MONTH(DataRevRea)=7,'Rede Básica + Ajuste'!K186,IF(G186&lt;$Q$69,(SUMIFS($G$18:$G$60,$B$18:$B$60,$D$181,$D$18:$D$60,"Fora Ponta")),(SUMIFS($H$18:$H$60,$B$18:$B$60,$D$181,$D$18:$D$60,"Fora Ponta"))))</f>
        <v>0</v>
      </c>
      <c r="N186" s="283">
        <f t="shared" si="40"/>
        <v>0</v>
      </c>
    </row>
    <row r="187" spans="3:14" ht="15.75">
      <c r="C187" s="286"/>
      <c r="D187" s="286"/>
      <c r="E187" s="286"/>
      <c r="F187" s="274"/>
      <c r="G187" s="275">
        <f t="shared" si="37"/>
        <v>44562</v>
      </c>
      <c r="H187" s="276">
        <f t="shared" si="37"/>
        <v>0</v>
      </c>
      <c r="I187" s="276">
        <f t="shared" si="37"/>
        <v>0</v>
      </c>
      <c r="J187" s="276">
        <f t="shared" si="38"/>
        <v>0</v>
      </c>
      <c r="K187" s="276">
        <f t="shared" si="39"/>
        <v>0</v>
      </c>
      <c r="L187" s="276">
        <f>IF(MONTH(DataRevRea)=7,'Rede Básica + Ajuste'!J187,IF(G187&lt;$Q$69,(SUMIFS($G$18:$G$60,$B$18:$B$60,$D$181,$D$18:$D$60,"Ponta")),(SUMIFS($H$18:$H$60,$B$18:$B$60,$D$181,$D$18:$D$60,"Ponta"))))</f>
        <v>0</v>
      </c>
      <c r="M187" s="276">
        <f>IF(MONTH(DataRevRea)=7,'Rede Básica + Ajuste'!K187,IF(G187&lt;$Q$69,(SUMIFS($G$18:$G$60,$B$18:$B$60,$D$181,$D$18:$D$60,"Fora Ponta")),(SUMIFS($H$18:$H$60,$B$18:$B$60,$D$181,$D$18:$D$60,"Fora Ponta"))))</f>
        <v>0</v>
      </c>
      <c r="N187" s="283">
        <f t="shared" si="40"/>
        <v>0</v>
      </c>
    </row>
    <row r="188" spans="3:14" ht="15.75">
      <c r="C188" s="278"/>
      <c r="D188" s="278"/>
      <c r="E188" s="287"/>
      <c r="F188" s="274"/>
      <c r="G188" s="275">
        <f t="shared" si="37"/>
        <v>44593</v>
      </c>
      <c r="H188" s="276">
        <f t="shared" si="37"/>
        <v>0</v>
      </c>
      <c r="I188" s="276">
        <f t="shared" si="37"/>
        <v>0</v>
      </c>
      <c r="J188" s="276">
        <f t="shared" si="38"/>
        <v>0</v>
      </c>
      <c r="K188" s="276">
        <f t="shared" si="39"/>
        <v>0</v>
      </c>
      <c r="L188" s="276">
        <f>IF(MONTH(DataRevRea)=7,'Rede Básica + Ajuste'!J188,IF(G188&lt;$Q$69,(SUMIFS($G$18:$G$60,$B$18:$B$60,$D$181,$D$18:$D$60,"Ponta")),(SUMIFS($H$18:$H$60,$B$18:$B$60,$D$181,$D$18:$D$60,"Ponta"))))</f>
        <v>0</v>
      </c>
      <c r="M188" s="276">
        <f>IF(MONTH(DataRevRea)=7,'Rede Básica + Ajuste'!K188,IF(G188&lt;$Q$69,(SUMIFS($G$18:$G$60,$B$18:$B$60,$D$181,$D$18:$D$60,"Fora Ponta")),(SUMIFS($H$18:$H$60,$B$18:$B$60,$D$181,$D$18:$D$60,"Fora Ponta"))))</f>
        <v>0</v>
      </c>
      <c r="N188" s="283">
        <f t="shared" si="40"/>
        <v>0</v>
      </c>
    </row>
    <row r="189" spans="3:14" ht="15.75">
      <c r="C189" s="288"/>
      <c r="D189" s="278"/>
      <c r="E189" s="287"/>
      <c r="F189" s="274"/>
      <c r="G189" s="275">
        <f t="shared" si="37"/>
        <v>44621</v>
      </c>
      <c r="H189" s="276">
        <f t="shared" si="37"/>
        <v>0</v>
      </c>
      <c r="I189" s="276">
        <f t="shared" si="37"/>
        <v>0</v>
      </c>
      <c r="J189" s="276">
        <f t="shared" si="38"/>
        <v>0</v>
      </c>
      <c r="K189" s="276">
        <f t="shared" si="39"/>
        <v>0</v>
      </c>
      <c r="L189" s="276">
        <f>IF(MONTH(DataRevRea)=7,'Rede Básica + Ajuste'!J189,IF(G189&lt;$Q$69,(SUMIFS($G$18:$G$60,$B$18:$B$60,$D$181,$D$18:$D$60,"Ponta")),(SUMIFS($H$18:$H$60,$B$18:$B$60,$D$181,$D$18:$D$60,"Ponta"))))</f>
        <v>0</v>
      </c>
      <c r="M189" s="276">
        <f>IF(MONTH(DataRevRea)=7,'Rede Básica + Ajuste'!K189,IF(G189&lt;$Q$69,(SUMIFS($G$18:$G$60,$B$18:$B$60,$D$181,$D$18:$D$60,"Fora Ponta")),(SUMIFS($H$18:$H$60,$B$18:$B$60,$D$181,$D$18:$D$60,"Fora Ponta"))))</f>
        <v>0</v>
      </c>
      <c r="N189" s="283">
        <f t="shared" si="40"/>
        <v>0</v>
      </c>
    </row>
    <row r="190" spans="3:14" ht="15.75">
      <c r="C190" s="274"/>
      <c r="D190" s="274"/>
      <c r="E190" s="274"/>
      <c r="F190" s="274"/>
      <c r="G190" s="275">
        <f t="shared" si="37"/>
        <v>44652</v>
      </c>
      <c r="H190" s="276">
        <f t="shared" si="37"/>
        <v>0</v>
      </c>
      <c r="I190" s="276">
        <f t="shared" si="37"/>
        <v>0</v>
      </c>
      <c r="J190" s="276">
        <f t="shared" si="38"/>
        <v>0</v>
      </c>
      <c r="K190" s="276">
        <f t="shared" si="39"/>
        <v>0</v>
      </c>
      <c r="L190" s="276">
        <f>IF(MONTH(DataRevRea)=7,'Rede Básica + Ajuste'!J190,IF(G190&lt;$Q$69,(SUMIFS($G$18:$G$60,$B$18:$B$60,$D$181,$D$18:$D$60,"Ponta")),(SUMIFS($H$18:$H$60,$B$18:$B$60,$D$181,$D$18:$D$60,"Ponta"))))</f>
        <v>0</v>
      </c>
      <c r="M190" s="276">
        <f>IF(MONTH(DataRevRea)=7,'Rede Básica + Ajuste'!K190,IF(G190&lt;$Q$69,(SUMIFS($G$18:$G$60,$B$18:$B$60,$D$181,$D$18:$D$60,"Fora Ponta")),(SUMIFS($H$18:$H$60,$B$18:$B$60,$D$181,$D$18:$D$60,"Fora Ponta"))))</f>
        <v>0</v>
      </c>
      <c r="N190" s="283">
        <f t="shared" si="40"/>
        <v>0</v>
      </c>
    </row>
    <row r="191" spans="3:14" ht="15.75">
      <c r="C191" s="280"/>
      <c r="D191" s="280"/>
      <c r="E191" s="280"/>
      <c r="F191" s="274"/>
      <c r="G191" s="275">
        <f t="shared" si="37"/>
        <v>44682</v>
      </c>
      <c r="H191" s="276">
        <f t="shared" si="37"/>
        <v>0</v>
      </c>
      <c r="I191" s="276">
        <f t="shared" si="37"/>
        <v>0</v>
      </c>
      <c r="J191" s="276">
        <f t="shared" si="38"/>
        <v>0</v>
      </c>
      <c r="K191" s="276">
        <f t="shared" si="39"/>
        <v>0</v>
      </c>
      <c r="L191" s="276">
        <f>IF(MONTH(DataRevRea)=7,'Rede Básica + Ajuste'!J191,IF(G191&lt;$Q$69,(SUMIFS($G$18:$G$60,$B$18:$B$60,$D$181,$D$18:$D$60,"Ponta")),(SUMIFS($H$18:$H$60,$B$18:$B$60,$D$181,$D$18:$D$60,"Ponta"))))</f>
        <v>0</v>
      </c>
      <c r="M191" s="276">
        <f>IF(MONTH(DataRevRea)=7,'Rede Básica + Ajuste'!K191,IF(G191&lt;$Q$69,(SUMIFS($G$18:$G$60,$B$18:$B$60,$D$181,$D$18:$D$60,"Fora Ponta")),(SUMIFS($H$18:$H$60,$B$18:$B$60,$D$181,$D$18:$D$60,"Fora Ponta"))))</f>
        <v>0</v>
      </c>
      <c r="N191" s="283">
        <f t="shared" si="40"/>
        <v>0</v>
      </c>
    </row>
    <row r="192" spans="3:14" ht="15.75">
      <c r="C192" s="278"/>
      <c r="D192" s="279"/>
      <c r="E192" s="278"/>
      <c r="F192" s="274"/>
      <c r="G192" s="1650">
        <f t="shared" si="37"/>
        <v>44713</v>
      </c>
      <c r="H192" s="1651">
        <f t="shared" si="37"/>
        <v>0</v>
      </c>
      <c r="I192" s="1651">
        <f t="shared" si="37"/>
        <v>0</v>
      </c>
      <c r="J192" s="1651">
        <f t="shared" si="38"/>
        <v>0</v>
      </c>
      <c r="K192" s="1651">
        <f t="shared" si="39"/>
        <v>0</v>
      </c>
      <c r="L192" s="1651">
        <f>IF(MONTH(DataRevRea)=7,'Rede Básica + Ajuste'!J192,IF(G192&lt;$Q$69,(SUMIFS($G$18:$G$60,$B$18:$B$60,$D$181,$D$18:$D$60,"Ponta")),(SUMIFS($H$18:$H$60,$B$18:$B$60,$D$181,$D$18:$D$60,"Ponta"))))</f>
        <v>0</v>
      </c>
      <c r="M192" s="1651">
        <f>IF(MONTH(DataRevRea)=7,'Rede Básica + Ajuste'!K192,IF(G192&lt;$Q$69,(SUMIFS($G$18:$G$60,$B$18:$B$60,$D$181,$D$18:$D$60,"Fora Ponta")),(SUMIFS($H$18:$H$60,$B$18:$B$60,$D$181,$D$18:$D$60,"Fora Ponta"))))</f>
        <v>0</v>
      </c>
      <c r="N192" s="1652">
        <f t="shared" si="40"/>
        <v>0</v>
      </c>
    </row>
    <row r="194" spans="3:14" ht="15.75">
      <c r="C194" s="274"/>
      <c r="D194" s="274"/>
      <c r="E194" s="274"/>
      <c r="F194" s="274"/>
      <c r="G194" s="274"/>
      <c r="H194" s="274"/>
      <c r="I194" s="274"/>
      <c r="J194" s="1798" t="s">
        <v>1320</v>
      </c>
      <c r="K194" s="1799"/>
      <c r="L194" s="1797" t="s">
        <v>1321</v>
      </c>
      <c r="M194" s="1797"/>
      <c r="N194" s="282"/>
    </row>
    <row r="195" spans="3:14" ht="15.75">
      <c r="C195" s="1800" t="s">
        <v>1303</v>
      </c>
      <c r="D195" s="1801"/>
      <c r="F195" s="274"/>
      <c r="G195" s="1315" t="s">
        <v>774</v>
      </c>
      <c r="H195" s="1316" t="s">
        <v>1322</v>
      </c>
      <c r="I195" s="1316" t="s">
        <v>1323</v>
      </c>
      <c r="J195" s="1649" t="s">
        <v>1324</v>
      </c>
      <c r="K195" s="1649" t="s">
        <v>1325</v>
      </c>
      <c r="L195" s="1649" t="s">
        <v>1324</v>
      </c>
      <c r="M195" s="1649" t="s">
        <v>1325</v>
      </c>
      <c r="N195" s="281" t="s">
        <v>1326</v>
      </c>
    </row>
    <row r="196" spans="3:14" ht="15.75">
      <c r="C196" s="1312" t="s">
        <v>1327</v>
      </c>
      <c r="D196" s="1325">
        <f>IF(D22="Ponta",B22,0)</f>
        <v>0</v>
      </c>
      <c r="E196" s="18"/>
      <c r="F196" s="274"/>
      <c r="G196" s="1318">
        <f>G181</f>
        <v>44378</v>
      </c>
      <c r="H196" s="276">
        <f>SUMIFS($N$18:$N$60,$B$18:$B$60,$D$196,$D$18:$D$60,"Ponta")</f>
        <v>0</v>
      </c>
      <c r="I196" s="276">
        <f>SUMIFS($N$18:$N$60,$B$18:$B$60,$D$196,$D$18:$D$60,"Fora Ponta")</f>
        <v>0</v>
      </c>
      <c r="J196" s="1319">
        <f>SUMIFS($E$18:$E$60,$B$18:$B$60,$D$196,$D$18:$D$60,"Ponta")</f>
        <v>0</v>
      </c>
      <c r="K196" s="1319">
        <f>SUMIFS($E$18:$E$60,$B$18:$B$60,$D$196,$D$18:$D$60,"Fora Ponta")</f>
        <v>0</v>
      </c>
      <c r="L196" s="1319">
        <f>IF(MONTH(DataRevRea)=7,'Rede Básica + Ajuste'!J196,IF(G196&lt;$Q$69,(SUMIFS($E$18:$E$60,$B$18:$B$60,$D$196,$D$18:$D$60,"Ponta")),(SUMIFS($F$18:$F$60,$B$18:$B$60,$D$196,$D$18:$D$60,"Ponta"))))</f>
        <v>0</v>
      </c>
      <c r="M196" s="1319">
        <f>IF(MONTH(DataRevRea)=7,'Rede Básica + Ajuste'!K196,IF(G196&lt;$Q$69,(SUMIFS($E$18:$E$60,$B$18:$B$60,$D$196,$D$18:$D$60,"Fora Ponta")),(SUMIFS($F$18:$F$60,$B$18:$B$60,$D$196,$D$18:$D$60,"Fora Ponta"))))</f>
        <v>0</v>
      </c>
      <c r="N196" s="1320">
        <f>+(H196*(L196-J196))+(I196*(M196-K196))</f>
        <v>0</v>
      </c>
    </row>
    <row r="197" spans="3:14" ht="15.75">
      <c r="C197" s="274"/>
      <c r="D197" s="274"/>
      <c r="E197" s="274"/>
      <c r="F197" s="274"/>
      <c r="G197" s="275">
        <f t="shared" ref="G197:G207" si="41">G182</f>
        <v>44409</v>
      </c>
      <c r="H197" s="276">
        <f>SUMIFS($O$18:$O$60,$B$18:$B$60,$D$196,$D$18:$D$60,"Ponta")</f>
        <v>0</v>
      </c>
      <c r="I197" s="276">
        <f>SUMIFS($O$18:$O$60,$B$18:$B$60,$D$196,$D$18:$D$60,"Fora Ponta")</f>
        <v>0</v>
      </c>
      <c r="J197" s="276">
        <f t="shared" ref="J197:J207" si="42">SUMIFS($E$18:$E$60,$B$18:$B$60,$D$196,$D$18:$D$60,"Ponta")</f>
        <v>0</v>
      </c>
      <c r="K197" s="276">
        <f t="shared" ref="K197:K207" si="43">SUMIFS($E$18:$E$60,$B$18:$B$60,$D$196,$D$18:$D$60,"Fora Ponta")</f>
        <v>0</v>
      </c>
      <c r="L197" s="276">
        <f>IF(MONTH(DataRevRea)=7,'Rede Básica + Ajuste'!J197,IF(G197&lt;$Q$69,(SUMIFS($E$18:$E$60,$B$18:$B$60,$D$196,$D$18:$D$60,"Ponta")),(SUMIFS($F$18:$F$60,$B$18:$B$60,$D$196,$D$18:$D$60,"Ponta"))))</f>
        <v>0</v>
      </c>
      <c r="M197" s="276">
        <f>IF(MONTH(DataRevRea)=7,'Rede Básica + Ajuste'!K197,IF(G197&lt;$Q$69,(SUMIFS($E$18:$E$60,$B$18:$B$60,$D$196,$D$18:$D$60,"Fora Ponta")),(SUMIFS($F$18:$F$60,$B$18:$B$60,$D$196,$D$18:$D$60,"Fora Ponta"))))</f>
        <v>0</v>
      </c>
      <c r="N197" s="283">
        <f t="shared" ref="N197:N207" si="44">+(H197*(L197-J197))+(I197*(M197-K197))</f>
        <v>0</v>
      </c>
    </row>
    <row r="198" spans="3:14" ht="15.75">
      <c r="C198" s="277"/>
      <c r="D198" s="1321" t="s">
        <v>1328</v>
      </c>
      <c r="E198" s="1322" t="s">
        <v>1329</v>
      </c>
      <c r="F198" s="274"/>
      <c r="G198" s="275">
        <f t="shared" si="41"/>
        <v>44440</v>
      </c>
      <c r="H198" s="276">
        <f>SUMIFS($P$18:$P$60,$B$18:$B$60,$D$196,$D$18:$D$60,"Ponta")</f>
        <v>0</v>
      </c>
      <c r="I198" s="276">
        <f>SUMIFS($P$18:$P$60,$B$18:$B$60,$D$196,$D$18:$D$60,"Fora Ponta")</f>
        <v>0</v>
      </c>
      <c r="J198" s="276">
        <f t="shared" si="42"/>
        <v>0</v>
      </c>
      <c r="K198" s="276">
        <f t="shared" si="43"/>
        <v>0</v>
      </c>
      <c r="L198" s="276">
        <f>IF(MONTH(DataRevRea)=7,'Rede Básica + Ajuste'!J198,IF(G198&lt;$Q$69,(SUMIFS($E$18:$E$60,$B$18:$B$60,$D$196,$D$18:$D$60,"Ponta")),(SUMIFS($F$18:$F$60,$B$18:$B$60,$D$196,$D$18:$D$60,"Ponta"))))</f>
        <v>0</v>
      </c>
      <c r="M198" s="276">
        <f>IF(MONTH(DataRevRea)=7,'Rede Básica + Ajuste'!K198,IF(G198&lt;$Q$69,(SUMIFS($E$18:$E$60,$B$18:$B$60,$D$196,$D$18:$D$60,"Fora Ponta")),(SUMIFS($F$18:$F$60,$B$18:$B$60,$D$196,$D$18:$D$60,"Fora Ponta"))))</f>
        <v>0</v>
      </c>
      <c r="N198" s="283">
        <f t="shared" si="44"/>
        <v>0</v>
      </c>
    </row>
    <row r="199" spans="3:14" ht="15.75">
      <c r="C199" s="1323" t="str">
        <f>C184</f>
        <v>Cobertura 2021</v>
      </c>
      <c r="D199" s="1324">
        <f>SUMPRODUCT(H196:H207,J196:J207)</f>
        <v>0</v>
      </c>
      <c r="E199" s="1324">
        <f>SUMPRODUCT(I196:I207,K196:K207)</f>
        <v>0</v>
      </c>
      <c r="F199" s="274"/>
      <c r="G199" s="275">
        <f t="shared" si="41"/>
        <v>44470</v>
      </c>
      <c r="H199" s="276">
        <f>SUMIFS($Q$18:$Q$60,$B$18:$B$60,$D$196,$D$18:$D$60,"Ponta")</f>
        <v>0</v>
      </c>
      <c r="I199" s="276">
        <f>SUMIFS($Q$18:$Q$60,$B$18:$B$60,$D$196,$D$18:$D$60,"Fora Ponta")</f>
        <v>0</v>
      </c>
      <c r="J199" s="276">
        <f t="shared" si="42"/>
        <v>0</v>
      </c>
      <c r="K199" s="276">
        <f t="shared" si="43"/>
        <v>0</v>
      </c>
      <c r="L199" s="276">
        <f>IF(MONTH(DataRevRea)=7,'Rede Básica + Ajuste'!J199,IF(G199&lt;$Q$69,(SUMIFS($E$18:$E$60,$B$18:$B$60,$D$196,$D$18:$D$60,"Ponta")),(SUMIFS($F$18:$F$60,$B$18:$B$60,$D$196,$D$18:$D$60,"Ponta"))))</f>
        <v>0</v>
      </c>
      <c r="M199" s="276">
        <f>IF(MONTH(DataRevRea)=7,'Rede Básica + Ajuste'!K199,IF(G199&lt;$Q$69,(SUMIFS($E$18:$E$60,$B$18:$B$60,$D$196,$D$18:$D$60,"Fora Ponta")),(SUMIFS($F$18:$F$60,$B$18:$B$60,$D$196,$D$18:$D$60,"Fora Ponta"))))</f>
        <v>0</v>
      </c>
      <c r="N199" s="283">
        <f t="shared" si="44"/>
        <v>0</v>
      </c>
    </row>
    <row r="200" spans="3:14" ht="15.75">
      <c r="C200" s="1323" t="s">
        <v>1330</v>
      </c>
      <c r="D200" s="1324">
        <f>SUMPRODUCT(H196:H207,L196:L207)</f>
        <v>0</v>
      </c>
      <c r="E200" s="1324">
        <f>SUMPRODUCT(I196:I207,M196:M207)</f>
        <v>0</v>
      </c>
      <c r="F200" s="274"/>
      <c r="G200" s="275">
        <f t="shared" si="41"/>
        <v>44501</v>
      </c>
      <c r="H200" s="276">
        <f>SUMIFS($R$18:$R$60,$B$18:$B$60,$D$196,$D$18:$D$60,"Ponta")</f>
        <v>0</v>
      </c>
      <c r="I200" s="276">
        <f>SUMIFS($R$18:$R$60,$B$18:$B$60,$D$196,$D$18:$D$60,"Fora Ponta")</f>
        <v>0</v>
      </c>
      <c r="J200" s="276">
        <f t="shared" si="42"/>
        <v>0</v>
      </c>
      <c r="K200" s="276">
        <f t="shared" si="43"/>
        <v>0</v>
      </c>
      <c r="L200" s="276">
        <f>IF(MONTH(DataRevRea)=7,'Rede Básica + Ajuste'!J200,IF(G200&lt;$Q$69,(SUMIFS($E$18:$E$60,$B$18:$B$60,$D$196,$D$18:$D$60,"Ponta")),(SUMIFS($F$18:$F$60,$B$18:$B$60,$D$196,$D$18:$D$60,"Ponta"))))</f>
        <v>0</v>
      </c>
      <c r="M200" s="276">
        <f>IF(MONTH(DataRevRea)=7,'Rede Básica + Ajuste'!K200,IF(G200&lt;$Q$69,(SUMIFS($E$18:$E$60,$B$18:$B$60,$D$196,$D$18:$D$60,"Fora Ponta")),(SUMIFS($F$18:$F$60,$B$18:$B$60,$D$196,$D$18:$D$60,"Fora Ponta"))))</f>
        <v>0</v>
      </c>
      <c r="N200" s="283">
        <f t="shared" si="44"/>
        <v>0</v>
      </c>
    </row>
    <row r="201" spans="3:14" ht="15.75">
      <c r="C201" s="274"/>
      <c r="D201" s="274"/>
      <c r="E201" s="274"/>
      <c r="F201" s="274"/>
      <c r="G201" s="275">
        <f t="shared" si="41"/>
        <v>44531</v>
      </c>
      <c r="H201" s="276">
        <f>SUMIFS($S$18:$S$60,$B$18:$B$60,$D$196,$D$18:$D$60,"Ponta")</f>
        <v>0</v>
      </c>
      <c r="I201" s="276">
        <f>SUMIFS($S$18:$S$60,$B$18:$B$60,$D$196,$D$18:$D$60,"Fora Ponta")</f>
        <v>0</v>
      </c>
      <c r="J201" s="276">
        <f t="shared" si="42"/>
        <v>0</v>
      </c>
      <c r="K201" s="276">
        <f t="shared" si="43"/>
        <v>0</v>
      </c>
      <c r="L201" s="276">
        <f>IF(MONTH(DataRevRea)=7,'Rede Básica + Ajuste'!J201,IF(G201&lt;$Q$69,(SUMIFS($E$18:$E$60,$B$18:$B$60,$D$196,$D$18:$D$60,"Ponta")),(SUMIFS($F$18:$F$60,$B$18:$B$60,$D$196,$D$18:$D$60,"Ponta"))))</f>
        <v>0</v>
      </c>
      <c r="M201" s="276">
        <f>IF(MONTH(DataRevRea)=7,'Rede Básica + Ajuste'!K201,IF(G201&lt;$Q$69,(SUMIFS($E$18:$E$60,$B$18:$B$60,$D$196,$D$18:$D$60,"Fora Ponta")),(SUMIFS($F$18:$F$60,$B$18:$B$60,$D$196,$D$18:$D$60,"Fora Ponta"))))</f>
        <v>0</v>
      </c>
      <c r="N201" s="283">
        <f t="shared" si="44"/>
        <v>0</v>
      </c>
    </row>
    <row r="202" spans="3:14" ht="15.75">
      <c r="C202" s="286"/>
      <c r="D202" s="286"/>
      <c r="E202" s="286"/>
      <c r="F202" s="274"/>
      <c r="G202" s="275">
        <f t="shared" si="41"/>
        <v>44562</v>
      </c>
      <c r="H202" s="276">
        <f>SUMIFS($T$18:$T$60,$B$18:$B$60,$D$196,$D$18:$D$60,"Ponta")</f>
        <v>0</v>
      </c>
      <c r="I202" s="276">
        <f>SUMIFS($T$18:$T$60,$B$18:$B$60,$D$196,$D$18:$D$60,"Fora Ponta")</f>
        <v>0</v>
      </c>
      <c r="J202" s="276">
        <f t="shared" si="42"/>
        <v>0</v>
      </c>
      <c r="K202" s="276">
        <f t="shared" si="43"/>
        <v>0</v>
      </c>
      <c r="L202" s="276">
        <f>IF(MONTH(DataRevRea)=7,'Rede Básica + Ajuste'!J202,IF(G202&lt;$Q$69,(SUMIFS($E$18:$E$60,$B$18:$B$60,$D$196,$D$18:$D$60,"Ponta")),(SUMIFS($F$18:$F$60,$B$18:$B$60,$D$196,$D$18:$D$60,"Ponta"))))</f>
        <v>0</v>
      </c>
      <c r="M202" s="276">
        <f>IF(MONTH(DataRevRea)=7,'Rede Básica + Ajuste'!K202,IF(G202&lt;$Q$69,(SUMIFS($E$18:$E$60,$B$18:$B$60,$D$196,$D$18:$D$60,"Fora Ponta")),(SUMIFS($F$18:$F$60,$B$18:$B$60,$D$196,$D$18:$D$60,"Fora Ponta"))))</f>
        <v>0</v>
      </c>
      <c r="N202" s="283">
        <f t="shared" si="44"/>
        <v>0</v>
      </c>
    </row>
    <row r="203" spans="3:14" ht="15.75">
      <c r="C203" s="278"/>
      <c r="D203" s="278"/>
      <c r="E203" s="287"/>
      <c r="F203" s="274"/>
      <c r="G203" s="275">
        <f t="shared" si="41"/>
        <v>44593</v>
      </c>
      <c r="H203" s="276">
        <f>SUMIFS($U$18:$U$60,$B$18:$B$60,$D$196,$D$18:$D$60,"Ponta")</f>
        <v>0</v>
      </c>
      <c r="I203" s="276">
        <f>SUMIFS($U$18:$U$60,$B$18:$B$60,$D$196,$D$18:$D$60,"Fora Ponta")</f>
        <v>0</v>
      </c>
      <c r="J203" s="276">
        <f t="shared" si="42"/>
        <v>0</v>
      </c>
      <c r="K203" s="276">
        <f t="shared" si="43"/>
        <v>0</v>
      </c>
      <c r="L203" s="276">
        <f>IF(MONTH(DataRevRea)=7,'Rede Básica + Ajuste'!J203,IF(G203&lt;$Q$69,(SUMIFS($E$18:$E$60,$B$18:$B$60,$D$196,$D$18:$D$60,"Ponta")),(SUMIFS($F$18:$F$60,$B$18:$B$60,$D$196,$D$18:$D$60,"Ponta"))))</f>
        <v>0</v>
      </c>
      <c r="M203" s="276">
        <f>IF(MONTH(DataRevRea)=7,'Rede Básica + Ajuste'!K203,IF(G203&lt;$Q$69,(SUMIFS($E$18:$E$60,$B$18:$B$60,$D$196,$D$18:$D$60,"Fora Ponta")),(SUMIFS($F$18:$F$60,$B$18:$B$60,$D$196,$D$18:$D$60,"Fora Ponta"))))</f>
        <v>0</v>
      </c>
      <c r="N203" s="283">
        <f t="shared" si="44"/>
        <v>0</v>
      </c>
    </row>
    <row r="204" spans="3:14" ht="15.75">
      <c r="C204" s="288"/>
      <c r="D204" s="278"/>
      <c r="E204" s="287"/>
      <c r="F204" s="274"/>
      <c r="G204" s="275">
        <f t="shared" si="41"/>
        <v>44621</v>
      </c>
      <c r="H204" s="276">
        <f>SUMIFS($V$18:$V$60,$B$18:$B$60,$D$196,$D$18:$D$60,"Ponta")</f>
        <v>0</v>
      </c>
      <c r="I204" s="276">
        <f>SUMIFS($V$18:$V$60,$B$18:$B$60,$D$196,$D$18:$D$60,"Fora Ponta")</f>
        <v>0</v>
      </c>
      <c r="J204" s="276">
        <f t="shared" si="42"/>
        <v>0</v>
      </c>
      <c r="K204" s="276">
        <f t="shared" si="43"/>
        <v>0</v>
      </c>
      <c r="L204" s="276">
        <f>IF(MONTH(DataRevRea)=7,'Rede Básica + Ajuste'!J204,IF(G204&lt;$Q$69,(SUMIFS($E$18:$E$60,$B$18:$B$60,$D$196,$D$18:$D$60,"Ponta")),(SUMIFS($F$18:$F$60,$B$18:$B$60,$D$196,$D$18:$D$60,"Ponta"))))</f>
        <v>0</v>
      </c>
      <c r="M204" s="276">
        <f>IF(MONTH(DataRevRea)=7,'Rede Básica + Ajuste'!K204,IF(G204&lt;$Q$69,(SUMIFS($E$18:$E$60,$B$18:$B$60,$D$196,$D$18:$D$60,"Fora Ponta")),(SUMIFS($F$18:$F$60,$B$18:$B$60,$D$196,$D$18:$D$60,"Fora Ponta"))))</f>
        <v>0</v>
      </c>
      <c r="N204" s="283">
        <f t="shared" si="44"/>
        <v>0</v>
      </c>
    </row>
    <row r="205" spans="3:14" ht="15.75">
      <c r="C205" s="274"/>
      <c r="D205" s="274"/>
      <c r="E205" s="274"/>
      <c r="F205" s="274"/>
      <c r="G205" s="275">
        <f t="shared" si="41"/>
        <v>44652</v>
      </c>
      <c r="H205" s="276">
        <f>SUMIFS($W$18:$W$60,$B$18:$B$60,$D$196,$D$18:$D$60,"Ponta")</f>
        <v>0</v>
      </c>
      <c r="I205" s="276">
        <f>SUMIFS($W$18:$W$60,$B$18:$B$60,$D$196,$D$18:$D$60,"Fora Ponta")</f>
        <v>0</v>
      </c>
      <c r="J205" s="276">
        <f t="shared" si="42"/>
        <v>0</v>
      </c>
      <c r="K205" s="276">
        <f t="shared" si="43"/>
        <v>0</v>
      </c>
      <c r="L205" s="276">
        <f>IF(MONTH(DataRevRea)=7,'Rede Básica + Ajuste'!J205,IF(G205&lt;$Q$69,(SUMIFS($E$18:$E$60,$B$18:$B$60,$D$196,$D$18:$D$60,"Ponta")),(SUMIFS($F$18:$F$60,$B$18:$B$60,$D$196,$D$18:$D$60,"Ponta"))))</f>
        <v>0</v>
      </c>
      <c r="M205" s="276">
        <f>IF(MONTH(DataRevRea)=7,'Rede Básica + Ajuste'!K205,IF(G205&lt;$Q$69,(SUMIFS($E$18:$E$60,$B$18:$B$60,$D$196,$D$18:$D$60,"Fora Ponta")),(SUMIFS($F$18:$F$60,$B$18:$B$60,$D$196,$D$18:$D$60,"Fora Ponta"))))</f>
        <v>0</v>
      </c>
      <c r="N205" s="283">
        <f t="shared" si="44"/>
        <v>0</v>
      </c>
    </row>
    <row r="206" spans="3:14" ht="15.75">
      <c r="C206" s="280"/>
      <c r="D206" s="280"/>
      <c r="E206" s="280"/>
      <c r="F206" s="274"/>
      <c r="G206" s="275">
        <f t="shared" si="41"/>
        <v>44682</v>
      </c>
      <c r="H206" s="276">
        <f>SUMIFS($X$18:$X$60,$B$18:$B$60,$D$1696,$D$18:$D$60,"Ponta")</f>
        <v>0</v>
      </c>
      <c r="I206" s="276">
        <f>SUMIFS($X$18:$X$60,$B$18:$B$60,$D$196,$D$18:$D$60,"Fora Ponta")</f>
        <v>0</v>
      </c>
      <c r="J206" s="276">
        <f t="shared" si="42"/>
        <v>0</v>
      </c>
      <c r="K206" s="276">
        <f t="shared" si="43"/>
        <v>0</v>
      </c>
      <c r="L206" s="276">
        <f>IF(MONTH(DataRevRea)=7,'Rede Básica + Ajuste'!J206,IF(G206&lt;$Q$69,(SUMIFS($E$18:$E$60,$B$18:$B$60,$D$196,$D$18:$D$60,"Ponta")),(SUMIFS($F$18:$F$60,$B$18:$B$60,$D$196,$D$18:$D$60,"Ponta"))))</f>
        <v>0</v>
      </c>
      <c r="M206" s="276">
        <f>IF(MONTH(DataRevRea)=7,'Rede Básica + Ajuste'!K206,IF(G206&lt;$Q$69,(SUMIFS($E$18:$E$60,$B$18:$B$60,$D$196,$D$18:$D$60,"Fora Ponta")),(SUMIFS($F$18:$F$60,$B$18:$B$60,$D$196,$D$18:$D$60,"Fora Ponta"))))</f>
        <v>0</v>
      </c>
      <c r="N206" s="283">
        <f t="shared" si="44"/>
        <v>0</v>
      </c>
    </row>
    <row r="207" spans="3:14" ht="15.75">
      <c r="C207" s="278"/>
      <c r="D207" s="279"/>
      <c r="E207" s="278"/>
      <c r="F207" s="274"/>
      <c r="G207" s="1650">
        <f t="shared" si="41"/>
        <v>44713</v>
      </c>
      <c r="H207" s="1651">
        <f>SUMIFS($Y$18:$Y$60,$B$18:$B$60,$D$196,$D$18:$D$60,"Ponta")</f>
        <v>0</v>
      </c>
      <c r="I207" s="1651">
        <f>SUMIFS($Y$18:$Y$60,$B$18:$B$60,$D$196,$D$18:$D$60,"Fora Ponta")</f>
        <v>0</v>
      </c>
      <c r="J207" s="1651">
        <f t="shared" si="42"/>
        <v>0</v>
      </c>
      <c r="K207" s="1651">
        <f t="shared" si="43"/>
        <v>0</v>
      </c>
      <c r="L207" s="1651">
        <f>IF(MONTH(DataRevRea)=7,'Rede Básica + Ajuste'!J207,IF(G207&lt;$Q$69,(SUMIFS($E$18:$E$60,$B$18:$B$60,$D$196,$D$18:$D$60,"Ponta")),(SUMIFS($F$18:$F$60,$B$18:$B$60,$D$196,$D$18:$D$60,"Ponta"))))</f>
        <v>0</v>
      </c>
      <c r="M207" s="1651">
        <f>IF(MONTH(DataRevRea)=7,'Rede Básica + Ajuste'!K207,IF(G207&lt;$Q$69,(SUMIFS($E$18:$E$60,$B$18:$B$60,$D$196,$D$18:$D$60,"Fora Ponta")),(SUMIFS($F$18:$F$60,$B$18:$B$60,$D$196,$D$18:$D$60,"Fora Ponta"))))</f>
        <v>0</v>
      </c>
      <c r="N207" s="1652">
        <f t="shared" si="44"/>
        <v>0</v>
      </c>
    </row>
    <row r="208" spans="3:14">
      <c r="G208" s="150"/>
    </row>
    <row r="209" spans="3:14" ht="15.75">
      <c r="C209" s="274"/>
      <c r="D209" s="274"/>
      <c r="E209" s="274"/>
      <c r="F209" s="274"/>
      <c r="G209" s="274"/>
      <c r="H209" s="274"/>
      <c r="I209" s="274"/>
      <c r="J209" s="1798" t="s">
        <v>1320</v>
      </c>
      <c r="K209" s="1799"/>
      <c r="L209" s="1797" t="s">
        <v>1321</v>
      </c>
      <c r="M209" s="1797"/>
      <c r="N209" s="282"/>
    </row>
    <row r="210" spans="3:14" ht="15.75">
      <c r="C210" s="1800" t="s">
        <v>1331</v>
      </c>
      <c r="D210" s="1801"/>
      <c r="F210" s="274"/>
      <c r="G210" s="1315" t="s">
        <v>774</v>
      </c>
      <c r="H210" s="1316" t="s">
        <v>1322</v>
      </c>
      <c r="I210" s="1316" t="s">
        <v>1323</v>
      </c>
      <c r="J210" s="1649" t="s">
        <v>1324</v>
      </c>
      <c r="K210" s="1649" t="s">
        <v>1325</v>
      </c>
      <c r="L210" s="1649" t="s">
        <v>1324</v>
      </c>
      <c r="M210" s="1649" t="s">
        <v>1325</v>
      </c>
      <c r="N210" s="281" t="s">
        <v>1326</v>
      </c>
    </row>
    <row r="211" spans="3:14" ht="15.75">
      <c r="C211" s="1312" t="s">
        <v>1327</v>
      </c>
      <c r="D211" s="1325">
        <f>IF(D22="Ponta",B22,0)</f>
        <v>0</v>
      </c>
      <c r="E211" s="18"/>
      <c r="F211" s="274"/>
      <c r="G211" s="1318">
        <f>G196</f>
        <v>44378</v>
      </c>
      <c r="H211" s="276">
        <f>H196</f>
        <v>0</v>
      </c>
      <c r="I211" s="276">
        <f>I196</f>
        <v>0</v>
      </c>
      <c r="J211" s="1319">
        <f>SUMIFS($G$18:$G$60,$B$18:$B$60,$D$211,$D$18:$D$60,"Ponta")</f>
        <v>0</v>
      </c>
      <c r="K211" s="1319">
        <f>SUMIFS($G$18:$G$60,$B$18:$B$60,$D$211,$D$18:$D$60,"Fora Ponta")</f>
        <v>0</v>
      </c>
      <c r="L211" s="1319">
        <f>IF(MONTH(DataRevRea)=7,'Rede Básica + Ajuste'!J211,IF(G211&lt;$Q$69,(SUMIFS($G$18:$G$60,$B$18:$B$60,$D$211,$D$18:$D$60,"Ponta")),(SUMIFS($H$18:$H$60,$B$18:$B$60,$D$211,$D$18:$D$60,"Ponta"))))</f>
        <v>0</v>
      </c>
      <c r="M211" s="1319">
        <f>IF(MONTH(DataRevRea)=7,'Rede Básica + Ajuste'!K211,IF(G211&lt;$Q$69,(SUMIFS($G$18:$G$60,$B$18:$B$60,$D$211,$D$18:$D$60,"Fora Ponta")),(SUMIFS($H$18:$H$60,$B$18:$B$60,$D$211,$D$18:$D$60,"Fora Ponta"))))</f>
        <v>0</v>
      </c>
      <c r="N211" s="1320">
        <f>+(H211*(L211-J211))+(I211*(M211-K211))</f>
        <v>0</v>
      </c>
    </row>
    <row r="212" spans="3:14" ht="15.75">
      <c r="C212" s="274"/>
      <c r="D212" s="274"/>
      <c r="E212" s="274"/>
      <c r="F212" s="274"/>
      <c r="G212" s="275">
        <f t="shared" ref="G212:I222" si="45">G197</f>
        <v>44409</v>
      </c>
      <c r="H212" s="276">
        <f t="shared" si="45"/>
        <v>0</v>
      </c>
      <c r="I212" s="276">
        <f t="shared" si="45"/>
        <v>0</v>
      </c>
      <c r="J212" s="276">
        <f t="shared" ref="J212:J222" si="46">SUMIFS($G$18:$G$60,$B$18:$B$60,$D$211,$D$18:$D$60,"Ponta")</f>
        <v>0</v>
      </c>
      <c r="K212" s="276">
        <f t="shared" ref="K212:K222" si="47">SUMIFS($G$18:$G$60,$B$18:$B$60,$D$211,$D$18:$D$60,"Fora Ponta")</f>
        <v>0</v>
      </c>
      <c r="L212" s="276">
        <f>IF(MONTH(DataRevRea)=7,'Rede Básica + Ajuste'!J212,IF(G212&lt;$Q$69,(SUMIFS($G$18:$G$60,$B$18:$B$60,$D$211,$D$18:$D$60,"Ponta")),(SUMIFS($H$18:$H$60,$B$18:$B$60,$D$211,$D$18:$D$60,"Ponta"))))</f>
        <v>0</v>
      </c>
      <c r="M212" s="276">
        <f>IF(MONTH(DataRevRea)=7,'Rede Básica + Ajuste'!K212,IF(G212&lt;$Q$69,(SUMIFS($G$18:$G$60,$B$18:$B$60,$D$211,$D$18:$D$60,"Fora Ponta")),(SUMIFS($H$18:$H$60,$B$18:$B$60,$D$211,$D$18:$D$60,"Fora Ponta"))))</f>
        <v>0</v>
      </c>
      <c r="N212" s="283">
        <f t="shared" ref="N212:N222" si="48">+(H212*(L212-J212))+(I212*(M212-K212))</f>
        <v>0</v>
      </c>
    </row>
    <row r="213" spans="3:14" ht="15.75">
      <c r="C213" s="277"/>
      <c r="D213" s="1321" t="s">
        <v>1328</v>
      </c>
      <c r="E213" s="1322" t="s">
        <v>1329</v>
      </c>
      <c r="F213" s="274"/>
      <c r="G213" s="275">
        <f t="shared" si="45"/>
        <v>44440</v>
      </c>
      <c r="H213" s="276">
        <f t="shared" si="45"/>
        <v>0</v>
      </c>
      <c r="I213" s="276">
        <f t="shared" si="45"/>
        <v>0</v>
      </c>
      <c r="J213" s="276">
        <f t="shared" si="46"/>
        <v>0</v>
      </c>
      <c r="K213" s="276">
        <f t="shared" si="47"/>
        <v>0</v>
      </c>
      <c r="L213" s="276">
        <f>IF(MONTH(DataRevRea)=7,'Rede Básica + Ajuste'!J213,IF(G213&lt;$Q$69,(SUMIFS($G$18:$G$60,$B$18:$B$60,$D$211,$D$18:$D$60,"Ponta")),(SUMIFS($H$18:$H$60,$B$18:$B$60,$D$211,$D$18:$D$60,"Ponta"))))</f>
        <v>0</v>
      </c>
      <c r="M213" s="276">
        <f>IF(MONTH(DataRevRea)=7,'Rede Básica + Ajuste'!K213,IF(G213&lt;$Q$69,(SUMIFS($G$18:$G$60,$B$18:$B$60,$D$211,$D$18:$D$60,"Fora Ponta")),(SUMIFS($H$18:$H$60,$B$18:$B$60,$D$211,$D$18:$D$60,"Fora Ponta"))))</f>
        <v>0</v>
      </c>
      <c r="N213" s="283">
        <f t="shared" si="48"/>
        <v>0</v>
      </c>
    </row>
    <row r="214" spans="3:14" ht="15.75">
      <c r="C214" s="1323" t="str">
        <f>C199</f>
        <v>Cobertura 2021</v>
      </c>
      <c r="D214" s="1324">
        <f>SUMPRODUCT(H211:H222,J211:J222)</f>
        <v>0</v>
      </c>
      <c r="E214" s="1324">
        <f>SUMPRODUCT(I211:I222,K211:K222)</f>
        <v>0</v>
      </c>
      <c r="F214" s="274"/>
      <c r="G214" s="275">
        <f t="shared" si="45"/>
        <v>44470</v>
      </c>
      <c r="H214" s="276">
        <f t="shared" si="45"/>
        <v>0</v>
      </c>
      <c r="I214" s="276">
        <f t="shared" si="45"/>
        <v>0</v>
      </c>
      <c r="J214" s="276">
        <f t="shared" si="46"/>
        <v>0</v>
      </c>
      <c r="K214" s="276">
        <f t="shared" si="47"/>
        <v>0</v>
      </c>
      <c r="L214" s="276">
        <f>IF(MONTH(DataRevRea)=7,'Rede Básica + Ajuste'!J214,IF(G214&lt;$Q$69,(SUMIFS($G$18:$G$60,$B$18:$B$60,$D$211,$D$18:$D$60,"Ponta")),(SUMIFS($H$18:$H$60,$B$18:$B$60,$D$211,$D$18:$D$60,"Ponta"))))</f>
        <v>0</v>
      </c>
      <c r="M214" s="276">
        <f>IF(MONTH(DataRevRea)=7,'Rede Básica + Ajuste'!K214,IF(G214&lt;$Q$69,(SUMIFS($G$18:$G$60,$B$18:$B$60,$D$211,$D$18:$D$60,"Fora Ponta")),(SUMIFS($H$18:$H$60,$B$18:$B$60,$D$211,$D$18:$D$60,"Fora Ponta"))))</f>
        <v>0</v>
      </c>
      <c r="N214" s="283">
        <f t="shared" si="48"/>
        <v>0</v>
      </c>
    </row>
    <row r="215" spans="3:14" ht="15.75">
      <c r="C215" s="1323" t="s">
        <v>1330</v>
      </c>
      <c r="D215" s="1324">
        <f>SUMPRODUCT(H211:H222,L211:L222)</f>
        <v>0</v>
      </c>
      <c r="E215" s="1324">
        <f>SUMPRODUCT(I211:I222,M211:M222)</f>
        <v>0</v>
      </c>
      <c r="F215" s="274"/>
      <c r="G215" s="275">
        <f t="shared" si="45"/>
        <v>44501</v>
      </c>
      <c r="H215" s="276">
        <f t="shared" si="45"/>
        <v>0</v>
      </c>
      <c r="I215" s="276">
        <f t="shared" si="45"/>
        <v>0</v>
      </c>
      <c r="J215" s="276">
        <f t="shared" si="46"/>
        <v>0</v>
      </c>
      <c r="K215" s="276">
        <f t="shared" si="47"/>
        <v>0</v>
      </c>
      <c r="L215" s="276">
        <f>IF(MONTH(DataRevRea)=7,'Rede Básica + Ajuste'!J215,IF(G215&lt;$Q$69,(SUMIFS($G$18:$G$60,$B$18:$B$60,$D$211,$D$18:$D$60,"Ponta")),(SUMIFS($H$18:$H$60,$B$18:$B$60,$D$211,$D$18:$D$60,"Ponta"))))</f>
        <v>0</v>
      </c>
      <c r="M215" s="276">
        <f>IF(MONTH(DataRevRea)=7,'Rede Básica + Ajuste'!K215,IF(G215&lt;$Q$69,(SUMIFS($G$18:$G$60,$B$18:$B$60,$D$211,$D$18:$D$60,"Fora Ponta")),(SUMIFS($H$18:$H$60,$B$18:$B$60,$D$211,$D$18:$D$60,"Fora Ponta"))))</f>
        <v>0</v>
      </c>
      <c r="N215" s="283">
        <f t="shared" si="48"/>
        <v>0</v>
      </c>
    </row>
    <row r="216" spans="3:14" ht="15.75">
      <c r="C216" s="274"/>
      <c r="D216" s="274"/>
      <c r="E216" s="274"/>
      <c r="F216" s="274"/>
      <c r="G216" s="275">
        <f t="shared" si="45"/>
        <v>44531</v>
      </c>
      <c r="H216" s="276">
        <f t="shared" si="45"/>
        <v>0</v>
      </c>
      <c r="I216" s="276">
        <f t="shared" si="45"/>
        <v>0</v>
      </c>
      <c r="J216" s="276">
        <f t="shared" si="46"/>
        <v>0</v>
      </c>
      <c r="K216" s="276">
        <f t="shared" si="47"/>
        <v>0</v>
      </c>
      <c r="L216" s="276">
        <f>IF(MONTH(DataRevRea)=7,'Rede Básica + Ajuste'!J216,IF(G216&lt;$Q$69,(SUMIFS($G$18:$G$60,$B$18:$B$60,$D$211,$D$18:$D$60,"Ponta")),(SUMIFS($H$18:$H$60,$B$18:$B$60,$D$211,$D$18:$D$60,"Ponta"))))</f>
        <v>0</v>
      </c>
      <c r="M216" s="276">
        <f>IF(MONTH(DataRevRea)=7,'Rede Básica + Ajuste'!K216,IF(G216&lt;$Q$69,(SUMIFS($G$18:$G$60,$B$18:$B$60,$D$211,$D$18:$D$60,"Fora Ponta")),(SUMIFS($H$18:$H$60,$B$18:$B$60,$D$211,$D$18:$D$60,"Fora Ponta"))))</f>
        <v>0</v>
      </c>
      <c r="N216" s="283">
        <f t="shared" si="48"/>
        <v>0</v>
      </c>
    </row>
    <row r="217" spans="3:14" ht="15.75">
      <c r="C217" s="286"/>
      <c r="D217" s="286"/>
      <c r="E217" s="286"/>
      <c r="F217" s="274"/>
      <c r="G217" s="275">
        <f t="shared" si="45"/>
        <v>44562</v>
      </c>
      <c r="H217" s="276">
        <f t="shared" si="45"/>
        <v>0</v>
      </c>
      <c r="I217" s="276">
        <f t="shared" si="45"/>
        <v>0</v>
      </c>
      <c r="J217" s="276">
        <f t="shared" si="46"/>
        <v>0</v>
      </c>
      <c r="K217" s="276">
        <f t="shared" si="47"/>
        <v>0</v>
      </c>
      <c r="L217" s="276">
        <f>IF(MONTH(DataRevRea)=7,'Rede Básica + Ajuste'!J217,IF(G217&lt;$Q$69,(SUMIFS($G$18:$G$60,$B$18:$B$60,$D$211,$D$18:$D$60,"Ponta")),(SUMIFS($H$18:$H$60,$B$18:$B$60,$D$211,$D$18:$D$60,"Ponta"))))</f>
        <v>0</v>
      </c>
      <c r="M217" s="276">
        <f>IF(MONTH(DataRevRea)=7,'Rede Básica + Ajuste'!K217,IF(G217&lt;$Q$69,(SUMIFS($G$18:$G$60,$B$18:$B$60,$D$211,$D$18:$D$60,"Fora Ponta")),(SUMIFS($H$18:$H$60,$B$18:$B$60,$D$211,$D$18:$D$60,"Fora Ponta"))))</f>
        <v>0</v>
      </c>
      <c r="N217" s="283">
        <f t="shared" si="48"/>
        <v>0</v>
      </c>
    </row>
    <row r="218" spans="3:14" ht="15.75">
      <c r="C218" s="278"/>
      <c r="D218" s="278"/>
      <c r="E218" s="287"/>
      <c r="F218" s="274"/>
      <c r="G218" s="275">
        <f t="shared" si="45"/>
        <v>44593</v>
      </c>
      <c r="H218" s="276">
        <f t="shared" si="45"/>
        <v>0</v>
      </c>
      <c r="I218" s="276">
        <f t="shared" si="45"/>
        <v>0</v>
      </c>
      <c r="J218" s="276">
        <f t="shared" si="46"/>
        <v>0</v>
      </c>
      <c r="K218" s="276">
        <f t="shared" si="47"/>
        <v>0</v>
      </c>
      <c r="L218" s="276">
        <f>IF(MONTH(DataRevRea)=7,'Rede Básica + Ajuste'!J218,IF(G218&lt;$Q$69,(SUMIFS($G$18:$G$60,$B$18:$B$60,$D$211,$D$18:$D$60,"Ponta")),(SUMIFS($H$18:$H$60,$B$18:$B$60,$D$211,$D$18:$D$60,"Ponta"))))</f>
        <v>0</v>
      </c>
      <c r="M218" s="276">
        <f>IF(MONTH(DataRevRea)=7,'Rede Básica + Ajuste'!K218,IF(G218&lt;$Q$69,(SUMIFS($G$18:$G$60,$B$18:$B$60,$D$211,$D$18:$D$60,"Fora Ponta")),(SUMIFS($H$18:$H$60,$B$18:$B$60,$D$211,$D$18:$D$60,"Fora Ponta"))))</f>
        <v>0</v>
      </c>
      <c r="N218" s="283">
        <f t="shared" si="48"/>
        <v>0</v>
      </c>
    </row>
    <row r="219" spans="3:14" ht="15.75">
      <c r="C219" s="288"/>
      <c r="D219" s="278"/>
      <c r="E219" s="287"/>
      <c r="F219" s="274"/>
      <c r="G219" s="275">
        <f t="shared" si="45"/>
        <v>44621</v>
      </c>
      <c r="H219" s="276">
        <f t="shared" si="45"/>
        <v>0</v>
      </c>
      <c r="I219" s="276">
        <f t="shared" si="45"/>
        <v>0</v>
      </c>
      <c r="J219" s="276">
        <f t="shared" si="46"/>
        <v>0</v>
      </c>
      <c r="K219" s="276">
        <f t="shared" si="47"/>
        <v>0</v>
      </c>
      <c r="L219" s="276">
        <f>IF(MONTH(DataRevRea)=7,'Rede Básica + Ajuste'!J219,IF(G219&lt;$Q$69,(SUMIFS($G$18:$G$60,$B$18:$B$60,$D$211,$D$18:$D$60,"Ponta")),(SUMIFS($H$18:$H$60,$B$18:$B$60,$D$211,$D$18:$D$60,"Ponta"))))</f>
        <v>0</v>
      </c>
      <c r="M219" s="276">
        <f>IF(MONTH(DataRevRea)=7,'Rede Básica + Ajuste'!K219,IF(G219&lt;$Q$69,(SUMIFS($G$18:$G$60,$B$18:$B$60,$D$211,$D$18:$D$60,"Fora Ponta")),(SUMIFS($H$18:$H$60,$B$18:$B$60,$D$211,$D$18:$D$60,"Fora Ponta"))))</f>
        <v>0</v>
      </c>
      <c r="N219" s="283">
        <f t="shared" si="48"/>
        <v>0</v>
      </c>
    </row>
    <row r="220" spans="3:14" ht="15.75">
      <c r="C220" s="274"/>
      <c r="D220" s="274"/>
      <c r="E220" s="274"/>
      <c r="F220" s="274"/>
      <c r="G220" s="275">
        <f t="shared" si="45"/>
        <v>44652</v>
      </c>
      <c r="H220" s="276">
        <f t="shared" si="45"/>
        <v>0</v>
      </c>
      <c r="I220" s="276">
        <f t="shared" si="45"/>
        <v>0</v>
      </c>
      <c r="J220" s="276">
        <f t="shared" si="46"/>
        <v>0</v>
      </c>
      <c r="K220" s="276">
        <f t="shared" si="47"/>
        <v>0</v>
      </c>
      <c r="L220" s="276">
        <f>IF(MONTH(DataRevRea)=7,'Rede Básica + Ajuste'!J220,IF(G220&lt;$Q$69,(SUMIFS($G$18:$G$60,$B$18:$B$60,$D$211,$D$18:$D$60,"Ponta")),(SUMIFS($H$18:$H$60,$B$18:$B$60,$D$211,$D$18:$D$60,"Ponta"))))</f>
        <v>0</v>
      </c>
      <c r="M220" s="276">
        <f>IF(MONTH(DataRevRea)=7,'Rede Básica + Ajuste'!K220,IF(G220&lt;$Q$69,(SUMIFS($G$18:$G$60,$B$18:$B$60,$D$211,$D$18:$D$60,"Fora Ponta")),(SUMIFS($H$18:$H$60,$B$18:$B$60,$D$211,$D$18:$D$60,"Fora Ponta"))))</f>
        <v>0</v>
      </c>
      <c r="N220" s="283">
        <f t="shared" si="48"/>
        <v>0</v>
      </c>
    </row>
    <row r="221" spans="3:14" ht="15.75">
      <c r="C221" s="280"/>
      <c r="D221" s="280"/>
      <c r="E221" s="280"/>
      <c r="F221" s="274"/>
      <c r="G221" s="275">
        <f t="shared" si="45"/>
        <v>44682</v>
      </c>
      <c r="H221" s="276">
        <f t="shared" si="45"/>
        <v>0</v>
      </c>
      <c r="I221" s="276">
        <f t="shared" si="45"/>
        <v>0</v>
      </c>
      <c r="J221" s="276">
        <f t="shared" si="46"/>
        <v>0</v>
      </c>
      <c r="K221" s="276">
        <f t="shared" si="47"/>
        <v>0</v>
      </c>
      <c r="L221" s="276">
        <f>IF(MONTH(DataRevRea)=7,'Rede Básica + Ajuste'!J221,IF(G221&lt;$Q$69,(SUMIFS($G$18:$G$60,$B$18:$B$60,$D$211,$D$18:$D$60,"Ponta")),(SUMIFS($H$18:$H$60,$B$18:$B$60,$D$211,$D$18:$D$60,"Ponta"))))</f>
        <v>0</v>
      </c>
      <c r="M221" s="276">
        <f>IF(MONTH(DataRevRea)=7,'Rede Básica + Ajuste'!K221,IF(G221&lt;$Q$69,(SUMIFS($G$18:$G$60,$B$18:$B$60,$D$211,$D$18:$D$60,"Fora Ponta")),(SUMIFS($H$18:$H$60,$B$18:$B$60,$D$211,$D$18:$D$60,"Fora Ponta"))))</f>
        <v>0</v>
      </c>
      <c r="N221" s="283">
        <f t="shared" si="48"/>
        <v>0</v>
      </c>
    </row>
    <row r="222" spans="3:14" ht="15.75">
      <c r="C222" s="278"/>
      <c r="D222" s="279"/>
      <c r="E222" s="278"/>
      <c r="F222" s="274"/>
      <c r="G222" s="1650">
        <f t="shared" si="45"/>
        <v>44713</v>
      </c>
      <c r="H222" s="1651">
        <f t="shared" si="45"/>
        <v>0</v>
      </c>
      <c r="I222" s="1651">
        <f t="shared" si="45"/>
        <v>0</v>
      </c>
      <c r="J222" s="1651">
        <f t="shared" si="46"/>
        <v>0</v>
      </c>
      <c r="K222" s="1651">
        <f t="shared" si="47"/>
        <v>0</v>
      </c>
      <c r="L222" s="1651">
        <f>IF(MONTH(DataRevRea)=7,'Rede Básica + Ajuste'!J222,IF(G222&lt;$Q$69,(SUMIFS($G$18:$G$60,$B$18:$B$60,$D$211,$D$18:$D$60,"Ponta")),(SUMIFS($H$18:$H$60,$B$18:$B$60,$D$211,$D$18:$D$60,"Ponta"))))</f>
        <v>0</v>
      </c>
      <c r="M222" s="1651">
        <f>IF(MONTH(DataRevRea)=7,'Rede Básica + Ajuste'!K222,IF(G222&lt;$Q$69,(SUMIFS($G$18:$G$60,$B$18:$B$60,$D$211,$D$18:$D$60,"Fora Ponta")),(SUMIFS($H$18:$H$60,$B$18:$B$60,$D$211,$D$18:$D$60,"Fora Ponta"))))</f>
        <v>0</v>
      </c>
      <c r="N222" s="1652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0" customWidth="1"/>
    <col min="2" max="2" width="35.85546875" style="150" customWidth="1"/>
    <col min="3" max="3" width="16.5703125" style="150" customWidth="1"/>
    <col min="4" max="4" width="17.5703125" style="150" customWidth="1"/>
    <col min="5" max="5" width="18.28515625" style="153" customWidth="1"/>
    <col min="6" max="6" width="12.7109375" style="153" customWidth="1"/>
    <col min="7" max="7" width="15.85546875" style="150" customWidth="1"/>
    <col min="8" max="8" width="12.5703125" style="150" customWidth="1"/>
    <col min="9" max="9" width="11.140625" style="150" customWidth="1"/>
    <col min="10" max="10" width="6" style="150" hidden="1" customWidth="1"/>
    <col min="11" max="11" width="2.28515625" style="150" hidden="1" customWidth="1"/>
    <col min="12" max="12" width="11.140625" style="150" hidden="1" customWidth="1"/>
    <col min="13" max="18" width="11.140625" style="150" customWidth="1"/>
    <col min="19" max="19" width="15.85546875" style="150" customWidth="1"/>
    <col min="20" max="20" width="5.42578125" style="150" customWidth="1"/>
    <col min="21" max="22" width="5.28515625" style="150" customWidth="1"/>
    <col min="23" max="23" width="11" style="150" customWidth="1"/>
    <col min="24" max="24" width="9.140625" style="150" customWidth="1"/>
    <col min="25" max="25" width="5.7109375" style="150" customWidth="1"/>
    <col min="26" max="26" width="2.28515625" style="150" bestFit="1" customWidth="1"/>
    <col min="27" max="16384" width="9.140625" style="150"/>
  </cols>
  <sheetData>
    <row r="1" spans="2:39" ht="24" customHeight="1">
      <c r="B1" s="1014" t="s">
        <v>766</v>
      </c>
      <c r="C1" s="1110"/>
      <c r="D1" s="1015"/>
      <c r="E1" s="1297"/>
      <c r="F1" s="1297"/>
      <c r="G1" s="1219" t="s">
        <v>1005</v>
      </c>
      <c r="H1" s="1220">
        <f ca="1">LnkTXTIRTEco</f>
        <v>0.16800000000000001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3" t="s">
        <v>1332</v>
      </c>
      <c r="AL1" s="184">
        <v>7947</v>
      </c>
      <c r="AM1" s="183" t="s">
        <v>1333</v>
      </c>
    </row>
    <row r="2" spans="2:39" ht="15" thickBot="1">
      <c r="B2" s="138" t="str">
        <f>CAPA!C9</f>
        <v>Creluz</v>
      </c>
      <c r="C2" s="70"/>
      <c r="D2" s="70"/>
      <c r="G2" s="121" t="s">
        <v>1009</v>
      </c>
      <c r="H2" s="122">
        <f ca="1">LnkTXTIRTTotal</f>
        <v>-5.8700000000000002E-2</v>
      </c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68"/>
      <c r="U2" s="68"/>
      <c r="V2" s="68"/>
      <c r="W2" s="68"/>
      <c r="X2" s="68"/>
      <c r="AK2" s="185" t="s">
        <v>1334</v>
      </c>
      <c r="AL2" s="186">
        <v>7959</v>
      </c>
      <c r="AM2" s="187" t="s">
        <v>1335</v>
      </c>
    </row>
    <row r="3" spans="2:39" ht="15" thickBot="1">
      <c r="B3" s="155"/>
      <c r="C3" s="155"/>
      <c r="D3" s="155"/>
      <c r="E3" s="155"/>
      <c r="F3" s="155"/>
      <c r="G3" s="155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68"/>
      <c r="U3" s="68"/>
      <c r="V3" s="68"/>
      <c r="W3" s="68"/>
      <c r="X3" s="68"/>
      <c r="AK3" s="169"/>
      <c r="AL3" s="170"/>
      <c r="AM3" s="171"/>
    </row>
    <row r="4" spans="2:39" ht="15" thickBot="1">
      <c r="S4" s="68"/>
      <c r="T4" s="68"/>
      <c r="U4" s="68"/>
      <c r="V4" s="68"/>
      <c r="W4" s="68"/>
      <c r="X4" s="68"/>
      <c r="AK4" s="169" t="s">
        <v>1336</v>
      </c>
      <c r="AL4" s="170">
        <v>7972</v>
      </c>
      <c r="AM4" s="171" t="s">
        <v>1337</v>
      </c>
    </row>
    <row r="5" spans="2:39" ht="29.25" thickBot="1">
      <c r="B5" s="1301" t="s">
        <v>1338</v>
      </c>
      <c r="C5" s="1301" t="s">
        <v>1339</v>
      </c>
      <c r="D5" s="1301" t="s">
        <v>1340</v>
      </c>
      <c r="E5" s="1301" t="s">
        <v>1341</v>
      </c>
      <c r="F5" s="1301" t="s">
        <v>1342</v>
      </c>
      <c r="G5" s="1301" t="s">
        <v>1343</v>
      </c>
      <c r="J5" s="157" t="s">
        <v>1344</v>
      </c>
      <c r="K5" s="168">
        <v>2</v>
      </c>
      <c r="M5" s="95"/>
      <c r="S5" s="68"/>
      <c r="T5" s="68"/>
      <c r="U5" s="68"/>
      <c r="V5" s="68"/>
      <c r="W5" s="68"/>
      <c r="X5" s="68"/>
      <c r="AK5" s="169" t="s">
        <v>1345</v>
      </c>
      <c r="AL5" s="170">
        <v>7973</v>
      </c>
      <c r="AM5" s="171" t="s">
        <v>1346</v>
      </c>
    </row>
    <row r="6" spans="2:39" ht="15" thickBot="1">
      <c r="B6" s="393">
        <f>RBBD!B304</f>
        <v>0</v>
      </c>
      <c r="C6" s="394">
        <f>SUM(RBBD!D304:E304)</f>
        <v>0</v>
      </c>
      <c r="D6" s="395">
        <f>SUM(RBBD!F304:G304)</f>
        <v>0</v>
      </c>
      <c r="E6" s="395">
        <f>SUM(RBBD!H304:I304)</f>
        <v>0</v>
      </c>
      <c r="F6" s="394">
        <f>RBBD!C304</f>
        <v>0</v>
      </c>
      <c r="G6" s="394">
        <f>SUM(C6:E6)</f>
        <v>0</v>
      </c>
      <c r="J6" s="157" t="s">
        <v>900</v>
      </c>
      <c r="K6" s="168">
        <v>3</v>
      </c>
      <c r="AK6" s="169" t="s">
        <v>1347</v>
      </c>
      <c r="AL6" s="170">
        <v>7974</v>
      </c>
      <c r="AM6" s="171" t="s">
        <v>1348</v>
      </c>
    </row>
    <row r="7" spans="2:39" ht="15" thickBot="1">
      <c r="B7" s="393">
        <f>RBBD!B305</f>
        <v>0</v>
      </c>
      <c r="C7" s="394">
        <f>SUM(RBBD!D305:E305)</f>
        <v>0</v>
      </c>
      <c r="D7" s="395">
        <f>SUM(RBBD!F305:G305)</f>
        <v>0</v>
      </c>
      <c r="E7" s="395">
        <f>SUM(RBBD!H305:I305)</f>
        <v>0</v>
      </c>
      <c r="F7" s="394">
        <f>RBBD!C305</f>
        <v>0</v>
      </c>
      <c r="G7" s="394">
        <f>SUM(C7:E7)</f>
        <v>0</v>
      </c>
      <c r="J7" s="157"/>
      <c r="K7" s="157"/>
      <c r="AK7" s="169" t="s">
        <v>1349</v>
      </c>
      <c r="AL7" s="170">
        <v>7977</v>
      </c>
      <c r="AM7" s="171" t="s">
        <v>1350</v>
      </c>
    </row>
    <row r="8" spans="2:39" ht="15" thickBot="1">
      <c r="B8" s="393">
        <f>RBBD!B306</f>
        <v>0</v>
      </c>
      <c r="C8" s="394">
        <f>SUM(RBBD!D306:E306)</f>
        <v>0</v>
      </c>
      <c r="D8" s="395">
        <f>SUM(RBBD!F306:G306)</f>
        <v>0</v>
      </c>
      <c r="E8" s="395">
        <f>SUM(RBBD!H306:I306)</f>
        <v>0</v>
      </c>
      <c r="F8" s="394">
        <f>RBBD!C306</f>
        <v>0</v>
      </c>
      <c r="G8" s="394">
        <f>SUM(C8:E8)</f>
        <v>0</v>
      </c>
      <c r="AK8" s="169" t="s">
        <v>1351</v>
      </c>
      <c r="AL8" s="170">
        <v>7978</v>
      </c>
      <c r="AM8" s="171" t="s">
        <v>1352</v>
      </c>
    </row>
    <row r="9" spans="2:39" ht="15" thickBot="1">
      <c r="B9" s="393">
        <f>RBBD!B307</f>
        <v>0</v>
      </c>
      <c r="C9" s="394">
        <f>SUM(RBBD!D307:E307)</f>
        <v>0</v>
      </c>
      <c r="D9" s="395">
        <f>SUM(RBBD!F307:G307)</f>
        <v>0</v>
      </c>
      <c r="E9" s="395">
        <f>SUM(RBBD!H307:I307)</f>
        <v>0</v>
      </c>
      <c r="F9" s="394">
        <f>RBBD!C307</f>
        <v>0</v>
      </c>
      <c r="G9" s="394">
        <f>SUM(C9:E9)</f>
        <v>0</v>
      </c>
      <c r="AK9" s="169" t="s">
        <v>1353</v>
      </c>
      <c r="AL9" s="170">
        <v>7979</v>
      </c>
      <c r="AM9" s="171" t="s">
        <v>1354</v>
      </c>
    </row>
    <row r="10" spans="2:39" ht="15" thickBot="1">
      <c r="B10" s="393">
        <f>RBBD!B308</f>
        <v>0</v>
      </c>
      <c r="C10" s="394">
        <f>SUM(RBBD!D308:E308)</f>
        <v>0</v>
      </c>
      <c r="D10" s="395">
        <f>SUM(RBBD!F308:G308)</f>
        <v>0</v>
      </c>
      <c r="E10" s="395">
        <f>SUM(RBBD!H308:I308)</f>
        <v>0</v>
      </c>
      <c r="F10" s="394">
        <f>RBBD!C308</f>
        <v>0</v>
      </c>
      <c r="G10" s="394">
        <f>SUM(C10:E10)</f>
        <v>0</v>
      </c>
      <c r="AK10" s="169" t="s">
        <v>1355</v>
      </c>
      <c r="AL10" s="170">
        <v>8047</v>
      </c>
      <c r="AM10" s="171" t="s">
        <v>1356</v>
      </c>
    </row>
    <row r="11" spans="2:39" ht="15" thickBot="1">
      <c r="B11" s="1326" t="s">
        <v>889</v>
      </c>
      <c r="C11" s="1327">
        <f>SUM(C6:C10)</f>
        <v>0</v>
      </c>
      <c r="D11" s="1327">
        <f>SUM(D6:D10)</f>
        <v>0</v>
      </c>
      <c r="E11" s="1328">
        <f>SUM(E6:E10)</f>
        <v>0</v>
      </c>
      <c r="F11" s="1329"/>
      <c r="G11" s="1330">
        <f>SUM(G6:G10)</f>
        <v>0</v>
      </c>
      <c r="AK11" s="169" t="s">
        <v>1357</v>
      </c>
      <c r="AL11" s="170">
        <v>8049</v>
      </c>
      <c r="AM11" s="171" t="s">
        <v>1358</v>
      </c>
    </row>
    <row r="12" spans="2:39" ht="15" thickBot="1">
      <c r="B12" s="165"/>
      <c r="C12" s="164"/>
      <c r="D12" s="1331" t="s">
        <v>1359</v>
      </c>
      <c r="E12" s="1331"/>
      <c r="F12" s="1332">
        <f>IF(MONTH(CAPA!C15)&gt;6,DATE(YEAR(CAPA!C15),6,1),DATE(YEAR(CAPA!C15)-1,6,1))</f>
        <v>44713</v>
      </c>
      <c r="G12" s="188"/>
      <c r="AK12" s="169" t="s">
        <v>1360</v>
      </c>
      <c r="AL12" s="170">
        <v>8050</v>
      </c>
      <c r="AM12" s="171" t="s">
        <v>1361</v>
      </c>
    </row>
    <row r="13" spans="2:39" ht="15" thickBot="1">
      <c r="B13" s="181"/>
      <c r="C13" s="181"/>
      <c r="D13" s="181"/>
      <c r="F13" s="182" t="s">
        <v>1362</v>
      </c>
      <c r="AK13" s="169"/>
      <c r="AL13" s="170"/>
      <c r="AM13" s="171"/>
    </row>
    <row r="14" spans="2:39" ht="15" thickBot="1">
      <c r="B14" s="181"/>
      <c r="C14" s="181"/>
      <c r="AK14" s="169" t="s">
        <v>1363</v>
      </c>
      <c r="AL14" s="170">
        <v>8051</v>
      </c>
      <c r="AM14" s="171" t="s">
        <v>1364</v>
      </c>
    </row>
    <row r="15" spans="2:39" ht="29.25" thickBot="1">
      <c r="B15" s="1301" t="s">
        <v>1338</v>
      </c>
      <c r="C15" s="1301" t="s">
        <v>1339</v>
      </c>
      <c r="D15" s="1301" t="s">
        <v>1365</v>
      </c>
      <c r="E15" s="1301" t="s">
        <v>1366</v>
      </c>
      <c r="F15" s="150"/>
      <c r="AK15" s="169" t="s">
        <v>1367</v>
      </c>
      <c r="AL15" s="170">
        <v>8057</v>
      </c>
      <c r="AM15" s="171" t="s">
        <v>1368</v>
      </c>
    </row>
    <row r="16" spans="2:39" ht="15" thickBot="1">
      <c r="B16" s="189">
        <f>B6</f>
        <v>0</v>
      </c>
      <c r="C16" s="190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1"/>
      <c r="E16" s="190">
        <f>SUM(C16:D16)</f>
        <v>0</v>
      </c>
      <c r="F16" s="150"/>
      <c r="AK16" s="169" t="s">
        <v>1369</v>
      </c>
      <c r="AL16" s="170">
        <v>8058</v>
      </c>
      <c r="AM16" s="171" t="s">
        <v>1370</v>
      </c>
    </row>
    <row r="17" spans="2:39" ht="15" thickBot="1">
      <c r="B17" s="189">
        <f>B7</f>
        <v>0</v>
      </c>
      <c r="C17" s="190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1"/>
      <c r="E17" s="190">
        <f>SUM(C17:D17)</f>
        <v>0</v>
      </c>
      <c r="F17" s="150"/>
      <c r="AK17" s="169" t="s">
        <v>1371</v>
      </c>
      <c r="AL17" s="170">
        <v>8220</v>
      </c>
      <c r="AM17" s="171" t="s">
        <v>1372</v>
      </c>
    </row>
    <row r="18" spans="2:39" ht="15" thickBot="1">
      <c r="B18" s="189">
        <f>B8</f>
        <v>0</v>
      </c>
      <c r="C18" s="190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1"/>
      <c r="E18" s="190">
        <f>SUM(C18:D18)</f>
        <v>0</v>
      </c>
      <c r="F18" s="150"/>
      <c r="AK18" s="169" t="s">
        <v>1373</v>
      </c>
      <c r="AL18" s="170">
        <v>8221</v>
      </c>
      <c r="AM18" s="171" t="s">
        <v>1374</v>
      </c>
    </row>
    <row r="19" spans="2:39" ht="15" thickBot="1">
      <c r="B19" s="189">
        <f>B9</f>
        <v>0</v>
      </c>
      <c r="C19" s="190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1"/>
      <c r="E19" s="190">
        <f>SUM(C19:D19)</f>
        <v>0</v>
      </c>
      <c r="F19" s="150"/>
      <c r="AK19" s="169" t="s">
        <v>1375</v>
      </c>
      <c r="AL19" s="170">
        <v>8231</v>
      </c>
      <c r="AM19" s="171" t="s">
        <v>1376</v>
      </c>
    </row>
    <row r="20" spans="2:39" ht="15" thickBot="1">
      <c r="B20" s="189">
        <f>B10</f>
        <v>0</v>
      </c>
      <c r="C20" s="190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1"/>
      <c r="E20" s="190">
        <f>SUM(C20:D20)</f>
        <v>0</v>
      </c>
      <c r="F20" s="150"/>
      <c r="AK20" s="169" t="s">
        <v>1377</v>
      </c>
      <c r="AL20" s="170">
        <v>8261</v>
      </c>
      <c r="AM20" s="171" t="s">
        <v>1378</v>
      </c>
    </row>
    <row r="21" spans="2:39">
      <c r="B21" s="1326" t="s">
        <v>889</v>
      </c>
      <c r="C21" s="1333">
        <f>SUM(C16:C20)</f>
        <v>0</v>
      </c>
      <c r="D21" s="1333">
        <f>SUM(D16:D20)</f>
        <v>0</v>
      </c>
      <c r="E21" s="1333">
        <f>SUM(E16:E20)</f>
        <v>0</v>
      </c>
      <c r="F21" s="150"/>
      <c r="AK21" s="172" t="s">
        <v>1379</v>
      </c>
      <c r="AL21" s="173">
        <v>8263</v>
      </c>
      <c r="AM21" s="174" t="s">
        <v>1380</v>
      </c>
    </row>
    <row r="24" spans="2:39">
      <c r="B24" s="175"/>
      <c r="C24" s="166"/>
      <c r="D24" s="166"/>
      <c r="E24" s="167"/>
      <c r="F24" s="167"/>
      <c r="G24" s="166"/>
      <c r="H24" s="166"/>
      <c r="I24" s="166"/>
    </row>
    <row r="25" spans="2:39">
      <c r="B25" s="72"/>
      <c r="C25" s="72"/>
      <c r="D25" s="72"/>
      <c r="E25" s="72"/>
      <c r="F25" s="72"/>
      <c r="G25" s="72"/>
      <c r="H25" s="72"/>
      <c r="I25" s="166"/>
    </row>
    <row r="26" spans="2:39">
      <c r="B26" s="72"/>
      <c r="C26" s="72"/>
      <c r="D26" s="72"/>
      <c r="E26" s="72"/>
      <c r="F26" s="176"/>
      <c r="G26" s="177"/>
      <c r="H26" s="116"/>
      <c r="I26" s="166"/>
    </row>
    <row r="27" spans="2:39">
      <c r="B27" s="97"/>
      <c r="C27" s="97"/>
      <c r="D27" s="97"/>
      <c r="E27" s="97"/>
      <c r="F27" s="97"/>
      <c r="G27" s="97"/>
      <c r="H27" s="97"/>
      <c r="I27" s="166"/>
    </row>
    <row r="28" spans="2:39">
      <c r="B28" s="175"/>
      <c r="C28" s="97"/>
      <c r="D28" s="97"/>
      <c r="E28" s="97"/>
      <c r="F28" s="97"/>
      <c r="G28" s="97"/>
      <c r="H28" s="97"/>
      <c r="I28" s="166"/>
    </row>
    <row r="29" spans="2:39">
      <c r="B29" s="178"/>
      <c r="C29" s="72"/>
      <c r="D29" s="72"/>
      <c r="E29" s="72"/>
      <c r="F29" s="72"/>
      <c r="G29" s="72"/>
      <c r="H29" s="89"/>
      <c r="I29" s="166"/>
    </row>
    <row r="30" spans="2:39">
      <c r="B30" s="178"/>
      <c r="C30" s="72"/>
      <c r="D30" s="72"/>
      <c r="E30" s="72"/>
      <c r="F30" s="72"/>
      <c r="G30" s="72"/>
      <c r="H30" s="89"/>
      <c r="I30" s="166"/>
    </row>
    <row r="31" spans="2:39">
      <c r="B31" s="178"/>
      <c r="C31" s="178"/>
      <c r="D31" s="178"/>
      <c r="E31" s="178"/>
      <c r="F31" s="178"/>
      <c r="G31" s="178"/>
      <c r="H31" s="179"/>
      <c r="I31" s="166"/>
    </row>
    <row r="32" spans="2:39">
      <c r="B32" s="166"/>
      <c r="C32" s="166"/>
      <c r="D32" s="166"/>
      <c r="E32" s="167"/>
      <c r="F32" s="167"/>
      <c r="G32" s="166"/>
      <c r="H32" s="166"/>
      <c r="I32" s="166"/>
    </row>
    <row r="33" spans="2:9">
      <c r="B33" s="166"/>
      <c r="C33" s="166"/>
      <c r="D33" s="166"/>
      <c r="E33" s="167"/>
      <c r="F33" s="167"/>
      <c r="G33" s="166"/>
      <c r="H33" s="166"/>
      <c r="I33" s="166"/>
    </row>
    <row r="76" spans="2:21" s="168" customFormat="1">
      <c r="B76" s="150"/>
      <c r="C76" s="150"/>
      <c r="D76" s="150"/>
      <c r="E76" s="153"/>
      <c r="F76" s="153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</row>
    <row r="77" spans="2:21" s="168" customFormat="1">
      <c r="B77" s="150"/>
      <c r="C77" s="150"/>
      <c r="D77" s="150"/>
      <c r="E77" s="153"/>
      <c r="F77" s="153"/>
      <c r="G77" s="150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</row>
    <row r="78" spans="2:21" s="168" customFormat="1">
      <c r="B78" s="150"/>
      <c r="C78" s="150"/>
      <c r="D78" s="150"/>
      <c r="E78" s="153"/>
      <c r="F78" s="153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</row>
    <row r="79" spans="2:21" s="168" customFormat="1">
      <c r="B79" s="150"/>
      <c r="C79" s="150"/>
      <c r="D79" s="150"/>
      <c r="E79" s="153"/>
      <c r="F79" s="153"/>
      <c r="G79" s="150"/>
      <c r="H79" s="150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</row>
    <row r="80" spans="2:21" s="168" customFormat="1">
      <c r="B80" s="150"/>
      <c r="C80" s="150"/>
      <c r="D80" s="150"/>
      <c r="E80" s="153"/>
      <c r="F80" s="153"/>
      <c r="G80" s="150"/>
      <c r="H80" s="150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</row>
    <row r="81" spans="2:21" s="168" customFormat="1">
      <c r="B81" s="150"/>
      <c r="C81" s="150"/>
      <c r="D81" s="150"/>
      <c r="E81" s="153"/>
      <c r="F81" s="153"/>
      <c r="G81" s="150"/>
      <c r="H81" s="150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</row>
    <row r="82" spans="2:21" s="168" customFormat="1">
      <c r="B82" s="150"/>
      <c r="C82" s="150"/>
      <c r="D82" s="150"/>
      <c r="E82" s="153"/>
      <c r="F82" s="153"/>
      <c r="G82" s="150"/>
      <c r="H82" s="150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8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14" t="s">
        <v>1086</v>
      </c>
      <c r="C1" s="1110"/>
      <c r="D1" s="1334"/>
      <c r="E1" s="1335"/>
      <c r="F1" s="1335"/>
      <c r="G1" s="1219" t="s">
        <v>1005</v>
      </c>
      <c r="H1" s="1299">
        <f ca="1">LnkTXTIRTEco</f>
        <v>0.16800000000000001</v>
      </c>
    </row>
    <row r="2" spans="1:16" ht="46.5" customHeight="1">
      <c r="B2" s="138" t="str">
        <f>CAPA!C9</f>
        <v>Creluz</v>
      </c>
      <c r="C2" s="70"/>
      <c r="D2" s="70"/>
      <c r="G2" s="121" t="s">
        <v>1009</v>
      </c>
      <c r="H2" s="147">
        <f ca="1">LnkTXTIRTTotal</f>
        <v>-5.8700000000000002E-2</v>
      </c>
      <c r="I2" s="91" t="s">
        <v>1381</v>
      </c>
    </row>
    <row r="3" spans="1:16">
      <c r="B3" s="1336" t="s">
        <v>1382</v>
      </c>
      <c r="C3" s="1337">
        <f>SUMPRODUCT(J6:J44,H6:H44)</f>
        <v>14041281.290248398</v>
      </c>
      <c r="D3" s="73"/>
      <c r="E3" s="1336" t="s">
        <v>1269</v>
      </c>
      <c r="F3" s="68" t="s">
        <v>1383</v>
      </c>
      <c r="G3" s="1338">
        <f>LnkTXTDescTusdAnte</f>
        <v>0</v>
      </c>
      <c r="H3" s="91"/>
      <c r="I3" s="1339">
        <f>VLOOKUP(LnkTXTSigla,Informacoes[],13,FALSE)</f>
        <v>0</v>
      </c>
      <c r="J3" s="91"/>
    </row>
    <row r="4" spans="1:16">
      <c r="B4" s="72"/>
      <c r="C4" s="89"/>
      <c r="D4" s="149"/>
      <c r="E4" s="72"/>
      <c r="F4" s="72"/>
      <c r="G4" s="91"/>
      <c r="H4" s="91"/>
      <c r="I4" s="91"/>
      <c r="J4" s="91"/>
    </row>
    <row r="5" spans="1:16" ht="27">
      <c r="A5" s="74" t="s">
        <v>1384</v>
      </c>
      <c r="B5" s="1340" t="s">
        <v>25</v>
      </c>
      <c r="C5" s="1340" t="s">
        <v>19</v>
      </c>
      <c r="D5" s="1340" t="s">
        <v>20</v>
      </c>
      <c r="E5" s="1340" t="s">
        <v>119</v>
      </c>
      <c r="F5" s="1340" t="s">
        <v>945</v>
      </c>
      <c r="G5" s="1340" t="s">
        <v>1385</v>
      </c>
      <c r="H5" s="1340" t="s">
        <v>68</v>
      </c>
      <c r="I5" s="1340" t="s">
        <v>1270</v>
      </c>
      <c r="J5" s="1340" t="s">
        <v>1271</v>
      </c>
      <c r="L5" s="68"/>
      <c r="M5" s="69"/>
    </row>
    <row r="6" spans="1:16">
      <c r="A6" s="68" t="s">
        <v>2294</v>
      </c>
      <c r="B6" s="148" t="s">
        <v>2295</v>
      </c>
      <c r="C6" s="148" t="s">
        <v>2296</v>
      </c>
      <c r="D6" s="148" t="s">
        <v>258</v>
      </c>
      <c r="E6" s="148" t="str">
        <f>IF(ISERROR(VLOOKUP(D6,$A$36:$B$39,2,FALSE)),"",VLOOKUP(D6,$A$36:$B$39,2,FALSE))</f>
        <v>Fora Ponta</v>
      </c>
      <c r="F6" s="148" t="str">
        <f>IF(ISERROR(VLOOKUP(D6,$A$36:$C$39,3,FALSE)),"",VLOOKUP(D6,$A$36:$C$39,3,FALSE))</f>
        <v>Potência</v>
      </c>
      <c r="G6" s="148">
        <f>IF(B6="","",SUMIFS(Faturas!V:V,Faturas!R:R,CUSD!B6,Faturas!S:S,CUSD!C6,Faturas!U:U,CUSD!D6))</f>
        <v>219045.38</v>
      </c>
      <c r="H6" s="148">
        <f>IF(B6="","",IF(LEFT(D6,7)="Demanda",G6,G6/1000))</f>
        <v>219045.38</v>
      </c>
      <c r="I6" s="148">
        <f>IF(ISERROR(VLOOKUP(CONCATENATE(A6,A41,E6,F6),BD!$H$6:$V$30,14,FALSE)),"",VLOOKUP(CONCATENATE(A6,A41,E6,F6),BD!$H$6:$V$30,14,FALSE))</f>
        <v>12.22</v>
      </c>
      <c r="J6" s="148">
        <f t="shared" ref="J6:J13" si="0">IF(ISERROR(I6*(1-$G$3)),"",I6*(1-$G$3))</f>
        <v>12.22</v>
      </c>
      <c r="K6" s="69">
        <f>H6*J6</f>
        <v>2676734.5436</v>
      </c>
      <c r="L6" s="68"/>
      <c r="M6" s="69"/>
      <c r="N6" s="69"/>
    </row>
    <row r="7" spans="1:16">
      <c r="A7" s="68" t="s">
        <v>2294</v>
      </c>
      <c r="B7" s="148" t="s">
        <v>2295</v>
      </c>
      <c r="C7" s="148" t="s">
        <v>2296</v>
      </c>
      <c r="D7" s="148" t="s">
        <v>260</v>
      </c>
      <c r="E7" s="148" t="str">
        <f t="shared" ref="E7:E30" si="1">IF(ISERROR(VLOOKUP(D7,$A$36:$B$39,2,FALSE)),"",VLOOKUP(D7,$A$36:$B$39,2,FALSE))</f>
        <v>Ponta</v>
      </c>
      <c r="F7" s="148" t="str">
        <f t="shared" ref="F7:F30" si="2">IF(ISERROR(VLOOKUP(D7,$A$36:$C$39,3,FALSE)),"",VLOOKUP(D7,$A$36:$C$39,3,FALSE))</f>
        <v>Potência</v>
      </c>
      <c r="G7" s="148">
        <f>IF(B7="","",SUMIFS(Faturas!V:V,Faturas!R:R,CUSD!B7,Faturas!S:S,CUSD!C7,Faturas!U:U,CUSD!D7))</f>
        <v>177638.99</v>
      </c>
      <c r="H7" s="148">
        <f t="shared" ref="H7:H30" si="3">IF(B7="","",IF(LEFT(D7,7)="Demanda",G7,G7/1000))</f>
        <v>177638.99</v>
      </c>
      <c r="I7" s="148">
        <f>IF(ISERROR(VLOOKUP(CONCATENATE(A7,A42,E7,F7),BD!$H$6:$V$30,14,FALSE)),"",VLOOKUP(CONCATENATE(A7,A42,E7,F7),BD!$H$6:$V$30,14,FALSE))</f>
        <v>12.37</v>
      </c>
      <c r="J7" s="148">
        <f t="shared" si="0"/>
        <v>12.37</v>
      </c>
      <c r="K7" s="69">
        <f t="shared" ref="K7:K13" si="4">H7*J7</f>
        <v>2197394.3062999998</v>
      </c>
    </row>
    <row r="8" spans="1:16">
      <c r="A8" s="68" t="s">
        <v>2294</v>
      </c>
      <c r="B8" s="148" t="s">
        <v>2295</v>
      </c>
      <c r="C8" s="148" t="s">
        <v>261</v>
      </c>
      <c r="D8" s="148" t="s">
        <v>258</v>
      </c>
      <c r="E8" s="148" t="str">
        <f t="shared" si="1"/>
        <v>Fora Ponta</v>
      </c>
      <c r="F8" s="148" t="str">
        <f t="shared" si="2"/>
        <v>Potência</v>
      </c>
      <c r="G8" s="148">
        <f>IF(B8="","",SUMIFS(Faturas!V:V,Faturas!R:R,CUSD!B8,Faturas!S:S,CUSD!C8,Faturas!U:U,CUSD!D8))</f>
        <v>204284.63</v>
      </c>
      <c r="H8" s="148">
        <f t="shared" si="3"/>
        <v>204284.63</v>
      </c>
      <c r="I8" s="148">
        <f>IF(ISERROR(VLOOKUP(CONCATENATE(A8,A43,E8,F8),BD!$H$6:$V$30,14,FALSE)),"",VLOOKUP(CONCATENATE(A8,A43,E8,F8),BD!$H$6:$V$30,14,FALSE))</f>
        <v>19.98</v>
      </c>
      <c r="J8" s="148">
        <f t="shared" si="0"/>
        <v>19.98</v>
      </c>
      <c r="K8" s="69">
        <f t="shared" si="4"/>
        <v>4081606.9074000004</v>
      </c>
      <c r="L8" s="68"/>
      <c r="M8" s="69"/>
    </row>
    <row r="9" spans="1:16">
      <c r="A9" s="68" t="s">
        <v>2294</v>
      </c>
      <c r="B9" s="148" t="s">
        <v>2295</v>
      </c>
      <c r="C9" s="148" t="s">
        <v>261</v>
      </c>
      <c r="D9" s="148" t="s">
        <v>260</v>
      </c>
      <c r="E9" s="148" t="str">
        <f t="shared" si="1"/>
        <v>Ponta</v>
      </c>
      <c r="F9" s="148" t="str">
        <f t="shared" si="2"/>
        <v>Potência</v>
      </c>
      <c r="G9" s="148">
        <f>IF(B9="","",SUMIFS(Faturas!V:V,Faturas!R:R,CUSD!B9,Faturas!S:S,CUSD!C9,Faturas!U:U,CUSD!D9))</f>
        <v>163872.02999999997</v>
      </c>
      <c r="H9" s="148">
        <f t="shared" si="3"/>
        <v>163872.02999999997</v>
      </c>
      <c r="I9" s="148">
        <f>IF(ISERROR(VLOOKUP(CONCATENATE(A9,A44,E9,F9),BD!$H$6:$V$30,14,FALSE)),"",VLOOKUP(CONCATENATE(A9,A44,E9,F9),BD!$H$6:$V$30,14,FALSE))</f>
        <v>26.9</v>
      </c>
      <c r="J9" s="148">
        <f t="shared" si="0"/>
        <v>26.9</v>
      </c>
      <c r="K9" s="69">
        <f t="shared" si="4"/>
        <v>4408157.6069999989</v>
      </c>
      <c r="L9" s="68"/>
      <c r="M9" s="69"/>
    </row>
    <row r="10" spans="1:16">
      <c r="A10" s="68" t="s">
        <v>2294</v>
      </c>
      <c r="B10" s="148" t="s">
        <v>2295</v>
      </c>
      <c r="C10" s="148" t="s">
        <v>2296</v>
      </c>
      <c r="D10" s="148" t="s">
        <v>266</v>
      </c>
      <c r="E10" s="148" t="str">
        <f t="shared" si="1"/>
        <v>Não se aplica</v>
      </c>
      <c r="F10" s="148" t="str">
        <f t="shared" si="2"/>
        <v>Energia</v>
      </c>
      <c r="G10" s="148">
        <f>IF(B10="","",SUMIFS(Faturas!V:V,Faturas!R:R,CUSD!B10,Faturas!S:S,CUSD!C10,Faturas!U:U,CUSD!D10))</f>
        <v>69282024.960000008</v>
      </c>
      <c r="H10" s="148">
        <f t="shared" si="3"/>
        <v>69282.02496000001</v>
      </c>
      <c r="I10" s="148">
        <f>IF(ISERROR(VLOOKUP(CONCATENATE(A10,A45,E10,F10),BD!$H$6:$V$30,14,FALSE)),"",VLOOKUP(CONCATENATE(A10,A45,E10,F10),BD!$H$6:$V$30,14,FALSE))</f>
        <v>3.86</v>
      </c>
      <c r="J10" s="148">
        <f t="shared" si="0"/>
        <v>3.86</v>
      </c>
      <c r="K10" s="69">
        <f t="shared" si="4"/>
        <v>267428.61634560005</v>
      </c>
      <c r="L10" s="68"/>
      <c r="M10" s="69"/>
    </row>
    <row r="11" spans="1:16">
      <c r="A11" s="68" t="s">
        <v>2294</v>
      </c>
      <c r="B11" s="148" t="s">
        <v>2295</v>
      </c>
      <c r="C11" s="148" t="s">
        <v>2296</v>
      </c>
      <c r="D11" s="148" t="s">
        <v>267</v>
      </c>
      <c r="E11" s="148" t="str">
        <f t="shared" si="1"/>
        <v>Não se aplica</v>
      </c>
      <c r="F11" s="148" t="str">
        <f t="shared" si="2"/>
        <v>Energia</v>
      </c>
      <c r="G11" s="148">
        <f>IF(B11="","",SUMIFS(Faturas!V:V,Faturas!R:R,CUSD!B11,Faturas!S:S,CUSD!C11,Faturas!U:U,CUSD!D11))</f>
        <v>8348489.5</v>
      </c>
      <c r="H11" s="148">
        <f t="shared" si="3"/>
        <v>8348.4894999999997</v>
      </c>
      <c r="I11" s="148">
        <f>IF(ISERROR(VLOOKUP(CONCATENATE(A11,A46,E11,F11),BD!$H$6:$V$30,14,FALSE)),"",VLOOKUP(CONCATENATE(A11,A46,E11,F11),BD!$H$6:$V$30,14,FALSE))</f>
        <v>3.86</v>
      </c>
      <c r="J11" s="148">
        <f t="shared" ref="J11" si="5">IF(ISERROR(I11*(1-$G$3)),"",I11*(1-$G$3))</f>
        <v>3.86</v>
      </c>
      <c r="K11" s="69">
        <f t="shared" si="4"/>
        <v>32225.169469999997</v>
      </c>
      <c r="L11" s="743"/>
      <c r="M11" s="242"/>
      <c r="N11" s="243"/>
      <c r="O11" s="243"/>
      <c r="P11" s="243"/>
    </row>
    <row r="12" spans="1:16">
      <c r="A12" s="68" t="s">
        <v>2294</v>
      </c>
      <c r="B12" s="148" t="s">
        <v>2295</v>
      </c>
      <c r="C12" s="148" t="s">
        <v>261</v>
      </c>
      <c r="D12" s="148" t="s">
        <v>266</v>
      </c>
      <c r="E12" s="148" t="str">
        <f t="shared" si="1"/>
        <v>Não se aplica</v>
      </c>
      <c r="F12" s="148" t="str">
        <f t="shared" si="2"/>
        <v>Energia</v>
      </c>
      <c r="G12" s="148">
        <f>IF(B12="","",SUMIFS(Faturas!V:V,Faturas!R:R,CUSD!B12,Faturas!S:S,CUSD!C12,Faturas!U:U,CUSD!D12))</f>
        <v>29419309.34</v>
      </c>
      <c r="H12" s="148">
        <f t="shared" si="3"/>
        <v>29419.30934</v>
      </c>
      <c r="I12" s="148">
        <f>IF(ISERROR(VLOOKUP(CONCATENATE(A12,A47,E12,F12),BD!$H$6:$V$30,14,FALSE)),"",VLOOKUP(CONCATENATE(A12,A47,E12,F12),BD!$H$6:$V$30,14,FALSE))</f>
        <v>11.36</v>
      </c>
      <c r="J12" s="148">
        <f t="shared" si="0"/>
        <v>11.36</v>
      </c>
      <c r="K12" s="69">
        <f t="shared" si="4"/>
        <v>334203.35410239996</v>
      </c>
      <c r="N12" s="243"/>
      <c r="O12" s="243"/>
      <c r="P12" s="243"/>
    </row>
    <row r="13" spans="1:16">
      <c r="A13" s="68" t="s">
        <v>2294</v>
      </c>
      <c r="B13" s="148" t="s">
        <v>2295</v>
      </c>
      <c r="C13" s="148" t="s">
        <v>261</v>
      </c>
      <c r="D13" s="148" t="s">
        <v>267</v>
      </c>
      <c r="E13" s="148" t="str">
        <f t="shared" si="1"/>
        <v>Não se aplica</v>
      </c>
      <c r="F13" s="148" t="str">
        <f t="shared" si="2"/>
        <v>Energia</v>
      </c>
      <c r="G13" s="148">
        <f>IF(B13="","",SUMIFS(Faturas!V:V,Faturas!R:R,CUSD!B13,Faturas!S:S,CUSD!C13,Faturas!U:U,CUSD!D13))</f>
        <v>3831935.3899999992</v>
      </c>
      <c r="H13" s="148">
        <f t="shared" si="3"/>
        <v>3831.9353899999992</v>
      </c>
      <c r="I13" s="148">
        <f>IF(ISERROR(VLOOKUP(CONCATENATE(A13,A48,E13,F13),BD!$H$6:$V$30,14,FALSE)),"",VLOOKUP(CONCATENATE(A13,A48,E13,F13),BD!$H$6:$V$30,14,FALSE))</f>
        <v>11.36</v>
      </c>
      <c r="J13" s="148">
        <f t="shared" si="0"/>
        <v>11.36</v>
      </c>
      <c r="K13" s="69">
        <f t="shared" si="4"/>
        <v>43530.786030399991</v>
      </c>
      <c r="L13" s="68"/>
      <c r="M13" s="242"/>
      <c r="N13" s="243"/>
      <c r="O13" s="243"/>
      <c r="P13" s="243"/>
    </row>
    <row r="14" spans="1:16">
      <c r="B14" s="148"/>
      <c r="C14" s="148"/>
      <c r="D14" s="148"/>
      <c r="E14" s="148" t="str">
        <f t="shared" si="1"/>
        <v/>
      </c>
      <c r="F14" s="148" t="str">
        <f t="shared" si="2"/>
        <v/>
      </c>
      <c r="G14" s="148" t="str">
        <f>IF(B14="","",SUMIFS(Faturas!V:V,Faturas!R:R,CUSD!B14,Faturas!S:S,CUSD!C14,Faturas!U:U,CUSD!D14))</f>
        <v/>
      </c>
      <c r="H14" s="148" t="str">
        <f t="shared" si="3"/>
        <v/>
      </c>
      <c r="I14" s="148" t="str">
        <f>IF(ISERROR(VLOOKUP(CONCATENATE(A14,A49,E14,F14),BD!$H$6:$V$30,14,FALSE)),"",VLOOKUP(CONCATENATE(A14,A49,E14,F14),BD!$H$6:$V$30,14,FALSE))</f>
        <v/>
      </c>
      <c r="J14" s="148" t="str">
        <f t="shared" ref="J14:J30" si="6">IF(ISERROR(I14*(1-$G$3)),"",I14*(1-$G$3))</f>
        <v/>
      </c>
      <c r="K14" s="69"/>
      <c r="L14" s="242"/>
      <c r="M14" s="242"/>
      <c r="N14" s="243"/>
      <c r="O14" s="243"/>
      <c r="P14" s="243"/>
    </row>
    <row r="15" spans="1:16">
      <c r="B15" s="148"/>
      <c r="C15" s="148"/>
      <c r="D15" s="148"/>
      <c r="E15" s="148" t="str">
        <f t="shared" si="1"/>
        <v/>
      </c>
      <c r="F15" s="148" t="str">
        <f t="shared" si="2"/>
        <v/>
      </c>
      <c r="G15" s="148" t="str">
        <f>IF(B15="","",SUMIFS(Faturas!V:V,Faturas!R:R,CUSD!B15,Faturas!S:S,CUSD!C15,Faturas!U:U,CUSD!D15))</f>
        <v/>
      </c>
      <c r="H15" s="148" t="str">
        <f t="shared" si="3"/>
        <v/>
      </c>
      <c r="I15" s="148" t="str">
        <f>IF(ISERROR(VLOOKUP(CONCATENATE(A15,A50,E15,F15),BD!$H$6:$V$30,14,FALSE)),"",VLOOKUP(CONCATENATE(A15,A50,E15,F15),BD!$H$6:$V$30,14,FALSE))</f>
        <v/>
      </c>
      <c r="J15" s="148" t="str">
        <f t="shared" si="6"/>
        <v/>
      </c>
      <c r="K15" s="69"/>
      <c r="L15" s="242"/>
      <c r="M15" s="242"/>
      <c r="N15" s="244"/>
      <c r="O15" s="244"/>
      <c r="P15" s="243"/>
    </row>
    <row r="16" spans="1:16">
      <c r="B16" s="148"/>
      <c r="C16" s="148"/>
      <c r="D16" s="148"/>
      <c r="E16" s="148" t="str">
        <f t="shared" si="1"/>
        <v/>
      </c>
      <c r="F16" s="148" t="str">
        <f t="shared" si="2"/>
        <v/>
      </c>
      <c r="G16" s="148" t="str">
        <f>IF(B16="","",SUMIFS(Faturas!V:V,Faturas!R:R,CUSD!B16,Faturas!S:S,CUSD!C16,Faturas!U:U,CUSD!D16))</f>
        <v/>
      </c>
      <c r="H16" s="148" t="str">
        <f t="shared" si="3"/>
        <v/>
      </c>
      <c r="I16" s="148" t="str">
        <f>IF(ISERROR(VLOOKUP(CONCATENATE(A16,A51,E16,F16),BD!$H$6:$V$30,14,FALSE)),"",VLOOKUP(CONCATENATE(A16,A51,E16,F16),BD!$H$6:$V$30,14,FALSE))</f>
        <v/>
      </c>
      <c r="J16" s="148" t="str">
        <f t="shared" si="6"/>
        <v/>
      </c>
      <c r="K16" s="242"/>
      <c r="L16" s="242"/>
      <c r="M16" s="242"/>
      <c r="N16" s="244"/>
      <c r="O16" s="244"/>
      <c r="P16" s="243"/>
    </row>
    <row r="17" spans="2:16">
      <c r="B17" s="148"/>
      <c r="C17" s="148"/>
      <c r="D17" s="148"/>
      <c r="E17" s="148" t="str">
        <f t="shared" si="1"/>
        <v/>
      </c>
      <c r="F17" s="148" t="str">
        <f t="shared" si="2"/>
        <v/>
      </c>
      <c r="G17" s="148" t="str">
        <f>IF(B17="","",SUMIFS(Faturas!V:V,Faturas!R:R,CUSD!B17,Faturas!S:S,CUSD!C17,Faturas!U:U,CUSD!D17))</f>
        <v/>
      </c>
      <c r="H17" s="148" t="str">
        <f t="shared" si="3"/>
        <v/>
      </c>
      <c r="I17" s="148" t="str">
        <f>IF(ISERROR(VLOOKUP(CONCATENATE(A17,A52,E17,F17),BD!$H$6:$V$30,14,FALSE)),"",VLOOKUP(CONCATENATE(A17,A52,E17,F17),BD!$H$6:$V$30,14,FALSE))</f>
        <v/>
      </c>
      <c r="J17" s="148" t="str">
        <f t="shared" si="6"/>
        <v/>
      </c>
      <c r="K17" s="69"/>
      <c r="M17" s="242"/>
      <c r="N17" s="245"/>
      <c r="O17" s="245"/>
      <c r="P17" s="243"/>
    </row>
    <row r="18" spans="2:16">
      <c r="B18" s="148"/>
      <c r="C18" s="148"/>
      <c r="D18" s="148"/>
      <c r="E18" s="148" t="str">
        <f t="shared" si="1"/>
        <v/>
      </c>
      <c r="F18" s="148" t="str">
        <f t="shared" si="2"/>
        <v/>
      </c>
      <c r="G18" s="148" t="str">
        <f>IF(B18="","",SUMIFS(Faturas!V:V,Faturas!R:R,CUSD!B18,Faturas!S:S,CUSD!C18,Faturas!U:U,CUSD!D18))</f>
        <v/>
      </c>
      <c r="H18" s="148" t="str">
        <f t="shared" si="3"/>
        <v/>
      </c>
      <c r="I18" s="148" t="str">
        <f>IF(ISERROR(VLOOKUP(CONCATENATE(A18,A53,E18,F18),BD!$H$6:$V$30,14,FALSE)),"",VLOOKUP(CONCATENATE(A18,A53,E18,F18),BD!$H$6:$V$30,14,FALSE))</f>
        <v/>
      </c>
      <c r="J18" s="148" t="str">
        <f t="shared" si="6"/>
        <v/>
      </c>
      <c r="K18" s="69"/>
      <c r="L18" s="242"/>
      <c r="M18" s="242"/>
      <c r="N18" s="244"/>
      <c r="O18" s="244"/>
      <c r="P18" s="243"/>
    </row>
    <row r="19" spans="2:16">
      <c r="B19" s="148"/>
      <c r="C19" s="148"/>
      <c r="D19" s="148"/>
      <c r="E19" s="148" t="str">
        <f t="shared" si="1"/>
        <v/>
      </c>
      <c r="F19" s="148" t="str">
        <f t="shared" si="2"/>
        <v/>
      </c>
      <c r="G19" s="148" t="str">
        <f>IF(B19="","",SUMIFS(Faturas!V:V,Faturas!R:R,CUSD!B19,Faturas!S:S,CUSD!C19,Faturas!U:U,CUSD!D19))</f>
        <v/>
      </c>
      <c r="H19" s="148" t="str">
        <f t="shared" si="3"/>
        <v/>
      </c>
      <c r="I19" s="148" t="str">
        <f>IF(ISERROR(VLOOKUP(CONCATENATE(A19,A54,E19,F19),BD!$H$6:$V$30,14,FALSE)),"",VLOOKUP(CONCATENATE(A19,A54,E19,F19),BD!$H$6:$V$30,14,FALSE))</f>
        <v/>
      </c>
      <c r="J19" s="148" t="str">
        <f t="shared" si="6"/>
        <v/>
      </c>
      <c r="L19" s="242"/>
      <c r="M19" s="242"/>
      <c r="N19" s="244"/>
      <c r="O19" s="244"/>
      <c r="P19" s="243"/>
    </row>
    <row r="20" spans="2:16">
      <c r="B20" s="148"/>
      <c r="C20" s="148"/>
      <c r="D20" s="148"/>
      <c r="E20" s="148" t="str">
        <f t="shared" si="1"/>
        <v/>
      </c>
      <c r="F20" s="148" t="str">
        <f t="shared" si="2"/>
        <v/>
      </c>
      <c r="G20" s="148" t="str">
        <f>IF(B20="","",SUMIFS(Faturas!V:V,Faturas!R:R,CUSD!B20,Faturas!S:S,CUSD!C20,Faturas!U:U,CUSD!D20))</f>
        <v/>
      </c>
      <c r="H20" s="148" t="str">
        <f t="shared" si="3"/>
        <v/>
      </c>
      <c r="I20" s="148" t="str">
        <f>IF(ISERROR(VLOOKUP(CONCATENATE(A20,A55,E20,F20),BD!$H$6:$V$30,14,FALSE)),"",VLOOKUP(CONCATENATE(A20,A55,E20,F20),BD!$H$6:$V$30,14,FALSE))</f>
        <v/>
      </c>
      <c r="J20" s="148" t="str">
        <f t="shared" si="6"/>
        <v/>
      </c>
      <c r="L20" s="242"/>
      <c r="M20" s="242"/>
      <c r="N20" s="244"/>
      <c r="O20" s="244"/>
      <c r="P20" s="243"/>
    </row>
    <row r="21" spans="2:16">
      <c r="B21" s="148"/>
      <c r="C21" s="148"/>
      <c r="D21" s="148"/>
      <c r="E21" s="148" t="str">
        <f t="shared" si="1"/>
        <v/>
      </c>
      <c r="F21" s="148" t="str">
        <f t="shared" si="2"/>
        <v/>
      </c>
      <c r="G21" s="148" t="str">
        <f>IF(B21="","",SUMIFS(Faturas!V:V,Faturas!R:R,CUSD!B21,Faturas!S:S,CUSD!C21,Faturas!U:U,CUSD!D21))</f>
        <v/>
      </c>
      <c r="H21" s="148" t="str">
        <f t="shared" si="3"/>
        <v/>
      </c>
      <c r="I21" s="148" t="str">
        <f>IF(ISERROR(VLOOKUP(CONCATENATE(A21,A56,E21,F21),BD!$H$6:$V$30,14,FALSE)),"",VLOOKUP(CONCATENATE(A21,A56,E21,F21),BD!$H$6:$V$30,14,FALSE))</f>
        <v/>
      </c>
      <c r="J21" s="148" t="str">
        <f t="shared" si="6"/>
        <v/>
      </c>
      <c r="L21" s="242"/>
      <c r="M21" s="242"/>
      <c r="N21" s="243"/>
      <c r="O21" s="243"/>
      <c r="P21" s="242"/>
    </row>
    <row r="22" spans="2:16">
      <c r="B22" s="148"/>
      <c r="C22" s="148"/>
      <c r="D22" s="148"/>
      <c r="E22" s="148" t="str">
        <f t="shared" si="1"/>
        <v/>
      </c>
      <c r="F22" s="148" t="str">
        <f t="shared" si="2"/>
        <v/>
      </c>
      <c r="G22" s="148" t="str">
        <f>IF(B22="","",SUMIFS(Faturas!V:V,Faturas!R:R,CUSD!B22,Faturas!S:S,CUSD!C22,Faturas!U:U,CUSD!D22))</f>
        <v/>
      </c>
      <c r="H22" s="148" t="str">
        <f t="shared" si="3"/>
        <v/>
      </c>
      <c r="I22" s="148" t="str">
        <f>IF(ISERROR(VLOOKUP(CONCATENATE(A22,A57,E22,F22),BD!$H$6:$V$30,14,FALSE)),"",VLOOKUP(CONCATENATE(A22,A57,E22,F22),BD!$H$6:$V$30,14,FALSE))</f>
        <v/>
      </c>
      <c r="J22" s="148" t="str">
        <f t="shared" si="6"/>
        <v/>
      </c>
      <c r="L22" s="242"/>
      <c r="M22" s="242"/>
      <c r="N22" s="243"/>
      <c r="O22" s="246"/>
      <c r="P22" s="242"/>
    </row>
    <row r="23" spans="2:16">
      <c r="B23" s="148"/>
      <c r="C23" s="148"/>
      <c r="D23" s="148"/>
      <c r="E23" s="148" t="str">
        <f t="shared" si="1"/>
        <v/>
      </c>
      <c r="F23" s="148" t="str">
        <f t="shared" si="2"/>
        <v/>
      </c>
      <c r="G23" s="148" t="str">
        <f>IF(B23="","",SUMIFS(Faturas!V:V,Faturas!R:R,CUSD!B23,Faturas!S:S,CUSD!C23,Faturas!U:U,CUSD!D23))</f>
        <v/>
      </c>
      <c r="H23" s="148" t="str">
        <f t="shared" si="3"/>
        <v/>
      </c>
      <c r="I23" s="148" t="str">
        <f>IF(ISERROR(VLOOKUP(CONCATENATE(A23,A58,E23,F23),BD!$H$6:$V$30,14,FALSE)),"",VLOOKUP(CONCATENATE(A23,A58,E23,F23),BD!$H$6:$V$30,14,FALSE))</f>
        <v/>
      </c>
      <c r="J23" s="148" t="str">
        <f t="shared" si="6"/>
        <v/>
      </c>
      <c r="L23" s="242"/>
      <c r="M23" s="242"/>
      <c r="N23" s="243"/>
      <c r="O23" s="243"/>
      <c r="P23" s="242"/>
    </row>
    <row r="24" spans="2:16">
      <c r="B24" s="148"/>
      <c r="C24" s="148"/>
      <c r="D24" s="148"/>
      <c r="E24" s="148" t="str">
        <f t="shared" si="1"/>
        <v/>
      </c>
      <c r="F24" s="148" t="str">
        <f t="shared" si="2"/>
        <v/>
      </c>
      <c r="G24" s="148" t="str">
        <f>IF(B24="","",SUMIFS(Faturas!V:V,Faturas!R:R,CUSD!B24,Faturas!S:S,CUSD!C24,Faturas!U:U,CUSD!D24))</f>
        <v/>
      </c>
      <c r="H24" s="148" t="str">
        <f t="shared" si="3"/>
        <v/>
      </c>
      <c r="I24" s="148" t="str">
        <f>IF(ISERROR(VLOOKUP(CONCATENATE(A24,A59,E24,F24),BD!$H$6:$V$30,14,FALSE)),"",VLOOKUP(CONCATENATE(A24,A59,E24,F24),BD!$H$6:$V$30,14,FALSE))</f>
        <v/>
      </c>
      <c r="J24" s="148" t="str">
        <f t="shared" si="6"/>
        <v/>
      </c>
      <c r="L24" s="68"/>
      <c r="M24" s="69"/>
      <c r="P24" s="69"/>
    </row>
    <row r="25" spans="2:16">
      <c r="B25" s="148"/>
      <c r="C25" s="148"/>
      <c r="D25" s="148"/>
      <c r="E25" s="148" t="str">
        <f t="shared" si="1"/>
        <v/>
      </c>
      <c r="F25" s="148" t="str">
        <f t="shared" si="2"/>
        <v/>
      </c>
      <c r="G25" s="148" t="str">
        <f>IF(B25="","",SUMIFS(Faturas!V:V,Faturas!R:R,CUSD!B25,Faturas!S:S,CUSD!C25,Faturas!U:U,CUSD!D25))</f>
        <v/>
      </c>
      <c r="H25" s="148" t="str">
        <f t="shared" si="3"/>
        <v/>
      </c>
      <c r="I25" s="148" t="str">
        <f>IF(ISERROR(VLOOKUP(CONCATENATE(A25,A60,E25,F25),BD!$H$6:$V$30,14,FALSE)),"",VLOOKUP(CONCATENATE(A25,A60,E25,F25),BD!$H$6:$V$30,14,FALSE))</f>
        <v/>
      </c>
      <c r="J25" s="148" t="str">
        <f t="shared" si="6"/>
        <v/>
      </c>
      <c r="L25" s="68"/>
      <c r="M25" s="69"/>
      <c r="P25" s="69"/>
    </row>
    <row r="26" spans="2:16">
      <c r="B26" s="148"/>
      <c r="C26" s="148"/>
      <c r="D26" s="148"/>
      <c r="E26" s="148" t="str">
        <f t="shared" si="1"/>
        <v/>
      </c>
      <c r="F26" s="148" t="str">
        <f t="shared" si="2"/>
        <v/>
      </c>
      <c r="G26" s="148" t="str">
        <f>IF(B26="","",SUMIFS(Faturas!V:V,Faturas!R:R,CUSD!B26,Faturas!S:S,CUSD!C26,Faturas!U:U,CUSD!D26))</f>
        <v/>
      </c>
      <c r="H26" s="148" t="str">
        <f t="shared" si="3"/>
        <v/>
      </c>
      <c r="I26" s="148" t="str">
        <f>IF(ISERROR(VLOOKUP(CONCATENATE(A26,A61,E26,F26),BD!$H$6:$V$30,14,FALSE)),"",VLOOKUP(CONCATENATE(A26,A61,E26,F26),BD!$H$6:$V$30,14,FALSE))</f>
        <v/>
      </c>
      <c r="J26" s="148" t="str">
        <f t="shared" si="6"/>
        <v/>
      </c>
      <c r="K26" s="69"/>
      <c r="M26" s="69"/>
      <c r="P26" s="69"/>
    </row>
    <row r="27" spans="2:16">
      <c r="B27" s="148"/>
      <c r="C27" s="148"/>
      <c r="D27" s="148"/>
      <c r="E27" s="148" t="str">
        <f t="shared" si="1"/>
        <v/>
      </c>
      <c r="F27" s="148" t="str">
        <f t="shared" si="2"/>
        <v/>
      </c>
      <c r="G27" s="148" t="str">
        <f>IF(B27="","",SUMIFS(Faturas!V:V,Faturas!R:R,CUSD!B27,Faturas!S:S,CUSD!C27,Faturas!U:U,CUSD!D27))</f>
        <v/>
      </c>
      <c r="H27" s="148" t="str">
        <f t="shared" si="3"/>
        <v/>
      </c>
      <c r="I27" s="148" t="str">
        <f>IF(ISERROR(VLOOKUP(CONCATENATE(A27,A62,E27,F27),BD!$H$6:$V$30,14,FALSE)),"",VLOOKUP(CONCATENATE(A27,A62,E27,F27),BD!$H$6:$V$30,14,FALSE))</f>
        <v/>
      </c>
      <c r="J27" s="148" t="str">
        <f t="shared" si="6"/>
        <v/>
      </c>
      <c r="L27" s="68"/>
      <c r="M27" s="69"/>
      <c r="P27" s="69"/>
    </row>
    <row r="28" spans="2:16">
      <c r="B28" s="148"/>
      <c r="C28" s="148"/>
      <c r="D28" s="148"/>
      <c r="E28" s="148" t="str">
        <f t="shared" si="1"/>
        <v/>
      </c>
      <c r="F28" s="148" t="str">
        <f t="shared" si="2"/>
        <v/>
      </c>
      <c r="G28" s="148" t="str">
        <f>IF(B28="","",SUMIFS(Faturas!V:V,Faturas!R:R,CUSD!B28,Faturas!S:S,CUSD!C28,Faturas!U:U,CUSD!D28))</f>
        <v/>
      </c>
      <c r="H28" s="148" t="str">
        <f t="shared" si="3"/>
        <v/>
      </c>
      <c r="I28" s="148" t="str">
        <f>IF(ISERROR(VLOOKUP(CONCATENATE(A28,A63,E28,F28),BD!$H$6:$V$30,14,FALSE)),"",VLOOKUP(CONCATENATE(A28,A63,E28,F28),BD!$H$6:$V$30,14,FALSE))</f>
        <v/>
      </c>
      <c r="J28" s="148" t="str">
        <f t="shared" si="6"/>
        <v/>
      </c>
      <c r="L28" s="242"/>
      <c r="M28" s="242"/>
      <c r="P28" s="69"/>
    </row>
    <row r="29" spans="2:16">
      <c r="B29" s="148"/>
      <c r="C29" s="148"/>
      <c r="D29" s="148"/>
      <c r="E29" s="148" t="str">
        <f t="shared" si="1"/>
        <v/>
      </c>
      <c r="F29" s="148" t="str">
        <f t="shared" si="2"/>
        <v/>
      </c>
      <c r="G29" s="148" t="str">
        <f>IF(B29="","",SUMIFS(Faturas!V:V,Faturas!R:R,CUSD!B29,Faturas!S:S,CUSD!C29,Faturas!U:U,CUSD!D29))</f>
        <v/>
      </c>
      <c r="H29" s="148" t="str">
        <f t="shared" si="3"/>
        <v/>
      </c>
      <c r="I29" s="148" t="str">
        <f>IF(ISERROR(VLOOKUP(CONCATENATE(A29,A64,E29,F29),BD!$H$6:$V$30,14,FALSE)),"",VLOOKUP(CONCATENATE(A29,A64,E29,F29),BD!$H$6:$V$30,14,FALSE))</f>
        <v/>
      </c>
      <c r="J29" s="148" t="str">
        <f t="shared" si="6"/>
        <v/>
      </c>
      <c r="L29" s="68"/>
      <c r="M29" s="69"/>
      <c r="P29" s="69"/>
    </row>
    <row r="30" spans="2:16">
      <c r="B30" s="148"/>
      <c r="C30" s="148"/>
      <c r="D30" s="148"/>
      <c r="E30" s="148" t="str">
        <f t="shared" si="1"/>
        <v/>
      </c>
      <c r="F30" s="148" t="str">
        <f t="shared" si="2"/>
        <v/>
      </c>
      <c r="G30" s="148" t="str">
        <f>IF(B30="","",SUMIFS(Faturas!V:V,Faturas!R:R,CUSD!B30,Faturas!S:S,CUSD!C30,Faturas!U:U,CUSD!D30))</f>
        <v/>
      </c>
      <c r="H30" s="148" t="str">
        <f t="shared" si="3"/>
        <v/>
      </c>
      <c r="I30" s="148" t="str">
        <f>IF(ISERROR(VLOOKUP(CONCATENATE(A30,A65,E30,F30),BD!$H$6:$V$30,14,FALSE)),"",VLOOKUP(CONCATENATE(A30,A65,E30,F30),BD!$H$6:$V$30,14,FALSE))</f>
        <v/>
      </c>
      <c r="J30" s="148" t="str">
        <f t="shared" si="6"/>
        <v/>
      </c>
      <c r="L30" s="68"/>
      <c r="M30" s="69"/>
      <c r="P30" s="69"/>
    </row>
    <row r="31" spans="2:16">
      <c r="B31" s="376"/>
      <c r="C31" s="376"/>
      <c r="D31" s="376"/>
      <c r="E31" s="376"/>
      <c r="F31" s="376"/>
      <c r="G31" s="377"/>
      <c r="H31" s="377"/>
      <c r="I31" s="377"/>
      <c r="J31" s="141"/>
      <c r="O31" s="69"/>
    </row>
    <row r="32" spans="2:16">
      <c r="B32" s="376"/>
      <c r="C32" s="376"/>
      <c r="D32" s="376"/>
      <c r="E32" s="376"/>
      <c r="F32" s="376"/>
      <c r="G32" s="377"/>
      <c r="H32" s="377"/>
      <c r="I32" s="377"/>
      <c r="J32" s="141"/>
      <c r="O32" s="69"/>
    </row>
    <row r="33" spans="1:15">
      <c r="B33" s="376"/>
      <c r="C33" s="376"/>
      <c r="D33" s="376"/>
      <c r="E33" s="376"/>
      <c r="F33" s="376"/>
      <c r="G33" s="377"/>
      <c r="H33" s="377"/>
      <c r="I33" s="377"/>
      <c r="O33" s="69"/>
    </row>
    <row r="34" spans="1:15" ht="16.5">
      <c r="B34" s="376"/>
      <c r="C34" s="376"/>
      <c r="D34" s="376"/>
      <c r="E34" s="376"/>
      <c r="F34" s="376"/>
      <c r="G34" s="377"/>
      <c r="H34" s="377"/>
      <c r="I34" s="377"/>
      <c r="O34" s="233"/>
    </row>
    <row r="35" spans="1:15">
      <c r="A35" s="68" t="s">
        <v>1386</v>
      </c>
      <c r="B35" s="376"/>
      <c r="C35" s="376"/>
      <c r="D35" s="376"/>
      <c r="E35" s="376"/>
      <c r="F35" s="376"/>
      <c r="G35" s="377"/>
      <c r="H35" s="377"/>
      <c r="I35" s="377"/>
      <c r="O35" s="69"/>
    </row>
    <row r="36" spans="1:15">
      <c r="A36" s="148" t="s">
        <v>258</v>
      </c>
      <c r="B36" s="291" t="s">
        <v>1387</v>
      </c>
      <c r="C36" s="291" t="s">
        <v>1388</v>
      </c>
      <c r="D36" s="291"/>
      <c r="E36" s="291"/>
      <c r="F36" s="376"/>
      <c r="G36" s="377"/>
      <c r="H36" s="291"/>
      <c r="I36" s="291"/>
      <c r="O36" s="69"/>
    </row>
    <row r="37" spans="1:15">
      <c r="A37" s="148" t="s">
        <v>260</v>
      </c>
      <c r="B37" s="291" t="s">
        <v>1025</v>
      </c>
      <c r="C37" s="291" t="s">
        <v>1388</v>
      </c>
      <c r="D37" s="291"/>
      <c r="E37" s="291"/>
      <c r="F37" s="376"/>
      <c r="G37" s="377"/>
      <c r="H37" s="291"/>
      <c r="I37" s="291"/>
      <c r="O37" s="69"/>
    </row>
    <row r="38" spans="1:15">
      <c r="A38" s="148" t="s">
        <v>266</v>
      </c>
      <c r="B38" s="291" t="s">
        <v>97</v>
      </c>
      <c r="C38" s="291" t="s">
        <v>160</v>
      </c>
      <c r="D38" s="291"/>
      <c r="E38" s="291"/>
      <c r="F38" s="376"/>
      <c r="G38" s="377"/>
      <c r="H38" s="291"/>
      <c r="I38" s="291"/>
      <c r="O38" s="69"/>
    </row>
    <row r="39" spans="1:15">
      <c r="A39" s="148" t="s">
        <v>267</v>
      </c>
      <c r="B39" s="291" t="s">
        <v>97</v>
      </c>
      <c r="C39" s="291" t="s">
        <v>160</v>
      </c>
      <c r="D39" s="291"/>
      <c r="E39" s="291"/>
      <c r="F39" s="376"/>
      <c r="G39" s="377"/>
      <c r="H39" s="291"/>
      <c r="I39" s="291"/>
      <c r="O39" s="69"/>
    </row>
    <row r="40" spans="1:15">
      <c r="B40" s="291"/>
      <c r="C40" s="291"/>
      <c r="D40" s="291"/>
      <c r="E40" s="291"/>
      <c r="F40" s="376"/>
      <c r="G40" s="377"/>
      <c r="H40" s="291"/>
      <c r="I40" s="291"/>
      <c r="O40" s="69"/>
    </row>
    <row r="41" spans="1:15">
      <c r="A41" s="68" t="str">
        <f>IF(LEFT(C6,1)="B","B",TRIM(LEFT(C6,3)))</f>
        <v>A2</v>
      </c>
      <c r="B41" s="291"/>
      <c r="C41" s="291"/>
      <c r="D41" s="291"/>
      <c r="E41" s="291"/>
      <c r="F41" s="376"/>
      <c r="G41" s="377"/>
      <c r="H41" s="291"/>
      <c r="I41" s="291"/>
      <c r="O41" s="69"/>
    </row>
    <row r="42" spans="1:15">
      <c r="A42" s="68" t="str">
        <f t="shared" ref="A42:A52" si="7">IF(LEFT(C7,1)="B","B",TRIM(LEFT(C7,3)))</f>
        <v>A2</v>
      </c>
      <c r="B42" s="291"/>
      <c r="C42" s="291"/>
      <c r="D42" s="291"/>
      <c r="E42" s="291"/>
      <c r="F42" s="376"/>
      <c r="G42" s="377"/>
      <c r="H42" s="291"/>
      <c r="I42" s="291"/>
      <c r="O42" s="69"/>
    </row>
    <row r="43" spans="1:15">
      <c r="A43" s="68" t="str">
        <f t="shared" si="7"/>
        <v>A4</v>
      </c>
      <c r="B43" s="291"/>
      <c r="C43" s="291"/>
      <c r="D43" s="291"/>
      <c r="E43" s="291"/>
      <c r="F43" s="376"/>
      <c r="G43" s="377"/>
      <c r="H43" s="291"/>
      <c r="I43" s="291"/>
      <c r="O43" s="69"/>
    </row>
    <row r="44" spans="1:15" ht="15.75" customHeight="1">
      <c r="A44" s="68" t="str">
        <f t="shared" si="7"/>
        <v>A4</v>
      </c>
      <c r="B44" s="291"/>
      <c r="C44" s="291"/>
      <c r="D44" s="291"/>
      <c r="E44" s="291"/>
      <c r="F44" s="376"/>
      <c r="G44" s="377"/>
      <c r="H44" s="291"/>
      <c r="I44" s="291"/>
      <c r="O44" s="69"/>
    </row>
    <row r="45" spans="1:15">
      <c r="A45" s="68" t="str">
        <f t="shared" si="7"/>
        <v>A2</v>
      </c>
    </row>
    <row r="46" spans="1:15">
      <c r="A46" s="68" t="str">
        <f t="shared" si="7"/>
        <v>A2</v>
      </c>
    </row>
    <row r="47" spans="1:15">
      <c r="A47" s="68" t="str">
        <f t="shared" si="7"/>
        <v>A4</v>
      </c>
    </row>
    <row r="48" spans="1:15">
      <c r="A48" s="68" t="str">
        <f t="shared" si="7"/>
        <v>A4</v>
      </c>
    </row>
    <row r="49" spans="1:1">
      <c r="A49" s="68" t="str">
        <f t="shared" si="7"/>
        <v/>
      </c>
    </row>
    <row r="50" spans="1:1">
      <c r="A50" s="68" t="str">
        <f t="shared" si="7"/>
        <v/>
      </c>
    </row>
    <row r="51" spans="1:1">
      <c r="A51" s="68" t="str">
        <f t="shared" si="7"/>
        <v/>
      </c>
    </row>
    <row r="52" spans="1:1">
      <c r="A52" s="68" t="str">
        <f t="shared" si="7"/>
        <v/>
      </c>
    </row>
    <row r="53" spans="1:1">
      <c r="A53" s="68" t="str">
        <f t="shared" ref="A53:A67" si="8">TRIM(LEFT(C18,3))</f>
        <v/>
      </c>
    </row>
    <row r="54" spans="1:1">
      <c r="A54" s="68" t="str">
        <f t="shared" si="8"/>
        <v/>
      </c>
    </row>
    <row r="55" spans="1:1">
      <c r="A55" s="68" t="str">
        <f t="shared" si="8"/>
        <v/>
      </c>
    </row>
    <row r="56" spans="1:1">
      <c r="A56" s="68" t="str">
        <f t="shared" si="8"/>
        <v/>
      </c>
    </row>
    <row r="57" spans="1:1">
      <c r="A57" s="68" t="str">
        <f t="shared" si="8"/>
        <v/>
      </c>
    </row>
    <row r="58" spans="1:1">
      <c r="A58" s="68" t="str">
        <f t="shared" si="8"/>
        <v/>
      </c>
    </row>
    <row r="59" spans="1:1">
      <c r="A59" s="68" t="str">
        <f t="shared" si="8"/>
        <v/>
      </c>
    </row>
    <row r="60" spans="1:1">
      <c r="A60" s="68" t="str">
        <f t="shared" si="8"/>
        <v/>
      </c>
    </row>
    <row r="61" spans="1:1">
      <c r="A61" s="68" t="str">
        <f t="shared" si="8"/>
        <v/>
      </c>
    </row>
    <row r="62" spans="1:1">
      <c r="A62" s="68" t="str">
        <f t="shared" si="8"/>
        <v/>
      </c>
    </row>
    <row r="63" spans="1:1">
      <c r="A63" s="68" t="str">
        <f t="shared" si="8"/>
        <v/>
      </c>
    </row>
    <row r="64" spans="1:1">
      <c r="A64" s="68" t="str">
        <f t="shared" si="8"/>
        <v/>
      </c>
    </row>
    <row r="65" spans="1:1">
      <c r="A65" s="68" t="str">
        <f t="shared" si="8"/>
        <v/>
      </c>
    </row>
    <row r="66" spans="1:1">
      <c r="A66" s="68" t="str">
        <f t="shared" si="8"/>
        <v/>
      </c>
    </row>
    <row r="67" spans="1:1">
      <c r="A67" s="68" t="str">
        <f t="shared" si="8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zoomScale="115" zoomScaleNormal="115" workbookViewId="0">
      <selection activeCell="I19" sqref="I19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6" customFormat="1" ht="29.25" customHeight="1">
      <c r="A1" s="139"/>
      <c r="B1" s="1014" t="s">
        <v>873</v>
      </c>
      <c r="C1" s="1296"/>
      <c r="D1" s="1296"/>
      <c r="E1" s="1296"/>
      <c r="F1" s="1015"/>
      <c r="G1" s="1015"/>
      <c r="H1" s="1219" t="s">
        <v>1005</v>
      </c>
      <c r="I1" s="1220">
        <f ca="1">LnkTXTIRTEco</f>
        <v>0.16800000000000001</v>
      </c>
      <c r="J1" s="194"/>
      <c r="K1" s="195"/>
    </row>
    <row r="2" spans="1:15" s="196" customFormat="1" ht="27" customHeight="1">
      <c r="B2" s="138" t="str">
        <f>CAPA!C9</f>
        <v>Creluz</v>
      </c>
      <c r="C2" s="70"/>
      <c r="D2" s="70"/>
      <c r="E2" s="70"/>
      <c r="F2" s="70"/>
      <c r="G2" s="70"/>
      <c r="H2" s="121" t="s">
        <v>1009</v>
      </c>
      <c r="I2" s="122">
        <f ca="1">LnkTXTIRTTotal</f>
        <v>-5.8700000000000002E-2</v>
      </c>
    </row>
    <row r="3" spans="1:15">
      <c r="B3" s="1018" t="s">
        <v>1389</v>
      </c>
      <c r="C3" s="815"/>
      <c r="E3" s="815" t="str">
        <f>"Encargos "&amp;YEAR(CAPA!C14)</f>
        <v>Encargos 2021</v>
      </c>
      <c r="F3" s="815"/>
      <c r="H3" s="815"/>
      <c r="I3" s="815"/>
      <c r="J3" s="815"/>
      <c r="K3" s="815"/>
      <c r="L3" s="815"/>
      <c r="M3" s="815"/>
      <c r="N3" s="815"/>
      <c r="O3" s="815"/>
    </row>
    <row r="4" spans="1:15">
      <c r="E4" s="1301" t="s">
        <v>109</v>
      </c>
      <c r="F4" s="1301" t="s">
        <v>1390</v>
      </c>
      <c r="H4" s="72"/>
      <c r="I4" s="72"/>
    </row>
    <row r="5" spans="1:15">
      <c r="B5" s="1301" t="s">
        <v>109</v>
      </c>
      <c r="C5" s="1301" t="s">
        <v>36</v>
      </c>
      <c r="E5" s="68" t="s">
        <v>44</v>
      </c>
      <c r="F5" s="116">
        <f>CAPA!D42</f>
        <v>203539.88646929699</v>
      </c>
      <c r="H5" s="1820" t="s">
        <v>1391</v>
      </c>
      <c r="I5" s="1820"/>
      <c r="K5" s="1820" t="s">
        <v>1392</v>
      </c>
      <c r="L5" s="1820"/>
      <c r="N5" s="1820" t="s">
        <v>1393</v>
      </c>
      <c r="O5" s="1820"/>
    </row>
    <row r="6" spans="1:15">
      <c r="B6" s="68" t="s">
        <v>44</v>
      </c>
      <c r="C6" s="80">
        <f ca="1">L14</f>
        <v>239798.53240680718</v>
      </c>
      <c r="E6" s="68" t="s">
        <v>46</v>
      </c>
      <c r="F6" s="116">
        <f>CAPA!D43</f>
        <v>6566019.7076599896</v>
      </c>
      <c r="H6" s="200" t="s">
        <v>1394</v>
      </c>
      <c r="I6" s="201">
        <f ca="1">FornecimentoE+LivreE-Calc_Mercado!C16</f>
        <v>116611.61</v>
      </c>
      <c r="K6" s="513" t="s">
        <v>875</v>
      </c>
      <c r="L6" s="421">
        <f ca="1">LnkTXTER</f>
        <v>131812.77545285714</v>
      </c>
      <c r="N6" s="202" t="s">
        <v>1395</v>
      </c>
      <c r="O6" s="402">
        <v>1E-14</v>
      </c>
    </row>
    <row r="7" spans="1:15" ht="13.5" customHeight="1">
      <c r="B7" s="68" t="s">
        <v>46</v>
      </c>
      <c r="C7" s="80">
        <f ca="1">I22</f>
        <v>11399488.639594698</v>
      </c>
      <c r="D7" s="197"/>
      <c r="E7" s="68" t="s">
        <v>165</v>
      </c>
      <c r="F7" s="116">
        <f>CAPA!D44</f>
        <v>0</v>
      </c>
      <c r="H7" s="1341" t="s">
        <v>1396</v>
      </c>
      <c r="I7" s="1342">
        <v>14.13</v>
      </c>
      <c r="K7" s="513" t="s">
        <v>1228</v>
      </c>
      <c r="L7" s="421">
        <f ca="1">Energia!M7</f>
        <v>0</v>
      </c>
      <c r="N7" s="202" t="s">
        <v>1397</v>
      </c>
      <c r="O7" s="203">
        <f ca="1">SUM(C12+C6+C9+C10+C8)</f>
        <v>4725896.9777153237</v>
      </c>
    </row>
    <row r="8" spans="1:15">
      <c r="B8" s="68" t="s">
        <v>165</v>
      </c>
      <c r="C8" s="80">
        <v>0</v>
      </c>
      <c r="D8" s="197"/>
      <c r="E8" s="68" t="s">
        <v>111</v>
      </c>
      <c r="F8" s="116">
        <f>CAPA!D45</f>
        <v>573456.61083333299</v>
      </c>
      <c r="K8" s="513" t="s">
        <v>1231</v>
      </c>
      <c r="L8" s="421">
        <f ca="1">LnkTXTPerdas</f>
        <v>13446.92445285714</v>
      </c>
      <c r="N8" s="202" t="s">
        <v>847</v>
      </c>
      <c r="O8" s="268">
        <f>Resultado!D24</f>
        <v>14041281.290248398</v>
      </c>
    </row>
    <row r="9" spans="1:15">
      <c r="B9" s="68" t="s">
        <v>1398</v>
      </c>
      <c r="C9" s="836">
        <f>IFERROR(VLOOKUP("ESS/EER",TabEncargosBancoConsolidados[],2,FALSE),0)</f>
        <v>2838376.3960085167</v>
      </c>
      <c r="D9" s="69"/>
      <c r="E9" s="68" t="s">
        <v>52</v>
      </c>
      <c r="F9" s="116">
        <f>CAPA!D46</f>
        <v>1049131.55116</v>
      </c>
      <c r="H9" s="1820" t="s">
        <v>1399</v>
      </c>
      <c r="I9" s="1820"/>
      <c r="K9" s="513" t="s">
        <v>1400</v>
      </c>
      <c r="L9" s="421">
        <f ca="1">SUM(L6:L7,-L8)</f>
        <v>118365.851</v>
      </c>
      <c r="N9" s="202" t="s">
        <v>160</v>
      </c>
      <c r="O9" s="267">
        <f ca="1">Resultado!D33</f>
        <v>22086597.211066131</v>
      </c>
    </row>
    <row r="10" spans="1:15">
      <c r="B10" s="68" t="s">
        <v>52</v>
      </c>
      <c r="C10" s="80">
        <f ca="1">IFERROR(Encargos!I7*I6,0)</f>
        <v>1647722.0493000001</v>
      </c>
      <c r="D10" s="197"/>
      <c r="E10" s="68" t="s">
        <v>54</v>
      </c>
      <c r="F10" s="116">
        <f>CAPA!D48</f>
        <v>0</v>
      </c>
      <c r="H10" s="1605" t="s">
        <v>1401</v>
      </c>
      <c r="I10" s="1606">
        <f ca="1">FornecimentoE_A1+Calc_Mercado!C10+Calc_Mercado!C11+Calc_Mercado!C114+Calc_Mercado!C115</f>
        <v>0</v>
      </c>
      <c r="K10" s="513" t="s">
        <v>1402</v>
      </c>
      <c r="L10" s="421">
        <f ca="1">SUM(L6:L7)</f>
        <v>131812.77545285714</v>
      </c>
      <c r="N10" s="202" t="s">
        <v>1403</v>
      </c>
      <c r="O10" s="203">
        <f>Resultado!D39</f>
        <v>51369456.980000004</v>
      </c>
    </row>
    <row r="11" spans="1:15">
      <c r="B11" s="68" t="s">
        <v>1404</v>
      </c>
      <c r="C11" s="80">
        <v>1E-4</v>
      </c>
      <c r="D11" s="197"/>
      <c r="E11" s="815" t="s">
        <v>1405</v>
      </c>
      <c r="F11" s="1234">
        <f>CAPA!D47</f>
        <v>3110206.1377647002</v>
      </c>
      <c r="H11" s="200" t="s">
        <v>1406</v>
      </c>
      <c r="I11" s="140">
        <f ca="1">Calc_Mercado!C12+Calc_Mercado!C13+Calc_Mercado!C14+Calc_Mercado!C116+Calc_Mercado!C117</f>
        <v>29388.723000000016</v>
      </c>
      <c r="K11" s="513" t="s">
        <v>1407</v>
      </c>
      <c r="L11" s="421">
        <f>BD!C32</f>
        <v>0.76946233409201359</v>
      </c>
      <c r="N11" s="202" t="s">
        <v>1408</v>
      </c>
      <c r="O11" s="204">
        <f ca="1">IF(O6=0,0,O6*(SUM(O7:O10)-Q7))</f>
        <v>9.2223232459029851E-7</v>
      </c>
    </row>
    <row r="12" spans="1:15">
      <c r="B12" s="68" t="s">
        <v>54</v>
      </c>
      <c r="C12" s="80">
        <f>IFERROR(VLOOKUP("ONS",TabEncargosBancoConsolidados[],2,FALSE),0)</f>
        <v>0</v>
      </c>
      <c r="D12" s="69"/>
      <c r="E12" s="815" t="str">
        <f>"Encargos "&amp;YEAR(CAPA!C14)-1</f>
        <v>Encargos 2020</v>
      </c>
      <c r="F12" s="815"/>
      <c r="H12" s="200" t="s">
        <v>1409</v>
      </c>
      <c r="I12" s="140">
        <f ca="1">FornecimentoE_BT-Calc_Mercado!C16+Calc_Mercado!C119+Calc_Mercado!C118</f>
        <v>87222.886999999988</v>
      </c>
      <c r="K12" s="513" t="s">
        <v>1410</v>
      </c>
      <c r="L12" s="45">
        <v>4.0000000000000001E-3</v>
      </c>
      <c r="N12" s="202" t="s">
        <v>1411</v>
      </c>
      <c r="O12" s="204">
        <f ca="1">Financeiros!D7</f>
        <v>-20114203.81163808</v>
      </c>
    </row>
    <row r="13" spans="1:15">
      <c r="B13" s="1343" t="s">
        <v>897</v>
      </c>
      <c r="C13" s="1344">
        <f ca="1">SUM(C6:C12)</f>
        <v>16125385.617410021</v>
      </c>
      <c r="D13" s="197"/>
      <c r="E13" s="1301" t="s">
        <v>109</v>
      </c>
      <c r="F13" s="1301" t="s">
        <v>1390</v>
      </c>
      <c r="H13" s="1607" t="s">
        <v>1412</v>
      </c>
      <c r="I13" s="1608">
        <v>23.38</v>
      </c>
      <c r="K13" s="1345" t="s">
        <v>1413</v>
      </c>
      <c r="L13" s="1346">
        <f ca="1">LnkTXTIParcelaBcomSub+Energia!F18</f>
        <v>51369456.980000004</v>
      </c>
      <c r="N13" s="1347" t="s">
        <v>1414</v>
      </c>
      <c r="O13" s="1348">
        <f ca="1">O12*O6+O11</f>
        <v>7.2109028647391778E-7</v>
      </c>
    </row>
    <row r="14" spans="1:15">
      <c r="E14" s="68" t="s">
        <v>44</v>
      </c>
      <c r="F14" s="1557">
        <f>BD!C37</f>
        <v>190073.95056153982</v>
      </c>
      <c r="H14" s="261" t="s">
        <v>1415</v>
      </c>
      <c r="I14" s="842">
        <v>31.67</v>
      </c>
      <c r="K14" s="1349" t="s">
        <v>44</v>
      </c>
      <c r="L14" s="1350">
        <f ca="1">L12*1/L11*L9/L10*L13</f>
        <v>239798.53240680718</v>
      </c>
    </row>
    <row r="15" spans="1:15">
      <c r="E15" s="68" t="s">
        <v>46</v>
      </c>
      <c r="F15" s="80">
        <f>BD!C35</f>
        <v>5850211.1751000006</v>
      </c>
      <c r="H15" s="1351" t="s">
        <v>1416</v>
      </c>
      <c r="I15" s="1352">
        <v>37.700000000000003</v>
      </c>
    </row>
    <row r="16" spans="1:15">
      <c r="E16" s="68" t="s">
        <v>165</v>
      </c>
      <c r="F16" s="80">
        <v>0</v>
      </c>
      <c r="H16" s="727" t="s">
        <v>1417</v>
      </c>
      <c r="I16" s="1608">
        <v>55.4</v>
      </c>
      <c r="K16" s="1820" t="s">
        <v>111</v>
      </c>
      <c r="L16" s="1820"/>
    </row>
    <row r="17" spans="2:14">
      <c r="E17" s="68" t="s">
        <v>111</v>
      </c>
      <c r="F17" s="80">
        <v>0</v>
      </c>
      <c r="H17" s="68" t="s">
        <v>1418</v>
      </c>
      <c r="I17" s="842">
        <v>75.06</v>
      </c>
      <c r="K17" s="1605" t="s">
        <v>1419</v>
      </c>
      <c r="L17" s="1606">
        <f>IFERROR(VLOOKUP("EER",TabEncargosBancoConsolidados[],2,FALSE),0)</f>
        <v>2788818.9886930156</v>
      </c>
    </row>
    <row r="18" spans="2:14">
      <c r="C18" s="108"/>
      <c r="D18" s="108"/>
      <c r="E18" s="68" t="s">
        <v>52</v>
      </c>
      <c r="F18" s="80">
        <f>BD!C36</f>
        <v>777108.61866000004</v>
      </c>
      <c r="G18" s="108"/>
      <c r="H18" s="815" t="s">
        <v>1420</v>
      </c>
      <c r="I18" s="1352">
        <v>89.35</v>
      </c>
      <c r="K18" s="200" t="s">
        <v>1421</v>
      </c>
      <c r="L18" s="140">
        <f>C9-L17</f>
        <v>49557.407315501012</v>
      </c>
      <c r="M18" s="1676"/>
    </row>
    <row r="19" spans="2:14">
      <c r="C19" s="108"/>
      <c r="D19" s="108"/>
      <c r="E19" s="815" t="s">
        <v>54</v>
      </c>
      <c r="F19" s="1353">
        <v>0</v>
      </c>
      <c r="G19" s="108"/>
      <c r="H19" s="68" t="s">
        <v>1422</v>
      </c>
      <c r="I19" s="69">
        <f ca="1">IF(CAPA!C10="S/SE/CO",Encargos!I10*Encargos!I16+Encargos!I11*Encargos!I17+Encargos!I12*Encargos!I18,Encargos!I10*Encargos!I13+Encargos!I11*Encargos!I14+Encargos!I12*Encargos!I15)</f>
        <v>9999282.5018300004</v>
      </c>
      <c r="K19" s="1301" t="s">
        <v>897</v>
      </c>
      <c r="L19" s="1550">
        <f>SUM(L17:L18)</f>
        <v>2838376.3960085167</v>
      </c>
    </row>
    <row r="20" spans="2:14">
      <c r="C20" s="108"/>
      <c r="D20" s="108"/>
      <c r="F20" s="80"/>
      <c r="G20" s="108"/>
      <c r="H20" s="1354" t="s">
        <v>1423</v>
      </c>
      <c r="I20" s="1355">
        <f>IFERROR(VLOOKUP("CDE Covid",TabEncargosBancoConsolidados[],2,FALSE),0)</f>
        <v>3110206.1377646979</v>
      </c>
    </row>
    <row r="21" spans="2:14">
      <c r="C21" s="108"/>
      <c r="D21" s="108"/>
      <c r="F21" s="80"/>
      <c r="G21" s="108"/>
      <c r="H21" s="68" t="s">
        <v>1424</v>
      </c>
      <c r="I21" s="69">
        <f>IFERROR(VLOOKUP("CDE Eletrobras",TabEncargosBancoConsolidados[],2,FALSE),0)</f>
        <v>-1710000</v>
      </c>
    </row>
    <row r="22" spans="2:14">
      <c r="C22" s="108"/>
      <c r="D22" s="108"/>
      <c r="F22" s="80"/>
      <c r="G22" s="108"/>
      <c r="H22" s="1301" t="s">
        <v>1425</v>
      </c>
      <c r="I22" s="1550">
        <f ca="1">I19+I20+I21</f>
        <v>11399488.639594698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1018" t="s">
        <v>1426</v>
      </c>
      <c r="C27" s="815"/>
      <c r="D27" s="815"/>
      <c r="E27" s="815"/>
      <c r="F27" s="815"/>
      <c r="G27" s="815"/>
      <c r="J27" s="815"/>
      <c r="K27" s="815"/>
      <c r="L27" s="815"/>
      <c r="M27" s="192"/>
    </row>
    <row r="28" spans="2:14">
      <c r="B28" s="270"/>
      <c r="C28" s="269"/>
      <c r="D28" s="269"/>
      <c r="E28" s="266"/>
    </row>
    <row r="29" spans="2:14">
      <c r="C29" s="197" t="s">
        <v>159</v>
      </c>
      <c r="D29" s="197" t="s">
        <v>1427</v>
      </c>
      <c r="E29" s="197"/>
      <c r="F29" s="197"/>
      <c r="G29" s="197"/>
      <c r="L29" s="192"/>
      <c r="M29" s="193"/>
    </row>
    <row r="30" spans="2:14" ht="16.5" customHeight="1">
      <c r="C30" s="1301" t="s">
        <v>1428</v>
      </c>
      <c r="D30" s="1301" t="s">
        <v>51</v>
      </c>
      <c r="E30" s="1301" t="s">
        <v>44</v>
      </c>
      <c r="F30" s="1301" t="s">
        <v>46</v>
      </c>
      <c r="G30" s="1301" t="s">
        <v>52</v>
      </c>
      <c r="H30" s="1301" t="s">
        <v>1429</v>
      </c>
      <c r="I30" s="1301" t="s">
        <v>1430</v>
      </c>
      <c r="J30" s="1301" t="s">
        <v>1431</v>
      </c>
      <c r="L30" s="1819" t="s">
        <v>1432</v>
      </c>
      <c r="M30" s="1819"/>
      <c r="N30" s="272"/>
    </row>
    <row r="31" spans="2:14">
      <c r="B31" s="271">
        <f>Indexador!B68</f>
        <v>44378</v>
      </c>
      <c r="C31" s="1515">
        <f ca="1">IFERROR(IF(CAPA!$C$113="Não",C47-C62,IF(Indexador!$B68&lt;CAPA!$C$114,0,C47-C62)),0)</f>
        <v>27913.671943715599</v>
      </c>
      <c r="D31" s="1515">
        <f ca="1">IF(CAPA!$C$113="Não",D47-D62,IF(Indexador!$B68&lt;CAPA!$C$114,0,D47-D62))</f>
        <v>5363.1296366082461</v>
      </c>
      <c r="E31" s="1515">
        <f ca="1">IF(CAPA!$C$113="Não",E47-E62,IF(Indexador!$B68&lt;CAPA!$C$114,0,E47-E62))</f>
        <v>1547.711963072843</v>
      </c>
      <c r="F31" s="1515">
        <f ca="1">IF(CAPA!$C$113="Não",F47-F62,IF(Indexador!$B68&lt;CAPA!$C$114,0,F47-F62))</f>
        <v>58929.123015401303</v>
      </c>
      <c r="G31" s="1515">
        <f ca="1">IF(CAPA!$C$113="Não",G47-G62,IF(Indexador!$B68&lt;CAPA!$C$114,0,G47-G62))</f>
        <v>9850.3807679838355</v>
      </c>
      <c r="H31" s="1515">
        <f ca="1">IF(CAPA!$C$113="Não",H47-H62,IF(Indexador!$B68&lt;CAPA!$C$114,0,H47-H62))</f>
        <v>-19499.695337984274</v>
      </c>
      <c r="I31" s="1515">
        <f ca="1">IF(CAPA!$C$113="Não",I47-I62,IF(Indexador!$B68&lt;CAPA!$C$114,0,I47-I62))</f>
        <v>-13055.013207145894</v>
      </c>
      <c r="J31" s="1515">
        <f ca="1">IF(CAPA!$C$113="Não",J47-J62,IF(Indexador!$B68&lt;CAPA!$C$114,0,J47-J62))</f>
        <v>103604.01732678164</v>
      </c>
      <c r="L31" s="68" t="s">
        <v>44</v>
      </c>
      <c r="M31" s="116">
        <f ca="1">Indexador!H80</f>
        <v>-8947.221443523038</v>
      </c>
      <c r="N31" s="80"/>
    </row>
    <row r="32" spans="2:14">
      <c r="B32" s="271">
        <f>Indexador!B69</f>
        <v>44409</v>
      </c>
      <c r="C32" s="116">
        <f ca="1">IFERROR(IF(CAPA!$C$113="Não",C48-C63,IF(Indexador!$B69&lt;CAPA!$C$114,0,C48-C63)),0)</f>
        <v>23731.612279762601</v>
      </c>
      <c r="D32" s="116">
        <f ca="1">IF(CAPA!$C$113="Não",D48-D63,IF(Indexador!$B69&lt;CAPA!$C$114,0,D48-D63))</f>
        <v>4545.6077066377911</v>
      </c>
      <c r="E32" s="116">
        <f ca="1">IF(CAPA!$C$113="Não",E48-E63,IF(Indexador!$B69&lt;CAPA!$C$114,0,E48-E63))</f>
        <v>1323.501419145603</v>
      </c>
      <c r="F32" s="116">
        <f ca="1">IF(CAPA!$C$113="Não",F48-F63,IF(Indexador!$B69&lt;CAPA!$C$114,0,F48-F63))</f>
        <v>50100.291434527491</v>
      </c>
      <c r="G32" s="116">
        <f ca="1">IF(CAPA!$C$113="Não",G48-G63,IF(Indexador!$B69&lt;CAPA!$C$114,0,G48-G63))</f>
        <v>8357.8227860206825</v>
      </c>
      <c r="H32" s="116">
        <f ca="1">IF(CAPA!$C$113="Não",H48-H63,IF(Indexador!$B69&lt;CAPA!$C$114,0,H48-H63))</f>
        <v>-15205.04008461404</v>
      </c>
      <c r="I32" s="116">
        <f ca="1">IF(CAPA!$C$113="Não",I48-I63,IF(Indexador!$B69&lt;CAPA!$C$114,0,I48-I63))</f>
        <v>-10137.279942784982</v>
      </c>
      <c r="J32" s="116">
        <f ca="1">IF(CAPA!$C$113="Não",J48-J63,IF(Indexador!$B69&lt;CAPA!$C$114,0,J48-J63))</f>
        <v>88058.835626094136</v>
      </c>
      <c r="L32" s="68" t="s">
        <v>1433</v>
      </c>
      <c r="M32" s="116">
        <f ca="1">Indexador!J80+Indexador!L80</f>
        <v>-263286.35424400494</v>
      </c>
      <c r="N32" s="80"/>
    </row>
    <row r="33" spans="2:14">
      <c r="B33" s="271">
        <f>Indexador!B70</f>
        <v>44440</v>
      </c>
      <c r="C33" s="116">
        <f ca="1">IFERROR(IF(CAPA!$C$113="Não",C49-C64,IF(Indexador!$B70&lt;CAPA!$C$114,0,C49-C64)),0)</f>
        <v>8245.4598923799931</v>
      </c>
      <c r="D33" s="116">
        <f ca="1">IF(CAPA!$C$113="Não",D49-D64,IF(Indexador!$B70&lt;CAPA!$C$114,0,D49-D64))</f>
        <v>1742.0469404079267</v>
      </c>
      <c r="E33" s="116">
        <f ca="1">IF(CAPA!$C$113="Não",E49-E64,IF(Indexador!$B70&lt;CAPA!$C$114,0,E49-E64))</f>
        <v>227.06011561392734</v>
      </c>
      <c r="F33" s="116">
        <f ca="1">IF(CAPA!$C$113="Não",F49-F64,IF(Indexador!$B70&lt;CAPA!$C$114,0,F49-F64))</f>
        <v>17407.158803627593</v>
      </c>
      <c r="G33" s="116">
        <f ca="1">IF(CAPA!$C$113="Não",G49-G64,IF(Indexador!$B70&lt;CAPA!$C$114,0,G49-G64))</f>
        <v>3273.1916390461993</v>
      </c>
      <c r="H33" s="116">
        <f ca="1">IF(CAPA!$C$113="Não",H49-H64,IF(Indexador!$B70&lt;CAPA!$C$114,0,H49-H64))</f>
        <v>-2205.6344562892918</v>
      </c>
      <c r="I33" s="116">
        <f ca="1">IF(CAPA!$C$113="Não",I49-I64,IF(Indexador!$B70&lt;CAPA!$C$114,0,I49-I64))</f>
        <v>-3327.1386178893154</v>
      </c>
      <c r="J33" s="116">
        <f ca="1">IF(CAPA!$C$113="Não",J49-J64,IF(Indexador!$B70&lt;CAPA!$C$114,0,J49-J64))</f>
        <v>30894.91739107552</v>
      </c>
      <c r="L33" s="68" t="s">
        <v>165</v>
      </c>
      <c r="M33" s="116">
        <f>0</f>
        <v>0</v>
      </c>
      <c r="N33" s="80"/>
    </row>
    <row r="34" spans="2:14">
      <c r="B34" s="271">
        <f>Indexador!B71</f>
        <v>44470</v>
      </c>
      <c r="C34" s="116">
        <f ca="1">IFERROR(IF(CAPA!$C$113="Não",C50-C65,IF(Indexador!$B71&lt;CAPA!$C$114,0,C50-C65)),0)</f>
        <v>19739.231235228624</v>
      </c>
      <c r="D34" s="116">
        <f ca="1">IF(CAPA!$C$113="Não",D50-D65,IF(Indexador!$B71&lt;CAPA!$C$114,0,D50-D65))</f>
        <v>3723.0555955359014</v>
      </c>
      <c r="E34" s="116">
        <f ca="1">IF(CAPA!$C$113="Não",E50-E65,IF(Indexador!$B71&lt;CAPA!$C$114,0,E50-E65))</f>
        <v>1128.4378681906019</v>
      </c>
      <c r="F34" s="116">
        <f ca="1">IF(CAPA!$C$113="Não",F50-F65,IF(Indexador!$B71&lt;CAPA!$C$114,0,F50-F65))</f>
        <v>41671.894261554524</v>
      </c>
      <c r="G34" s="116">
        <f ca="1">IF(CAPA!$C$113="Não",G50-G65,IF(Indexador!$B71&lt;CAPA!$C$114,0,G50-G65))</f>
        <v>6888.4029477987351</v>
      </c>
      <c r="H34" s="116">
        <f ca="1">IF(CAPA!$C$113="Não",H50-H65,IF(Indexador!$B71&lt;CAPA!$C$114,0,H50-H65))</f>
        <v>-13122.942281397176</v>
      </c>
      <c r="I34" s="116">
        <f ca="1">IF(CAPA!$C$113="Não",I50-I65,IF(Indexador!$B71&lt;CAPA!$C$114,0,I50-I65))</f>
        <v>-8679.5003795471712</v>
      </c>
      <c r="J34" s="116">
        <f ca="1">IF(CAPA!$C$113="Não",J50-J65,IF(Indexador!$B71&lt;CAPA!$C$114,0,J50-J65))</f>
        <v>73151.021908308263</v>
      </c>
      <c r="L34" s="68" t="s">
        <v>51</v>
      </c>
      <c r="M34" s="116">
        <f ca="1">Indexador!F80</f>
        <v>-26602.52717679783</v>
      </c>
      <c r="N34" s="80"/>
    </row>
    <row r="35" spans="2:14">
      <c r="B35" s="271">
        <f>Indexador!B72</f>
        <v>44501</v>
      </c>
      <c r="C35" s="116">
        <f ca="1">IFERROR(IF(CAPA!$C$113="Não",C51-C66,IF(Indexador!$B72&lt;CAPA!$C$114,0,C51-C66)),0)</f>
        <v>-18311.425788577268</v>
      </c>
      <c r="D35" s="116">
        <f ca="1">IF(CAPA!$C$113="Não",D51-D66,IF(Indexador!$B72&lt;CAPA!$C$114,0,D51-D66))</f>
        <v>-3687.5676223136397</v>
      </c>
      <c r="E35" s="116">
        <f ca="1">IF(CAPA!$C$113="Não",E51-E66,IF(Indexador!$B72&lt;CAPA!$C$114,0,E51-E66))</f>
        <v>-837.63451348519811</v>
      </c>
      <c r="F35" s="116">
        <f ca="1">IF(CAPA!$C$113="Não",F51-F66,IF(Indexador!$B72&lt;CAPA!$C$114,0,F51-F66))</f>
        <v>-38657.625018244958</v>
      </c>
      <c r="G35" s="116">
        <f ca="1">IF(CAPA!$C$113="Não",G51-G66,IF(Indexador!$B72&lt;CAPA!$C$114,0,G51-G66))</f>
        <v>-6769.8371780582966</v>
      </c>
      <c r="H35" s="116">
        <f ca="1">IF(CAPA!$C$113="Não",H51-H66,IF(Indexador!$B72&lt;CAPA!$C$114,0,H51-H66))</f>
        <v>7356.1812152887287</v>
      </c>
      <c r="I35" s="116">
        <f ca="1">IF(CAPA!$C$113="Não",I51-I66,IF(Indexador!$B72&lt;CAPA!$C$114,0,I51-I66))</f>
        <v>6961.4489716791722</v>
      </c>
      <c r="J35" s="116">
        <f ca="1">IF(CAPA!$C$113="Não",J51-J66,IF(Indexador!$B72&lt;CAPA!$C$114,0,J51-J66))</f>
        <v>-68264.09012067935</v>
      </c>
      <c r="L35" s="68" t="s">
        <v>52</v>
      </c>
      <c r="M35" s="116">
        <f ca="1">Indexador!N80</f>
        <v>-42827.163872346617</v>
      </c>
      <c r="N35" s="80"/>
    </row>
    <row r="36" spans="2:14">
      <c r="B36" s="271">
        <f>Indexador!B73</f>
        <v>44531</v>
      </c>
      <c r="C36" s="116">
        <f ca="1">IFERROR(IF(CAPA!$C$113="Não",C52-C67,IF(Indexador!$B73&lt;CAPA!$C$114,0,C52-C67)),0)</f>
        <v>-65782.769866483606</v>
      </c>
      <c r="D36" s="116">
        <f ca="1">IF(CAPA!$C$113="Não",D52-D67,IF(Indexador!$B73&lt;CAPA!$C$114,0,D52-D67))</f>
        <v>-12851.499012756343</v>
      </c>
      <c r="E36" s="116">
        <f ca="1">IF(CAPA!$C$113="Não",E52-E67,IF(Indexador!$B73&lt;CAPA!$C$114,0,E52-E67))</f>
        <v>-3376.0425541142467</v>
      </c>
      <c r="F36" s="116">
        <f ca="1">IF(CAPA!$C$113="Não",F52-F67,IF(Indexador!$B73&lt;CAPA!$C$114,0,F52-F67))</f>
        <v>-138875.34916840598</v>
      </c>
      <c r="G36" s="116">
        <f ca="1">IF(CAPA!$C$113="Não",G52-G67,IF(Indexador!$B73&lt;CAPA!$C$114,0,G52-G67))</f>
        <v>-23662.699784019074</v>
      </c>
      <c r="H36" s="116">
        <f ca="1">IF(CAPA!$C$113="Não",H52-H67,IF(Indexador!$B73&lt;CAPA!$C$114,0,H52-H67))</f>
        <v>36776.904465257598</v>
      </c>
      <c r="I36" s="116">
        <f ca="1">IF(CAPA!$C$113="Não",I52-I67,IF(Indexador!$B73&lt;CAPA!$C$114,0,I52-I67))</f>
        <v>26696.143203534419</v>
      </c>
      <c r="J36" s="116">
        <f ca="1">IF(CAPA!$C$113="Não",J52-J67,IF(Indexador!$B73&lt;CAPA!$C$114,0,J52-J67))</f>
        <v>-244548.36038577929</v>
      </c>
      <c r="L36" s="68" t="s">
        <v>1428</v>
      </c>
      <c r="M36" s="116">
        <f ca="1">Indexador!D80</f>
        <v>-124714.0385527766</v>
      </c>
      <c r="N36" s="80"/>
    </row>
    <row r="37" spans="2:14">
      <c r="B37" s="271">
        <f>Indexador!B74</f>
        <v>44562</v>
      </c>
      <c r="C37" s="116">
        <f ca="1">IFERROR(IF(CAPA!$C$113="Não",C53-C68,IF(Indexador!$B74&lt;CAPA!$C$114,0,C53-C68)),0)</f>
        <v>-91173.559082912776</v>
      </c>
      <c r="D37" s="116">
        <f ca="1">IF(CAPA!$C$113="Não",D53-D68,IF(Indexador!$B74&lt;CAPA!$C$114,0,D53-D68))</f>
        <v>-17251.520348992199</v>
      </c>
      <c r="E37" s="116">
        <f ca="1">IF(CAPA!$C$113="Não",E53-E68,IF(Indexador!$B74&lt;CAPA!$C$114,0,E53-E68))</f>
        <v>-5442.5714801284994</v>
      </c>
      <c r="F37" s="116">
        <f ca="1">IF(CAPA!$C$113="Não",F53-F68,IF(Indexador!$B74&lt;CAPA!$C$114,0,F53-F68))</f>
        <v>-192478.3629248942</v>
      </c>
      <c r="G37" s="116">
        <f ca="1">IF(CAPA!$C$113="Não",G53-G68,IF(Indexador!$B74&lt;CAPA!$C$114,0,G53-G68))</f>
        <v>-31567.259940119606</v>
      </c>
      <c r="H37" s="116">
        <f ca="1">IF(CAPA!$C$113="Não",H53-H68,IF(Indexador!$B74&lt;CAPA!$C$114,0,H53-H68))</f>
        <v>72896.462658275326</v>
      </c>
      <c r="I37" s="116">
        <f ca="1">IF(CAPA!$C$113="Não",I53-I68,IF(Indexador!$B74&lt;CAPA!$C$114,0,I53-I68))</f>
        <v>43975.001342624513</v>
      </c>
      <c r="J37" s="116">
        <f ca="1">IF(CAPA!$C$113="Não",J53-J68,IF(Indexador!$B74&lt;CAPA!$C$114,0,J53-J68))</f>
        <v>-337913.27377704741</v>
      </c>
      <c r="L37" s="815" t="s">
        <v>53</v>
      </c>
      <c r="M37" s="1262">
        <f ca="1">Indexador!L80</f>
        <v>0</v>
      </c>
      <c r="N37" s="80"/>
    </row>
    <row r="38" spans="2:14">
      <c r="B38" s="271">
        <f>Indexador!B75</f>
        <v>44593</v>
      </c>
      <c r="C38" s="116">
        <f ca="1">IFERROR(IF(CAPA!$C$113="Não",C54-C69,IF(Indexador!$B75&lt;CAPA!$C$114,0,C54-C69)),0)</f>
        <v>-170285.16421793736</v>
      </c>
      <c r="D38" s="116">
        <f ca="1">IF(CAPA!$C$113="Não",D54-D69,IF(Indexador!$B75&lt;CAPA!$C$114,0,D54-D69))</f>
        <v>-31125.837712807806</v>
      </c>
      <c r="E38" s="116">
        <f ca="1">IF(CAPA!$C$113="Não",E54-E69,IF(Indexador!$B75&lt;CAPA!$C$114,0,E54-E69))</f>
        <v>-11930.035769400532</v>
      </c>
      <c r="F38" s="116">
        <f ca="1">IF(CAPA!$C$113="Não",F54-F69,IF(Indexador!$B75&lt;CAPA!$C$114,0,F54-F69))</f>
        <v>-359492.48848845332</v>
      </c>
      <c r="G38" s="116">
        <f ca="1">IF(CAPA!$C$113="Não",G54-G69,IF(Indexador!$B75&lt;CAPA!$C$114,0,G54-G69))</f>
        <v>-56217.5825219244</v>
      </c>
      <c r="H38" s="116">
        <f ca="1">IF(CAPA!$C$113="Não",H54-H69,IF(Indexador!$B75&lt;CAPA!$C$114,0,H54-H69))</f>
        <v>172378.07492494269</v>
      </c>
      <c r="I38" s="116">
        <f ca="1">IF(CAPA!$C$113="Não",I54-I69,IF(Indexador!$B75&lt;CAPA!$C$114,0,I54-I69))</f>
        <v>92111.385445800086</v>
      </c>
      <c r="J38" s="116">
        <f ca="1">IF(CAPA!$C$113="Não",J54-J69,IF(Indexador!$B75&lt;CAPA!$C$114,0,J54-J69))</f>
        <v>-629051.10871052369</v>
      </c>
      <c r="L38" s="71" t="s">
        <v>889</v>
      </c>
      <c r="M38" s="273">
        <f ca="1">SUM(M31:M36)</f>
        <v>-466377.30528944905</v>
      </c>
      <c r="N38" s="80"/>
    </row>
    <row r="39" spans="2:14">
      <c r="B39" s="271">
        <f>Indexador!B76</f>
        <v>44621</v>
      </c>
      <c r="C39" s="116">
        <f ca="1">IFERROR(IF(CAPA!$C$113="Não",C55-C70,IF(Indexador!$B76&lt;CAPA!$C$114,0,C55-C70)),0)</f>
        <v>95091.465734139521</v>
      </c>
      <c r="D39" s="116">
        <f ca="1">IF(CAPA!$C$113="Não",D55-D70,IF(Indexador!$B76&lt;CAPA!$C$114,0,D55-D70))</f>
        <v>16210.385557795638</v>
      </c>
      <c r="E39" s="116">
        <f ca="1">IF(CAPA!$C$113="Não",E55-E70,IF(Indexador!$B76&lt;CAPA!$C$114,0,E55-E70))</f>
        <v>6467.2867023700128</v>
      </c>
      <c r="F39" s="116">
        <f ca="1">IF(CAPA!$C$113="Não",F55-F70,IF(Indexador!$B76&lt;CAPA!$C$114,0,F55-F70))</f>
        <v>200749.53568491439</v>
      </c>
      <c r="G39" s="116">
        <f ca="1">IF(CAPA!$C$113="Não",G55-G70,IF(Indexador!$B76&lt;CAPA!$C$114,0,G55-G70))</f>
        <v>31049.76352494477</v>
      </c>
      <c r="H39" s="116">
        <f ca="1">IF(CAPA!$C$113="Não",H55-H70,IF(Indexador!$B76&lt;CAPA!$C$114,0,H55-H70))</f>
        <v>-94843.999401091249</v>
      </c>
      <c r="I39" s="116">
        <f ca="1">IF(CAPA!$C$113="Não",I55-I70,IF(Indexador!$B76&lt;CAPA!$C$114,0,I55-I70))</f>
        <v>-49903.242918263917</v>
      </c>
      <c r="J39" s="116">
        <f ca="1">IF(CAPA!$C$113="Não",J55-J70,IF(Indexador!$B76&lt;CAPA!$C$114,0,J55-J70))</f>
        <v>349568.43720416422</v>
      </c>
      <c r="N39" s="80"/>
    </row>
    <row r="40" spans="2:14">
      <c r="B40" s="271">
        <f>Indexador!B77</f>
        <v>44652</v>
      </c>
      <c r="C40" s="116">
        <f ca="1">IFERROR(IF(CAPA!$C$113="Não",C56-C71,IF(Indexador!$B77&lt;CAPA!$C$114,0,C56-C71)),0)</f>
        <v>2010.7681847922213</v>
      </c>
      <c r="D40" s="116">
        <f ca="1">IF(CAPA!$C$113="Não",D56-D71,IF(Indexador!$B77&lt;CAPA!$C$114,0,D56-D71))</f>
        <v>-157.68315932931728</v>
      </c>
      <c r="E40" s="116">
        <f ca="1">IF(CAPA!$C$113="Não",E56-E71,IF(Indexador!$B77&lt;CAPA!$C$114,0,E56-E71))</f>
        <v>-314.88692955947772</v>
      </c>
      <c r="F40" s="116">
        <f ca="1">IF(CAPA!$C$113="Não",F56-F71,IF(Indexador!$B77&lt;CAPA!$C$114,0,F56-F71))</f>
        <v>4244.9737876122817</v>
      </c>
      <c r="G40" s="116">
        <f ca="1">IF(CAPA!$C$113="Não",G56-G71,IF(Indexador!$B77&lt;CAPA!$C$114,0,G56-G71))</f>
        <v>967.24303678816068</v>
      </c>
      <c r="H40" s="116">
        <f ca="1">IF(CAPA!$C$113="Não",H56-H71,IF(Indexador!$B77&lt;CAPA!$C$114,0,H56-H71))</f>
        <v>4739.9631929739262</v>
      </c>
      <c r="I40" s="116">
        <f ca="1">IF(CAPA!$C$113="Não",I56-I71,IF(Indexador!$B77&lt;CAPA!$C$114,0,I56-I71))</f>
        <v>753.82161830581026</v>
      </c>
      <c r="J40" s="116">
        <f ca="1">IF(CAPA!$C$113="Não",J56-J71,IF(Indexador!$B77&lt;CAPA!$C$114,0,J56-J71))</f>
        <v>6750.4149203038542</v>
      </c>
      <c r="L40" s="1819" t="s">
        <v>1434</v>
      </c>
      <c r="M40" s="1819"/>
      <c r="N40" s="80"/>
    </row>
    <row r="41" spans="2:14">
      <c r="B41" s="271">
        <f>Indexador!B78</f>
        <v>44682</v>
      </c>
      <c r="C41" s="116">
        <f ca="1">IFERROR(IF(CAPA!$C$113="Não",C57-C72,IF(Indexador!$B78&lt;CAPA!$C$114,0,C57-C72)),0)</f>
        <v>28187.856901000137</v>
      </c>
      <c r="D41" s="116">
        <f ca="1">IF(CAPA!$C$113="Não",D57-D72,IF(Indexador!$B78&lt;CAPA!$C$114,0,D57-D72))</f>
        <v>4576.2820957632284</v>
      </c>
      <c r="E41" s="116">
        <f ca="1">IF(CAPA!$C$113="Não",E57-E72,IF(Indexador!$B78&lt;CAPA!$C$114,0,E57-E72))</f>
        <v>1590.8303268572326</v>
      </c>
      <c r="F41" s="116">
        <f ca="1">IF(CAPA!$C$113="Não",F57-F72,IF(Indexador!$B78&lt;CAPA!$C$114,0,F57-F72))</f>
        <v>59507.960479328409</v>
      </c>
      <c r="G41" s="116">
        <f ca="1">IF(CAPA!$C$113="Não",G57-G72,IF(Indexador!$B78&lt;CAPA!$C$114,0,G57-G72))</f>
        <v>9494.4881072818243</v>
      </c>
      <c r="H41" s="116">
        <f ca="1">IF(CAPA!$C$113="Não",H57-H72,IF(Indexador!$B78&lt;CAPA!$C$114,0,H57-H72))</f>
        <v>-24111.502879716165</v>
      </c>
      <c r="I41" s="116">
        <f ca="1">IF(CAPA!$C$113="Não",I57-I72,IF(Indexador!$B78&lt;CAPA!$C$114,0,I57-I72))</f>
        <v>-14217.637183567786</v>
      </c>
      <c r="J41" s="116">
        <f ca="1">IF(CAPA!$C$113="Não",J57-J72,IF(Indexador!$B78&lt;CAPA!$C$114,0,J57-J72))</f>
        <v>103357.4179102307</v>
      </c>
      <c r="L41" s="68" t="str">
        <f>H30</f>
        <v>Financeiro Covid</v>
      </c>
      <c r="M41" s="69">
        <f ca="1">Indexador!P80</f>
        <v>111736.66355229073</v>
      </c>
      <c r="N41" s="80"/>
    </row>
    <row r="42" spans="2:14">
      <c r="B42" s="271">
        <f>Indexador!B79</f>
        <v>44713</v>
      </c>
      <c r="C42" s="1234">
        <f ca="1">IFERROR(IF(CAPA!$C$113="Não",C58-C73,IF(Indexador!$B79&lt;CAPA!$C$114,0,C58-C73)),0)</f>
        <v>22151.404965179623</v>
      </c>
      <c r="D42" s="1234">
        <f ca="1">IF(CAPA!$C$113="Não",D58-D73,IF(Indexador!$B79&lt;CAPA!$C$114,0,D58-D73))</f>
        <v>3539.3756103129854</v>
      </c>
      <c r="E42" s="1234">
        <f ca="1">IF(CAPA!$C$113="Não",E58-E73,IF(Indexador!$B79&lt;CAPA!$C$114,0,E58-E73))</f>
        <v>1111.1054034621047</v>
      </c>
      <c r="F42" s="1234">
        <f ca="1">IF(CAPA!$C$113="Não",F58-F73,IF(Indexador!$B79&lt;CAPA!$C$114,0,F58-F73))</f>
        <v>46764.283494810225</v>
      </c>
      <c r="G42" s="1234">
        <f ca="1">IF(CAPA!$C$113="Não",G58-G73,IF(Indexador!$B79&lt;CAPA!$C$114,0,G58-G73))</f>
        <v>7605.4148802132113</v>
      </c>
      <c r="H42" s="1234">
        <f ca="1">IF(CAPA!$C$113="Não",H58-H73,IF(Indexador!$B79&lt;CAPA!$C$114,0,H58-H73))</f>
        <v>-19456.049478961446</v>
      </c>
      <c r="I42" s="1234">
        <f ca="1">IF(CAPA!$C$113="Não",I58-I73,IF(Indexador!$B79&lt;CAPA!$C$114,0,I58-I73))</f>
        <v>-11654.725565327826</v>
      </c>
      <c r="J42" s="1234">
        <f ca="1">IF(CAPA!$C$113="Não",J58-J73,IF(Indexador!$B79&lt;CAPA!$C$114,0,J58-J73))</f>
        <v>81171.584353978047</v>
      </c>
      <c r="L42" s="815" t="str">
        <f>I30</f>
        <v>Crédito Pis Cofins</v>
      </c>
      <c r="M42" s="1262">
        <f ca="1">Indexador!R80</f>
        <v>62764.5567162558</v>
      </c>
      <c r="N42" s="80"/>
    </row>
    <row r="43" spans="2:14">
      <c r="L43" s="71" t="s">
        <v>897</v>
      </c>
      <c r="M43" s="273">
        <f ca="1">SUM(M41:M42)</f>
        <v>174501.22026854655</v>
      </c>
    </row>
    <row r="44" spans="2:14">
      <c r="K44" s="141"/>
    </row>
    <row r="45" spans="2:14">
      <c r="C45" s="197" t="s">
        <v>1390</v>
      </c>
      <c r="D45" s="197"/>
      <c r="E45" s="197"/>
      <c r="F45" s="197"/>
      <c r="K45" s="141"/>
    </row>
    <row r="46" spans="2:14" ht="28.5">
      <c r="C46" s="1301" t="s">
        <v>1428</v>
      </c>
      <c r="D46" s="1301" t="s">
        <v>51</v>
      </c>
      <c r="E46" s="1301" t="s">
        <v>44</v>
      </c>
      <c r="F46" s="1301" t="s">
        <v>46</v>
      </c>
      <c r="G46" s="1301" t="s">
        <v>52</v>
      </c>
      <c r="H46" s="1301" t="s">
        <v>1429</v>
      </c>
      <c r="I46" s="1301" t="s">
        <v>1435</v>
      </c>
      <c r="J46" s="1301" t="s">
        <v>1436</v>
      </c>
      <c r="K46" s="141"/>
    </row>
    <row r="47" spans="2:14">
      <c r="B47" s="271">
        <f>Indexador!B37</f>
        <v>44378</v>
      </c>
      <c r="C47" s="1515">
        <f>$F$11/12</f>
        <v>259183.84481372501</v>
      </c>
      <c r="D47" s="1609">
        <f>$F$8/12</f>
        <v>47788.050902777752</v>
      </c>
      <c r="E47" s="1515">
        <f t="shared" ref="E47:E58" si="0">$F$5/12</f>
        <v>16961.657205774751</v>
      </c>
      <c r="F47" s="116">
        <f t="shared" ref="F47:F58" si="1">$F$6/12</f>
        <v>547168.3089716658</v>
      </c>
      <c r="G47" s="116">
        <f t="shared" ref="G47:G58" si="2">$F$9/12</f>
        <v>87427.629263333336</v>
      </c>
      <c r="H47" s="116">
        <f>IFERROR((VLOOKUP("Parcela B",TabFinanCovid[],4,FALSE)/12),0)</f>
        <v>-252596.91814423748</v>
      </c>
      <c r="I47" s="116">
        <f>IFERROR(VLOOKUP("Créditos de Pis/Cofins",TabFinanNeutralidade[[#All],[Detalhe_Grupo_TARIFA]:[valor]],2,FALSE)/12,0)</f>
        <v>-139387.55166666667</v>
      </c>
      <c r="J47" s="1610">
        <f>SUM(C47:G47)</f>
        <v>958529.49115727656</v>
      </c>
      <c r="K47" s="141"/>
    </row>
    <row r="48" spans="2:14">
      <c r="B48" s="271">
        <f>Indexador!B38</f>
        <v>44409</v>
      </c>
      <c r="C48" s="116">
        <f t="shared" ref="C48:C58" si="3">$F$11/12</f>
        <v>259183.84481372501</v>
      </c>
      <c r="D48" s="141">
        <f t="shared" ref="D48:D58" si="4">$F$8/12</f>
        <v>47788.050902777752</v>
      </c>
      <c r="E48" s="116">
        <f t="shared" si="0"/>
        <v>16961.657205774751</v>
      </c>
      <c r="F48" s="116">
        <f t="shared" si="1"/>
        <v>547168.3089716658</v>
      </c>
      <c r="G48" s="116">
        <f t="shared" si="2"/>
        <v>87427.629263333336</v>
      </c>
      <c r="H48" s="116">
        <f>IFERROR((VLOOKUP("Parcela B",TabFinanCovid[],4,FALSE)/12),0)</f>
        <v>-252596.91814423748</v>
      </c>
      <c r="I48" s="116">
        <f>IFERROR(VLOOKUP("Créditos de Pis/Cofins",TabFinanNeutralidade[[#All],[Detalhe_Grupo_TARIFA]:[valor]],2,FALSE)/12,0)</f>
        <v>-139387.55166666667</v>
      </c>
      <c r="J48" s="143">
        <f t="shared" ref="J48:J58" si="5">SUM(C48:G48)</f>
        <v>958529.49115727656</v>
      </c>
      <c r="K48" s="141"/>
    </row>
    <row r="49" spans="2:12">
      <c r="B49" s="271">
        <f>Indexador!B39</f>
        <v>44440</v>
      </c>
      <c r="C49" s="116">
        <f t="shared" si="3"/>
        <v>259183.84481372501</v>
      </c>
      <c r="D49" s="141">
        <f t="shared" si="4"/>
        <v>47788.050902777752</v>
      </c>
      <c r="E49" s="116">
        <f t="shared" si="0"/>
        <v>16961.657205774751</v>
      </c>
      <c r="F49" s="116">
        <f t="shared" si="1"/>
        <v>547168.3089716658</v>
      </c>
      <c r="G49" s="116">
        <f t="shared" si="2"/>
        <v>87427.629263333336</v>
      </c>
      <c r="H49" s="116">
        <f>IFERROR((VLOOKUP("Parcela B",TabFinanCovid[],4,FALSE)/12),0)</f>
        <v>-252596.91814423748</v>
      </c>
      <c r="I49" s="116">
        <f>IFERROR(VLOOKUP("Créditos de Pis/Cofins",TabFinanNeutralidade[[#All],[Detalhe_Grupo_TARIFA]:[valor]],2,FALSE)/12,0)</f>
        <v>-139387.55166666667</v>
      </c>
      <c r="J49" s="143">
        <f t="shared" si="5"/>
        <v>958529.49115727656</v>
      </c>
      <c r="K49" s="141"/>
    </row>
    <row r="50" spans="2:12">
      <c r="B50" s="271">
        <f>Indexador!B40</f>
        <v>44470</v>
      </c>
      <c r="C50" s="116">
        <f t="shared" si="3"/>
        <v>259183.84481372501</v>
      </c>
      <c r="D50" s="141">
        <f t="shared" si="4"/>
        <v>47788.050902777752</v>
      </c>
      <c r="E50" s="116">
        <f t="shared" si="0"/>
        <v>16961.657205774751</v>
      </c>
      <c r="F50" s="116">
        <f t="shared" si="1"/>
        <v>547168.3089716658</v>
      </c>
      <c r="G50" s="116">
        <f t="shared" si="2"/>
        <v>87427.629263333336</v>
      </c>
      <c r="H50" s="116">
        <f>IFERROR((VLOOKUP("Parcela B",TabFinanCovid[],4,FALSE)/12),0)</f>
        <v>-252596.91814423748</v>
      </c>
      <c r="I50" s="116">
        <f>IFERROR(VLOOKUP("Créditos de Pis/Cofins",TabFinanNeutralidade[[#All],[Detalhe_Grupo_TARIFA]:[valor]],2,FALSE)/12,0)</f>
        <v>-139387.55166666667</v>
      </c>
      <c r="J50" s="143">
        <f t="shared" si="5"/>
        <v>958529.49115727656</v>
      </c>
      <c r="K50" s="141"/>
    </row>
    <row r="51" spans="2:12">
      <c r="B51" s="271">
        <f>Indexador!B41</f>
        <v>44501</v>
      </c>
      <c r="C51" s="116">
        <f t="shared" si="3"/>
        <v>259183.84481372501</v>
      </c>
      <c r="D51" s="141">
        <f t="shared" si="4"/>
        <v>47788.050902777752</v>
      </c>
      <c r="E51" s="116">
        <f t="shared" si="0"/>
        <v>16961.657205774751</v>
      </c>
      <c r="F51" s="116">
        <f t="shared" si="1"/>
        <v>547168.3089716658</v>
      </c>
      <c r="G51" s="116">
        <f t="shared" si="2"/>
        <v>87427.629263333336</v>
      </c>
      <c r="H51" s="116">
        <f>IFERROR((VLOOKUP("Parcela B",TabFinanCovid[],4,FALSE)/12),0)</f>
        <v>-252596.91814423748</v>
      </c>
      <c r="I51" s="116">
        <f>IFERROR(VLOOKUP("Créditos de Pis/Cofins",TabFinanNeutralidade[[#All],[Detalhe_Grupo_TARIFA]:[valor]],2,FALSE)/12,0)</f>
        <v>-139387.55166666667</v>
      </c>
      <c r="J51" s="143">
        <f t="shared" si="5"/>
        <v>958529.49115727656</v>
      </c>
    </row>
    <row r="52" spans="2:12">
      <c r="B52" s="271">
        <f>Indexador!B42</f>
        <v>44531</v>
      </c>
      <c r="C52" s="116">
        <f t="shared" si="3"/>
        <v>259183.84481372501</v>
      </c>
      <c r="D52" s="141">
        <f t="shared" si="4"/>
        <v>47788.050902777752</v>
      </c>
      <c r="E52" s="116">
        <f t="shared" si="0"/>
        <v>16961.657205774751</v>
      </c>
      <c r="F52" s="116">
        <f t="shared" si="1"/>
        <v>547168.3089716658</v>
      </c>
      <c r="G52" s="116">
        <f t="shared" si="2"/>
        <v>87427.629263333336</v>
      </c>
      <c r="H52" s="116">
        <f>IFERROR((VLOOKUP("Parcela B",TabFinanCovid[],4,FALSE)/12),0)</f>
        <v>-252596.91814423748</v>
      </c>
      <c r="I52" s="116">
        <f>IFERROR(VLOOKUP("Créditos de Pis/Cofins",TabFinanNeutralidade[[#All],[Detalhe_Grupo_TARIFA]:[valor]],2,FALSE)/12,0)</f>
        <v>-139387.55166666667</v>
      </c>
      <c r="J52" s="143">
        <f t="shared" si="5"/>
        <v>958529.49115727656</v>
      </c>
    </row>
    <row r="53" spans="2:12">
      <c r="B53" s="271">
        <f>Indexador!B43</f>
        <v>44562</v>
      </c>
      <c r="C53" s="116">
        <f t="shared" si="3"/>
        <v>259183.84481372501</v>
      </c>
      <c r="D53" s="141">
        <f t="shared" si="4"/>
        <v>47788.050902777752</v>
      </c>
      <c r="E53" s="116">
        <f t="shared" si="0"/>
        <v>16961.657205774751</v>
      </c>
      <c r="F53" s="116">
        <f t="shared" si="1"/>
        <v>547168.3089716658</v>
      </c>
      <c r="G53" s="116">
        <f t="shared" si="2"/>
        <v>87427.629263333336</v>
      </c>
      <c r="H53" s="116">
        <f>IFERROR((VLOOKUP("Parcela B",TabFinanCovid[],4,FALSE)/12),0)</f>
        <v>-252596.91814423748</v>
      </c>
      <c r="I53" s="116">
        <f>IFERROR(VLOOKUP("Créditos de Pis/Cofins",TabFinanNeutralidade[[#All],[Detalhe_Grupo_TARIFA]:[valor]],2,FALSE)/12,0)</f>
        <v>-139387.55166666667</v>
      </c>
      <c r="J53" s="143">
        <f t="shared" si="5"/>
        <v>958529.49115727656</v>
      </c>
    </row>
    <row r="54" spans="2:12">
      <c r="B54" s="271">
        <f>Indexador!B44</f>
        <v>44593</v>
      </c>
      <c r="C54" s="116">
        <f t="shared" si="3"/>
        <v>259183.84481372501</v>
      </c>
      <c r="D54" s="141">
        <f t="shared" si="4"/>
        <v>47788.050902777752</v>
      </c>
      <c r="E54" s="116">
        <f t="shared" si="0"/>
        <v>16961.657205774751</v>
      </c>
      <c r="F54" s="116">
        <f t="shared" si="1"/>
        <v>547168.3089716658</v>
      </c>
      <c r="G54" s="116">
        <f t="shared" si="2"/>
        <v>87427.629263333336</v>
      </c>
      <c r="H54" s="116">
        <f>IFERROR((VLOOKUP("Parcela B",TabFinanCovid[],4,FALSE)/12),0)</f>
        <v>-252596.91814423748</v>
      </c>
      <c r="I54" s="116">
        <f>IFERROR(VLOOKUP("Créditos de Pis/Cofins",TabFinanNeutralidade[[#All],[Detalhe_Grupo_TARIFA]:[valor]],2,FALSE)/12,0)</f>
        <v>-139387.55166666667</v>
      </c>
      <c r="J54" s="143">
        <f t="shared" si="5"/>
        <v>958529.49115727656</v>
      </c>
    </row>
    <row r="55" spans="2:12">
      <c r="B55" s="271">
        <f>Indexador!B45</f>
        <v>44621</v>
      </c>
      <c r="C55" s="116">
        <f t="shared" si="3"/>
        <v>259183.84481372501</v>
      </c>
      <c r="D55" s="141">
        <f t="shared" si="4"/>
        <v>47788.050902777752</v>
      </c>
      <c r="E55" s="116">
        <f t="shared" si="0"/>
        <v>16961.657205774751</v>
      </c>
      <c r="F55" s="116">
        <f t="shared" si="1"/>
        <v>547168.3089716658</v>
      </c>
      <c r="G55" s="116">
        <f t="shared" si="2"/>
        <v>87427.629263333336</v>
      </c>
      <c r="H55" s="116">
        <f>IFERROR((VLOOKUP("Parcela B",TabFinanCovid[],4,FALSE)/12),0)</f>
        <v>-252596.91814423748</v>
      </c>
      <c r="I55" s="116">
        <f>IFERROR(VLOOKUP("Créditos de Pis/Cofins",TabFinanNeutralidade[[#All],[Detalhe_Grupo_TARIFA]:[valor]],2,FALSE)/12,0)</f>
        <v>-139387.55166666667</v>
      </c>
      <c r="J55" s="143">
        <f t="shared" si="5"/>
        <v>958529.49115727656</v>
      </c>
    </row>
    <row r="56" spans="2:12">
      <c r="B56" s="271">
        <f>Indexador!B46</f>
        <v>44652</v>
      </c>
      <c r="C56" s="116">
        <f t="shared" si="3"/>
        <v>259183.84481372501</v>
      </c>
      <c r="D56" s="141">
        <f t="shared" si="4"/>
        <v>47788.050902777752</v>
      </c>
      <c r="E56" s="116">
        <f t="shared" si="0"/>
        <v>16961.657205774751</v>
      </c>
      <c r="F56" s="116">
        <f t="shared" si="1"/>
        <v>547168.3089716658</v>
      </c>
      <c r="G56" s="116">
        <f t="shared" si="2"/>
        <v>87427.629263333336</v>
      </c>
      <c r="H56" s="116">
        <f>IFERROR((VLOOKUP("Parcela B",TabFinanCovid[],4,FALSE)/12),0)</f>
        <v>-252596.91814423748</v>
      </c>
      <c r="I56" s="116">
        <f>IFERROR(VLOOKUP("Créditos de Pis/Cofins",TabFinanNeutralidade[[#All],[Detalhe_Grupo_TARIFA]:[valor]],2,FALSE)/12,0)</f>
        <v>-139387.55166666667</v>
      </c>
      <c r="J56" s="143">
        <f t="shared" si="5"/>
        <v>958529.49115727656</v>
      </c>
    </row>
    <row r="57" spans="2:12">
      <c r="B57" s="271">
        <f>Indexador!B47</f>
        <v>44682</v>
      </c>
      <c r="C57" s="116">
        <f t="shared" si="3"/>
        <v>259183.84481372501</v>
      </c>
      <c r="D57" s="141">
        <f t="shared" si="4"/>
        <v>47788.050902777752</v>
      </c>
      <c r="E57" s="116">
        <f t="shared" si="0"/>
        <v>16961.657205774751</v>
      </c>
      <c r="F57" s="116">
        <f t="shared" si="1"/>
        <v>547168.3089716658</v>
      </c>
      <c r="G57" s="116">
        <f t="shared" si="2"/>
        <v>87427.629263333336</v>
      </c>
      <c r="H57" s="116">
        <f>IFERROR((VLOOKUP("Parcela B",TabFinanCovid[],4,FALSE)/12),0)</f>
        <v>-252596.91814423748</v>
      </c>
      <c r="I57" s="116">
        <f>IFERROR(VLOOKUP("Créditos de Pis/Cofins",TabFinanNeutralidade[[#All],[Detalhe_Grupo_TARIFA]:[valor]],2,FALSE)/12,0)</f>
        <v>-139387.55166666667</v>
      </c>
      <c r="J57" s="143">
        <f t="shared" si="5"/>
        <v>958529.49115727656</v>
      </c>
    </row>
    <row r="58" spans="2:12">
      <c r="B58" s="271">
        <f>Indexador!B48</f>
        <v>44713</v>
      </c>
      <c r="C58" s="1234">
        <f t="shared" si="3"/>
        <v>259183.84481372501</v>
      </c>
      <c r="D58" s="1356">
        <f t="shared" si="4"/>
        <v>47788.050902777752</v>
      </c>
      <c r="E58" s="1234">
        <f t="shared" si="0"/>
        <v>16961.657205774751</v>
      </c>
      <c r="F58" s="1234">
        <f t="shared" si="1"/>
        <v>547168.3089716658</v>
      </c>
      <c r="G58" s="1234">
        <f t="shared" si="2"/>
        <v>87427.629263333336</v>
      </c>
      <c r="H58" s="1234">
        <f>IFERROR((VLOOKUP("Parcela B",TabFinanCovid[],4,FALSE)/12),0)</f>
        <v>-252596.91814423748</v>
      </c>
      <c r="I58" s="1234">
        <f>IFERROR(VLOOKUP("Créditos de Pis/Cofins",TabFinanNeutralidade[[#All],[Detalhe_Grupo_TARIFA]:[valor]],2,FALSE)/12,0)</f>
        <v>-139387.55166666667</v>
      </c>
      <c r="J58" s="1357">
        <f t="shared" si="5"/>
        <v>958529.49115727656</v>
      </c>
    </row>
    <row r="60" spans="2:12">
      <c r="C60" s="68" t="s">
        <v>1437</v>
      </c>
      <c r="L60" s="197">
        <v>42491</v>
      </c>
    </row>
    <row r="61" spans="2:12" ht="28.5">
      <c r="C61" s="1516" t="s">
        <v>1428</v>
      </c>
      <c r="D61" s="1301" t="s">
        <v>51</v>
      </c>
      <c r="E61" s="1301" t="s">
        <v>44</v>
      </c>
      <c r="F61" s="1301" t="s">
        <v>46</v>
      </c>
      <c r="G61" s="1301" t="s">
        <v>52</v>
      </c>
      <c r="H61" s="1301" t="s">
        <v>1429</v>
      </c>
      <c r="I61" s="1301" t="s">
        <v>1438</v>
      </c>
      <c r="J61" s="1301" t="s">
        <v>1436</v>
      </c>
      <c r="L61" s="1301" t="s">
        <v>53</v>
      </c>
    </row>
    <row r="62" spans="2:12">
      <c r="B62" s="271">
        <f t="shared" ref="B62:B73" si="6">B47</f>
        <v>44378</v>
      </c>
      <c r="C62" s="1611">
        <f ca="1">Calc_Mercado!S63</f>
        <v>231270.17287000941</v>
      </c>
      <c r="D62" s="1611">
        <f ca="1">Calc_Mercado!F63</f>
        <v>42424.921266169506</v>
      </c>
      <c r="E62" s="1515">
        <f ca="1">Calc_Mercado!I63</f>
        <v>15413.945242701908</v>
      </c>
      <c r="F62" s="1557">
        <f ca="1">Calc_Mercado!H63</f>
        <v>488239.1859562645</v>
      </c>
      <c r="G62" s="1557">
        <f ca="1">Calc_Mercado!G63</f>
        <v>77577.2484953495</v>
      </c>
      <c r="H62" s="1557">
        <f ca="1">IFERROR((VLOOKUP("Parcela B",TabFinanCovid[],4,FALSE)/VLOOKUP("Parcela B",TabFinanNeutralidade[],3,FALSE))*Calc_Mercado!T63,0)</f>
        <v>-233097.22280625321</v>
      </c>
      <c r="I62" s="1557">
        <f ca="1">Calc_Mercado!U63</f>
        <v>-126332.53845952077</v>
      </c>
      <c r="J62" s="1610">
        <f t="shared" ref="J62:J73" ca="1" si="7">SUM(C62:G62)</f>
        <v>854925.47383049491</v>
      </c>
      <c r="L62" s="1611">
        <f ca="1">IF(B62&lt;$L$60,0,Calc_Mercado!D63)</f>
        <v>0</v>
      </c>
    </row>
    <row r="63" spans="2:12">
      <c r="B63" s="271">
        <f t="shared" si="6"/>
        <v>44409</v>
      </c>
      <c r="C63" s="142">
        <f ca="1">Calc_Mercado!S64</f>
        <v>235452.23253396241</v>
      </c>
      <c r="D63" s="142">
        <f ca="1">Calc_Mercado!F64</f>
        <v>43242.44319613996</v>
      </c>
      <c r="E63" s="116">
        <f ca="1">Calc_Mercado!I64</f>
        <v>15638.155786629148</v>
      </c>
      <c r="F63" s="80">
        <f ca="1">Calc_Mercado!H64</f>
        <v>497068.01753713831</v>
      </c>
      <c r="G63" s="80">
        <f ca="1">Calc_Mercado!G64</f>
        <v>79069.806477312653</v>
      </c>
      <c r="H63" s="80">
        <f ca="1">IFERROR((VLOOKUP("Parcela B",TabFinanCovid[],4,FALSE)/VLOOKUP("Parcela B",TabFinanNeutralidade[],3,FALSE))*Calc_Mercado!T64,0)</f>
        <v>-237391.87805962344</v>
      </c>
      <c r="I63" s="80">
        <f ca="1">Calc_Mercado!U64</f>
        <v>-129250.27172388168</v>
      </c>
      <c r="J63" s="143">
        <f t="shared" ca="1" si="7"/>
        <v>870470.65553118242</v>
      </c>
      <c r="L63" s="142">
        <f ca="1">IF(B63&lt;$L$60,0,Calc_Mercado!D64)</f>
        <v>0</v>
      </c>
    </row>
    <row r="64" spans="2:12">
      <c r="B64" s="271">
        <f t="shared" si="6"/>
        <v>44440</v>
      </c>
      <c r="C64" s="142">
        <f ca="1">Calc_Mercado!S65</f>
        <v>250938.38492134502</v>
      </c>
      <c r="D64" s="142">
        <f ca="1">Calc_Mercado!F65</f>
        <v>46046.003962369825</v>
      </c>
      <c r="E64" s="116">
        <f ca="1">Calc_Mercado!I65</f>
        <v>16734.597090160823</v>
      </c>
      <c r="F64" s="80">
        <f ca="1">Calc_Mercado!H65</f>
        <v>529761.15016803821</v>
      </c>
      <c r="G64" s="80">
        <f ca="1">Calc_Mercado!G65</f>
        <v>84154.437624287137</v>
      </c>
      <c r="H64" s="80">
        <f ca="1">IFERROR((VLOOKUP("Parcela B",TabFinanCovid[],4,FALSE)/VLOOKUP("Parcela B",TabFinanNeutralidade[],3,FALSE))*Calc_Mercado!T65,0)</f>
        <v>-250391.28368794819</v>
      </c>
      <c r="I64" s="80">
        <f ca="1">Calc_Mercado!U65</f>
        <v>-136060.41304877735</v>
      </c>
      <c r="J64" s="143">
        <f t="shared" ca="1" si="7"/>
        <v>927634.57376620104</v>
      </c>
      <c r="L64" s="142">
        <f ca="1">IF(B64&lt;$L$60,0,Calc_Mercado!D65)</f>
        <v>0</v>
      </c>
    </row>
    <row r="65" spans="2:12">
      <c r="B65" s="271">
        <f t="shared" si="6"/>
        <v>44470</v>
      </c>
      <c r="C65" s="142">
        <f ca="1">Calc_Mercado!S66</f>
        <v>239444.61357849638</v>
      </c>
      <c r="D65" s="142">
        <f ca="1">Calc_Mercado!F66</f>
        <v>44064.99530724185</v>
      </c>
      <c r="E65" s="116">
        <f ca="1">Calc_Mercado!I66</f>
        <v>15833.219337584149</v>
      </c>
      <c r="F65" s="80">
        <f ca="1">Calc_Mercado!H66</f>
        <v>505496.41471011128</v>
      </c>
      <c r="G65" s="80">
        <f ca="1">Calc_Mercado!G66</f>
        <v>80539.226315534601</v>
      </c>
      <c r="H65" s="80">
        <f ca="1">IFERROR((VLOOKUP("Parcela B",TabFinanCovid[],4,FALSE)/VLOOKUP("Parcela B",TabFinanNeutralidade[],3,FALSE))*Calc_Mercado!T66,0)</f>
        <v>-239473.97586284031</v>
      </c>
      <c r="I65" s="80">
        <f ca="1">Calc_Mercado!U66</f>
        <v>-130708.0512871195</v>
      </c>
      <c r="J65" s="143">
        <f t="shared" ca="1" si="7"/>
        <v>885378.46924896829</v>
      </c>
      <c r="L65" s="142">
        <f ca="1">IF(B65&lt;$L$60,0,Calc_Mercado!D66)</f>
        <v>0</v>
      </c>
    </row>
    <row r="66" spans="2:12">
      <c r="B66" s="271">
        <f t="shared" si="6"/>
        <v>44501</v>
      </c>
      <c r="C66" s="142">
        <f ca="1">Calc_Mercado!S67</f>
        <v>277495.27060230228</v>
      </c>
      <c r="D66" s="142">
        <f ca="1">Calc_Mercado!F67</f>
        <v>51475.618525091391</v>
      </c>
      <c r="E66" s="116">
        <f ca="1">Calc_Mercado!I67</f>
        <v>17799.291719259949</v>
      </c>
      <c r="F66" s="80">
        <f ca="1">Calc_Mercado!H67</f>
        <v>585825.93398991076</v>
      </c>
      <c r="G66" s="80">
        <f ca="1">Calc_Mercado!G67</f>
        <v>94197.466441391633</v>
      </c>
      <c r="H66" s="80">
        <f ca="1">IFERROR((VLOOKUP("Parcela B",TabFinanCovid[],4,FALSE)/VLOOKUP("Parcela B",TabFinanNeutralidade[],3,FALSE))*Calc_Mercado!T67,0)</f>
        <v>-259953.09935952621</v>
      </c>
      <c r="I66" s="80">
        <f ca="1">Calc_Mercado!U67</f>
        <v>-146349.00063834584</v>
      </c>
      <c r="J66" s="143">
        <f t="shared" ca="1" si="7"/>
        <v>1026793.5812779559</v>
      </c>
      <c r="L66" s="142">
        <f ca="1">IF(B66&lt;$L$60,0,Calc_Mercado!D67)</f>
        <v>0</v>
      </c>
    </row>
    <row r="67" spans="2:12">
      <c r="B67" s="271">
        <f t="shared" si="6"/>
        <v>44531</v>
      </c>
      <c r="C67" s="142">
        <f ca="1">Calc_Mercado!S68</f>
        <v>324966.61468020862</v>
      </c>
      <c r="D67" s="142">
        <f ca="1">Calc_Mercado!F68</f>
        <v>60639.549915534095</v>
      </c>
      <c r="E67" s="116">
        <f ca="1">Calc_Mercado!I68</f>
        <v>20337.699759888998</v>
      </c>
      <c r="F67" s="80">
        <f ca="1">Calc_Mercado!H68</f>
        <v>686043.65814007178</v>
      </c>
      <c r="G67" s="80">
        <f ca="1">Calc_Mercado!G68</f>
        <v>111090.32904735241</v>
      </c>
      <c r="H67" s="80">
        <f ca="1">IFERROR((VLOOKUP("Parcela B",TabFinanCovid[],4,FALSE)/VLOOKUP("Parcela B",TabFinanNeutralidade[],3,FALSE))*Calc_Mercado!T68,0)</f>
        <v>-289373.82260949508</v>
      </c>
      <c r="I67" s="80">
        <f ca="1">Calc_Mercado!U68</f>
        <v>-166083.69487020108</v>
      </c>
      <c r="J67" s="143">
        <f t="shared" ca="1" si="7"/>
        <v>1203077.8515430558</v>
      </c>
      <c r="L67" s="142">
        <f ca="1">IF(B67&lt;$L$60,0,Calc_Mercado!D68)</f>
        <v>0</v>
      </c>
    </row>
    <row r="68" spans="2:12">
      <c r="B68" s="271">
        <f t="shared" si="6"/>
        <v>44562</v>
      </c>
      <c r="C68" s="142">
        <f ca="1">Calc_Mercado!S69</f>
        <v>350357.40389663778</v>
      </c>
      <c r="D68" s="142">
        <f ca="1">Calc_Mercado!F69</f>
        <v>65039.57125176995</v>
      </c>
      <c r="E68" s="116">
        <f ca="1">Calc_Mercado!I69</f>
        <v>22404.22868590325</v>
      </c>
      <c r="F68" s="80">
        <f ca="1">Calc_Mercado!H69</f>
        <v>739646.67189656</v>
      </c>
      <c r="G68" s="80">
        <f ca="1">Calc_Mercado!G69</f>
        <v>118994.88920345294</v>
      </c>
      <c r="H68" s="80">
        <f ca="1">IFERROR((VLOOKUP("Parcela B",TabFinanCovid[],4,FALSE)/VLOOKUP("Parcela B",TabFinanNeutralidade[],3,FALSE))*Calc_Mercado!T69,0)</f>
        <v>-325493.38080251281</v>
      </c>
      <c r="I68" s="80">
        <f ca="1">Calc_Mercado!U69</f>
        <v>-183362.55300929118</v>
      </c>
      <c r="J68" s="143">
        <f t="shared" ca="1" si="7"/>
        <v>1296442.764934324</v>
      </c>
      <c r="L68" s="142">
        <f ca="1">IF(B68&lt;$L$60,0,Calc_Mercado!D69)</f>
        <v>0</v>
      </c>
    </row>
    <row r="69" spans="2:12">
      <c r="B69" s="271">
        <f t="shared" si="6"/>
        <v>44593</v>
      </c>
      <c r="C69" s="142">
        <f ca="1">Calc_Mercado!S70</f>
        <v>429469.00903166237</v>
      </c>
      <c r="D69" s="142">
        <f ca="1">Calc_Mercado!F70</f>
        <v>78913.888615585558</v>
      </c>
      <c r="E69" s="116">
        <f ca="1">Calc_Mercado!I70</f>
        <v>28891.692975175283</v>
      </c>
      <c r="F69" s="80">
        <f ca="1">Calc_Mercado!H70</f>
        <v>906660.79746011912</v>
      </c>
      <c r="G69" s="80">
        <f ca="1">Calc_Mercado!G70</f>
        <v>143645.21178525774</v>
      </c>
      <c r="H69" s="80">
        <f ca="1">IFERROR((VLOOKUP("Parcela B",TabFinanCovid[],4,FALSE)/VLOOKUP("Parcela B",TabFinanNeutralidade[],3,FALSE))*Calc_Mercado!T70,0)</f>
        <v>-424974.99306918017</v>
      </c>
      <c r="I69" s="80">
        <f ca="1">Calc_Mercado!U70</f>
        <v>-231498.93711246675</v>
      </c>
      <c r="J69" s="143">
        <f t="shared" ca="1" si="7"/>
        <v>1587580.5998678003</v>
      </c>
      <c r="L69" s="142">
        <f ca="1">IF(B69&lt;$L$60,0,Calc_Mercado!D70)</f>
        <v>0</v>
      </c>
    </row>
    <row r="70" spans="2:12">
      <c r="B70" s="271">
        <f t="shared" si="6"/>
        <v>44621</v>
      </c>
      <c r="C70" s="142">
        <f ca="1">Calc_Mercado!S71</f>
        <v>164092.37907958549</v>
      </c>
      <c r="D70" s="142">
        <f ca="1">Calc_Mercado!F71</f>
        <v>31577.665344982113</v>
      </c>
      <c r="E70" s="116">
        <f ca="1">Calc_Mercado!I71</f>
        <v>10494.370503404738</v>
      </c>
      <c r="F70" s="80">
        <f ca="1">Calc_Mercado!H71</f>
        <v>346418.77328675141</v>
      </c>
      <c r="G70" s="80">
        <f ca="1">Calc_Mercado!G71</f>
        <v>56377.865738388566</v>
      </c>
      <c r="H70" s="80">
        <f ca="1">IFERROR((VLOOKUP("Parcela B",TabFinanCovid[],4,FALSE)/VLOOKUP("Parcela B",TabFinanNeutralidade[],3,FALSE))*Calc_Mercado!T71,0)</f>
        <v>-157752.91874314623</v>
      </c>
      <c r="I70" s="80">
        <f ca="1">Calc_Mercado!U71</f>
        <v>-89484.308748402749</v>
      </c>
      <c r="J70" s="143">
        <f t="shared" ca="1" si="7"/>
        <v>608961.05395311234</v>
      </c>
      <c r="L70" s="142">
        <f ca="1">IF(B70&lt;$L$60,0,Calc_Mercado!D71)</f>
        <v>0</v>
      </c>
    </row>
    <row r="71" spans="2:12">
      <c r="B71" s="271">
        <f t="shared" si="6"/>
        <v>44652</v>
      </c>
      <c r="C71" s="142">
        <f ca="1">Calc_Mercado!S72</f>
        <v>257173.07662893279</v>
      </c>
      <c r="D71" s="142">
        <f ca="1">Calc_Mercado!F72</f>
        <v>47945.734062107069</v>
      </c>
      <c r="E71" s="116">
        <f ca="1">Calc_Mercado!I72</f>
        <v>17276.544135334228</v>
      </c>
      <c r="F71" s="80">
        <f ca="1">Calc_Mercado!H72</f>
        <v>542923.33518405352</v>
      </c>
      <c r="G71" s="80">
        <f ca="1">Calc_Mercado!G72</f>
        <v>86460.386226545175</v>
      </c>
      <c r="H71" s="80">
        <f ca="1">IFERROR((VLOOKUP("Parcela B",TabFinanCovid[],4,FALSE)/VLOOKUP("Parcela B",TabFinanNeutralidade[],3,FALSE))*Calc_Mercado!T72,0)</f>
        <v>-257336.88133721141</v>
      </c>
      <c r="I71" s="80">
        <f ca="1">Calc_Mercado!U72</f>
        <v>-140141.37328497248</v>
      </c>
      <c r="J71" s="143">
        <f t="shared" ca="1" si="7"/>
        <v>951779.0762369727</v>
      </c>
      <c r="L71" s="142">
        <f ca="1">IF(B71&lt;$L$60,0,Calc_Mercado!D72)</f>
        <v>0</v>
      </c>
    </row>
    <row r="72" spans="2:12">
      <c r="B72" s="271">
        <f t="shared" si="6"/>
        <v>44682</v>
      </c>
      <c r="C72" s="142">
        <f ca="1">Calc_Mercado!S73</f>
        <v>230995.98791272487</v>
      </c>
      <c r="D72" s="142">
        <f ca="1">Calc_Mercado!F73</f>
        <v>43211.768807014523</v>
      </c>
      <c r="E72" s="116">
        <f ca="1">Calc_Mercado!I73</f>
        <v>15370.826878917518</v>
      </c>
      <c r="F72" s="80">
        <f ca="1">Calc_Mercado!H73</f>
        <v>487660.34849233739</v>
      </c>
      <c r="G72" s="80">
        <f ca="1">Calc_Mercado!G73</f>
        <v>77933.141156051512</v>
      </c>
      <c r="H72" s="80">
        <f ca="1">IFERROR((VLOOKUP("Parcela B",TabFinanCovid[],4,FALSE)/VLOOKUP("Parcela B",TabFinanNeutralidade[],3,FALSE))*Calc_Mercado!T73,0)</f>
        <v>-228485.41526452132</v>
      </c>
      <c r="I72" s="80">
        <f ca="1">Calc_Mercado!U73</f>
        <v>-125169.91448309888</v>
      </c>
      <c r="J72" s="143">
        <f t="shared" ca="1" si="7"/>
        <v>855172.07324704586</v>
      </c>
      <c r="L72" s="142">
        <f ca="1">IF(B72&lt;$L$60,0,Calc_Mercado!D73)</f>
        <v>0</v>
      </c>
    </row>
    <row r="73" spans="2:12">
      <c r="B73" s="271">
        <f t="shared" si="6"/>
        <v>44713</v>
      </c>
      <c r="C73" s="1358">
        <f ca="1">Calc_Mercado!S74</f>
        <v>237032.43984854539</v>
      </c>
      <c r="D73" s="1358">
        <f ca="1">Calc_Mercado!F74</f>
        <v>44248.675292464766</v>
      </c>
      <c r="E73" s="1234">
        <f ca="1">Calc_Mercado!I74</f>
        <v>15850.551802312646</v>
      </c>
      <c r="F73" s="1353">
        <f ca="1">Calc_Mercado!H74</f>
        <v>500404.02547685558</v>
      </c>
      <c r="G73" s="1353">
        <f ca="1">Calc_Mercado!G74</f>
        <v>79822.214383120125</v>
      </c>
      <c r="H73" s="1353">
        <f ca="1">IFERROR((VLOOKUP("Parcela B",TabFinanCovid[],4,FALSE)/VLOOKUP("Parcela B",TabFinanNeutralidade[],3,FALSE))*Calc_Mercado!T74,0)</f>
        <v>-233140.86866527604</v>
      </c>
      <c r="I73" s="1353">
        <f ca="1">Calc_Mercado!U74</f>
        <v>-127732.82610133884</v>
      </c>
      <c r="J73" s="1357">
        <f t="shared" ca="1" si="7"/>
        <v>877357.90680329851</v>
      </c>
      <c r="L73" s="1358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A1:W84"/>
  <sheetViews>
    <sheetView showGridLines="0" topLeftCell="A3" zoomScale="85" zoomScaleNormal="85" workbookViewId="0">
      <selection activeCell="U11" sqref="U11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2.140625" style="108" bestFit="1" customWidth="1"/>
    <col min="5" max="5" width="16.28515625" style="984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2:20" ht="23.25" customHeight="1">
      <c r="C1" s="1014" t="s">
        <v>854</v>
      </c>
      <c r="D1" s="1359"/>
      <c r="E1" s="1360"/>
      <c r="F1" s="815"/>
      <c r="G1" s="1219" t="s">
        <v>1005</v>
      </c>
      <c r="H1" s="1220">
        <f ca="1">LnkTXTIRTEco</f>
        <v>0.16800000000000001</v>
      </c>
    </row>
    <row r="2" spans="2:20" ht="16.5">
      <c r="C2" s="632" t="str">
        <f>CAPA!B2</f>
        <v>Creluz</v>
      </c>
      <c r="D2" s="634"/>
      <c r="E2" s="978"/>
      <c r="F2" s="635"/>
      <c r="G2" s="636" t="s">
        <v>1009</v>
      </c>
      <c r="H2" s="637">
        <f ca="1">LnkTXTIRTTotal</f>
        <v>-5.8700000000000002E-2</v>
      </c>
      <c r="I2" s="635"/>
      <c r="J2" s="635"/>
      <c r="K2" s="635"/>
      <c r="L2" s="635"/>
      <c r="M2" s="635"/>
      <c r="N2" s="635"/>
      <c r="O2" s="635"/>
      <c r="P2" s="635"/>
      <c r="Q2" s="635"/>
      <c r="R2" s="635"/>
      <c r="S2" s="68" t="s">
        <v>2391</v>
      </c>
      <c r="T2" s="68" t="s">
        <v>2392</v>
      </c>
    </row>
    <row r="3" spans="2:20" ht="16.5">
      <c r="C3" s="638"/>
      <c r="D3" s="634"/>
      <c r="E3" s="978"/>
      <c r="F3" s="636"/>
      <c r="G3" s="637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1744">
        <v>0.16112991726543832</v>
      </c>
      <c r="T3" s="1744">
        <v>0.83887008273456165</v>
      </c>
    </row>
    <row r="4" spans="2:20" ht="16.5">
      <c r="C4" s="1612" t="s">
        <v>1439</v>
      </c>
      <c r="D4" s="1613">
        <f ca="1">LnkTXTRA0</f>
        <v>88715758.403659984</v>
      </c>
      <c r="E4" s="979"/>
      <c r="F4" s="635"/>
      <c r="G4" s="635"/>
      <c r="H4" s="635"/>
      <c r="I4" s="635"/>
      <c r="J4" s="639"/>
      <c r="K4" s="635"/>
      <c r="L4" s="635"/>
      <c r="M4" s="635"/>
      <c r="N4" s="635"/>
      <c r="O4" s="635"/>
      <c r="P4" s="635"/>
      <c r="Q4" s="635"/>
      <c r="R4" s="635"/>
    </row>
    <row r="5" spans="2:20" ht="16.5">
      <c r="C5" s="1361" t="s">
        <v>1440</v>
      </c>
      <c r="D5" s="1362">
        <f ca="1">IF(CAPA!P1="VERDADEIRO",D7,IFERROR(D7/(1+IF(Calc_Mercado!J15&gt;0,Calc_Mercado!J15,0)),0))</f>
        <v>-20114203.81163808</v>
      </c>
      <c r="E5" s="980"/>
      <c r="F5" s="726"/>
      <c r="G5" s="635"/>
      <c r="H5" s="635"/>
      <c r="I5" s="635"/>
      <c r="J5" s="639"/>
      <c r="K5" s="635"/>
      <c r="L5" s="635"/>
      <c r="M5" s="635"/>
      <c r="N5" s="635"/>
      <c r="O5" s="635"/>
      <c r="P5" s="635"/>
      <c r="Q5" s="635"/>
      <c r="R5" s="635"/>
    </row>
    <row r="6" spans="2:20" ht="16.5">
      <c r="C6" s="635"/>
      <c r="D6" s="1363"/>
      <c r="E6" s="981"/>
      <c r="F6" s="635"/>
      <c r="G6" s="635"/>
      <c r="H6" s="639"/>
      <c r="I6" s="640"/>
      <c r="J6" s="635"/>
      <c r="K6" s="635"/>
      <c r="L6" s="635"/>
      <c r="M6" s="635"/>
      <c r="N6" s="635"/>
      <c r="O6" s="635"/>
      <c r="P6" s="635"/>
      <c r="Q6" s="635"/>
      <c r="R6" s="635"/>
    </row>
    <row r="7" spans="2:20" ht="16.5">
      <c r="C7" s="1364" t="s">
        <v>1441</v>
      </c>
      <c r="D7" s="1614">
        <f ca="1">SUM(D10:D82)-LnkTxTAjusteCUST-D31</f>
        <v>-20114203.81163808</v>
      </c>
      <c r="E7" s="1365">
        <f ca="1">SUM(E10:E82)-E26-E31</f>
        <v>-0.22672639194626187</v>
      </c>
      <c r="F7" s="641" t="s">
        <v>1442</v>
      </c>
      <c r="G7" s="635"/>
      <c r="H7" s="635"/>
      <c r="I7" s="635"/>
      <c r="J7" s="635"/>
      <c r="K7" s="635"/>
      <c r="L7" s="635"/>
      <c r="M7" s="635"/>
      <c r="N7" s="635"/>
      <c r="O7" s="635"/>
      <c r="P7" s="635"/>
      <c r="Q7" s="635"/>
      <c r="R7" s="635"/>
    </row>
    <row r="8" spans="2:20" ht="16.5">
      <c r="C8" s="1366" t="s">
        <v>1443</v>
      </c>
      <c r="D8" s="1367" t="s">
        <v>36</v>
      </c>
      <c r="E8" s="1368" t="s">
        <v>1444</v>
      </c>
      <c r="F8" s="1366" t="s">
        <v>1445</v>
      </c>
      <c r="G8" s="1366" t="s">
        <v>1446</v>
      </c>
      <c r="H8" s="1366" t="s">
        <v>1447</v>
      </c>
      <c r="I8" s="1366" t="s">
        <v>1448</v>
      </c>
      <c r="J8" s="1366" t="s">
        <v>1449</v>
      </c>
      <c r="K8" s="1366" t="s">
        <v>1450</v>
      </c>
      <c r="L8" s="1366" t="s">
        <v>856</v>
      </c>
      <c r="M8" s="635"/>
      <c r="N8" s="635"/>
      <c r="O8" s="635"/>
      <c r="P8" s="635"/>
      <c r="Q8" s="635"/>
      <c r="R8" s="635"/>
    </row>
    <row r="9" spans="2:20" ht="16.5">
      <c r="C9" s="642" t="s">
        <v>1451</v>
      </c>
      <c r="D9" s="643">
        <f>ABS(Indexador!D49)</f>
        <v>1010289.0827403127</v>
      </c>
      <c r="E9" s="982">
        <f t="shared" ref="E9:E30" ca="1" si="0">IF(ISERROR(D9/$D$4),0,D9/$D$4)</f>
        <v>1.1387932661787774E-2</v>
      </c>
      <c r="F9" s="642"/>
      <c r="G9" s="642"/>
      <c r="H9" s="642"/>
      <c r="I9" s="642"/>
      <c r="J9" s="642"/>
      <c r="K9" s="642"/>
      <c r="L9" s="635"/>
      <c r="M9" s="635"/>
      <c r="N9" s="635"/>
      <c r="O9" s="635"/>
      <c r="P9" s="635"/>
      <c r="Q9" s="635"/>
      <c r="R9" s="635"/>
      <c r="S9" s="397"/>
    </row>
    <row r="10" spans="2:20" ht="16.5">
      <c r="B10" s="1676"/>
      <c r="C10" s="635" t="s">
        <v>1452</v>
      </c>
      <c r="D10" s="854">
        <f>LnkTXTPISCOFINS*T3</f>
        <v>847501.2864241905</v>
      </c>
      <c r="E10" s="983">
        <f ca="1">IF(ISERROR(D10/$D$4),0,D10/$D$4)</f>
        <v>9.552996014169526E-3</v>
      </c>
      <c r="F10" s="635">
        <v>22</v>
      </c>
      <c r="G10" s="635">
        <v>60</v>
      </c>
      <c r="H10" s="635">
        <v>999</v>
      </c>
      <c r="I10" s="635">
        <v>1</v>
      </c>
      <c r="J10" s="635">
        <v>7</v>
      </c>
      <c r="K10" s="635">
        <v>9</v>
      </c>
      <c r="L10" s="635"/>
      <c r="M10" s="635"/>
      <c r="N10" s="635"/>
      <c r="O10" s="635"/>
      <c r="P10" s="635"/>
      <c r="Q10" s="787"/>
      <c r="R10" s="635"/>
    </row>
    <row r="11" spans="2:20" ht="16.5">
      <c r="B11" s="1676"/>
      <c r="C11" s="635" t="s">
        <v>1453</v>
      </c>
      <c r="D11" s="854">
        <f>LnkTXTPISCOFINS*S3</f>
        <v>162787.79631612214</v>
      </c>
      <c r="E11" s="983">
        <f t="shared" ref="E11:E25" ca="1" si="1">IF(ISERROR(D11/$D$4),0,D11/$D$4)</f>
        <v>1.8349366476182467E-3</v>
      </c>
      <c r="F11" s="635">
        <v>22</v>
      </c>
      <c r="G11" s="635">
        <v>60</v>
      </c>
      <c r="H11" s="635">
        <v>999</v>
      </c>
      <c r="I11" s="635">
        <v>2</v>
      </c>
      <c r="J11" s="635">
        <v>30</v>
      </c>
      <c r="K11" s="635">
        <v>9</v>
      </c>
      <c r="L11" s="635"/>
      <c r="M11" s="644" t="s">
        <v>20</v>
      </c>
      <c r="N11" s="644" t="s">
        <v>1454</v>
      </c>
      <c r="O11" s="644" t="s">
        <v>36</v>
      </c>
      <c r="P11" s="645" t="s">
        <v>1444</v>
      </c>
      <c r="Q11" s="787"/>
      <c r="R11" s="635"/>
    </row>
    <row r="12" spans="2:20" ht="16.5">
      <c r="C12" s="635" t="str">
        <f>"(Neutralidade) "&amp;Encargos!E5</f>
        <v>(Neutralidade) TFSEE</v>
      </c>
      <c r="D12" s="854">
        <f ca="1">Encargos!M31</f>
        <v>-8947.221443523038</v>
      </c>
      <c r="E12" s="983">
        <f t="shared" ca="1" si="1"/>
        <v>-1.0085267380359699E-4</v>
      </c>
      <c r="F12" s="635">
        <v>20</v>
      </c>
      <c r="G12" s="635">
        <v>60</v>
      </c>
      <c r="H12" s="635">
        <v>20</v>
      </c>
      <c r="I12" s="635">
        <v>3</v>
      </c>
      <c r="J12" s="635">
        <v>14</v>
      </c>
      <c r="K12" s="635">
        <v>9</v>
      </c>
      <c r="L12" s="635"/>
      <c r="M12" s="635" t="str">
        <f t="shared" ref="M12:M27" ca="1" si="2">IF(O12=0,,"CVA")</f>
        <v>CVA</v>
      </c>
      <c r="N12" s="635" t="str">
        <f ca="1">IF(Tabela1[[#This Row],[Percentual]]=0,,Tabela1[[#This Row],[Nome do Financeiro]])</f>
        <v>(Neutralidade) TFSEE</v>
      </c>
      <c r="O12" s="635">
        <f ca="1">IF(ISNUMBER(Tabela1[[#This Row],[Valor]]),Tabela1[[#This Row],[Valor]],)</f>
        <v>-8947.221443523038</v>
      </c>
      <c r="P12" s="635">
        <f ca="1">IF(Tabela1[[#This Row],[Percentual]]=0,,Tabela1[[#This Row],[Percentual]])</f>
        <v>-1.0085267380359699E-4</v>
      </c>
      <c r="Q12" s="639"/>
      <c r="R12" s="635"/>
    </row>
    <row r="13" spans="2:20" ht="16.5">
      <c r="C13" s="635" t="str">
        <f>"(Neutralidade) "&amp;Encargos!E6&amp;""</f>
        <v>(Neutralidade) CDE</v>
      </c>
      <c r="D13" s="854">
        <f ca="1">IFERROR(Encargos!M32,0)</f>
        <v>-263286.35424400494</v>
      </c>
      <c r="E13" s="983">
        <f t="shared" ca="1" si="1"/>
        <v>-2.9677518287793054E-3</v>
      </c>
      <c r="F13" s="635">
        <v>20</v>
      </c>
      <c r="G13" s="635">
        <v>60</v>
      </c>
      <c r="H13" s="635">
        <v>20</v>
      </c>
      <c r="I13" s="635">
        <v>3</v>
      </c>
      <c r="J13" s="635">
        <v>15</v>
      </c>
      <c r="K13" s="635">
        <v>9</v>
      </c>
      <c r="L13" s="635"/>
      <c r="M13" s="635" t="str">
        <f t="shared" ca="1" si="2"/>
        <v>CVA</v>
      </c>
      <c r="N13" s="635" t="str">
        <f ca="1">IF(Tabela1[[#This Row],[Percentual]]=0,,Tabela1[[#This Row],[Nome do Financeiro]])</f>
        <v>(Neutralidade) CDE</v>
      </c>
      <c r="O13" s="635">
        <f ca="1">IF(ISNUMBER(Tabela1[[#This Row],[Valor]]),Tabela1[[#This Row],[Valor]],)</f>
        <v>-263286.35424400494</v>
      </c>
      <c r="P13" s="635">
        <f ca="1">IF(Tabela1[[#This Row],[Percentual]]=0,,Tabela1[[#This Row],[Percentual]])</f>
        <v>-2.9677518287793054E-3</v>
      </c>
      <c r="Q13" s="639"/>
      <c r="R13" s="635"/>
    </row>
    <row r="14" spans="2:20" ht="16.5">
      <c r="C14" s="635" t="str">
        <f>"(Neutralidade) "&amp;Encargos!E7</f>
        <v>(Neutralidade) CFURH</v>
      </c>
      <c r="D14" s="854">
        <f>Encargos!M33</f>
        <v>0</v>
      </c>
      <c r="E14" s="983">
        <f t="shared" ca="1" si="1"/>
        <v>0</v>
      </c>
      <c r="F14" s="635">
        <v>20</v>
      </c>
      <c r="G14" s="635">
        <v>60</v>
      </c>
      <c r="H14" s="635">
        <v>20</v>
      </c>
      <c r="I14" s="635">
        <v>3</v>
      </c>
      <c r="J14" s="635">
        <v>16</v>
      </c>
      <c r="K14" s="635">
        <v>9</v>
      </c>
      <c r="L14" s="635"/>
      <c r="M14" s="635">
        <f t="shared" si="2"/>
        <v>0</v>
      </c>
      <c r="N14" s="635">
        <f ca="1">IF(Tabela1[[#This Row],[Percentual]]=0,,Tabela1[[#This Row],[Nome do Financeiro]])</f>
        <v>0</v>
      </c>
      <c r="O14" s="635">
        <f>IF(ISNUMBER(Tabela1[[#This Row],[Valor]]),Tabela1[[#This Row],[Valor]],)</f>
        <v>0</v>
      </c>
      <c r="P14" s="635">
        <f ca="1">IF(Tabela1[[#This Row],[Percentual]]=0,,Tabela1[[#This Row],[Percentual]])</f>
        <v>0</v>
      </c>
      <c r="Q14" s="639"/>
      <c r="R14" s="635"/>
    </row>
    <row r="15" spans="2:20" ht="16.5">
      <c r="C15" s="635" t="str">
        <f>"(Neutralidade) "&amp;Encargos!E8</f>
        <v>(Neutralidade) ESS/EER</v>
      </c>
      <c r="D15" s="854">
        <f ca="1">Encargos!M34</f>
        <v>-26602.52717679783</v>
      </c>
      <c r="E15" s="983">
        <f t="shared" ca="1" si="1"/>
        <v>-2.9986247827308593E-4</v>
      </c>
      <c r="F15" s="635">
        <v>20</v>
      </c>
      <c r="G15" s="635">
        <v>60</v>
      </c>
      <c r="H15" s="635">
        <v>20</v>
      </c>
      <c r="I15" s="635">
        <v>3</v>
      </c>
      <c r="J15" s="635">
        <v>17</v>
      </c>
      <c r="K15" s="635">
        <v>9</v>
      </c>
      <c r="L15" s="635"/>
      <c r="M15" s="635" t="str">
        <f t="shared" ca="1" si="2"/>
        <v>CVA</v>
      </c>
      <c r="N15" s="635" t="str">
        <f ca="1">IF(Tabela1[[#This Row],[Percentual]]=0,,Tabela1[[#This Row],[Nome do Financeiro]])</f>
        <v>(Neutralidade) ESS/EER</v>
      </c>
      <c r="O15" s="635">
        <f ca="1">IF(ISNUMBER(Tabela1[[#This Row],[Valor]]),Tabela1[[#This Row],[Valor]],)</f>
        <v>-26602.52717679783</v>
      </c>
      <c r="P15" s="635">
        <f ca="1">IF(Tabela1[[#This Row],[Percentual]]=0,,Tabela1[[#This Row],[Percentual]])</f>
        <v>-2.9986247827308593E-4</v>
      </c>
      <c r="Q15" s="639"/>
      <c r="R15" s="635"/>
    </row>
    <row r="16" spans="2:20" ht="16.5">
      <c r="C16" s="635" t="str">
        <f>"(Neutralidade) "&amp;Encargos!E9</f>
        <v>(Neutralidade) PROINFA</v>
      </c>
      <c r="D16" s="854">
        <f ca="1">Encargos!M35</f>
        <v>-42827.163872346617</v>
      </c>
      <c r="E16" s="983">
        <f t="shared" ca="1" si="1"/>
        <v>-4.8274584631832187E-4</v>
      </c>
      <c r="F16" s="635">
        <v>20</v>
      </c>
      <c r="G16" s="635">
        <v>60</v>
      </c>
      <c r="H16" s="635">
        <v>20</v>
      </c>
      <c r="I16" s="635">
        <v>3</v>
      </c>
      <c r="J16" s="635">
        <v>18</v>
      </c>
      <c r="K16" s="635">
        <v>9</v>
      </c>
      <c r="L16" s="635"/>
      <c r="M16" s="635" t="str">
        <f t="shared" ca="1" si="2"/>
        <v>CVA</v>
      </c>
      <c r="N16" s="635" t="str">
        <f ca="1">IF(Tabela1[[#This Row],[Percentual]]=0,,Tabela1[[#This Row],[Nome do Financeiro]])</f>
        <v>(Neutralidade) PROINFA</v>
      </c>
      <c r="O16" s="635">
        <f ca="1">IF(ISNUMBER(Tabela1[[#This Row],[Valor]]),Tabela1[[#This Row],[Valor]],)</f>
        <v>-42827.163872346617</v>
      </c>
      <c r="P16" s="635">
        <f ca="1">IF(Tabela1[[#This Row],[Percentual]]=0,,Tabela1[[#This Row],[Percentual]])</f>
        <v>-4.8274584631832187E-4</v>
      </c>
      <c r="Q16" s="639"/>
      <c r="R16" s="635"/>
    </row>
    <row r="17" spans="2:23" ht="16.5">
      <c r="C17" s="635" t="str">
        <f>"(Neutralidade) "&amp;Encargos!B11</f>
        <v>(Neutralidade) P&amp;D e PEE</v>
      </c>
      <c r="D17" s="854"/>
      <c r="E17" s="983">
        <f t="shared" ca="1" si="1"/>
        <v>0</v>
      </c>
      <c r="F17" s="635">
        <v>20</v>
      </c>
      <c r="G17" s="635">
        <v>60</v>
      </c>
      <c r="H17" s="635">
        <v>20</v>
      </c>
      <c r="I17" s="635">
        <v>3</v>
      </c>
      <c r="J17" s="635">
        <v>19</v>
      </c>
      <c r="K17" s="635">
        <v>9</v>
      </c>
      <c r="L17" s="635"/>
      <c r="M17" s="635">
        <f t="shared" si="2"/>
        <v>0</v>
      </c>
      <c r="N17" s="635">
        <f ca="1">IF(Tabela1[[#This Row],[Percentual]]=0,,Tabela1[[#This Row],[Nome do Financeiro]])</f>
        <v>0</v>
      </c>
      <c r="O17" s="635">
        <f>IF(ISNUMBER(Tabela1[[#This Row],[Valor]]),Tabela1[[#This Row],[Valor]],)</f>
        <v>0</v>
      </c>
      <c r="P17" s="635">
        <f ca="1">IF(Tabela1[[#This Row],[Percentual]]=0,,Tabela1[[#This Row],[Percentual]])</f>
        <v>0</v>
      </c>
      <c r="Q17" s="639"/>
      <c r="R17" s="635"/>
    </row>
    <row r="18" spans="2:23" ht="16.5">
      <c r="C18" s="635" t="str">
        <f>"(Neutralidade) "&amp; "conta covid-19"</f>
        <v>(Neutralidade) conta covid-19</v>
      </c>
      <c r="D18" s="854">
        <f ca="1">Encargos!M36</f>
        <v>-124714.0385527766</v>
      </c>
      <c r="E18" s="983">
        <f t="shared" ca="1" si="1"/>
        <v>-1.4057709791007265E-3</v>
      </c>
      <c r="F18" s="635">
        <v>20</v>
      </c>
      <c r="G18" s="635">
        <v>60</v>
      </c>
      <c r="H18" s="635">
        <v>73</v>
      </c>
      <c r="I18" s="635">
        <v>3</v>
      </c>
      <c r="J18" s="635">
        <v>12</v>
      </c>
      <c r="K18" s="635">
        <v>9</v>
      </c>
      <c r="L18" s="635"/>
      <c r="M18" s="635" t="str">
        <f t="shared" ca="1" si="2"/>
        <v>CVA</v>
      </c>
      <c r="N18" s="635" t="str">
        <f ca="1">IF(Tabela1[[#This Row],[Percentual]]=0,,Tabela1[[#This Row],[Nome do Financeiro]])</f>
        <v>(Neutralidade) conta covid-19</v>
      </c>
      <c r="O18" s="635">
        <f ca="1">IF(ISNUMBER(Tabela1[[#This Row],[Valor]]),Tabela1[[#This Row],[Valor]],)</f>
        <v>-124714.0385527766</v>
      </c>
      <c r="P18" s="635">
        <f ca="1">IF(Tabela1[[#This Row],[Percentual]]=0,,Tabela1[[#This Row],[Percentual]])</f>
        <v>-1.4057709791007265E-3</v>
      </c>
      <c r="Q18" s="639"/>
      <c r="R18" s="635"/>
      <c r="S18" s="397"/>
    </row>
    <row r="19" spans="2:23" ht="16.5">
      <c r="C19" s="635" t="str">
        <f>"(Neutralidade)" &amp; Encargos!L41</f>
        <v>(Neutralidade)Financeiro Covid</v>
      </c>
      <c r="D19" s="854">
        <f ca="1">Encargos!M41</f>
        <v>111736.66355229073</v>
      </c>
      <c r="E19" s="983">
        <f t="shared" ca="1" si="1"/>
        <v>1.2594905974188349E-3</v>
      </c>
      <c r="F19" s="635">
        <v>20</v>
      </c>
      <c r="G19" s="635">
        <v>60</v>
      </c>
      <c r="H19" s="635">
        <v>235</v>
      </c>
      <c r="I19" s="635">
        <v>4</v>
      </c>
      <c r="J19" s="635">
        <v>999</v>
      </c>
      <c r="K19" s="635">
        <v>9</v>
      </c>
      <c r="L19" s="635"/>
      <c r="M19" s="635"/>
      <c r="N19" s="635"/>
      <c r="O19" s="635"/>
      <c r="P19" s="635"/>
      <c r="Q19" s="639"/>
      <c r="R19" s="635"/>
      <c r="S19" s="397"/>
    </row>
    <row r="20" spans="2:23" ht="16.5">
      <c r="C20" s="635" t="str">
        <f>"(Neutralidade)" &amp; Encargos!L42</f>
        <v>(Neutralidade)Crédito Pis Cofins</v>
      </c>
      <c r="D20" s="854">
        <f ca="1">Encargos!M42</f>
        <v>62764.5567162558</v>
      </c>
      <c r="E20" s="983">
        <f t="shared" ca="1" si="1"/>
        <v>7.0747923306561553E-4</v>
      </c>
      <c r="F20" s="635">
        <v>20</v>
      </c>
      <c r="G20" s="635">
        <v>60</v>
      </c>
      <c r="H20" s="635">
        <v>179</v>
      </c>
      <c r="I20" s="635">
        <v>99</v>
      </c>
      <c r="J20" s="635">
        <v>999</v>
      </c>
      <c r="K20" s="635">
        <v>3</v>
      </c>
      <c r="L20" s="635"/>
      <c r="M20" s="635"/>
      <c r="N20" s="635"/>
      <c r="O20" s="635"/>
      <c r="P20" s="635"/>
      <c r="Q20" s="639"/>
      <c r="R20" s="635"/>
      <c r="S20" s="397"/>
    </row>
    <row r="21" spans="2:23" ht="16.5">
      <c r="C21" s="635" t="s">
        <v>1455</v>
      </c>
      <c r="D21" s="854">
        <f>IFERROR(LnkTxTAjusteCUST*Resultado!D25/(Resultado!D25+Resultado!D26),0)</f>
        <v>0</v>
      </c>
      <c r="E21" s="983">
        <f t="shared" ca="1" si="1"/>
        <v>0</v>
      </c>
      <c r="F21" s="635">
        <v>22</v>
      </c>
      <c r="G21" s="635">
        <v>60</v>
      </c>
      <c r="H21" s="635">
        <v>999</v>
      </c>
      <c r="I21" s="635">
        <v>1</v>
      </c>
      <c r="J21" s="635">
        <v>1</v>
      </c>
      <c r="K21" s="635">
        <v>9</v>
      </c>
      <c r="L21" s="635"/>
      <c r="M21" s="635">
        <f t="shared" si="2"/>
        <v>0</v>
      </c>
      <c r="N21" s="635">
        <f ca="1">IF(Tabela1[[#This Row],[Percentual]]=0,,Tabela1[[#This Row],[Nome do Financeiro]])</f>
        <v>0</v>
      </c>
      <c r="O21" s="635">
        <f>IF(ISNUMBER(Tabela1[[#This Row],[Valor]]),Tabela1[[#This Row],[Valor]],)</f>
        <v>0</v>
      </c>
      <c r="P21" s="635">
        <f ca="1">IF(Tabela1[[#This Row],[Percentual]]=0,,Tabela1[[#This Row],[Percentual]])</f>
        <v>0</v>
      </c>
      <c r="Q21" s="639"/>
      <c r="R21" s="635"/>
    </row>
    <row r="22" spans="2:23" ht="16.5">
      <c r="C22" s="635" t="s">
        <v>1456</v>
      </c>
      <c r="D22" s="854">
        <f>IFERROR(LnkTxTAjusteCUST*Resultado!D26/(Resultado!D25+Resultado!D26),0)</f>
        <v>0</v>
      </c>
      <c r="E22" s="983">
        <f t="shared" ca="1" si="1"/>
        <v>0</v>
      </c>
      <c r="F22" s="635">
        <v>22</v>
      </c>
      <c r="G22" s="635">
        <v>60</v>
      </c>
      <c r="H22" s="635">
        <v>999</v>
      </c>
      <c r="I22" s="635">
        <v>1</v>
      </c>
      <c r="J22" s="635">
        <v>2</v>
      </c>
      <c r="K22" s="635">
        <v>9</v>
      </c>
      <c r="L22" s="635"/>
      <c r="M22" s="635">
        <f t="shared" si="2"/>
        <v>0</v>
      </c>
      <c r="N22" s="635">
        <f ca="1">IF(Tabela1[[#This Row],[Percentual]]=0,,Tabela1[[#This Row],[Nome do Financeiro]])</f>
        <v>0</v>
      </c>
      <c r="O22" s="635">
        <f>IF(ISNUMBER(Tabela1[[#This Row],[Valor]]),Tabela1[[#This Row],[Valor]],)</f>
        <v>0</v>
      </c>
      <c r="P22" s="635">
        <f ca="1">IF(Tabela1[[#This Row],[Percentual]]=0,,Tabela1[[#This Row],[Percentual]])</f>
        <v>0</v>
      </c>
      <c r="Q22" s="639"/>
      <c r="R22" s="635"/>
      <c r="S22" s="142"/>
    </row>
    <row r="23" spans="2:23" ht="16.5">
      <c r="C23" s="635" t="s">
        <v>1457</v>
      </c>
      <c r="D23" s="854">
        <v>0</v>
      </c>
      <c r="E23" s="983">
        <f t="shared" ca="1" si="1"/>
        <v>0</v>
      </c>
      <c r="F23" s="635">
        <v>22</v>
      </c>
      <c r="G23" s="635">
        <v>60</v>
      </c>
      <c r="H23" s="635">
        <v>167</v>
      </c>
      <c r="I23" s="635">
        <v>4</v>
      </c>
      <c r="J23" s="635">
        <v>999</v>
      </c>
      <c r="K23" s="635">
        <v>9</v>
      </c>
      <c r="L23" s="635"/>
      <c r="M23" s="635">
        <f t="shared" si="2"/>
        <v>0</v>
      </c>
      <c r="N23" s="635">
        <f ca="1">IF(Tabela1[[#This Row],[Percentual]]=0,,Tabela1[[#This Row],[Nome do Financeiro]])</f>
        <v>0</v>
      </c>
      <c r="O23" s="635">
        <f>IF(ISNUMBER(Tabela1[[#This Row],[Valor]]),Tabela1[[#This Row],[Valor]],)</f>
        <v>0</v>
      </c>
      <c r="P23" s="635">
        <f ca="1">IF(Tabela1[[#This Row],[Percentual]]=0,,Tabela1[[#This Row],[Percentual]])</f>
        <v>0</v>
      </c>
      <c r="Q23" s="639"/>
      <c r="R23" s="635"/>
    </row>
    <row r="24" spans="2:23" ht="16.5">
      <c r="C24" s="635" t="s">
        <v>1458</v>
      </c>
      <c r="D24" s="854"/>
      <c r="E24" s="983">
        <f t="shared" ca="1" si="1"/>
        <v>0</v>
      </c>
      <c r="F24" s="635">
        <v>22</v>
      </c>
      <c r="G24" s="635">
        <v>60</v>
      </c>
      <c r="H24" s="635">
        <v>999</v>
      </c>
      <c r="I24" s="635">
        <v>3</v>
      </c>
      <c r="J24" s="635">
        <v>28</v>
      </c>
      <c r="K24" s="635">
        <v>9</v>
      </c>
      <c r="L24" s="635"/>
      <c r="M24" s="635">
        <f t="shared" si="2"/>
        <v>0</v>
      </c>
      <c r="N24" s="635">
        <f ca="1">IF(Tabela1[[#This Row],[Percentual]]=0,,Tabela1[[#This Row],[Nome do Financeiro]])</f>
        <v>0</v>
      </c>
      <c r="O24" s="635">
        <f>IF(ISNUMBER(Tabela1[[#This Row],[Valor]]),Tabela1[[#This Row],[Valor]],)</f>
        <v>0</v>
      </c>
      <c r="P24" s="635">
        <f ca="1">IF(Tabela1[[#This Row],[Percentual]]=0,,Tabela1[[#This Row],[Percentual]])</f>
        <v>0</v>
      </c>
      <c r="Q24" s="639"/>
      <c r="R24" s="635"/>
      <c r="S24" s="291"/>
    </row>
    <row r="25" spans="2:23" ht="16.5">
      <c r="C25" s="1514" t="s">
        <v>1459</v>
      </c>
      <c r="D25" s="1513"/>
      <c r="E25" s="983">
        <f t="shared" ca="1" si="1"/>
        <v>0</v>
      </c>
      <c r="F25" s="635">
        <v>22</v>
      </c>
      <c r="G25" s="635">
        <v>60</v>
      </c>
      <c r="H25" s="635">
        <v>999</v>
      </c>
      <c r="I25" s="635">
        <v>2</v>
      </c>
      <c r="J25" s="635">
        <v>30</v>
      </c>
      <c r="K25" s="635">
        <v>9</v>
      </c>
      <c r="L25" s="646"/>
      <c r="M25" s="635">
        <f t="shared" si="2"/>
        <v>0</v>
      </c>
      <c r="N25" s="635" t="e">
        <v>#REF!</v>
      </c>
      <c r="O25" s="635">
        <v>0</v>
      </c>
      <c r="P25" s="635" t="e">
        <v>#REF!</v>
      </c>
      <c r="Q25" s="639"/>
      <c r="R25" s="635"/>
    </row>
    <row r="26" spans="2:23" ht="16.5">
      <c r="C26" s="647" t="s">
        <v>1460</v>
      </c>
      <c r="D26" s="855">
        <f>Indexador!J49+Indexador!P49</f>
        <v>0</v>
      </c>
      <c r="E26" s="982">
        <f t="shared" ca="1" si="0"/>
        <v>0</v>
      </c>
      <c r="F26" s="642"/>
      <c r="G26" s="642"/>
      <c r="H26" s="642"/>
      <c r="I26" s="642"/>
      <c r="J26" s="642"/>
      <c r="K26" s="642"/>
      <c r="L26" s="635"/>
      <c r="M26" s="635">
        <f t="shared" si="2"/>
        <v>0</v>
      </c>
      <c r="N26" s="635">
        <f ca="1">IF(Tabela1[[#This Row],[Percentual]]=0,,Tabela1[[#This Row],[Nome do Financeiro]])</f>
        <v>0</v>
      </c>
      <c r="O26" s="635">
        <f>IF(ISNUMBER(Tabela1[[#This Row],[Valor]]),Tabela1[[#This Row],[Valor]],)</f>
        <v>0</v>
      </c>
      <c r="P26" s="635">
        <f ca="1">IF(Tabela1[[#This Row],[Percentual]]=0,,Tabela1[[#This Row],[Percentual]])</f>
        <v>0</v>
      </c>
      <c r="Q26" s="639"/>
      <c r="R26" s="635"/>
      <c r="S26" s="141"/>
      <c r="V26" s="117"/>
    </row>
    <row r="27" spans="2:23" ht="16.5">
      <c r="B27" s="1677"/>
      <c r="C27" s="635" t="s">
        <v>1461</v>
      </c>
      <c r="D27" s="854">
        <f>(Indexador!H49)</f>
        <v>-240275.83418137633</v>
      </c>
      <c r="E27" s="983">
        <f t="shared" ca="1" si="0"/>
        <v>-2.7083782915782828E-3</v>
      </c>
      <c r="F27" s="635">
        <v>22</v>
      </c>
      <c r="G27" s="635">
        <v>60</v>
      </c>
      <c r="H27" s="635">
        <v>178</v>
      </c>
      <c r="I27" s="635">
        <v>1</v>
      </c>
      <c r="J27" s="635">
        <v>7</v>
      </c>
      <c r="K27" s="635">
        <v>9</v>
      </c>
      <c r="L27" s="635"/>
      <c r="M27" s="635" t="str">
        <f t="shared" si="2"/>
        <v>CVA</v>
      </c>
      <c r="N27" s="635" t="str">
        <f ca="1">IF(Tabela1[[#This Row],[Percentual]]=0,,Tabela1[[#This Row],[Nome do Financeiro]])</f>
        <v>Compensação DIC FIC</v>
      </c>
      <c r="O27" s="635">
        <f>IF(ISNUMBER(Tabela1[[#This Row],[Valor]]),Tabela1[[#This Row],[Valor]],)</f>
        <v>-240275.83418137633</v>
      </c>
      <c r="P27" s="635">
        <f ca="1">IF(Tabela1[[#This Row],[Percentual]]=0,,Tabela1[[#This Row],[Percentual]])</f>
        <v>-2.7083782915782828E-3</v>
      </c>
      <c r="Q27" s="635"/>
      <c r="R27" s="635"/>
    </row>
    <row r="28" spans="2:23" ht="16.5">
      <c r="B28" s="1677"/>
      <c r="C28" s="635" t="s">
        <v>1462</v>
      </c>
      <c r="D28" s="854">
        <f ca="1">-LnkTXTISubvencaoPB</f>
        <v>-20761269.154540893</v>
      </c>
      <c r="E28" s="983">
        <f t="shared" ca="1" si="0"/>
        <v>-0.23402008310717864</v>
      </c>
      <c r="F28" s="635">
        <v>22</v>
      </c>
      <c r="G28" s="635">
        <v>60</v>
      </c>
      <c r="H28" s="635">
        <v>999</v>
      </c>
      <c r="I28" s="635">
        <v>4</v>
      </c>
      <c r="J28" s="635">
        <v>999</v>
      </c>
      <c r="K28" s="635">
        <v>9</v>
      </c>
      <c r="L28" s="635"/>
      <c r="M28" s="635"/>
      <c r="N28" s="635"/>
      <c r="O28" s="635"/>
      <c r="P28" s="635"/>
      <c r="Q28" s="635"/>
      <c r="R28" s="635"/>
    </row>
    <row r="29" spans="2:23" ht="16.5">
      <c r="B29" s="1677"/>
      <c r="C29" s="478" t="s">
        <v>1463</v>
      </c>
      <c r="D29" s="854">
        <f>IFERROR(-ABS(Indexador!L49),0)</f>
        <v>0</v>
      </c>
      <c r="E29" s="983">
        <f t="shared" ca="1" si="0"/>
        <v>0</v>
      </c>
      <c r="F29" s="635">
        <v>22</v>
      </c>
      <c r="G29" s="635">
        <v>60</v>
      </c>
      <c r="H29" s="635">
        <v>999</v>
      </c>
      <c r="I29" s="635">
        <v>2</v>
      </c>
      <c r="J29" s="635">
        <v>30</v>
      </c>
      <c r="K29" s="635">
        <v>9</v>
      </c>
      <c r="L29" s="635"/>
      <c r="M29" s="635"/>
      <c r="N29" s="635"/>
      <c r="O29" s="635"/>
      <c r="P29" s="635"/>
      <c r="Q29" s="635"/>
      <c r="R29" s="635"/>
    </row>
    <row r="30" spans="2:23" ht="16.5">
      <c r="C30" s="478" t="s">
        <v>1464</v>
      </c>
      <c r="D30" s="856"/>
      <c r="E30" s="983">
        <f t="shared" ca="1" si="0"/>
        <v>0</v>
      </c>
      <c r="F30" s="635">
        <v>22</v>
      </c>
      <c r="G30" s="635">
        <v>60</v>
      </c>
      <c r="H30" s="635">
        <v>120</v>
      </c>
      <c r="I30" s="635">
        <v>4</v>
      </c>
      <c r="J30" s="635">
        <v>999</v>
      </c>
      <c r="K30" s="635">
        <v>9</v>
      </c>
      <c r="L30" s="635"/>
      <c r="M30" s="635"/>
      <c r="N30" s="635"/>
      <c r="O30" s="635"/>
      <c r="P30" s="635"/>
      <c r="Q30" s="635"/>
      <c r="R30" s="635"/>
    </row>
    <row r="31" spans="2:23" ht="16.5">
      <c r="C31" s="642" t="s">
        <v>1465</v>
      </c>
      <c r="D31" s="855">
        <f>ICMS!E12</f>
        <v>0</v>
      </c>
      <c r="E31" s="982">
        <f ca="1">IFERROR(Tabela1[[#This Row],[Valor]]/D4,0)</f>
        <v>0</v>
      </c>
      <c r="F31" s="642"/>
      <c r="G31" s="642"/>
      <c r="H31" s="642"/>
      <c r="I31" s="642"/>
      <c r="J31" s="642"/>
      <c r="K31" s="642"/>
      <c r="L31" s="635"/>
      <c r="M31" s="635"/>
      <c r="N31" s="635"/>
      <c r="O31" s="635"/>
      <c r="P31" s="635"/>
      <c r="Q31" s="635"/>
      <c r="R31" s="635"/>
      <c r="T31" s="93"/>
      <c r="U31" s="93"/>
      <c r="V31" s="93"/>
      <c r="W31" s="93"/>
    </row>
    <row r="32" spans="2:23" ht="16.5">
      <c r="C32" s="635" t="s">
        <v>1466</v>
      </c>
      <c r="D32" s="854">
        <f ca="1">ICMS!E13</f>
        <v>0</v>
      </c>
      <c r="E32" s="983">
        <f ca="1">IF(ISERROR(D32/$D$4),0,D32/$D$4)</f>
        <v>0</v>
      </c>
      <c r="F32" s="635">
        <v>22</v>
      </c>
      <c r="G32" s="635">
        <v>60</v>
      </c>
      <c r="H32" s="635">
        <v>999</v>
      </c>
      <c r="I32" s="635">
        <v>1</v>
      </c>
      <c r="J32" s="635">
        <v>7</v>
      </c>
      <c r="K32" s="635">
        <v>9</v>
      </c>
      <c r="L32" s="635"/>
      <c r="M32" s="635"/>
      <c r="N32" s="635"/>
      <c r="O32" s="635"/>
      <c r="P32" s="635"/>
      <c r="Q32" s="635"/>
      <c r="R32" s="726"/>
      <c r="T32" s="93"/>
      <c r="V32" s="93"/>
      <c r="W32" s="93"/>
    </row>
    <row r="33" spans="1:23" ht="16.5">
      <c r="C33" s="635" t="s">
        <v>1467</v>
      </c>
      <c r="D33" s="854">
        <f ca="1">ICMS!E14</f>
        <v>0</v>
      </c>
      <c r="E33" s="983">
        <f t="shared" ref="E33:E82" ca="1" si="3">IF(ISERROR(D33/$D$4),0,D33/$D$4)</f>
        <v>0</v>
      </c>
      <c r="F33" s="635">
        <v>22</v>
      </c>
      <c r="G33" s="635">
        <v>60</v>
      </c>
      <c r="H33" s="635">
        <v>999</v>
      </c>
      <c r="I33" s="635">
        <v>2</v>
      </c>
      <c r="J33" s="635">
        <v>30</v>
      </c>
      <c r="K33" s="635">
        <v>9</v>
      </c>
      <c r="L33" s="635"/>
      <c r="M33" s="635"/>
      <c r="N33" s="635"/>
      <c r="O33" s="635"/>
      <c r="P33" s="635"/>
      <c r="Q33" s="635"/>
      <c r="R33" s="635"/>
      <c r="T33" s="93"/>
      <c r="V33" s="93"/>
      <c r="W33" s="93"/>
    </row>
    <row r="34" spans="1:23" ht="16.5">
      <c r="C34" s="635" t="s">
        <v>1468</v>
      </c>
      <c r="D34" s="872"/>
      <c r="E34" s="983">
        <f t="shared" ca="1" si="3"/>
        <v>0</v>
      </c>
      <c r="F34" s="635">
        <v>22</v>
      </c>
      <c r="G34" s="635">
        <v>60</v>
      </c>
      <c r="H34" s="635">
        <v>231</v>
      </c>
      <c r="I34" s="635">
        <v>3</v>
      </c>
      <c r="J34" s="635">
        <v>19</v>
      </c>
      <c r="K34" s="635">
        <v>9</v>
      </c>
      <c r="L34" s="635"/>
      <c r="M34" s="635"/>
      <c r="N34" s="635"/>
      <c r="O34" s="635"/>
      <c r="P34" s="635"/>
      <c r="Q34" s="788"/>
      <c r="R34" s="635"/>
    </row>
    <row r="35" spans="1:23" ht="16.5">
      <c r="C35" s="635" t="s">
        <v>1469</v>
      </c>
      <c r="D35" s="877">
        <f>-'Conta covid'!J17</f>
        <v>0</v>
      </c>
      <c r="E35" s="983">
        <f t="shared" ca="1" si="3"/>
        <v>0</v>
      </c>
      <c r="F35" s="635">
        <v>22</v>
      </c>
      <c r="G35" s="635">
        <v>60</v>
      </c>
      <c r="H35" s="635">
        <v>235</v>
      </c>
      <c r="I35" s="635">
        <v>4</v>
      </c>
      <c r="J35" s="635">
        <v>999</v>
      </c>
      <c r="K35" s="635">
        <v>9</v>
      </c>
      <c r="L35" s="635"/>
      <c r="M35" s="635"/>
      <c r="N35" s="635"/>
      <c r="O35" s="635"/>
      <c r="P35" s="635"/>
      <c r="Q35" s="639"/>
      <c r="R35" s="635"/>
    </row>
    <row r="36" spans="1:23" ht="16.5">
      <c r="B36" s="1678"/>
      <c r="C36" s="635" t="s">
        <v>1470</v>
      </c>
      <c r="D36" s="788">
        <f>Energia!K66</f>
        <v>1682963.5960436226</v>
      </c>
      <c r="E36" s="983">
        <f t="shared" ca="1" si="3"/>
        <v>1.8970289228505223E-2</v>
      </c>
      <c r="F36" s="635">
        <v>22</v>
      </c>
      <c r="G36" s="635">
        <v>60</v>
      </c>
      <c r="H36" s="635">
        <v>220</v>
      </c>
      <c r="I36" s="635">
        <v>2</v>
      </c>
      <c r="J36" s="635">
        <v>30</v>
      </c>
      <c r="K36" s="635">
        <v>9</v>
      </c>
      <c r="L36" s="635"/>
      <c r="M36" s="635"/>
      <c r="N36" s="635"/>
      <c r="O36" s="635"/>
      <c r="P36" s="635"/>
      <c r="Q36" s="635"/>
      <c r="R36" s="635"/>
      <c r="T36" s="291"/>
      <c r="U36" s="141"/>
      <c r="V36" s="141"/>
    </row>
    <row r="37" spans="1:23" ht="16.5">
      <c r="C37" s="648" t="s">
        <v>1471</v>
      </c>
      <c r="D37" s="649"/>
      <c r="E37" s="983">
        <f t="shared" ca="1" si="3"/>
        <v>0</v>
      </c>
      <c r="F37" s="648">
        <v>22</v>
      </c>
      <c r="G37" s="648">
        <v>60</v>
      </c>
      <c r="H37" s="648">
        <v>999</v>
      </c>
      <c r="I37" s="648">
        <v>2</v>
      </c>
      <c r="J37" s="648">
        <v>30</v>
      </c>
      <c r="K37" s="648">
        <v>9</v>
      </c>
      <c r="L37" s="635"/>
      <c r="M37" s="635"/>
      <c r="N37" s="635"/>
      <c r="O37" s="635"/>
      <c r="P37" s="635"/>
      <c r="Q37" s="635"/>
      <c r="R37" s="854"/>
    </row>
    <row r="38" spans="1:23" ht="16.5">
      <c r="B38" s="1682"/>
      <c r="C38" s="648" t="s">
        <v>1472</v>
      </c>
      <c r="D38" s="649">
        <f>-'Financeiros Mitigação'!D10</f>
        <v>0</v>
      </c>
      <c r="E38" s="983">
        <f t="shared" ca="1" si="3"/>
        <v>0</v>
      </c>
      <c r="F38" s="648">
        <v>22</v>
      </c>
      <c r="G38" s="648">
        <v>60</v>
      </c>
      <c r="H38" s="648">
        <v>179</v>
      </c>
      <c r="I38" s="648">
        <v>99</v>
      </c>
      <c r="J38" s="648">
        <v>999</v>
      </c>
      <c r="K38" s="648">
        <v>3</v>
      </c>
      <c r="L38" s="635"/>
      <c r="M38" s="635"/>
      <c r="N38" s="635"/>
      <c r="O38" s="635"/>
      <c r="P38" s="635"/>
      <c r="Q38" s="635"/>
      <c r="R38" s="854"/>
      <c r="T38" s="291"/>
      <c r="U38" s="141"/>
    </row>
    <row r="39" spans="1:23" ht="16.5">
      <c r="C39" s="648" t="s">
        <v>1473</v>
      </c>
      <c r="D39" s="649"/>
      <c r="E39" s="983">
        <f t="shared" ca="1" si="3"/>
        <v>0</v>
      </c>
      <c r="F39" s="635">
        <v>22</v>
      </c>
      <c r="G39" s="635">
        <v>60</v>
      </c>
      <c r="H39" s="635">
        <v>999</v>
      </c>
      <c r="I39" s="635">
        <v>1</v>
      </c>
      <c r="J39" s="635">
        <v>7</v>
      </c>
      <c r="K39" s="635">
        <v>9</v>
      </c>
      <c r="L39" s="635"/>
      <c r="M39" s="635"/>
      <c r="N39" s="635"/>
      <c r="O39" s="635"/>
      <c r="P39" s="635"/>
      <c r="Q39" s="635"/>
      <c r="R39" s="635"/>
      <c r="U39" s="141"/>
    </row>
    <row r="40" spans="1:23" ht="16.5">
      <c r="C40" s="648" t="s">
        <v>1474</v>
      </c>
      <c r="D40" s="649"/>
      <c r="E40" s="983">
        <f t="shared" ca="1" si="3"/>
        <v>0</v>
      </c>
      <c r="F40" s="635">
        <v>22</v>
      </c>
      <c r="G40" s="635">
        <v>60</v>
      </c>
      <c r="H40" s="635">
        <v>999</v>
      </c>
      <c r="I40" s="635">
        <v>2</v>
      </c>
      <c r="J40" s="635">
        <v>30</v>
      </c>
      <c r="K40" s="635">
        <v>9</v>
      </c>
      <c r="L40" s="635"/>
      <c r="M40" s="635"/>
      <c r="N40" s="635"/>
      <c r="O40" s="635"/>
      <c r="P40" s="635"/>
      <c r="Q40" s="635"/>
      <c r="R40" s="635"/>
    </row>
    <row r="41" spans="1:23" ht="16.5">
      <c r="C41" s="648" t="s">
        <v>1475</v>
      </c>
      <c r="D41" s="649">
        <f>-'Financeiros Mitigação'!D12</f>
        <v>-4199.08</v>
      </c>
      <c r="E41" s="983">
        <f t="shared" ca="1" si="3"/>
        <v>-4.7331839072986681E-5</v>
      </c>
      <c r="F41" s="648">
        <v>22</v>
      </c>
      <c r="G41" s="648">
        <v>60</v>
      </c>
      <c r="H41" s="648">
        <v>999</v>
      </c>
      <c r="I41" s="648">
        <v>2</v>
      </c>
      <c r="J41" s="648">
        <v>30</v>
      </c>
      <c r="K41" s="648">
        <v>9</v>
      </c>
      <c r="L41" s="635"/>
      <c r="M41" s="635"/>
      <c r="N41" s="635"/>
      <c r="O41" s="635"/>
      <c r="P41" s="635"/>
      <c r="Q41" s="635"/>
      <c r="R41" s="635"/>
    </row>
    <row r="42" spans="1:23" ht="16.5">
      <c r="A42" s="863"/>
      <c r="B42" s="863"/>
      <c r="C42" s="648" t="s">
        <v>2353</v>
      </c>
      <c r="D42" s="854">
        <v>-94838.229139715273</v>
      </c>
      <c r="E42" s="983">
        <f t="shared" ca="1" si="3"/>
        <v>-1.0690122121055181E-3</v>
      </c>
      <c r="F42" s="648">
        <v>22</v>
      </c>
      <c r="G42" s="648">
        <v>60</v>
      </c>
      <c r="H42" s="648">
        <v>235</v>
      </c>
      <c r="I42" s="648">
        <v>4</v>
      </c>
      <c r="J42" s="648">
        <v>999</v>
      </c>
      <c r="K42" s="648">
        <v>9</v>
      </c>
      <c r="L42" s="635"/>
      <c r="M42" s="635"/>
      <c r="N42" s="635"/>
      <c r="O42" s="635"/>
      <c r="P42" s="635"/>
      <c r="Q42" s="635"/>
      <c r="R42" s="635"/>
    </row>
    <row r="43" spans="1:23" ht="16.5">
      <c r="C43" s="648"/>
      <c r="D43" s="1582"/>
      <c r="E43" s="983">
        <f t="shared" ca="1" si="3"/>
        <v>0</v>
      </c>
      <c r="F43" s="648"/>
      <c r="G43" s="648"/>
      <c r="H43" s="648"/>
      <c r="I43" s="648"/>
      <c r="J43" s="648"/>
      <c r="K43" s="648"/>
      <c r="L43" s="635"/>
      <c r="M43" s="635"/>
      <c r="N43" s="635"/>
      <c r="O43" s="635"/>
      <c r="P43" s="635"/>
      <c r="Q43" s="635"/>
      <c r="R43" s="635"/>
    </row>
    <row r="44" spans="1:23" ht="16.5">
      <c r="C44" s="648"/>
      <c r="D44" s="1582"/>
      <c r="E44" s="983">
        <f t="shared" ca="1" si="3"/>
        <v>0</v>
      </c>
      <c r="F44" s="648"/>
      <c r="G44" s="648"/>
      <c r="H44" s="648"/>
      <c r="I44" s="648"/>
      <c r="J44" s="648"/>
      <c r="K44" s="648"/>
      <c r="L44" s="635"/>
      <c r="M44" s="635"/>
      <c r="N44" s="635"/>
      <c r="O44" s="635"/>
      <c r="P44" s="635"/>
      <c r="Q44" s="635"/>
      <c r="R44" s="635"/>
    </row>
    <row r="45" spans="1:23" ht="16.5">
      <c r="C45" s="648"/>
      <c r="D45" s="649"/>
      <c r="E45" s="983">
        <f t="shared" ca="1" si="3"/>
        <v>0</v>
      </c>
      <c r="F45" s="648">
        <v>22</v>
      </c>
      <c r="G45" s="648">
        <v>60</v>
      </c>
      <c r="H45" s="648">
        <v>999</v>
      </c>
      <c r="I45" s="648">
        <v>99</v>
      </c>
      <c r="J45" s="648">
        <v>999</v>
      </c>
      <c r="K45" s="648">
        <v>9</v>
      </c>
      <c r="L45" s="635"/>
      <c r="M45" s="635"/>
      <c r="N45" s="635"/>
      <c r="O45" s="635"/>
      <c r="P45" s="635"/>
      <c r="Q45" s="635"/>
      <c r="R45" s="635"/>
    </row>
    <row r="46" spans="1:23" ht="16.5">
      <c r="C46" s="648"/>
      <c r="D46" s="649"/>
      <c r="E46" s="983">
        <f t="shared" ca="1" si="3"/>
        <v>0</v>
      </c>
      <c r="F46" s="648">
        <v>22</v>
      </c>
      <c r="G46" s="648">
        <v>60</v>
      </c>
      <c r="H46" s="648">
        <v>999</v>
      </c>
      <c r="I46" s="648">
        <v>99</v>
      </c>
      <c r="J46" s="648">
        <v>999</v>
      </c>
      <c r="K46" s="648">
        <v>9</v>
      </c>
      <c r="L46" s="635"/>
      <c r="M46" s="635"/>
      <c r="N46" s="635"/>
      <c r="O46" s="635"/>
      <c r="P46" s="635"/>
      <c r="Q46" s="635"/>
      <c r="R46" s="635"/>
    </row>
    <row r="47" spans="1:23" ht="16.5">
      <c r="C47" s="648"/>
      <c r="D47" s="650"/>
      <c r="E47" s="983">
        <f t="shared" ca="1" si="3"/>
        <v>0</v>
      </c>
      <c r="F47" s="648">
        <v>22</v>
      </c>
      <c r="G47" s="648">
        <v>60</v>
      </c>
      <c r="H47" s="648">
        <v>999</v>
      </c>
      <c r="I47" s="648">
        <v>99</v>
      </c>
      <c r="J47" s="648">
        <v>999</v>
      </c>
      <c r="K47" s="648">
        <v>9</v>
      </c>
      <c r="L47" s="635"/>
      <c r="M47" s="635"/>
      <c r="N47" s="635"/>
      <c r="O47" s="635"/>
      <c r="P47" s="635"/>
      <c r="Q47" s="635"/>
      <c r="R47" s="635"/>
    </row>
    <row r="48" spans="1:23" ht="16.5">
      <c r="C48" s="985" t="s">
        <v>1476</v>
      </c>
      <c r="D48" s="985">
        <f>CVE!$E$9</f>
        <v>0</v>
      </c>
      <c r="E48" s="983">
        <f t="shared" ca="1" si="3"/>
        <v>0</v>
      </c>
      <c r="F48" s="976">
        <v>22</v>
      </c>
      <c r="G48" s="976">
        <v>60</v>
      </c>
      <c r="H48" s="976">
        <v>241</v>
      </c>
      <c r="I48" s="976">
        <v>3</v>
      </c>
      <c r="J48" s="976">
        <v>13</v>
      </c>
      <c r="K48" s="976">
        <v>9</v>
      </c>
      <c r="L48" s="635"/>
      <c r="M48" s="635"/>
      <c r="N48" s="635"/>
      <c r="O48" s="635"/>
      <c r="P48" s="635"/>
      <c r="Q48" s="635"/>
      <c r="R48" s="635"/>
    </row>
    <row r="49" spans="3:12" ht="16.5">
      <c r="C49" s="985" t="s">
        <v>1477</v>
      </c>
      <c r="D49" s="985">
        <f>CVE!$E$10</f>
        <v>0</v>
      </c>
      <c r="E49" s="983">
        <f t="shared" ca="1" si="3"/>
        <v>0</v>
      </c>
      <c r="F49" s="976">
        <v>22</v>
      </c>
      <c r="G49" s="976">
        <v>60</v>
      </c>
      <c r="H49" s="976">
        <v>241</v>
      </c>
      <c r="I49" s="976">
        <v>3</v>
      </c>
      <c r="J49" s="976">
        <v>15</v>
      </c>
      <c r="K49" s="976">
        <v>9</v>
      </c>
      <c r="L49" s="635"/>
    </row>
    <row r="50" spans="3:12" ht="16.5">
      <c r="C50" s="985" t="s">
        <v>1478</v>
      </c>
      <c r="D50" s="985">
        <f>CVE!$E$11</f>
        <v>0</v>
      </c>
      <c r="E50" s="983">
        <f t="shared" ca="1" si="3"/>
        <v>0</v>
      </c>
      <c r="F50" s="976">
        <v>22</v>
      </c>
      <c r="G50" s="976">
        <v>60</v>
      </c>
      <c r="H50" s="976">
        <v>241</v>
      </c>
      <c r="I50" s="976">
        <v>3</v>
      </c>
      <c r="J50" s="976">
        <v>25</v>
      </c>
      <c r="K50" s="976">
        <v>9</v>
      </c>
      <c r="L50" s="635"/>
    </row>
    <row r="51" spans="3:12" ht="16.5">
      <c r="C51" s="985" t="s">
        <v>1479</v>
      </c>
      <c r="D51" s="985">
        <f>IFERROR(CVE!$E$12*Resultado!D25/SUM(Resultado!$D$25:$D$29),0)</f>
        <v>0</v>
      </c>
      <c r="E51" s="983">
        <f t="shared" ca="1" si="3"/>
        <v>0</v>
      </c>
      <c r="F51" s="976">
        <v>22</v>
      </c>
      <c r="G51" s="976">
        <v>60</v>
      </c>
      <c r="H51" s="976">
        <v>241</v>
      </c>
      <c r="I51" s="976">
        <v>1</v>
      </c>
      <c r="J51" s="976">
        <v>1</v>
      </c>
      <c r="K51" s="977">
        <v>9</v>
      </c>
      <c r="L51" s="635"/>
    </row>
    <row r="52" spans="3:12" ht="16.5">
      <c r="C52" s="985" t="s">
        <v>1480</v>
      </c>
      <c r="D52" s="985">
        <f>IFERROR(CVE!$E$12*Resultado!D26/SUM(Resultado!$D$25:$D$29),0)</f>
        <v>0</v>
      </c>
      <c r="E52" s="983">
        <f t="shared" ca="1" si="3"/>
        <v>0</v>
      </c>
      <c r="F52" s="976">
        <v>22</v>
      </c>
      <c r="G52" s="976">
        <v>60</v>
      </c>
      <c r="H52" s="976">
        <v>241</v>
      </c>
      <c r="I52" s="976">
        <v>1</v>
      </c>
      <c r="J52" s="976">
        <v>1</v>
      </c>
      <c r="K52" s="977">
        <v>9</v>
      </c>
      <c r="L52" s="635"/>
    </row>
    <row r="53" spans="3:12" ht="16.5">
      <c r="C53" s="985" t="s">
        <v>1481</v>
      </c>
      <c r="D53" s="985">
        <f>IFERROR(CVE!$E$12*Resultado!D28/SUM(Resultado!$D$25:$D$29),0)</f>
        <v>0</v>
      </c>
      <c r="E53" s="983">
        <f t="shared" ca="1" si="3"/>
        <v>0</v>
      </c>
      <c r="F53" s="976">
        <v>22</v>
      </c>
      <c r="G53" s="976">
        <v>60</v>
      </c>
      <c r="H53" s="976">
        <v>241</v>
      </c>
      <c r="I53" s="976">
        <v>1</v>
      </c>
      <c r="J53" s="976">
        <v>1</v>
      </c>
      <c r="K53" s="977">
        <v>9</v>
      </c>
      <c r="L53" s="635"/>
    </row>
    <row r="54" spans="3:12" ht="16.5">
      <c r="C54" s="985" t="s">
        <v>1482</v>
      </c>
      <c r="D54" s="985">
        <f>IFERROR(CVE!$E$12*Resultado!D27/SUM(Resultado!$D$25:$D$29),0)</f>
        <v>0</v>
      </c>
      <c r="E54" s="983">
        <f t="shared" ca="1" si="3"/>
        <v>0</v>
      </c>
      <c r="F54" s="976">
        <v>22</v>
      </c>
      <c r="G54" s="976">
        <v>60</v>
      </c>
      <c r="H54" s="976">
        <v>241</v>
      </c>
      <c r="I54" s="976">
        <v>1</v>
      </c>
      <c r="J54" s="976">
        <v>1</v>
      </c>
      <c r="K54" s="977">
        <v>9</v>
      </c>
      <c r="L54" s="635"/>
    </row>
    <row r="55" spans="3:12" ht="16.5">
      <c r="C55" s="985" t="s">
        <v>1483</v>
      </c>
      <c r="D55" s="985">
        <f>IFERROR(CVE!$E$12*Resultado!D29/SUM(Resultado!$D$25:$D$29),0)</f>
        <v>0</v>
      </c>
      <c r="E55" s="983">
        <f t="shared" ca="1" si="3"/>
        <v>0</v>
      </c>
      <c r="F55" s="976">
        <v>22</v>
      </c>
      <c r="G55" s="976">
        <v>60</v>
      </c>
      <c r="H55" s="976">
        <v>241</v>
      </c>
      <c r="I55" s="976">
        <v>1</v>
      </c>
      <c r="J55" s="976">
        <v>1</v>
      </c>
      <c r="K55" s="977">
        <v>9</v>
      </c>
      <c r="L55" s="635"/>
    </row>
    <row r="56" spans="3:12" ht="16.5">
      <c r="C56" s="985" t="s">
        <v>1484</v>
      </c>
      <c r="D56" s="985">
        <f>CVE!E15</f>
        <v>0</v>
      </c>
      <c r="E56" s="983">
        <f t="shared" ca="1" si="3"/>
        <v>0</v>
      </c>
      <c r="F56" s="976">
        <v>22</v>
      </c>
      <c r="G56" s="976">
        <v>60</v>
      </c>
      <c r="H56" s="976">
        <v>241</v>
      </c>
      <c r="I56" s="976">
        <v>1</v>
      </c>
      <c r="J56" s="976">
        <v>21</v>
      </c>
      <c r="K56" s="977">
        <v>9</v>
      </c>
      <c r="L56" s="635"/>
    </row>
    <row r="57" spans="3:12" ht="16.5">
      <c r="C57" s="985" t="s">
        <v>1485</v>
      </c>
      <c r="D57" s="985">
        <f ca="1">IFERROR(CVE!$D$13*Energia!C6/Energia!$C$5,0)</f>
        <v>315589.6721795699</v>
      </c>
      <c r="E57" s="983">
        <f t="shared" ca="1" si="3"/>
        <v>3.5573124533707441E-3</v>
      </c>
      <c r="F57" s="976">
        <v>22</v>
      </c>
      <c r="G57" s="976">
        <v>60</v>
      </c>
      <c r="H57" s="976">
        <v>241</v>
      </c>
      <c r="I57" s="976">
        <v>2</v>
      </c>
      <c r="J57" s="976">
        <v>11</v>
      </c>
      <c r="K57" s="977">
        <v>9</v>
      </c>
      <c r="L57" s="635"/>
    </row>
    <row r="58" spans="3:12" ht="16.5">
      <c r="C58" s="985" t="s">
        <v>1486</v>
      </c>
      <c r="D58" s="985">
        <f ca="1">IFERROR(CVE!$D$13*Energia!N16/Energia!$C$5,0)</f>
        <v>0</v>
      </c>
      <c r="E58" s="983">
        <f t="shared" ca="1" si="3"/>
        <v>0</v>
      </c>
      <c r="F58" s="976">
        <v>22</v>
      </c>
      <c r="G58" s="976">
        <v>60</v>
      </c>
      <c r="H58" s="976">
        <v>241</v>
      </c>
      <c r="I58" s="976">
        <v>2</v>
      </c>
      <c r="J58" s="976">
        <v>9</v>
      </c>
      <c r="K58" s="976">
        <v>9</v>
      </c>
      <c r="L58" s="635"/>
    </row>
    <row r="59" spans="3:12" ht="16.5">
      <c r="C59" s="985" t="s">
        <v>1487</v>
      </c>
      <c r="D59" s="985">
        <f ca="1">IFERROR(CVE!$D$13*Energia!N17/Energia!$C$5,0)</f>
        <v>25760.558158798165</v>
      </c>
      <c r="E59" s="983">
        <f t="shared" ca="1" si="3"/>
        <v>2.9037184173736838E-4</v>
      </c>
      <c r="F59" s="976">
        <v>22</v>
      </c>
      <c r="G59" s="976">
        <v>60</v>
      </c>
      <c r="H59" s="976">
        <v>241</v>
      </c>
      <c r="I59" s="976">
        <v>2</v>
      </c>
      <c r="J59" s="976">
        <v>8</v>
      </c>
      <c r="K59" s="976">
        <v>9</v>
      </c>
      <c r="L59" s="635"/>
    </row>
    <row r="60" spans="3:12" ht="16.5">
      <c r="C60" s="985" t="s">
        <v>1488</v>
      </c>
      <c r="D60" s="985">
        <f ca="1">IFERROR(CVE!$D$13*Energia!C11/Energia!$C$5,0)</f>
        <v>761.6042761196868</v>
      </c>
      <c r="E60" s="983">
        <f t="shared" ca="1" si="3"/>
        <v>8.5847688147393066E-6</v>
      </c>
      <c r="F60" s="976">
        <v>22</v>
      </c>
      <c r="G60" s="976">
        <v>60</v>
      </c>
      <c r="H60" s="976">
        <v>241</v>
      </c>
      <c r="I60" s="976">
        <v>2</v>
      </c>
      <c r="J60" s="976">
        <v>10</v>
      </c>
      <c r="K60" s="976">
        <v>9</v>
      </c>
      <c r="L60" s="635"/>
    </row>
    <row r="61" spans="3:12" ht="16.5">
      <c r="C61" s="985" t="s">
        <v>1489</v>
      </c>
      <c r="D61" s="985">
        <f ca="1">IFERROR(CVE!$D$13*Energia!C12/Energia!$C$5,0)</f>
        <v>9330.3274855122218</v>
      </c>
      <c r="E61" s="983">
        <f t="shared" ca="1" si="3"/>
        <v>1.0517102771143415E-4</v>
      </c>
      <c r="F61" s="976">
        <v>22</v>
      </c>
      <c r="G61" s="976">
        <v>60</v>
      </c>
      <c r="H61" s="976">
        <v>241</v>
      </c>
      <c r="I61" s="976">
        <v>2</v>
      </c>
      <c r="J61" s="976">
        <v>24</v>
      </c>
      <c r="K61" s="976">
        <v>9</v>
      </c>
      <c r="L61" s="635"/>
    </row>
    <row r="62" spans="3:12" ht="16.5">
      <c r="C62" s="985" t="s">
        <v>1490</v>
      </c>
      <c r="D62" s="985">
        <f ca="1">IFERROR(CVE!$E$13*Energia!C11/Energia!$C$5,0)</f>
        <v>0</v>
      </c>
      <c r="E62" s="983">
        <f t="shared" ca="1" si="3"/>
        <v>0</v>
      </c>
      <c r="F62" s="976">
        <v>22</v>
      </c>
      <c r="G62" s="976">
        <v>60</v>
      </c>
      <c r="H62" s="976">
        <v>241</v>
      </c>
      <c r="I62" s="976">
        <v>3</v>
      </c>
      <c r="J62" s="976">
        <v>18</v>
      </c>
      <c r="K62" s="976">
        <v>9</v>
      </c>
      <c r="L62" s="635"/>
    </row>
    <row r="63" spans="3:12" ht="16.5">
      <c r="C63" s="985" t="s">
        <v>1491</v>
      </c>
      <c r="D63" s="985">
        <f>CVE!D14</f>
        <v>0</v>
      </c>
      <c r="E63" s="983">
        <f t="shared" ca="1" si="3"/>
        <v>0</v>
      </c>
      <c r="F63" s="976">
        <v>22</v>
      </c>
      <c r="G63" s="976">
        <v>60</v>
      </c>
      <c r="H63" s="976">
        <v>241</v>
      </c>
      <c r="I63" s="976">
        <v>3</v>
      </c>
      <c r="J63" s="976">
        <v>16</v>
      </c>
      <c r="K63" s="977">
        <v>9</v>
      </c>
      <c r="L63" s="635"/>
    </row>
    <row r="64" spans="3:12" ht="16.5">
      <c r="C64" s="985" t="s">
        <v>1492</v>
      </c>
      <c r="D64" s="985">
        <f>CVE!D17</f>
        <v>2353444.7437</v>
      </c>
      <c r="E64" s="983">
        <f t="shared" ca="1" si="3"/>
        <v>2.6527922277254729E-2</v>
      </c>
      <c r="F64" s="976">
        <v>22</v>
      </c>
      <c r="G64" s="976">
        <v>60</v>
      </c>
      <c r="H64" s="976">
        <v>241</v>
      </c>
      <c r="I64" s="976">
        <v>3</v>
      </c>
      <c r="J64" s="976">
        <v>17</v>
      </c>
      <c r="K64" s="977">
        <v>9</v>
      </c>
      <c r="L64" s="635"/>
    </row>
    <row r="65" spans="2:12" ht="16.5">
      <c r="B65" s="1679"/>
      <c r="C65" s="1558" t="s">
        <v>1493</v>
      </c>
      <c r="D65" s="1558">
        <f ca="1">IFERROR('Financeiros Mitigação'!$D$5*Energia!C6/Energia!$C$5,0)</f>
        <v>-181725.36538635736</v>
      </c>
      <c r="E65" s="983">
        <f t="shared" ca="1" si="3"/>
        <v>-2.0484000661923018E-3</v>
      </c>
      <c r="F65" s="976">
        <v>22</v>
      </c>
      <c r="G65" s="976">
        <v>60</v>
      </c>
      <c r="H65" s="976">
        <v>240</v>
      </c>
      <c r="I65" s="976">
        <v>2</v>
      </c>
      <c r="J65" s="976">
        <v>11</v>
      </c>
      <c r="K65" s="977">
        <v>9</v>
      </c>
      <c r="L65" s="635"/>
    </row>
    <row r="66" spans="2:12" ht="16.5">
      <c r="B66" s="1679"/>
      <c r="C66" s="1558" t="s">
        <v>1494</v>
      </c>
      <c r="D66" s="1558">
        <f ca="1">IFERROR('Financeiros Mitigação'!$D$5*Energia!N16/Energia!$C$5,0)</f>
        <v>0</v>
      </c>
      <c r="E66" s="983">
        <f t="shared" ca="1" si="3"/>
        <v>0</v>
      </c>
      <c r="F66" s="976">
        <v>22</v>
      </c>
      <c r="G66" s="976">
        <v>60</v>
      </c>
      <c r="H66" s="976">
        <v>240</v>
      </c>
      <c r="I66" s="976">
        <v>2</v>
      </c>
      <c r="J66" s="976">
        <v>9</v>
      </c>
      <c r="K66" s="977">
        <v>9</v>
      </c>
      <c r="L66" s="635"/>
    </row>
    <row r="67" spans="2:12" ht="16.5">
      <c r="B67" s="1679"/>
      <c r="C67" s="1558" t="s">
        <v>1495</v>
      </c>
      <c r="D67" s="1558">
        <f ca="1">IFERROR('Financeiros Mitigação'!$D$5*Energia!N17/Energia!$C$5,0)</f>
        <v>-14833.650327126128</v>
      </c>
      <c r="E67" s="983">
        <f t="shared" ca="1" si="3"/>
        <v>-1.672042328673162E-4</v>
      </c>
      <c r="F67" s="976">
        <v>22</v>
      </c>
      <c r="G67" s="976">
        <v>60</v>
      </c>
      <c r="H67" s="976">
        <v>240</v>
      </c>
      <c r="I67" s="976">
        <v>2</v>
      </c>
      <c r="J67" s="976">
        <v>8</v>
      </c>
      <c r="K67" s="977">
        <v>9</v>
      </c>
      <c r="L67" s="635"/>
    </row>
    <row r="68" spans="2:12" ht="16.5">
      <c r="B68" s="1679"/>
      <c r="C68" s="1558" t="s">
        <v>1496</v>
      </c>
      <c r="D68" s="1558">
        <f ca="1">IFERROR('Financeiros Mitigação'!$D$5*Energia!C11/Energia!$C$5,0)</f>
        <v>-438.55305657439686</v>
      </c>
      <c r="E68" s="983">
        <f t="shared" ca="1" si="3"/>
        <v>-4.9433501383030982E-6</v>
      </c>
      <c r="F68" s="976">
        <v>22</v>
      </c>
      <c r="G68" s="976">
        <v>60</v>
      </c>
      <c r="H68" s="976">
        <v>240</v>
      </c>
      <c r="I68" s="976">
        <v>2</v>
      </c>
      <c r="J68" s="976">
        <v>10</v>
      </c>
      <c r="K68" s="977">
        <v>9</v>
      </c>
      <c r="L68" s="635"/>
    </row>
    <row r="69" spans="2:12" ht="16.5">
      <c r="B69" s="1679"/>
      <c r="C69" s="1558" t="s">
        <v>1497</v>
      </c>
      <c r="D69" s="1558">
        <f ca="1">IFERROR('Financeiros Mitigação'!$D$5*Energia!C12/Energia!$C$5,0)</f>
        <v>-5372.6636862638297</v>
      </c>
      <c r="E69" s="983">
        <f t="shared" ca="1" si="3"/>
        <v>-6.056042109021952E-5</v>
      </c>
      <c r="F69" s="976">
        <v>22</v>
      </c>
      <c r="G69" s="976">
        <v>60</v>
      </c>
      <c r="H69" s="976">
        <v>240</v>
      </c>
      <c r="I69" s="976">
        <v>2</v>
      </c>
      <c r="J69" s="976">
        <v>24</v>
      </c>
      <c r="K69" s="977">
        <v>9</v>
      </c>
      <c r="L69" s="635"/>
    </row>
    <row r="70" spans="2:12" ht="16.5">
      <c r="B70" s="1679"/>
      <c r="C70" s="1558" t="s">
        <v>1498</v>
      </c>
      <c r="D70" s="1558">
        <f>'Financeiros Mitigação'!D6</f>
        <v>-717784.45185218251</v>
      </c>
      <c r="E70" s="983">
        <f t="shared" ca="1" si="3"/>
        <v>-8.0908337455250813E-3</v>
      </c>
      <c r="F70" s="976">
        <v>22</v>
      </c>
      <c r="G70" s="976">
        <v>60</v>
      </c>
      <c r="H70" s="976">
        <v>240</v>
      </c>
      <c r="I70" s="976">
        <v>3</v>
      </c>
      <c r="J70" s="976">
        <v>17</v>
      </c>
      <c r="K70" s="977">
        <v>9</v>
      </c>
      <c r="L70" s="635"/>
    </row>
    <row r="71" spans="2:12" ht="16.5">
      <c r="C71" s="1558" t="s">
        <v>1499</v>
      </c>
      <c r="D71" s="1558">
        <f ca="1">IFERROR('Financeiros Mitigação'!$D$7*Energia!C6/Energia!$C$5,0)</f>
        <v>0</v>
      </c>
      <c r="E71" s="983">
        <f t="shared" ca="1" si="3"/>
        <v>0</v>
      </c>
      <c r="F71" s="976">
        <v>22</v>
      </c>
      <c r="G71" s="976">
        <v>60</v>
      </c>
      <c r="H71" s="976">
        <v>240</v>
      </c>
      <c r="I71" s="976">
        <v>2</v>
      </c>
      <c r="J71" s="976">
        <v>11</v>
      </c>
      <c r="K71" s="977">
        <v>9</v>
      </c>
      <c r="L71" s="635"/>
    </row>
    <row r="72" spans="2:12" ht="16.5">
      <c r="C72" s="1558" t="s">
        <v>1500</v>
      </c>
      <c r="D72" s="1558">
        <f ca="1">IFERROR('Financeiros Mitigação'!$D$7*Energia!N16/Energia!$C$5,0)</f>
        <v>0</v>
      </c>
      <c r="E72" s="983">
        <f t="shared" ca="1" si="3"/>
        <v>0</v>
      </c>
      <c r="F72" s="976">
        <v>22</v>
      </c>
      <c r="G72" s="976">
        <v>60</v>
      </c>
      <c r="H72" s="976">
        <v>240</v>
      </c>
      <c r="I72" s="976">
        <v>2</v>
      </c>
      <c r="J72" s="976">
        <v>9</v>
      </c>
      <c r="K72" s="977">
        <v>9</v>
      </c>
      <c r="L72" s="635"/>
    </row>
    <row r="73" spans="2:12" ht="16.5">
      <c r="C73" s="1558" t="s">
        <v>1501</v>
      </c>
      <c r="D73" s="1558">
        <f ca="1">IFERROR('Financeiros Mitigação'!$D$7*Energia!N17/Energia!$C$5,0)</f>
        <v>0</v>
      </c>
      <c r="E73" s="983">
        <f t="shared" ca="1" si="3"/>
        <v>0</v>
      </c>
      <c r="F73" s="976">
        <v>22</v>
      </c>
      <c r="G73" s="976">
        <v>60</v>
      </c>
      <c r="H73" s="976">
        <v>240</v>
      </c>
      <c r="I73" s="976">
        <v>2</v>
      </c>
      <c r="J73" s="976">
        <v>8</v>
      </c>
      <c r="K73" s="977">
        <v>9</v>
      </c>
      <c r="L73" s="635"/>
    </row>
    <row r="74" spans="2:12" ht="16.5">
      <c r="C74" s="1558" t="s">
        <v>1502</v>
      </c>
      <c r="D74" s="1558">
        <f ca="1">IFERROR('Financeiros Mitigação'!$D$7*Energia!C11/Energia!$C$5,0)</f>
        <v>0</v>
      </c>
      <c r="E74" s="983">
        <f t="shared" ca="1" si="3"/>
        <v>0</v>
      </c>
      <c r="F74" s="976">
        <v>22</v>
      </c>
      <c r="G74" s="976">
        <v>60</v>
      </c>
      <c r="H74" s="976">
        <v>240</v>
      </c>
      <c r="I74" s="976">
        <v>2</v>
      </c>
      <c r="J74" s="976">
        <v>10</v>
      </c>
      <c r="K74" s="977">
        <v>9</v>
      </c>
      <c r="L74" s="635"/>
    </row>
    <row r="75" spans="2:12" ht="16.5">
      <c r="C75" s="1558" t="s">
        <v>1503</v>
      </c>
      <c r="D75" s="1558">
        <f ca="1">IFERROR('Financeiros Mitigação'!$D$7*Energia!C12/Energia!$C$5,0)</f>
        <v>0</v>
      </c>
      <c r="E75" s="983">
        <f t="shared" ca="1" si="3"/>
        <v>0</v>
      </c>
      <c r="F75" s="976">
        <v>22</v>
      </c>
      <c r="G75" s="976">
        <v>60</v>
      </c>
      <c r="H75" s="976">
        <v>240</v>
      </c>
      <c r="I75" s="976">
        <v>2</v>
      </c>
      <c r="J75" s="976">
        <v>24</v>
      </c>
      <c r="K75" s="977">
        <v>9</v>
      </c>
      <c r="L75" s="635"/>
    </row>
    <row r="76" spans="2:12" ht="16.5">
      <c r="C76" s="1558" t="s">
        <v>2386</v>
      </c>
      <c r="D76" s="1558">
        <f ca="1">CVE!$I$9*LnkTXTEV/LnkTXTER</f>
        <v>-1007341.4589705259</v>
      </c>
      <c r="E76" s="983">
        <f t="shared" ca="1" si="3"/>
        <v>-1.1354707180511099E-2</v>
      </c>
      <c r="F76" s="1740">
        <v>22</v>
      </c>
      <c r="G76" s="1740">
        <v>60</v>
      </c>
      <c r="H76" s="1740">
        <v>106</v>
      </c>
      <c r="I76" s="1740">
        <v>2</v>
      </c>
      <c r="J76" s="1740">
        <v>11</v>
      </c>
      <c r="K76" s="1740">
        <v>9</v>
      </c>
      <c r="L76" s="635"/>
    </row>
    <row r="77" spans="2:12" ht="16.5">
      <c r="C77" s="1558" t="s">
        <v>2387</v>
      </c>
      <c r="D77" s="1558">
        <f ca="1">CVE!$I$9*Energia!N16/LnkTXTER</f>
        <v>0</v>
      </c>
      <c r="E77" s="983">
        <f t="shared" ca="1" si="3"/>
        <v>0</v>
      </c>
      <c r="F77" s="1740">
        <v>22</v>
      </c>
      <c r="G77" s="1740">
        <v>60</v>
      </c>
      <c r="H77" s="1740">
        <v>106</v>
      </c>
      <c r="I77" s="1740">
        <v>2</v>
      </c>
      <c r="J77" s="1740">
        <v>9</v>
      </c>
      <c r="K77" s="1740">
        <v>9</v>
      </c>
      <c r="L77" s="635"/>
    </row>
    <row r="78" spans="2:12" ht="16.5">
      <c r="C78" s="1558" t="s">
        <v>2388</v>
      </c>
      <c r="D78" s="1558">
        <f ca="1">CVE!$I$9*Energia!N17/LnkTXTER</f>
        <v>-82226.0058777003</v>
      </c>
      <c r="E78" s="983">
        <f t="shared" ca="1" si="3"/>
        <v>-9.2684780423753948E-4</v>
      </c>
      <c r="F78" s="1740">
        <v>22</v>
      </c>
      <c r="G78" s="1740">
        <v>60</v>
      </c>
      <c r="H78" s="1740">
        <v>106</v>
      </c>
      <c r="I78" s="1740">
        <v>2</v>
      </c>
      <c r="J78" s="1740">
        <v>8</v>
      </c>
      <c r="K78" s="1740">
        <v>9</v>
      </c>
      <c r="L78" s="635"/>
    </row>
    <row r="79" spans="2:12" ht="16.5">
      <c r="C79" s="1558" t="s">
        <v>2389</v>
      </c>
      <c r="D79" s="1558">
        <f ca="1">CVE!$I$9*Energia!N18/LnkTXTER</f>
        <v>-2430.990714512558</v>
      </c>
      <c r="E79" s="983">
        <f t="shared" ca="1" si="3"/>
        <v>-2.7402016938765945E-5</v>
      </c>
      <c r="F79" s="1740">
        <v>22</v>
      </c>
      <c r="G79" s="1740">
        <v>60</v>
      </c>
      <c r="H79" s="1740">
        <v>106</v>
      </c>
      <c r="I79" s="1740">
        <v>2</v>
      </c>
      <c r="J79" s="1740">
        <v>10</v>
      </c>
      <c r="K79" s="1740">
        <v>9</v>
      </c>
      <c r="L79" s="635"/>
    </row>
    <row r="80" spans="2:12" ht="16.5">
      <c r="C80" s="1558" t="s">
        <v>2390</v>
      </c>
      <c r="D80" s="1558">
        <f ca="1">CVE!$I$9*Energia!N19/LnkTXTER</f>
        <v>-29781.791137261196</v>
      </c>
      <c r="E80" s="983">
        <f t="shared" ca="1" si="3"/>
        <v>-3.356989972599112E-4</v>
      </c>
      <c r="F80" s="1740">
        <v>22</v>
      </c>
      <c r="G80" s="1740">
        <v>60</v>
      </c>
      <c r="H80" s="1740">
        <v>106</v>
      </c>
      <c r="I80" s="1740">
        <v>2</v>
      </c>
      <c r="J80" s="1740">
        <v>24</v>
      </c>
      <c r="K80" s="1740">
        <v>9</v>
      </c>
      <c r="L80" s="635"/>
    </row>
    <row r="81" spans="2:12" ht="16.5">
      <c r="C81" s="1558"/>
      <c r="D81" s="1558"/>
      <c r="E81" s="983">
        <f t="shared" ca="1" si="3"/>
        <v>0</v>
      </c>
      <c r="F81" s="977"/>
      <c r="G81" s="977"/>
      <c r="H81" s="977"/>
      <c r="I81" s="977"/>
      <c r="J81" s="977"/>
      <c r="K81" s="977"/>
      <c r="L81" s="635"/>
    </row>
    <row r="82" spans="2:12" ht="16.5">
      <c r="B82" s="863"/>
      <c r="C82" s="985" t="s">
        <v>1504</v>
      </c>
      <c r="D82" s="985">
        <f>IFERROR(CVE!$I$15,0)</f>
        <v>-2077950.0823306313</v>
      </c>
      <c r="E82" s="983">
        <f t="shared" ca="1" si="3"/>
        <v>-2.3422558964957291E-2</v>
      </c>
      <c r="F82" s="1370">
        <v>22</v>
      </c>
      <c r="G82" s="1370">
        <v>62</v>
      </c>
      <c r="H82" s="1370">
        <v>220</v>
      </c>
      <c r="I82" s="1370">
        <v>2</v>
      </c>
      <c r="J82" s="1370">
        <v>30</v>
      </c>
      <c r="K82" s="1370">
        <v>9</v>
      </c>
      <c r="L82" s="635"/>
    </row>
    <row r="83" spans="2:12" ht="16.5">
      <c r="C83" s="986"/>
    </row>
    <row r="84" spans="2:12">
      <c r="D84" s="108">
        <f ca="1">SUM(Tabela1[Valor])-LnkTxTAjusteCUST-D31-LnkTXTPISCOFINS</f>
        <v>-20114203.811638083</v>
      </c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6:E27 D21:D24 D29:D30 D26:D27 E32 D35:D36 D12:D18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1" t="s">
        <v>1505</v>
      </c>
    </row>
    <row r="4" spans="1:5">
      <c r="B4" t="s">
        <v>1506</v>
      </c>
    </row>
    <row r="7" spans="1:5">
      <c r="A7" s="1419"/>
      <c r="B7" s="1419" t="s">
        <v>1507</v>
      </c>
    </row>
    <row r="8" spans="1:5">
      <c r="A8" s="1419" t="s">
        <v>1086</v>
      </c>
      <c r="B8" s="1615"/>
    </row>
    <row r="9" spans="1:5">
      <c r="A9" s="1419" t="s">
        <v>1105</v>
      </c>
      <c r="B9" s="1615"/>
    </row>
    <row r="11" spans="1:5" ht="47.25">
      <c r="A11" s="1616"/>
      <c r="B11" s="1617" t="s">
        <v>1508</v>
      </c>
      <c r="C11" s="1618" t="s">
        <v>1509</v>
      </c>
      <c r="D11" s="1618" t="s">
        <v>1510</v>
      </c>
      <c r="E11" s="1618" t="s">
        <v>897</v>
      </c>
    </row>
    <row r="12" spans="1:5">
      <c r="A12" s="1418" t="s">
        <v>897</v>
      </c>
      <c r="B12" s="1397">
        <f>B13+B14</f>
        <v>0</v>
      </c>
      <c r="C12" s="1397">
        <f>Indexador!R49</f>
        <v>0</v>
      </c>
      <c r="D12" s="1397">
        <f>C12*85%</f>
        <v>0</v>
      </c>
      <c r="E12" s="1397">
        <f>SUM(B12:D12)</f>
        <v>0</v>
      </c>
    </row>
    <row r="13" spans="1:5">
      <c r="A13" s="1419" t="s">
        <v>1086</v>
      </c>
      <c r="B13" s="1397">
        <f>Indexador!V49</f>
        <v>0</v>
      </c>
      <c r="C13" s="1397">
        <f ca="1">IFERROR($C$12*(Resultado!D32/(Resultado!$D$32+Resultado!$D$33)),0)</f>
        <v>0</v>
      </c>
      <c r="D13" s="1397">
        <f t="shared" ref="D13:D14" ca="1" si="0">C13*85%</f>
        <v>0</v>
      </c>
      <c r="E13" s="1397">
        <f t="shared" ref="E13:E14" ca="1" si="1">SUM(B13:D13)</f>
        <v>0</v>
      </c>
    </row>
    <row r="14" spans="1:5">
      <c r="A14" s="1419" t="s">
        <v>1105</v>
      </c>
      <c r="B14" s="1397">
        <f>Indexador!T49</f>
        <v>0</v>
      </c>
      <c r="C14" s="1397">
        <f ca="1">IFERROR($C$12*(Resultado!D33/(Resultado!$D$32+Resultado!$D$33)),0)</f>
        <v>0</v>
      </c>
      <c r="D14" s="1397">
        <f t="shared" ca="1" si="0"/>
        <v>0</v>
      </c>
      <c r="E14" s="1397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19EDB-5BA0-48D8-AA9B-F0D3EC33E92F}">
  <sheetPr codeName="Planilha9"/>
  <dimension ref="B3:X27"/>
  <sheetViews>
    <sheetView topLeftCell="D1" workbookViewId="0">
      <selection activeCell="N15" sqref="N15"/>
    </sheetView>
  </sheetViews>
  <sheetFormatPr defaultRowHeight="12.75"/>
  <cols>
    <col min="1" max="1" width="3.7109375" style="1694" customWidth="1"/>
    <col min="2" max="2" width="11.42578125" style="1694" bestFit="1" customWidth="1"/>
    <col min="3" max="3" width="19.28515625" style="1694" customWidth="1"/>
    <col min="4" max="4" width="17.7109375" style="1694" customWidth="1"/>
    <col min="5" max="5" width="13.7109375" style="1694" customWidth="1"/>
    <col min="6" max="8" width="14.7109375" style="1694" customWidth="1"/>
    <col min="9" max="9" width="16.42578125" style="1694" customWidth="1"/>
    <col min="10" max="10" width="19.5703125" style="1694" customWidth="1"/>
    <col min="11" max="18" width="15.7109375" style="1694" customWidth="1"/>
    <col min="19" max="40" width="9" style="1694" customWidth="1"/>
    <col min="41" max="16384" width="9.140625" style="1694"/>
  </cols>
  <sheetData>
    <row r="3" spans="2:24" ht="51">
      <c r="B3" s="1689" t="s">
        <v>2355</v>
      </c>
      <c r="C3" s="1690"/>
      <c r="D3" s="1691" t="s">
        <v>2356</v>
      </c>
      <c r="E3" s="1692" t="s">
        <v>2357</v>
      </c>
      <c r="F3" s="1690"/>
      <c r="G3" s="1691" t="s">
        <v>2358</v>
      </c>
      <c r="H3" s="1691" t="s">
        <v>2359</v>
      </c>
      <c r="I3" s="1691" t="s">
        <v>2360</v>
      </c>
      <c r="J3" s="1691" t="s">
        <v>2361</v>
      </c>
      <c r="K3" s="1691" t="s">
        <v>2362</v>
      </c>
      <c r="L3" s="1691" t="s">
        <v>2363</v>
      </c>
      <c r="M3" s="1691" t="s">
        <v>2364</v>
      </c>
      <c r="N3" s="1691" t="s">
        <v>2365</v>
      </c>
      <c r="O3" s="1691" t="s">
        <v>2366</v>
      </c>
      <c r="P3" s="1691" t="s">
        <v>2367</v>
      </c>
      <c r="Q3" s="1691" t="s">
        <v>2368</v>
      </c>
      <c r="R3" s="1693" t="s">
        <v>2369</v>
      </c>
    </row>
    <row r="4" spans="2:24">
      <c r="B4" s="1695" t="s">
        <v>2370</v>
      </c>
      <c r="C4" s="1695"/>
      <c r="D4" s="1695"/>
      <c r="E4" s="1696" t="s">
        <v>177</v>
      </c>
      <c r="F4" s="1697"/>
      <c r="G4" s="1695">
        <v>0</v>
      </c>
      <c r="H4" s="1698">
        <f>D4+G4</f>
        <v>0</v>
      </c>
      <c r="I4" s="1699">
        <f>D6</f>
        <v>0</v>
      </c>
      <c r="J4" s="1699">
        <f>F27</f>
        <v>0</v>
      </c>
      <c r="K4" s="1700"/>
      <c r="L4" s="1701">
        <f>K4*VLOOKUP(SAS_RA0_DataFim,Índices!$B$6:$F$50000,5,0)/VLOOKUP(DATE(YEAR(SAS_RA0_DataFim)-2,MONTH(CAPA!C15),1),Índices!$B$6:$F$50000,5,0)</f>
        <v>0</v>
      </c>
      <c r="M4" s="1695"/>
      <c r="N4" s="1699">
        <f>M4*VLOOKUP(SAS_RA0_DataFim,Índices!$B$6:$F$50000,5,0)/VLOOKUP(DATE(YEAR(SAS_RA0_DataFim)-1,MONTH(SAS_RA0_DataFim),1),Índices!$B$6:$F$50000,5,0)</f>
        <v>0</v>
      </c>
      <c r="O4" s="1699">
        <f>G27</f>
        <v>0</v>
      </c>
      <c r="P4" s="1699">
        <f>J4+L4+N4-O4</f>
        <v>0</v>
      </c>
      <c r="Q4" s="1699">
        <f>IF(I4*12&gt;(D4+K4+M4-P4),D4+K4+M4-P4,I4*12)</f>
        <v>0</v>
      </c>
      <c r="R4" s="1702">
        <f>P4+Q4</f>
        <v>0</v>
      </c>
    </row>
    <row r="6" spans="2:24">
      <c r="B6" s="1703" t="s">
        <v>2371</v>
      </c>
      <c r="C6" s="1704"/>
      <c r="D6" s="1705"/>
      <c r="N6" s="1706"/>
    </row>
    <row r="8" spans="2:24" ht="51">
      <c r="B8" s="1689" t="s">
        <v>33</v>
      </c>
      <c r="C8" s="1691" t="s">
        <v>2372</v>
      </c>
      <c r="D8" s="1691" t="s">
        <v>2373</v>
      </c>
      <c r="E8" s="1691" t="s">
        <v>2374</v>
      </c>
      <c r="F8" s="1691" t="s">
        <v>2375</v>
      </c>
      <c r="G8" s="1691" t="s">
        <v>2376</v>
      </c>
      <c r="H8" s="1691" t="s">
        <v>2377</v>
      </c>
    </row>
    <row r="9" spans="2:24">
      <c r="B9" s="1707">
        <v>44197</v>
      </c>
      <c r="C9" s="1708"/>
      <c r="D9" s="1709"/>
      <c r="E9" s="1710"/>
      <c r="F9" s="1711">
        <f>C9*VLOOKUP(SAS_RA0_DataFim,Índices!$B$6:$F$50000,5,0)/VLOOKUP(DATE(YEAR($B9),MONTH($B9)-1,1),Índices!$B$6:$F$50000,5,0)</f>
        <v>0</v>
      </c>
      <c r="G9" s="1711">
        <f>D9*VLOOKUP(SAS_RA0_DataFim,Índices!$B$6:$F$50000,5,0)/VLOOKUP(DATE(YEAR($B9),MONTH($B9)-1,1),Índices!$B$6:$F$50000,5,0)</f>
        <v>0</v>
      </c>
      <c r="H9" s="1711">
        <f>E9*VLOOKUP(SAS_RA0_DataFim,Índices!$B$6:$F$50000,5,0)/VLOOKUP(DATE(YEAR($B9),MONTH($B9)-1,1),Índices!$B$6:$F$50000,5,0)</f>
        <v>0</v>
      </c>
    </row>
    <row r="10" spans="2:24">
      <c r="B10" s="1707">
        <v>44228</v>
      </c>
      <c r="C10" s="1712"/>
      <c r="D10" s="1709"/>
      <c r="E10" s="1713"/>
      <c r="F10" s="1711">
        <f>C10*VLOOKUP(SAS_RA0_DataFim,Índices!$B$6:$F$50000,5,0)/VLOOKUP(DATE(YEAR($B10),MONTH($B10)-1,1),Índices!$B$6:$F$50000,5,0)</f>
        <v>0</v>
      </c>
      <c r="G10" s="1711">
        <f>D10*VLOOKUP(SAS_RA0_DataFim,Índices!$B$6:$F$50000,5,0)/VLOOKUP(DATE(YEAR($B10),MONTH($B10)-1,1),Índices!$B$6:$F$50000,5,0)</f>
        <v>0</v>
      </c>
      <c r="H10" s="1711">
        <f>E10*VLOOKUP(SAS_RA0_DataFim,Índices!$B$6:$F$50000,5,0)/VLOOKUP(DATE(YEAR($B10),MONTH($B10)-1,1),Índices!$B$6:$F$50000,5,0)</f>
        <v>0</v>
      </c>
      <c r="X10" s="1714"/>
    </row>
    <row r="11" spans="2:24">
      <c r="B11" s="1707">
        <v>44256</v>
      </c>
      <c r="C11" s="1712"/>
      <c r="D11" s="1709"/>
      <c r="E11" s="1713"/>
      <c r="F11" s="1711">
        <f>C11*VLOOKUP(SAS_RA0_DataFim,Índices!$B$6:$F$50000,5,0)/VLOOKUP(DATE(YEAR($B11),MONTH($B11)-1,1),Índices!$B$6:$F$50000,5,0)</f>
        <v>0</v>
      </c>
      <c r="G11" s="1711">
        <f>D11*VLOOKUP(SAS_RA0_DataFim,Índices!$B$6:$F$50000,5,0)/VLOOKUP(DATE(YEAR($B11),MONTH($B11)-1,1),Índices!$B$6:$F$50000,5,0)</f>
        <v>0</v>
      </c>
      <c r="H11" s="1711">
        <f>E11*VLOOKUP(SAS_RA0_DataFim,Índices!$B$6:$F$50000,5,0)/VLOOKUP(DATE(YEAR($B11),MONTH($B11)-1,1),Índices!$B$6:$F$50000,5,0)</f>
        <v>0</v>
      </c>
    </row>
    <row r="12" spans="2:24">
      <c r="B12" s="1707">
        <v>44287</v>
      </c>
      <c r="C12" s="1712"/>
      <c r="D12" s="1709"/>
      <c r="E12" s="1713"/>
      <c r="F12" s="1711">
        <f>C12*VLOOKUP(SAS_RA0_DataFim,Índices!$B$6:$F$50000,5,0)/VLOOKUP(DATE(YEAR($B12),MONTH($B12)-1,1),Índices!$B$6:$F$50000,5,0)</f>
        <v>0</v>
      </c>
      <c r="G12" s="1711">
        <f>D12*VLOOKUP(SAS_RA0_DataFim,Índices!$B$6:$F$50000,5,0)/VLOOKUP(DATE(YEAR($B12),MONTH($B12)-1,1),Índices!$B$6:$F$50000,5,0)</f>
        <v>0</v>
      </c>
      <c r="H12" s="1711">
        <f>E12*VLOOKUP(SAS_RA0_DataFim,Índices!$B$6:$F$50000,5,0)/VLOOKUP(DATE(YEAR($B12),MONTH($B12)-1,1),Índices!$B$6:$F$50000,5,0)</f>
        <v>0</v>
      </c>
    </row>
    <row r="13" spans="2:24">
      <c r="B13" s="1707">
        <v>44317</v>
      </c>
      <c r="C13" s="1713"/>
      <c r="D13" s="1715"/>
      <c r="E13" s="1713"/>
      <c r="F13" s="1711">
        <f>C13*VLOOKUP(SAS_RA0_DataFim,Índices!$B$6:$F$50000,5,0)/VLOOKUP(DATE(YEAR($B13),MONTH($B13)-1,1),Índices!$B$6:$F$50000,5,0)</f>
        <v>0</v>
      </c>
      <c r="G13" s="1711">
        <f>D13*VLOOKUP(SAS_RA0_DataFim,Índices!$B$6:$F$50000,5,0)/VLOOKUP(DATE(YEAR($B13),MONTH($B13)-1,1),Índices!$B$6:$F$50000,5,0)</f>
        <v>0</v>
      </c>
      <c r="H13" s="1711">
        <f>E13*VLOOKUP(SAS_RA0_DataFim,Índices!$B$6:$F$50000,5,0)/VLOOKUP(DATE(YEAR($B13),MONTH($B13)-1,1),Índices!$B$6:$F$50000,5,0)</f>
        <v>0</v>
      </c>
    </row>
    <row r="14" spans="2:24">
      <c r="B14" s="1707">
        <v>44348</v>
      </c>
      <c r="C14" s="1716"/>
      <c r="D14" s="1715"/>
      <c r="E14" s="1713"/>
      <c r="F14" s="1711">
        <f>C14*VLOOKUP(SAS_RA0_DataFim,Índices!$B$6:$F$50000,5,0)/VLOOKUP(DATE(YEAR($B14),MONTH($B14)-1,1),Índices!$B$6:$F$50000,5,0)</f>
        <v>0</v>
      </c>
      <c r="G14" s="1711">
        <f>D14*VLOOKUP(SAS_RA0_DataFim,Índices!$B$6:$F$50000,5,0)/VLOOKUP(DATE(YEAR($B14),MONTH($B14)-1,1),Índices!$B$6:$F$50000,5,0)</f>
        <v>0</v>
      </c>
      <c r="H14" s="1711">
        <f>E14*VLOOKUP(SAS_RA0_DataFim,Índices!$B$6:$F$50000,5,0)/VLOOKUP(DATE(YEAR($B14),MONTH($B14)-1,1),Índices!$B$6:$F$50000,5,0)</f>
        <v>0</v>
      </c>
    </row>
    <row r="15" spans="2:24">
      <c r="B15" s="1707">
        <v>44378</v>
      </c>
      <c r="C15" s="1716"/>
      <c r="D15" s="1715"/>
      <c r="E15" s="1713"/>
      <c r="F15" s="1711">
        <f>C15*VLOOKUP(SAS_RA0_DataFim,Índices!$B$6:$F$50000,5,0)/VLOOKUP(DATE(YEAR($B15),MONTH($B15)-1,1),Índices!$B$6:$F$50000,5,0)</f>
        <v>0</v>
      </c>
      <c r="G15" s="1711">
        <f>D15*VLOOKUP(SAS_RA0_DataFim,Índices!$B$6:$F$50000,5,0)/VLOOKUP(DATE(YEAR($B15),MONTH($B15)-1,1),Índices!$B$6:$F$50000,5,0)</f>
        <v>0</v>
      </c>
      <c r="H15" s="1711">
        <f>E15*VLOOKUP(SAS_RA0_DataFim,Índices!$B$6:$F$50000,5,0)/VLOOKUP(DATE(YEAR($B15),MONTH($B15)-1,1),Índices!$B$6:$F$50000,5,0)</f>
        <v>0</v>
      </c>
    </row>
    <row r="16" spans="2:24">
      <c r="B16" s="1707">
        <v>44409</v>
      </c>
      <c r="C16" s="1716"/>
      <c r="D16" s="1715"/>
      <c r="E16" s="1713"/>
      <c r="F16" s="1711">
        <f>C16*VLOOKUP(SAS_RA0_DataFim,Índices!$B$6:$F$50000,5,0)/VLOOKUP(DATE(YEAR($B16),MONTH($B16)-1,1),Índices!$B$6:$F$50000,5,0)</f>
        <v>0</v>
      </c>
      <c r="G16" s="1711">
        <f>D16*VLOOKUP(SAS_RA0_DataFim,Índices!$B$6:$F$50000,5,0)/VLOOKUP(DATE(YEAR($B16),MONTH($B16)-1,1),Índices!$B$6:$F$50000,5,0)</f>
        <v>0</v>
      </c>
      <c r="H16" s="1711">
        <f>E16*VLOOKUP(SAS_RA0_DataFim,Índices!$B$6:$F$50000,5,0)/VLOOKUP(DATE(YEAR($B16),MONTH($B16)-1,1),Índices!$B$6:$F$50000,5,0)</f>
        <v>0</v>
      </c>
    </row>
    <row r="17" spans="2:8">
      <c r="B17" s="1707">
        <v>44440</v>
      </c>
      <c r="C17" s="1716"/>
      <c r="D17" s="1715"/>
      <c r="E17" s="1713"/>
      <c r="F17" s="1711">
        <f>C17*VLOOKUP(SAS_RA0_DataFim,Índices!$B$6:$F$50000,5,0)/VLOOKUP(DATE(YEAR($B17),MONTH($B17)-1,1),Índices!$B$6:$F$50000,5,0)</f>
        <v>0</v>
      </c>
      <c r="G17" s="1711">
        <f>D17*VLOOKUP(SAS_RA0_DataFim,Índices!$B$6:$F$50000,5,0)/VLOOKUP(DATE(YEAR($B17),MONTH($B17)-1,1),Índices!$B$6:$F$50000,5,0)</f>
        <v>0</v>
      </c>
      <c r="H17" s="1711">
        <f>E17*VLOOKUP(SAS_RA0_DataFim,Índices!$B$6:$F$50000,5,0)/VLOOKUP(DATE(YEAR($B17),MONTH($B17)-1,1),Índices!$B$6:$F$50000,5,0)</f>
        <v>0</v>
      </c>
    </row>
    <row r="18" spans="2:8">
      <c r="B18" s="1707">
        <v>44470</v>
      </c>
      <c r="C18" s="1716"/>
      <c r="D18" s="1715"/>
      <c r="E18" s="1713"/>
      <c r="F18" s="1711">
        <f>C18*VLOOKUP(SAS_RA0_DataFim,Índices!$B$6:$F$50000,5,0)/VLOOKUP(DATE(YEAR($B18),MONTH($B18)-1,1),Índices!$B$6:$F$50000,5,0)</f>
        <v>0</v>
      </c>
      <c r="G18" s="1711">
        <f>D18*VLOOKUP(SAS_RA0_DataFim,Índices!$B$6:$F$50000,5,0)/VLOOKUP(DATE(YEAR($B18),MONTH($B18)-1,1),Índices!$B$6:$F$50000,5,0)</f>
        <v>0</v>
      </c>
      <c r="H18" s="1711">
        <f>E18*VLOOKUP(SAS_RA0_DataFim,Índices!$B$6:$F$50000,5,0)/VLOOKUP(DATE(YEAR($B18),MONTH($B18)-1,1),Índices!$B$6:$F$50000,5,0)</f>
        <v>0</v>
      </c>
    </row>
    <row r="19" spans="2:8">
      <c r="B19" s="1707">
        <v>44501</v>
      </c>
      <c r="C19" s="1716"/>
      <c r="D19" s="1715"/>
      <c r="E19" s="1713"/>
      <c r="F19" s="1711">
        <f>C19*VLOOKUP(SAS_RA0_DataFim,Índices!$B$6:$F$50000,5,0)/VLOOKUP(DATE(YEAR($B19),MONTH($B19)-1,1),Índices!$B$6:$F$50000,5,0)</f>
        <v>0</v>
      </c>
      <c r="G19" s="1711">
        <f>D19*VLOOKUP(SAS_RA0_DataFim,Índices!$B$6:$F$50000,5,0)/VLOOKUP(DATE(YEAR($B19),MONTH($B19)-1,1),Índices!$B$6:$F$50000,5,0)</f>
        <v>0</v>
      </c>
      <c r="H19" s="1711">
        <f>E19*VLOOKUP(SAS_RA0_DataFim,Índices!$B$6:$F$50000,5,0)/VLOOKUP(DATE(YEAR($B19),MONTH($B19)-1,1),Índices!$B$6:$F$50000,5,0)</f>
        <v>0</v>
      </c>
    </row>
    <row r="20" spans="2:8">
      <c r="B20" s="1707">
        <v>44531</v>
      </c>
      <c r="C20" s="1716"/>
      <c r="D20" s="1715"/>
      <c r="E20" s="1713"/>
      <c r="F20" s="1711">
        <f>C20*VLOOKUP(SAS_RA0_DataFim,Índices!$B$6:$F$50000,5,0)/VLOOKUP(DATE(YEAR($B20),MONTH($B20)-1,1),Índices!$B$6:$F$50000,5,0)</f>
        <v>0</v>
      </c>
      <c r="G20" s="1711">
        <f>D20*VLOOKUP(SAS_RA0_DataFim,Índices!$B$6:$F$50000,5,0)/VLOOKUP(DATE(YEAR($B20),MONTH($B20)-1,1),Índices!$B$6:$F$50000,5,0)</f>
        <v>0</v>
      </c>
      <c r="H20" s="1711">
        <f>E20*VLOOKUP(SAS_RA0_DataFim,Índices!$B$6:$F$50000,5,0)/VLOOKUP(DATE(YEAR($B20),MONTH($B20)-1,1),Índices!$B$6:$F$50000,5,0)</f>
        <v>0</v>
      </c>
    </row>
    <row r="21" spans="2:8">
      <c r="B21" s="1707">
        <v>44562</v>
      </c>
      <c r="C21" s="1716"/>
      <c r="D21" s="1715"/>
      <c r="E21" s="1713"/>
      <c r="F21" s="1711">
        <f>C21*VLOOKUP(SAS_RA0_DataFim,Índices!$B$6:$F$50000,5,0)/VLOOKUP(DATE(YEAR($B21),MONTH($B21)-1,1),Índices!$B$6:$F$50000,5,0)</f>
        <v>0</v>
      </c>
      <c r="G21" s="1711">
        <f>D21*VLOOKUP(SAS_RA0_DataFim,Índices!$B$6:$F$50000,5,0)/VLOOKUP(DATE(YEAR($B21),MONTH($B21)-1,1),Índices!$B$6:$F$50000,5,0)</f>
        <v>0</v>
      </c>
      <c r="H21" s="1711">
        <f>E21*VLOOKUP(SAS_RA0_DataFim,Índices!$B$6:$F$50000,5,0)/VLOOKUP(DATE(YEAR($B21),MONTH($B21)-1,1),Índices!$B$6:$F$50000,5,0)</f>
        <v>0</v>
      </c>
    </row>
    <row r="22" spans="2:8">
      <c r="B22" s="1707">
        <v>44593</v>
      </c>
      <c r="C22" s="1716"/>
      <c r="D22" s="1715"/>
      <c r="E22" s="1713"/>
      <c r="F22" s="1711">
        <f>C22*VLOOKUP(SAS_RA0_DataFim,Índices!$B$6:$F$50000,5,0)/VLOOKUP(DATE(YEAR($B22),MONTH($B22)-1,1),Índices!$B$6:$F$50000,5,0)</f>
        <v>0</v>
      </c>
      <c r="G22" s="1711">
        <f>D22*VLOOKUP(SAS_RA0_DataFim,Índices!$B$6:$F$50000,5,0)/VLOOKUP(DATE(YEAR($B22),MONTH($B22)-1,1),Índices!$B$6:$F$50000,5,0)</f>
        <v>0</v>
      </c>
      <c r="H22" s="1711">
        <f>E22*VLOOKUP(SAS_RA0_DataFim,Índices!$B$6:$F$50000,5,0)/VLOOKUP(DATE(YEAR($B22),MONTH($B22)-1,1),Índices!$B$6:$F$50000,5,0)</f>
        <v>0</v>
      </c>
    </row>
    <row r="23" spans="2:8">
      <c r="B23" s="1707">
        <v>44621</v>
      </c>
      <c r="C23" s="1716"/>
      <c r="D23" s="1715"/>
      <c r="E23" s="1713"/>
      <c r="F23" s="1711">
        <f>C23*VLOOKUP(SAS_RA0_DataFim,Índices!$B$6:$F$50000,5,0)/VLOOKUP(DATE(YEAR($B23),MONTH($B23)-1,1),Índices!$B$6:$F$50000,5,0)</f>
        <v>0</v>
      </c>
      <c r="G23" s="1711">
        <f>D23*VLOOKUP(SAS_RA0_DataFim,Índices!$B$6:$F$50000,5,0)/VLOOKUP(DATE(YEAR($B23),MONTH($B23)-1,1),Índices!$B$6:$F$50000,5,0)</f>
        <v>0</v>
      </c>
      <c r="H23" s="1711">
        <f>E23*VLOOKUP(SAS_RA0_DataFim,Índices!$B$6:$F$50000,5,0)/VLOOKUP(DATE(YEAR($B23),MONTH($B23)-1,1),Índices!$B$6:$F$50000,5,0)</f>
        <v>0</v>
      </c>
    </row>
    <row r="24" spans="2:8">
      <c r="B24" s="1707">
        <v>44652</v>
      </c>
      <c r="C24" s="1716"/>
      <c r="D24" s="1715"/>
      <c r="E24" s="1713"/>
      <c r="F24" s="1711">
        <f>C24*VLOOKUP(SAS_RA0_DataFim,Índices!$B$6:$F$50000,5,0)/VLOOKUP(DATE(YEAR($B24),MONTH($B24)-1,1),Índices!$B$6:$F$50000,5,0)</f>
        <v>0</v>
      </c>
      <c r="G24" s="1711">
        <f>D24*VLOOKUP(SAS_RA0_DataFim,Índices!$B$6:$F$50000,5,0)/VLOOKUP(DATE(YEAR($B24),MONTH($B24)-1,1),Índices!$B$6:$F$50000,5,0)</f>
        <v>0</v>
      </c>
      <c r="H24" s="1711">
        <f>E24*VLOOKUP(SAS_RA0_DataFim,Índices!$B$6:$F$50000,5,0)/VLOOKUP(DATE(YEAR($B24),MONTH($B24)-1,1),Índices!$B$6:$F$50000,5,0)</f>
        <v>0</v>
      </c>
    </row>
    <row r="25" spans="2:8">
      <c r="B25" s="1707">
        <v>44682</v>
      </c>
      <c r="C25" s="1716"/>
      <c r="D25" s="1715"/>
      <c r="E25" s="1713"/>
      <c r="F25" s="1711">
        <f>C25*VLOOKUP(SAS_RA0_DataFim,Índices!$B$6:$F$50000,5,0)/VLOOKUP(DATE(YEAR($B25),MONTH($B25)-1,1),Índices!$B$6:$F$50000,5,0)</f>
        <v>0</v>
      </c>
      <c r="G25" s="1711">
        <f>D25*VLOOKUP(SAS_RA0_DataFim,Índices!$B$6:$F$50000,5,0)/VLOOKUP(DATE(YEAR($B25),MONTH($B25)-1,1),Índices!$B$6:$F$50000,5,0)</f>
        <v>0</v>
      </c>
      <c r="H25" s="1711">
        <f>E25*VLOOKUP(SAS_RA0_DataFim,Índices!$B$6:$F$50000,5,0)/VLOOKUP(DATE(YEAR($B25),MONTH($B25)-1,1),Índices!$B$6:$F$50000,5,0)</f>
        <v>0</v>
      </c>
    </row>
    <row r="26" spans="2:8">
      <c r="B26" s="1707">
        <v>44713</v>
      </c>
      <c r="C26" s="1716"/>
      <c r="D26" s="1715"/>
      <c r="E26" s="1713"/>
      <c r="F26" s="1711">
        <f>C26*VLOOKUP(SAS_RA0_DataFim,Índices!$B$6:$F$50000,5,0)/VLOOKUP(DATE(YEAR($B26),MONTH($B26)-1,1),Índices!$B$6:$F$50000,5,0)</f>
        <v>0</v>
      </c>
      <c r="G26" s="1711">
        <f>D26*VLOOKUP(SAS_RA0_DataFim,Índices!$B$6:$F$50000,5,0)/VLOOKUP(DATE(YEAR($B26),MONTH($B26)-1,1),Índices!$B$6:$F$50000,5,0)</f>
        <v>0</v>
      </c>
      <c r="H26" s="1711">
        <f>E26*VLOOKUP(SAS_RA0_DataFim,Índices!$B$6:$F$50000,5,0)/VLOOKUP(DATE(YEAR($B26),MONTH($B26)-1,1),Índices!$B$6:$F$50000,5,0)</f>
        <v>0</v>
      </c>
    </row>
    <row r="27" spans="2:8">
      <c r="B27" s="1717" t="s">
        <v>889</v>
      </c>
      <c r="C27" s="1718">
        <f>SUM(C9:C26)</f>
        <v>0</v>
      </c>
      <c r="D27" s="1718">
        <f t="shared" ref="D27:H27" si="0">SUM(D9:D26)</f>
        <v>0</v>
      </c>
      <c r="E27" s="1718">
        <f t="shared" si="0"/>
        <v>0</v>
      </c>
      <c r="F27" s="1718">
        <f t="shared" si="0"/>
        <v>0</v>
      </c>
      <c r="G27" s="1718">
        <f t="shared" si="0"/>
        <v>0</v>
      </c>
      <c r="H27" s="1718">
        <f t="shared" si="0"/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1" workbookViewId="0">
      <selection activeCell="C27" sqref="C2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5" width="14.85546875" bestFit="1" customWidth="1"/>
    <col min="12" max="12" width="10.140625" bestFit="1" customWidth="1"/>
    <col min="14" max="14" width="10.140625" customWidth="1"/>
    <col min="15" max="15" width="34.5703125" customWidth="1"/>
    <col min="16" max="16" width="9.140625" customWidth="1"/>
  </cols>
  <sheetData>
    <row r="1" spans="1:15" ht="65.25" customHeight="1">
      <c r="B1" s="1687" t="s">
        <v>1511</v>
      </c>
      <c r="E1" s="1821" t="s">
        <v>2380</v>
      </c>
      <c r="F1" s="1821"/>
      <c r="G1" s="1821"/>
      <c r="H1" s="1821"/>
      <c r="I1" s="1821"/>
      <c r="J1" s="1821"/>
      <c r="K1" s="1821"/>
      <c r="L1" s="1821"/>
      <c r="M1" s="1821"/>
      <c r="N1" s="1821"/>
    </row>
    <row r="4" spans="1:15">
      <c r="B4" s="1619" t="s">
        <v>1512</v>
      </c>
      <c r="C4" s="1569" t="s">
        <v>1513</v>
      </c>
      <c r="D4" s="1620" t="s">
        <v>1514</v>
      </c>
      <c r="E4" s="1571"/>
      <c r="F4" s="1571"/>
      <c r="G4" s="1571"/>
      <c r="N4" t="s">
        <v>33</v>
      </c>
      <c r="O4" t="s">
        <v>1515</v>
      </c>
    </row>
    <row r="5" spans="1:15">
      <c r="A5" s="826" t="s">
        <v>39</v>
      </c>
      <c r="B5" s="888" t="s">
        <v>1516</v>
      </c>
      <c r="C5" s="1573">
        <f>IFERROR(VLOOKUP(A5,Escassez[#All],2,FALSE),0)</f>
        <v>-196790.32</v>
      </c>
      <c r="D5" s="1573">
        <f>C5/$C$8*$O$87</f>
        <v>-202370.23245632171</v>
      </c>
      <c r="E5" s="1572"/>
      <c r="F5" s="1570"/>
      <c r="G5" s="1565"/>
      <c r="N5" s="8">
        <v>44690</v>
      </c>
      <c r="O5" s="233">
        <f>C8</f>
        <v>-894783.45</v>
      </c>
    </row>
    <row r="6" spans="1:15">
      <c r="A6" s="1559" t="s">
        <v>41</v>
      </c>
      <c r="B6" s="888" t="s">
        <v>1517</v>
      </c>
      <c r="C6" s="1573">
        <f>IFERROR(VLOOKUP(A6,Escassez[#All],2,FALSE),0)</f>
        <v>-697993.13</v>
      </c>
      <c r="D6" s="1573">
        <f>C6/$C$8*$O$87</f>
        <v>-717784.45185218251</v>
      </c>
      <c r="E6" s="1572"/>
      <c r="F6" s="1570"/>
      <c r="G6" s="1565"/>
      <c r="N6" s="8">
        <f>N5+1</f>
        <v>44691</v>
      </c>
      <c r="O6" s="233">
        <f>O5*VLOOKUP(N6,Índices!$K$6:$N$3249,4,FALSE)/VLOOKUP(N5,Índices!$K$6:$N$3249,4,FALSE)</f>
        <v>-895206.4946673254</v>
      </c>
    </row>
    <row r="7" spans="1:15">
      <c r="A7" s="1559" t="s">
        <v>43</v>
      </c>
      <c r="B7" s="888" t="s">
        <v>151</v>
      </c>
      <c r="C7" s="1573">
        <f>IFERROR(VLOOKUP(A7,Escassez[#All],2,FALSE),0)</f>
        <v>0</v>
      </c>
      <c r="D7" s="1573">
        <f>C7/$C$8*$O$87</f>
        <v>0</v>
      </c>
      <c r="E7" s="1572"/>
      <c r="F7" s="1570"/>
      <c r="G7" s="1565"/>
      <c r="N7" s="8">
        <f t="shared" ref="N7:N70" si="0">N6+1</f>
        <v>44692</v>
      </c>
      <c r="O7" s="233">
        <f>O6*VLOOKUP(N7,Índices!$K$6:$N$3249,4,FALSE)/VLOOKUP(N6,Índices!$K$6:$N$3249,4,FALSE)</f>
        <v>-895629.73934593902</v>
      </c>
    </row>
    <row r="8" spans="1:15">
      <c r="B8" s="1621"/>
      <c r="C8" s="1622">
        <f>SUM(C5:C7)</f>
        <v>-894783.45</v>
      </c>
      <c r="D8" s="1622">
        <f>SUM(D5:D7)</f>
        <v>-920154.68430850422</v>
      </c>
      <c r="E8" s="888"/>
      <c r="F8" s="1566"/>
      <c r="G8" s="1566"/>
      <c r="N8" s="8">
        <f t="shared" si="0"/>
        <v>44693</v>
      </c>
      <c r="O8" s="233">
        <f>O7*VLOOKUP(N8,Índices!$K$6:$N$3249,4,FALSE)/VLOOKUP(N7,Índices!$K$6:$N$3249,4,FALSE)</f>
        <v>-896053.18413040414</v>
      </c>
    </row>
    <row r="9" spans="1:15">
      <c r="N9" s="8">
        <f t="shared" si="0"/>
        <v>44694</v>
      </c>
      <c r="O9" s="233">
        <f>O8*VLOOKUP(N9,Índices!$K$6:$N$3249,4,FALSE)/VLOOKUP(N8,Índices!$K$6:$N$3249,4,FALSE)</f>
        <v>-896476.82911532908</v>
      </c>
    </row>
    <row r="10" spans="1:15">
      <c r="B10" s="1623" t="s">
        <v>1518</v>
      </c>
      <c r="C10" s="1624"/>
      <c r="D10" s="1625"/>
      <c r="E10" s="1685" t="s">
        <v>2381</v>
      </c>
      <c r="F10" s="1686"/>
      <c r="G10" s="1686"/>
      <c r="H10" s="1686"/>
      <c r="I10" s="1686"/>
      <c r="J10" s="1686"/>
      <c r="L10" s="8">
        <f>N9+1</f>
        <v>44695</v>
      </c>
      <c r="M10" s="233"/>
      <c r="N10" s="8">
        <f t="shared" si="0"/>
        <v>44695</v>
      </c>
      <c r="O10" s="233">
        <f>O9*VLOOKUP(N10,Índices!$K$6:$N$3249,4,FALSE)/VLOOKUP(N9,Índices!$K$6:$N$3249,4,FALSE)</f>
        <v>-896476.82911532908</v>
      </c>
    </row>
    <row r="11" spans="1:15">
      <c r="N11" s="8">
        <f>L10+1</f>
        <v>44696</v>
      </c>
      <c r="O11" s="233">
        <f>O10*VLOOKUP(N11,Índices!$K$6:$N$3249,4,FALSE)/VLOOKUP(N10,Índices!$K$6:$N$3249,4,FALSE)</f>
        <v>-896476.82911532908</v>
      </c>
    </row>
    <row r="12" spans="1:15">
      <c r="B12" s="1623" t="s">
        <v>1475</v>
      </c>
      <c r="C12" s="1624"/>
      <c r="D12" s="1625">
        <v>4199.08</v>
      </c>
      <c r="E12" s="1563" t="s">
        <v>1239</v>
      </c>
      <c r="F12" s="1563"/>
      <c r="G12" s="1563"/>
      <c r="H12" s="1563"/>
      <c r="I12" s="1563"/>
      <c r="J12" s="1563"/>
      <c r="K12" s="1563"/>
      <c r="L12" s="1563"/>
      <c r="N12" s="8">
        <f t="shared" si="0"/>
        <v>44697</v>
      </c>
      <c r="O12" s="233">
        <f>O11*VLOOKUP(N12,Índices!$K$6:$N$3249,4,FALSE)/VLOOKUP(N11,Índices!$K$6:$N$3249,4,FALSE)</f>
        <v>-896900.67439536646</v>
      </c>
    </row>
    <row r="13" spans="1:15">
      <c r="B13" s="1574"/>
      <c r="C13" s="1564"/>
      <c r="D13" s="1564"/>
      <c r="E13" s="1564"/>
      <c r="F13" s="1564"/>
      <c r="G13" s="1564"/>
      <c r="H13" s="1564"/>
      <c r="I13" s="1564"/>
      <c r="J13" s="1564"/>
      <c r="K13" s="1564"/>
      <c r="L13" s="1564"/>
      <c r="N13" s="8">
        <f t="shared" si="0"/>
        <v>44698</v>
      </c>
      <c r="O13" s="233">
        <f>O12*VLOOKUP(N13,Índices!$K$6:$N$3249,4,FALSE)/VLOOKUP(N12,Índices!$K$6:$N$3249,4,FALSE)</f>
        <v>-897324.72006521374</v>
      </c>
    </row>
    <row r="14" spans="1:15">
      <c r="B14" s="1575"/>
      <c r="C14" s="1576"/>
      <c r="D14" s="1576"/>
      <c r="E14" s="1577"/>
      <c r="F14" s="1578"/>
      <c r="G14" s="1565"/>
      <c r="H14" s="1565"/>
      <c r="I14" s="1565"/>
      <c r="J14" s="1565"/>
      <c r="K14" s="1565"/>
      <c r="L14" s="1565"/>
      <c r="N14" s="8">
        <f t="shared" si="0"/>
        <v>44699</v>
      </c>
      <c r="O14" s="233">
        <f>O13*VLOOKUP(N14,Índices!$K$6:$N$3249,4,FALSE)/VLOOKUP(N13,Índices!$K$6:$N$3249,4,FALSE)</f>
        <v>-897748.96621961333</v>
      </c>
    </row>
    <row r="15" spans="1:15">
      <c r="B15" s="1575"/>
      <c r="C15" s="1576"/>
      <c r="D15" s="1576"/>
      <c r="E15" s="1577"/>
      <c r="F15" s="1578"/>
      <c r="G15" s="1565"/>
      <c r="H15" s="1565"/>
      <c r="I15" s="1565"/>
      <c r="J15" s="1565"/>
      <c r="K15" s="1565"/>
      <c r="L15" s="1565"/>
      <c r="N15" s="8">
        <f t="shared" si="0"/>
        <v>44700</v>
      </c>
      <c r="O15" s="233">
        <f>O14*VLOOKUP(N15,Índices!$K$6:$N$3249,4,FALSE)/VLOOKUP(N14,Índices!$K$6:$N$3249,4,FALSE)</f>
        <v>-898173.41295335221</v>
      </c>
    </row>
    <row r="16" spans="1:15">
      <c r="B16" s="1575"/>
      <c r="C16" s="1576"/>
      <c r="D16" s="1576"/>
      <c r="E16" s="1577"/>
      <c r="F16" s="1578"/>
      <c r="G16" s="1565"/>
      <c r="H16" s="1722"/>
      <c r="I16" s="1565"/>
      <c r="J16" s="1565"/>
      <c r="K16" s="1565"/>
      <c r="L16" s="1565"/>
      <c r="N16" s="8">
        <f t="shared" si="0"/>
        <v>44701</v>
      </c>
      <c r="O16" s="233">
        <f>O15*VLOOKUP(N16,Índices!$K$6:$N$3249,4,FALSE)/VLOOKUP(N15,Índices!$K$6:$N$3249,4,FALSE)</f>
        <v>-898598.06036126229</v>
      </c>
    </row>
    <row r="17" spans="2:15">
      <c r="B17" s="1575"/>
      <c r="C17" s="1576"/>
      <c r="D17" s="1576"/>
      <c r="E17" s="1577"/>
      <c r="F17" s="1578"/>
      <c r="G17" s="1565"/>
      <c r="H17" s="1565"/>
      <c r="I17" s="1565"/>
      <c r="J17" s="1565"/>
      <c r="K17" s="1565"/>
      <c r="L17" s="1565"/>
      <c r="N17" s="8">
        <f t="shared" si="0"/>
        <v>44702</v>
      </c>
      <c r="O17" s="233">
        <f>O16*VLOOKUP(N17,Índices!$K$6:$N$3249,4,FALSE)/VLOOKUP(N16,Índices!$K$6:$N$3249,4,FALSE)</f>
        <v>-898598.06036126229</v>
      </c>
    </row>
    <row r="18" spans="2:15">
      <c r="B18" s="1575"/>
      <c r="C18" s="1576"/>
      <c r="D18" s="1576"/>
      <c r="E18" s="1577"/>
      <c r="F18" s="1578"/>
      <c r="G18" s="1565"/>
      <c r="H18" s="1565"/>
      <c r="I18" s="1565"/>
      <c r="J18" s="1565"/>
      <c r="K18" s="1565"/>
      <c r="L18" s="1565"/>
      <c r="N18" s="8">
        <f t="shared" si="0"/>
        <v>44703</v>
      </c>
      <c r="O18" s="233">
        <f>O17*VLOOKUP(N18,Índices!$K$6:$N$3249,4,FALSE)/VLOOKUP(N17,Índices!$K$6:$N$3249,4,FALSE)</f>
        <v>-898598.06036126229</v>
      </c>
    </row>
    <row r="19" spans="2:15">
      <c r="B19" s="1575"/>
      <c r="C19" s="1576"/>
      <c r="D19" s="1576"/>
      <c r="E19" s="1576"/>
      <c r="F19" s="1578"/>
      <c r="G19" s="1565"/>
      <c r="H19" s="1565"/>
      <c r="I19" s="1565"/>
      <c r="J19" s="1565"/>
      <c r="K19" s="1565"/>
      <c r="L19" s="1565"/>
      <c r="N19" s="8">
        <f t="shared" si="0"/>
        <v>44704</v>
      </c>
      <c r="O19" s="233">
        <f>O18*VLOOKUP(N19,Índices!$K$6:$N$3249,4,FALSE)/VLOOKUP(N18,Índices!$K$6:$N$3249,4,FALSE)</f>
        <v>-899022.90853822045</v>
      </c>
    </row>
    <row r="20" spans="2:15">
      <c r="B20" s="1575"/>
      <c r="C20" s="1576"/>
      <c r="D20" s="1576"/>
      <c r="E20" s="1576"/>
      <c r="F20" s="1578"/>
      <c r="G20" s="1565"/>
      <c r="H20" s="1565"/>
      <c r="I20" s="1565"/>
      <c r="J20" s="1565"/>
      <c r="K20" s="1565"/>
      <c r="L20" s="1565"/>
      <c r="N20" s="8">
        <f t="shared" si="0"/>
        <v>44705</v>
      </c>
      <c r="O20" s="233">
        <f>O19*VLOOKUP(N20,Índices!$K$6:$N$3249,4,FALSE)/VLOOKUP(N19,Índices!$K$6:$N$3249,4,FALSE)</f>
        <v>-899447.95757914812</v>
      </c>
    </row>
    <row r="21" spans="2:15">
      <c r="B21" s="1575"/>
      <c r="C21" s="1576"/>
      <c r="D21" s="1576"/>
      <c r="E21" s="1576"/>
      <c r="F21" s="1578"/>
      <c r="G21" s="1565"/>
      <c r="H21" s="1565"/>
      <c r="I21" s="1565"/>
      <c r="J21" s="1565"/>
      <c r="K21" s="1565"/>
      <c r="L21" s="1565"/>
      <c r="N21" s="8">
        <f t="shared" si="0"/>
        <v>44706</v>
      </c>
      <c r="O21" s="233">
        <f>O20*VLOOKUP(N21,Índices!$K$6:$N$3249,4,FALSE)/VLOOKUP(N20,Índices!$K$6:$N$3249,4,FALSE)</f>
        <v>-899873.2075790118</v>
      </c>
    </row>
    <row r="22" spans="2:15">
      <c r="B22" s="1575"/>
      <c r="C22" s="1576"/>
      <c r="D22" s="1576"/>
      <c r="E22" s="1576"/>
      <c r="F22" s="1578"/>
      <c r="G22" s="1565"/>
      <c r="H22" s="1565"/>
      <c r="I22" s="1565"/>
      <c r="J22" s="1565"/>
      <c r="K22" s="1565"/>
      <c r="L22" s="1565"/>
      <c r="N22" s="8">
        <f t="shared" si="0"/>
        <v>44707</v>
      </c>
      <c r="O22" s="233">
        <f>O21*VLOOKUP(N22,Índices!$K$6:$N$3249,4,FALSE)/VLOOKUP(N21,Índices!$K$6:$N$3249,4,FALSE)</f>
        <v>-900298.65863282303</v>
      </c>
    </row>
    <row r="23" spans="2:15">
      <c r="B23" s="1575"/>
      <c r="C23" s="1576"/>
      <c r="D23" s="1576"/>
      <c r="E23" s="1576"/>
      <c r="F23" s="1578"/>
      <c r="G23" s="1565"/>
      <c r="H23" s="1565"/>
      <c r="I23" s="1565"/>
      <c r="J23" s="1565"/>
      <c r="K23" s="1565"/>
      <c r="L23" s="1565"/>
      <c r="N23" s="8">
        <f t="shared" si="0"/>
        <v>44708</v>
      </c>
      <c r="O23" s="233">
        <f>O22*VLOOKUP(N23,Índices!$K$6:$N$3249,4,FALSE)/VLOOKUP(N22,Índices!$K$6:$N$3249,4,FALSE)</f>
        <v>-900724.31083563797</v>
      </c>
    </row>
    <row r="24" spans="2:15">
      <c r="B24" s="1575"/>
      <c r="C24" s="1576"/>
      <c r="D24" s="1576"/>
      <c r="E24" s="1576"/>
      <c r="F24" s="1578"/>
      <c r="G24" s="1565"/>
      <c r="H24" s="1565"/>
      <c r="I24" s="1565"/>
      <c r="J24" s="1565"/>
      <c r="K24" s="1565"/>
      <c r="L24" s="1565"/>
      <c r="N24" s="8">
        <f t="shared" si="0"/>
        <v>44709</v>
      </c>
      <c r="O24" s="233">
        <f>O23*VLOOKUP(N24,Índices!$K$6:$N$3249,4,FALSE)/VLOOKUP(N23,Índices!$K$6:$N$3249,4,FALSE)</f>
        <v>-900724.31083563797</v>
      </c>
    </row>
    <row r="25" spans="2:15">
      <c r="B25" s="1579"/>
      <c r="C25" s="1576"/>
      <c r="D25" s="1576"/>
      <c r="E25" s="1580"/>
      <c r="F25" s="1578"/>
      <c r="G25" s="1565"/>
      <c r="H25" s="1565"/>
      <c r="I25" s="1565"/>
      <c r="J25" s="1565"/>
      <c r="K25" s="1565"/>
      <c r="L25" s="1565"/>
      <c r="N25" s="8">
        <f t="shared" si="0"/>
        <v>44710</v>
      </c>
      <c r="O25" s="233">
        <f>O24*VLOOKUP(N25,Índices!$K$6:$N$3249,4,FALSE)/VLOOKUP(N24,Índices!$K$6:$N$3249,4,FALSE)</f>
        <v>-900724.31083563797</v>
      </c>
    </row>
    <row r="26" spans="2:15">
      <c r="B26" s="1581"/>
      <c r="C26" s="888"/>
      <c r="D26" s="888"/>
      <c r="E26" s="888"/>
      <c r="F26" s="1566"/>
      <c r="G26" s="1566"/>
      <c r="H26" s="1566"/>
      <c r="I26" s="1566"/>
      <c r="J26" s="1566"/>
      <c r="K26" s="1566"/>
      <c r="L26" s="1566"/>
      <c r="N26" s="8">
        <f t="shared" si="0"/>
        <v>44711</v>
      </c>
      <c r="O26" s="233">
        <f>O25*VLOOKUP(N26,Índices!$K$6:$N$3249,4,FALSE)/VLOOKUP(N25,Índices!$K$6:$N$3249,4,FALSE)</f>
        <v>-901150.1642825579</v>
      </c>
    </row>
    <row r="27" spans="2:15">
      <c r="N27" s="8">
        <f t="shared" si="0"/>
        <v>44712</v>
      </c>
      <c r="O27" s="233">
        <f>O26*VLOOKUP(N27,Índices!$K$6:$N$3249,4,FALSE)/VLOOKUP(N26,Índices!$K$6:$N$3249,4,FALSE)</f>
        <v>-901576.21906872897</v>
      </c>
    </row>
    <row r="28" spans="2:15">
      <c r="N28" s="8">
        <f t="shared" si="0"/>
        <v>44713</v>
      </c>
      <c r="O28" s="233">
        <f>O27*VLOOKUP(N28,Índices!$K$6:$N$3249,4,FALSE)/VLOOKUP(N27,Índices!$K$6:$N$3249,4,FALSE)</f>
        <v>-902002.47528934246</v>
      </c>
    </row>
    <row r="29" spans="2:15">
      <c r="N29" s="8">
        <f t="shared" si="0"/>
        <v>44714</v>
      </c>
      <c r="O29" s="233">
        <f>O28*VLOOKUP(N29,Índices!$K$6:$N$3249,4,FALSE)/VLOOKUP(N28,Índices!$K$6:$N$3249,4,FALSE)</f>
        <v>-902428.93303963449</v>
      </c>
    </row>
    <row r="30" spans="2:15">
      <c r="N30" s="8">
        <f t="shared" si="0"/>
        <v>44715</v>
      </c>
      <c r="O30" s="233">
        <f>O29*VLOOKUP(N30,Índices!$K$6:$N$3249,4,FALSE)/VLOOKUP(N29,Índices!$K$6:$N$3249,4,FALSE)</f>
        <v>-902855.59241488623</v>
      </c>
    </row>
    <row r="31" spans="2:15">
      <c r="N31" s="8">
        <f t="shared" si="0"/>
        <v>44716</v>
      </c>
      <c r="O31" s="233">
        <f>O30*VLOOKUP(N31,Índices!$K$6:$N$3249,4,FALSE)/VLOOKUP(N30,Índices!$K$6:$N$3249,4,FALSE)</f>
        <v>-902855.59241488623</v>
      </c>
    </row>
    <row r="32" spans="2:15">
      <c r="N32" s="8">
        <f t="shared" si="0"/>
        <v>44717</v>
      </c>
      <c r="O32" s="233">
        <f>O31*VLOOKUP(N32,Índices!$K$6:$N$3249,4,FALSE)/VLOOKUP(N31,Índices!$K$6:$N$3249,4,FALSE)</f>
        <v>-902855.59241488623</v>
      </c>
    </row>
    <row r="33" spans="14:15">
      <c r="N33" s="8">
        <f t="shared" si="0"/>
        <v>44718</v>
      </c>
      <c r="O33" s="233">
        <f>O32*VLOOKUP(N33,Índices!$K$6:$N$3249,4,FALSE)/VLOOKUP(N32,Índices!$K$6:$N$3249,4,FALSE)</f>
        <v>-903282.45351042412</v>
      </c>
    </row>
    <row r="34" spans="14:15">
      <c r="N34" s="8">
        <f t="shared" si="0"/>
        <v>44719</v>
      </c>
      <c r="O34" s="233">
        <f>O33*VLOOKUP(N34,Índices!$K$6:$N$3249,4,FALSE)/VLOOKUP(N33,Índices!$K$6:$N$3249,4,FALSE)</f>
        <v>-903709.51642161922</v>
      </c>
    </row>
    <row r="35" spans="14:15">
      <c r="N35" s="8">
        <f t="shared" si="0"/>
        <v>44720</v>
      </c>
      <c r="O35" s="233">
        <f>O34*VLOOKUP(N35,Índices!$K$6:$N$3249,4,FALSE)/VLOOKUP(N34,Índices!$K$6:$N$3249,4,FALSE)</f>
        <v>-904136.78124388808</v>
      </c>
    </row>
    <row r="36" spans="14:15">
      <c r="N36" s="8">
        <f t="shared" si="0"/>
        <v>44721</v>
      </c>
      <c r="O36" s="233">
        <f>O35*VLOOKUP(N36,Índices!$K$6:$N$3249,4,FALSE)/VLOOKUP(N35,Índices!$K$6:$N$3249,4,FALSE)</f>
        <v>-904564.24807269231</v>
      </c>
    </row>
    <row r="37" spans="14:15">
      <c r="N37" s="8">
        <f t="shared" si="0"/>
        <v>44722</v>
      </c>
      <c r="O37" s="233">
        <f>O36*VLOOKUP(N37,Índices!$K$6:$N$3249,4,FALSE)/VLOOKUP(N36,Índices!$K$6:$N$3249,4,FALSE)</f>
        <v>-904991.91700353846</v>
      </c>
    </row>
    <row r="38" spans="14:15">
      <c r="N38" s="8">
        <f t="shared" si="0"/>
        <v>44723</v>
      </c>
      <c r="O38" s="233">
        <f>O37*VLOOKUP(N38,Índices!$K$6:$N$3249,4,FALSE)/VLOOKUP(N37,Índices!$K$6:$N$3249,4,FALSE)</f>
        <v>-904991.91700353846</v>
      </c>
    </row>
    <row r="39" spans="14:15">
      <c r="N39" s="8">
        <f t="shared" si="0"/>
        <v>44724</v>
      </c>
      <c r="O39" s="233">
        <f>O38*VLOOKUP(N39,Índices!$K$6:$N$3249,4,FALSE)/VLOOKUP(N38,Índices!$K$6:$N$3249,4,FALSE)</f>
        <v>-904991.91700353846</v>
      </c>
    </row>
    <row r="40" spans="14:15">
      <c r="N40" s="8">
        <f t="shared" si="0"/>
        <v>44725</v>
      </c>
      <c r="O40" s="233">
        <f>O39*VLOOKUP(N40,Índices!$K$6:$N$3249,4,FALSE)/VLOOKUP(N39,Índices!$K$6:$N$3249,4,FALSE)</f>
        <v>-905419.78813197848</v>
      </c>
    </row>
    <row r="41" spans="14:15">
      <c r="N41" s="8">
        <f t="shared" si="0"/>
        <v>44726</v>
      </c>
      <c r="O41" s="233">
        <f>O40*VLOOKUP(N41,Índices!$K$6:$N$3249,4,FALSE)/VLOOKUP(N40,Índices!$K$6:$N$3249,4,FALSE)</f>
        <v>-905847.86155360925</v>
      </c>
    </row>
    <row r="42" spans="14:15">
      <c r="N42" s="8">
        <f t="shared" si="0"/>
        <v>44727</v>
      </c>
      <c r="O42" s="233">
        <f>O41*VLOOKUP(N42,Índices!$K$6:$N$3249,4,FALSE)/VLOOKUP(N41,Índices!$K$6:$N$3249,4,FALSE)</f>
        <v>-906276.13736407307</v>
      </c>
    </row>
    <row r="43" spans="14:15">
      <c r="N43" s="8">
        <f t="shared" si="0"/>
        <v>44728</v>
      </c>
      <c r="O43" s="233">
        <f>O42*VLOOKUP(N43,Índices!$K$6:$N$3249,4,FALSE)/VLOOKUP(N42,Índices!$K$6:$N$3249,4,FALSE)</f>
        <v>-906276.13736407307</v>
      </c>
    </row>
    <row r="44" spans="14:15">
      <c r="N44" s="8">
        <f t="shared" si="0"/>
        <v>44729</v>
      </c>
      <c r="O44" s="233">
        <f>O43*VLOOKUP(N44,Índices!$K$6:$N$3249,4,FALSE)/VLOOKUP(N43,Índices!$K$6:$N$3249,4,FALSE)</f>
        <v>-906720.54799355229</v>
      </c>
    </row>
    <row r="45" spans="14:15">
      <c r="N45" s="8">
        <f t="shared" si="0"/>
        <v>44730</v>
      </c>
      <c r="O45" s="233">
        <f>O44*VLOOKUP(N45,Índices!$K$6:$N$3249,4,FALSE)/VLOOKUP(N44,Índices!$K$6:$N$3249,4,FALSE)</f>
        <v>-906720.54799355229</v>
      </c>
    </row>
    <row r="46" spans="14:15">
      <c r="N46" s="8">
        <f t="shared" si="0"/>
        <v>44731</v>
      </c>
      <c r="O46" s="233">
        <f>O45*VLOOKUP(N46,Índices!$K$6:$N$3249,4,FALSE)/VLOOKUP(N45,Índices!$K$6:$N$3249,4,FALSE)</f>
        <v>-906720.54799355229</v>
      </c>
    </row>
    <row r="47" spans="14:15">
      <c r="N47" s="8">
        <f t="shared" si="0"/>
        <v>44732</v>
      </c>
      <c r="O47" s="233">
        <f>O46*VLOOKUP(N47,Índices!$K$6:$N$3249,4,FALSE)/VLOOKUP(N46,Índices!$K$6:$N$3249,4,FALSE)</f>
        <v>-907165.17654867203</v>
      </c>
    </row>
    <row r="48" spans="14:15">
      <c r="N48" s="8">
        <f t="shared" si="0"/>
        <v>44733</v>
      </c>
      <c r="O48" s="233">
        <f>O47*VLOOKUP(N48,Índices!$K$6:$N$3249,4,FALSE)/VLOOKUP(N47,Índices!$K$6:$N$3249,4,FALSE)</f>
        <v>-907610.02313629631</v>
      </c>
    </row>
    <row r="49" spans="14:15">
      <c r="N49" s="8">
        <f t="shared" si="0"/>
        <v>44734</v>
      </c>
      <c r="O49" s="233">
        <f>O48*VLOOKUP(N49,Índices!$K$6:$N$3249,4,FALSE)/VLOOKUP(N48,Índices!$K$6:$N$3249,4,FALSE)</f>
        <v>-908055.08786334167</v>
      </c>
    </row>
    <row r="50" spans="14:15">
      <c r="N50" s="8">
        <f t="shared" si="0"/>
        <v>44735</v>
      </c>
      <c r="O50" s="233">
        <f>O49*VLOOKUP(N50,Índices!$K$6:$N$3249,4,FALSE)/VLOOKUP(N49,Índices!$K$6:$N$3249,4,FALSE)</f>
        <v>-908500.37083677738</v>
      </c>
    </row>
    <row r="51" spans="14:15">
      <c r="N51" s="8">
        <f t="shared" si="0"/>
        <v>44736</v>
      </c>
      <c r="O51" s="233">
        <f>O50*VLOOKUP(N51,Índices!$K$6:$N$3249,4,FALSE)/VLOOKUP(N50,Índices!$K$6:$N$3249,4,FALSE)</f>
        <v>-908945.87216362462</v>
      </c>
    </row>
    <row r="52" spans="14:15">
      <c r="N52" s="8">
        <f t="shared" si="0"/>
        <v>44737</v>
      </c>
      <c r="O52" s="233">
        <f>O51*VLOOKUP(N52,Índices!$K$6:$N$3249,4,FALSE)/VLOOKUP(N51,Índices!$K$6:$N$3249,4,FALSE)</f>
        <v>-908945.87216362462</v>
      </c>
    </row>
    <row r="53" spans="14:15">
      <c r="N53" s="8">
        <f t="shared" si="0"/>
        <v>44738</v>
      </c>
      <c r="O53" s="233">
        <f>O52*VLOOKUP(N53,Índices!$K$6:$N$3249,4,FALSE)/VLOOKUP(N52,Índices!$K$6:$N$3249,4,FALSE)</f>
        <v>-908945.87216362462</v>
      </c>
    </row>
    <row r="54" spans="14:15">
      <c r="N54" s="8">
        <f t="shared" si="0"/>
        <v>44739</v>
      </c>
      <c r="O54" s="233">
        <f>O53*VLOOKUP(N54,Índices!$K$6:$N$3249,4,FALSE)/VLOOKUP(N53,Índices!$K$6:$N$3249,4,FALSE)</f>
        <v>-909391.59195095755</v>
      </c>
    </row>
    <row r="55" spans="14:15">
      <c r="N55" s="8">
        <f t="shared" si="0"/>
        <v>44740</v>
      </c>
      <c r="O55" s="233">
        <f>O54*VLOOKUP(N55,Índices!$K$6:$N$3249,4,FALSE)/VLOOKUP(N54,Índices!$K$6:$N$3249,4,FALSE)</f>
        <v>-909837.53030590259</v>
      </c>
    </row>
    <row r="56" spans="14:15">
      <c r="N56" s="8">
        <f t="shared" si="0"/>
        <v>44741</v>
      </c>
      <c r="O56" s="233">
        <f>O55*VLOOKUP(N56,Índices!$K$6:$N$3249,4,FALSE)/VLOOKUP(N55,Índices!$K$6:$N$3249,4,FALSE)</f>
        <v>-910283.6873356388</v>
      </c>
    </row>
    <row r="57" spans="14:15">
      <c r="N57" s="8">
        <f t="shared" si="0"/>
        <v>44742</v>
      </c>
      <c r="O57" s="233">
        <f>O56*VLOOKUP(N57,Índices!$K$6:$N$3249,4,FALSE)/VLOOKUP(N56,Índices!$K$6:$N$3249,4,FALSE)</f>
        <v>-910730.0631473976</v>
      </c>
    </row>
    <row r="58" spans="14:15">
      <c r="N58" s="8">
        <f t="shared" si="0"/>
        <v>44743</v>
      </c>
      <c r="O58" s="233">
        <f>O57*VLOOKUP(N58,Índices!$K$6:$N$3249,4,FALSE)/VLOOKUP(N57,Índices!$K$6:$N$3249,4,FALSE)</f>
        <v>-911176.65784846328</v>
      </c>
    </row>
    <row r="59" spans="14:15">
      <c r="N59" s="8">
        <f t="shared" si="0"/>
        <v>44744</v>
      </c>
      <c r="O59" s="233">
        <f>O58*VLOOKUP(N59,Índices!$K$6:$N$3249,4,FALSE)/VLOOKUP(N58,Índices!$K$6:$N$3249,4,FALSE)</f>
        <v>-911176.65784846328</v>
      </c>
    </row>
    <row r="60" spans="14:15">
      <c r="N60" s="8">
        <f t="shared" si="0"/>
        <v>44745</v>
      </c>
      <c r="O60" s="233">
        <f>O59*VLOOKUP(N60,Índices!$K$6:$N$3249,4,FALSE)/VLOOKUP(N59,Índices!$K$6:$N$3249,4,FALSE)</f>
        <v>-911176.65784846328</v>
      </c>
    </row>
    <row r="61" spans="14:15">
      <c r="N61" s="8">
        <f t="shared" si="0"/>
        <v>44746</v>
      </c>
      <c r="O61" s="233">
        <f>O60*VLOOKUP(N61,Índices!$K$6:$N$3249,4,FALSE)/VLOOKUP(N60,Índices!$K$6:$N$3249,4,FALSE)</f>
        <v>-911623.47154617251</v>
      </c>
    </row>
    <row r="62" spans="14:15">
      <c r="N62" s="8">
        <f t="shared" si="0"/>
        <v>44747</v>
      </c>
      <c r="O62" s="233">
        <f>O61*VLOOKUP(N62,Índices!$K$6:$N$3249,4,FALSE)/VLOOKUP(N61,Índices!$K$6:$N$3249,4,FALSE)</f>
        <v>-912070.50434791471</v>
      </c>
    </row>
    <row r="63" spans="14:15">
      <c r="N63" s="8">
        <f t="shared" si="0"/>
        <v>44748</v>
      </c>
      <c r="O63" s="233">
        <f>O62*VLOOKUP(N63,Índices!$K$6:$N$3249,4,FALSE)/VLOOKUP(N62,Índices!$K$6:$N$3249,4,FALSE)</f>
        <v>-912517.75636113191</v>
      </c>
    </row>
    <row r="64" spans="14:15">
      <c r="N64" s="8">
        <f t="shared" si="0"/>
        <v>44749</v>
      </c>
      <c r="O64" s="233">
        <f>O63*VLOOKUP(N64,Índices!$K$6:$N$3249,4,FALSE)/VLOOKUP(N63,Índices!$K$6:$N$3249,4,FALSE)</f>
        <v>-912965.22769331874</v>
      </c>
    </row>
    <row r="65" spans="14:15">
      <c r="N65" s="8">
        <f t="shared" si="0"/>
        <v>44750</v>
      </c>
      <c r="O65" s="233">
        <f>O64*VLOOKUP(N65,Índices!$K$6:$N$3249,4,FALSE)/VLOOKUP(N64,Índices!$K$6:$N$3249,4,FALSE)</f>
        <v>-913412.91845202271</v>
      </c>
    </row>
    <row r="66" spans="14:15">
      <c r="N66" s="8">
        <f t="shared" si="0"/>
        <v>44751</v>
      </c>
      <c r="O66" s="233">
        <f>O65*VLOOKUP(N66,Índices!$K$6:$N$3249,4,FALSE)/VLOOKUP(N65,Índices!$K$6:$N$3249,4,FALSE)</f>
        <v>-913412.91845202271</v>
      </c>
    </row>
    <row r="67" spans="14:15">
      <c r="N67" s="8">
        <f t="shared" si="0"/>
        <v>44752</v>
      </c>
      <c r="O67" s="233">
        <f>O66*VLOOKUP(N67,Índices!$K$6:$N$3249,4,FALSE)/VLOOKUP(N66,Índices!$K$6:$N$3249,4,FALSE)</f>
        <v>-913412.91845202271</v>
      </c>
    </row>
    <row r="68" spans="14:15">
      <c r="N68" s="8">
        <f t="shared" si="0"/>
        <v>44753</v>
      </c>
      <c r="O68" s="233">
        <f>O67*VLOOKUP(N68,Índices!$K$6:$N$3249,4,FALSE)/VLOOKUP(N67,Índices!$K$6:$N$3249,4,FALSE)</f>
        <v>-913860.82874484395</v>
      </c>
    </row>
    <row r="69" spans="14:15">
      <c r="N69" s="8">
        <f t="shared" si="0"/>
        <v>44754</v>
      </c>
      <c r="O69" s="233">
        <f>O68*VLOOKUP(N69,Índices!$K$6:$N$3249,4,FALSE)/VLOOKUP(N68,Índices!$K$6:$N$3249,4,FALSE)</f>
        <v>-914308.95867943554</v>
      </c>
    </row>
    <row r="70" spans="14:15">
      <c r="N70" s="8">
        <f t="shared" si="0"/>
        <v>44755</v>
      </c>
      <c r="O70" s="233">
        <f>O69*VLOOKUP(N70,Índices!$K$6:$N$3249,4,FALSE)/VLOOKUP(N69,Índices!$K$6:$N$3249,4,FALSE)</f>
        <v>-914757.30836350331</v>
      </c>
    </row>
    <row r="71" spans="14:15">
      <c r="N71" s="8">
        <f t="shared" ref="N71:N87" si="1">N70+1</f>
        <v>44756</v>
      </c>
      <c r="O71" s="233">
        <f>O70*VLOOKUP(N71,Índices!$K$6:$N$3249,4,FALSE)/VLOOKUP(N70,Índices!$K$6:$N$3249,4,FALSE)</f>
        <v>-915205.87790480559</v>
      </c>
    </row>
    <row r="72" spans="14:15">
      <c r="N72" s="8">
        <f t="shared" si="1"/>
        <v>44757</v>
      </c>
      <c r="O72" s="233">
        <f>O71*VLOOKUP(N72,Índices!$K$6:$N$3249,4,FALSE)/VLOOKUP(N71,Índices!$K$6:$N$3249,4,FALSE)</f>
        <v>-915654.66741115379</v>
      </c>
    </row>
    <row r="73" spans="14:15">
      <c r="N73" s="8">
        <f t="shared" si="1"/>
        <v>44758</v>
      </c>
      <c r="O73" s="233">
        <f>O72*VLOOKUP(N73,Índices!$K$6:$N$3249,4,FALSE)/VLOOKUP(N72,Índices!$K$6:$N$3249,4,FALSE)</f>
        <v>-915654.66741115379</v>
      </c>
    </row>
    <row r="74" spans="14:15">
      <c r="N74" s="8">
        <f t="shared" si="1"/>
        <v>44759</v>
      </c>
      <c r="O74" s="233">
        <f>O73*VLOOKUP(N74,Índices!$K$6:$N$3249,4,FALSE)/VLOOKUP(N73,Índices!$K$6:$N$3249,4,FALSE)</f>
        <v>-915654.66741115379</v>
      </c>
    </row>
    <row r="75" spans="14:15">
      <c r="N75" s="8">
        <f t="shared" si="1"/>
        <v>44760</v>
      </c>
      <c r="O75" s="233">
        <f>O74*VLOOKUP(N75,Índices!$K$6:$N$3249,4,FALSE)/VLOOKUP(N74,Índices!$K$6:$N$3249,4,FALSE)</f>
        <v>-916103.67699041229</v>
      </c>
    </row>
    <row r="76" spans="14:15">
      <c r="N76" s="8">
        <f t="shared" si="1"/>
        <v>44761</v>
      </c>
      <c r="O76" s="233">
        <f>O75*VLOOKUP(N76,Índices!$K$6:$N$3249,4,FALSE)/VLOOKUP(N75,Índices!$K$6:$N$3249,4,FALSE)</f>
        <v>-916552.90675049811</v>
      </c>
    </row>
    <row r="77" spans="14:15">
      <c r="N77" s="8">
        <f t="shared" si="1"/>
        <v>44762</v>
      </c>
      <c r="O77" s="233">
        <f>O76*VLOOKUP(N77,Índices!$K$6:$N$3249,4,FALSE)/VLOOKUP(N76,Índices!$K$6:$N$3249,4,FALSE)</f>
        <v>-917002.35679938132</v>
      </c>
    </row>
    <row r="78" spans="14:15">
      <c r="N78" s="8">
        <f t="shared" si="1"/>
        <v>44763</v>
      </c>
      <c r="O78" s="233">
        <f>O77*VLOOKUP(N78,Índices!$K$6:$N$3249,4,FALSE)/VLOOKUP(N77,Índices!$K$6:$N$3249,4,FALSE)</f>
        <v>-917452.0272450851</v>
      </c>
    </row>
    <row r="79" spans="14:15">
      <c r="N79" s="8">
        <f t="shared" si="1"/>
        <v>44764</v>
      </c>
      <c r="O79" s="233">
        <f>O78*VLOOKUP(N79,Índices!$K$6:$N$3249,4,FALSE)/VLOOKUP(N78,Índices!$K$6:$N$3249,4,FALSE)</f>
        <v>-917901.91819568526</v>
      </c>
    </row>
    <row r="80" spans="14:15">
      <c r="N80" s="8">
        <f t="shared" si="1"/>
        <v>44765</v>
      </c>
      <c r="O80" s="233">
        <f>O79*VLOOKUP(N80,Índices!$K$6:$N$3249,4,FALSE)/VLOOKUP(N79,Índices!$K$6:$N$3249,4,FALSE)</f>
        <v>-917901.91819568526</v>
      </c>
    </row>
    <row r="81" spans="14:15">
      <c r="N81" s="8">
        <f t="shared" si="1"/>
        <v>44766</v>
      </c>
      <c r="O81" s="233">
        <f>O80*VLOOKUP(N81,Índices!$K$6:$N$3249,4,FALSE)/VLOOKUP(N80,Índices!$K$6:$N$3249,4,FALSE)</f>
        <v>-917901.91819568526</v>
      </c>
    </row>
    <row r="82" spans="14:15">
      <c r="N82" s="8">
        <f t="shared" si="1"/>
        <v>44767</v>
      </c>
      <c r="O82" s="233">
        <f>O81*VLOOKUP(N82,Índices!$K$6:$N$3249,4,FALSE)/VLOOKUP(N81,Índices!$K$6:$N$3249,4,FALSE)</f>
        <v>-918352.02975931088</v>
      </c>
    </row>
    <row r="83" spans="14:15">
      <c r="N83" s="8">
        <f t="shared" si="1"/>
        <v>44768</v>
      </c>
      <c r="O83" s="233">
        <f>O82*VLOOKUP(N83,Índices!$K$6:$N$3249,4,FALSE)/VLOOKUP(N82,Índices!$K$6:$N$3249,4,FALSE)</f>
        <v>-918802.36204414396</v>
      </c>
    </row>
    <row r="84" spans="14:15">
      <c r="N84" s="8">
        <f t="shared" si="1"/>
        <v>44769</v>
      </c>
      <c r="O84" s="233">
        <f>O83*VLOOKUP(N84,Índices!$K$6:$N$3249,4,FALSE)/VLOOKUP(N83,Índices!$K$6:$N$3249,4,FALSE)</f>
        <v>-919252.91515841964</v>
      </c>
    </row>
    <row r="85" spans="14:15">
      <c r="N85" s="8">
        <f t="shared" si="1"/>
        <v>44770</v>
      </c>
      <c r="O85" s="233">
        <f>O84*VLOOKUP(N85,Índices!$K$6:$N$3249,4,FALSE)/VLOOKUP(N84,Índices!$K$6:$N$3249,4,FALSE)</f>
        <v>-919703.68921042595</v>
      </c>
    </row>
    <row r="86" spans="14:15">
      <c r="N86" s="8">
        <f t="shared" si="1"/>
        <v>44771</v>
      </c>
      <c r="O86" s="233">
        <f>O85*VLOOKUP(N86,Índices!$K$6:$N$3249,4,FALSE)/VLOOKUP(N85,Índices!$K$6:$N$3249,4,FALSE)</f>
        <v>-920154.6843085041</v>
      </c>
    </row>
    <row r="87" spans="14:15">
      <c r="N87" s="8">
        <f t="shared" si="1"/>
        <v>44772</v>
      </c>
      <c r="O87" s="233">
        <f>O86*VLOOKUP(N87,Índices!$K$6:$N$3249,4,FALSE)/VLOOKUP(N86,Índices!$K$6:$N$3249,4,FALSE)</f>
        <v>-920154.6843085041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mergeCells count="1">
    <mergeCell ref="E1:N1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5" zoomScale="85" zoomScaleNormal="85" workbookViewId="0">
      <selection activeCell="F7" sqref="F7"/>
    </sheetView>
  </sheetViews>
  <sheetFormatPr defaultColWidth="9.140625" defaultRowHeight="15" customHeight="1"/>
  <cols>
    <col min="1" max="1" width="4.42578125" style="897" customWidth="1"/>
    <col min="2" max="2" width="27.28515625" style="897" customWidth="1"/>
    <col min="3" max="5" width="17.7109375" style="898" customWidth="1"/>
    <col min="6" max="7" width="17.7109375" style="897" customWidth="1"/>
    <col min="8" max="8" width="46.42578125" style="897" customWidth="1"/>
    <col min="9" max="9" width="14.7109375" style="897" customWidth="1"/>
    <col min="10" max="13" width="12.7109375" style="897" customWidth="1"/>
    <col min="14" max="17" width="9.140625" style="897"/>
    <col min="18" max="18" width="17" style="897" customWidth="1"/>
    <col min="19" max="19" width="14.28515625" style="897" customWidth="1"/>
    <col min="20" max="20" width="15.42578125" style="897" customWidth="1"/>
    <col min="21" max="21" width="13.85546875" style="897" customWidth="1"/>
    <col min="22" max="22" width="17.140625" style="897" customWidth="1"/>
    <col min="23" max="23" width="13" style="897" customWidth="1"/>
    <col min="24" max="24" width="14.140625" style="897" customWidth="1"/>
    <col min="25" max="25" width="17.7109375" style="897" customWidth="1"/>
    <col min="26" max="26" width="17" style="897" customWidth="1"/>
    <col min="27" max="27" width="14" style="897" customWidth="1"/>
    <col min="28" max="28" width="14.85546875" style="897" customWidth="1"/>
    <col min="29" max="16384" width="9.140625" style="897"/>
  </cols>
  <sheetData>
    <row r="1" spans="1:18" ht="14.45" customHeight="1"/>
    <row r="2" spans="1:18" ht="14.45" customHeight="1">
      <c r="B2" s="899" t="s">
        <v>1519</v>
      </c>
      <c r="C2" s="900"/>
      <c r="D2" s="900"/>
      <c r="E2" s="900"/>
      <c r="F2" s="901"/>
      <c r="G2" s="901"/>
      <c r="H2" s="902" t="s">
        <v>11</v>
      </c>
      <c r="I2" s="903">
        <f>Resultado!$D$6</f>
        <v>0</v>
      </c>
      <c r="J2" s="904"/>
      <c r="K2" s="904"/>
    </row>
    <row r="3" spans="1:18" ht="14.45" customHeight="1">
      <c r="B3" s="905"/>
      <c r="C3" s="906"/>
      <c r="D3" s="906"/>
      <c r="E3" s="906"/>
      <c r="H3" s="907" t="s">
        <v>12</v>
      </c>
      <c r="I3" s="908">
        <f>Resultado!$D$8</f>
        <v>0</v>
      </c>
      <c r="J3" s="904"/>
      <c r="K3" s="904"/>
    </row>
    <row r="4" spans="1:18" ht="14.45" customHeight="1">
      <c r="B4" s="904"/>
      <c r="C4" s="906"/>
      <c r="D4" s="906"/>
      <c r="E4" s="906"/>
      <c r="F4" s="909"/>
      <c r="G4" s="904"/>
      <c r="H4" s="904"/>
      <c r="I4" s="904"/>
      <c r="J4" s="904"/>
      <c r="K4" s="904"/>
    </row>
    <row r="5" spans="1:18" ht="15" customHeight="1">
      <c r="B5" s="904"/>
      <c r="C5" s="910"/>
      <c r="D5" s="906"/>
      <c r="E5" s="906"/>
      <c r="F5" s="909"/>
      <c r="G5" s="904"/>
      <c r="H5" s="904"/>
      <c r="I5" s="904"/>
      <c r="J5" s="904"/>
      <c r="K5" s="904"/>
      <c r="R5" s="1371" t="s">
        <v>1006</v>
      </c>
    </row>
    <row r="6" spans="1:18" s="914" customFormat="1" ht="15" customHeight="1">
      <c r="A6" s="911"/>
      <c r="B6" s="912"/>
      <c r="C6" s="913"/>
      <c r="D6" s="913"/>
      <c r="E6" s="913"/>
      <c r="F6" s="912"/>
      <c r="G6" s="912"/>
      <c r="H6" s="912"/>
      <c r="I6" s="912"/>
      <c r="J6" s="912"/>
      <c r="K6" s="912"/>
      <c r="R6" s="1653">
        <f>DATE(YEAR(R8),MONTH(R8)-1,1)</f>
        <v>44378</v>
      </c>
    </row>
    <row r="7" spans="1:18" s="914" customFormat="1" ht="15" customHeight="1">
      <c r="A7" s="911"/>
      <c r="B7" s="915" t="s">
        <v>1520</v>
      </c>
      <c r="C7" s="913"/>
      <c r="D7" s="916"/>
      <c r="E7" s="916"/>
      <c r="F7" s="917"/>
      <c r="G7" s="912"/>
      <c r="H7" s="912"/>
      <c r="I7" s="912"/>
      <c r="J7" s="912"/>
      <c r="K7" s="912"/>
      <c r="R7" s="1371" t="s">
        <v>1006</v>
      </c>
    </row>
    <row r="8" spans="1:18" ht="27.95" customHeight="1">
      <c r="B8" s="918" t="s">
        <v>906</v>
      </c>
      <c r="C8" s="918" t="s">
        <v>1521</v>
      </c>
      <c r="D8" s="918" t="s">
        <v>1522</v>
      </c>
      <c r="E8" s="918" t="s">
        <v>1523</v>
      </c>
      <c r="F8" s="904"/>
      <c r="G8" s="904"/>
      <c r="H8" s="904"/>
      <c r="I8" s="919"/>
      <c r="R8" s="1653">
        <f>DATE(YEAR(R10),MONTH(R10)-1,1)</f>
        <v>44409</v>
      </c>
    </row>
    <row r="9" spans="1:18" ht="14.45" customHeight="1">
      <c r="B9" s="1626" t="s">
        <v>1524</v>
      </c>
      <c r="C9" s="1627"/>
      <c r="D9" s="1627"/>
      <c r="E9" s="1627"/>
      <c r="F9" s="904"/>
      <c r="G9" s="447"/>
      <c r="H9" s="1372" t="s">
        <v>1525</v>
      </c>
      <c r="I9" s="1373">
        <v>-1121780.2467</v>
      </c>
      <c r="J9" s="1742"/>
      <c r="R9" s="1371" t="s">
        <v>1006</v>
      </c>
    </row>
    <row r="10" spans="1:18" ht="14.45" customHeight="1">
      <c r="B10" s="920" t="s">
        <v>46</v>
      </c>
      <c r="C10" s="921"/>
      <c r="D10" s="921"/>
      <c r="E10" s="921"/>
      <c r="F10" s="904"/>
      <c r="G10" s="447"/>
      <c r="H10" s="922" t="s">
        <v>1526</v>
      </c>
      <c r="I10" s="923">
        <f>Indexador!F173</f>
        <v>0</v>
      </c>
      <c r="R10" s="1653">
        <f>DATE(YEAR(R12),MONTH(R12)-1,1)</f>
        <v>44440</v>
      </c>
    </row>
    <row r="11" spans="1:18" ht="14.45" customHeight="1">
      <c r="B11" s="920" t="s">
        <v>1527</v>
      </c>
      <c r="C11" s="921"/>
      <c r="D11" s="921"/>
      <c r="E11" s="921"/>
      <c r="F11" s="904"/>
      <c r="G11" s="904"/>
      <c r="H11" s="922" t="s">
        <v>1528</v>
      </c>
      <c r="I11" s="924"/>
      <c r="R11" s="1371" t="s">
        <v>1006</v>
      </c>
    </row>
    <row r="12" spans="1:18" ht="14.45" customHeight="1">
      <c r="B12" s="920" t="s">
        <v>763</v>
      </c>
      <c r="C12" s="921"/>
      <c r="D12" s="921"/>
      <c r="E12" s="921"/>
      <c r="F12" s="904"/>
      <c r="G12" s="447"/>
      <c r="H12" s="922" t="s">
        <v>1529</v>
      </c>
      <c r="I12" s="924"/>
      <c r="R12" s="1653">
        <f>DATE(YEAR(R14),MONTH(R14)-1,1)</f>
        <v>44470</v>
      </c>
    </row>
    <row r="13" spans="1:18" ht="14.45" customHeight="1">
      <c r="B13" s="920" t="s">
        <v>1530</v>
      </c>
      <c r="C13" s="1741">
        <v>280664.60889999999</v>
      </c>
      <c r="D13" s="1741">
        <v>351442.16210000002</v>
      </c>
      <c r="E13" s="1741"/>
      <c r="F13" s="904"/>
      <c r="G13" s="1741"/>
      <c r="H13" s="922" t="s">
        <v>1531</v>
      </c>
      <c r="I13" s="1654"/>
      <c r="R13" s="1371" t="s">
        <v>1006</v>
      </c>
    </row>
    <row r="14" spans="1:18" ht="14.45" customHeight="1">
      <c r="B14" s="920" t="s">
        <v>165</v>
      </c>
      <c r="C14" s="1741"/>
      <c r="D14" s="1741"/>
      <c r="E14" s="1741"/>
      <c r="F14" s="904"/>
      <c r="G14" s="1741"/>
      <c r="H14" s="1372" t="s">
        <v>1532</v>
      </c>
      <c r="I14" s="1374">
        <v>1970851.6021289099</v>
      </c>
      <c r="J14" s="904"/>
      <c r="K14" s="904"/>
      <c r="R14" s="1653">
        <f>DATE(YEAR(R16),MONTH(R16)-1,1)</f>
        <v>44501</v>
      </c>
    </row>
    <row r="15" spans="1:18" ht="14.45" customHeight="1">
      <c r="B15" s="920" t="s">
        <v>1533</v>
      </c>
      <c r="C15" s="1741"/>
      <c r="D15" s="1741"/>
      <c r="E15" s="1741"/>
      <c r="F15" s="904"/>
      <c r="G15" s="1741"/>
      <c r="H15" s="1655" t="s">
        <v>1534</v>
      </c>
      <c r="I15" s="1656">
        <f>Indexador!N49</f>
        <v>-2077950.0823306313</v>
      </c>
      <c r="J15" s="904"/>
      <c r="K15" s="904"/>
      <c r="R15" s="1371" t="s">
        <v>1006</v>
      </c>
    </row>
    <row r="16" spans="1:18" ht="14.45" customHeight="1">
      <c r="B16" s="920" t="s">
        <v>56</v>
      </c>
      <c r="C16" s="1741"/>
      <c r="D16" s="1741"/>
      <c r="E16" s="1741"/>
      <c r="F16" s="905"/>
      <c r="G16" s="1741"/>
      <c r="H16" s="904"/>
      <c r="I16" s="919"/>
      <c r="J16" s="904"/>
      <c r="K16" s="904"/>
      <c r="R16" s="1653">
        <f>DATE(YEAR(R18),MONTH(R18)-1,1)</f>
        <v>44531</v>
      </c>
    </row>
    <row r="17" spans="1:18" ht="14.45" customHeight="1">
      <c r="B17" s="920" t="s">
        <v>51</v>
      </c>
      <c r="C17" s="1741">
        <v>2226559.7409999999</v>
      </c>
      <c r="D17" s="1741">
        <v>2353444.7437</v>
      </c>
      <c r="E17" s="1741"/>
      <c r="F17" s="904"/>
      <c r="G17" s="1741"/>
      <c r="H17" s="904"/>
      <c r="I17" s="904"/>
      <c r="J17" s="904"/>
      <c r="K17" s="904"/>
      <c r="R17" s="1371" t="s">
        <v>1006</v>
      </c>
    </row>
    <row r="18" spans="1:18" ht="14.45" customHeight="1">
      <c r="B18" s="925" t="s">
        <v>897</v>
      </c>
      <c r="C18" s="926">
        <f>SUM(C9:C17)</f>
        <v>2507224.3498999998</v>
      </c>
      <c r="D18" s="926">
        <f t="shared" ref="D18:E18" si="0">SUM(D9:D17)</f>
        <v>2704886.9057999998</v>
      </c>
      <c r="E18" s="926">
        <f t="shared" si="0"/>
        <v>0</v>
      </c>
      <c r="F18" s="904"/>
      <c r="G18" s="1747"/>
      <c r="H18" s="904"/>
      <c r="I18" s="1747"/>
      <c r="J18" s="904"/>
      <c r="K18" s="904"/>
      <c r="R18" s="1653">
        <f>DATE(YEAR(R20),MONTH(R20)-1,1)</f>
        <v>44562</v>
      </c>
    </row>
    <row r="19" spans="1:18" ht="14.45" hidden="1" customHeight="1">
      <c r="B19" s="904"/>
      <c r="C19" s="906"/>
      <c r="D19" s="906"/>
      <c r="E19" s="906"/>
      <c r="F19" s="904"/>
      <c r="G19" s="904"/>
      <c r="R19" s="1371" t="s">
        <v>1006</v>
      </c>
    </row>
    <row r="20" spans="1:18" ht="14.45" customHeight="1">
      <c r="B20" s="904"/>
      <c r="C20" s="906"/>
      <c r="D20" s="906"/>
      <c r="E20" s="906"/>
      <c r="F20" s="904"/>
      <c r="G20" s="904"/>
      <c r="R20" s="1653">
        <f>DATE(YEAR(R22),MONTH(R22)-1,1)</f>
        <v>44593</v>
      </c>
    </row>
    <row r="21" spans="1:18" s="914" customFormat="1" ht="14.45" customHeight="1">
      <c r="A21" s="911"/>
      <c r="B21" s="912"/>
      <c r="C21" s="913"/>
      <c r="D21" s="913"/>
      <c r="E21" s="913"/>
      <c r="F21" s="912"/>
      <c r="G21" s="912"/>
      <c r="R21" s="1371" t="s">
        <v>1006</v>
      </c>
    </row>
    <row r="22" spans="1:18" ht="14.45" customHeight="1">
      <c r="B22" s="915" t="s">
        <v>1535</v>
      </c>
      <c r="C22" s="906"/>
      <c r="D22" s="906"/>
      <c r="E22" s="906"/>
      <c r="F22" s="904"/>
      <c r="G22" s="904"/>
      <c r="R22" s="1653">
        <f>DATE(YEAR(R24),MONTH(R24)-1,1)</f>
        <v>44621</v>
      </c>
    </row>
    <row r="23" spans="1:18" ht="42" customHeight="1">
      <c r="B23" s="1375" t="s">
        <v>906</v>
      </c>
      <c r="C23" s="1375" t="s">
        <v>1536</v>
      </c>
      <c r="D23" s="1375" t="s">
        <v>1537</v>
      </c>
      <c r="E23" s="1375" t="s">
        <v>1538</v>
      </c>
      <c r="F23" s="1375" t="s">
        <v>1539</v>
      </c>
      <c r="G23" s="1375" t="s">
        <v>1540</v>
      </c>
      <c r="R23" s="1371" t="s">
        <v>1006</v>
      </c>
    </row>
    <row r="24" spans="1:18" ht="14.45" customHeight="1">
      <c r="B24" s="1376" t="s">
        <v>1524</v>
      </c>
      <c r="C24" s="1377">
        <f>BD!AM7</f>
        <v>0</v>
      </c>
      <c r="D24" s="927"/>
      <c r="E24" s="1628">
        <f t="shared" ref="E24:E32" si="1">D24-C24</f>
        <v>0</v>
      </c>
      <c r="F24" s="1629"/>
      <c r="G24" s="1629"/>
      <c r="H24" s="907"/>
      <c r="I24" s="932"/>
      <c r="J24" s="932"/>
      <c r="K24" s="960"/>
      <c r="R24" s="1653">
        <f>DATE(YEAR(R26),MONTH(R26)-1,1)</f>
        <v>44652</v>
      </c>
    </row>
    <row r="25" spans="1:18" ht="14.45" customHeight="1">
      <c r="B25" s="928" t="s">
        <v>46</v>
      </c>
      <c r="C25" s="929">
        <f>BD!AM8</f>
        <v>0</v>
      </c>
      <c r="D25" s="930"/>
      <c r="E25" s="931">
        <f t="shared" si="1"/>
        <v>0</v>
      </c>
      <c r="F25" s="932">
        <f ca="1">M66</f>
        <v>0</v>
      </c>
      <c r="G25" s="961" t="e">
        <f ca="1">(D25+D39)/$D$33*Indexador!$X$80-M67</f>
        <v>#DIV/0!</v>
      </c>
      <c r="H25" s="907"/>
      <c r="I25" s="932"/>
      <c r="J25" s="932"/>
      <c r="K25" s="919"/>
      <c r="R25" s="1371" t="s">
        <v>1006</v>
      </c>
    </row>
    <row r="26" spans="1:18" ht="14.45" customHeight="1">
      <c r="B26" s="928" t="s">
        <v>1527</v>
      </c>
      <c r="C26" s="929">
        <f>BD!AM14</f>
        <v>0</v>
      </c>
      <c r="D26" s="930"/>
      <c r="E26" s="931">
        <f t="shared" si="1"/>
        <v>0</v>
      </c>
      <c r="F26" s="932">
        <f ca="1">X66</f>
        <v>0</v>
      </c>
      <c r="G26" s="961" t="e">
        <f ca="1">(D26+D40)/$D$33*Indexador!$X$80-X67</f>
        <v>#DIV/0!</v>
      </c>
      <c r="H26" s="907"/>
      <c r="I26" s="932"/>
      <c r="J26" s="932"/>
      <c r="K26" s="919"/>
      <c r="R26" s="1653">
        <f>DATE(YEAR(R28),MONTH(R28)-1,1)</f>
        <v>44682</v>
      </c>
    </row>
    <row r="27" spans="1:18" ht="14.45" customHeight="1">
      <c r="B27" s="928" t="s">
        <v>763</v>
      </c>
      <c r="C27" s="929">
        <f>BD!AM6</f>
        <v>0</v>
      </c>
      <c r="D27" s="930"/>
      <c r="E27" s="933">
        <f t="shared" si="1"/>
        <v>0</v>
      </c>
      <c r="F27" s="934">
        <f ca="1">L66</f>
        <v>0</v>
      </c>
      <c r="G27" s="962" t="e">
        <f ca="1">D27/$D$33*Indexador!$X$80-L67</f>
        <v>#DIV/0!</v>
      </c>
      <c r="H27" s="907"/>
      <c r="I27" s="934"/>
      <c r="J27" s="934"/>
      <c r="K27" s="919"/>
      <c r="R27" s="1371" t="s">
        <v>1006</v>
      </c>
    </row>
    <row r="28" spans="1:18" ht="14.45" customHeight="1">
      <c r="B28" s="928" t="s">
        <v>1530</v>
      </c>
      <c r="C28" s="929">
        <f>BD!AM13</f>
        <v>0</v>
      </c>
      <c r="D28" s="930"/>
      <c r="E28" s="933">
        <f t="shared" si="1"/>
        <v>0</v>
      </c>
      <c r="F28" s="934">
        <f ca="1">K66</f>
        <v>0</v>
      </c>
      <c r="G28" s="962" t="e">
        <f ca="1">(IF(C42=0,D28,C42)+D42)/$D$33*Indexador!$X$80-K67</f>
        <v>#DIV/0!</v>
      </c>
      <c r="H28" s="907"/>
      <c r="I28" s="934"/>
      <c r="J28" s="934"/>
      <c r="K28" s="919"/>
      <c r="R28" s="1653">
        <f>B65</f>
        <v>44713</v>
      </c>
    </row>
    <row r="29" spans="1:18" ht="14.45" customHeight="1">
      <c r="B29" s="928" t="s">
        <v>165</v>
      </c>
      <c r="C29" s="929">
        <f>BD!AM9</f>
        <v>0</v>
      </c>
      <c r="D29" s="930"/>
      <c r="E29" s="933">
        <f t="shared" si="1"/>
        <v>0</v>
      </c>
      <c r="F29" s="934">
        <f ca="1">N66</f>
        <v>0</v>
      </c>
      <c r="G29" s="962" t="e">
        <f ca="1">D29/$D$33*Indexador!$X$80-N67</f>
        <v>#DIV/0!</v>
      </c>
      <c r="H29" s="907"/>
      <c r="I29" s="934"/>
      <c r="J29" s="934"/>
      <c r="K29" s="919"/>
    </row>
    <row r="30" spans="1:18" ht="14.45" customHeight="1">
      <c r="B30" s="928" t="s">
        <v>1533</v>
      </c>
      <c r="C30" s="929">
        <f>BD!AM12</f>
        <v>0</v>
      </c>
      <c r="D30" s="930"/>
      <c r="E30" s="933">
        <f t="shared" si="1"/>
        <v>0</v>
      </c>
      <c r="F30" s="934">
        <f ca="1">O66</f>
        <v>0</v>
      </c>
      <c r="G30" s="962" t="e">
        <f ca="1">D30/$D$33*Indexador!$X$80-O67</f>
        <v>#DIV/0!</v>
      </c>
      <c r="H30" s="904"/>
      <c r="I30" s="934"/>
      <c r="J30" s="934"/>
      <c r="K30" s="919"/>
    </row>
    <row r="31" spans="1:18" ht="14.45" customHeight="1">
      <c r="B31" s="928" t="s">
        <v>56</v>
      </c>
      <c r="C31" s="929">
        <f>BD!AM11</f>
        <v>0</v>
      </c>
      <c r="D31" s="930"/>
      <c r="E31" s="933">
        <f t="shared" si="1"/>
        <v>0</v>
      </c>
      <c r="F31" s="934">
        <f ca="1">Q66</f>
        <v>0</v>
      </c>
      <c r="G31" s="962" t="e">
        <f ca="1">D31/$D$33*Indexador!$X$80-Q67</f>
        <v>#DIV/0!</v>
      </c>
      <c r="I31" s="934"/>
      <c r="J31" s="934"/>
      <c r="K31" s="904"/>
    </row>
    <row r="32" spans="1:18" ht="14.45" customHeight="1">
      <c r="B32" s="1657" t="s">
        <v>51</v>
      </c>
      <c r="C32" s="935">
        <f>BD!AM10</f>
        <v>0</v>
      </c>
      <c r="D32" s="930"/>
      <c r="E32" s="936">
        <f t="shared" si="1"/>
        <v>0</v>
      </c>
      <c r="F32" s="937">
        <f ca="1">P66</f>
        <v>0</v>
      </c>
      <c r="G32" s="963" t="e">
        <f ca="1">IF(C46=0,D32,C46)/$D$33*Indexador!$X$80-P67</f>
        <v>#DIV/0!</v>
      </c>
      <c r="I32" s="934"/>
      <c r="J32" s="934"/>
      <c r="K32" s="904"/>
    </row>
    <row r="33" spans="2:11" ht="14.45" customHeight="1">
      <c r="B33" s="925" t="s">
        <v>897</v>
      </c>
      <c r="C33" s="938">
        <f>SUM(C24:C32)</f>
        <v>0</v>
      </c>
      <c r="D33" s="1378">
        <f>SUM(D24:D32)</f>
        <v>0</v>
      </c>
      <c r="E33" s="938">
        <f>SUM(E24:E32)</f>
        <v>0</v>
      </c>
      <c r="F33" s="939">
        <f ca="1">SUM(F24:F32)</f>
        <v>0</v>
      </c>
      <c r="G33" s="939" t="e">
        <f ca="1">SUM(G24:G32)</f>
        <v>#DIV/0!</v>
      </c>
      <c r="I33" s="959"/>
      <c r="J33" s="959"/>
      <c r="K33" s="904"/>
    </row>
    <row r="34" spans="2:11" ht="14.45" customHeight="1">
      <c r="B34" s="904"/>
      <c r="C34" s="940"/>
      <c r="D34" s="906"/>
      <c r="E34" s="906"/>
      <c r="F34" s="904"/>
      <c r="G34" s="904"/>
      <c r="K34" s="904"/>
    </row>
    <row r="35" spans="2:11" ht="14.45" customHeight="1">
      <c r="B35" s="904"/>
      <c r="C35" s="906"/>
      <c r="D35" s="906"/>
      <c r="E35" s="906"/>
      <c r="F35" s="447"/>
      <c r="G35" s="904"/>
      <c r="K35" s="904"/>
    </row>
    <row r="36" spans="2:11" ht="14.45" customHeight="1">
      <c r="B36" s="915" t="s">
        <v>1541</v>
      </c>
      <c r="C36" s="940"/>
      <c r="D36" s="906"/>
      <c r="E36" s="906"/>
      <c r="F36" s="904"/>
      <c r="G36" s="941"/>
      <c r="K36" s="904"/>
    </row>
    <row r="37" spans="2:11" ht="43.5" customHeight="1">
      <c r="B37" s="1379" t="s">
        <v>906</v>
      </c>
      <c r="C37" s="1379" t="s">
        <v>1542</v>
      </c>
      <c r="D37" s="1379" t="s">
        <v>1543</v>
      </c>
      <c r="E37" s="942"/>
      <c r="F37" s="447"/>
      <c r="G37" s="904"/>
      <c r="H37" s="904"/>
      <c r="I37" s="904"/>
      <c r="J37" s="904"/>
      <c r="K37" s="904"/>
    </row>
    <row r="38" spans="2:11" ht="14.45" customHeight="1">
      <c r="B38" s="1626" t="s">
        <v>1524</v>
      </c>
      <c r="C38" s="1630"/>
      <c r="D38" s="943"/>
      <c r="E38" s="942"/>
      <c r="F38" s="447"/>
      <c r="G38" s="904"/>
      <c r="H38" s="904"/>
      <c r="I38" s="904"/>
      <c r="J38" s="904"/>
      <c r="K38" s="904"/>
    </row>
    <row r="39" spans="2:11" ht="14.45" customHeight="1">
      <c r="B39" s="920" t="s">
        <v>46</v>
      </c>
      <c r="C39" s="944"/>
      <c r="D39" s="945">
        <v>0</v>
      </c>
      <c r="E39" s="942"/>
      <c r="F39" s="447"/>
      <c r="G39" s="447"/>
      <c r="H39" s="904"/>
      <c r="I39" s="904"/>
      <c r="J39" s="904"/>
      <c r="K39" s="904"/>
    </row>
    <row r="40" spans="2:11" ht="14.45" customHeight="1">
      <c r="B40" s="920" t="s">
        <v>1527</v>
      </c>
      <c r="C40" s="946"/>
      <c r="D40" s="945">
        <v>0</v>
      </c>
      <c r="E40" s="942"/>
      <c r="F40" s="447"/>
      <c r="G40" s="904"/>
      <c r="H40" s="904"/>
      <c r="I40" s="904"/>
      <c r="J40" s="904"/>
      <c r="K40" s="904"/>
    </row>
    <row r="41" spans="2:11" ht="14.45" customHeight="1">
      <c r="B41" s="920" t="s">
        <v>763</v>
      </c>
      <c r="C41" s="946"/>
      <c r="D41" s="947"/>
      <c r="E41" s="942"/>
      <c r="F41" s="447"/>
      <c r="G41" s="904"/>
      <c r="H41" s="904"/>
      <c r="I41" s="904"/>
      <c r="J41" s="904"/>
      <c r="K41" s="904"/>
    </row>
    <row r="42" spans="2:11" ht="14.45" customHeight="1">
      <c r="B42" s="920" t="s">
        <v>1530</v>
      </c>
      <c r="C42" s="948"/>
      <c r="D42" s="945">
        <v>0</v>
      </c>
      <c r="E42" s="942"/>
      <c r="F42" s="447"/>
      <c r="G42" s="904"/>
      <c r="H42" s="904"/>
      <c r="I42" s="904"/>
      <c r="J42" s="904"/>
      <c r="K42" s="904"/>
    </row>
    <row r="43" spans="2:11" ht="14.45" customHeight="1">
      <c r="B43" s="920" t="s">
        <v>165</v>
      </c>
      <c r="C43" s="949"/>
      <c r="D43" s="943"/>
      <c r="E43" s="942"/>
      <c r="F43" s="447"/>
      <c r="G43" s="904"/>
      <c r="H43" s="904"/>
      <c r="I43" s="904"/>
      <c r="J43" s="904"/>
      <c r="K43" s="904"/>
    </row>
    <row r="44" spans="2:11" ht="14.45" customHeight="1">
      <c r="B44" s="920" t="s">
        <v>1533</v>
      </c>
      <c r="C44" s="949"/>
      <c r="D44" s="943"/>
      <c r="E44" s="942"/>
      <c r="F44" s="447"/>
      <c r="G44" s="904"/>
      <c r="H44" s="904"/>
      <c r="I44" s="904"/>
      <c r="J44" s="904"/>
      <c r="K44" s="904"/>
    </row>
    <row r="45" spans="2:11" ht="14.45" customHeight="1">
      <c r="B45" s="920" t="s">
        <v>56</v>
      </c>
      <c r="C45" s="949"/>
      <c r="D45" s="943"/>
      <c r="E45" s="942"/>
      <c r="F45" s="447"/>
      <c r="G45" s="904"/>
      <c r="H45" s="904"/>
      <c r="I45" s="904"/>
      <c r="J45" s="904"/>
      <c r="K45" s="904"/>
    </row>
    <row r="46" spans="2:11" ht="14.45" customHeight="1">
      <c r="B46" s="1657" t="s">
        <v>51</v>
      </c>
      <c r="C46" s="950"/>
      <c r="D46" s="951"/>
      <c r="E46" s="942"/>
      <c r="F46" s="447"/>
      <c r="G46" s="904"/>
      <c r="H46" s="904"/>
      <c r="I46" s="904"/>
      <c r="J46" s="904"/>
      <c r="K46" s="904"/>
    </row>
    <row r="47" spans="2:11" ht="14.45" customHeight="1">
      <c r="B47" s="447"/>
      <c r="C47" s="942"/>
      <c r="D47" s="942"/>
      <c r="E47" s="942"/>
      <c r="F47" s="447"/>
      <c r="G47" s="904"/>
      <c r="H47" s="904"/>
      <c r="I47" s="904"/>
      <c r="J47" s="904"/>
      <c r="K47" s="904"/>
    </row>
    <row r="48" spans="2:11" ht="14.45" customHeight="1">
      <c r="B48" s="65"/>
      <c r="C48" s="952"/>
      <c r="D48" s="952"/>
      <c r="E48" s="952"/>
      <c r="F48" s="65"/>
    </row>
    <row r="49" spans="2:28" ht="14.45" customHeight="1">
      <c r="B49" s="65"/>
      <c r="C49" s="952"/>
      <c r="D49" s="952"/>
      <c r="E49" s="952"/>
      <c r="F49" s="65"/>
    </row>
    <row r="50" spans="2:28" ht="14.45" customHeight="1"/>
    <row r="52" spans="2:28" ht="15" customHeight="1">
      <c r="B52" s="888" t="s">
        <v>1055</v>
      </c>
      <c r="C52" s="888"/>
      <c r="D52" s="888"/>
      <c r="E52" s="888"/>
      <c r="F52" s="888"/>
      <c r="G52" s="888"/>
      <c r="H52" s="888"/>
      <c r="I52" s="888"/>
      <c r="J52" s="888"/>
      <c r="K52" s="953"/>
      <c r="L52" s="953"/>
      <c r="M52" s="953"/>
      <c r="N52" s="953"/>
      <c r="O52" s="953"/>
      <c r="P52" s="953"/>
      <c r="Q52" s="953"/>
      <c r="R52" s="953"/>
      <c r="S52" s="953"/>
      <c r="T52" s="953"/>
      <c r="U52" s="953"/>
      <c r="V52" s="953"/>
      <c r="W52" s="953"/>
      <c r="X52" s="953"/>
      <c r="Y52" s="953"/>
      <c r="Z52" s="953"/>
      <c r="AA52" s="953"/>
      <c r="AB52" s="953"/>
    </row>
    <row r="53" spans="2:28" ht="15" customHeight="1">
      <c r="B53" s="1380" t="s">
        <v>1056</v>
      </c>
      <c r="C53" s="1380"/>
      <c r="D53" s="954" t="s">
        <v>1020</v>
      </c>
      <c r="E53" s="954" t="s">
        <v>54</v>
      </c>
      <c r="F53" s="954" t="s">
        <v>1023</v>
      </c>
      <c r="G53" s="954" t="s">
        <v>52</v>
      </c>
      <c r="H53" s="954" t="s">
        <v>46</v>
      </c>
      <c r="I53" s="954" t="s">
        <v>44</v>
      </c>
      <c r="J53" s="954" t="s">
        <v>165</v>
      </c>
      <c r="K53" s="954" t="s">
        <v>1117</v>
      </c>
      <c r="L53" s="954" t="s">
        <v>1118</v>
      </c>
      <c r="M53" s="954" t="s">
        <v>1111</v>
      </c>
      <c r="N53" s="954" t="s">
        <v>1115</v>
      </c>
      <c r="O53" s="954" t="s">
        <v>1113</v>
      </c>
      <c r="P53" s="954" t="s">
        <v>1114</v>
      </c>
      <c r="Q53" s="954" t="s">
        <v>1112</v>
      </c>
      <c r="R53" s="1381" t="s">
        <v>1544</v>
      </c>
      <c r="S53" s="954" t="s">
        <v>1131</v>
      </c>
      <c r="T53" s="954" t="s">
        <v>1132</v>
      </c>
      <c r="U53" s="954" t="s">
        <v>1133</v>
      </c>
      <c r="V53" s="954" t="s">
        <v>1130</v>
      </c>
      <c r="W53" s="954" t="s">
        <v>1134</v>
      </c>
      <c r="X53" s="954" t="s">
        <v>1116</v>
      </c>
      <c r="Y53" s="954" t="s">
        <v>1110</v>
      </c>
      <c r="Z53" s="954" t="s">
        <v>1087</v>
      </c>
      <c r="AA53" s="954" t="s">
        <v>1545</v>
      </c>
      <c r="AB53" s="954" t="s">
        <v>1146</v>
      </c>
    </row>
    <row r="54" spans="2:28" ht="15" customHeight="1">
      <c r="B54" s="955">
        <f t="shared" ref="B54:B64" si="2">DATE(YEAR(B55),MONTH(B55)-1,1)</f>
        <v>44378</v>
      </c>
      <c r="C54" s="956"/>
      <c r="D54" s="1382" cm="1">
        <f t="array" aca="1" ref="D54" ca="1">DSUM(MercadoBase1,D$53,INDIRECT("r"&amp;5+2*(ROW()-54)&amp;":r"&amp;6+2*(ROW()-54)))</f>
        <v>0</v>
      </c>
      <c r="E54" s="1382" cm="1">
        <f t="array" aca="1" ref="E54" ca="1">DSUM(MercadoBase1,E$53,INDIRECT("r"&amp;5+2*(ROW()-54)&amp;":r"&amp;6+2*(ROW()-54)))</f>
        <v>0</v>
      </c>
      <c r="F54" s="1382" cm="1">
        <f t="array" aca="1" ref="F54" ca="1">DSUM(MercadoBase1,F$53,INDIRECT("r"&amp;5+2*(ROW()-54)&amp;":r"&amp;6+2*(ROW()-54)))</f>
        <v>42424.921266169506</v>
      </c>
      <c r="G54" s="1382" cm="1">
        <f t="array" aca="1" ref="G54" ca="1">DSUM(MercadoBase1,G$53,INDIRECT("r"&amp;5+2*(ROW()-54)&amp;":r"&amp;6+2*(ROW()-54)))</f>
        <v>77577.2484953495</v>
      </c>
      <c r="H54" s="1382" cm="1">
        <f t="array" aca="1" ref="H54" ca="1">DSUM(MercadoBase1,H$53,INDIRECT("r"&amp;5+2*(ROW()-54)&amp;":r"&amp;6+2*(ROW()-54)))</f>
        <v>488239.1859562645</v>
      </c>
      <c r="I54" s="1382" cm="1">
        <f t="array" aca="1" ref="I54" ca="1">DSUM(MercadoBase1,I$53,INDIRECT("r"&amp;5+2*(ROW()-54)&amp;":r"&amp;6+2*(ROW()-54)))</f>
        <v>15413.945242701908</v>
      </c>
      <c r="J54" s="1382" cm="1">
        <f t="array" aca="1" ref="J54" ca="1">DSUM(MercadoBase1,J$53,INDIRECT("r"&amp;5+2*(ROW()-54)&amp;":r"&amp;6+2*(ROW()-54)))</f>
        <v>0</v>
      </c>
      <c r="K54" s="1382" cm="1">
        <f t="array" aca="1" ref="K54" ca="1">DSUM(MercadoBase1,K$53,INDIRECT("r"&amp;5+2*(ROW()-54)&amp;":r"&amp;6+2*(ROW()-54)))</f>
        <v>0</v>
      </c>
      <c r="L54" s="1382" cm="1">
        <f t="array" aca="1" ref="L54" ca="1">DSUM(MercadoBase1,L$53,INDIRECT("r"&amp;5+2*(ROW()-54)&amp;":r"&amp;6+2*(ROW()-54)))</f>
        <v>0</v>
      </c>
      <c r="M54" s="1382" cm="1">
        <f t="array" aca="1" ref="M54" ca="1">DSUM(MercadoBase1,M$53,INDIRECT("r"&amp;5+2*(ROW()-54)&amp;":r"&amp;6+2*(ROW()-54)))</f>
        <v>0</v>
      </c>
      <c r="N54" s="1382" cm="1">
        <f t="array" aca="1" ref="N54" ca="1">DSUM(MercadoBase1,N$53,INDIRECT("r"&amp;5+2*(ROW()-54)&amp;":r"&amp;6+2*(ROW()-54)))</f>
        <v>0</v>
      </c>
      <c r="O54" s="1382" cm="1">
        <f t="array" aca="1" ref="O54" ca="1">DSUM(MercadoBase1,O$53,INDIRECT("r"&amp;5+2*(ROW()-54)&amp;":r"&amp;6+2*(ROW()-54)))</f>
        <v>0</v>
      </c>
      <c r="P54" s="1382" cm="1">
        <f t="array" aca="1" ref="P54" ca="1">DSUM(MercadoBase1,P$53,INDIRECT("r"&amp;5+2*(ROW()-54)&amp;":r"&amp;6+2*(ROW()-54)))</f>
        <v>0</v>
      </c>
      <c r="Q54" s="1383" cm="1">
        <f t="array" aca="1" ref="Q54" ca="1">DSUM(MercadoBase1,Q$53,INDIRECT("r"&amp;5+2*(ROW()-54)&amp;":r"&amp;6+2*(ROW()-54)))</f>
        <v>0</v>
      </c>
      <c r="R54" s="1384">
        <f>VLOOKUP(CAPA!$C$17,Índices!B:F,5,FALSE)/VLOOKUP(DATE(YEAR(B54),MONTH(B54),1),Índices!B:F,5,FALSE)</f>
        <v>1.0830593980554473</v>
      </c>
      <c r="S54" s="1385" cm="1">
        <f t="array" aca="1" ref="S54" ca="1">DSUM(MercadoBase1,S$53,INDIRECT("r"&amp;5+2*(ROW()-54)&amp;":r"&amp;6+2*(ROW()-54)))</f>
        <v>0</v>
      </c>
      <c r="T54" s="1382" cm="1">
        <f t="array" aca="1" ref="T54" ca="1">DSUM(MercadoBase1,T$53,INDIRECT("r"&amp;5+2*(ROW()-54)&amp;":r"&amp;6+2*(ROW()-54)))</f>
        <v>0</v>
      </c>
      <c r="U54" s="1382" cm="1">
        <f t="array" aca="1" ref="U54" ca="1">DSUM(MercadoBase1,U$53,INDIRECT("r"&amp;5+2*(ROW()-54)&amp;":r"&amp;6+2*(ROW()-54)))</f>
        <v>0</v>
      </c>
      <c r="V54" s="1382" cm="1">
        <f t="array" aca="1" ref="V54" ca="1">DSUM(MercadoBase1,V$53,INDIRECT("r"&amp;5+2*(ROW()-54)&amp;":r"&amp;6+2*(ROW()-54)))</f>
        <v>0</v>
      </c>
      <c r="W54" s="1382" cm="1">
        <f t="array" aca="1" ref="W54" ca="1">DSUM(MercadoBase1,W$53,INDIRECT("r"&amp;5+2*(ROW()-54)&amp;":r"&amp;6+2*(ROW()-54)))</f>
        <v>0</v>
      </c>
      <c r="X54" s="1382" cm="1">
        <f t="array" aca="1" ref="X54" ca="1">DSUM(MercadoBase1,X$53,INDIRECT("r"&amp;5+2*(ROW()-54)&amp;":r"&amp;6+2*(ROW()-54)))</f>
        <v>0</v>
      </c>
      <c r="Y54" s="1382" cm="1">
        <f t="array" aca="1" ref="Y54" ca="1">DSUM(MercadoBase1,Y$53,INDIRECT("r"&amp;5+2*(ROW()-54)&amp;":r"&amp;6+2*(ROW()-54)))</f>
        <v>0</v>
      </c>
      <c r="Z54" s="1382" cm="1">
        <f t="array" aca="1" ref="Z54" ca="1">DSUM(MercadoBase1,Z$53,INDIRECT("r"&amp;5+2*(ROW()-54)&amp;":r"&amp;6+2*(ROW()-54)))</f>
        <v>3201301.1688546315</v>
      </c>
      <c r="AA54" s="1382" cm="1">
        <f t="array" aca="1" ref="AA54" ca="1">DSUM(MercadoBase1,AA$53,INDIRECT("r"&amp;5+2*(ROW()-54)&amp;":r"&amp;6+2*(ROW()-54)))</f>
        <v>0</v>
      </c>
      <c r="AB54" s="1382" cm="1">
        <f t="array" aca="1" ref="AB54" ca="1">DSUM(MercadoBase1,AB$53,INDIRECT("r"&amp;5+2*(ROW()-54)&amp;":r"&amp;6+2*(ROW()-54)))</f>
        <v>0</v>
      </c>
    </row>
    <row r="55" spans="2:28" ht="15" customHeight="1">
      <c r="B55" s="955">
        <f t="shared" si="2"/>
        <v>44409</v>
      </c>
      <c r="C55" s="956"/>
      <c r="D55" s="957" cm="1">
        <f t="array" aca="1" ref="D55" ca="1">DSUM(MercadoBase1,D$53,INDIRECT("r"&amp;5+2*(ROW()-54)&amp;":r"&amp;6+2*(ROW()-54)))</f>
        <v>0</v>
      </c>
      <c r="E55" s="957" cm="1">
        <f t="array" aca="1" ref="E55" ca="1">DSUM(MercadoBase1,E$53,INDIRECT("r"&amp;5+2*(ROW()-54)&amp;":r"&amp;6+2*(ROW()-54)))</f>
        <v>0</v>
      </c>
      <c r="F55" s="957" cm="1">
        <f t="array" aca="1" ref="F55" ca="1">DSUM(MercadoBase1,F$53,INDIRECT("r"&amp;5+2*(ROW()-54)&amp;":r"&amp;6+2*(ROW()-54)))</f>
        <v>43242.44319613996</v>
      </c>
      <c r="G55" s="957" cm="1">
        <f t="array" aca="1" ref="G55" ca="1">DSUM(MercadoBase1,G$53,INDIRECT("r"&amp;5+2*(ROW()-54)&amp;":r"&amp;6+2*(ROW()-54)))</f>
        <v>79069.806477312653</v>
      </c>
      <c r="H55" s="957" cm="1">
        <f t="array" aca="1" ref="H55" ca="1">DSUM(MercadoBase1,H$53,INDIRECT("r"&amp;5+2*(ROW()-54)&amp;":r"&amp;6+2*(ROW()-54)))</f>
        <v>497068.01753713831</v>
      </c>
      <c r="I55" s="957" cm="1">
        <f t="array" aca="1" ref="I55" ca="1">DSUM(MercadoBase1,I$53,INDIRECT("r"&amp;5+2*(ROW()-54)&amp;":r"&amp;6+2*(ROW()-54)))</f>
        <v>15638.155786629148</v>
      </c>
      <c r="J55" s="957" cm="1">
        <f t="array" aca="1" ref="J55" ca="1">DSUM(MercadoBase1,J$53,INDIRECT("r"&amp;5+2*(ROW()-54)&amp;":r"&amp;6+2*(ROW()-54)))</f>
        <v>0</v>
      </c>
      <c r="K55" s="957" cm="1">
        <f t="array" aca="1" ref="K55" ca="1">DSUM(MercadoBase1,K$53,INDIRECT("r"&amp;5+2*(ROW()-54)&amp;":r"&amp;6+2*(ROW()-54)))</f>
        <v>0</v>
      </c>
      <c r="L55" s="957" cm="1">
        <f t="array" aca="1" ref="L55" ca="1">DSUM(MercadoBase1,L$53,INDIRECT("r"&amp;5+2*(ROW()-54)&amp;":r"&amp;6+2*(ROW()-54)))</f>
        <v>0</v>
      </c>
      <c r="M55" s="957" cm="1">
        <f t="array" aca="1" ref="M55" ca="1">DSUM(MercadoBase1,M$53,INDIRECT("r"&amp;5+2*(ROW()-54)&amp;":r"&amp;6+2*(ROW()-54)))</f>
        <v>0</v>
      </c>
      <c r="N55" s="957" cm="1">
        <f t="array" aca="1" ref="N55" ca="1">DSUM(MercadoBase1,N$53,INDIRECT("r"&amp;5+2*(ROW()-54)&amp;":r"&amp;6+2*(ROW()-54)))</f>
        <v>0</v>
      </c>
      <c r="O55" s="957" cm="1">
        <f t="array" aca="1" ref="O55" ca="1">DSUM(MercadoBase1,O$53,INDIRECT("r"&amp;5+2*(ROW()-54)&amp;":r"&amp;6+2*(ROW()-54)))</f>
        <v>0</v>
      </c>
      <c r="P55" s="957" cm="1">
        <f t="array" aca="1" ref="P55" ca="1">DSUM(MercadoBase1,P$53,INDIRECT("r"&amp;5+2*(ROW()-54)&amp;":r"&amp;6+2*(ROW()-54)))</f>
        <v>0</v>
      </c>
      <c r="Q55" s="964" cm="1">
        <f t="array" aca="1" ref="Q55" ca="1">DSUM(MercadoBase1,Q$53,INDIRECT("r"&amp;5+2*(ROW()-54)&amp;":r"&amp;6+2*(ROW()-54)))</f>
        <v>0</v>
      </c>
      <c r="R55" s="958">
        <f>VLOOKUP(CAPA!$C$17,Índices!B:F,5,FALSE)/VLOOKUP(DATE(YEAR(B55),MONTH(B55),1),Índices!B:F,5,FALSE)</f>
        <v>1.0784441695152505</v>
      </c>
      <c r="S55" s="965" cm="1">
        <f t="array" aca="1" ref="S55" ca="1">DSUM(MercadoBase1,S$53,INDIRECT("r"&amp;5+2*(ROW()-54)&amp;":r"&amp;6+2*(ROW()-54)))</f>
        <v>0</v>
      </c>
      <c r="T55" s="957" cm="1">
        <f t="array" aca="1" ref="T55" ca="1">DSUM(MercadoBase1,T$53,INDIRECT("r"&amp;5+2*(ROW()-54)&amp;":r"&amp;6+2*(ROW()-54)))</f>
        <v>0</v>
      </c>
      <c r="U55" s="957" cm="1">
        <f t="array" aca="1" ref="U55" ca="1">DSUM(MercadoBase1,U$53,INDIRECT("r"&amp;5+2*(ROW()-54)&amp;":r"&amp;6+2*(ROW()-54)))</f>
        <v>0</v>
      </c>
      <c r="V55" s="957" cm="1">
        <f t="array" aca="1" ref="V55" ca="1">DSUM(MercadoBase1,V$53,INDIRECT("r"&amp;5+2*(ROW()-54)&amp;":r"&amp;6+2*(ROW()-54)))</f>
        <v>0</v>
      </c>
      <c r="W55" s="957" cm="1">
        <f t="array" aca="1" ref="W55" ca="1">DSUM(MercadoBase1,W$53,INDIRECT("r"&amp;5+2*(ROW()-54)&amp;":r"&amp;6+2*(ROW()-54)))</f>
        <v>0</v>
      </c>
      <c r="X55" s="957" cm="1">
        <f t="array" aca="1" ref="X55" ca="1">DSUM(MercadoBase1,X$53,INDIRECT("r"&amp;5+2*(ROW()-54)&amp;":r"&amp;6+2*(ROW()-54)))</f>
        <v>0</v>
      </c>
      <c r="Y55" s="957" cm="1">
        <f t="array" aca="1" ref="Y55" ca="1">DSUM(MercadoBase1,Y$53,INDIRECT("r"&amp;5+2*(ROW()-54)&amp;":r"&amp;6+2*(ROW()-54)))</f>
        <v>0</v>
      </c>
      <c r="Z55" s="957" cm="1">
        <f t="array" aca="1" ref="Z55" ca="1">DSUM(MercadoBase1,Z$53,INDIRECT("r"&amp;5+2*(ROW()-54)&amp;":r"&amp;6+2*(ROW()-54)))</f>
        <v>3260282.9307002854</v>
      </c>
      <c r="AA55" s="957" cm="1">
        <f t="array" aca="1" ref="AA55" ca="1">DSUM(MercadoBase1,AA$53,INDIRECT("r"&amp;5+2*(ROW()-54)&amp;":r"&amp;6+2*(ROW()-54)))</f>
        <v>0</v>
      </c>
      <c r="AB55" s="957" cm="1">
        <f t="array" aca="1" ref="AB55" ca="1">DSUM(MercadoBase1,AB$53,INDIRECT("r"&amp;5+2*(ROW()-54)&amp;":r"&amp;6+2*(ROW()-54)))</f>
        <v>0</v>
      </c>
    </row>
    <row r="56" spans="2:28" ht="15" customHeight="1">
      <c r="B56" s="955">
        <f t="shared" si="2"/>
        <v>44440</v>
      </c>
      <c r="C56" s="956"/>
      <c r="D56" s="957" cm="1">
        <f t="array" aca="1" ref="D56" ca="1">DSUM(MercadoBase1,D$53,INDIRECT("r"&amp;5+2*(ROW()-54)&amp;":r"&amp;6+2*(ROW()-54)))</f>
        <v>0</v>
      </c>
      <c r="E56" s="957" cm="1">
        <f t="array" aca="1" ref="E56" ca="1">DSUM(MercadoBase1,E$53,INDIRECT("r"&amp;5+2*(ROW()-54)&amp;":r"&amp;6+2*(ROW()-54)))</f>
        <v>0</v>
      </c>
      <c r="F56" s="957" cm="1">
        <f t="array" aca="1" ref="F56" ca="1">DSUM(MercadoBase1,F$53,INDIRECT("r"&amp;5+2*(ROW()-54)&amp;":r"&amp;6+2*(ROW()-54)))</f>
        <v>46046.003962369825</v>
      </c>
      <c r="G56" s="957" cm="1">
        <f t="array" aca="1" ref="G56" ca="1">DSUM(MercadoBase1,G$53,INDIRECT("r"&amp;5+2*(ROW()-54)&amp;":r"&amp;6+2*(ROW()-54)))</f>
        <v>84154.437624287137</v>
      </c>
      <c r="H56" s="957" cm="1">
        <f t="array" aca="1" ref="H56" ca="1">DSUM(MercadoBase1,H$53,INDIRECT("r"&amp;5+2*(ROW()-54)&amp;":r"&amp;6+2*(ROW()-54)))</f>
        <v>529761.15016803821</v>
      </c>
      <c r="I56" s="957" cm="1">
        <f t="array" aca="1" ref="I56" ca="1">DSUM(MercadoBase1,I$53,INDIRECT("r"&amp;5+2*(ROW()-54)&amp;":r"&amp;6+2*(ROW()-54)))</f>
        <v>16734.597090160823</v>
      </c>
      <c r="J56" s="957" cm="1">
        <f t="array" aca="1" ref="J56" ca="1">DSUM(MercadoBase1,J$53,INDIRECT("r"&amp;5+2*(ROW()-54)&amp;":r"&amp;6+2*(ROW()-54)))</f>
        <v>0</v>
      </c>
      <c r="K56" s="957" cm="1">
        <f t="array" aca="1" ref="K56" ca="1">DSUM(MercadoBase1,K$53,INDIRECT("r"&amp;5+2*(ROW()-54)&amp;":r"&amp;6+2*(ROW()-54)))</f>
        <v>0</v>
      </c>
      <c r="L56" s="957" cm="1">
        <f t="array" aca="1" ref="L56" ca="1">DSUM(MercadoBase1,L$53,INDIRECT("r"&amp;5+2*(ROW()-54)&amp;":r"&amp;6+2*(ROW()-54)))</f>
        <v>0</v>
      </c>
      <c r="M56" s="957" cm="1">
        <f t="array" aca="1" ref="M56" ca="1">DSUM(MercadoBase1,M$53,INDIRECT("r"&amp;5+2*(ROW()-54)&amp;":r"&amp;6+2*(ROW()-54)))</f>
        <v>0</v>
      </c>
      <c r="N56" s="957" cm="1">
        <f t="array" aca="1" ref="N56" ca="1">DSUM(MercadoBase1,N$53,INDIRECT("r"&amp;5+2*(ROW()-54)&amp;":r"&amp;6+2*(ROW()-54)))</f>
        <v>0</v>
      </c>
      <c r="O56" s="957" cm="1">
        <f t="array" aca="1" ref="O56" ca="1">DSUM(MercadoBase1,O$53,INDIRECT("r"&amp;5+2*(ROW()-54)&amp;":r"&amp;6+2*(ROW()-54)))</f>
        <v>0</v>
      </c>
      <c r="P56" s="957" cm="1">
        <f t="array" aca="1" ref="P56" ca="1">DSUM(MercadoBase1,P$53,INDIRECT("r"&amp;5+2*(ROW()-54)&amp;":r"&amp;6+2*(ROW()-54)))</f>
        <v>0</v>
      </c>
      <c r="Q56" s="964" cm="1">
        <f t="array" aca="1" ref="Q56" ca="1">DSUM(MercadoBase1,Q$53,INDIRECT("r"&amp;5+2*(ROW()-54)&amp;":r"&amp;6+2*(ROW()-54)))</f>
        <v>0</v>
      </c>
      <c r="R56" s="958">
        <f>VLOOKUP(CAPA!$C$17,Índices!B:F,5,FALSE)/VLOOKUP(DATE(YEAR(B56),MONTH(B56),1),Índices!B:F,5,FALSE)</f>
        <v>1.073698429626083</v>
      </c>
      <c r="S56" s="965" cm="1">
        <f t="array" aca="1" ref="S56" ca="1">DSUM(MercadoBase1,S$53,INDIRECT("r"&amp;5+2*(ROW()-54)&amp;":r"&amp;6+2*(ROW()-54)))</f>
        <v>0</v>
      </c>
      <c r="T56" s="957" cm="1">
        <f t="array" aca="1" ref="T56" ca="1">DSUM(MercadoBase1,T$53,INDIRECT("r"&amp;5+2*(ROW()-54)&amp;":r"&amp;6+2*(ROW()-54)))</f>
        <v>0</v>
      </c>
      <c r="U56" s="957" cm="1">
        <f t="array" aca="1" ref="U56" ca="1">DSUM(MercadoBase1,U$53,INDIRECT("r"&amp;5+2*(ROW()-54)&amp;":r"&amp;6+2*(ROW()-54)))</f>
        <v>0</v>
      </c>
      <c r="V56" s="957" cm="1">
        <f t="array" aca="1" ref="V56" ca="1">DSUM(MercadoBase1,V$53,INDIRECT("r"&amp;5+2*(ROW()-54)&amp;":r"&amp;6+2*(ROW()-54)))</f>
        <v>0</v>
      </c>
      <c r="W56" s="957" cm="1">
        <f t="array" aca="1" ref="W56" ca="1">DSUM(MercadoBase1,W$53,INDIRECT("r"&amp;5+2*(ROW()-54)&amp;":r"&amp;6+2*(ROW()-54)))</f>
        <v>0</v>
      </c>
      <c r="X56" s="957" cm="1">
        <f t="array" aca="1" ref="X56" ca="1">DSUM(MercadoBase1,X$53,INDIRECT("r"&amp;5+2*(ROW()-54)&amp;":r"&amp;6+2*(ROW()-54)))</f>
        <v>0</v>
      </c>
      <c r="Y56" s="957" cm="1">
        <f t="array" aca="1" ref="Y56" ca="1">DSUM(MercadoBase1,Y$53,INDIRECT("r"&amp;5+2*(ROW()-54)&amp;":r"&amp;6+2*(ROW()-54)))</f>
        <v>0</v>
      </c>
      <c r="Z56" s="957" cm="1">
        <f t="array" aca="1" ref="Z56" ca="1">DSUM(MercadoBase1,Z$53,INDIRECT("r"&amp;5+2*(ROW()-54)&amp;":r"&amp;6+2*(ROW()-54)))</f>
        <v>3438813.6396095087</v>
      </c>
      <c r="AA56" s="957" cm="1">
        <f t="array" aca="1" ref="AA56" ca="1">DSUM(MercadoBase1,AA$53,INDIRECT("r"&amp;5+2*(ROW()-54)&amp;":r"&amp;6+2*(ROW()-54)))</f>
        <v>0</v>
      </c>
      <c r="AB56" s="957" cm="1">
        <f t="array" aca="1" ref="AB56" ca="1">DSUM(MercadoBase1,AB$53,INDIRECT("r"&amp;5+2*(ROW()-54)&amp;":r"&amp;6+2*(ROW()-54)))</f>
        <v>0</v>
      </c>
    </row>
    <row r="57" spans="2:28" ht="15" customHeight="1">
      <c r="B57" s="955">
        <f t="shared" si="2"/>
        <v>44470</v>
      </c>
      <c r="C57" s="956"/>
      <c r="D57" s="957" cm="1">
        <f t="array" aca="1" ref="D57" ca="1">DSUM(MercadoBase1,D$53,INDIRECT("r"&amp;5+2*(ROW()-54)&amp;":r"&amp;6+2*(ROW()-54)))</f>
        <v>0</v>
      </c>
      <c r="E57" s="957" cm="1">
        <f t="array" aca="1" ref="E57" ca="1">DSUM(MercadoBase1,E$53,INDIRECT("r"&amp;5+2*(ROW()-54)&amp;":r"&amp;6+2*(ROW()-54)))</f>
        <v>0</v>
      </c>
      <c r="F57" s="957" cm="1">
        <f t="array" aca="1" ref="F57" ca="1">DSUM(MercadoBase1,F$53,INDIRECT("r"&amp;5+2*(ROW()-54)&amp;":r"&amp;6+2*(ROW()-54)))</f>
        <v>44064.99530724185</v>
      </c>
      <c r="G57" s="957" cm="1">
        <f t="array" aca="1" ref="G57" ca="1">DSUM(MercadoBase1,G$53,INDIRECT("r"&amp;5+2*(ROW()-54)&amp;":r"&amp;6+2*(ROW()-54)))</f>
        <v>80539.226315534601</v>
      </c>
      <c r="H57" s="957" cm="1">
        <f t="array" aca="1" ref="H57" ca="1">DSUM(MercadoBase1,H$53,INDIRECT("r"&amp;5+2*(ROW()-54)&amp;":r"&amp;6+2*(ROW()-54)))</f>
        <v>505496.41471011128</v>
      </c>
      <c r="I57" s="957" cm="1">
        <f t="array" aca="1" ref="I57" ca="1">DSUM(MercadoBase1,I$53,INDIRECT("r"&amp;5+2*(ROW()-54)&amp;":r"&amp;6+2*(ROW()-54)))</f>
        <v>15833.219337584149</v>
      </c>
      <c r="J57" s="957" cm="1">
        <f t="array" aca="1" ref="J57" ca="1">DSUM(MercadoBase1,J$53,INDIRECT("r"&amp;5+2*(ROW()-54)&amp;":r"&amp;6+2*(ROW()-54)))</f>
        <v>0</v>
      </c>
      <c r="K57" s="957" cm="1">
        <f t="array" aca="1" ref="K57" ca="1">DSUM(MercadoBase1,K$53,INDIRECT("r"&amp;5+2*(ROW()-54)&amp;":r"&amp;6+2*(ROW()-54)))</f>
        <v>0</v>
      </c>
      <c r="L57" s="957" cm="1">
        <f t="array" aca="1" ref="L57" ca="1">DSUM(MercadoBase1,L$53,INDIRECT("r"&amp;5+2*(ROW()-54)&amp;":r"&amp;6+2*(ROW()-54)))</f>
        <v>0</v>
      </c>
      <c r="M57" s="957" cm="1">
        <f t="array" aca="1" ref="M57" ca="1">DSUM(MercadoBase1,M$53,INDIRECT("r"&amp;5+2*(ROW()-54)&amp;":r"&amp;6+2*(ROW()-54)))</f>
        <v>0</v>
      </c>
      <c r="N57" s="957" cm="1">
        <f t="array" aca="1" ref="N57" ca="1">DSUM(MercadoBase1,N$53,INDIRECT("r"&amp;5+2*(ROW()-54)&amp;":r"&amp;6+2*(ROW()-54)))</f>
        <v>0</v>
      </c>
      <c r="O57" s="957" cm="1">
        <f t="array" aca="1" ref="O57" ca="1">DSUM(MercadoBase1,O$53,INDIRECT("r"&amp;5+2*(ROW()-54)&amp;":r"&amp;6+2*(ROW()-54)))</f>
        <v>0</v>
      </c>
      <c r="P57" s="957" cm="1">
        <f t="array" aca="1" ref="P57" ca="1">DSUM(MercadoBase1,P$53,INDIRECT("r"&amp;5+2*(ROW()-54)&amp;":r"&amp;6+2*(ROW()-54)))</f>
        <v>0</v>
      </c>
      <c r="Q57" s="964" cm="1">
        <f t="array" aca="1" ref="Q57" ca="1">DSUM(MercadoBase1,Q$53,INDIRECT("r"&amp;5+2*(ROW()-54)&amp;":r"&amp;6+2*(ROW()-54)))</f>
        <v>0</v>
      </c>
      <c r="R57" s="958">
        <f>VLOOKUP(CAPA!$C$17,Índices!B:F,5,FALSE)/VLOOKUP(DATE(YEAR(B57),MONTH(B57),1),Índices!B:F,5,FALSE)</f>
        <v>1.0685055343738492</v>
      </c>
      <c r="S57" s="965" cm="1">
        <f t="array" aca="1" ref="S57" ca="1">DSUM(MercadoBase1,S$53,INDIRECT("r"&amp;5+2*(ROW()-54)&amp;":r"&amp;6+2*(ROW()-54)))</f>
        <v>0</v>
      </c>
      <c r="T57" s="957" cm="1">
        <f t="array" aca="1" ref="T57" ca="1">DSUM(MercadoBase1,T$53,INDIRECT("r"&amp;5+2*(ROW()-54)&amp;":r"&amp;6+2*(ROW()-54)))</f>
        <v>0</v>
      </c>
      <c r="U57" s="957" cm="1">
        <f t="array" aca="1" ref="U57" ca="1">DSUM(MercadoBase1,U$53,INDIRECT("r"&amp;5+2*(ROW()-54)&amp;":r"&amp;6+2*(ROW()-54)))</f>
        <v>0</v>
      </c>
      <c r="V57" s="957" cm="1">
        <f t="array" aca="1" ref="V57" ca="1">DSUM(MercadoBase1,V$53,INDIRECT("r"&amp;5+2*(ROW()-54)&amp;":r"&amp;6+2*(ROW()-54)))</f>
        <v>0</v>
      </c>
      <c r="W57" s="957" cm="1">
        <f t="array" aca="1" ref="W57" ca="1">DSUM(MercadoBase1,W$53,INDIRECT("r"&amp;5+2*(ROW()-54)&amp;":r"&amp;6+2*(ROW()-54)))</f>
        <v>0</v>
      </c>
      <c r="X57" s="957" cm="1">
        <f t="array" aca="1" ref="X57" ca="1">DSUM(MercadoBase1,X$53,INDIRECT("r"&amp;5+2*(ROW()-54)&amp;":r"&amp;6+2*(ROW()-54)))</f>
        <v>0</v>
      </c>
      <c r="Y57" s="957" cm="1">
        <f t="array" aca="1" ref="Y57" ca="1">DSUM(MercadoBase1,Y$53,INDIRECT("r"&amp;5+2*(ROW()-54)&amp;":r"&amp;6+2*(ROW()-54)))</f>
        <v>0</v>
      </c>
      <c r="Z57" s="957" cm="1">
        <f t="array" aca="1" ref="Z57" ca="1">DSUM(MercadoBase1,Z$53,INDIRECT("r"&amp;5+2*(ROW()-54)&amp;":r"&amp;6+2*(ROW()-54)))</f>
        <v>3288877.9609235697</v>
      </c>
      <c r="AA57" s="957" cm="1">
        <f t="array" aca="1" ref="AA57" ca="1">DSUM(MercadoBase1,AA$53,INDIRECT("r"&amp;5+2*(ROW()-54)&amp;":r"&amp;6+2*(ROW()-54)))</f>
        <v>0</v>
      </c>
      <c r="AB57" s="957" cm="1">
        <f t="array" aca="1" ref="AB57" ca="1">DSUM(MercadoBase1,AB$53,INDIRECT("r"&amp;5+2*(ROW()-54)&amp;":r"&amp;6+2*(ROW()-54)))</f>
        <v>0</v>
      </c>
    </row>
    <row r="58" spans="2:28" ht="15" customHeight="1">
      <c r="B58" s="955">
        <f t="shared" si="2"/>
        <v>44501</v>
      </c>
      <c r="C58" s="956"/>
      <c r="D58" s="957" cm="1">
        <f t="array" aca="1" ref="D58" ca="1">DSUM(MercadoBase1,D$53,INDIRECT("r"&amp;5+2*(ROW()-54)&amp;":r"&amp;6+2*(ROW()-54)))</f>
        <v>0</v>
      </c>
      <c r="E58" s="957" cm="1">
        <f t="array" aca="1" ref="E58" ca="1">DSUM(MercadoBase1,E$53,INDIRECT("r"&amp;5+2*(ROW()-54)&amp;":r"&amp;6+2*(ROW()-54)))</f>
        <v>0</v>
      </c>
      <c r="F58" s="957" cm="1">
        <f t="array" aca="1" ref="F58" ca="1">DSUM(MercadoBase1,F$53,INDIRECT("r"&amp;5+2*(ROW()-54)&amp;":r"&amp;6+2*(ROW()-54)))</f>
        <v>51475.618525091391</v>
      </c>
      <c r="G58" s="957" cm="1">
        <f t="array" aca="1" ref="G58" ca="1">DSUM(MercadoBase1,G$53,INDIRECT("r"&amp;5+2*(ROW()-54)&amp;":r"&amp;6+2*(ROW()-54)))</f>
        <v>94197.466441391633</v>
      </c>
      <c r="H58" s="957" cm="1">
        <f t="array" aca="1" ref="H58" ca="1">DSUM(MercadoBase1,H$53,INDIRECT("r"&amp;5+2*(ROW()-54)&amp;":r"&amp;6+2*(ROW()-54)))</f>
        <v>585825.93398991076</v>
      </c>
      <c r="I58" s="957" cm="1">
        <f t="array" aca="1" ref="I58" ca="1">DSUM(MercadoBase1,I$53,INDIRECT("r"&amp;5+2*(ROW()-54)&amp;":r"&amp;6+2*(ROW()-54)))</f>
        <v>17799.291719259949</v>
      </c>
      <c r="J58" s="957" cm="1">
        <f t="array" aca="1" ref="J58" ca="1">DSUM(MercadoBase1,J$53,INDIRECT("r"&amp;5+2*(ROW()-54)&amp;":r"&amp;6+2*(ROW()-54)))</f>
        <v>0</v>
      </c>
      <c r="K58" s="957" cm="1">
        <f t="array" aca="1" ref="K58" ca="1">DSUM(MercadoBase1,K$53,INDIRECT("r"&amp;5+2*(ROW()-54)&amp;":r"&amp;6+2*(ROW()-54)))</f>
        <v>0</v>
      </c>
      <c r="L58" s="957" cm="1">
        <f t="array" aca="1" ref="L58" ca="1">DSUM(MercadoBase1,L$53,INDIRECT("r"&amp;5+2*(ROW()-54)&amp;":r"&amp;6+2*(ROW()-54)))</f>
        <v>0</v>
      </c>
      <c r="M58" s="957" cm="1">
        <f t="array" aca="1" ref="M58" ca="1">DSUM(MercadoBase1,M$53,INDIRECT("r"&amp;5+2*(ROW()-54)&amp;":r"&amp;6+2*(ROW()-54)))</f>
        <v>0</v>
      </c>
      <c r="N58" s="957" cm="1">
        <f t="array" aca="1" ref="N58" ca="1">DSUM(MercadoBase1,N$53,INDIRECT("r"&amp;5+2*(ROW()-54)&amp;":r"&amp;6+2*(ROW()-54)))</f>
        <v>0</v>
      </c>
      <c r="O58" s="957" cm="1">
        <f t="array" aca="1" ref="O58" ca="1">DSUM(MercadoBase1,O$53,INDIRECT("r"&amp;5+2*(ROW()-54)&amp;":r"&amp;6+2*(ROW()-54)))</f>
        <v>0</v>
      </c>
      <c r="P58" s="957" cm="1">
        <f t="array" aca="1" ref="P58" ca="1">DSUM(MercadoBase1,P$53,INDIRECT("r"&amp;5+2*(ROW()-54)&amp;":r"&amp;6+2*(ROW()-54)))</f>
        <v>0</v>
      </c>
      <c r="Q58" s="964" cm="1">
        <f t="array" aca="1" ref="Q58" ca="1">DSUM(MercadoBase1,Q$53,INDIRECT("r"&amp;5+2*(ROW()-54)&amp;":r"&amp;6+2*(ROW()-54)))</f>
        <v>0</v>
      </c>
      <c r="R58" s="958">
        <f>VLOOKUP(CAPA!$C$17,Índices!B:F,5,FALSE)/VLOOKUP(DATE(YEAR(B58),MONTH(B58),1),Índices!B:F,5,FALSE)</f>
        <v>1.0622726591714087</v>
      </c>
      <c r="S58" s="965" cm="1">
        <f t="array" aca="1" ref="S58" ca="1">DSUM(MercadoBase1,S$53,INDIRECT("r"&amp;5+2*(ROW()-54)&amp;":r"&amp;6+2*(ROW()-54)))</f>
        <v>0</v>
      </c>
      <c r="T58" s="957" cm="1">
        <f t="array" aca="1" ref="T58" ca="1">DSUM(MercadoBase1,T$53,INDIRECT("r"&amp;5+2*(ROW()-54)&amp;":r"&amp;6+2*(ROW()-54)))</f>
        <v>0</v>
      </c>
      <c r="U58" s="957" cm="1">
        <f t="array" aca="1" ref="U58" ca="1">DSUM(MercadoBase1,U$53,INDIRECT("r"&amp;5+2*(ROW()-54)&amp;":r"&amp;6+2*(ROW()-54)))</f>
        <v>0</v>
      </c>
      <c r="V58" s="957" cm="1">
        <f t="array" aca="1" ref="V58" ca="1">DSUM(MercadoBase1,V$53,INDIRECT("r"&amp;5+2*(ROW()-54)&amp;":r"&amp;6+2*(ROW()-54)))</f>
        <v>0</v>
      </c>
      <c r="W58" s="957" cm="1">
        <f t="array" aca="1" ref="W58" ca="1">DSUM(MercadoBase1,W$53,INDIRECT("r"&amp;5+2*(ROW()-54)&amp;":r"&amp;6+2*(ROW()-54)))</f>
        <v>0</v>
      </c>
      <c r="X58" s="957" cm="1">
        <f t="array" aca="1" ref="X58" ca="1">DSUM(MercadoBase1,X$53,INDIRECT("r"&amp;5+2*(ROW()-54)&amp;":r"&amp;6+2*(ROW()-54)))</f>
        <v>0</v>
      </c>
      <c r="Y58" s="957" cm="1">
        <f t="array" aca="1" ref="Y58" ca="1">DSUM(MercadoBase1,Y$53,INDIRECT("r"&amp;5+2*(ROW()-54)&amp;":r"&amp;6+2*(ROW()-54)))</f>
        <v>0</v>
      </c>
      <c r="Z58" s="957" cm="1">
        <f t="array" aca="1" ref="Z58" ca="1">DSUM(MercadoBase1,Z$53,INDIRECT("r"&amp;5+2*(ROW()-54)&amp;":r"&amp;6+2*(ROW()-54)))</f>
        <v>3570133.3152250247</v>
      </c>
      <c r="AA58" s="957" cm="1">
        <f t="array" aca="1" ref="AA58" ca="1">DSUM(MercadoBase1,AA$53,INDIRECT("r"&amp;5+2*(ROW()-54)&amp;":r"&amp;6+2*(ROW()-54)))</f>
        <v>0</v>
      </c>
      <c r="AB58" s="957" cm="1">
        <f t="array" aca="1" ref="AB58" ca="1">DSUM(MercadoBase1,AB$53,INDIRECT("r"&amp;5+2*(ROW()-54)&amp;":r"&amp;6+2*(ROW()-54)))</f>
        <v>0</v>
      </c>
    </row>
    <row r="59" spans="2:28" ht="15" customHeight="1">
      <c r="B59" s="955">
        <f t="shared" si="2"/>
        <v>44531</v>
      </c>
      <c r="C59" s="956"/>
      <c r="D59" s="957" cm="1">
        <f t="array" aca="1" ref="D59" ca="1">DSUM(MercadoBase1,D$53,INDIRECT("r"&amp;5+2*(ROW()-54)&amp;":r"&amp;6+2*(ROW()-54)))</f>
        <v>0</v>
      </c>
      <c r="E59" s="957" cm="1">
        <f t="array" aca="1" ref="E59" ca="1">DSUM(MercadoBase1,E$53,INDIRECT("r"&amp;5+2*(ROW()-54)&amp;":r"&amp;6+2*(ROW()-54)))</f>
        <v>0</v>
      </c>
      <c r="F59" s="957" cm="1">
        <f t="array" aca="1" ref="F59" ca="1">DSUM(MercadoBase1,F$53,INDIRECT("r"&amp;5+2*(ROW()-54)&amp;":r"&amp;6+2*(ROW()-54)))</f>
        <v>60639.549915534095</v>
      </c>
      <c r="G59" s="957" cm="1">
        <f t="array" aca="1" ref="G59" ca="1">DSUM(MercadoBase1,G$53,INDIRECT("r"&amp;5+2*(ROW()-54)&amp;":r"&amp;6+2*(ROW()-54)))</f>
        <v>111090.32904735241</v>
      </c>
      <c r="H59" s="957" cm="1">
        <f t="array" aca="1" ref="H59" ca="1">DSUM(MercadoBase1,H$53,INDIRECT("r"&amp;5+2*(ROW()-54)&amp;":r"&amp;6+2*(ROW()-54)))</f>
        <v>686043.65814007178</v>
      </c>
      <c r="I59" s="957" cm="1">
        <f t="array" aca="1" ref="I59" ca="1">DSUM(MercadoBase1,I$53,INDIRECT("r"&amp;5+2*(ROW()-54)&amp;":r"&amp;6+2*(ROW()-54)))</f>
        <v>20337.699759888998</v>
      </c>
      <c r="J59" s="957" cm="1">
        <f t="array" aca="1" ref="J59" ca="1">DSUM(MercadoBase1,J$53,INDIRECT("r"&amp;5+2*(ROW()-54)&amp;":r"&amp;6+2*(ROW()-54)))</f>
        <v>0</v>
      </c>
      <c r="K59" s="957" cm="1">
        <f t="array" aca="1" ref="K59" ca="1">DSUM(MercadoBase1,K$53,INDIRECT("r"&amp;5+2*(ROW()-54)&amp;":r"&amp;6+2*(ROW()-54)))</f>
        <v>0</v>
      </c>
      <c r="L59" s="957" cm="1">
        <f t="array" aca="1" ref="L59" ca="1">DSUM(MercadoBase1,L$53,INDIRECT("r"&amp;5+2*(ROW()-54)&amp;":r"&amp;6+2*(ROW()-54)))</f>
        <v>0</v>
      </c>
      <c r="M59" s="957" cm="1">
        <f t="array" aca="1" ref="M59" ca="1">DSUM(MercadoBase1,M$53,INDIRECT("r"&amp;5+2*(ROW()-54)&amp;":r"&amp;6+2*(ROW()-54)))</f>
        <v>0</v>
      </c>
      <c r="N59" s="957" cm="1">
        <f t="array" aca="1" ref="N59" ca="1">DSUM(MercadoBase1,N$53,INDIRECT("r"&amp;5+2*(ROW()-54)&amp;":r"&amp;6+2*(ROW()-54)))</f>
        <v>0</v>
      </c>
      <c r="O59" s="957" cm="1">
        <f t="array" aca="1" ref="O59" ca="1">DSUM(MercadoBase1,O$53,INDIRECT("r"&amp;5+2*(ROW()-54)&amp;":r"&amp;6+2*(ROW()-54)))</f>
        <v>0</v>
      </c>
      <c r="P59" s="957" cm="1">
        <f t="array" aca="1" ref="P59" ca="1">DSUM(MercadoBase1,P$53,INDIRECT("r"&amp;5+2*(ROW()-54)&amp;":r"&amp;6+2*(ROW()-54)))</f>
        <v>0</v>
      </c>
      <c r="Q59" s="964" cm="1">
        <f t="array" aca="1" ref="Q59" ca="1">DSUM(MercadoBase1,Q$53,INDIRECT("r"&amp;5+2*(ROW()-54)&amp;":r"&amp;6+2*(ROW()-54)))</f>
        <v>0</v>
      </c>
      <c r="R59" s="958">
        <f>VLOOKUP(CAPA!$C$17,Índices!B:F,5,FALSE)/VLOOKUP(DATE(YEAR(B59),MONTH(B59),1),Índices!B:F,5,FALSE)</f>
        <v>1.0541652525590945</v>
      </c>
      <c r="S59" s="965" cm="1">
        <f t="array" aca="1" ref="S59" ca="1">DSUM(MercadoBase1,S$53,INDIRECT("r"&amp;5+2*(ROW()-54)&amp;":r"&amp;6+2*(ROW()-54)))</f>
        <v>0</v>
      </c>
      <c r="T59" s="957" cm="1">
        <f t="array" aca="1" ref="T59" ca="1">DSUM(MercadoBase1,T$53,INDIRECT("r"&amp;5+2*(ROW()-54)&amp;":r"&amp;6+2*(ROW()-54)))</f>
        <v>0</v>
      </c>
      <c r="U59" s="957" cm="1">
        <f t="array" aca="1" ref="U59" ca="1">DSUM(MercadoBase1,U$53,INDIRECT("r"&amp;5+2*(ROW()-54)&amp;":r"&amp;6+2*(ROW()-54)))</f>
        <v>0</v>
      </c>
      <c r="V59" s="957" cm="1">
        <f t="array" aca="1" ref="V59" ca="1">DSUM(MercadoBase1,V$53,INDIRECT("r"&amp;5+2*(ROW()-54)&amp;":r"&amp;6+2*(ROW()-54)))</f>
        <v>0</v>
      </c>
      <c r="W59" s="957" cm="1">
        <f t="array" aca="1" ref="W59" ca="1">DSUM(MercadoBase1,W$53,INDIRECT("r"&amp;5+2*(ROW()-54)&amp;":r"&amp;6+2*(ROW()-54)))</f>
        <v>0</v>
      </c>
      <c r="X59" s="957" cm="1">
        <f t="array" aca="1" ref="X59" ca="1">DSUM(MercadoBase1,X$53,INDIRECT("r"&amp;5+2*(ROW()-54)&amp;":r"&amp;6+2*(ROW()-54)))</f>
        <v>0</v>
      </c>
      <c r="Y59" s="957" cm="1">
        <f t="array" aca="1" ref="Y59" ca="1">DSUM(MercadoBase1,Y$53,INDIRECT("r"&amp;5+2*(ROW()-54)&amp;":r"&amp;6+2*(ROW()-54)))</f>
        <v>0</v>
      </c>
      <c r="Z59" s="957" cm="1">
        <f t="array" aca="1" ref="Z59" ca="1">DSUM(MercadoBase1,Z$53,INDIRECT("r"&amp;5+2*(ROW()-54)&amp;":r"&amp;6+2*(ROW()-54)))</f>
        <v>3974190.4489599871</v>
      </c>
      <c r="AA59" s="957" cm="1">
        <f t="array" aca="1" ref="AA59" ca="1">DSUM(MercadoBase1,AA$53,INDIRECT("r"&amp;5+2*(ROW()-54)&amp;":r"&amp;6+2*(ROW()-54)))</f>
        <v>0</v>
      </c>
      <c r="AB59" s="957" cm="1">
        <f t="array" aca="1" ref="AB59" ca="1">DSUM(MercadoBase1,AB$53,INDIRECT("r"&amp;5+2*(ROW()-54)&amp;":r"&amp;6+2*(ROW()-54)))</f>
        <v>0</v>
      </c>
    </row>
    <row r="60" spans="2:28" ht="15" customHeight="1">
      <c r="B60" s="955">
        <f t="shared" si="2"/>
        <v>44562</v>
      </c>
      <c r="C60" s="956"/>
      <c r="D60" s="957" cm="1">
        <f t="array" aca="1" ref="D60" ca="1">DSUM(MercadoBase1,D$53,INDIRECT("r"&amp;5+2*(ROW()-54)&amp;":r"&amp;6+2*(ROW()-54)))</f>
        <v>0</v>
      </c>
      <c r="E60" s="957" cm="1">
        <f t="array" aca="1" ref="E60" ca="1">DSUM(MercadoBase1,E$53,INDIRECT("r"&amp;5+2*(ROW()-54)&amp;":r"&amp;6+2*(ROW()-54)))</f>
        <v>0</v>
      </c>
      <c r="F60" s="957" cm="1">
        <f t="array" aca="1" ref="F60" ca="1">DSUM(MercadoBase1,F$53,INDIRECT("r"&amp;5+2*(ROW()-54)&amp;":r"&amp;6+2*(ROW()-54)))</f>
        <v>65039.57125176995</v>
      </c>
      <c r="G60" s="957" cm="1">
        <f t="array" aca="1" ref="G60" ca="1">DSUM(MercadoBase1,G$53,INDIRECT("r"&amp;5+2*(ROW()-54)&amp;":r"&amp;6+2*(ROW()-54)))</f>
        <v>118994.88920345294</v>
      </c>
      <c r="H60" s="957" cm="1">
        <f t="array" aca="1" ref="H60" ca="1">DSUM(MercadoBase1,H$53,INDIRECT("r"&amp;5+2*(ROW()-54)&amp;":r"&amp;6+2*(ROW()-54)))</f>
        <v>739646.67189656</v>
      </c>
      <c r="I60" s="957" cm="1">
        <f t="array" aca="1" ref="I60" ca="1">DSUM(MercadoBase1,I$53,INDIRECT("r"&amp;5+2*(ROW()-54)&amp;":r"&amp;6+2*(ROW()-54)))</f>
        <v>22404.22868590325</v>
      </c>
      <c r="J60" s="957" cm="1">
        <f t="array" aca="1" ref="J60" ca="1">DSUM(MercadoBase1,J$53,INDIRECT("r"&amp;5+2*(ROW()-54)&amp;":r"&amp;6+2*(ROW()-54)))</f>
        <v>0</v>
      </c>
      <c r="K60" s="957" cm="1">
        <f t="array" aca="1" ref="K60" ca="1">DSUM(MercadoBase1,K$53,INDIRECT("r"&amp;5+2*(ROW()-54)&amp;":r"&amp;6+2*(ROW()-54)))</f>
        <v>0</v>
      </c>
      <c r="L60" s="957" cm="1">
        <f t="array" aca="1" ref="L60" ca="1">DSUM(MercadoBase1,L$53,INDIRECT("r"&amp;5+2*(ROW()-54)&amp;":r"&amp;6+2*(ROW()-54)))</f>
        <v>0</v>
      </c>
      <c r="M60" s="957" cm="1">
        <f t="array" aca="1" ref="M60" ca="1">DSUM(MercadoBase1,M$53,INDIRECT("r"&amp;5+2*(ROW()-54)&amp;":r"&amp;6+2*(ROW()-54)))</f>
        <v>0</v>
      </c>
      <c r="N60" s="957" cm="1">
        <f t="array" aca="1" ref="N60" ca="1">DSUM(MercadoBase1,N$53,INDIRECT("r"&amp;5+2*(ROW()-54)&amp;":r"&amp;6+2*(ROW()-54)))</f>
        <v>0</v>
      </c>
      <c r="O60" s="957" cm="1">
        <f t="array" aca="1" ref="O60" ca="1">DSUM(MercadoBase1,O$53,INDIRECT("r"&amp;5+2*(ROW()-54)&amp;":r"&amp;6+2*(ROW()-54)))</f>
        <v>0</v>
      </c>
      <c r="P60" s="957" cm="1">
        <f t="array" aca="1" ref="P60" ca="1">DSUM(MercadoBase1,P$53,INDIRECT("r"&amp;5+2*(ROW()-54)&amp;":r"&amp;6+2*(ROW()-54)))</f>
        <v>0</v>
      </c>
      <c r="Q60" s="964" cm="1">
        <f t="array" aca="1" ref="Q60" ca="1">DSUM(MercadoBase1,Q$53,INDIRECT("r"&amp;5+2*(ROW()-54)&amp;":r"&amp;6+2*(ROW()-54)))</f>
        <v>0</v>
      </c>
      <c r="R60" s="958">
        <f>VLOOKUP(CAPA!$C$17,Índices!B:F,5,FALSE)/VLOOKUP(DATE(YEAR(B60),MONTH(B60),1),Índices!B:F,5,FALSE)</f>
        <v>1.0465020287560824</v>
      </c>
      <c r="S60" s="965" cm="1">
        <f t="array" aca="1" ref="S60" ca="1">DSUM(MercadoBase1,S$53,INDIRECT("r"&amp;5+2*(ROW()-54)&amp;":r"&amp;6+2*(ROW()-54)))</f>
        <v>0</v>
      </c>
      <c r="T60" s="957" cm="1">
        <f t="array" aca="1" ref="T60" ca="1">DSUM(MercadoBase1,T$53,INDIRECT("r"&amp;5+2*(ROW()-54)&amp;":r"&amp;6+2*(ROW()-54)))</f>
        <v>0</v>
      </c>
      <c r="U60" s="957" cm="1">
        <f t="array" aca="1" ref="U60" ca="1">DSUM(MercadoBase1,U$53,INDIRECT("r"&amp;5+2*(ROW()-54)&amp;":r"&amp;6+2*(ROW()-54)))</f>
        <v>0</v>
      </c>
      <c r="V60" s="957" cm="1">
        <f t="array" aca="1" ref="V60" ca="1">DSUM(MercadoBase1,V$53,INDIRECT("r"&amp;5+2*(ROW()-54)&amp;":r"&amp;6+2*(ROW()-54)))</f>
        <v>0</v>
      </c>
      <c r="W60" s="957" cm="1">
        <f t="array" aca="1" ref="W60" ca="1">DSUM(MercadoBase1,W$53,INDIRECT("r"&amp;5+2*(ROW()-54)&amp;":r"&amp;6+2*(ROW()-54)))</f>
        <v>0</v>
      </c>
      <c r="X60" s="957" cm="1">
        <f t="array" aca="1" ref="X60" ca="1">DSUM(MercadoBase1,X$53,INDIRECT("r"&amp;5+2*(ROW()-54)&amp;":r"&amp;6+2*(ROW()-54)))</f>
        <v>0</v>
      </c>
      <c r="Y60" s="957" cm="1">
        <f t="array" aca="1" ref="Y60" ca="1">DSUM(MercadoBase1,Y$53,INDIRECT("r"&amp;5+2*(ROW()-54)&amp;":r"&amp;6+2*(ROW()-54)))</f>
        <v>0</v>
      </c>
      <c r="Z60" s="957" cm="1">
        <f t="array" aca="1" ref="Z60" ca="1">DSUM(MercadoBase1,Z$53,INDIRECT("r"&amp;5+2*(ROW()-54)&amp;":r"&amp;6+2*(ROW()-54)))</f>
        <v>4470247.7698913906</v>
      </c>
      <c r="AA60" s="957" cm="1">
        <f t="array" aca="1" ref="AA60" ca="1">DSUM(MercadoBase1,AA$53,INDIRECT("r"&amp;5+2*(ROW()-54)&amp;":r"&amp;6+2*(ROW()-54)))</f>
        <v>0</v>
      </c>
      <c r="AB60" s="957" cm="1">
        <f t="array" aca="1" ref="AB60" ca="1">DSUM(MercadoBase1,AB$53,INDIRECT("r"&amp;5+2*(ROW()-54)&amp;":r"&amp;6+2*(ROW()-54)))</f>
        <v>0</v>
      </c>
    </row>
    <row r="61" spans="2:28" ht="15" customHeight="1">
      <c r="B61" s="955">
        <f t="shared" si="2"/>
        <v>44593</v>
      </c>
      <c r="C61" s="956"/>
      <c r="D61" s="957" cm="1">
        <f t="array" aca="1" ref="D61" ca="1">DSUM(MercadoBase1,D$53,INDIRECT("r"&amp;5+2*(ROW()-54)&amp;":r"&amp;6+2*(ROW()-54)))</f>
        <v>0</v>
      </c>
      <c r="E61" s="957" cm="1">
        <f t="array" aca="1" ref="E61" ca="1">DSUM(MercadoBase1,E$53,INDIRECT("r"&amp;5+2*(ROW()-54)&amp;":r"&amp;6+2*(ROW()-54)))</f>
        <v>0</v>
      </c>
      <c r="F61" s="957" cm="1">
        <f t="array" aca="1" ref="F61" ca="1">DSUM(MercadoBase1,F$53,INDIRECT("r"&amp;5+2*(ROW()-54)&amp;":r"&amp;6+2*(ROW()-54)))</f>
        <v>78913.888615585558</v>
      </c>
      <c r="G61" s="957" cm="1">
        <f t="array" aca="1" ref="G61" ca="1">DSUM(MercadoBase1,G$53,INDIRECT("r"&amp;5+2*(ROW()-54)&amp;":r"&amp;6+2*(ROW()-54)))</f>
        <v>143645.21178525774</v>
      </c>
      <c r="H61" s="957" cm="1">
        <f t="array" aca="1" ref="H61" ca="1">DSUM(MercadoBase1,H$53,INDIRECT("r"&amp;5+2*(ROW()-54)&amp;":r"&amp;6+2*(ROW()-54)))</f>
        <v>906660.79746011912</v>
      </c>
      <c r="I61" s="957" cm="1">
        <f t="array" aca="1" ref="I61" ca="1">DSUM(MercadoBase1,I$53,INDIRECT("r"&amp;5+2*(ROW()-54)&amp;":r"&amp;6+2*(ROW()-54)))</f>
        <v>28891.692975175283</v>
      </c>
      <c r="J61" s="957" cm="1">
        <f t="array" aca="1" ref="J61" ca="1">DSUM(MercadoBase1,J$53,INDIRECT("r"&amp;5+2*(ROW()-54)&amp;":r"&amp;6+2*(ROW()-54)))</f>
        <v>0</v>
      </c>
      <c r="K61" s="957" cm="1">
        <f t="array" aca="1" ref="K61" ca="1">DSUM(MercadoBase1,K$53,INDIRECT("r"&amp;5+2*(ROW()-54)&amp;":r"&amp;6+2*(ROW()-54)))</f>
        <v>0</v>
      </c>
      <c r="L61" s="957" cm="1">
        <f t="array" aca="1" ref="L61" ca="1">DSUM(MercadoBase1,L$53,INDIRECT("r"&amp;5+2*(ROW()-54)&amp;":r"&amp;6+2*(ROW()-54)))</f>
        <v>0</v>
      </c>
      <c r="M61" s="957" cm="1">
        <f t="array" aca="1" ref="M61" ca="1">DSUM(MercadoBase1,M$53,INDIRECT("r"&amp;5+2*(ROW()-54)&amp;":r"&amp;6+2*(ROW()-54)))</f>
        <v>0</v>
      </c>
      <c r="N61" s="957" cm="1">
        <f t="array" aca="1" ref="N61" ca="1">DSUM(MercadoBase1,N$53,INDIRECT("r"&amp;5+2*(ROW()-54)&amp;":r"&amp;6+2*(ROW()-54)))</f>
        <v>0</v>
      </c>
      <c r="O61" s="957" cm="1">
        <f t="array" aca="1" ref="O61" ca="1">DSUM(MercadoBase1,O$53,INDIRECT("r"&amp;5+2*(ROW()-54)&amp;":r"&amp;6+2*(ROW()-54)))</f>
        <v>0</v>
      </c>
      <c r="P61" s="957" cm="1">
        <f t="array" aca="1" ref="P61" ca="1">DSUM(MercadoBase1,P$53,INDIRECT("r"&amp;5+2*(ROW()-54)&amp;":r"&amp;6+2*(ROW()-54)))</f>
        <v>0</v>
      </c>
      <c r="Q61" s="964" cm="1">
        <f t="array" aca="1" ref="Q61" ca="1">DSUM(MercadoBase1,Q$53,INDIRECT("r"&amp;5+2*(ROW()-54)&amp;":r"&amp;6+2*(ROW()-54)))</f>
        <v>0</v>
      </c>
      <c r="R61" s="958">
        <f>VLOOKUP(CAPA!$C$17,Índices!B:F,5,FALSE)/VLOOKUP(DATE(YEAR(B61),MONTH(B61),1),Índices!B:F,5,FALSE)</f>
        <v>1.038659722138076</v>
      </c>
      <c r="S61" s="965" cm="1">
        <f t="array" aca="1" ref="S61" ca="1">DSUM(MercadoBase1,S$53,INDIRECT("r"&amp;5+2*(ROW()-54)&amp;":r"&amp;6+2*(ROW()-54)))</f>
        <v>0</v>
      </c>
      <c r="T61" s="957" cm="1">
        <f t="array" aca="1" ref="T61" ca="1">DSUM(MercadoBase1,T$53,INDIRECT("r"&amp;5+2*(ROW()-54)&amp;":r"&amp;6+2*(ROW()-54)))</f>
        <v>0</v>
      </c>
      <c r="U61" s="957" cm="1">
        <f t="array" aca="1" ref="U61" ca="1">DSUM(MercadoBase1,U$53,INDIRECT("r"&amp;5+2*(ROW()-54)&amp;":r"&amp;6+2*(ROW()-54)))</f>
        <v>0</v>
      </c>
      <c r="V61" s="957" cm="1">
        <f t="array" aca="1" ref="V61" ca="1">DSUM(MercadoBase1,V$53,INDIRECT("r"&amp;5+2*(ROW()-54)&amp;":r"&amp;6+2*(ROW()-54)))</f>
        <v>0</v>
      </c>
      <c r="W61" s="957" cm="1">
        <f t="array" aca="1" ref="W61" ca="1">DSUM(MercadoBase1,W$53,INDIRECT("r"&amp;5+2*(ROW()-54)&amp;":r"&amp;6+2*(ROW()-54)))</f>
        <v>0</v>
      </c>
      <c r="X61" s="957" cm="1">
        <f t="array" aca="1" ref="X61" ca="1">DSUM(MercadoBase1,X$53,INDIRECT("r"&amp;5+2*(ROW()-54)&amp;":r"&amp;6+2*(ROW()-54)))</f>
        <v>0</v>
      </c>
      <c r="Y61" s="957" cm="1">
        <f t="array" aca="1" ref="Y61" ca="1">DSUM(MercadoBase1,Y$53,INDIRECT("r"&amp;5+2*(ROW()-54)&amp;":r"&amp;6+2*(ROW()-54)))</f>
        <v>0</v>
      </c>
      <c r="Z61" s="957" cm="1">
        <f t="array" aca="1" ref="Z61" ca="1">DSUM(MercadoBase1,Z$53,INDIRECT("r"&amp;5+2*(ROW()-54)&amp;":r"&amp;6+2*(ROW()-54)))</f>
        <v>5836504.2949360171</v>
      </c>
      <c r="AA61" s="957" cm="1">
        <f t="array" aca="1" ref="AA61" ca="1">DSUM(MercadoBase1,AA$53,INDIRECT("r"&amp;5+2*(ROW()-54)&amp;":r"&amp;6+2*(ROW()-54)))</f>
        <v>0</v>
      </c>
      <c r="AB61" s="957" cm="1">
        <f t="array" aca="1" ref="AB61" ca="1">DSUM(MercadoBase1,AB$53,INDIRECT("r"&amp;5+2*(ROW()-54)&amp;":r"&amp;6+2*(ROW()-54)))</f>
        <v>0</v>
      </c>
    </row>
    <row r="62" spans="2:28" ht="15" customHeight="1">
      <c r="B62" s="955">
        <f t="shared" si="2"/>
        <v>44621</v>
      </c>
      <c r="C62" s="956"/>
      <c r="D62" s="957" cm="1">
        <f t="array" aca="1" ref="D62" ca="1">DSUM(MercadoBase1,D$53,INDIRECT("r"&amp;5+2*(ROW()-54)&amp;":r"&amp;6+2*(ROW()-54)))</f>
        <v>0</v>
      </c>
      <c r="E62" s="957" cm="1">
        <f t="array" aca="1" ref="E62" ca="1">DSUM(MercadoBase1,E$53,INDIRECT("r"&amp;5+2*(ROW()-54)&amp;":r"&amp;6+2*(ROW()-54)))</f>
        <v>0</v>
      </c>
      <c r="F62" s="957" cm="1">
        <f t="array" aca="1" ref="F62" ca="1">DSUM(MercadoBase1,F$53,INDIRECT("r"&amp;5+2*(ROW()-54)&amp;":r"&amp;6+2*(ROW()-54)))</f>
        <v>31577.665344982113</v>
      </c>
      <c r="G62" s="957" cm="1">
        <f t="array" aca="1" ref="G62" ca="1">DSUM(MercadoBase1,G$53,INDIRECT("r"&amp;5+2*(ROW()-54)&amp;":r"&amp;6+2*(ROW()-54)))</f>
        <v>56377.865738388566</v>
      </c>
      <c r="H62" s="957" cm="1">
        <f t="array" aca="1" ref="H62" ca="1">DSUM(MercadoBase1,H$53,INDIRECT("r"&amp;5+2*(ROW()-54)&amp;":r"&amp;6+2*(ROW()-54)))</f>
        <v>346418.77328675141</v>
      </c>
      <c r="I62" s="957" cm="1">
        <f t="array" aca="1" ref="I62" ca="1">DSUM(MercadoBase1,I$53,INDIRECT("r"&amp;5+2*(ROW()-54)&amp;":r"&amp;6+2*(ROW()-54)))</f>
        <v>10494.370503404738</v>
      </c>
      <c r="J62" s="957" cm="1">
        <f t="array" aca="1" ref="J62" ca="1">DSUM(MercadoBase1,J$53,INDIRECT("r"&amp;5+2*(ROW()-54)&amp;":r"&amp;6+2*(ROW()-54)))</f>
        <v>0</v>
      </c>
      <c r="K62" s="957" cm="1">
        <f t="array" aca="1" ref="K62" ca="1">DSUM(MercadoBase1,K$53,INDIRECT("r"&amp;5+2*(ROW()-54)&amp;":r"&amp;6+2*(ROW()-54)))</f>
        <v>0</v>
      </c>
      <c r="L62" s="957" cm="1">
        <f t="array" aca="1" ref="L62" ca="1">DSUM(MercadoBase1,L$53,INDIRECT("r"&amp;5+2*(ROW()-54)&amp;":r"&amp;6+2*(ROW()-54)))</f>
        <v>0</v>
      </c>
      <c r="M62" s="957" cm="1">
        <f t="array" aca="1" ref="M62" ca="1">DSUM(MercadoBase1,M$53,INDIRECT("r"&amp;5+2*(ROW()-54)&amp;":r"&amp;6+2*(ROW()-54)))</f>
        <v>0</v>
      </c>
      <c r="N62" s="957" cm="1">
        <f t="array" aca="1" ref="N62" ca="1">DSUM(MercadoBase1,N$53,INDIRECT("r"&amp;5+2*(ROW()-54)&amp;":r"&amp;6+2*(ROW()-54)))</f>
        <v>0</v>
      </c>
      <c r="O62" s="957" cm="1">
        <f t="array" aca="1" ref="O62" ca="1">DSUM(MercadoBase1,O$53,INDIRECT("r"&amp;5+2*(ROW()-54)&amp;":r"&amp;6+2*(ROW()-54)))</f>
        <v>0</v>
      </c>
      <c r="P62" s="957" cm="1">
        <f t="array" aca="1" ref="P62" ca="1">DSUM(MercadoBase1,P$53,INDIRECT("r"&amp;5+2*(ROW()-54)&amp;":r"&amp;6+2*(ROW()-54)))</f>
        <v>0</v>
      </c>
      <c r="Q62" s="964" cm="1">
        <f t="array" aca="1" ref="Q62" ca="1">DSUM(MercadoBase1,Q$53,INDIRECT("r"&amp;5+2*(ROW()-54)&amp;":r"&amp;6+2*(ROW()-54)))</f>
        <v>0</v>
      </c>
      <c r="R62" s="958">
        <f>VLOOKUP(CAPA!$C$17,Índices!B:F,5,FALSE)/VLOOKUP(DATE(YEAR(B62),MONTH(B62),1),Índices!B:F,5,FALSE)</f>
        <v>1.0291192325390464</v>
      </c>
      <c r="S62" s="965" cm="1">
        <f t="array" aca="1" ref="S62" ca="1">DSUM(MercadoBase1,S$53,INDIRECT("r"&amp;5+2*(ROW()-54)&amp;":r"&amp;6+2*(ROW()-54)))</f>
        <v>0</v>
      </c>
      <c r="T62" s="957" cm="1">
        <f t="array" aca="1" ref="T62" ca="1">DSUM(MercadoBase1,T$53,INDIRECT("r"&amp;5+2*(ROW()-54)&amp;":r"&amp;6+2*(ROW()-54)))</f>
        <v>0</v>
      </c>
      <c r="U62" s="957" cm="1">
        <f t="array" aca="1" ref="U62" ca="1">DSUM(MercadoBase1,U$53,INDIRECT("r"&amp;5+2*(ROW()-54)&amp;":r"&amp;6+2*(ROW()-54)))</f>
        <v>0</v>
      </c>
      <c r="V62" s="957" cm="1">
        <f t="array" aca="1" ref="V62" ca="1">DSUM(MercadoBase1,V$53,INDIRECT("r"&amp;5+2*(ROW()-54)&amp;":r"&amp;6+2*(ROW()-54)))</f>
        <v>0</v>
      </c>
      <c r="W62" s="957" cm="1">
        <f t="array" aca="1" ref="W62" ca="1">DSUM(MercadoBase1,W$53,INDIRECT("r"&amp;5+2*(ROW()-54)&amp;":r"&amp;6+2*(ROW()-54)))</f>
        <v>0</v>
      </c>
      <c r="X62" s="957" cm="1">
        <f t="array" aca="1" ref="X62" ca="1">DSUM(MercadoBase1,X$53,INDIRECT("r"&amp;5+2*(ROW()-54)&amp;":r"&amp;6+2*(ROW()-54)))</f>
        <v>0</v>
      </c>
      <c r="Y62" s="957" cm="1">
        <f t="array" aca="1" ref="Y62" ca="1">DSUM(MercadoBase1,Y$53,INDIRECT("r"&amp;5+2*(ROW()-54)&amp;":r"&amp;6+2*(ROW()-54)))</f>
        <v>0</v>
      </c>
      <c r="Z62" s="957" cm="1">
        <f t="array" aca="1" ref="Z62" ca="1">DSUM(MercadoBase1,Z$53,INDIRECT("r"&amp;5+2*(ROW()-54)&amp;":r"&amp;6+2*(ROW()-54)))</f>
        <v>2166540.6266226694</v>
      </c>
      <c r="AA62" s="957" cm="1">
        <f t="array" aca="1" ref="AA62" ca="1">DSUM(MercadoBase1,AA$53,INDIRECT("r"&amp;5+2*(ROW()-54)&amp;":r"&amp;6+2*(ROW()-54)))</f>
        <v>0</v>
      </c>
      <c r="AB62" s="957" cm="1">
        <f t="array" aca="1" ref="AB62" ca="1">DSUM(MercadoBase1,AB$53,INDIRECT("r"&amp;5+2*(ROW()-54)&amp;":r"&amp;6+2*(ROW()-54)))</f>
        <v>0</v>
      </c>
    </row>
    <row r="63" spans="2:28" ht="15" customHeight="1">
      <c r="B63" s="955">
        <f t="shared" si="2"/>
        <v>44652</v>
      </c>
      <c r="C63" s="956"/>
      <c r="D63" s="957" cm="1">
        <f t="array" aca="1" ref="D63" ca="1">DSUM(MercadoBase1,D$53,INDIRECT("r"&amp;5+2*(ROW()-54)&amp;":r"&amp;6+2*(ROW()-54)))</f>
        <v>0</v>
      </c>
      <c r="E63" s="957" cm="1">
        <f t="array" aca="1" ref="E63" ca="1">DSUM(MercadoBase1,E$53,INDIRECT("r"&amp;5+2*(ROW()-54)&amp;":r"&amp;6+2*(ROW()-54)))</f>
        <v>0</v>
      </c>
      <c r="F63" s="957" cm="1">
        <f t="array" aca="1" ref="F63" ca="1">DSUM(MercadoBase1,F$53,INDIRECT("r"&amp;5+2*(ROW()-54)&amp;":r"&amp;6+2*(ROW()-54)))</f>
        <v>47945.734062107069</v>
      </c>
      <c r="G63" s="957" cm="1">
        <f t="array" aca="1" ref="G63" ca="1">DSUM(MercadoBase1,G$53,INDIRECT("r"&amp;5+2*(ROW()-54)&amp;":r"&amp;6+2*(ROW()-54)))</f>
        <v>86460.386226545175</v>
      </c>
      <c r="H63" s="957" cm="1">
        <f t="array" aca="1" ref="H63" ca="1">DSUM(MercadoBase1,H$53,INDIRECT("r"&amp;5+2*(ROW()-54)&amp;":r"&amp;6+2*(ROW()-54)))</f>
        <v>542923.33518405352</v>
      </c>
      <c r="I63" s="957" cm="1">
        <f t="array" aca="1" ref="I63" ca="1">DSUM(MercadoBase1,I$53,INDIRECT("r"&amp;5+2*(ROW()-54)&amp;":r"&amp;6+2*(ROW()-54)))</f>
        <v>17276.544135334228</v>
      </c>
      <c r="J63" s="957" cm="1">
        <f t="array" aca="1" ref="J63" ca="1">DSUM(MercadoBase1,J$53,INDIRECT("r"&amp;5+2*(ROW()-54)&amp;":r"&amp;6+2*(ROW()-54)))</f>
        <v>0</v>
      </c>
      <c r="K63" s="957" cm="1">
        <f t="array" aca="1" ref="K63" ca="1">DSUM(MercadoBase1,K$53,INDIRECT("r"&amp;5+2*(ROW()-54)&amp;":r"&amp;6+2*(ROW()-54)))</f>
        <v>0</v>
      </c>
      <c r="L63" s="957" cm="1">
        <f t="array" aca="1" ref="L63" ca="1">DSUM(MercadoBase1,L$53,INDIRECT("r"&amp;5+2*(ROW()-54)&amp;":r"&amp;6+2*(ROW()-54)))</f>
        <v>0</v>
      </c>
      <c r="M63" s="957" cm="1">
        <f t="array" aca="1" ref="M63" ca="1">DSUM(MercadoBase1,M$53,INDIRECT("r"&amp;5+2*(ROW()-54)&amp;":r"&amp;6+2*(ROW()-54)))</f>
        <v>0</v>
      </c>
      <c r="N63" s="957" cm="1">
        <f t="array" aca="1" ref="N63" ca="1">DSUM(MercadoBase1,N$53,INDIRECT("r"&amp;5+2*(ROW()-54)&amp;":r"&amp;6+2*(ROW()-54)))</f>
        <v>0</v>
      </c>
      <c r="O63" s="957" cm="1">
        <f t="array" aca="1" ref="O63" ca="1">DSUM(MercadoBase1,O$53,INDIRECT("r"&amp;5+2*(ROW()-54)&amp;":r"&amp;6+2*(ROW()-54)))</f>
        <v>0</v>
      </c>
      <c r="P63" s="957" cm="1">
        <f t="array" aca="1" ref="P63" ca="1">DSUM(MercadoBase1,P$53,INDIRECT("r"&amp;5+2*(ROW()-54)&amp;":r"&amp;6+2*(ROW()-54)))</f>
        <v>0</v>
      </c>
      <c r="Q63" s="964" cm="1">
        <f t="array" aca="1" ref="Q63" ca="1">DSUM(MercadoBase1,Q$53,INDIRECT("r"&amp;5+2*(ROW()-54)&amp;":r"&amp;6+2*(ROW()-54)))</f>
        <v>0</v>
      </c>
      <c r="R63" s="958">
        <f>VLOOKUP(CAPA!$C$17,Índices!B:F,5,FALSE)/VLOOKUP(DATE(YEAR(B63),MONTH(B63),1),Índices!B:F,5,FALSE)</f>
        <v>1.0206041228759459</v>
      </c>
      <c r="S63" s="965" cm="1">
        <f t="array" aca="1" ref="S63" ca="1">DSUM(MercadoBase1,S$53,INDIRECT("r"&amp;5+2*(ROW()-54)&amp;":r"&amp;6+2*(ROW()-54)))</f>
        <v>0</v>
      </c>
      <c r="T63" s="957" cm="1">
        <f t="array" aca="1" ref="T63" ca="1">DSUM(MercadoBase1,T$53,INDIRECT("r"&amp;5+2*(ROW()-54)&amp;":r"&amp;6+2*(ROW()-54)))</f>
        <v>0</v>
      </c>
      <c r="U63" s="957" cm="1">
        <f t="array" aca="1" ref="U63" ca="1">DSUM(MercadoBase1,U$53,INDIRECT("r"&amp;5+2*(ROW()-54)&amp;":r"&amp;6+2*(ROW()-54)))</f>
        <v>0</v>
      </c>
      <c r="V63" s="957" cm="1">
        <f t="array" aca="1" ref="V63" ca="1">DSUM(MercadoBase1,V$53,INDIRECT("r"&amp;5+2*(ROW()-54)&amp;":r"&amp;6+2*(ROW()-54)))</f>
        <v>0</v>
      </c>
      <c r="W63" s="957" cm="1">
        <f t="array" aca="1" ref="W63" ca="1">DSUM(MercadoBase1,W$53,INDIRECT("r"&amp;5+2*(ROW()-54)&amp;":r"&amp;6+2*(ROW()-54)))</f>
        <v>0</v>
      </c>
      <c r="X63" s="957" cm="1">
        <f t="array" aca="1" ref="X63" ca="1">DSUM(MercadoBase1,X$53,INDIRECT("r"&amp;5+2*(ROW()-54)&amp;":r"&amp;6+2*(ROW()-54)))</f>
        <v>0</v>
      </c>
      <c r="Y63" s="957" cm="1">
        <f t="array" aca="1" ref="Y63" ca="1">DSUM(MercadoBase1,Y$53,INDIRECT("r"&amp;5+2*(ROW()-54)&amp;":r"&amp;6+2*(ROW()-54)))</f>
        <v>0</v>
      </c>
      <c r="Z63" s="957" cm="1">
        <f t="array" aca="1" ref="Z63" ca="1">DSUM(MercadoBase1,Z$53,INDIRECT("r"&amp;5+2*(ROW()-54)&amp;":r"&amp;6+2*(ROW()-54)))</f>
        <v>3534202.8064356684</v>
      </c>
      <c r="AA63" s="957" cm="1">
        <f t="array" aca="1" ref="AA63" ca="1">DSUM(MercadoBase1,AA$53,INDIRECT("r"&amp;5+2*(ROW()-54)&amp;":r"&amp;6+2*(ROW()-54)))</f>
        <v>0</v>
      </c>
      <c r="AB63" s="957" cm="1">
        <f t="array" aca="1" ref="AB63" ca="1">DSUM(MercadoBase1,AB$53,INDIRECT("r"&amp;5+2*(ROW()-54)&amp;":r"&amp;6+2*(ROW()-54)))</f>
        <v>0</v>
      </c>
    </row>
    <row r="64" spans="2:28" ht="15" customHeight="1">
      <c r="B64" s="955">
        <f t="shared" si="2"/>
        <v>44682</v>
      </c>
      <c r="C64" s="956"/>
      <c r="D64" s="957" cm="1">
        <f t="array" aca="1" ref="D64" ca="1">DSUM(MercadoBase1,D$53,INDIRECT("r"&amp;5+2*(ROW()-54)&amp;":r"&amp;6+2*(ROW()-54)))</f>
        <v>0</v>
      </c>
      <c r="E64" s="957" cm="1">
        <f t="array" aca="1" ref="E64" ca="1">DSUM(MercadoBase1,E$53,INDIRECT("r"&amp;5+2*(ROW()-54)&amp;":r"&amp;6+2*(ROW()-54)))</f>
        <v>0</v>
      </c>
      <c r="F64" s="957" cm="1">
        <f t="array" aca="1" ref="F64" ca="1">DSUM(MercadoBase1,F$53,INDIRECT("r"&amp;5+2*(ROW()-54)&amp;":r"&amp;6+2*(ROW()-54)))</f>
        <v>43211.768807014523</v>
      </c>
      <c r="G64" s="957" cm="1">
        <f t="array" aca="1" ref="G64" ca="1">DSUM(MercadoBase1,G$53,INDIRECT("r"&amp;5+2*(ROW()-54)&amp;":r"&amp;6+2*(ROW()-54)))</f>
        <v>77933.141156051512</v>
      </c>
      <c r="H64" s="957" cm="1">
        <f t="array" aca="1" ref="H64" ca="1">DSUM(MercadoBase1,H$53,INDIRECT("r"&amp;5+2*(ROW()-54)&amp;":r"&amp;6+2*(ROW()-54)))</f>
        <v>487660.34849233739</v>
      </c>
      <c r="I64" s="957" cm="1">
        <f t="array" aca="1" ref="I64" ca="1">DSUM(MercadoBase1,I$53,INDIRECT("r"&amp;5+2*(ROW()-54)&amp;":r"&amp;6+2*(ROW()-54)))</f>
        <v>15370.826878917518</v>
      </c>
      <c r="J64" s="957" cm="1">
        <f t="array" aca="1" ref="J64" ca="1">DSUM(MercadoBase1,J$53,INDIRECT("r"&amp;5+2*(ROW()-54)&amp;":r"&amp;6+2*(ROW()-54)))</f>
        <v>0</v>
      </c>
      <c r="K64" s="957" cm="1">
        <f t="array" aca="1" ref="K64" ca="1">DSUM(MercadoBase1,K$53,INDIRECT("r"&amp;5+2*(ROW()-54)&amp;":r"&amp;6+2*(ROW()-54)))</f>
        <v>0</v>
      </c>
      <c r="L64" s="957" cm="1">
        <f t="array" aca="1" ref="L64" ca="1">DSUM(MercadoBase1,L$53,INDIRECT("r"&amp;5+2*(ROW()-54)&amp;":r"&amp;6+2*(ROW()-54)))</f>
        <v>0</v>
      </c>
      <c r="M64" s="957" cm="1">
        <f t="array" aca="1" ref="M64" ca="1">DSUM(MercadoBase1,M$53,INDIRECT("r"&amp;5+2*(ROW()-54)&amp;":r"&amp;6+2*(ROW()-54)))</f>
        <v>0</v>
      </c>
      <c r="N64" s="957" cm="1">
        <f t="array" aca="1" ref="N64" ca="1">DSUM(MercadoBase1,N$53,INDIRECT("r"&amp;5+2*(ROW()-54)&amp;":r"&amp;6+2*(ROW()-54)))</f>
        <v>0</v>
      </c>
      <c r="O64" s="957" cm="1">
        <f t="array" aca="1" ref="O64" ca="1">DSUM(MercadoBase1,O$53,INDIRECT("r"&amp;5+2*(ROW()-54)&amp;":r"&amp;6+2*(ROW()-54)))</f>
        <v>0</v>
      </c>
      <c r="P64" s="957" cm="1">
        <f t="array" aca="1" ref="P64" ca="1">DSUM(MercadoBase1,P$53,INDIRECT("r"&amp;5+2*(ROW()-54)&amp;":r"&amp;6+2*(ROW()-54)))</f>
        <v>0</v>
      </c>
      <c r="Q64" s="964" cm="1">
        <f t="array" aca="1" ref="Q64" ca="1">DSUM(MercadoBase1,Q$53,INDIRECT("r"&amp;5+2*(ROW()-54)&amp;":r"&amp;6+2*(ROW()-54)))</f>
        <v>0</v>
      </c>
      <c r="R64" s="958">
        <f>VLOOKUP(CAPA!$C$17,Índices!B:F,5,FALSE)/VLOOKUP(DATE(YEAR(B64),MONTH(B64),1),Índices!B:F,5,FALSE)</f>
        <v>1.0101531560893695</v>
      </c>
      <c r="S64" s="965" cm="1">
        <f t="array" aca="1" ref="S64" ca="1">DSUM(MercadoBase1,S$53,INDIRECT("r"&amp;5+2*(ROW()-54)&amp;":r"&amp;6+2*(ROW()-54)))</f>
        <v>0</v>
      </c>
      <c r="T64" s="957" cm="1">
        <f t="array" aca="1" ref="T64" ca="1">DSUM(MercadoBase1,T$53,INDIRECT("r"&amp;5+2*(ROW()-54)&amp;":r"&amp;6+2*(ROW()-54)))</f>
        <v>0</v>
      </c>
      <c r="U64" s="957" cm="1">
        <f t="array" aca="1" ref="U64" ca="1">DSUM(MercadoBase1,U$53,INDIRECT("r"&amp;5+2*(ROW()-54)&amp;":r"&amp;6+2*(ROW()-54)))</f>
        <v>0</v>
      </c>
      <c r="V64" s="957" cm="1">
        <f t="array" aca="1" ref="V64" ca="1">DSUM(MercadoBase1,V$53,INDIRECT("r"&amp;5+2*(ROW()-54)&amp;":r"&amp;6+2*(ROW()-54)))</f>
        <v>0</v>
      </c>
      <c r="W64" s="957" cm="1">
        <f t="array" aca="1" ref="W64" ca="1">DSUM(MercadoBase1,W$53,INDIRECT("r"&amp;5+2*(ROW()-54)&amp;":r"&amp;6+2*(ROW()-54)))</f>
        <v>0</v>
      </c>
      <c r="X64" s="957" cm="1">
        <f t="array" aca="1" ref="X64" ca="1">DSUM(MercadoBase1,X$53,INDIRECT("r"&amp;5+2*(ROW()-54)&amp;":r"&amp;6+2*(ROW()-54)))</f>
        <v>0</v>
      </c>
      <c r="Y64" s="957" cm="1">
        <f t="array" aca="1" ref="Y64" ca="1">DSUM(MercadoBase1,Y$53,INDIRECT("r"&amp;5+2*(ROW()-54)&amp;":r"&amp;6+2*(ROW()-54)))</f>
        <v>0</v>
      </c>
      <c r="Z64" s="957" cm="1">
        <f t="array" aca="1" ref="Z64" ca="1">DSUM(MercadoBase1,Z$53,INDIRECT("r"&amp;5+2*(ROW()-54)&amp;":r"&amp;6+2*(ROW()-54)))</f>
        <v>3137963.7137955874</v>
      </c>
      <c r="AA64" s="957" cm="1">
        <f t="array" aca="1" ref="AA64" ca="1">DSUM(MercadoBase1,AA$53,INDIRECT("r"&amp;5+2*(ROW()-54)&amp;":r"&amp;6+2*(ROW()-54)))</f>
        <v>0</v>
      </c>
      <c r="AB64" s="957" cm="1">
        <f t="array" aca="1" ref="AB64" ca="1">DSUM(MercadoBase1,AB$53,INDIRECT("r"&amp;5+2*(ROW()-54)&amp;":r"&amp;6+2*(ROW()-54)))</f>
        <v>0</v>
      </c>
    </row>
    <row r="65" spans="2:28" ht="15" customHeight="1">
      <c r="B65" s="955">
        <f>DATE(YEAR(CAPA!$C$15),MONTH(CAPA!$C$15)-1,1)</f>
        <v>44713</v>
      </c>
      <c r="C65" s="956"/>
      <c r="D65" s="1658" cm="1">
        <f t="array" aca="1" ref="D65" ca="1">DSUM(MercadoBase1,D$53,INDIRECT("r"&amp;5+2*(ROW()-54)&amp;":r"&amp;6+2*(ROW()-54)))</f>
        <v>0</v>
      </c>
      <c r="E65" s="1658" cm="1">
        <f t="array" aca="1" ref="E65" ca="1">DSUM(MercadoBase1,E$53,INDIRECT("r"&amp;5+2*(ROW()-54)&amp;":r"&amp;6+2*(ROW()-54)))</f>
        <v>0</v>
      </c>
      <c r="F65" s="957" cm="1">
        <f t="array" aca="1" ref="F65" ca="1">DSUM(MercadoBase1,F$53,INDIRECT("r"&amp;5+2*(ROW()-54)&amp;":r"&amp;6+2*(ROW()-54)))</f>
        <v>44248.675292464766</v>
      </c>
      <c r="G65" s="1658" cm="1">
        <f t="array" aca="1" ref="G65" ca="1">DSUM(MercadoBase1,G$53,INDIRECT("r"&amp;5+2*(ROW()-54)&amp;":r"&amp;6+2*(ROW()-54)))</f>
        <v>79822.214383120125</v>
      </c>
      <c r="H65" s="1658" cm="1">
        <f t="array" aca="1" ref="H65" ca="1">DSUM(MercadoBase1,H$53,INDIRECT("r"&amp;5+2*(ROW()-54)&amp;":r"&amp;6+2*(ROW()-54)))</f>
        <v>500404.02547685558</v>
      </c>
      <c r="I65" s="957" cm="1">
        <f t="array" aca="1" ref="I65" ca="1">DSUM(MercadoBase1,I$53,INDIRECT("r"&amp;5+2*(ROW()-54)&amp;":r"&amp;6+2*(ROW()-54)))</f>
        <v>15850.551802312646</v>
      </c>
      <c r="J65" s="1658" cm="1">
        <f t="array" aca="1" ref="J65" ca="1">DSUM(MercadoBase1,J$53,INDIRECT("r"&amp;5+2*(ROW()-54)&amp;":r"&amp;6+2*(ROW()-54)))</f>
        <v>0</v>
      </c>
      <c r="K65" s="1658" cm="1">
        <f t="array" aca="1" ref="K65" ca="1">DSUM(MercadoBase1,K$53,INDIRECT("r"&amp;5+2*(ROW()-54)&amp;":r"&amp;6+2*(ROW()-54)))</f>
        <v>0</v>
      </c>
      <c r="L65" s="957" cm="1">
        <f t="array" aca="1" ref="L65" ca="1">DSUM(MercadoBase1,L$53,INDIRECT("r"&amp;5+2*(ROW()-54)&amp;":r"&amp;6+2*(ROW()-54)))</f>
        <v>0</v>
      </c>
      <c r="M65" s="1658" cm="1">
        <f t="array" aca="1" ref="M65" ca="1">DSUM(MercadoBase1,M$53,INDIRECT("r"&amp;5+2*(ROW()-54)&amp;":r"&amp;6+2*(ROW()-54)))</f>
        <v>0</v>
      </c>
      <c r="N65" s="1658" cm="1">
        <f t="array" aca="1" ref="N65" ca="1">DSUM(MercadoBase1,N$53,INDIRECT("r"&amp;5+2*(ROW()-54)&amp;":r"&amp;6+2*(ROW()-54)))</f>
        <v>0</v>
      </c>
      <c r="O65" s="957" cm="1">
        <f t="array" aca="1" ref="O65" ca="1">DSUM(MercadoBase1,O$53,INDIRECT("r"&amp;5+2*(ROW()-54)&amp;":r"&amp;6+2*(ROW()-54)))</f>
        <v>0</v>
      </c>
      <c r="P65" s="1658" cm="1">
        <f t="array" aca="1" ref="P65" ca="1">DSUM(MercadoBase1,P$53,INDIRECT("r"&amp;5+2*(ROW()-54)&amp;":r"&amp;6+2*(ROW()-54)))</f>
        <v>0</v>
      </c>
      <c r="Q65" s="1659" cm="1">
        <f t="array" aca="1" ref="Q65" ca="1">DSUM(MercadoBase1,Q$53,INDIRECT("r"&amp;5+2*(ROW()-54)&amp;":r"&amp;6+2*(ROW()-54)))</f>
        <v>0</v>
      </c>
      <c r="R65" s="1660">
        <f>VLOOKUP(CAPA!$C$17,Índices!B:F,5,FALSE)/VLOOKUP(DATE(YEAR(B65),MONTH(B65),1),Índices!B:F,5,FALSE)</f>
        <v>1</v>
      </c>
      <c r="S65" s="965" cm="1">
        <f t="array" aca="1" ref="S65" ca="1">DSUM(MercadoBase1,S$53,INDIRECT("r"&amp;5+2*(ROW()-54)&amp;":r"&amp;6+2*(ROW()-54)))</f>
        <v>0</v>
      </c>
      <c r="T65" s="1658" cm="1">
        <f t="array" aca="1" ref="T65" ca="1">DSUM(MercadoBase1,T$53,INDIRECT("r"&amp;5+2*(ROW()-54)&amp;":r"&amp;6+2*(ROW()-54)))</f>
        <v>0</v>
      </c>
      <c r="U65" s="1658" cm="1">
        <f t="array" aca="1" ref="U65" ca="1">DSUM(MercadoBase1,U$53,INDIRECT("r"&amp;5+2*(ROW()-54)&amp;":r"&amp;6+2*(ROW()-54)))</f>
        <v>0</v>
      </c>
      <c r="V65" s="957" cm="1">
        <f t="array" aca="1" ref="V65" ca="1">DSUM(MercadoBase1,V$53,INDIRECT("r"&amp;5+2*(ROW()-54)&amp;":r"&amp;6+2*(ROW()-54)))</f>
        <v>0</v>
      </c>
      <c r="W65" s="1658" cm="1">
        <f t="array" aca="1" ref="W65" ca="1">DSUM(MercadoBase1,W$53,INDIRECT("r"&amp;5+2*(ROW()-54)&amp;":r"&amp;6+2*(ROW()-54)))</f>
        <v>0</v>
      </c>
      <c r="X65" s="1658" cm="1">
        <f t="array" aca="1" ref="X65" ca="1">DSUM(MercadoBase1,X$53,INDIRECT("r"&amp;5+2*(ROW()-54)&amp;":r"&amp;6+2*(ROW()-54)))</f>
        <v>0</v>
      </c>
      <c r="Y65" s="957" cm="1">
        <f t="array" aca="1" ref="Y65" ca="1">DSUM(MercadoBase1,Y$53,INDIRECT("r"&amp;5+2*(ROW()-54)&amp;":r"&amp;6+2*(ROW()-54)))</f>
        <v>0</v>
      </c>
      <c r="Z65" s="1658" cm="1">
        <f t="array" aca="1" ref="Z65" ca="1">DSUM(MercadoBase1,Z$53,INDIRECT("r"&amp;5+2*(ROW()-54)&amp;":r"&amp;6+2*(ROW()-54)))</f>
        <v>3201900.5905801379</v>
      </c>
      <c r="AA65" s="1658" cm="1">
        <f t="array" aca="1" ref="AA65" ca="1">DSUM(MercadoBase1,AA$53,INDIRECT("r"&amp;5+2*(ROW()-54)&amp;":r"&amp;6+2*(ROW()-54)))</f>
        <v>0</v>
      </c>
      <c r="AB65" s="957" cm="1">
        <f t="array" aca="1" ref="AB65" ca="1">DSUM(MercadoBase1,AB$53,INDIRECT("r"&amp;5+2*(ROW()-54)&amp;":r"&amp;6+2*(ROW()-54)))</f>
        <v>0</v>
      </c>
    </row>
    <row r="66" spans="2:28" ht="15" customHeight="1">
      <c r="B66" s="1386" t="s">
        <v>1068</v>
      </c>
      <c r="C66" s="1387"/>
      <c r="D66" s="1388">
        <f ca="1">SUM(D54:D65)</f>
        <v>0</v>
      </c>
      <c r="E66" s="1388">
        <f t="shared" ref="E66:Q66" ca="1" si="3">SUM(E54:E65)</f>
        <v>0</v>
      </c>
      <c r="F66" s="1388">
        <f t="shared" ca="1" si="3"/>
        <v>598830.8355464706</v>
      </c>
      <c r="G66" s="1388">
        <f ca="1">SUM(G54:G65)</f>
        <v>1089862.2228940441</v>
      </c>
      <c r="H66" s="1388">
        <f t="shared" ca="1" si="3"/>
        <v>6816148.3122982113</v>
      </c>
      <c r="I66" s="1388">
        <f t="shared" ca="1" si="3"/>
        <v>212045.12391727263</v>
      </c>
      <c r="J66" s="1388">
        <f t="shared" ca="1" si="3"/>
        <v>0</v>
      </c>
      <c r="K66" s="1388">
        <f t="shared" ca="1" si="3"/>
        <v>0</v>
      </c>
      <c r="L66" s="1388">
        <f t="shared" ca="1" si="3"/>
        <v>0</v>
      </c>
      <c r="M66" s="1388">
        <f t="shared" ca="1" si="3"/>
        <v>0</v>
      </c>
      <c r="N66" s="1388">
        <f t="shared" ca="1" si="3"/>
        <v>0</v>
      </c>
      <c r="O66" s="1388">
        <f t="shared" ca="1" si="3"/>
        <v>0</v>
      </c>
      <c r="P66" s="1388">
        <f t="shared" ca="1" si="3"/>
        <v>0</v>
      </c>
      <c r="Q66" s="1388">
        <f t="shared" ca="1" si="3"/>
        <v>0</v>
      </c>
      <c r="R66" s="1658"/>
      <c r="S66" s="1388">
        <f t="shared" ref="S66:AB66" ca="1" si="4">SUM(S54:S65)</f>
        <v>0</v>
      </c>
      <c r="T66" s="1388">
        <f t="shared" ca="1" si="4"/>
        <v>0</v>
      </c>
      <c r="U66" s="1388">
        <f t="shared" ca="1" si="4"/>
        <v>0</v>
      </c>
      <c r="V66" s="1388">
        <f t="shared" ca="1" si="4"/>
        <v>0</v>
      </c>
      <c r="W66" s="1388">
        <f t="shared" ca="1" si="4"/>
        <v>0</v>
      </c>
      <c r="X66" s="1388">
        <f t="shared" ca="1" si="4"/>
        <v>0</v>
      </c>
      <c r="Y66" s="1388">
        <f t="shared" ca="1" si="4"/>
        <v>0</v>
      </c>
      <c r="Z66" s="1388">
        <f t="shared" ca="1" si="4"/>
        <v>43080959.26653447</v>
      </c>
      <c r="AA66" s="1388">
        <f t="shared" ca="1" si="4"/>
        <v>0</v>
      </c>
      <c r="AB66" s="1388">
        <f t="shared" ca="1" si="4"/>
        <v>0</v>
      </c>
    </row>
    <row r="67" spans="2:28" ht="15" customHeight="1">
      <c r="B67" s="1389" t="s">
        <v>1546</v>
      </c>
      <c r="C67" s="1390"/>
      <c r="D67" s="1391">
        <f t="shared" ref="D67:AB67" ca="1" si="5">SUMPRODUCT(D54:D65,$R$54:$R$65)</f>
        <v>0</v>
      </c>
      <c r="E67" s="1392">
        <f t="shared" ca="1" si="5"/>
        <v>0</v>
      </c>
      <c r="F67" s="1661">
        <f t="shared" ca="1" si="5"/>
        <v>627070.42996045784</v>
      </c>
      <c r="G67" s="1392">
        <f t="shared" ca="1" si="5"/>
        <v>1141412.0785322718</v>
      </c>
      <c r="H67" s="1392">
        <f t="shared" ca="1" si="5"/>
        <v>7138677.3114796216</v>
      </c>
      <c r="I67" s="1661">
        <f t="shared" ca="1" si="5"/>
        <v>222056.50698939292</v>
      </c>
      <c r="J67" s="1391">
        <f t="shared" ca="1" si="5"/>
        <v>0</v>
      </c>
      <c r="K67" s="1392">
        <f t="shared" ca="1" si="5"/>
        <v>0</v>
      </c>
      <c r="L67" s="1661">
        <f t="shared" ca="1" si="5"/>
        <v>0</v>
      </c>
      <c r="M67" s="1392">
        <f t="shared" ca="1" si="5"/>
        <v>0</v>
      </c>
      <c r="N67" s="1392">
        <f t="shared" ca="1" si="5"/>
        <v>0</v>
      </c>
      <c r="O67" s="1661">
        <f t="shared" ca="1" si="5"/>
        <v>0</v>
      </c>
      <c r="P67" s="1391">
        <f t="shared" ca="1" si="5"/>
        <v>0</v>
      </c>
      <c r="Q67" s="1391">
        <f t="shared" ca="1" si="5"/>
        <v>0</v>
      </c>
      <c r="R67" s="1392">
        <f t="shared" si="5"/>
        <v>13.165388547125795</v>
      </c>
      <c r="S67" s="1661">
        <f t="shared" ca="1" si="5"/>
        <v>0</v>
      </c>
      <c r="T67" s="1392">
        <f t="shared" ca="1" si="5"/>
        <v>0</v>
      </c>
      <c r="U67" s="1392">
        <f t="shared" ca="1" si="5"/>
        <v>0</v>
      </c>
      <c r="V67" s="1661">
        <f t="shared" ca="1" si="5"/>
        <v>0</v>
      </c>
      <c r="W67" s="1391">
        <f t="shared" ca="1" si="5"/>
        <v>0</v>
      </c>
      <c r="X67" s="1392">
        <f t="shared" ca="1" si="5"/>
        <v>0</v>
      </c>
      <c r="Y67" s="1661">
        <f t="shared" ca="1" si="5"/>
        <v>0</v>
      </c>
      <c r="Z67" s="1392">
        <f t="shared" ca="1" si="5"/>
        <v>45120214.442473441</v>
      </c>
      <c r="AA67" s="1392">
        <f t="shared" ca="1" si="5"/>
        <v>0</v>
      </c>
      <c r="AB67" s="1661">
        <f t="shared" ca="1" si="5"/>
        <v>0</v>
      </c>
    </row>
    <row r="71" spans="2:28" ht="15" customHeight="1">
      <c r="H71" s="966"/>
      <c r="J71" s="966"/>
    </row>
    <row r="72" spans="2:28" ht="15" customHeight="1">
      <c r="H72" s="966"/>
      <c r="J72" s="966"/>
    </row>
    <row r="73" spans="2:28" ht="15" customHeight="1">
      <c r="H73" s="966"/>
      <c r="J73" s="966"/>
    </row>
    <row r="74" spans="2:28" ht="15" customHeight="1">
      <c r="H74" s="966"/>
      <c r="J74" s="966"/>
    </row>
    <row r="75" spans="2:28" ht="15" customHeight="1">
      <c r="H75" s="966"/>
      <c r="J75" s="966"/>
    </row>
    <row r="76" spans="2:28" ht="15" customHeight="1">
      <c r="H76" s="966"/>
      <c r="J76" s="966"/>
    </row>
    <row r="77" spans="2:28" ht="15" customHeight="1">
      <c r="H77" s="966"/>
      <c r="J77" s="966"/>
    </row>
    <row r="78" spans="2:28" ht="15" customHeight="1">
      <c r="H78" s="966"/>
      <c r="J78" s="966"/>
    </row>
    <row r="79" spans="2:28" ht="15" customHeight="1">
      <c r="H79" s="966"/>
      <c r="J79" s="966"/>
    </row>
    <row r="80" spans="2:28" ht="15" customHeight="1">
      <c r="H80" s="966"/>
      <c r="J80" s="966"/>
    </row>
    <row r="81" spans="8:10" ht="15" customHeight="1">
      <c r="H81" s="966"/>
      <c r="J81" s="966"/>
    </row>
    <row r="82" spans="8:10" ht="15" customHeight="1">
      <c r="H82" s="966"/>
      <c r="J82" s="966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H27" sqref="H27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65" t="str">
        <f>CAPA!C9</f>
        <v>Creluz</v>
      </c>
    </row>
    <row r="3" spans="1:14">
      <c r="A3" s="865" t="s">
        <v>1547</v>
      </c>
      <c r="B3" s="866">
        <v>0</v>
      </c>
    </row>
    <row r="7" spans="1:14">
      <c r="A7" s="867"/>
      <c r="B7" s="1822" t="s">
        <v>1548</v>
      </c>
      <c r="C7" s="1822"/>
      <c r="D7" s="1822"/>
      <c r="E7" s="867"/>
      <c r="F7" s="1822" t="s">
        <v>1549</v>
      </c>
      <c r="G7" s="1822"/>
      <c r="H7" s="1822"/>
      <c r="I7" s="867"/>
      <c r="J7" s="1822" t="s">
        <v>1550</v>
      </c>
      <c r="K7" s="1822"/>
      <c r="L7" s="1822"/>
    </row>
    <row r="8" spans="1:14">
      <c r="A8" s="1393" t="s">
        <v>1551</v>
      </c>
      <c r="B8" s="1393" t="s">
        <v>1552</v>
      </c>
      <c r="C8" s="1393" t="s">
        <v>150</v>
      </c>
      <c r="D8" s="1393" t="s">
        <v>1553</v>
      </c>
      <c r="E8" s="1393"/>
      <c r="F8" s="1393" t="s">
        <v>1552</v>
      </c>
      <c r="G8" s="1393" t="s">
        <v>1554</v>
      </c>
      <c r="H8" s="1393" t="s">
        <v>1555</v>
      </c>
      <c r="I8" s="1393"/>
      <c r="J8" s="1393" t="s">
        <v>1552</v>
      </c>
      <c r="K8" s="1393" t="s">
        <v>1554</v>
      </c>
      <c r="L8" s="1393" t="s">
        <v>1556</v>
      </c>
    </row>
    <row r="9" spans="1:14">
      <c r="A9" s="1394">
        <v>44013</v>
      </c>
      <c r="B9" s="1395">
        <f>SUMIFS(BDCOVID!F:F,BDCOVID!$C:$C,'Conta covid'!$A$1,BDCOVID!$AH:$AH,'Conta covid'!$A9)</f>
        <v>2600000</v>
      </c>
      <c r="C9" s="1395">
        <f>SUMIFS(BDCOVID!G:G,BDCOVID!$C:$C,'Conta covid'!$A$1,BDCOVID!$AH:$AH,'Conta covid'!$A9)</f>
        <v>0</v>
      </c>
      <c r="D9" s="1396">
        <f>B9-C9</f>
        <v>2600000</v>
      </c>
      <c r="E9" s="1395"/>
      <c r="F9" s="1397">
        <f>B9*VLOOKUP(SAS_RA0_DataFim,Índices!$B$6:$F$405,5,FALSE)/VLOOKUP(EDATE('Conta covid'!$A9,-1),Índices!$B$6:$F$405,5,FALSE)</f>
        <v>2890297.0965168169</v>
      </c>
      <c r="G9" s="1397">
        <f>C9*VLOOKUP(SAS_RA0_DataFim,Índices!$B$6:$F$405,5,FALSE)/VLOOKUP(EDATE('Conta covid'!$A9,-1),Índices!$B$6:$F$405,5,FALSE)</f>
        <v>0</v>
      </c>
      <c r="H9" s="1397">
        <f>F9-G9</f>
        <v>2890297.0965168169</v>
      </c>
      <c r="I9" s="1395"/>
      <c r="J9" s="1397">
        <f>IFERROR(IF($C$19,H9*$B$3,0),0)</f>
        <v>0</v>
      </c>
      <c r="K9" s="1397"/>
      <c r="L9" s="1397"/>
    </row>
    <row r="10" spans="1:14">
      <c r="A10" s="1394">
        <v>44044</v>
      </c>
      <c r="B10" s="1395">
        <f>SUMIFS(BDCOVID!F:F,BDCOVID!$C:$C,'Conta covid'!$A$1,BDCOVID!$AH:$AH,'Conta covid'!$A10)</f>
        <v>2400000</v>
      </c>
      <c r="C10" s="1395">
        <f>SUMIFS(BDCOVID!G:G,BDCOVID!$C:$C,'Conta covid'!$A$1,BDCOVID!$AH:$AH,'Conta covid'!$A10)</f>
        <v>0</v>
      </c>
      <c r="D10" s="1396">
        <f t="shared" ref="D10:D15" si="0">B10-C10</f>
        <v>2400000</v>
      </c>
      <c r="E10" s="1395"/>
      <c r="F10" s="1397">
        <f>B10*VLOOKUP(SAS_RA0_DataFim,Índices!$B$6:$F$405,5,FALSE)/VLOOKUP(EDATE('Conta covid'!$A10,-1),Índices!$B$6:$F$405,5,FALSE)</f>
        <v>2662791.5108432136</v>
      </c>
      <c r="G10" s="1397">
        <f>C10*VLOOKUP(SAS_RA0_DataFim,Índices!$B$6:$F$405,5,FALSE)/VLOOKUP(EDATE('Conta covid'!$A10,-1),Índices!$B$6:$F$405,5,FALSE)</f>
        <v>0</v>
      </c>
      <c r="H10" s="1397">
        <f t="shared" ref="H10:H15" si="1">F10-G10</f>
        <v>2662791.5108432136</v>
      </c>
      <c r="I10" s="1395"/>
      <c r="J10" s="1397">
        <f t="shared" ref="J10:J16" si="2">IFERROR(IF($C$19,H10*$B$3,0),0)</f>
        <v>0</v>
      </c>
      <c r="K10" s="1397"/>
      <c r="L10" s="1397"/>
    </row>
    <row r="11" spans="1:14">
      <c r="A11" s="1394">
        <v>44075</v>
      </c>
      <c r="B11" s="1395">
        <f>SUMIFS(BDCOVID!F:F,BDCOVID!$C:$C,'Conta covid'!$A$1,BDCOVID!$AH:$AH,'Conta covid'!$A11)</f>
        <v>2000000</v>
      </c>
      <c r="C11" s="1395">
        <f>SUMIFS(BDCOVID!G:G,BDCOVID!$C:$C,'Conta covid'!$A$1,BDCOVID!$AH:$AH,'Conta covid'!$A11)</f>
        <v>0</v>
      </c>
      <c r="D11" s="1396">
        <f t="shared" si="0"/>
        <v>2000000</v>
      </c>
      <c r="E11" s="1395"/>
      <c r="F11" s="1397">
        <f>B11*VLOOKUP(SAS_RA0_DataFim,Índices!$B$6:$F$405,5,FALSE)/VLOOKUP(EDATE('Conta covid'!$A11,-1),Índices!$B$6:$F$405,5,FALSE)</f>
        <v>2215450.6505659716</v>
      </c>
      <c r="G11" s="1397">
        <f>C11*VLOOKUP(SAS_RA0_DataFim,Índices!$B$6:$F$405,5,FALSE)/VLOOKUP(EDATE('Conta covid'!$A11,-1),Índices!$B$6:$F$405,5,FALSE)</f>
        <v>0</v>
      </c>
      <c r="H11" s="1397">
        <f t="shared" si="1"/>
        <v>2215450.6505659716</v>
      </c>
      <c r="I11" s="1395"/>
      <c r="J11" s="1397">
        <f t="shared" si="2"/>
        <v>0</v>
      </c>
      <c r="K11" s="1397"/>
      <c r="L11" s="1397"/>
    </row>
    <row r="12" spans="1:14">
      <c r="A12" s="1394">
        <v>44105</v>
      </c>
      <c r="B12" s="1395">
        <f>SUMIFS(BDCOVID!F:F,BDCOVID!$C:$C,'Conta covid'!$A$1,BDCOVID!$AH:$AH,'Conta covid'!$A12)</f>
        <v>975736</v>
      </c>
      <c r="C12" s="1395">
        <f>SUMIFS(BDCOVID!G:G,BDCOVID!$C:$C,'Conta covid'!$A$1,BDCOVID!$AH:$AH,'Conta covid'!$A12)</f>
        <v>0</v>
      </c>
      <c r="D12" s="1396">
        <f t="shared" si="0"/>
        <v>975736</v>
      </c>
      <c r="E12" s="1395"/>
      <c r="F12" s="1397">
        <f>B12*VLOOKUP(SAS_RA0_DataFim,Índices!$B$6:$F$405,5,FALSE)/VLOOKUP(EDATE('Conta covid'!$A12,-1),Índices!$B$6:$F$405,5,FALSE)</f>
        <v>1079153.5715726148</v>
      </c>
      <c r="G12" s="1397">
        <f>C12*VLOOKUP(SAS_RA0_DataFim,Índices!$B$6:$F$405,5,FALSE)/VLOOKUP(EDATE('Conta covid'!$A12,-1),Índices!$B$6:$F$405,5,FALSE)</f>
        <v>0</v>
      </c>
      <c r="H12" s="1397">
        <f t="shared" si="1"/>
        <v>1079153.5715726148</v>
      </c>
      <c r="I12" s="1395"/>
      <c r="J12" s="1397">
        <f t="shared" si="2"/>
        <v>0</v>
      </c>
      <c r="K12" s="1397"/>
      <c r="L12" s="1397"/>
    </row>
    <row r="13" spans="1:14">
      <c r="A13" s="1394">
        <v>44136</v>
      </c>
      <c r="B13" s="1395">
        <f>SUMIFS(BDCOVID!F:F,BDCOVID!$C:$C,'Conta covid'!$A$1,BDCOVID!$AH:$AH,'Conta covid'!$A13)</f>
        <v>0</v>
      </c>
      <c r="C13" s="1395">
        <f>SUMIFS(BDCOVID!G:G,BDCOVID!$C:$C,'Conta covid'!$A$1,BDCOVID!$AH:$AH,'Conta covid'!$A13)</f>
        <v>0</v>
      </c>
      <c r="D13" s="1396">
        <f t="shared" si="0"/>
        <v>0</v>
      </c>
      <c r="E13" s="1395"/>
      <c r="F13" s="1397">
        <f>B13*VLOOKUP(SAS_RA0_DataFim,Índices!$B$6:$F$405,5,FALSE)/VLOOKUP(EDATE('Conta covid'!$A13,-1),Índices!$B$6:$F$405,5,FALSE)</f>
        <v>0</v>
      </c>
      <c r="G13" s="1397">
        <f>C13*VLOOKUP(SAS_RA0_DataFim,Índices!$B$6:$F$405,5,FALSE)/VLOOKUP(EDATE('Conta covid'!$A13,-1),Índices!$B$6:$F$405,5,FALSE)</f>
        <v>0</v>
      </c>
      <c r="H13" s="1397">
        <f t="shared" si="1"/>
        <v>0</v>
      </c>
      <c r="I13" s="1395"/>
      <c r="J13" s="1397">
        <f t="shared" si="2"/>
        <v>0</v>
      </c>
      <c r="K13" s="1397"/>
      <c r="L13" s="1397"/>
      <c r="M13" s="868">
        <f t="shared" ref="M13:N13" si="3">SUM(M5:M12)</f>
        <v>0</v>
      </c>
      <c r="N13" s="868">
        <f t="shared" si="3"/>
        <v>0</v>
      </c>
    </row>
    <row r="14" spans="1:14">
      <c r="A14" s="1394">
        <v>44166</v>
      </c>
      <c r="B14" s="1395">
        <f>SUMIFS(BDCOVID!F:F,BDCOVID!$C:$C,'Conta covid'!$A$1,BDCOVID!$AH:$AH,'Conta covid'!$A14)</f>
        <v>0</v>
      </c>
      <c r="C14" s="1395">
        <f>SUMIFS(BDCOVID!G:G,BDCOVID!$C:$C,'Conta covid'!$A$1,BDCOVID!$AH:$AH,'Conta covid'!$A14)</f>
        <v>0</v>
      </c>
      <c r="D14" s="1396">
        <f t="shared" si="0"/>
        <v>0</v>
      </c>
      <c r="E14" s="1395"/>
      <c r="F14" s="1397">
        <f>B14*VLOOKUP(SAS_RA0_DataFim,Índices!$B$6:$F$405,5,FALSE)/VLOOKUP(EDATE('Conta covid'!$A14,-1),Índices!$B$6:$F$405,5,FALSE)</f>
        <v>0</v>
      </c>
      <c r="G14" s="1397">
        <f>C14*VLOOKUP(SAS_RA0_DataFim,Índices!$B$6:$F$405,5,FALSE)/VLOOKUP(EDATE('Conta covid'!$A14,-1),Índices!$B$6:$F$405,5,FALSE)</f>
        <v>0</v>
      </c>
      <c r="H14" s="1397">
        <f t="shared" si="1"/>
        <v>0</v>
      </c>
      <c r="I14" s="1395"/>
      <c r="J14" s="1397">
        <f t="shared" si="2"/>
        <v>0</v>
      </c>
      <c r="K14" s="1397"/>
      <c r="L14" s="1397"/>
    </row>
    <row r="15" spans="1:14">
      <c r="A15" s="1394">
        <v>44197</v>
      </c>
      <c r="B15" s="1395">
        <f>SUMIFS(BDCOVID!F:F,BDCOVID!$C:$C,'Conta covid'!$A$1,BDCOVID!$AH:$AH,'Conta covid'!$A15)</f>
        <v>0</v>
      </c>
      <c r="C15" s="1395">
        <f>SUMIFS(BDCOVID!G:G,BDCOVID!$C:$C,'Conta covid'!$A$1,BDCOVID!$AH:$AH,'Conta covid'!$A15)</f>
        <v>0</v>
      </c>
      <c r="D15" s="1396">
        <f t="shared" si="0"/>
        <v>0</v>
      </c>
      <c r="E15" s="1395"/>
      <c r="F15" s="1397">
        <f>B15*VLOOKUP(SAS_RA0_DataFim,Índices!$B$6:$F$405,5,FALSE)/VLOOKUP(EDATE('Conta covid'!$A15,-1),Índices!$B$6:$F$405,5,FALSE)</f>
        <v>0</v>
      </c>
      <c r="G15" s="1397">
        <f>C15*VLOOKUP(SAS_RA0_DataFim,Índices!$B$6:$F$405,5,FALSE)/VLOOKUP(EDATE('Conta covid'!$A15,-1),Índices!$B$6:$F$405,5,FALSE)</f>
        <v>0</v>
      </c>
      <c r="H15" s="1397">
        <f t="shared" si="1"/>
        <v>0</v>
      </c>
      <c r="I15" s="1395"/>
      <c r="J15" s="1397">
        <f t="shared" si="2"/>
        <v>0</v>
      </c>
      <c r="K15" s="1397"/>
      <c r="L15" s="1397"/>
    </row>
    <row r="16" spans="1:14">
      <c r="A16" s="1395"/>
      <c r="B16" s="1395"/>
      <c r="C16" s="1395"/>
      <c r="D16" s="1395"/>
      <c r="E16" s="1395"/>
      <c r="F16" s="1395"/>
      <c r="G16" s="1397"/>
      <c r="H16" s="1395"/>
      <c r="I16" s="1395"/>
      <c r="J16" s="1397">
        <f t="shared" si="2"/>
        <v>0</v>
      </c>
      <c r="K16" s="1395"/>
      <c r="L16" s="1395"/>
    </row>
    <row r="17" spans="1:12">
      <c r="A17" s="1398" t="s">
        <v>897</v>
      </c>
      <c r="B17" s="1399">
        <f>SUM(B9:B16)</f>
        <v>7975736</v>
      </c>
      <c r="C17" s="1399">
        <f t="shared" ref="C17:L17" si="4">SUM(C9:C16)</f>
        <v>0</v>
      </c>
      <c r="D17" s="1399">
        <f t="shared" si="4"/>
        <v>7975736</v>
      </c>
      <c r="E17" s="1399">
        <f t="shared" si="4"/>
        <v>0</v>
      </c>
      <c r="F17" s="1399">
        <f t="shared" si="4"/>
        <v>8847692.829498617</v>
      </c>
      <c r="G17" s="1399">
        <f t="shared" si="4"/>
        <v>0</v>
      </c>
      <c r="H17" s="1399">
        <f t="shared" si="4"/>
        <v>8847692.829498617</v>
      </c>
      <c r="I17" s="1399">
        <f t="shared" si="4"/>
        <v>0</v>
      </c>
      <c r="J17" s="1399">
        <f t="shared" si="4"/>
        <v>0</v>
      </c>
      <c r="K17" s="1399">
        <f t="shared" si="4"/>
        <v>0</v>
      </c>
      <c r="L17" s="1399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C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89" t="s">
        <v>1557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57"/>
      <c r="P1" s="357"/>
      <c r="Q1" s="357"/>
      <c r="R1" s="9"/>
      <c r="S1" s="9"/>
      <c r="T1" s="9"/>
      <c r="U1" s="9"/>
      <c r="V1" s="9"/>
    </row>
    <row r="2" spans="1:22">
      <c r="A2" s="688"/>
      <c r="B2" s="688"/>
      <c r="C2" s="688"/>
      <c r="D2" s="688"/>
      <c r="E2" s="688"/>
      <c r="F2" s="688"/>
      <c r="G2" s="688"/>
      <c r="H2" s="688"/>
      <c r="I2" s="688"/>
      <c r="J2" s="688"/>
      <c r="K2" s="688"/>
      <c r="L2" s="688"/>
      <c r="M2" s="688"/>
      <c r="N2" s="688"/>
      <c r="O2" s="357"/>
      <c r="P2" s="357"/>
      <c r="Q2" s="357"/>
      <c r="R2" s="9"/>
      <c r="S2" s="9"/>
      <c r="T2" s="9"/>
      <c r="U2" s="9"/>
      <c r="V2" s="9"/>
    </row>
    <row r="3" spans="1:22">
      <c r="A3" s="690" t="s">
        <v>1558</v>
      </c>
      <c r="B3" s="65"/>
      <c r="C3" s="65"/>
      <c r="D3" s="65"/>
      <c r="E3" s="65"/>
      <c r="F3" s="688"/>
      <c r="G3" s="357"/>
      <c r="H3" s="357"/>
      <c r="I3" s="690" t="s">
        <v>1559</v>
      </c>
      <c r="J3" s="357"/>
      <c r="K3" s="691"/>
      <c r="L3" s="9"/>
      <c r="M3" s="9"/>
      <c r="N3" s="688"/>
      <c r="O3" s="357"/>
      <c r="P3" s="357"/>
      <c r="Q3" s="357"/>
      <c r="R3" s="9"/>
      <c r="S3" s="9"/>
      <c r="T3" s="9"/>
      <c r="U3" s="9"/>
      <c r="V3" s="9"/>
    </row>
    <row r="4" spans="1:22" ht="25.5">
      <c r="A4" s="1400" t="s">
        <v>20</v>
      </c>
      <c r="B4" s="1401"/>
      <c r="C4" s="692" t="s">
        <v>984</v>
      </c>
      <c r="D4" s="692" t="s">
        <v>1560</v>
      </c>
      <c r="E4" s="692" t="s">
        <v>1561</v>
      </c>
      <c r="F4" s="692" t="s">
        <v>8</v>
      </c>
      <c r="G4" s="693" t="s">
        <v>1562</v>
      </c>
      <c r="H4" s="357"/>
      <c r="I4" s="1400" t="s">
        <v>20</v>
      </c>
      <c r="J4" s="1400"/>
      <c r="K4" s="1400"/>
      <c r="L4" s="692" t="s">
        <v>1561</v>
      </c>
      <c r="M4" s="692" t="s">
        <v>8</v>
      </c>
      <c r="N4" s="693" t="str">
        <f>G4</f>
        <v>Repasse CDE</v>
      </c>
      <c r="P4" s="357"/>
      <c r="Q4" s="357"/>
      <c r="R4" s="9"/>
      <c r="S4" s="9"/>
      <c r="T4" s="9"/>
      <c r="U4" s="9"/>
      <c r="V4" s="9"/>
    </row>
    <row r="5" spans="1:22">
      <c r="A5" s="1631" t="s">
        <v>103</v>
      </c>
      <c r="B5" s="1402"/>
      <c r="C5" s="1403">
        <f>SUMPRODUCT(C16:Q16,$C$22:$Q$22)</f>
        <v>0</v>
      </c>
      <c r="D5" s="697">
        <f>SUMPRODUCT(C28:Q28,$C$34:$Q$34)</f>
        <v>0</v>
      </c>
      <c r="E5" s="1404">
        <f>C5-D5</f>
        <v>0</v>
      </c>
      <c r="F5" s="1405">
        <f>Resultado!M9</f>
        <v>0</v>
      </c>
      <c r="G5" s="694">
        <f>F5+E5</f>
        <v>0</v>
      </c>
      <c r="H5" s="357"/>
      <c r="I5" s="1631" t="s">
        <v>103</v>
      </c>
      <c r="J5" s="1631"/>
      <c r="K5" s="1631"/>
      <c r="L5" s="1405">
        <f t="shared" ref="L5:N10" si="0">E5/12</f>
        <v>0</v>
      </c>
      <c r="M5" s="1405">
        <f t="shared" si="0"/>
        <v>0</v>
      </c>
      <c r="N5" s="1403">
        <f t="shared" si="0"/>
        <v>0</v>
      </c>
      <c r="P5" s="357"/>
      <c r="Q5" s="357"/>
      <c r="R5" s="9"/>
      <c r="S5" s="9"/>
      <c r="T5" s="9"/>
      <c r="U5" s="9"/>
      <c r="V5" s="9"/>
    </row>
    <row r="6" spans="1:22">
      <c r="A6" s="65" t="s">
        <v>104</v>
      </c>
      <c r="B6" s="695"/>
      <c r="C6" s="696">
        <f t="shared" ref="C6:C10" si="1">SUMPRODUCT(C17:Q17,$C$22:$Q$22)</f>
        <v>255086.4668902542</v>
      </c>
      <c r="D6" s="697">
        <f t="shared" ref="D6:D10" si="2">SUMPRODUCT(C29:Q29,$C$34:$Q$34)</f>
        <v>252715.13137649046</v>
      </c>
      <c r="E6" s="713">
        <f t="shared" ref="E6:E10" si="3">C6-D6</f>
        <v>2371.3355137637409</v>
      </c>
      <c r="F6" s="697">
        <f>Resultado!M10</f>
        <v>345638.52230911842</v>
      </c>
      <c r="G6" s="694">
        <f t="shared" ref="G6:G10" si="4">F6+E6</f>
        <v>348009.85782288213</v>
      </c>
      <c r="H6" s="357"/>
      <c r="I6" s="65" t="s">
        <v>104</v>
      </c>
      <c r="J6" s="65"/>
      <c r="K6" s="65"/>
      <c r="L6" s="697">
        <f t="shared" si="0"/>
        <v>197.61129281364506</v>
      </c>
      <c r="M6" s="697">
        <f t="shared" si="0"/>
        <v>28803.210192426533</v>
      </c>
      <c r="N6" s="696">
        <f t="shared" si="0"/>
        <v>29000.821485240176</v>
      </c>
      <c r="P6" s="357"/>
      <c r="Q6" s="357"/>
      <c r="R6" s="9"/>
      <c r="S6" s="9"/>
      <c r="T6" s="9"/>
      <c r="U6" s="9"/>
      <c r="V6" s="9"/>
    </row>
    <row r="7" spans="1:22">
      <c r="A7" s="65" t="s">
        <v>105</v>
      </c>
      <c r="B7" s="695"/>
      <c r="C7" s="696">
        <f t="shared" si="1"/>
        <v>0</v>
      </c>
      <c r="D7" s="697">
        <f t="shared" si="2"/>
        <v>0</v>
      </c>
      <c r="E7" s="713">
        <f t="shared" si="3"/>
        <v>0</v>
      </c>
      <c r="F7" s="697">
        <f>-Financeiros!D37+Resultado!M11</f>
        <v>0</v>
      </c>
      <c r="G7" s="694">
        <f t="shared" si="4"/>
        <v>0</v>
      </c>
      <c r="H7" s="357"/>
      <c r="I7" s="65" t="s">
        <v>105</v>
      </c>
      <c r="J7" s="65"/>
      <c r="K7" s="65"/>
      <c r="L7" s="697">
        <f t="shared" si="0"/>
        <v>0</v>
      </c>
      <c r="M7" s="697">
        <f t="shared" si="0"/>
        <v>0</v>
      </c>
      <c r="N7" s="696">
        <f t="shared" si="0"/>
        <v>0</v>
      </c>
      <c r="P7" s="357"/>
      <c r="Q7" s="357"/>
      <c r="R7" s="9"/>
      <c r="S7" s="9"/>
      <c r="T7" s="9"/>
      <c r="U7" s="9"/>
      <c r="V7" s="9"/>
    </row>
    <row r="8" spans="1:22">
      <c r="A8" s="65" t="s">
        <v>106</v>
      </c>
      <c r="B8" s="695"/>
      <c r="C8" s="696">
        <f t="shared" si="1"/>
        <v>163154.30530522513</v>
      </c>
      <c r="D8" s="697">
        <f t="shared" si="2"/>
        <v>162549.05581426018</v>
      </c>
      <c r="E8" s="713">
        <f t="shared" si="3"/>
        <v>605.24949096495402</v>
      </c>
      <c r="F8" s="697">
        <f>Resultado!M12</f>
        <v>87732.936274733074</v>
      </c>
      <c r="G8" s="694">
        <f t="shared" si="4"/>
        <v>88338.185765698028</v>
      </c>
      <c r="H8" s="357"/>
      <c r="I8" s="65" t="s">
        <v>106</v>
      </c>
      <c r="J8" s="65"/>
      <c r="K8" s="65"/>
      <c r="L8" s="697">
        <f t="shared" si="0"/>
        <v>50.437457580412833</v>
      </c>
      <c r="M8" s="697">
        <f t="shared" si="0"/>
        <v>7311.0780228944232</v>
      </c>
      <c r="N8" s="696">
        <f t="shared" si="0"/>
        <v>7361.5154804748354</v>
      </c>
      <c r="P8" s="357"/>
      <c r="Q8" s="357"/>
      <c r="R8" s="9"/>
      <c r="S8" s="9"/>
      <c r="T8" s="9"/>
      <c r="U8" s="9"/>
      <c r="V8" s="9"/>
    </row>
    <row r="9" spans="1:22">
      <c r="A9" s="65" t="s">
        <v>107</v>
      </c>
      <c r="B9" s="695"/>
      <c r="C9" s="696">
        <f t="shared" si="1"/>
        <v>4327523.0545703685</v>
      </c>
      <c r="D9" s="697">
        <f t="shared" si="2"/>
        <v>4285754.5292646457</v>
      </c>
      <c r="E9" s="713">
        <f>C9-D9</f>
        <v>41768.52530572284</v>
      </c>
      <c r="F9" s="697">
        <f>Resultado!M13</f>
        <v>2438946.3271592055</v>
      </c>
      <c r="G9" s="694">
        <f t="shared" si="4"/>
        <v>2480714.8524649283</v>
      </c>
      <c r="H9" s="357"/>
      <c r="I9" s="65" t="s">
        <v>107</v>
      </c>
      <c r="J9" s="65"/>
      <c r="K9" s="65"/>
      <c r="L9" s="697">
        <f t="shared" si="0"/>
        <v>3480.7104421435702</v>
      </c>
      <c r="M9" s="697">
        <f t="shared" si="0"/>
        <v>203245.52726326711</v>
      </c>
      <c r="N9" s="696">
        <f t="shared" si="0"/>
        <v>206726.23770541069</v>
      </c>
      <c r="P9" s="357"/>
      <c r="Q9" s="357"/>
      <c r="R9" s="9"/>
      <c r="S9" s="9"/>
      <c r="T9" s="9"/>
      <c r="U9" s="9"/>
      <c r="V9" s="9"/>
    </row>
    <row r="10" spans="1:22">
      <c r="A10" s="1153" t="s">
        <v>108</v>
      </c>
      <c r="B10" s="698"/>
      <c r="C10" s="696">
        <f t="shared" si="1"/>
        <v>800901.33498076838</v>
      </c>
      <c r="D10" s="697">
        <f t="shared" si="2"/>
        <v>682824.11453134706</v>
      </c>
      <c r="E10" s="1662">
        <f t="shared" si="3"/>
        <v>118077.22044942132</v>
      </c>
      <c r="F10" s="1663">
        <f>Resultado!M14</f>
        <v>833288.49891196913</v>
      </c>
      <c r="G10" s="694">
        <f t="shared" si="4"/>
        <v>951365.71936139045</v>
      </c>
      <c r="H10" s="357"/>
      <c r="I10" s="1153" t="s">
        <v>108</v>
      </c>
      <c r="J10" s="1153"/>
      <c r="K10" s="1153"/>
      <c r="L10" s="1663">
        <f t="shared" si="0"/>
        <v>9839.7683707851102</v>
      </c>
      <c r="M10" s="1663">
        <f t="shared" si="0"/>
        <v>69440.708242664099</v>
      </c>
      <c r="N10" s="1664">
        <f t="shared" si="0"/>
        <v>79280.476613449209</v>
      </c>
      <c r="P10" s="357"/>
      <c r="Q10" s="357"/>
      <c r="R10" s="9"/>
      <c r="S10" s="9"/>
      <c r="T10" s="9"/>
      <c r="U10" s="9"/>
      <c r="V10" s="9"/>
    </row>
    <row r="11" spans="1:22">
      <c r="A11" s="1406" t="s">
        <v>897</v>
      </c>
      <c r="B11" s="1406"/>
      <c r="C11" s="1407">
        <f>SUM(C5:C10)</f>
        <v>5546665.1617466165</v>
      </c>
      <c r="D11" s="1407">
        <f>SUM(D5:D10)</f>
        <v>5383842.8309867438</v>
      </c>
      <c r="E11" s="1407">
        <f t="shared" ref="E11" si="5">SUM(E5:E10)</f>
        <v>162822.33075987286</v>
      </c>
      <c r="F11" s="1407">
        <f>SUM(F5:F10)</f>
        <v>3705606.2846550262</v>
      </c>
      <c r="G11" s="1408">
        <f>SUM(G5:G10)</f>
        <v>3868428.6154148988</v>
      </c>
      <c r="H11" s="357"/>
      <c r="I11" s="1406" t="s">
        <v>897</v>
      </c>
      <c r="J11" s="1406"/>
      <c r="K11" s="1406"/>
      <c r="L11" s="1407">
        <f>SUM(L5:L10)</f>
        <v>13568.527563322739</v>
      </c>
      <c r="M11" s="1407">
        <f>SUM(M5:M10)</f>
        <v>308800.52372125216</v>
      </c>
      <c r="N11" s="1408">
        <f>SUM(N5:N10)</f>
        <v>322369.0512845749</v>
      </c>
      <c r="P11" s="357"/>
      <c r="Q11" s="357"/>
      <c r="R11" s="9"/>
      <c r="S11" s="9"/>
      <c r="T11" s="9"/>
      <c r="U11" s="9"/>
      <c r="V11" s="9"/>
    </row>
    <row r="12" spans="1:22">
      <c r="A12" s="688"/>
      <c r="B12" s="688"/>
      <c r="C12" s="688"/>
      <c r="D12" s="688"/>
      <c r="E12" s="688"/>
      <c r="F12" s="688"/>
      <c r="G12" s="688"/>
      <c r="H12" s="688"/>
      <c r="I12" s="9"/>
      <c r="J12" s="688"/>
      <c r="K12" s="688"/>
      <c r="L12" s="357"/>
      <c r="M12" s="357"/>
      <c r="N12" s="357"/>
      <c r="O12" s="357"/>
      <c r="P12" s="357"/>
      <c r="Q12" s="357"/>
      <c r="R12" s="9"/>
      <c r="S12" s="9"/>
      <c r="T12" s="9"/>
      <c r="U12" s="9"/>
      <c r="V12" s="9"/>
    </row>
    <row r="13" spans="1:22">
      <c r="A13" s="690" t="s">
        <v>1563</v>
      </c>
      <c r="B13" s="688"/>
      <c r="C13" s="357"/>
      <c r="D13" s="357"/>
      <c r="E13" s="357"/>
      <c r="F13" s="688"/>
      <c r="G13" s="688"/>
      <c r="H13" s="688"/>
      <c r="I13" s="688"/>
      <c r="J13" s="688"/>
      <c r="K13" s="688"/>
      <c r="L13" s="688"/>
      <c r="M13" s="688"/>
      <c r="N13" s="688"/>
      <c r="O13" s="357"/>
      <c r="P13" s="357"/>
      <c r="Q13" s="357"/>
      <c r="R13" s="9"/>
      <c r="S13" s="9"/>
      <c r="T13" s="9"/>
      <c r="U13" s="9"/>
      <c r="V13" s="9"/>
    </row>
    <row r="14" spans="1:22">
      <c r="A14" s="1823" t="s">
        <v>20</v>
      </c>
      <c r="B14" s="1824" t="s">
        <v>1564</v>
      </c>
      <c r="C14" s="357"/>
      <c r="D14" s="357"/>
      <c r="E14" s="357"/>
      <c r="F14" s="699" t="s">
        <v>1006</v>
      </c>
      <c r="G14" s="699" t="s">
        <v>1006</v>
      </c>
      <c r="H14" s="699" t="s">
        <v>1006</v>
      </c>
      <c r="I14" s="699" t="s">
        <v>1006</v>
      </c>
      <c r="J14" s="699" t="s">
        <v>1006</v>
      </c>
      <c r="K14" s="699" t="s">
        <v>1006</v>
      </c>
      <c r="L14" s="699" t="s">
        <v>1006</v>
      </c>
      <c r="M14" s="699" t="s">
        <v>1006</v>
      </c>
      <c r="N14" s="699" t="s">
        <v>1006</v>
      </c>
      <c r="O14" s="699" t="s">
        <v>1006</v>
      </c>
      <c r="P14" s="699" t="s">
        <v>1006</v>
      </c>
      <c r="Q14" s="699" t="s">
        <v>1006</v>
      </c>
      <c r="R14" s="9"/>
      <c r="S14" s="9"/>
      <c r="T14" s="9"/>
      <c r="U14" s="9"/>
      <c r="V14" s="9"/>
    </row>
    <row r="15" spans="1:22">
      <c r="A15" s="1823"/>
      <c r="B15" s="1824"/>
      <c r="C15" s="700">
        <f t="shared" ref="C15:P15" si="6">EDATE(D15,-1)</f>
        <v>44287</v>
      </c>
      <c r="D15" s="700">
        <f>EDATE(E15,-1)</f>
        <v>44317</v>
      </c>
      <c r="E15" s="700">
        <f>EDATE(F15,-1)</f>
        <v>44348</v>
      </c>
      <c r="F15" s="701">
        <f>EDATE(G15,-1)</f>
        <v>44378</v>
      </c>
      <c r="G15" s="701">
        <f t="shared" si="6"/>
        <v>44409</v>
      </c>
      <c r="H15" s="701">
        <f t="shared" si="6"/>
        <v>44440</v>
      </c>
      <c r="I15" s="701">
        <f t="shared" si="6"/>
        <v>44470</v>
      </c>
      <c r="J15" s="701">
        <f t="shared" si="6"/>
        <v>44501</v>
      </c>
      <c r="K15" s="701">
        <f t="shared" si="6"/>
        <v>44531</v>
      </c>
      <c r="L15" s="701">
        <f t="shared" si="6"/>
        <v>44562</v>
      </c>
      <c r="M15" s="701">
        <f t="shared" si="6"/>
        <v>44593</v>
      </c>
      <c r="N15" s="701">
        <f t="shared" si="6"/>
        <v>44621</v>
      </c>
      <c r="O15" s="701">
        <f t="shared" si="6"/>
        <v>44652</v>
      </c>
      <c r="P15" s="701">
        <f t="shared" si="6"/>
        <v>44682</v>
      </c>
      <c r="Q15" s="701">
        <f>DATE(YEAR(DataRevRea),MONTH(DataRevRea)-1,1)</f>
        <v>44713</v>
      </c>
      <c r="R15" s="9" t="s">
        <v>1071</v>
      </c>
      <c r="S15" s="9"/>
      <c r="T15" s="9"/>
      <c r="U15" s="9"/>
      <c r="V15" s="9"/>
    </row>
    <row r="16" spans="1:22">
      <c r="A16" s="702" t="s">
        <v>1565</v>
      </c>
      <c r="B16" s="703" t="s">
        <v>1057</v>
      </c>
      <c r="C16" s="704">
        <f>C40</f>
        <v>0</v>
      </c>
      <c r="D16" s="704">
        <f t="shared" ref="D16:E16" si="7">D40</f>
        <v>0</v>
      </c>
      <c r="E16" s="704">
        <f t="shared" si="7"/>
        <v>0</v>
      </c>
      <c r="F16" s="704">
        <f t="shared" ref="F16:Q21" si="8">DSUM(MercadoBase,$B16,F$14:F$15)</f>
        <v>0</v>
      </c>
      <c r="G16" s="704">
        <f t="shared" si="8"/>
        <v>0</v>
      </c>
      <c r="H16" s="704">
        <f t="shared" si="8"/>
        <v>0</v>
      </c>
      <c r="I16" s="704">
        <f t="shared" si="8"/>
        <v>0</v>
      </c>
      <c r="J16" s="704">
        <f t="shared" si="8"/>
        <v>0</v>
      </c>
      <c r="K16" s="704">
        <f t="shared" si="8"/>
        <v>0</v>
      </c>
      <c r="L16" s="704">
        <f t="shared" si="8"/>
        <v>0</v>
      </c>
      <c r="M16" s="704">
        <f t="shared" si="8"/>
        <v>0</v>
      </c>
      <c r="N16" s="704">
        <f t="shared" si="8"/>
        <v>0</v>
      </c>
      <c r="O16" s="704">
        <f t="shared" si="8"/>
        <v>0</v>
      </c>
      <c r="P16" s="704">
        <f t="shared" si="8"/>
        <v>0</v>
      </c>
      <c r="Q16" s="704">
        <f t="shared" si="8"/>
        <v>0</v>
      </c>
      <c r="R16" s="9"/>
      <c r="S16" s="9"/>
      <c r="T16" s="9"/>
      <c r="U16" s="9"/>
      <c r="V16" s="9"/>
    </row>
    <row r="17" spans="1:22">
      <c r="A17" s="702" t="s">
        <v>1566</v>
      </c>
      <c r="B17" s="703" t="s">
        <v>1058</v>
      </c>
      <c r="C17" s="704">
        <f t="shared" ref="C17:E21" si="9">C41</f>
        <v>0</v>
      </c>
      <c r="D17" s="704">
        <f t="shared" si="9"/>
        <v>0</v>
      </c>
      <c r="E17" s="704">
        <f t="shared" si="9"/>
        <v>0</v>
      </c>
      <c r="F17" s="704">
        <f t="shared" si="8"/>
        <v>19917.810000000001</v>
      </c>
      <c r="G17" s="704">
        <f t="shared" si="8"/>
        <v>19917.810000000001</v>
      </c>
      <c r="H17" s="704">
        <f t="shared" si="8"/>
        <v>19917.810000000001</v>
      </c>
      <c r="I17" s="704">
        <f t="shared" si="8"/>
        <v>19917.810000000001</v>
      </c>
      <c r="J17" s="704">
        <f t="shared" si="8"/>
        <v>19917.810000000001</v>
      </c>
      <c r="K17" s="704">
        <f t="shared" si="8"/>
        <v>19917.810000000001</v>
      </c>
      <c r="L17" s="704">
        <f t="shared" si="8"/>
        <v>19917.810000000001</v>
      </c>
      <c r="M17" s="704">
        <f t="shared" si="8"/>
        <v>19917.810000000001</v>
      </c>
      <c r="N17" s="704">
        <f t="shared" si="8"/>
        <v>19917.810000000001</v>
      </c>
      <c r="O17" s="704">
        <f t="shared" si="8"/>
        <v>19917.810000000001</v>
      </c>
      <c r="P17" s="704">
        <f t="shared" si="8"/>
        <v>19917.810000000001</v>
      </c>
      <c r="Q17" s="704">
        <f t="shared" si="8"/>
        <v>19917.810000000001</v>
      </c>
      <c r="R17" s="9"/>
      <c r="S17" s="9"/>
      <c r="T17" s="9"/>
      <c r="U17" s="9"/>
      <c r="V17" s="9"/>
    </row>
    <row r="18" spans="1:22">
      <c r="A18" s="702" t="s">
        <v>1567</v>
      </c>
      <c r="B18" s="703" t="s">
        <v>1059</v>
      </c>
      <c r="C18" s="704">
        <f t="shared" si="9"/>
        <v>0</v>
      </c>
      <c r="D18" s="704">
        <f t="shared" si="9"/>
        <v>0</v>
      </c>
      <c r="E18" s="704">
        <f t="shared" si="9"/>
        <v>0</v>
      </c>
      <c r="F18" s="1012">
        <f t="shared" ref="F18:Q18" si="10">IFERROR(DSUM(MercadoBase,$B18,F$14:F$15)+(DSUM(MercadoBase,$R$15,F$14:F$15)/($D$53/12))*$F$30,0)</f>
        <v>0</v>
      </c>
      <c r="G18" s="1012">
        <f t="shared" si="10"/>
        <v>0</v>
      </c>
      <c r="H18" s="1012">
        <f t="shared" si="10"/>
        <v>0</v>
      </c>
      <c r="I18" s="1012">
        <f t="shared" si="10"/>
        <v>0</v>
      </c>
      <c r="J18" s="1012">
        <f t="shared" si="10"/>
        <v>0</v>
      </c>
      <c r="K18" s="1012">
        <f t="shared" si="10"/>
        <v>0</v>
      </c>
      <c r="L18" s="1012">
        <f t="shared" si="10"/>
        <v>0</v>
      </c>
      <c r="M18" s="1012">
        <f t="shared" si="10"/>
        <v>0</v>
      </c>
      <c r="N18" s="1012">
        <f t="shared" si="10"/>
        <v>0</v>
      </c>
      <c r="O18" s="1012">
        <f t="shared" si="10"/>
        <v>0</v>
      </c>
      <c r="P18" s="1012">
        <f t="shared" si="10"/>
        <v>0</v>
      </c>
      <c r="Q18" s="1012">
        <f t="shared" si="10"/>
        <v>0</v>
      </c>
      <c r="R18" s="9"/>
      <c r="S18" s="9"/>
      <c r="T18" s="9"/>
      <c r="U18" s="9"/>
      <c r="V18" s="9"/>
    </row>
    <row r="19" spans="1:22">
      <c r="A19" s="702" t="s">
        <v>1568</v>
      </c>
      <c r="B19" s="703" t="s">
        <v>1060</v>
      </c>
      <c r="C19" s="704">
        <f t="shared" si="9"/>
        <v>0</v>
      </c>
      <c r="D19" s="704">
        <f t="shared" si="9"/>
        <v>0</v>
      </c>
      <c r="E19" s="704">
        <f t="shared" si="9"/>
        <v>0</v>
      </c>
      <c r="F19" s="704">
        <f t="shared" si="8"/>
        <v>12863.298984000014</v>
      </c>
      <c r="G19" s="704">
        <f t="shared" si="8"/>
        <v>12792.007389600003</v>
      </c>
      <c r="H19" s="704">
        <f t="shared" si="8"/>
        <v>12527.448717599993</v>
      </c>
      <c r="I19" s="704">
        <f t="shared" si="8"/>
        <v>12608.000878800005</v>
      </c>
      <c r="J19" s="704">
        <f t="shared" si="8"/>
        <v>12558.320997600003</v>
      </c>
      <c r="K19" s="704">
        <f t="shared" si="8"/>
        <v>12834.615655800002</v>
      </c>
      <c r="L19" s="704">
        <f t="shared" si="8"/>
        <v>13284.445522799997</v>
      </c>
      <c r="M19" s="704">
        <f t="shared" si="8"/>
        <v>12784.64740020001</v>
      </c>
      <c r="N19" s="704">
        <f t="shared" si="8"/>
        <v>13136.933445600005</v>
      </c>
      <c r="O19" s="704">
        <f t="shared" si="8"/>
        <v>12715.246812000012</v>
      </c>
      <c r="P19" s="704">
        <f t="shared" si="8"/>
        <v>12416.413505399993</v>
      </c>
      <c r="Q19" s="704">
        <f t="shared" si="8"/>
        <v>12316.658765399992</v>
      </c>
      <c r="R19" s="9"/>
      <c r="S19" s="9"/>
      <c r="T19" s="9"/>
      <c r="U19" s="9"/>
      <c r="V19" s="9"/>
    </row>
    <row r="20" spans="1:22">
      <c r="A20" s="702" t="s">
        <v>1569</v>
      </c>
      <c r="B20" s="703" t="s">
        <v>1061</v>
      </c>
      <c r="C20" s="704">
        <f t="shared" si="9"/>
        <v>0</v>
      </c>
      <c r="D20" s="704">
        <f t="shared" si="9"/>
        <v>0</v>
      </c>
      <c r="E20" s="704">
        <f t="shared" si="9"/>
        <v>0</v>
      </c>
      <c r="F20" s="704">
        <f t="shared" si="8"/>
        <v>301570.09105080011</v>
      </c>
      <c r="G20" s="704">
        <f t="shared" si="8"/>
        <v>312707.39050640003</v>
      </c>
      <c r="H20" s="704">
        <f t="shared" si="8"/>
        <v>339974.68540520006</v>
      </c>
      <c r="I20" s="704">
        <f t="shared" si="8"/>
        <v>315906.43855800008</v>
      </c>
      <c r="J20" s="704">
        <f t="shared" si="8"/>
        <v>344338.81572200014</v>
      </c>
      <c r="K20" s="704">
        <f t="shared" si="8"/>
        <v>374843.91508120002</v>
      </c>
      <c r="L20" s="704">
        <f t="shared" si="8"/>
        <v>418714.24583879998</v>
      </c>
      <c r="M20" s="704">
        <f t="shared" si="8"/>
        <v>670383.35628960014</v>
      </c>
      <c r="N20" s="704">
        <f t="shared" si="8"/>
        <v>66591.216447200088</v>
      </c>
      <c r="O20" s="704">
        <f t="shared" si="8"/>
        <v>323745.51928280003</v>
      </c>
      <c r="P20" s="704">
        <f t="shared" si="8"/>
        <v>284138.20161440002</v>
      </c>
      <c r="Q20" s="704">
        <f t="shared" si="8"/>
        <v>291955.1183092001</v>
      </c>
      <c r="R20" s="9"/>
      <c r="S20" s="9"/>
      <c r="T20" s="9"/>
      <c r="U20" s="9"/>
      <c r="V20" s="9"/>
    </row>
    <row r="21" spans="1:22">
      <c r="A21" s="702" t="s">
        <v>1570</v>
      </c>
      <c r="B21" s="703" t="s">
        <v>1062</v>
      </c>
      <c r="C21" s="704">
        <f t="shared" si="9"/>
        <v>0</v>
      </c>
      <c r="D21" s="704">
        <f t="shared" si="9"/>
        <v>0</v>
      </c>
      <c r="E21" s="704">
        <f t="shared" si="9"/>
        <v>0</v>
      </c>
      <c r="F21" s="704">
        <f t="shared" si="8"/>
        <v>4103.8045620000003</v>
      </c>
      <c r="G21" s="704">
        <f t="shared" si="8"/>
        <v>8702.0695410000008</v>
      </c>
      <c r="H21" s="704">
        <f t="shared" si="8"/>
        <v>10543.904171999999</v>
      </c>
      <c r="I21" s="704">
        <f t="shared" si="8"/>
        <v>10482.986953</v>
      </c>
      <c r="J21" s="704">
        <f t="shared" si="8"/>
        <v>101388.78171499999</v>
      </c>
      <c r="K21" s="704">
        <f t="shared" si="8"/>
        <v>239200.07338800002</v>
      </c>
      <c r="L21" s="704">
        <f t="shared" si="8"/>
        <v>197370.01514500001</v>
      </c>
      <c r="M21" s="704">
        <f t="shared" si="8"/>
        <v>130144.419024</v>
      </c>
      <c r="N21" s="704">
        <f t="shared" si="8"/>
        <v>28385.128178999999</v>
      </c>
      <c r="O21" s="704">
        <f t="shared" si="8"/>
        <v>4563.0733810000002</v>
      </c>
      <c r="P21" s="704">
        <f>DSUM(MercadoBase,$B21,P$14:P$15)</f>
        <v>3516.681603</v>
      </c>
      <c r="Q21" s="704">
        <f t="shared" si="8"/>
        <v>2549.7804349999997</v>
      </c>
      <c r="R21" s="9"/>
      <c r="S21" s="9"/>
      <c r="T21" s="9"/>
      <c r="U21" s="9"/>
      <c r="V21" s="9"/>
    </row>
    <row r="22" spans="1:22">
      <c r="A22" s="1409" t="s">
        <v>1571</v>
      </c>
      <c r="B22" s="1410" t="s">
        <v>1344</v>
      </c>
      <c r="C22" s="1411">
        <f>VLOOKUP($Q$15,Índices!$B:$F,2,FALSE)/VLOOKUP(EDATE(C15,-1),Índices!$B:$F,2,FALSE)</f>
        <v>1.1768213386458592</v>
      </c>
      <c r="D22" s="1411">
        <f>VLOOKUP($Q$15,Índices!$B:$F,2,FALSE)/VLOOKUP(EDATE(D15,-1),Índices!$B:$F,2,FALSE)</f>
        <v>1.1593353264324466</v>
      </c>
      <c r="E22" s="1411">
        <f>VLOOKUP($Q$15,Índices!$B:$F,2,FALSE)/VLOOKUP(EDATE(E15,-1),Índices!$B:$F,2,FALSE)</f>
        <v>1.1137138790355088</v>
      </c>
      <c r="F22" s="1411">
        <f>VLOOKUP($Q$15,Índices!$B:$F,2,FALSE)/VLOOKUP(EDATE(F15,-1),Índices!$B:$F,2,FALSE)</f>
        <v>1.1070423608832305</v>
      </c>
      <c r="G22" s="1411">
        <f>VLOOKUP($Q$15,Índices!$B:$F,2,FALSE)/VLOOKUP(EDATE(G15,-1),Índices!$B:$F,2,FALSE)</f>
        <v>1.0985033599453922</v>
      </c>
      <c r="H22" s="1411">
        <f>VLOOKUP($Q$15,Índices!$B:$F,2,FALSE)/VLOOKUP(EDATE(H15,-1),Índices!$B:$F,2,FALSE)</f>
        <v>1.0912608014368317</v>
      </c>
      <c r="I22" s="1411">
        <f>VLOOKUP($Q$15,Índices!$B:$F,2,FALSE)/VLOOKUP(EDATE(I15,-1),Índices!$B:$F,2,FALSE)</f>
        <v>1.0982835198725092</v>
      </c>
      <c r="J22" s="1411">
        <f>VLOOKUP($Q$15,Índices!$B:$F,2,FALSE)/VLOOKUP(EDATE(J15,-1),Índices!$B:$F,2,FALSE)</f>
        <v>1.0912678012944399</v>
      </c>
      <c r="K22" s="1411">
        <f>VLOOKUP($Q$15,Índices!$B:$F,2,FALSE)/VLOOKUP(EDATE(K15,-1),Índices!$B:$F,2,FALSE)</f>
        <v>1.0910678407267911</v>
      </c>
      <c r="L22" s="1411">
        <f>VLOOKUP($Q$15,Índices!$B:$F,2,FALSE)/VLOOKUP(EDATE(L15,-1),Índices!$B:$F,2,FALSE)</f>
        <v>1.0816484829989064</v>
      </c>
      <c r="M22" s="1411">
        <f>VLOOKUP($Q$15,Índices!$B:$F,2,FALSE)/VLOOKUP(EDATE(M15,-1),Índices!$B:$F,2,FALSE)</f>
        <v>1.0623399307225074</v>
      </c>
      <c r="N22" s="1411">
        <f>VLOOKUP($Q$15,Índices!$B:$F,2,FALSE)/VLOOKUP(EDATE(N15,-1),Índices!$B:$F,2,FALSE)</f>
        <v>1.0432185825187947</v>
      </c>
      <c r="O22" s="1411">
        <f>VLOOKUP($Q$15,Índices!$B:$F,2,FALSE)/VLOOKUP(EDATE(O15,-1),Índices!$B:$F,2,FALSE)</f>
        <v>1.0253689885984203</v>
      </c>
      <c r="P22" s="1411">
        <f>VLOOKUP($Q$15,Índices!$B:$F,2,FALSE)/VLOOKUP(EDATE(P15,-1),Índices!$B:$F,2,FALSE)</f>
        <v>1.011099422741718</v>
      </c>
      <c r="Q22" s="1411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12" t="s">
        <v>1572</v>
      </c>
      <c r="B23" s="1413"/>
      <c r="C23" s="1414">
        <f t="shared" ref="C23:Q23" si="11">SUM(C16:C21)*C22</f>
        <v>0</v>
      </c>
      <c r="D23" s="1414">
        <f t="shared" si="11"/>
        <v>0</v>
      </c>
      <c r="E23" s="1414">
        <f t="shared" si="11"/>
        <v>0</v>
      </c>
      <c r="F23" s="1415">
        <f>SUM(F16:F21)*F22</f>
        <v>374684.02734158619</v>
      </c>
      <c r="G23" s="1415">
        <f t="shared" si="11"/>
        <v>389001.21608597902</v>
      </c>
      <c r="H23" s="1415">
        <f t="shared" si="11"/>
        <v>417913.43601151672</v>
      </c>
      <c r="I23" s="1415">
        <f t="shared" si="11"/>
        <v>394190.68915806332</v>
      </c>
      <c r="J23" s="1415">
        <f t="shared" si="11"/>
        <v>521848.33129962947</v>
      </c>
      <c r="K23" s="1415">
        <f t="shared" si="11"/>
        <v>705698.76694919507</v>
      </c>
      <c r="L23" s="1415">
        <f t="shared" si="11"/>
        <v>702299.77561100828</v>
      </c>
      <c r="M23" s="1415">
        <f t="shared" si="11"/>
        <v>885173.74769707723</v>
      </c>
      <c r="N23" s="1415">
        <f t="shared" si="11"/>
        <v>133564.41021660226</v>
      </c>
      <c r="O23" s="1415">
        <f t="shared" si="11"/>
        <v>370098.37406604661</v>
      </c>
      <c r="P23" s="1415">
        <f t="shared" si="11"/>
        <v>323540.80109106109</v>
      </c>
      <c r="Q23" s="1415">
        <f t="shared" si="11"/>
        <v>328651.58621885133</v>
      </c>
      <c r="R23" s="9"/>
      <c r="S23" s="9"/>
      <c r="T23" s="9"/>
      <c r="U23" s="9"/>
      <c r="V23" s="9"/>
    </row>
    <row r="24" spans="1:22">
      <c r="A24" s="9"/>
      <c r="B24" s="9"/>
      <c r="C24" s="9" t="s">
        <v>1573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0" t="s">
        <v>1574</v>
      </c>
      <c r="B25" s="688"/>
      <c r="C25" s="688"/>
      <c r="D25" s="688"/>
      <c r="E25" s="688"/>
      <c r="F25" s="688"/>
      <c r="G25" s="688"/>
      <c r="H25" s="688"/>
      <c r="I25" s="688"/>
      <c r="J25" s="688"/>
      <c r="K25" s="688"/>
      <c r="L25" s="688"/>
      <c r="M25" s="688"/>
      <c r="N25" s="688"/>
      <c r="O25" s="357"/>
      <c r="P25" s="357"/>
      <c r="Q25" s="357"/>
      <c r="R25" s="9"/>
      <c r="S25" s="9"/>
      <c r="T25" s="9"/>
      <c r="U25" s="9"/>
      <c r="V25" s="9"/>
    </row>
    <row r="26" spans="1:22">
      <c r="A26" s="1823" t="s">
        <v>20</v>
      </c>
      <c r="B26" s="1824" t="s">
        <v>1564</v>
      </c>
      <c r="C26" s="699" t="s">
        <v>1006</v>
      </c>
      <c r="D26" s="699" t="s">
        <v>1006</v>
      </c>
      <c r="E26" s="699" t="s">
        <v>1006</v>
      </c>
      <c r="F26" s="699" t="s">
        <v>1006</v>
      </c>
      <c r="G26" s="699" t="s">
        <v>1006</v>
      </c>
      <c r="H26" s="699" t="s">
        <v>1006</v>
      </c>
      <c r="I26" s="699" t="s">
        <v>1006</v>
      </c>
      <c r="J26" s="699" t="s">
        <v>1006</v>
      </c>
      <c r="K26" s="699" t="s">
        <v>1006</v>
      </c>
      <c r="L26" s="699" t="s">
        <v>1006</v>
      </c>
      <c r="M26" s="699" t="s">
        <v>1006</v>
      </c>
      <c r="N26" s="699" t="s">
        <v>1006</v>
      </c>
      <c r="O26" s="699" t="s">
        <v>1006</v>
      </c>
      <c r="P26" s="699" t="s">
        <v>1006</v>
      </c>
      <c r="Q26" s="699" t="s">
        <v>1006</v>
      </c>
      <c r="R26" s="9"/>
      <c r="S26" s="9"/>
      <c r="T26" s="9"/>
      <c r="U26" s="9"/>
      <c r="V26" s="9"/>
    </row>
    <row r="27" spans="1:22">
      <c r="A27" s="1823"/>
      <c r="B27" s="1824"/>
      <c r="C27" s="700">
        <f t="shared" ref="C27:Q27" si="12">C15</f>
        <v>44287</v>
      </c>
      <c r="D27" s="700">
        <f t="shared" si="12"/>
        <v>44317</v>
      </c>
      <c r="E27" s="700">
        <f t="shared" si="12"/>
        <v>44348</v>
      </c>
      <c r="F27" s="701">
        <f>F15</f>
        <v>44378</v>
      </c>
      <c r="G27" s="701">
        <f t="shared" si="12"/>
        <v>44409</v>
      </c>
      <c r="H27" s="701">
        <f t="shared" si="12"/>
        <v>44440</v>
      </c>
      <c r="I27" s="701">
        <f t="shared" si="12"/>
        <v>44470</v>
      </c>
      <c r="J27" s="701">
        <f t="shared" si="12"/>
        <v>44501</v>
      </c>
      <c r="K27" s="701">
        <f t="shared" si="12"/>
        <v>44531</v>
      </c>
      <c r="L27" s="701">
        <f t="shared" si="12"/>
        <v>44562</v>
      </c>
      <c r="M27" s="701">
        <f t="shared" si="12"/>
        <v>44593</v>
      </c>
      <c r="N27" s="701">
        <f t="shared" si="12"/>
        <v>44621</v>
      </c>
      <c r="O27" s="701">
        <f t="shared" si="12"/>
        <v>44652</v>
      </c>
      <c r="P27" s="701">
        <f t="shared" si="12"/>
        <v>44682</v>
      </c>
      <c r="Q27" s="701">
        <f t="shared" si="12"/>
        <v>44713</v>
      </c>
      <c r="S27" s="9"/>
      <c r="T27" s="9"/>
      <c r="U27" s="9"/>
      <c r="V27" s="9"/>
    </row>
    <row r="28" spans="1:22">
      <c r="A28" s="702" t="s">
        <v>1565</v>
      </c>
      <c r="B28" s="703" t="s">
        <v>103</v>
      </c>
      <c r="C28" s="704">
        <f>IF(C40=0,0,VLOOKUP($B28,BD!$B$61:$C$66,2,FALSE))</f>
        <v>0</v>
      </c>
      <c r="D28" s="704">
        <f>IF(D40=0,0,VLOOKUP($B28,BD!$B$61:$C$66,2,FALSE))</f>
        <v>0</v>
      </c>
      <c r="E28" s="704">
        <f>IF(E40=0,0,VLOOKUP($B28,BD!$B$61:$C$66,2,FALSE))</f>
        <v>0</v>
      </c>
      <c r="F28" s="704">
        <f>VLOOKUP($B28,BD!$B$61:$C$66,2,FALSE)</f>
        <v>0</v>
      </c>
      <c r="G28" s="704">
        <f>VLOOKUP($B28,BD!$B$61:$C$66,2,FALSE)</f>
        <v>0</v>
      </c>
      <c r="H28" s="704">
        <f>VLOOKUP($B28,BD!$B$61:$C$66,2,FALSE)</f>
        <v>0</v>
      </c>
      <c r="I28" s="704">
        <f>VLOOKUP($B28,BD!$B$61:$C$66,2,FALSE)</f>
        <v>0</v>
      </c>
      <c r="J28" s="704">
        <f>VLOOKUP($B28,BD!$B$61:$C$66,2,FALSE)</f>
        <v>0</v>
      </c>
      <c r="K28" s="704">
        <f>VLOOKUP($B28,BD!$B$61:$C$66,2,FALSE)</f>
        <v>0</v>
      </c>
      <c r="L28" s="704">
        <f>VLOOKUP($B28,BD!$B$61:$C$66,2,FALSE)</f>
        <v>0</v>
      </c>
      <c r="M28" s="704">
        <f>VLOOKUP($B28,BD!$B$61:$C$66,2,FALSE)</f>
        <v>0</v>
      </c>
      <c r="N28" s="704">
        <f>VLOOKUP($B28,BD!$B$61:$C$66,2,FALSE)</f>
        <v>0</v>
      </c>
      <c r="O28" s="704">
        <f>VLOOKUP($B28,BD!$B$61:$C$66,2,FALSE)</f>
        <v>0</v>
      </c>
      <c r="P28" s="704">
        <f>VLOOKUP($B28,BD!$B$61:$C$66,2,FALSE)</f>
        <v>0</v>
      </c>
      <c r="Q28" s="704">
        <f>VLOOKUP($B28,BD!$B$61:$C$66,2,FALSE)</f>
        <v>0</v>
      </c>
      <c r="S28" s="9"/>
      <c r="T28" s="9"/>
      <c r="U28" s="9"/>
      <c r="V28" s="9"/>
    </row>
    <row r="29" spans="1:22">
      <c r="A29" s="702" t="s">
        <v>1566</v>
      </c>
      <c r="B29" s="703" t="s">
        <v>104</v>
      </c>
      <c r="C29" s="704">
        <f>IF(C41=0,0,VLOOKUP($B29,BD!$B$61:$C$66,2,FALSE))</f>
        <v>0</v>
      </c>
      <c r="D29" s="704">
        <f>IF(D41=0,0,VLOOKUP($B29,BD!$B$61:$C$66,2,FALSE))</f>
        <v>0</v>
      </c>
      <c r="E29" s="704">
        <f>IF(E41=0,0,VLOOKUP($B29,BD!$B$61:$C$66,2,FALSE))</f>
        <v>0</v>
      </c>
      <c r="F29" s="704">
        <f>VLOOKUP($B29,BD!$B$61:$C$66,2,FALSE)</f>
        <v>19732.650000000001</v>
      </c>
      <c r="G29" s="704">
        <f>VLOOKUP($B29,BD!$B$61:$C$66,2,FALSE)</f>
        <v>19732.650000000001</v>
      </c>
      <c r="H29" s="704">
        <f>VLOOKUP($B29,BD!$B$61:$C$66,2,FALSE)</f>
        <v>19732.650000000001</v>
      </c>
      <c r="I29" s="704">
        <f>VLOOKUP($B29,BD!$B$61:$C$66,2,FALSE)</f>
        <v>19732.650000000001</v>
      </c>
      <c r="J29" s="704">
        <f>VLOOKUP($B29,BD!$B$61:$C$66,2,FALSE)</f>
        <v>19732.650000000001</v>
      </c>
      <c r="K29" s="704">
        <f>VLOOKUP($B29,BD!$B$61:$C$66,2,FALSE)</f>
        <v>19732.650000000001</v>
      </c>
      <c r="L29" s="704">
        <f>VLOOKUP($B29,BD!$B$61:$C$66,2,FALSE)</f>
        <v>19732.650000000001</v>
      </c>
      <c r="M29" s="704">
        <f>VLOOKUP($B29,BD!$B$61:$C$66,2,FALSE)</f>
        <v>19732.650000000001</v>
      </c>
      <c r="N29" s="704">
        <f>VLOOKUP($B29,BD!$B$61:$C$66,2,FALSE)</f>
        <v>19732.650000000001</v>
      </c>
      <c r="O29" s="704">
        <f>VLOOKUP($B29,BD!$B$61:$C$66,2,FALSE)</f>
        <v>19732.650000000001</v>
      </c>
      <c r="P29" s="704">
        <f>VLOOKUP($B29,BD!$B$61:$C$66,2,FALSE)</f>
        <v>19732.650000000001</v>
      </c>
      <c r="Q29" s="704">
        <f>VLOOKUP($B29,BD!$B$61:$C$66,2,FALSE)</f>
        <v>19732.650000000001</v>
      </c>
      <c r="S29" s="9"/>
      <c r="T29" s="9"/>
      <c r="U29" s="9"/>
      <c r="V29" s="9"/>
    </row>
    <row r="30" spans="1:22">
      <c r="A30" s="702" t="s">
        <v>1567</v>
      </c>
      <c r="B30" s="703" t="s">
        <v>105</v>
      </c>
      <c r="C30" s="704">
        <f>IF(C42=0,0,VLOOKUP($B30,BD!$B$61:$C$66,2,FALSE))</f>
        <v>0</v>
      </c>
      <c r="D30" s="704">
        <f>IF(D42=0,0,VLOOKUP($B30,BD!$B$61:$C$66,2,FALSE))</f>
        <v>0</v>
      </c>
      <c r="E30" s="704">
        <f>IF(E42=0,0,VLOOKUP($B30,BD!$B$61:$C$66,2,FALSE))</f>
        <v>0</v>
      </c>
      <c r="F30" s="1012">
        <f>VLOOKUP($B30,BD!$B$61:$C$66,2,FALSE)</f>
        <v>0</v>
      </c>
      <c r="G30" s="1012">
        <f>VLOOKUP($B30,BD!$B$61:$C$66,2,FALSE)</f>
        <v>0</v>
      </c>
      <c r="H30" s="1012">
        <f>VLOOKUP($B30,BD!$B$61:$C$66,2,FALSE)</f>
        <v>0</v>
      </c>
      <c r="I30" s="1012">
        <f>VLOOKUP($B30,BD!$B$61:$C$66,2,FALSE)</f>
        <v>0</v>
      </c>
      <c r="J30" s="1012">
        <f>VLOOKUP($B30,BD!$B$61:$C$66,2,FALSE)</f>
        <v>0</v>
      </c>
      <c r="K30" s="1012">
        <f>VLOOKUP($B30,BD!$B$61:$C$66,2,FALSE)</f>
        <v>0</v>
      </c>
      <c r="L30" s="1012">
        <f>VLOOKUP($B30,BD!$B$61:$C$66,2,FALSE)</f>
        <v>0</v>
      </c>
      <c r="M30" s="1012">
        <f>VLOOKUP($B30,BD!$B$61:$C$66,2,FALSE)</f>
        <v>0</v>
      </c>
      <c r="N30" s="1012">
        <f>VLOOKUP($B30,BD!$B$61:$C$66,2,FALSE)</f>
        <v>0</v>
      </c>
      <c r="O30" s="1012">
        <f>VLOOKUP($B30,BD!$B$61:$C$66,2,FALSE)</f>
        <v>0</v>
      </c>
      <c r="P30" s="1012">
        <f>VLOOKUP($B30,BD!$B$61:$C$66,2,FALSE)</f>
        <v>0</v>
      </c>
      <c r="Q30" s="1012">
        <f>VLOOKUP($B30,BD!$B$61:$C$66,2,FALSE)</f>
        <v>0</v>
      </c>
      <c r="S30" s="9"/>
      <c r="T30" s="9"/>
      <c r="U30" s="9"/>
      <c r="V30" s="9"/>
    </row>
    <row r="31" spans="1:22">
      <c r="A31" s="702" t="s">
        <v>1568</v>
      </c>
      <c r="B31" s="703" t="s">
        <v>106</v>
      </c>
      <c r="C31" s="704">
        <f>IF(C43=0,0,VLOOKUP($B31,BD!$B$61:$C$66,2,FALSE))</f>
        <v>0</v>
      </c>
      <c r="D31" s="704">
        <f>IF(D43=0,0,VLOOKUP($B31,BD!$B$61:$C$66,2,FALSE))</f>
        <v>0</v>
      </c>
      <c r="E31" s="704">
        <f>IF(E43=0,0,VLOOKUP($B31,BD!$B$61:$C$66,2,FALSE))</f>
        <v>0</v>
      </c>
      <c r="F31" s="704">
        <f>VLOOKUP($B31,BD!$B$61:$C$66,2,FALSE)</f>
        <v>12692.25</v>
      </c>
      <c r="G31" s="704">
        <f>VLOOKUP($B31,BD!$B$61:$C$66,2,FALSE)</f>
        <v>12692.25</v>
      </c>
      <c r="H31" s="704">
        <f>VLOOKUP($B31,BD!$B$61:$C$66,2,FALSE)</f>
        <v>12692.25</v>
      </c>
      <c r="I31" s="704">
        <f>VLOOKUP($B31,BD!$B$61:$C$66,2,FALSE)</f>
        <v>12692.25</v>
      </c>
      <c r="J31" s="704">
        <f>VLOOKUP($B31,BD!$B$61:$C$66,2,FALSE)</f>
        <v>12692.25</v>
      </c>
      <c r="K31" s="704">
        <f>VLOOKUP($B31,BD!$B$61:$C$66,2,FALSE)</f>
        <v>12692.25</v>
      </c>
      <c r="L31" s="704">
        <f>VLOOKUP($B31,BD!$B$61:$C$66,2,FALSE)</f>
        <v>12692.25</v>
      </c>
      <c r="M31" s="704">
        <f>VLOOKUP($B31,BD!$B$61:$C$66,2,FALSE)</f>
        <v>12692.25</v>
      </c>
      <c r="N31" s="704">
        <f>VLOOKUP($B31,BD!$B$61:$C$66,2,FALSE)</f>
        <v>12692.25</v>
      </c>
      <c r="O31" s="704">
        <f>VLOOKUP($B31,BD!$B$61:$C$66,2,FALSE)</f>
        <v>12692.25</v>
      </c>
      <c r="P31" s="704">
        <f>VLOOKUP($B31,BD!$B$61:$C$66,2,FALSE)</f>
        <v>12692.25</v>
      </c>
      <c r="Q31" s="704">
        <f>VLOOKUP($B31,BD!$B$61:$C$66,2,FALSE)</f>
        <v>12692.25</v>
      </c>
      <c r="S31" s="9"/>
      <c r="T31" s="9"/>
      <c r="U31" s="9"/>
      <c r="V31" s="9"/>
    </row>
    <row r="32" spans="1:22">
      <c r="A32" s="702" t="s">
        <v>1569</v>
      </c>
      <c r="B32" s="703" t="s">
        <v>107</v>
      </c>
      <c r="C32" s="704">
        <f>IF(C44=0,0,VLOOKUP($B32,BD!$B$61:$C$66,2,FALSE))</f>
        <v>0</v>
      </c>
      <c r="D32" s="704">
        <f>IF(D44=0,0,VLOOKUP($B32,BD!$B$61:$C$66,2,FALSE))</f>
        <v>0</v>
      </c>
      <c r="E32" s="704">
        <f>IF(E44=0,0,VLOOKUP($B32,BD!$B$61:$C$66,2,FALSE))</f>
        <v>0</v>
      </c>
      <c r="F32" s="704">
        <f>VLOOKUP($B32,BD!$B$61:$C$66,2,FALSE)</f>
        <v>334642.78000000003</v>
      </c>
      <c r="G32" s="704">
        <f>VLOOKUP($B32,BD!$B$61:$C$66,2,FALSE)</f>
        <v>334642.78000000003</v>
      </c>
      <c r="H32" s="704">
        <f>VLOOKUP($B32,BD!$B$61:$C$66,2,FALSE)</f>
        <v>334642.78000000003</v>
      </c>
      <c r="I32" s="704">
        <f>VLOOKUP($B32,BD!$B$61:$C$66,2,FALSE)</f>
        <v>334642.78000000003</v>
      </c>
      <c r="J32" s="704">
        <f>VLOOKUP($B32,BD!$B$61:$C$66,2,FALSE)</f>
        <v>334642.78000000003</v>
      </c>
      <c r="K32" s="704">
        <f>VLOOKUP($B32,BD!$B$61:$C$66,2,FALSE)</f>
        <v>334642.78000000003</v>
      </c>
      <c r="L32" s="704">
        <f>VLOOKUP($B32,BD!$B$61:$C$66,2,FALSE)</f>
        <v>334642.78000000003</v>
      </c>
      <c r="M32" s="704">
        <f>VLOOKUP($B32,BD!$B$61:$C$66,2,FALSE)</f>
        <v>334642.78000000003</v>
      </c>
      <c r="N32" s="704">
        <f>VLOOKUP($B32,BD!$B$61:$C$66,2,FALSE)</f>
        <v>334642.78000000003</v>
      </c>
      <c r="O32" s="704">
        <f>VLOOKUP($B32,BD!$B$61:$C$66,2,FALSE)</f>
        <v>334642.78000000003</v>
      </c>
      <c r="P32" s="704">
        <f>VLOOKUP($B32,BD!$B$61:$C$66,2,FALSE)</f>
        <v>334642.78000000003</v>
      </c>
      <c r="Q32" s="704">
        <f>VLOOKUP($B32,BD!$B$61:$C$66,2,FALSE)</f>
        <v>334642.78000000003</v>
      </c>
      <c r="S32" s="9"/>
      <c r="T32" s="9"/>
      <c r="U32" s="9"/>
      <c r="V32" s="9"/>
    </row>
    <row r="33" spans="1:22">
      <c r="A33" s="705" t="s">
        <v>1570</v>
      </c>
      <c r="B33" s="703" t="s">
        <v>108</v>
      </c>
      <c r="C33" s="704">
        <f>IF(C45=0,0,VLOOKUP($B33,BD!$B$61:$C$66,2,FALSE))</f>
        <v>0</v>
      </c>
      <c r="D33" s="704">
        <f>IF(D45=0,0,VLOOKUP($B33,BD!$B$61:$C$66,2,FALSE))</f>
        <v>0</v>
      </c>
      <c r="E33" s="704">
        <f>IF(E45=0,0,VLOOKUP($B33,BD!$B$61:$C$66,2,FALSE))</f>
        <v>0</v>
      </c>
      <c r="F33" s="704">
        <f>VLOOKUP($B33,BD!$B$61:$C$66,2,FALSE)</f>
        <v>53316.67</v>
      </c>
      <c r="G33" s="704">
        <f>VLOOKUP($B33,BD!$B$61:$C$66,2,FALSE)</f>
        <v>53316.67</v>
      </c>
      <c r="H33" s="704">
        <f>VLOOKUP($B33,BD!$B$61:$C$66,2,FALSE)</f>
        <v>53316.67</v>
      </c>
      <c r="I33" s="704">
        <f>VLOOKUP($B33,BD!$B$61:$C$66,2,FALSE)</f>
        <v>53316.67</v>
      </c>
      <c r="J33" s="704">
        <f>VLOOKUP($B33,BD!$B$61:$C$66,2,FALSE)</f>
        <v>53316.67</v>
      </c>
      <c r="K33" s="704">
        <f>VLOOKUP($B33,BD!$B$61:$C$66,2,FALSE)</f>
        <v>53316.67</v>
      </c>
      <c r="L33" s="704">
        <f>VLOOKUP($B33,BD!$B$61:$C$66,2,FALSE)</f>
        <v>53316.67</v>
      </c>
      <c r="M33" s="704">
        <f>VLOOKUP($B33,BD!$B$61:$C$66,2,FALSE)</f>
        <v>53316.67</v>
      </c>
      <c r="N33" s="704">
        <f>VLOOKUP($B33,BD!$B$61:$C$66,2,FALSE)</f>
        <v>53316.67</v>
      </c>
      <c r="O33" s="704">
        <f>VLOOKUP($B33,BD!$B$61:$C$66,2,FALSE)</f>
        <v>53316.67</v>
      </c>
      <c r="P33" s="704">
        <f>VLOOKUP($B33,BD!$B$61:$C$66,2,FALSE)</f>
        <v>53316.67</v>
      </c>
      <c r="Q33" s="704">
        <f>VLOOKUP($B33,BD!$B$61:$C$66,2,FALSE)</f>
        <v>53316.67</v>
      </c>
      <c r="S33" s="9"/>
      <c r="T33" s="9"/>
      <c r="U33" s="9"/>
      <c r="V33" s="9"/>
    </row>
    <row r="34" spans="1:22">
      <c r="A34" s="1409" t="s">
        <v>1571</v>
      </c>
      <c r="B34" s="1410" t="s">
        <v>1344</v>
      </c>
      <c r="C34" s="1416">
        <f t="shared" ref="C34:Q34" si="13">C22</f>
        <v>1.1768213386458592</v>
      </c>
      <c r="D34" s="1416">
        <f t="shared" si="13"/>
        <v>1.1593353264324466</v>
      </c>
      <c r="E34" s="1416">
        <f t="shared" si="13"/>
        <v>1.1137138790355088</v>
      </c>
      <c r="F34" s="1411">
        <f t="shared" si="13"/>
        <v>1.1070423608832305</v>
      </c>
      <c r="G34" s="1411">
        <f t="shared" si="13"/>
        <v>1.0985033599453922</v>
      </c>
      <c r="H34" s="1411">
        <f t="shared" si="13"/>
        <v>1.0912608014368317</v>
      </c>
      <c r="I34" s="1411">
        <f t="shared" si="13"/>
        <v>1.0982835198725092</v>
      </c>
      <c r="J34" s="1411">
        <f t="shared" si="13"/>
        <v>1.0912678012944399</v>
      </c>
      <c r="K34" s="1411">
        <f t="shared" si="13"/>
        <v>1.0910678407267911</v>
      </c>
      <c r="L34" s="1411">
        <f t="shared" si="13"/>
        <v>1.0816484829989064</v>
      </c>
      <c r="M34" s="1411">
        <f t="shared" si="13"/>
        <v>1.0623399307225074</v>
      </c>
      <c r="N34" s="1411">
        <f t="shared" si="13"/>
        <v>1.0432185825187947</v>
      </c>
      <c r="O34" s="1411">
        <f t="shared" si="13"/>
        <v>1.0253689885984203</v>
      </c>
      <c r="P34" s="1411">
        <f t="shared" si="13"/>
        <v>1.011099422741718</v>
      </c>
      <c r="Q34" s="1411">
        <f t="shared" si="13"/>
        <v>1.0058524282636221</v>
      </c>
      <c r="S34" s="9"/>
      <c r="T34" s="9"/>
      <c r="U34" s="9"/>
      <c r="V34" s="9"/>
    </row>
    <row r="35" spans="1:22">
      <c r="A35" s="1412" t="s">
        <v>1572</v>
      </c>
      <c r="B35" s="1413"/>
      <c r="C35" s="1414">
        <f>SUM(C28:C33)*C34</f>
        <v>0</v>
      </c>
      <c r="D35" s="1414">
        <f t="shared" ref="D35:Q35" si="14">SUM(D28:D33)*D34</f>
        <v>0</v>
      </c>
      <c r="E35" s="1414">
        <f t="shared" si="14"/>
        <v>0</v>
      </c>
      <c r="F35" s="1415">
        <f t="shared" si="14"/>
        <v>465383.28330236231</v>
      </c>
      <c r="G35" s="1415">
        <f t="shared" si="14"/>
        <v>461793.62094345974</v>
      </c>
      <c r="H35" s="1415">
        <f t="shared" si="14"/>
        <v>458748.96269250161</v>
      </c>
      <c r="I35" s="1415">
        <f t="shared" si="14"/>
        <v>461701.2036173169</v>
      </c>
      <c r="J35" s="1415">
        <f t="shared" si="14"/>
        <v>458751.9053230923</v>
      </c>
      <c r="K35" s="1415">
        <f t="shared" si="14"/>
        <v>458667.84502983565</v>
      </c>
      <c r="L35" s="1415">
        <f t="shared" si="14"/>
        <v>454708.09445398132</v>
      </c>
      <c r="M35" s="1415">
        <f t="shared" si="14"/>
        <v>446591.08125582634</v>
      </c>
      <c r="N35" s="1415">
        <f t="shared" si="14"/>
        <v>438552.76572008495</v>
      </c>
      <c r="O35" s="1415">
        <f t="shared" si="14"/>
        <v>431049.07578210434</v>
      </c>
      <c r="P35" s="1415">
        <f t="shared" si="14"/>
        <v>425050.37361465237</v>
      </c>
      <c r="Q35" s="1415">
        <f t="shared" si="14"/>
        <v>422844.61925152445</v>
      </c>
      <c r="R35" s="9"/>
      <c r="S35" s="9"/>
      <c r="T35" s="9"/>
      <c r="U35" s="9"/>
      <c r="V35" s="9"/>
    </row>
    <row r="36" spans="1:22">
      <c r="A36" s="1632"/>
      <c r="B36" s="1631"/>
      <c r="C36" s="1632"/>
      <c r="D36" s="357"/>
      <c r="E36" s="357"/>
      <c r="F36" s="65"/>
      <c r="G36" s="357"/>
      <c r="H36" s="357"/>
      <c r="I36" s="357"/>
      <c r="J36" s="357"/>
      <c r="K36" s="357"/>
      <c r="L36" s="357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0" t="s">
        <v>1575</v>
      </c>
      <c r="B37" s="703"/>
      <c r="C37" s="357"/>
      <c r="D37" s="357"/>
      <c r="E37" s="357"/>
      <c r="F37" s="65"/>
      <c r="G37" s="357"/>
      <c r="H37" s="357"/>
      <c r="I37" s="357"/>
      <c r="J37" s="357"/>
      <c r="K37" s="357"/>
      <c r="L37" s="357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23" t="s">
        <v>20</v>
      </c>
      <c r="B38" s="1824" t="s">
        <v>1564</v>
      </c>
      <c r="C38" s="357"/>
      <c r="D38" s="357"/>
      <c r="E38" s="357"/>
      <c r="F38" s="9"/>
      <c r="G38" s="357"/>
      <c r="H38" s="357"/>
      <c r="I38" s="357"/>
      <c r="J38" s="357"/>
      <c r="K38" s="357"/>
      <c r="L38" s="357"/>
      <c r="M38" s="357"/>
      <c r="N38" s="357"/>
      <c r="O38" s="65"/>
      <c r="P38" s="65"/>
      <c r="Q38" s="65"/>
      <c r="R38" s="9"/>
      <c r="S38" s="9"/>
      <c r="T38" s="9"/>
      <c r="U38" s="9"/>
      <c r="V38" s="9"/>
    </row>
    <row r="39" spans="1:22">
      <c r="A39" s="1823"/>
      <c r="B39" s="1825"/>
      <c r="C39" s="1417">
        <f>C27</f>
        <v>44287</v>
      </c>
      <c r="D39" s="1417">
        <f t="shared" ref="D39:E39" si="15">D27</f>
        <v>44317</v>
      </c>
      <c r="E39" s="1417">
        <f t="shared" si="15"/>
        <v>44348</v>
      </c>
      <c r="G39" s="880"/>
      <c r="H39" s="880"/>
      <c r="I39" s="880"/>
      <c r="J39" s="880"/>
      <c r="K39" s="880"/>
      <c r="L39" s="883"/>
      <c r="M39" s="357"/>
      <c r="N39" s="357"/>
      <c r="O39" s="65"/>
      <c r="P39" s="65"/>
      <c r="Q39" s="65"/>
      <c r="R39" s="9"/>
      <c r="S39" s="9"/>
      <c r="T39" s="9"/>
      <c r="U39" s="9"/>
      <c r="V39" s="9"/>
    </row>
    <row r="40" spans="1:22">
      <c r="A40" s="702" t="s">
        <v>1565</v>
      </c>
      <c r="B40" s="706"/>
      <c r="C40" s="707"/>
      <c r="D40" s="708"/>
      <c r="E40" s="708"/>
      <c r="F40" s="65"/>
      <c r="G40" s="884"/>
      <c r="H40" s="704"/>
      <c r="I40" s="704"/>
      <c r="J40" s="704"/>
      <c r="K40" s="704"/>
      <c r="L40" s="357"/>
      <c r="M40" s="357"/>
      <c r="N40" s="357"/>
      <c r="O40" s="65"/>
      <c r="P40" s="65"/>
      <c r="Q40" s="65"/>
      <c r="R40" s="9"/>
      <c r="S40" s="9"/>
      <c r="T40" s="9"/>
      <c r="U40" s="9"/>
      <c r="V40" s="9"/>
    </row>
    <row r="41" spans="1:22">
      <c r="A41" s="702" t="s">
        <v>1566</v>
      </c>
      <c r="B41" s="706"/>
      <c r="C41" s="707"/>
      <c r="D41" s="708"/>
      <c r="E41" s="708"/>
      <c r="F41" s="65"/>
      <c r="G41" s="884"/>
      <c r="H41" s="704"/>
      <c r="I41" s="704"/>
      <c r="J41" s="704"/>
      <c r="K41" s="704"/>
      <c r="L41" s="357"/>
      <c r="M41" s="357"/>
      <c r="N41" s="357"/>
      <c r="O41" s="65"/>
      <c r="P41" s="65"/>
      <c r="Q41" s="65"/>
      <c r="R41" s="9"/>
      <c r="S41" s="9"/>
      <c r="T41" s="9"/>
      <c r="U41" s="9"/>
      <c r="V41" s="9"/>
    </row>
    <row r="42" spans="1:22">
      <c r="A42" s="702" t="s">
        <v>1567</v>
      </c>
      <c r="B42" s="706"/>
      <c r="C42" s="707"/>
      <c r="D42" s="708"/>
      <c r="E42" s="708"/>
      <c r="F42" s="65"/>
      <c r="G42" s="884"/>
      <c r="H42" s="704"/>
      <c r="I42" s="704"/>
      <c r="J42" s="704"/>
      <c r="K42" s="704"/>
      <c r="L42" s="885"/>
      <c r="M42" s="357"/>
      <c r="N42" s="357"/>
      <c r="O42" s="65"/>
      <c r="P42" s="65"/>
      <c r="Q42" s="65"/>
      <c r="R42" s="9"/>
      <c r="S42" s="9"/>
      <c r="T42" s="9"/>
      <c r="U42" s="9"/>
      <c r="V42" s="9"/>
    </row>
    <row r="43" spans="1:22">
      <c r="A43" s="702" t="s">
        <v>1568</v>
      </c>
      <c r="B43" s="706"/>
      <c r="C43" s="707"/>
      <c r="D43" s="708"/>
      <c r="E43" s="708"/>
      <c r="F43" s="65"/>
      <c r="G43" s="884"/>
      <c r="H43" s="704"/>
      <c r="I43" s="704"/>
      <c r="J43" s="704"/>
      <c r="K43" s="704"/>
      <c r="L43" s="885"/>
      <c r="M43" s="357"/>
      <c r="N43" s="357"/>
      <c r="O43" s="65"/>
      <c r="P43" s="65"/>
      <c r="Q43" s="65"/>
      <c r="R43" s="9"/>
      <c r="S43" s="9"/>
      <c r="T43" s="9"/>
      <c r="U43" s="9"/>
      <c r="V43" s="9"/>
    </row>
    <row r="44" spans="1:22">
      <c r="A44" s="702" t="s">
        <v>1569</v>
      </c>
      <c r="B44" s="706"/>
      <c r="C44" s="707"/>
      <c r="D44" s="708"/>
      <c r="E44" s="708"/>
      <c r="F44" s="65"/>
      <c r="G44" s="884"/>
      <c r="H44" s="704"/>
      <c r="I44" s="704"/>
      <c r="J44" s="704"/>
      <c r="K44" s="704"/>
      <c r="L44" s="885"/>
      <c r="M44" s="357"/>
      <c r="N44" s="357"/>
      <c r="O44" s="65"/>
      <c r="P44" s="65"/>
      <c r="Q44" s="65"/>
      <c r="R44" s="9"/>
      <c r="S44" s="9"/>
      <c r="T44" s="9"/>
      <c r="U44" s="9"/>
      <c r="V44" s="9"/>
    </row>
    <row r="45" spans="1:22">
      <c r="A45" s="705" t="s">
        <v>1570</v>
      </c>
      <c r="B45" s="706"/>
      <c r="C45" s="1665"/>
      <c r="D45" s="882"/>
      <c r="E45" s="882"/>
      <c r="F45" s="65"/>
      <c r="G45" s="884"/>
      <c r="H45" s="704"/>
      <c r="I45" s="704"/>
      <c r="J45" s="704"/>
      <c r="K45" s="704"/>
      <c r="L45" s="885"/>
      <c r="M45" s="357"/>
      <c r="N45" s="357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7"/>
      <c r="I46" s="357"/>
      <c r="J46" s="357"/>
      <c r="K46" s="886"/>
      <c r="L46" s="887"/>
      <c r="M46" s="357"/>
      <c r="N46" s="357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418" t="s">
        <v>8</v>
      </c>
      <c r="B49" s="1419"/>
      <c r="C49" s="1418"/>
      <c r="D49" s="9" t="s">
        <v>1576</v>
      </c>
    </row>
    <row r="50" spans="1:10">
      <c r="A50" s="1419" t="s">
        <v>2</v>
      </c>
      <c r="B50" s="1419"/>
      <c r="C50" s="1397"/>
    </row>
    <row r="51" spans="1:10">
      <c r="A51" s="1419" t="s">
        <v>3</v>
      </c>
      <c r="B51" s="1419"/>
      <c r="C51" s="1397"/>
      <c r="D51" s="233"/>
    </row>
    <row r="52" spans="1:10">
      <c r="A52" s="1419" t="s">
        <v>4</v>
      </c>
      <c r="B52" s="1419"/>
      <c r="C52" s="1397"/>
      <c r="D52" s="233"/>
    </row>
    <row r="53" spans="1:10">
      <c r="A53" s="1419" t="s">
        <v>5</v>
      </c>
      <c r="B53" s="1419"/>
      <c r="C53" s="1397"/>
      <c r="D53" s="233">
        <f>VLOOKUP(idsreag,Subsidio!$A$1:$J$52,10,FALSE)</f>
        <v>0</v>
      </c>
    </row>
    <row r="54" spans="1:10">
      <c r="A54" s="1419" t="s">
        <v>6</v>
      </c>
      <c r="B54" s="1419"/>
      <c r="C54" s="1397"/>
      <c r="D54" s="233"/>
      <c r="H54" s="1420"/>
      <c r="I54" s="1633"/>
      <c r="J54" s="1421"/>
    </row>
    <row r="55" spans="1:10">
      <c r="A55" s="1419" t="s">
        <v>7</v>
      </c>
      <c r="B55" s="1419"/>
      <c r="C55" s="1397"/>
      <c r="D55" s="233"/>
      <c r="H55" s="233"/>
      <c r="I55" s="233"/>
      <c r="J55" s="233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E1" zoomScale="85" zoomScaleNormal="85" workbookViewId="0">
      <pane ySplit="3" topLeftCell="A22" activePane="bottomLeft" state="frozen"/>
      <selection activeCell="D36" sqref="D36"/>
      <selection pane="bottomLeft" activeCell="M37" sqref="M37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9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14" t="s">
        <v>1577</v>
      </c>
      <c r="C1" s="262"/>
      <c r="D1" s="262"/>
      <c r="E1" s="205"/>
      <c r="F1" s="1422"/>
      <c r="G1" s="1219" t="s">
        <v>1005</v>
      </c>
      <c r="H1" s="1220">
        <f ca="1">LnkTXTIRTEco</f>
        <v>0.16800000000000001</v>
      </c>
    </row>
    <row r="2" spans="2:26" ht="14.25">
      <c r="B2" s="138" t="str">
        <f>CAPA!C9</f>
        <v>Creluz</v>
      </c>
      <c r="C2" s="1423"/>
      <c r="D2" s="1423"/>
      <c r="E2" s="1423"/>
      <c r="F2" s="1424"/>
      <c r="G2" s="121" t="s">
        <v>1009</v>
      </c>
      <c r="H2" s="122">
        <f ca="1">LnkTXTIRTTotal</f>
        <v>-5.8700000000000002E-2</v>
      </c>
      <c r="N2" s="211"/>
    </row>
    <row r="3" spans="2:26" ht="14.25"/>
    <row r="4" spans="2:26" ht="14.25">
      <c r="B4" s="206"/>
      <c r="C4" s="205"/>
      <c r="D4" s="205"/>
      <c r="E4" s="205"/>
      <c r="F4" s="212"/>
      <c r="G4" s="210"/>
      <c r="O4" s="1834"/>
      <c r="P4" s="1834"/>
      <c r="Z4" s="68"/>
    </row>
    <row r="5" spans="2:26" ht="14.25" customHeight="1">
      <c r="E5" s="209"/>
      <c r="G5" s="209"/>
      <c r="I5" s="209"/>
      <c r="K5" s="209"/>
      <c r="O5" s="271"/>
      <c r="P5" s="291"/>
      <c r="Z5" s="68"/>
    </row>
    <row r="6" spans="2:26" ht="14.25">
      <c r="L6" s="1425" t="s">
        <v>1578</v>
      </c>
      <c r="M6" s="1426"/>
      <c r="O6" s="271"/>
      <c r="P6" s="291"/>
      <c r="Z6" s="68"/>
    </row>
    <row r="7" spans="2:26" ht="14.25">
      <c r="C7" s="71"/>
      <c r="L7" s="213" t="s">
        <v>1344</v>
      </c>
      <c r="M7" s="214">
        <v>1</v>
      </c>
      <c r="O7" s="271"/>
      <c r="P7" s="291"/>
      <c r="Z7" s="68"/>
    </row>
    <row r="8" spans="2:26" ht="14.25">
      <c r="L8" s="213" t="s">
        <v>900</v>
      </c>
      <c r="M8" s="214">
        <v>2</v>
      </c>
      <c r="O8" s="271"/>
      <c r="P8" s="291"/>
      <c r="Z8" s="68"/>
    </row>
    <row r="9" spans="2:26" ht="14.25">
      <c r="B9" s="292" t="s">
        <v>1579</v>
      </c>
      <c r="D9" s="293" t="s">
        <v>1580</v>
      </c>
      <c r="L9" s="213" t="s">
        <v>1581</v>
      </c>
      <c r="M9" s="214">
        <v>4</v>
      </c>
      <c r="O9" s="271"/>
      <c r="P9" s="291"/>
      <c r="Z9" s="68"/>
    </row>
    <row r="10" spans="2:26" ht="14.25">
      <c r="L10" s="213" t="s">
        <v>1582</v>
      </c>
      <c r="M10" s="215">
        <f>CAPA!K16</f>
        <v>0.10704236088323049</v>
      </c>
      <c r="O10" s="271"/>
      <c r="P10" s="291"/>
      <c r="Z10" s="68"/>
    </row>
    <row r="11" spans="2:26" ht="14.25">
      <c r="B11" s="1837" t="s">
        <v>1583</v>
      </c>
      <c r="C11" s="1838"/>
      <c r="D11" s="1427" t="s">
        <v>1584</v>
      </c>
      <c r="E11" s="1428" t="s">
        <v>1585</v>
      </c>
      <c r="F11" s="1429" t="s">
        <v>1586</v>
      </c>
      <c r="G11" s="1428"/>
      <c r="H11" s="1428"/>
      <c r="I11" s="1428"/>
      <c r="J11" s="1428"/>
      <c r="L11" s="213" t="s">
        <v>1587</v>
      </c>
      <c r="M11" s="215">
        <f>CAPA!K17</f>
        <v>0.11886869625198027</v>
      </c>
      <c r="O11" s="271"/>
      <c r="P11" s="291"/>
      <c r="Z11" s="68"/>
    </row>
    <row r="12" spans="2:26" ht="14.25">
      <c r="B12" s="1843" t="s">
        <v>1588</v>
      </c>
      <c r="C12" s="1838"/>
      <c r="D12" s="1430" t="s">
        <v>1581</v>
      </c>
      <c r="E12" s="1430" t="s">
        <v>900</v>
      </c>
      <c r="F12" s="1430" t="s">
        <v>900</v>
      </c>
      <c r="G12" s="1430" t="s">
        <v>900</v>
      </c>
      <c r="H12" s="1430" t="s">
        <v>900</v>
      </c>
      <c r="I12" s="1430" t="s">
        <v>900</v>
      </c>
      <c r="J12" s="1430" t="s">
        <v>900</v>
      </c>
      <c r="L12" s="1431" t="s">
        <v>1589</v>
      </c>
      <c r="M12" s="1432">
        <v>41275</v>
      </c>
      <c r="O12" s="271"/>
      <c r="P12" s="291"/>
      <c r="Z12" s="68"/>
    </row>
    <row r="13" spans="2:26" ht="14.25">
      <c r="B13" s="1844" t="s">
        <v>1590</v>
      </c>
      <c r="C13" s="1845"/>
      <c r="D13" s="1433">
        <v>43617</v>
      </c>
      <c r="E13" s="1433">
        <v>43617</v>
      </c>
      <c r="F13" s="1433">
        <v>43617</v>
      </c>
      <c r="G13" s="1433">
        <f t="shared" ref="G13:J14" si="0">F13</f>
        <v>43617</v>
      </c>
      <c r="H13" s="1433">
        <f t="shared" si="0"/>
        <v>43617</v>
      </c>
      <c r="I13" s="1433">
        <f t="shared" si="0"/>
        <v>43617</v>
      </c>
      <c r="J13" s="1433">
        <f t="shared" si="0"/>
        <v>43617</v>
      </c>
      <c r="L13" s="198"/>
      <c r="M13" s="216">
        <v>41306</v>
      </c>
      <c r="O13" s="271"/>
      <c r="P13" s="291"/>
      <c r="Z13" s="68"/>
    </row>
    <row r="14" spans="2:26" ht="14.25">
      <c r="B14" s="1835" t="s">
        <v>1591</v>
      </c>
      <c r="C14" s="1836"/>
      <c r="D14" s="1433">
        <v>42887</v>
      </c>
      <c r="E14" s="1433">
        <v>43252</v>
      </c>
      <c r="F14" s="1433">
        <v>43252</v>
      </c>
      <c r="G14" s="1433">
        <f t="shared" si="0"/>
        <v>43252</v>
      </c>
      <c r="H14" s="1433">
        <f t="shared" si="0"/>
        <v>43252</v>
      </c>
      <c r="I14" s="1433">
        <f t="shared" si="0"/>
        <v>43252</v>
      </c>
      <c r="J14" s="1433">
        <f t="shared" si="0"/>
        <v>43252</v>
      </c>
      <c r="L14" s="1666"/>
      <c r="M14" s="1434">
        <v>41334</v>
      </c>
      <c r="O14" s="271"/>
      <c r="P14" s="291"/>
      <c r="Z14" s="68"/>
    </row>
    <row r="15" spans="2:26" ht="14.25">
      <c r="B15" s="1835" t="s">
        <v>1592</v>
      </c>
      <c r="C15" s="1836"/>
      <c r="D15" s="1435">
        <f>VLOOKUP(D13,Índices!$B$6:$F$500,VLOOKUP(D12,$L$7:$M$9,2,FALSE)+1,FALSE)/VLOOKUP(D14,Índices!$B$6:$F$500,VLOOKUP(D12,$L$7:$M$9,2,FALSE)+1,FALSE)</f>
        <v>1.1414978440075982</v>
      </c>
      <c r="E15" s="1435">
        <f>VLOOKUP(E13,Índices!$B$6:$F$500,VLOOKUP(E12,$L$7:$M$9,2,FALSE)+1,FALSE)/VLOOKUP(E14,Índices!$B$6:$F$500,VLOOKUP(E12,$L$7:$M$9,2,FALSE)+1,FALSE)</f>
        <v>1.0336626715248016</v>
      </c>
      <c r="F15" s="1435">
        <f>VLOOKUP(F13,Índices!$B$6:$F$500,VLOOKUP(F12,$L$7:$M$9,2,FALSE)+1,FALSE)/VLOOKUP(F14,Índices!$B$6:$F$500,VLOOKUP(F12,$L$7:$M$9,2,FALSE)+1,FALSE)</f>
        <v>1.0336626715248016</v>
      </c>
      <c r="G15" s="1435">
        <f>VLOOKUP(G13,Índices!$B$6:$F$500,VLOOKUP(G12,$L$7:$M$9,2,FALSE)+1,FALSE)/VLOOKUP(G14,Índices!$B$6:$F$500,VLOOKUP(G12,$L$7:$M$9,2,FALSE)+1,FALSE)</f>
        <v>1.0336626715248016</v>
      </c>
      <c r="H15" s="1435">
        <f>VLOOKUP(H13,Índices!$B$6:$F$500,VLOOKUP(H12,$L$7:$M$9,2,FALSE)+1,FALSE)/VLOOKUP(H14,Índices!$B$6:$F$500,VLOOKUP(H12,$L$7:$M$9,2,FALSE)+1,FALSE)</f>
        <v>1.0336626715248016</v>
      </c>
      <c r="I15" s="1435">
        <f>VLOOKUP(I13,Índices!$B$6:$F$500,VLOOKUP(I12,$L$7:$M$9,2,FALSE)+1,FALSE)/VLOOKUP(I14,Índices!$B$6:$F$500,VLOOKUP(I12,$L$7:$M$9,2,FALSE)+1,FALSE)</f>
        <v>1.0336626715248016</v>
      </c>
      <c r="J15" s="1435">
        <f>VLOOKUP(J13,Índices!$B$6:$F$500,VLOOKUP(J12,$L$7:$M$9,2,FALSE)+1,FALSE)/VLOOKUP(J14,Índices!$B$6:$F$500,VLOOKUP(J12,$L$7:$M$9,2,FALSE)+1,FALSE)</f>
        <v>1.0336626715248016</v>
      </c>
      <c r="O15" s="271"/>
      <c r="P15" s="291"/>
      <c r="Z15" s="68"/>
    </row>
    <row r="16" spans="2:26" ht="14.25">
      <c r="B16" s="1835" t="s">
        <v>1593</v>
      </c>
      <c r="C16" s="1836"/>
      <c r="D16" s="1436"/>
      <c r="E16" s="1436"/>
      <c r="F16" s="1436"/>
      <c r="G16" s="1436"/>
      <c r="H16" s="1436"/>
      <c r="I16" s="1436"/>
      <c r="J16" s="1436"/>
      <c r="O16" s="271"/>
      <c r="P16" s="291"/>
      <c r="Z16" s="68"/>
    </row>
    <row r="17" spans="1:26" ht="14.25">
      <c r="B17" s="1841" t="s">
        <v>1594</v>
      </c>
      <c r="C17" s="1842"/>
      <c r="D17" s="1437">
        <f t="shared" ref="D17:E17" si="1">D16*D15</f>
        <v>0</v>
      </c>
      <c r="E17" s="1437">
        <f t="shared" si="1"/>
        <v>0</v>
      </c>
      <c r="F17" s="1437">
        <f>F16*F15</f>
        <v>0</v>
      </c>
      <c r="G17" s="1437">
        <f>G16*G15</f>
        <v>0</v>
      </c>
      <c r="H17" s="1437">
        <f>H16*H15</f>
        <v>0</v>
      </c>
      <c r="I17" s="1437">
        <f>I16*I15</f>
        <v>0</v>
      </c>
      <c r="J17" s="1437">
        <f>J16*J15</f>
        <v>0</v>
      </c>
      <c r="O17" s="271"/>
      <c r="P17" s="93"/>
      <c r="Z17" s="68"/>
    </row>
    <row r="18" spans="1:26" ht="14.25">
      <c r="E18" s="294" t="s">
        <v>1595</v>
      </c>
      <c r="F18" s="502"/>
      <c r="M18" s="178"/>
      <c r="N18" s="218"/>
      <c r="O18" s="219"/>
      <c r="P18" s="207"/>
      <c r="Q18" s="217"/>
      <c r="R18" s="217"/>
      <c r="S18" s="217"/>
      <c r="T18" s="217"/>
      <c r="U18" s="217"/>
      <c r="V18" s="217"/>
      <c r="W18" s="217"/>
      <c r="X18" s="217"/>
    </row>
    <row r="19" spans="1:26" ht="14.25">
      <c r="E19" s="295" t="s">
        <v>1596</v>
      </c>
      <c r="F19" s="199">
        <f>F17*(1-F18)</f>
        <v>0</v>
      </c>
      <c r="M19" s="72"/>
      <c r="N19" s="72"/>
      <c r="O19" s="220"/>
      <c r="P19" s="108"/>
      <c r="Q19" s="210"/>
      <c r="R19" s="210"/>
      <c r="S19" s="210"/>
      <c r="T19" s="210"/>
      <c r="U19" s="210"/>
      <c r="V19" s="210"/>
      <c r="W19" s="210"/>
      <c r="X19" s="210"/>
    </row>
    <row r="20" spans="1:26" ht="16.5">
      <c r="B20" s="292" t="s">
        <v>1597</v>
      </c>
      <c r="E20" s="295" t="s">
        <v>1598</v>
      </c>
      <c r="F20" s="142">
        <f>F17-F19</f>
        <v>0</v>
      </c>
      <c r="J20" s="407">
        <v>426068.95</v>
      </c>
      <c r="M20" s="178"/>
      <c r="N20" s="218"/>
      <c r="O20" s="220"/>
      <c r="P20" s="69"/>
      <c r="Z20" s="68"/>
    </row>
    <row r="21" spans="1:26" ht="14.25">
      <c r="B21" s="292"/>
      <c r="E21" s="296"/>
      <c r="M21" s="72"/>
      <c r="N21" s="221"/>
      <c r="O21" s="220"/>
      <c r="P21" s="108"/>
      <c r="Z21" s="68"/>
    </row>
    <row r="22" spans="1:26" ht="14.25" customHeight="1">
      <c r="B22" s="1438" t="s">
        <v>1583</v>
      </c>
      <c r="C22" s="1839" t="str">
        <f>Financeiros!C9</f>
        <v>Repasse de PIS COFINS</v>
      </c>
      <c r="D22" s="1840"/>
      <c r="E22" s="1828" t="s">
        <v>1599</v>
      </c>
      <c r="F22" s="1829"/>
      <c r="G22" s="1828" t="str">
        <f>Financeiros!C27</f>
        <v>Compensação DIC FIC</v>
      </c>
      <c r="H22" s="1829"/>
      <c r="I22" s="1830" t="s">
        <v>1326</v>
      </c>
      <c r="J22" s="1831"/>
      <c r="K22" s="1846" t="s">
        <v>1600</v>
      </c>
      <c r="L22" s="1847"/>
      <c r="M22" s="1848" t="s">
        <v>2385</v>
      </c>
      <c r="N22" s="1849"/>
      <c r="O22" s="1826" t="s">
        <v>1601</v>
      </c>
      <c r="P22" s="1827"/>
      <c r="Q22" s="1826" t="s">
        <v>272</v>
      </c>
      <c r="R22" s="1827"/>
      <c r="S22" s="1826" t="s">
        <v>1602</v>
      </c>
      <c r="T22" s="1827"/>
      <c r="U22" s="1826" t="s">
        <v>1603</v>
      </c>
      <c r="V22" s="1827"/>
      <c r="Z22" s="68"/>
    </row>
    <row r="23" spans="1:26" ht="14.25">
      <c r="B23" s="1439" t="s">
        <v>1056</v>
      </c>
      <c r="C23" s="1440" t="s">
        <v>1604</v>
      </c>
      <c r="D23" s="1441" t="s">
        <v>900</v>
      </c>
      <c r="E23" s="1440" t="s">
        <v>1604</v>
      </c>
      <c r="F23" s="1441" t="s">
        <v>900</v>
      </c>
      <c r="G23" s="1440" t="s">
        <v>1604</v>
      </c>
      <c r="H23" s="1441" t="s">
        <v>900</v>
      </c>
      <c r="I23" s="1440" t="s">
        <v>1604</v>
      </c>
      <c r="J23" s="1441" t="s">
        <v>900</v>
      </c>
      <c r="K23" s="1440" t="s">
        <v>1604</v>
      </c>
      <c r="L23" s="1441" t="s">
        <v>1581</v>
      </c>
      <c r="M23" s="1442" t="s">
        <v>1604</v>
      </c>
      <c r="N23" s="1443" t="s">
        <v>1581</v>
      </c>
      <c r="O23" s="1442" t="s">
        <v>1604</v>
      </c>
      <c r="P23" s="1443" t="s">
        <v>900</v>
      </c>
      <c r="Q23" s="1442" t="s">
        <v>1604</v>
      </c>
      <c r="R23" s="1443" t="s">
        <v>900</v>
      </c>
      <c r="S23" s="1442" t="s">
        <v>1604</v>
      </c>
      <c r="T23" s="1443" t="s">
        <v>900</v>
      </c>
      <c r="U23" s="1442" t="s">
        <v>1604</v>
      </c>
      <c r="V23" s="1443" t="s">
        <v>900</v>
      </c>
      <c r="Z23" s="68"/>
    </row>
    <row r="24" spans="1:26" ht="14.25">
      <c r="B24" s="1444">
        <f>DATE(YEAR(B25),MONTH(B25)-1,1)</f>
        <v>43983</v>
      </c>
      <c r="C24" s="493"/>
      <c r="D24" s="494"/>
      <c r="E24" s="493"/>
      <c r="F24" s="494"/>
      <c r="G24" s="225"/>
      <c r="H24" s="226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5"/>
      <c r="L24" s="226">
        <f>VLOOKUP($B$48,Índices!$B$6:$F$500,VLOOKUP(L$23,$L$7:$M$9,2,FALSE)+1,FALSE)/VLOOKUP(DATE(YEAR($B24),MONTH($B24)-1,1),Índices!$B$6:$F$500,VLOOKUP(L$23,$L$7:$M$9,2,FALSE)+1,FALSE)*K24</f>
        <v>0</v>
      </c>
      <c r="M24" s="415"/>
      <c r="N24" s="100">
        <f>VLOOKUP($B$48,Índices!$B$6:$F$500,VLOOKUP(N$23,$L$7:$M$9,2,FALSE)+1,FALSE)/VLOOKUP(DATE(YEAR($B24),MONTH($B24)-1,1),Índices!$B$6:$F$500,VLOOKUP(N$23,$L$7:$M$9,2,FALSE)+1,FALSE)*M24</f>
        <v>0</v>
      </c>
      <c r="O24" s="415"/>
      <c r="P24" s="100">
        <f>VLOOKUP($B$48,Índices!$B$6:$F$500,VLOOKUP(P$23,$L$7:$M$9,2,FALSE)+1,FALSE)/VLOOKUP(DATE(YEAR($B24),MONTH($B24)-1,1),Índices!$B$6:$F$500,VLOOKUP(P$23,$L$7:$M$9,2,FALSE)+1,FALSE)*O24</f>
        <v>0</v>
      </c>
      <c r="Q24" s="225"/>
      <c r="R24" s="100">
        <f>VLOOKUP($B$48,Índices!$B$6:$F$500,VLOOKUP(R$23,$L$7:$M$9,2,FALSE)+1,FALSE)/VLOOKUP(DATE(YEAR($B24),MONTH($B24)-1,1),Índices!$B$6:$F$500,VLOOKUP(R$23,$L$7:$M$9,2,FALSE)+1,FALSE)*Q24</f>
        <v>0</v>
      </c>
      <c r="S24" s="225"/>
      <c r="T24" s="100">
        <f>VLOOKUP($B$48,Índices!$B$6:$F$500,VLOOKUP(T$23,$L$7:$M$9,2,FALSE)+1,FALSE)/VLOOKUP(DATE(YEAR($B24),MONTH($B24)-1,1),Índices!$B$6:$F$500,VLOOKUP(T$23,$L$7:$M$9,2,FALSE)+1,FALSE)*S24</f>
        <v>0</v>
      </c>
      <c r="U24" s="225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9"/>
      <c r="B25" s="271">
        <f>DATE(YEAR(B26),MONTH(B26)-1,1)</f>
        <v>44013</v>
      </c>
      <c r="C25" s="297"/>
      <c r="D25" s="226">
        <f>VLOOKUP($B$48,Índices!$B$6:$F$500,VLOOKUP(D$23,$L$7:$M$9,2,FALSE)+1,FALSE)/VLOOKUP(DATE(YEAR($B25),MONTH($B25)-1,1),Índices!$B$6:$F$500,VLOOKUP(D$23,$L$7:$M$9,2,FALSE)+1,FALSE)*C25</f>
        <v>0</v>
      </c>
      <c r="E25" s="225"/>
      <c r="F25" s="226"/>
      <c r="G25" s="225"/>
      <c r="H25" s="226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5"/>
      <c r="L25" s="226">
        <f>VLOOKUP($B$48,Índices!$B$6:$F$500,VLOOKUP(L$23,$L$7:$M$9,2,FALSE)+1,FALSE)/VLOOKUP(DATE(YEAR($B25),MONTH($B25)-1,1),Índices!$B$6:$F$500,VLOOKUP(L$23,$L$7:$M$9,2,FALSE)+1,FALSE)*K25</f>
        <v>0</v>
      </c>
      <c r="M25" s="415"/>
      <c r="N25" s="100">
        <f>VLOOKUP($B$48,Índices!$B$6:$F$500,VLOOKUP(N$23,$L$7:$M$9,2,FALSE)+1,FALSE)/VLOOKUP(DATE(YEAR($B25),MONTH($B25)-1,1),Índices!$B$6:$F$500,VLOOKUP(N$23,$L$7:$M$9,2,FALSE)+1,FALSE)*M25</f>
        <v>0</v>
      </c>
      <c r="O25" s="415"/>
      <c r="P25" s="100">
        <f>VLOOKUP($B$48,Índices!$B$6:$F$500,VLOOKUP(P$23,$L$7:$M$9,2,FALSE)+1,FALSE)/VLOOKUP(DATE(YEAR($B25),MONTH($B25)-1,1),Índices!$B$6:$F$500,VLOOKUP(P$23,$L$7:$M$9,2,FALSE)+1,FALSE)*O25</f>
        <v>0</v>
      </c>
      <c r="Q25" s="225"/>
      <c r="R25" s="100">
        <f>VLOOKUP($B$48,Índices!$B$6:$F$500,VLOOKUP(R$23,$L$7:$M$9,2,FALSE)+1,FALSE)/VLOOKUP(DATE(YEAR($B25),MONTH($B25)-1,1),Índices!$B$6:$F$500,VLOOKUP(R$23,$L$7:$M$9,2,FALSE)+1,FALSE)*Q25</f>
        <v>0</v>
      </c>
      <c r="S25" s="225"/>
      <c r="T25" s="100">
        <f>VLOOKUP($B$48,Índices!$B$6:$F$500,VLOOKUP(T$23,$L$7:$M$9,2,FALSE)+1,FALSE)/VLOOKUP(DATE(YEAR($B25),MONTH($B25)-1,1),Índices!$B$6:$F$500,VLOOKUP(T$23,$L$7:$M$9,2,FALSE)+1,FALSE)*S25</f>
        <v>0</v>
      </c>
      <c r="U25" s="225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9"/>
      <c r="B26" s="271">
        <f t="shared" ref="B26:B47" si="2">DATE(YEAR(B27),MONTH(B27)-1,1)</f>
        <v>44044</v>
      </c>
      <c r="C26" s="297"/>
      <c r="D26" s="226">
        <f>VLOOKUP($B$48,Índices!$B$6:$F$500,VLOOKUP(D$23,$L$7:$M$9,2,FALSE)+1,FALSE)/VLOOKUP(DATE(YEAR($B26),MONTH($B26)-1,1),Índices!$B$6:$F$500,VLOOKUP(D$23,$L$7:$M$9,2,FALSE)+1,FALSE)*C26</f>
        <v>0</v>
      </c>
      <c r="E26" s="225"/>
      <c r="F26" s="226"/>
      <c r="G26" s="225"/>
      <c r="H26" s="226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5"/>
      <c r="L26" s="226">
        <f>VLOOKUP($B$48,Índices!$B$6:$F$500,VLOOKUP(L$23,$L$7:$M$9,2,FALSE)+1,FALSE)/VLOOKUP(DATE(YEAR($B26),MONTH($B26)-1,1),Índices!$B$6:$F$500,VLOOKUP(L$23,$L$7:$M$9,2,FALSE)+1,FALSE)*K26</f>
        <v>0</v>
      </c>
      <c r="M26" s="415"/>
      <c r="N26" s="100">
        <f>VLOOKUP($B$48,Índices!$B$6:$F$500,VLOOKUP(N$23,$L$7:$M$9,2,FALSE)+1,FALSE)/VLOOKUP(DATE(YEAR($B26),MONTH($B26)-1,1),Índices!$B$6:$F$500,VLOOKUP(N$23,$L$7:$M$9,2,FALSE)+1,FALSE)*M26</f>
        <v>0</v>
      </c>
      <c r="O26" s="415"/>
      <c r="P26" s="100">
        <f>VLOOKUP($B$48,Índices!$B$6:$F$500,VLOOKUP(P$23,$L$7:$M$9,2,FALSE)+1,FALSE)/VLOOKUP(DATE(YEAR($B26),MONTH($B26)-1,1),Índices!$B$6:$F$500,VLOOKUP(P$23,$L$7:$M$9,2,FALSE)+1,FALSE)*O26</f>
        <v>0</v>
      </c>
      <c r="Q26" s="225"/>
      <c r="R26" s="100">
        <f>VLOOKUP($B$48,Índices!$B$6:$F$500,VLOOKUP(R$23,$L$7:$M$9,2,FALSE)+1,FALSE)/VLOOKUP(DATE(YEAR($B26),MONTH($B26)-1,1),Índices!$B$6:$F$500,VLOOKUP(R$23,$L$7:$M$9,2,FALSE)+1,FALSE)*Q26</f>
        <v>0</v>
      </c>
      <c r="S26" s="225"/>
      <c r="T26" s="100">
        <f>VLOOKUP($B$48,Índices!$B$6:$F$500,VLOOKUP(T$23,$L$7:$M$9,2,FALSE)+1,FALSE)/VLOOKUP(DATE(YEAR($B26),MONTH($B26)-1,1),Índices!$B$6:$F$500,VLOOKUP(T$23,$L$7:$M$9,2,FALSE)+1,FALSE)*S26</f>
        <v>0</v>
      </c>
      <c r="U26" s="225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9"/>
      <c r="B27" s="271">
        <f t="shared" si="2"/>
        <v>44075</v>
      </c>
      <c r="C27" s="297"/>
      <c r="D27" s="226">
        <f>VLOOKUP($B$48,Índices!$B$6:$F$500,VLOOKUP(D$23,$L$7:$M$9,2,FALSE)+1,FALSE)/VLOOKUP(DATE(YEAR($B27),MONTH($B27)-1,1),Índices!$B$6:$F$500,VLOOKUP(D$23,$L$7:$M$9,2,FALSE)+1,FALSE)*C27</f>
        <v>0</v>
      </c>
      <c r="E27" s="225"/>
      <c r="F27" s="226"/>
      <c r="G27" s="225"/>
      <c r="H27" s="226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5"/>
      <c r="L27" s="226">
        <f>VLOOKUP($B$48,Índices!$B$6:$F$500,VLOOKUP(L$23,$L$7:$M$9,2,FALSE)+1,FALSE)/VLOOKUP(DATE(YEAR($B27),MONTH($B27)-1,1),Índices!$B$6:$F$500,VLOOKUP(L$23,$L$7:$M$9,2,FALSE)+1,FALSE)*K27</f>
        <v>0</v>
      </c>
      <c r="M27" s="415"/>
      <c r="N27" s="100">
        <f>VLOOKUP($B$48,Índices!$B$6:$F$500,VLOOKUP(N$23,$L$7:$M$9,2,FALSE)+1,FALSE)/VLOOKUP(DATE(YEAR($B27),MONTH($B27)-1,1),Índices!$B$6:$F$500,VLOOKUP(N$23,$L$7:$M$9,2,FALSE)+1,FALSE)*M27</f>
        <v>0</v>
      </c>
      <c r="O27" s="415"/>
      <c r="P27" s="100">
        <f>VLOOKUP($B$48,Índices!$B$6:$F$500,VLOOKUP(P$23,$L$7:$M$9,2,FALSE)+1,FALSE)/VLOOKUP(DATE(YEAR($B27),MONTH($B27)-1,1),Índices!$B$6:$F$500,VLOOKUP(P$23,$L$7:$M$9,2,FALSE)+1,FALSE)*O27</f>
        <v>0</v>
      </c>
      <c r="Q27" s="225"/>
      <c r="R27" s="100">
        <f>VLOOKUP($B$48,Índices!$B$6:$F$500,VLOOKUP(R$23,$L$7:$M$9,2,FALSE)+1,FALSE)/VLOOKUP(DATE(YEAR($B27),MONTH($B27)-1,1),Índices!$B$6:$F$500,VLOOKUP(R$23,$L$7:$M$9,2,FALSE)+1,FALSE)*Q27</f>
        <v>0</v>
      </c>
      <c r="S27" s="225"/>
      <c r="T27" s="100">
        <f>VLOOKUP($B$48,Índices!$B$6:$F$500,VLOOKUP(T$23,$L$7:$M$9,2,FALSE)+1,FALSE)/VLOOKUP(DATE(YEAR($B27),MONTH($B27)-1,1),Índices!$B$6:$F$500,VLOOKUP(T$23,$L$7:$M$9,2,FALSE)+1,FALSE)*S27</f>
        <v>0</v>
      </c>
      <c r="U27" s="225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9"/>
      <c r="B28" s="271">
        <f t="shared" si="2"/>
        <v>44105</v>
      </c>
      <c r="C28" s="297"/>
      <c r="D28" s="226">
        <f>VLOOKUP($B$48,Índices!$B$6:$F$500,VLOOKUP(D$23,$L$7:$M$9,2,FALSE)+1,FALSE)/VLOOKUP(DATE(YEAR($B28),MONTH($B28)-1,1),Índices!$B$6:$F$500,VLOOKUP(D$23,$L$7:$M$9,2,FALSE)+1,FALSE)*C28</f>
        <v>0</v>
      </c>
      <c r="E28" s="225"/>
      <c r="F28" s="226"/>
      <c r="G28" s="225"/>
      <c r="H28" s="226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5"/>
      <c r="L28" s="226">
        <f>VLOOKUP($B$48,Índices!$B$6:$F$500,VLOOKUP(L$23,$L$7:$M$9,2,FALSE)+1,FALSE)/VLOOKUP(DATE(YEAR($B28),MONTH($B28)-1,1),Índices!$B$6:$F$500,VLOOKUP(L$23,$L$7:$M$9,2,FALSE)+1,FALSE)*K28</f>
        <v>0</v>
      </c>
      <c r="M28" s="415"/>
      <c r="N28" s="100">
        <f>VLOOKUP($B$48,Índices!$B$6:$F$500,VLOOKUP(N$23,$L$7:$M$9,2,FALSE)+1,FALSE)/VLOOKUP(DATE(YEAR($B28),MONTH($B28)-1,1),Índices!$B$6:$F$500,VLOOKUP(N$23,$L$7:$M$9,2,FALSE)+1,FALSE)*M28</f>
        <v>0</v>
      </c>
      <c r="O28" s="415"/>
      <c r="P28" s="100">
        <f>VLOOKUP($B$48,Índices!$B$6:$F$500,VLOOKUP(P$23,$L$7:$M$9,2,FALSE)+1,FALSE)/VLOOKUP(DATE(YEAR($B28),MONTH($B28)-1,1),Índices!$B$6:$F$500,VLOOKUP(P$23,$L$7:$M$9,2,FALSE)+1,FALSE)*O28</f>
        <v>0</v>
      </c>
      <c r="Q28" s="225"/>
      <c r="R28" s="100">
        <f>VLOOKUP($B$48,Índices!$B$6:$F$500,VLOOKUP(R$23,$L$7:$M$9,2,FALSE)+1,FALSE)/VLOOKUP(DATE(YEAR($B28),MONTH($B28)-1,1),Índices!$B$6:$F$500,VLOOKUP(R$23,$L$7:$M$9,2,FALSE)+1,FALSE)*Q28</f>
        <v>0</v>
      </c>
      <c r="S28" s="225"/>
      <c r="T28" s="100">
        <f>VLOOKUP($B$48,Índices!$B$6:$F$500,VLOOKUP(T$23,$L$7:$M$9,2,FALSE)+1,FALSE)/VLOOKUP(DATE(YEAR($B28),MONTH($B28)-1,1),Índices!$B$6:$F$500,VLOOKUP(T$23,$L$7:$M$9,2,FALSE)+1,FALSE)*S28</f>
        <v>0</v>
      </c>
      <c r="U28" s="225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9"/>
      <c r="B29" s="271">
        <f t="shared" si="2"/>
        <v>44136</v>
      </c>
      <c r="C29" s="297"/>
      <c r="D29" s="226">
        <f>VLOOKUP($B$48,Índices!$B$6:$F$500,VLOOKUP(D$23,$L$7:$M$9,2,FALSE)+1,FALSE)/VLOOKUP(DATE(YEAR($B29),MONTH($B29)-1,1),Índices!$B$6:$F$500,VLOOKUP(D$23,$L$7:$M$9,2,FALSE)+1,FALSE)*C29</f>
        <v>0</v>
      </c>
      <c r="E29" s="225"/>
      <c r="F29" s="226"/>
      <c r="G29" s="225"/>
      <c r="H29" s="226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5"/>
      <c r="L29" s="226">
        <f>VLOOKUP($B$48,Índices!$B$6:$F$500,VLOOKUP(L$23,$L$7:$M$9,2,FALSE)+1,FALSE)/VLOOKUP(DATE(YEAR($B29),MONTH($B29)-1,1),Índices!$B$6:$F$500,VLOOKUP(L$23,$L$7:$M$9,2,FALSE)+1,FALSE)*K29</f>
        <v>0</v>
      </c>
      <c r="M29" s="415"/>
      <c r="N29" s="100">
        <f>VLOOKUP($B$48,Índices!$B$6:$F$500,VLOOKUP(N$23,$L$7:$M$9,2,FALSE)+1,FALSE)/VLOOKUP(DATE(YEAR($B29),MONTH($B29)-1,1),Índices!$B$6:$F$500,VLOOKUP(N$23,$L$7:$M$9,2,FALSE)+1,FALSE)*M29</f>
        <v>0</v>
      </c>
      <c r="O29" s="415"/>
      <c r="P29" s="100">
        <f>VLOOKUP($B$48,Índices!$B$6:$F$500,VLOOKUP(P$23,$L$7:$M$9,2,FALSE)+1,FALSE)/VLOOKUP(DATE(YEAR($B29),MONTH($B29)-1,1),Índices!$B$6:$F$500,VLOOKUP(P$23,$L$7:$M$9,2,FALSE)+1,FALSE)*O29</f>
        <v>0</v>
      </c>
      <c r="Q29" s="225"/>
      <c r="R29" s="100">
        <f>VLOOKUP($B$48,Índices!$B$6:$F$500,VLOOKUP(R$23,$L$7:$M$9,2,FALSE)+1,FALSE)/VLOOKUP(DATE(YEAR($B29),MONTH($B29)-1,1),Índices!$B$6:$F$500,VLOOKUP(R$23,$L$7:$M$9,2,FALSE)+1,FALSE)*Q29</f>
        <v>0</v>
      </c>
      <c r="S29" s="225"/>
      <c r="T29" s="100">
        <f>VLOOKUP($B$48,Índices!$B$6:$F$500,VLOOKUP(T$23,$L$7:$M$9,2,FALSE)+1,FALSE)/VLOOKUP(DATE(YEAR($B29),MONTH($B29)-1,1),Índices!$B$6:$F$500,VLOOKUP(T$23,$L$7:$M$9,2,FALSE)+1,FALSE)*S29</f>
        <v>0</v>
      </c>
      <c r="U29" s="225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9"/>
      <c r="B30" s="271">
        <f t="shared" si="2"/>
        <v>44166</v>
      </c>
      <c r="C30" s="297"/>
      <c r="D30" s="226">
        <f>VLOOKUP($B$48,Índices!$B$6:$F$500,VLOOKUP(D$23,$L$7:$M$9,2,FALSE)+1,FALSE)/VLOOKUP(DATE(YEAR($B30),MONTH($B30)-1,1),Índices!$B$6:$F$500,VLOOKUP(D$23,$L$7:$M$9,2,FALSE)+1,FALSE)*C30</f>
        <v>0</v>
      </c>
      <c r="E30" s="225"/>
      <c r="F30" s="226"/>
      <c r="G30" s="225"/>
      <c r="H30" s="226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5"/>
      <c r="L30" s="226">
        <f>VLOOKUP($B$48,Índices!$B$6:$F$500,VLOOKUP(L$23,$L$7:$M$9,2,FALSE)+1,FALSE)/VLOOKUP(DATE(YEAR($B30),MONTH($B30)-1,1),Índices!$B$6:$F$500,VLOOKUP(L$23,$L$7:$M$9,2,FALSE)+1,FALSE)*K30</f>
        <v>0</v>
      </c>
      <c r="M30" s="415"/>
      <c r="N30" s="100">
        <f>VLOOKUP($B$48,Índices!$B$6:$F$500,VLOOKUP(N$23,$L$7:$M$9,2,FALSE)+1,FALSE)/VLOOKUP(DATE(YEAR($B30),MONTH($B30)-1,1),Índices!$B$6:$F$500,VLOOKUP(N$23,$L$7:$M$9,2,FALSE)+1,FALSE)*M30</f>
        <v>0</v>
      </c>
      <c r="O30" s="415"/>
      <c r="P30" s="100">
        <f>VLOOKUP($B$48,Índices!$B$6:$F$500,VLOOKUP(P$23,$L$7:$M$9,2,FALSE)+1,FALSE)/VLOOKUP(DATE(YEAR($B30),MONTH($B30)-1,1),Índices!$B$6:$F$500,VLOOKUP(P$23,$L$7:$M$9,2,FALSE)+1,FALSE)*O30</f>
        <v>0</v>
      </c>
      <c r="Q30" s="225"/>
      <c r="R30" s="100">
        <f>VLOOKUP($B$48,Índices!$B$6:$F$500,VLOOKUP(R$23,$L$7:$M$9,2,FALSE)+1,FALSE)/VLOOKUP(DATE(YEAR($B30),MONTH($B30)-1,1),Índices!$B$6:$F$500,VLOOKUP(R$23,$L$7:$M$9,2,FALSE)+1,FALSE)*Q30</f>
        <v>0</v>
      </c>
      <c r="S30" s="225"/>
      <c r="T30" s="100">
        <f>VLOOKUP($B$48,Índices!$B$6:$F$500,VLOOKUP(T$23,$L$7:$M$9,2,FALSE)+1,FALSE)/VLOOKUP(DATE(YEAR($B30),MONTH($B30)-1,1),Índices!$B$6:$F$500,VLOOKUP(T$23,$L$7:$M$9,2,FALSE)+1,FALSE)*S30</f>
        <v>0</v>
      </c>
      <c r="U30" s="225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9"/>
      <c r="B31" s="271">
        <f t="shared" si="2"/>
        <v>44197</v>
      </c>
      <c r="C31" s="297"/>
      <c r="D31" s="226">
        <f>VLOOKUP($B$48,Índices!$B$6:$F$500,VLOOKUP(D$23,$L$7:$M$9,2,FALSE)+1,FALSE)/VLOOKUP(DATE(YEAR($B31),MONTH($B31)-1,1),Índices!$B$6:$F$500,VLOOKUP(D$23,$L$7:$M$9,2,FALSE)+1,FALSE)*C31</f>
        <v>0</v>
      </c>
      <c r="E31" s="225"/>
      <c r="F31" s="226"/>
      <c r="G31" s="225"/>
      <c r="H31" s="226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5"/>
      <c r="L31" s="226">
        <f>VLOOKUP($B$48,Índices!$B$6:$F$500,VLOOKUP(L$23,$L$7:$M$9,2,FALSE)+1,FALSE)/VLOOKUP(DATE(YEAR($B31),MONTH($B31)-1,1),Índices!$B$6:$F$500,VLOOKUP(L$23,$L$7:$M$9,2,FALSE)+1,FALSE)*K31</f>
        <v>0</v>
      </c>
      <c r="M31" s="415"/>
      <c r="N31" s="100">
        <f>VLOOKUP($B$48,Índices!$B$6:$F$500,VLOOKUP(N$23,$L$7:$M$9,2,FALSE)+1,FALSE)/VLOOKUP(DATE(YEAR($B31),MONTH($B31)-1,1),Índices!$B$6:$F$500,VLOOKUP(N$23,$L$7:$M$9,2,FALSE)+1,FALSE)*M31</f>
        <v>0</v>
      </c>
      <c r="O31" s="415"/>
      <c r="P31" s="100">
        <f>VLOOKUP($B$48,Índices!$B$6:$F$500,VLOOKUP(P$23,$L$7:$M$9,2,FALSE)+1,FALSE)/VLOOKUP(DATE(YEAR($B31),MONTH($B31)-1,1),Índices!$B$6:$F$500,VLOOKUP(P$23,$L$7:$M$9,2,FALSE)+1,FALSE)*O31</f>
        <v>0</v>
      </c>
      <c r="Q31" s="225"/>
      <c r="R31" s="100">
        <f>VLOOKUP($B$48,Índices!$B$6:$F$500,VLOOKUP(R$23,$L$7:$M$9,2,FALSE)+1,FALSE)/VLOOKUP(DATE(YEAR($B31),MONTH($B31)-1,1),Índices!$B$6:$F$500,VLOOKUP(R$23,$L$7:$M$9,2,FALSE)+1,FALSE)*Q31</f>
        <v>0</v>
      </c>
      <c r="S31" s="225"/>
      <c r="T31" s="100">
        <f>VLOOKUP($B$48,Índices!$B$6:$F$500,VLOOKUP(T$23,$L$7:$M$9,2,FALSE)+1,FALSE)/VLOOKUP(DATE(YEAR($B31),MONTH($B31)-1,1),Índices!$B$6:$F$500,VLOOKUP(T$23,$L$7:$M$9,2,FALSE)+1,FALSE)*S31</f>
        <v>0</v>
      </c>
      <c r="U31" s="225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9"/>
      <c r="B32" s="271">
        <f t="shared" si="2"/>
        <v>44228</v>
      </c>
      <c r="C32" s="297"/>
      <c r="D32" s="226">
        <f>VLOOKUP($B$48,Índices!$B$6:$F$500,VLOOKUP(D$23,$L$7:$M$9,2,FALSE)+1,FALSE)/VLOOKUP(DATE(YEAR($B32),MONTH($B32)-1,1),Índices!$B$6:$F$500,VLOOKUP(D$23,$L$7:$M$9,2,FALSE)+1,FALSE)*C32</f>
        <v>0</v>
      </c>
      <c r="E32" s="225"/>
      <c r="F32" s="226"/>
      <c r="G32" s="225"/>
      <c r="H32" s="226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5"/>
      <c r="L32" s="226">
        <f>VLOOKUP($B$48,Índices!$B$6:$F$500,VLOOKUP(L$23,$L$7:$M$9,2,FALSE)+1,FALSE)/VLOOKUP(DATE(YEAR($B32),MONTH($B32)-1,1),Índices!$B$6:$F$500,VLOOKUP(L$23,$L$7:$M$9,2,FALSE)+1,FALSE)*K32</f>
        <v>0</v>
      </c>
      <c r="M32" s="415"/>
      <c r="N32" s="100">
        <f>VLOOKUP($B$48,Índices!$B$6:$F$500,VLOOKUP(N$23,$L$7:$M$9,2,FALSE)+1,FALSE)/VLOOKUP(DATE(YEAR($B32),MONTH($B32)-1,1),Índices!$B$6:$F$500,VLOOKUP(N$23,$L$7:$M$9,2,FALSE)+1,FALSE)*M32</f>
        <v>0</v>
      </c>
      <c r="O32" s="415"/>
      <c r="P32" s="100">
        <f>VLOOKUP($B$48,Índices!$B$6:$F$500,VLOOKUP(P$23,$L$7:$M$9,2,FALSE)+1,FALSE)/VLOOKUP(DATE(YEAR($B32),MONTH($B32)-1,1),Índices!$B$6:$F$500,VLOOKUP(P$23,$L$7:$M$9,2,FALSE)+1,FALSE)*O32</f>
        <v>0</v>
      </c>
      <c r="Q32" s="225"/>
      <c r="R32" s="100">
        <f>VLOOKUP($B$48,Índices!$B$6:$F$500,VLOOKUP(R$23,$L$7:$M$9,2,FALSE)+1,FALSE)/VLOOKUP(DATE(YEAR($B32),MONTH($B32)-1,1),Índices!$B$6:$F$500,VLOOKUP(R$23,$L$7:$M$9,2,FALSE)+1,FALSE)*Q32</f>
        <v>0</v>
      </c>
      <c r="S32" s="225"/>
      <c r="T32" s="100">
        <f>VLOOKUP($B$48,Índices!$B$6:$F$500,VLOOKUP(T$23,$L$7:$M$9,2,FALSE)+1,FALSE)/VLOOKUP(DATE(YEAR($B32),MONTH($B32)-1,1),Índices!$B$6:$F$500,VLOOKUP(T$23,$L$7:$M$9,2,FALSE)+1,FALSE)*S32</f>
        <v>0</v>
      </c>
      <c r="U32" s="225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9"/>
      <c r="B33" s="271">
        <f t="shared" si="2"/>
        <v>44256</v>
      </c>
      <c r="C33" s="297"/>
      <c r="D33" s="226">
        <f>VLOOKUP($B$48,Índices!$B$6:$F$500,VLOOKUP(D$23,$L$7:$M$9,2,FALSE)+1,FALSE)/VLOOKUP(DATE(YEAR($B33),MONTH($B33)-1,1),Índices!$B$6:$F$500,VLOOKUP(D$23,$L$7:$M$9,2,FALSE)+1,FALSE)*C33</f>
        <v>0</v>
      </c>
      <c r="E33" s="225"/>
      <c r="F33" s="226"/>
      <c r="G33" s="225"/>
      <c r="H33" s="226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5"/>
      <c r="L33" s="226">
        <f>VLOOKUP($B$48,Índices!$B$6:$F$500,VLOOKUP(L$23,$L$7:$M$9,2,FALSE)+1,FALSE)/VLOOKUP(DATE(YEAR($B33),MONTH($B33)-1,1),Índices!$B$6:$F$500,VLOOKUP(L$23,$L$7:$M$9,2,FALSE)+1,FALSE)*K33</f>
        <v>0</v>
      </c>
      <c r="M33" s="415"/>
      <c r="N33" s="100">
        <f>VLOOKUP($B$48,Índices!$B$6:$F$500,VLOOKUP(N$23,$L$7:$M$9,2,FALSE)+1,FALSE)/VLOOKUP(DATE(YEAR($B33),MONTH($B33)-1,1),Índices!$B$6:$F$500,VLOOKUP(N$23,$L$7:$M$9,2,FALSE)+1,FALSE)*M33</f>
        <v>0</v>
      </c>
      <c r="O33" s="415"/>
      <c r="P33" s="100">
        <f>VLOOKUP($B$48,Índices!$B$6:$F$500,VLOOKUP(P$23,$L$7:$M$9,2,FALSE)+1,FALSE)/VLOOKUP(DATE(YEAR($B33),MONTH($B33)-1,1),Índices!$B$6:$F$500,VLOOKUP(P$23,$L$7:$M$9,2,FALSE)+1,FALSE)*O33</f>
        <v>0</v>
      </c>
      <c r="Q33" s="225"/>
      <c r="R33" s="100">
        <f>VLOOKUP($B$48,Índices!$B$6:$F$500,VLOOKUP(R$23,$L$7:$M$9,2,FALSE)+1,FALSE)/VLOOKUP(DATE(YEAR($B33),MONTH($B33)-1,1),Índices!$B$6:$F$500,VLOOKUP(R$23,$L$7:$M$9,2,FALSE)+1,FALSE)*Q33</f>
        <v>0</v>
      </c>
      <c r="S33" s="225"/>
      <c r="T33" s="100">
        <f>VLOOKUP($B$48,Índices!$B$6:$F$500,VLOOKUP(T$23,$L$7:$M$9,2,FALSE)+1,FALSE)/VLOOKUP(DATE(YEAR($B33),MONTH($B33)-1,1),Índices!$B$6:$F$500,VLOOKUP(T$23,$L$7:$M$9,2,FALSE)+1,FALSE)*S33</f>
        <v>0</v>
      </c>
      <c r="U33" s="861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9"/>
      <c r="B34" s="271">
        <f t="shared" si="2"/>
        <v>44287</v>
      </c>
      <c r="C34" s="297">
        <f>CAPA!C63</f>
        <v>0</v>
      </c>
      <c r="D34" s="226">
        <f>VLOOKUP($B$48,Índices!$B$6:$F$500,VLOOKUP(D$23,$L$7:$M$9,2,FALSE)+1,FALSE)/VLOOKUP(DATE(YEAR($B34),MONTH($B34)-1,1),Índices!$B$6:$F$500,VLOOKUP(D$23,$L$7:$M$9,2,FALSE)+1,FALSE)*C34</f>
        <v>0</v>
      </c>
      <c r="E34" s="225"/>
      <c r="F34" s="226"/>
      <c r="G34" s="225">
        <f>CAPA!E63</f>
        <v>0</v>
      </c>
      <c r="H34" s="226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5"/>
      <c r="L34" s="226">
        <f>VLOOKUP($B$48,Índices!$B$6:$F$500,VLOOKUP(L$23,$L$7:$M$9,2,FALSE)+1,FALSE)/VLOOKUP(DATE(YEAR($B34),MONTH($B34)-1,1),Índices!$B$6:$F$500,VLOOKUP(L$23,$L$7:$M$9,2,FALSE)+1,FALSE)*K34</f>
        <v>0</v>
      </c>
      <c r="M34" s="415"/>
      <c r="N34" s="100">
        <f>VLOOKUP($B$48,Índices!$B$6:$F$500,VLOOKUP(N$23,$L$7:$M$9,2,FALSE)+1,FALSE)/VLOOKUP(DATE(YEAR($B34),MONTH($B34)-1,1),Índices!$B$6:$F$500,VLOOKUP(N$23,$L$7:$M$9,2,FALSE)+1,FALSE)*M34</f>
        <v>0</v>
      </c>
      <c r="O34" s="415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5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5"/>
      <c r="T34" s="100">
        <f>VLOOKUP($B$48,Índices!$B$6:$F$500,VLOOKUP(T$23,$L$7:$M$9,2,FALSE)+1,FALSE)/VLOOKUP(DATE(YEAR($B34),MONTH($B34)-1,1),Índices!$B$6:$F$500,VLOOKUP(T$23,$L$7:$M$9,2,FALSE)+1,FALSE)*S34</f>
        <v>0</v>
      </c>
      <c r="U34" s="861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9"/>
      <c r="B35" s="271">
        <f t="shared" si="2"/>
        <v>44317</v>
      </c>
      <c r="C35" s="297">
        <f>CAPA!C64</f>
        <v>0</v>
      </c>
      <c r="D35" s="226">
        <f>VLOOKUP($B$48,Índices!$B$6:$F$500,VLOOKUP(D$23,$L$7:$M$9,2,FALSE)+1,FALSE)/VLOOKUP(DATE(YEAR($B35),MONTH($B35)-1,1),Índices!$B$6:$F$500,VLOOKUP(D$23,$L$7:$M$9,2,FALSE)+1,FALSE)*C35</f>
        <v>0</v>
      </c>
      <c r="E35" s="225"/>
      <c r="F35" s="226"/>
      <c r="G35" s="225">
        <f>CAPA!E64</f>
        <v>0</v>
      </c>
      <c r="H35" s="226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5">
        <f>CAPA!H64</f>
        <v>0</v>
      </c>
      <c r="L35" s="226">
        <f>VLOOKUP($B$48,Índices!$B$6:$F$500,VLOOKUP(L$23,$L$7:$M$9,2,FALSE)+1,FALSE)/VLOOKUP(DATE(YEAR($B35),MONTH($B35)-1,1),Índices!$B$6:$F$500,VLOOKUP(L$23,$L$7:$M$9,2,FALSE)+1,FALSE)*K35</f>
        <v>0</v>
      </c>
      <c r="M35" s="415"/>
      <c r="N35" s="100">
        <f>VLOOKUP($B$48,Índices!$B$6:$F$500,VLOOKUP(N$23,$L$7:$M$9,2,FALSE)+1,FALSE)/VLOOKUP(DATE(YEAR($B35),MONTH($B35)-1,1),Índices!$B$6:$F$500,VLOOKUP(N$23,$L$7:$M$9,2,FALSE)+1,FALSE)*M35</f>
        <v>0</v>
      </c>
      <c r="O35" s="415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5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5"/>
      <c r="T35" s="100">
        <f>VLOOKUP($B$48,Índices!$B$6:$F$500,VLOOKUP(T$23,$L$7:$M$9,2,FALSE)+1,FALSE)/VLOOKUP(DATE(YEAR($B35),MONTH($B35)-1,1),Índices!$B$6:$F$500,VLOOKUP(T$23,$L$7:$M$9,2,FALSE)+1,FALSE)*S35</f>
        <v>0</v>
      </c>
      <c r="U35" s="861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9"/>
      <c r="B36" s="271">
        <f t="shared" si="2"/>
        <v>44348</v>
      </c>
      <c r="C36" s="297">
        <f>CAPA!C65</f>
        <v>198044.03999999998</v>
      </c>
      <c r="D36" s="226">
        <f>VLOOKUP($B$48,Índices!$B$6:$F$500,VLOOKUP(D$23,$L$7:$M$9,2,FALSE)+1,FALSE)/VLOOKUP(DATE(YEAR($B36),MONTH($B36)-1,1),Índices!$B$6:$F$500,VLOOKUP(D$23,$L$7:$M$9,2,FALSE)+1,FALSE)*C36</f>
        <v>222759.6916199151</v>
      </c>
      <c r="E36" s="225"/>
      <c r="F36" s="226"/>
      <c r="G36" s="225">
        <f>CAPA!E65</f>
        <v>-36.03</v>
      </c>
      <c r="H36" s="226">
        <f>VLOOKUP($B$48,Índices!$B$6:$F$500,VLOOKUP(H$23,$L$7:$M$9,2,FALSE)+1,FALSE)/VLOOKUP(DATE(YEAR($B36),MONTH($B36)-1,1),Índices!$B$6:$F$500,VLOOKUP(H$23,$L$7:$M$9,2,FALSE)+1,FALSE)*G36</f>
        <v>-40.526499505188553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5">
        <f>CAPA!H65</f>
        <v>0</v>
      </c>
      <c r="L36" s="226">
        <f>VLOOKUP($B$48,Índices!$B$6:$F$500,VLOOKUP(L$23,$L$7:$M$9,2,FALSE)+1,FALSE)/VLOOKUP(DATE(YEAR($B36),MONTH($B36)-1,1),Índices!$B$6:$F$500,VLOOKUP(L$23,$L$7:$M$9,2,FALSE)+1,FALSE)*K36</f>
        <v>0</v>
      </c>
      <c r="M36" s="415"/>
      <c r="N36" s="100">
        <f>VLOOKUP($B$48,Índices!$B$6:$F$500,VLOOKUP(N$23,$L$7:$M$9,2,FALSE)+1,FALSE)/VLOOKUP(DATE(YEAR($B36),MONTH($B36)-1,1),Índices!$B$6:$F$500,VLOOKUP(N$23,$L$7:$M$9,2,FALSE)+1,FALSE)*M36</f>
        <v>0</v>
      </c>
      <c r="O36" s="415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5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5"/>
      <c r="T36" s="100">
        <f>VLOOKUP($B$48,Índices!$B$6:$F$500,VLOOKUP(T$23,$L$7:$M$9,2,FALSE)+1,FALSE)/VLOOKUP(DATE(YEAR($B36),MONTH($B36)-1,1),Índices!$B$6:$F$500,VLOOKUP(T$23,$L$7:$M$9,2,FALSE)+1,FALSE)*S36</f>
        <v>0</v>
      </c>
      <c r="U36" s="861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63" customFormat="1" ht="14.25">
      <c r="A37" s="857"/>
      <c r="B37" s="858">
        <f t="shared" si="2"/>
        <v>44378</v>
      </c>
      <c r="C37" s="859">
        <f>CAPA!C66</f>
        <v>224556.9</v>
      </c>
      <c r="D37" s="860">
        <f>VLOOKUP($B$48,Índices!$B$6:$F$500,VLOOKUP(D$23,$L$7:$M$9,2,FALSE)+1,FALSE)/VLOOKUP(DATE(YEAR($B37),MONTH($B37)-1,1),Índices!$B$6:$F$500,VLOOKUP(D$23,$L$7:$M$9,2,FALSE)+1,FALSE)*C37</f>
        <v>251249.6859373863</v>
      </c>
      <c r="E37" s="861"/>
      <c r="F37" s="860">
        <f>VLOOKUP($B$48,Índices!$B$6:$F$500,VLOOKUP(F$23,$L$7:$M$9,2,FALSE)+1,FALSE)/VLOOKUP(DATE(YEAR($B37),MONTH($B37)-1,1),Índices!$B$6:$F$500,VLOOKUP(H$23,$L$7:$M$9,2,FALSE)+1,FALSE)*E37</f>
        <v>0</v>
      </c>
      <c r="G37" s="861">
        <f>CAPA!E66</f>
        <v>-10021.94</v>
      </c>
      <c r="H37" s="860">
        <f>VLOOKUP($B$48,Índices!$B$6:$F$500,VLOOKUP(H$23,$L$7:$M$9,2,FALSE)+1,FALSE)/VLOOKUP(DATE(YEAR($B37),MONTH($B37)-1,1),Índices!$B$6:$F$500,VLOOKUP(H$23,$L$7:$M$9,2,FALSE)+1,FALSE)*G37</f>
        <v>-11213.234941715571</v>
      </c>
      <c r="I37" s="862">
        <f>IFERROR(HLOOKUP(B37,'Rede Básica + Ajuste'!$E$70:$P$71,2,FALSE),0)</f>
        <v>0</v>
      </c>
      <c r="J37" s="862">
        <f>VLOOKUP($B$48,Índices!$B$6:$F$500,VLOOKUP(J$23,$L$7:$M$9,2,FALSE)+1,FALSE)/VLOOKUP(DATE(YEAR($B37),MONTH($B37)-1,1),Índices!$B$6:$F$500,VLOOKUP(J$23,$L$7:$M$9,2,FALSE)+1,FALSE)*I37</f>
        <v>0</v>
      </c>
      <c r="K37" s="861">
        <f>CAPA!H66</f>
        <v>0</v>
      </c>
      <c r="L37" s="860">
        <f>VLOOKUP($B$48,Índices!$B$6:$F$500,VLOOKUP(L$23,$L$7:$M$9,2,FALSE)+1,FALSE)/VLOOKUP(DATE(YEAR($B37),MONTH($B37)-1,1),Índices!$B$6:$F$500,VLOOKUP(L$23,$L$7:$M$9,2,FALSE)+1,FALSE)*K37</f>
        <v>0</v>
      </c>
      <c r="M37" s="861">
        <f>-CVE!$I$14/12</f>
        <v>-164237.63351074248</v>
      </c>
      <c r="N37" s="860">
        <f>VLOOKUP($B$48,Índices!$B$6:$F$500,VLOOKUP(N$23,$L$7:$M$9,2,FALSE)+1,FALSE)/VLOOKUP(DATE(YEAR($B37),MONTH($B37)-1,1),Índices!$B$6:$F$500,VLOOKUP(N$23,$L$7:$M$9,2,FALSE)+1,FALSE)*M37</f>
        <v>-178511.6793895209</v>
      </c>
      <c r="O37" s="415">
        <f>CAPA!G66</f>
        <v>0</v>
      </c>
      <c r="P37" s="860">
        <f>VLOOKUP($B$48,Índices!$B$6:$F$500,VLOOKUP(P$23,$L$7:$M$9,2,FALSE)+1,FALSE)/VLOOKUP(DATE(YEAR($B37),MONTH($B37)-1,1),Índices!$B$6:$F$500,VLOOKUP(P$23,$L$7:$M$9,2,FALSE)+1,FALSE)*O37</f>
        <v>0</v>
      </c>
      <c r="Q37" s="861">
        <f>CAPA!D66</f>
        <v>0</v>
      </c>
      <c r="R37" s="860">
        <f>VLOOKUP($B$48,Índices!$B$6:$F$500,VLOOKUP(R$23,$L$7:$M$9,2,FALSE)+1,FALSE)/VLOOKUP(DATE(YEAR($B37),MONTH($B37)-1,1),Índices!$B$6:$F$500,VLOOKUP(R$23,$L$7:$M$9,2,FALSE)+1,FALSE)*Q37</f>
        <v>0</v>
      </c>
      <c r="S37" s="861">
        <f>ICMS!$B$9/12</f>
        <v>0</v>
      </c>
      <c r="T37" s="860">
        <f>VLOOKUP($B$48,Índices!$B$6:$F$500,VLOOKUP(T$23,$L$7:$M$9,2,FALSE)+1,FALSE)/VLOOKUP(DATE(YEAR($B37),MONTH($B37)-1,1),Índices!$B$6:$F$500,VLOOKUP(T$23,$L$7:$M$9,2,FALSE)+1,FALSE)*S37</f>
        <v>0</v>
      </c>
      <c r="U37" s="861">
        <f>ICMS!$B$8/12</f>
        <v>0</v>
      </c>
      <c r="V37" s="860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9"/>
      <c r="B38" s="271">
        <f t="shared" si="2"/>
        <v>44409</v>
      </c>
      <c r="C38" s="297">
        <f>CAPA!C67</f>
        <v>79404.930000000008</v>
      </c>
      <c r="D38" s="226">
        <f>VLOOKUP($B$48,Índices!$B$6:$F$500,VLOOKUP(D$23,$L$7:$M$9,2,FALSE)+1,FALSE)/VLOOKUP(DATE(YEAR($B38),MONTH($B38)-1,1),Índices!$B$6:$F$500,VLOOKUP(D$23,$L$7:$M$9,2,FALSE)+1,FALSE)*C38</f>
        <v>87998.928366867694</v>
      </c>
      <c r="E38" s="225"/>
      <c r="F38" s="226">
        <f>VLOOKUP($B$48,Índices!$B$6:$F$500,VLOOKUP(F$23,$L$7:$M$9,2,FALSE)+1,FALSE)/VLOOKUP(DATE(YEAR($B38),MONTH($B38)-1,1),Índices!$B$6:$F$500,VLOOKUP(H$23,$L$7:$M$9,2,FALSE)+1,FALSE)*E38</f>
        <v>0</v>
      </c>
      <c r="G38" s="225">
        <f>CAPA!E67</f>
        <v>-1044.79</v>
      </c>
      <c r="H38" s="226">
        <f>VLOOKUP($B$48,Índices!$B$6:$F$500,VLOOKUP(H$23,$L$7:$M$9,2,FALSE)+1,FALSE)/VLOOKUP(DATE(YEAR($B38),MONTH($B38)-1,1),Índices!$B$6:$F$500,VLOOKUP(H$23,$L$7:$M$9,2,FALSE)+1,FALSE)*G38</f>
        <v>-1157.8676584491629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5">
        <f>CAPA!H67</f>
        <v>0</v>
      </c>
      <c r="L38" s="226">
        <f>VLOOKUP($B$48,Índices!$B$6:$F$500,VLOOKUP(L$23,$L$7:$M$9,2,FALSE)+1,FALSE)/VLOOKUP(DATE(YEAR($B38),MONTH($B38)-1,1),Índices!$B$6:$F$500,VLOOKUP(L$23,$L$7:$M$9,2,FALSE)+1,FALSE)*K38</f>
        <v>0</v>
      </c>
      <c r="M38" s="861">
        <f>-CVE!$I$14/12</f>
        <v>-164237.63351074248</v>
      </c>
      <c r="N38" s="100">
        <f>VLOOKUP($B$48,Índices!$B$6:$F$500,VLOOKUP(N$23,$L$7:$M$9,2,FALSE)+1,FALSE)/VLOOKUP(DATE(YEAR($B38),MONTH($B38)-1,1),Índices!$B$6:$F$500,VLOOKUP(N$23,$L$7:$M$9,2,FALSE)+1,FALSE)*M38</f>
        <v>-177879.11248819591</v>
      </c>
      <c r="O38" s="415">
        <f>CAPA!G67</f>
        <v>0</v>
      </c>
      <c r="P38" s="100">
        <f>VLOOKUP($B$48,Índices!$B$6:$F$500,VLOOKUP(P$23,$L$7:$M$9,2,FALSE)+1,FALSE)/VLOOKUP(DATE(YEAR($B38),MONTH($B38)-1,1),Índices!$B$6:$F$500,VLOOKUP(P$23,$L$7:$M$9,2,FALSE)+1,FALSE)*O38</f>
        <v>0</v>
      </c>
      <c r="Q38" s="225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61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61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9"/>
      <c r="B39" s="271">
        <f t="shared" si="2"/>
        <v>44440</v>
      </c>
      <c r="C39" s="297">
        <f>CAPA!C68</f>
        <v>76250.77</v>
      </c>
      <c r="D39" s="226">
        <f>VLOOKUP($B$48,Índices!$B$6:$F$500,VLOOKUP(D$23,$L$7:$M$9,2,FALSE)+1,FALSE)/VLOOKUP(DATE(YEAR($B39),MONTH($B39)-1,1),Índices!$B$6:$F$500,VLOOKUP(D$23,$L$7:$M$9,2,FALSE)+1,FALSE)*C39</f>
        <v>83774.565142314998</v>
      </c>
      <c r="E39" s="225"/>
      <c r="F39" s="226">
        <f>VLOOKUP($B$48,Índices!$B$6:$F$500,VLOOKUP(F$23,$L$7:$M$9,2,FALSE)+1,FALSE)/VLOOKUP(DATE(YEAR($B39),MONTH($B39)-1,1),Índices!$B$6:$F$500,VLOOKUP(H$23,$L$7:$M$9,2,FALSE)+1,FALSE)*E39</f>
        <v>0</v>
      </c>
      <c r="G39" s="225">
        <f>CAPA!E68</f>
        <v>-0.02</v>
      </c>
      <c r="H39" s="226">
        <f>VLOOKUP($B$48,Índices!$B$6:$F$500,VLOOKUP(H$23,$L$7:$M$9,2,FALSE)+1,FALSE)/VLOOKUP(DATE(YEAR($B39),MONTH($B39)-1,1),Índices!$B$6:$F$500,VLOOKUP(H$23,$L$7:$M$9,2,FALSE)+1,FALSE)*G39</f>
        <v>-2.1973434535104364E-2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5">
        <f>CAPA!H68</f>
        <v>0</v>
      </c>
      <c r="L39" s="226">
        <f>VLOOKUP($B$48,Índices!$B$6:$F$500,VLOOKUP(L$23,$L$7:$M$9,2,FALSE)+1,FALSE)/VLOOKUP(DATE(YEAR($B39),MONTH($B39)-1,1),Índices!$B$6:$F$500,VLOOKUP(L$23,$L$7:$M$9,2,FALSE)+1,FALSE)*K39</f>
        <v>0</v>
      </c>
      <c r="M39" s="861">
        <f>-CVE!$I$14/12</f>
        <v>-164237.63351074248</v>
      </c>
      <c r="N39" s="100">
        <f>VLOOKUP($B$48,Índices!$B$6:$F$500,VLOOKUP(N$23,$L$7:$M$9,2,FALSE)+1,FALSE)/VLOOKUP(DATE(YEAR($B39),MONTH($B39)-1,1),Índices!$B$6:$F$500,VLOOKUP(N$23,$L$7:$M$9,2,FALSE)+1,FALSE)*M39</f>
        <v>-177121.11827464274</v>
      </c>
      <c r="O39" s="415">
        <f>CAPA!G68</f>
        <v>0</v>
      </c>
      <c r="P39" s="100">
        <f>VLOOKUP($B$48,Índices!$B$6:$F$500,VLOOKUP(P$23,$L$7:$M$9,2,FALSE)+1,FALSE)/VLOOKUP(DATE(YEAR($B39),MONTH($B39)-1,1),Índices!$B$6:$F$500,VLOOKUP(P$23,$L$7:$M$9,2,FALSE)+1,FALSE)*O39</f>
        <v>0</v>
      </c>
      <c r="Q39" s="225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61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61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9"/>
      <c r="B40" s="271">
        <f t="shared" si="2"/>
        <v>44470</v>
      </c>
      <c r="C40" s="297">
        <f>CAPA!C69</f>
        <v>69720.37</v>
      </c>
      <c r="D40" s="226">
        <f>VLOOKUP($B$48,Índices!$B$6:$F$500,VLOOKUP(D$23,$L$7:$M$9,2,FALSE)+1,FALSE)/VLOOKUP(DATE(YEAR($B40),MONTH($B40)-1,1),Índices!$B$6:$F$500,VLOOKUP(D$23,$L$7:$M$9,2,FALSE)+1,FALSE)*C40</f>
        <v>75721.458472109822</v>
      </c>
      <c r="E40" s="225"/>
      <c r="F40" s="226">
        <f>VLOOKUP($B$48,Índices!$B$6:$F$500,VLOOKUP(F$23,$L$7:$M$9,2,FALSE)+1,FALSE)/VLOOKUP(DATE(YEAR($B40),MONTH($B40)-1,1),Índices!$B$6:$F$500,VLOOKUP(H$23,$L$7:$M$9,2,FALSE)+1,FALSE)*E40</f>
        <v>0</v>
      </c>
      <c r="G40" s="225">
        <f>CAPA!E69</f>
        <v>0</v>
      </c>
      <c r="H40" s="226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5">
        <f>CAPA!H69</f>
        <v>0</v>
      </c>
      <c r="L40" s="226">
        <f>VLOOKUP($B$48,Índices!$B$6:$F$500,VLOOKUP(L$23,$L$7:$M$9,2,FALSE)+1,FALSE)/VLOOKUP(DATE(YEAR($B40),MONTH($B40)-1,1),Índices!$B$6:$F$500,VLOOKUP(L$23,$L$7:$M$9,2,FALSE)+1,FALSE)*K40</f>
        <v>0</v>
      </c>
      <c r="M40" s="861">
        <f>-CVE!$I$14/12</f>
        <v>-164237.63351074248</v>
      </c>
      <c r="N40" s="100">
        <f>VLOOKUP($B$48,Índices!$B$6:$F$500,VLOOKUP(N$23,$L$7:$M$9,2,FALSE)+1,FALSE)/VLOOKUP(DATE(YEAR($B40),MONTH($B40)-1,1),Índices!$B$6:$F$500,VLOOKUP(N$23,$L$7:$M$9,2,FALSE)+1,FALSE)*M40</f>
        <v>-176341.68918598833</v>
      </c>
      <c r="O40" s="415">
        <f>CAPA!G69</f>
        <v>0</v>
      </c>
      <c r="P40" s="100">
        <f>VLOOKUP($B$48,Índices!$B$6:$F$500,VLOOKUP(P$23,$L$7:$M$9,2,FALSE)+1,FALSE)/VLOOKUP(DATE(YEAR($B40),MONTH($B40)-1,1),Índices!$B$6:$F$500,VLOOKUP(P$23,$L$7:$M$9,2,FALSE)+1,FALSE)*O40</f>
        <v>0</v>
      </c>
      <c r="Q40" s="225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61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61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9"/>
      <c r="B41" s="271">
        <f t="shared" si="2"/>
        <v>44501</v>
      </c>
      <c r="C41" s="297">
        <f>CAPA!C70</f>
        <v>56822.979999999996</v>
      </c>
      <c r="D41" s="226">
        <f>VLOOKUP($B$48,Índices!$B$6:$F$500,VLOOKUP(D$23,$L$7:$M$9,2,FALSE)+1,FALSE)/VLOOKUP(DATE(YEAR($B41),MONTH($B41)-1,1),Índices!$B$6:$F$500,VLOOKUP(D$23,$L$7:$M$9,2,FALSE)+1,FALSE)*C41</f>
        <v>60952.068773334264</v>
      </c>
      <c r="E41" s="225"/>
      <c r="F41" s="226">
        <f>VLOOKUP($B$48,Índices!$B$6:$F$500,VLOOKUP(F$23,$L$7:$M$9,2,FALSE)+1,FALSE)/VLOOKUP(DATE(YEAR($B41),MONTH($B41)-1,1),Índices!$B$6:$F$500,VLOOKUP(H$23,$L$7:$M$9,2,FALSE)+1,FALSE)*E41</f>
        <v>0</v>
      </c>
      <c r="G41" s="225">
        <f>CAPA!E70</f>
        <v>-3537.77</v>
      </c>
      <c r="H41" s="226">
        <f>VLOOKUP($B$48,Índices!$B$6:$F$500,VLOOKUP(H$23,$L$7:$M$9,2,FALSE)+1,FALSE)/VLOOKUP(DATE(YEAR($B41),MONTH($B41)-1,1),Índices!$B$6:$F$500,VLOOKUP(H$23,$L$7:$M$9,2,FALSE)+1,FALSE)*G41</f>
        <v>-3794.8449789898164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5">
        <f>CAPA!H70</f>
        <v>0</v>
      </c>
      <c r="L41" s="226">
        <f>VLOOKUP($B$48,Índices!$B$6:$F$500,VLOOKUP(L$23,$L$7:$M$9,2,FALSE)+1,FALSE)/VLOOKUP(DATE(YEAR($B41),MONTH($B41)-1,1),Índices!$B$6:$F$500,VLOOKUP(L$23,$L$7:$M$9,2,FALSE)+1,FALSE)*K41</f>
        <v>0</v>
      </c>
      <c r="M41" s="861">
        <f>-CVE!$I$14/12</f>
        <v>-164237.63351074248</v>
      </c>
      <c r="N41" s="100">
        <f>VLOOKUP($B$48,Índices!$B$6:$F$500,VLOOKUP(N$23,$L$7:$M$9,2,FALSE)+1,FALSE)/VLOOKUP(DATE(YEAR($B41),MONTH($B41)-1,1),Índices!$B$6:$F$500,VLOOKUP(N$23,$L$7:$M$9,2,FALSE)+1,FALSE)*M41</f>
        <v>-175488.82035869229</v>
      </c>
      <c r="O41" s="415">
        <f>CAPA!G70</f>
        <v>0</v>
      </c>
      <c r="P41" s="100">
        <f>VLOOKUP($B$48,Índices!$B$6:$F$500,VLOOKUP(P$23,$L$7:$M$9,2,FALSE)+1,FALSE)/VLOOKUP(DATE(YEAR($B41),MONTH($B41)-1,1),Índices!$B$6:$F$500,VLOOKUP(P$23,$L$7:$M$9,2,FALSE)+1,FALSE)*O41</f>
        <v>0</v>
      </c>
      <c r="Q41" s="225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61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61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9"/>
      <c r="B42" s="271">
        <f t="shared" si="2"/>
        <v>44531</v>
      </c>
      <c r="C42" s="297">
        <f>CAPA!C71</f>
        <v>30681.17</v>
      </c>
      <c r="D42" s="226">
        <f>VLOOKUP($B$48,Índices!$B$6:$F$500,VLOOKUP(D$23,$L$7:$M$9,2,FALSE)+1,FALSE)/VLOOKUP(DATE(YEAR($B42),MONTH($B42)-1,1),Índices!$B$6:$F$500,VLOOKUP(D$23,$L$7:$M$9,2,FALSE)+1,FALSE)*C42</f>
        <v>32600.911393520739</v>
      </c>
      <c r="E42" s="225"/>
      <c r="F42" s="226">
        <f>VLOOKUP($B$48,Índices!$B$6:$F$500,VLOOKUP(F$23,$L$7:$M$9,2,FALSE)+1,FALSE)/VLOOKUP(DATE(YEAR($B42),MONTH($B42)-1,1),Índices!$B$6:$F$500,VLOOKUP(H$23,$L$7:$M$9,2,FALSE)+1,FALSE)*E42</f>
        <v>0</v>
      </c>
      <c r="G42" s="225">
        <f>CAPA!E71</f>
        <v>0</v>
      </c>
      <c r="H42" s="226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5">
        <f>CAPA!H71</f>
        <v>0</v>
      </c>
      <c r="L42" s="226">
        <f>VLOOKUP($B$48,Índices!$B$6:$F$500,VLOOKUP(L$23,$L$7:$M$9,2,FALSE)+1,FALSE)/VLOOKUP(DATE(YEAR($B42),MONTH($B42)-1,1),Índices!$B$6:$F$500,VLOOKUP(L$23,$L$7:$M$9,2,FALSE)+1,FALSE)*K42</f>
        <v>0</v>
      </c>
      <c r="M42" s="861">
        <f>-CVE!$I$14/12</f>
        <v>-164237.63351074248</v>
      </c>
      <c r="N42" s="100">
        <f>VLOOKUP($B$48,Índices!$B$6:$F$500,VLOOKUP(N$23,$L$7:$M$9,2,FALSE)+1,FALSE)/VLOOKUP(DATE(YEAR($B42),MONTH($B42)-1,1),Índices!$B$6:$F$500,VLOOKUP(N$23,$L$7:$M$9,2,FALSE)+1,FALSE)*M42</f>
        <v>-174465.14768547568</v>
      </c>
      <c r="O42" s="415">
        <f>CAPA!G71</f>
        <v>0</v>
      </c>
      <c r="P42" s="100">
        <f>VLOOKUP($B$48,Índices!$B$6:$F$500,VLOOKUP(P$23,$L$7:$M$9,2,FALSE)+1,FALSE)/VLOOKUP(DATE(YEAR($B42),MONTH($B42)-1,1),Índices!$B$6:$F$500,VLOOKUP(P$23,$L$7:$M$9,2,FALSE)+1,FALSE)*O42</f>
        <v>0</v>
      </c>
      <c r="Q42" s="225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61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61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9"/>
      <c r="B43" s="271">
        <f t="shared" si="2"/>
        <v>44562</v>
      </c>
      <c r="C43" s="297">
        <f>CAPA!C72</f>
        <v>2441.8900000000003</v>
      </c>
      <c r="D43" s="226">
        <f>VLOOKUP($B$48,Índices!$B$6:$F$500,VLOOKUP(D$23,$L$7:$M$9,2,FALSE)+1,FALSE)/VLOOKUP(DATE(YEAR($B43),MONTH($B43)-1,1),Índices!$B$6:$F$500,VLOOKUP(D$23,$L$7:$M$9,2,FALSE)+1,FALSE)*C43</f>
        <v>2575.8778629714843</v>
      </c>
      <c r="E43" s="225"/>
      <c r="F43" s="226">
        <f>VLOOKUP($B$48,Índices!$B$6:$F$500,VLOOKUP(F$23,$L$7:$M$9,2,FALSE)+1,FALSE)/VLOOKUP(DATE(YEAR($B43),MONTH($B43)-1,1),Índices!$B$6:$F$500,VLOOKUP(H$23,$L$7:$M$9,2,FALSE)+1,FALSE)*E43</f>
        <v>0</v>
      </c>
      <c r="G43" s="225">
        <f>CAPA!E72</f>
        <v>-47761.630000000005</v>
      </c>
      <c r="H43" s="226">
        <f>VLOOKUP($B$48,Índices!$B$6:$F$500,VLOOKUP(H$23,$L$7:$M$9,2,FALSE)+1,FALSE)/VLOOKUP(DATE(YEAR($B43),MONTH($B43)-1,1),Índices!$B$6:$F$500,VLOOKUP(H$23,$L$7:$M$9,2,FALSE)+1,FALSE)*G43</f>
        <v>-50382.337212746977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5">
        <f>CAPA!H72</f>
        <v>0</v>
      </c>
      <c r="L43" s="226">
        <f>VLOOKUP($B$48,Índices!$B$6:$F$500,VLOOKUP(L$23,$L$7:$M$9,2,FALSE)+1,FALSE)/VLOOKUP(DATE(YEAR($B43),MONTH($B43)-1,1),Índices!$B$6:$F$500,VLOOKUP(L$23,$L$7:$M$9,2,FALSE)+1,FALSE)*K43</f>
        <v>0</v>
      </c>
      <c r="M43" s="861">
        <f>-CVE!$I$14/12</f>
        <v>-164237.63351074248</v>
      </c>
      <c r="N43" s="100">
        <f>VLOOKUP($B$48,Índices!$B$6:$F$500,VLOOKUP(N$23,$L$7:$M$9,2,FALSE)+1,FALSE)/VLOOKUP(DATE(YEAR($B43),MONTH($B43)-1,1),Índices!$B$6:$F$500,VLOOKUP(N$23,$L$7:$M$9,2,FALSE)+1,FALSE)*M43</f>
        <v>-173133.60640955987</v>
      </c>
      <c r="O43" s="415">
        <f>CAPA!G72</f>
        <v>0</v>
      </c>
      <c r="P43" s="100">
        <f>VLOOKUP($B$48,Índices!$B$6:$F$500,VLOOKUP(P$23,$L$7:$M$9,2,FALSE)+1,FALSE)/VLOOKUP(DATE(YEAR($B43),MONTH($B43)-1,1),Índices!$B$6:$F$500,VLOOKUP(P$23,$L$7:$M$9,2,FALSE)+1,FALSE)*O43</f>
        <v>0</v>
      </c>
      <c r="Q43" s="225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61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61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9"/>
      <c r="B44" s="271">
        <f t="shared" si="2"/>
        <v>44593</v>
      </c>
      <c r="C44" s="297">
        <f>CAPA!C73</f>
        <v>15072.04</v>
      </c>
      <c r="D44" s="226">
        <f>VLOOKUP($B$48,Índices!$B$6:$F$500,VLOOKUP(D$23,$L$7:$M$9,2,FALSE)+1,FALSE)/VLOOKUP(DATE(YEAR($B44),MONTH($B44)-1,1),Índices!$B$6:$F$500,VLOOKUP(D$23,$L$7:$M$9,2,FALSE)+1,FALSE)*C44</f>
        <v>15813.652885623322</v>
      </c>
      <c r="E44" s="225"/>
      <c r="F44" s="226">
        <f>VLOOKUP($B$48,Índices!$B$6:$F$500,VLOOKUP(F$23,$L$7:$M$9,2,FALSE)+1,FALSE)/VLOOKUP(DATE(YEAR($B44),MONTH($B44)-1,1),Índices!$B$6:$F$500,VLOOKUP(H$23,$L$7:$M$9,2,FALSE)+1,FALSE)*E44</f>
        <v>0</v>
      </c>
      <c r="G44" s="225">
        <f>CAPA!E73</f>
        <v>-107897.97</v>
      </c>
      <c r="H44" s="226">
        <f>VLOOKUP($B$48,Índices!$B$6:$F$500,VLOOKUP(H$23,$L$7:$M$9,2,FALSE)+1,FALSE)/VLOOKUP(DATE(YEAR($B44),MONTH($B44)-1,1),Índices!$B$6:$F$500,VLOOKUP(H$23,$L$7:$M$9,2,FALSE)+1,FALSE)*G44</f>
        <v>-113207.04062909856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5">
        <f>CAPA!H73</f>
        <v>0</v>
      </c>
      <c r="L44" s="226">
        <f>VLOOKUP($B$48,Índices!$B$6:$F$500,VLOOKUP(L$23,$L$7:$M$9,2,FALSE)+1,FALSE)/VLOOKUP(DATE(YEAR($B44),MONTH($B44)-1,1),Índices!$B$6:$F$500,VLOOKUP(L$23,$L$7:$M$9,2,FALSE)+1,FALSE)*K44</f>
        <v>0</v>
      </c>
      <c r="M44" s="861">
        <f>-CVE!$I$14/12</f>
        <v>-164237.63351074248</v>
      </c>
      <c r="N44" s="100">
        <f>VLOOKUP($B$48,Índices!$B$6:$F$500,VLOOKUP(N$23,$L$7:$M$9,2,FALSE)+1,FALSE)/VLOOKUP(DATE(YEAR($B44),MONTH($B44)-1,1),Índices!$B$6:$F$500,VLOOKUP(N$23,$L$7:$M$9,2,FALSE)+1,FALSE)*M44</f>
        <v>-171875.01666708995</v>
      </c>
      <c r="O44" s="415">
        <f>CAPA!G73</f>
        <v>0</v>
      </c>
      <c r="P44" s="100">
        <f>VLOOKUP($B$48,Índices!$B$6:$F$500,VLOOKUP(P$23,$L$7:$M$9,2,FALSE)+1,FALSE)/VLOOKUP(DATE(YEAR($B44),MONTH($B44)-1,1),Índices!$B$6:$F$500,VLOOKUP(P$23,$L$7:$M$9,2,FALSE)+1,FALSE)*O44</f>
        <v>0</v>
      </c>
      <c r="Q44" s="225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61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61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9"/>
      <c r="B45" s="271">
        <f t="shared" si="2"/>
        <v>44621</v>
      </c>
      <c r="C45" s="297">
        <f>CAPA!C74</f>
        <v>67326.45</v>
      </c>
      <c r="D45" s="226">
        <f>VLOOKUP($B$48,Índices!$B$6:$F$500,VLOOKUP(D$23,$L$7:$M$9,2,FALSE)+1,FALSE)/VLOOKUP(DATE(YEAR($B45),MONTH($B45)-1,1),Índices!$B$6:$F$500,VLOOKUP(D$23,$L$7:$M$9,2,FALSE)+1,FALSE)*C45</f>
        <v>69932.852509718054</v>
      </c>
      <c r="E45" s="225"/>
      <c r="F45" s="226">
        <f>VLOOKUP($B$48,Índices!$B$6:$F$500,VLOOKUP(F$23,$L$7:$M$9,2,FALSE)+1,FALSE)/VLOOKUP(DATE(YEAR($B45),MONTH($B45)-1,1),Índices!$B$6:$F$500,VLOOKUP(H$23,$L$7:$M$9,2,FALSE)+1,FALSE)*E45</f>
        <v>0</v>
      </c>
      <c r="G45" s="225">
        <f>CAPA!E74</f>
        <v>-31670.19</v>
      </c>
      <c r="H45" s="226">
        <f>VLOOKUP($B$48,Índices!$B$6:$F$500,VLOOKUP(H$23,$L$7:$M$9,2,FALSE)+1,FALSE)/VLOOKUP(DATE(YEAR($B45),MONTH($B45)-1,1),Índices!$B$6:$F$500,VLOOKUP(H$23,$L$7:$M$9,2,FALSE)+1,FALSE)*G45</f>
        <v>-32896.235078854559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5">
        <f>CAPA!H74</f>
        <v>0</v>
      </c>
      <c r="L45" s="226">
        <f>VLOOKUP($B$48,Índices!$B$6:$F$500,VLOOKUP(L$23,$L$7:$M$9,2,FALSE)+1,FALSE)/VLOOKUP(DATE(YEAR($B45),MONTH($B45)-1,1),Índices!$B$6:$F$500,VLOOKUP(L$23,$L$7:$M$9,2,FALSE)+1,FALSE)*K45</f>
        <v>0</v>
      </c>
      <c r="M45" s="861">
        <f>-CVE!$I$14/12</f>
        <v>-164237.63351074248</v>
      </c>
      <c r="N45" s="100">
        <f>VLOOKUP($B$48,Índices!$B$6:$F$500,VLOOKUP(N$23,$L$7:$M$9,2,FALSE)+1,FALSE)/VLOOKUP(DATE(YEAR($B45),MONTH($B45)-1,1),Índices!$B$6:$F$500,VLOOKUP(N$23,$L$7:$M$9,2,FALSE)+1,FALSE)*M45</f>
        <v>-170587.01478688294</v>
      </c>
      <c r="O45" s="415">
        <f>CAPA!G74</f>
        <v>0</v>
      </c>
      <c r="P45" s="100">
        <f>VLOOKUP($B$48,Índices!$B$6:$F$500,VLOOKUP(P$23,$L$7:$M$9,2,FALSE)+1,FALSE)/VLOOKUP(DATE(YEAR($B45),MONTH($B45)-1,1),Índices!$B$6:$F$500,VLOOKUP(P$23,$L$7:$M$9,2,FALSE)+1,FALSE)*O45</f>
        <v>0</v>
      </c>
      <c r="Q45" s="225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61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61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9"/>
      <c r="B46" s="271">
        <f t="shared" si="2"/>
        <v>44652</v>
      </c>
      <c r="C46" s="297">
        <f>CAPA!C75</f>
        <v>52625.59</v>
      </c>
      <c r="D46" s="226">
        <f>VLOOKUP($B$48,Índices!$B$6:$F$500,VLOOKUP(D$23,$L$7:$M$9,2,FALSE)+1,FALSE)/VLOOKUP(DATE(YEAR($B46),MONTH($B46)-1,1),Índices!$B$6:$F$500,VLOOKUP(D$23,$L$7:$M$9,2,FALSE)+1,FALSE)*C46</f>
        <v>53791.431380889269</v>
      </c>
      <c r="E46" s="225"/>
      <c r="F46" s="226">
        <f>VLOOKUP($B$48,Índices!$B$6:$F$500,VLOOKUP(F$23,$L$7:$M$9,2,FALSE)+1,FALSE)/VLOOKUP(DATE(YEAR($B46),MONTH($B46)-1,1),Índices!$B$6:$F$500,VLOOKUP(H$23,$L$7:$M$9,2,FALSE)+1,FALSE)*E46</f>
        <v>0</v>
      </c>
      <c r="G46" s="225">
        <f>CAPA!E75</f>
        <v>-8116.6900000000005</v>
      </c>
      <c r="H46" s="226">
        <f>VLOOKUP($B$48,Índices!$B$6:$F$500,VLOOKUP(H$23,$L$7:$M$9,2,FALSE)+1,FALSE)/VLOOKUP(DATE(YEAR($B46),MONTH($B46)-1,1),Índices!$B$6:$F$500,VLOOKUP(H$23,$L$7:$M$9,2,FALSE)+1,FALSE)*G46</f>
        <v>-8296.5031494174254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5">
        <f>CAPA!H75</f>
        <v>0</v>
      </c>
      <c r="L46" s="226">
        <f>VLOOKUP($B$48,Índices!$B$6:$F$500,VLOOKUP(L$23,$L$7:$M$9,2,FALSE)+1,FALSE)/VLOOKUP(DATE(YEAR($B46),MONTH($B46)-1,1),Índices!$B$6:$F$500,VLOOKUP(L$23,$L$7:$M$9,2,FALSE)+1,FALSE)*K46</f>
        <v>0</v>
      </c>
      <c r="M46" s="861">
        <f>-CVE!$I$14/12</f>
        <v>-164237.63351074248</v>
      </c>
      <c r="N46" s="100">
        <f>VLOOKUP($B$48,Índices!$B$6:$F$500,VLOOKUP(N$23,$L$7:$M$9,2,FALSE)+1,FALSE)/VLOOKUP(DATE(YEAR($B46),MONTH($B46)-1,1),Índices!$B$6:$F$500,VLOOKUP(N$23,$L$7:$M$9,2,FALSE)+1,FALSE)*M46</f>
        <v>-169020.10735260448</v>
      </c>
      <c r="O46" s="415">
        <f>CAPA!G75</f>
        <v>0</v>
      </c>
      <c r="P46" s="100">
        <f>VLOOKUP($B$48,Índices!$B$6:$F$500,VLOOKUP(P$23,$L$7:$M$9,2,FALSE)+1,FALSE)/VLOOKUP(DATE(YEAR($B46),MONTH($B46)-1,1),Índices!$B$6:$F$500,VLOOKUP(P$23,$L$7:$M$9,2,FALSE)+1,FALSE)*O46</f>
        <v>0</v>
      </c>
      <c r="Q46" s="225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61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61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9"/>
      <c r="B47" s="271">
        <f t="shared" si="2"/>
        <v>44682</v>
      </c>
      <c r="C47" s="297">
        <f>CAPA!C76</f>
        <v>52517.57</v>
      </c>
      <c r="D47" s="226">
        <f>VLOOKUP($B$48,Índices!$B$6:$F$500,VLOOKUP(D$23,$L$7:$M$9,2,FALSE)+1,FALSE)/VLOOKUP(DATE(YEAR($B47),MONTH($B47)-1,1),Índices!$B$6:$F$500,VLOOKUP(D$23,$L$7:$M$9,2,FALSE)+1,FALSE)*C47</f>
        <v>53117.958395661517</v>
      </c>
      <c r="E47" s="225"/>
      <c r="F47" s="226">
        <f>VLOOKUP($B$48,Índices!$B$6:$F$500,VLOOKUP(F$23,$L$7:$M$9,2,FALSE)+1,FALSE)/VLOOKUP(DATE(YEAR($B47),MONTH($B47)-1,1),Índices!$B$6:$F$500,VLOOKUP(H$23,$L$7:$M$9,2,FALSE)+1,FALSE)*E47</f>
        <v>0</v>
      </c>
      <c r="G47" s="225">
        <f>CAPA!E76</f>
        <v>-19069.22</v>
      </c>
      <c r="H47" s="226">
        <f>VLOOKUP($B$48,Índices!$B$6:$F$500,VLOOKUP(H$23,$L$7:$M$9,2,FALSE)+1,FALSE)/VLOOKUP(DATE(YEAR($B47),MONTH($B47)-1,1),Índices!$B$6:$F$500,VLOOKUP(H$23,$L$7:$M$9,2,FALSE)+1,FALSE)*G47</f>
        <v>-19287.222059164516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5">
        <f>CAPA!H76</f>
        <v>0</v>
      </c>
      <c r="L47" s="226">
        <f>VLOOKUP($B$48,Índices!$B$6:$F$500,VLOOKUP(L$23,$L$7:$M$9,2,FALSE)+1,FALSE)/VLOOKUP(DATE(YEAR($B47),MONTH($B47)-1,1),Índices!$B$6:$F$500,VLOOKUP(L$23,$L$7:$M$9,2,FALSE)+1,FALSE)*K47</f>
        <v>0</v>
      </c>
      <c r="M47" s="861">
        <f>-CVE!$I$14/12</f>
        <v>-164237.63351074248</v>
      </c>
      <c r="N47" s="100">
        <f>VLOOKUP($B$48,Índices!$B$6:$F$500,VLOOKUP(N$23,$L$7:$M$9,2,FALSE)+1,FALSE)/VLOOKUP(DATE(YEAR($B47),MONTH($B47)-1,1),Índices!$B$6:$F$500,VLOOKUP(N$23,$L$7:$M$9,2,FALSE)+1,FALSE)*M47</f>
        <v>-167621.60589245238</v>
      </c>
      <c r="O47" s="415">
        <f>CAPA!G76</f>
        <v>0</v>
      </c>
      <c r="P47" s="100">
        <f>VLOOKUP($B$48,Índices!$B$6:$F$500,VLOOKUP(P$23,$L$7:$M$9,2,FALSE)+1,FALSE)/VLOOKUP(DATE(YEAR($B47),MONTH($B47)-1,1),Índices!$B$6:$F$500,VLOOKUP(P$23,$L$7:$M$9,2,FALSE)+1,FALSE)*O47</f>
        <v>0</v>
      </c>
      <c r="Q47" s="225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61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61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9"/>
      <c r="B48" s="1445">
        <f>DATE(YEAR(CAPA!$C$15),MONTH(CAPA!$C$15)-1,1)</f>
        <v>44713</v>
      </c>
      <c r="C48" s="297">
        <f>CAPA!C77</f>
        <v>0</v>
      </c>
      <c r="D48" s="226">
        <f>VLOOKUP($B$48,Índices!$B$6:$F$500,VLOOKUP(D$23,$L$7:$M$9,2,FALSE)+1,FALSE)/VLOOKUP(DATE(YEAR($B48),MONTH($B48)-1,1),Índices!$B$6:$F$500,VLOOKUP(D$23,$L$7:$M$9,2,FALSE)+1,FALSE)*C48</f>
        <v>0</v>
      </c>
      <c r="E48" s="225"/>
      <c r="F48" s="226">
        <f>VLOOKUP($B$48,Índices!$B$6:$F$500,VLOOKUP(F$23,$L$7:$M$9,2,FALSE)+1,FALSE)/VLOOKUP(DATE(YEAR($B48),MONTH($B48)-1,1),Índices!$B$6:$F$500,VLOOKUP(H$23,$L$7:$M$9,2,FALSE)+1,FALSE)*E48</f>
        <v>0</v>
      </c>
      <c r="G48" s="225">
        <f>CAPA!E77</f>
        <v>0</v>
      </c>
      <c r="H48" s="226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5">
        <f>CAPA!H77</f>
        <v>0</v>
      </c>
      <c r="L48" s="226">
        <f>VLOOKUP($B$48,Índices!$B$6:$F$500,VLOOKUP(L$23,$L$7:$M$9,2,FALSE)+1,FALSE)/VLOOKUP(DATE(YEAR($B48),MONTH($B48)-1,1),Índices!$B$6:$F$500,VLOOKUP(L$23,$L$7:$M$9,2,FALSE)+1,FALSE)*K48</f>
        <v>0</v>
      </c>
      <c r="M48" s="861">
        <f>-CVE!$I$14/12</f>
        <v>-164237.63351074248</v>
      </c>
      <c r="N48" s="100">
        <f>VLOOKUP($B$48,Índices!$B$6:$F$500,VLOOKUP(N$23,$L$7:$M$9,2,FALSE)+1,FALSE)/VLOOKUP(DATE(YEAR($B48),MONTH($B48)-1,1),Índices!$B$6:$F$500,VLOOKUP(N$23,$L$7:$M$9,2,FALSE)+1,FALSE)*M48</f>
        <v>-165905.16383952572</v>
      </c>
      <c r="O48" s="415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5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61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61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446">
        <f t="shared" ref="C49:P49" si="3">SUM(C25:C48)</f>
        <v>925464.69999999984</v>
      </c>
      <c r="D49" s="1447">
        <f t="shared" si="3"/>
        <v>1010289.0827403127</v>
      </c>
      <c r="E49" s="1446">
        <f t="shared" si="3"/>
        <v>0</v>
      </c>
      <c r="F49" s="1447">
        <f t="shared" si="3"/>
        <v>0</v>
      </c>
      <c r="G49" s="1446">
        <f t="shared" si="3"/>
        <v>-229156.25000000003</v>
      </c>
      <c r="H49" s="1447">
        <f t="shared" si="3"/>
        <v>-240275.83418137633</v>
      </c>
      <c r="I49" s="1448">
        <f>SUM(I24:I48)</f>
        <v>0</v>
      </c>
      <c r="J49" s="1448">
        <f>SUM(J24:J48)</f>
        <v>0</v>
      </c>
      <c r="K49" s="1449">
        <f t="shared" si="3"/>
        <v>0</v>
      </c>
      <c r="L49" s="1450">
        <f t="shared" si="3"/>
        <v>0</v>
      </c>
      <c r="M49" s="1451">
        <f t="shared" si="3"/>
        <v>-1970851.6021289101</v>
      </c>
      <c r="N49" s="1452">
        <f t="shared" si="3"/>
        <v>-2077950.0823306313</v>
      </c>
      <c r="O49" s="1451">
        <f t="shared" si="3"/>
        <v>0</v>
      </c>
      <c r="P49" s="1452">
        <f t="shared" si="3"/>
        <v>0</v>
      </c>
      <c r="Q49" s="1451">
        <f t="shared" ref="Q49:R49" si="4">SUM(Q25:Q48)</f>
        <v>0</v>
      </c>
      <c r="R49" s="1452">
        <f t="shared" si="4"/>
        <v>0</v>
      </c>
      <c r="S49" s="1451">
        <f>-S51</f>
        <v>0</v>
      </c>
      <c r="T49" s="1452">
        <f t="shared" ref="T49:V49" si="5">SUM(T25:T48)</f>
        <v>0</v>
      </c>
      <c r="U49" s="1451">
        <f>-S52</f>
        <v>0</v>
      </c>
      <c r="V49" s="1452">
        <f t="shared" si="5"/>
        <v>0</v>
      </c>
      <c r="Z49" s="68"/>
    </row>
    <row r="50" spans="2:30" ht="14.25">
      <c r="J50" s="68" t="s">
        <v>982</v>
      </c>
      <c r="M50" s="199"/>
      <c r="N50" s="108"/>
      <c r="S50" s="1369"/>
      <c r="T50" s="68" t="s">
        <v>1605</v>
      </c>
      <c r="Z50" s="68"/>
    </row>
    <row r="51" spans="2:30" ht="14.25">
      <c r="E51" s="143"/>
      <c r="F51" s="143"/>
      <c r="G51" s="143"/>
      <c r="H51" s="143"/>
      <c r="I51" s="143"/>
      <c r="J51" s="143"/>
      <c r="K51" s="143"/>
      <c r="L51" s="143"/>
      <c r="M51" s="199"/>
      <c r="N51" s="108"/>
      <c r="O51" s="143"/>
      <c r="P51" s="143"/>
      <c r="Z51" s="68"/>
    </row>
    <row r="52" spans="2:30" ht="14.25">
      <c r="M52" s="199"/>
      <c r="N52" s="108"/>
      <c r="Z52" s="68"/>
    </row>
    <row r="53" spans="2:30" ht="14.25">
      <c r="C53" s="1832" t="s">
        <v>1606</v>
      </c>
      <c r="D53" s="1833"/>
      <c r="E53" s="1832" t="s">
        <v>1607</v>
      </c>
      <c r="F53" s="1833"/>
      <c r="G53" s="1832" t="s">
        <v>1608</v>
      </c>
      <c r="H53" s="1833"/>
      <c r="I53" s="1832" t="s">
        <v>1609</v>
      </c>
      <c r="J53" s="1833"/>
      <c r="K53" s="1828" t="s">
        <v>1610</v>
      </c>
      <c r="L53" s="1829"/>
      <c r="M53" s="1832" t="s">
        <v>1611</v>
      </c>
      <c r="N53" s="1833"/>
      <c r="O53" s="1832" t="s">
        <v>1612</v>
      </c>
      <c r="P53" s="1833"/>
      <c r="Q53" s="1832" t="s">
        <v>1613</v>
      </c>
      <c r="R53" s="1833"/>
      <c r="S53" s="1832" t="s">
        <v>1614</v>
      </c>
      <c r="T53" s="1833"/>
      <c r="U53" s="1832" t="s">
        <v>1615</v>
      </c>
      <c r="V53" s="1833"/>
      <c r="W53" s="1832" t="s">
        <v>35</v>
      </c>
      <c r="X53" s="1833"/>
      <c r="Z53" s="68"/>
    </row>
    <row r="54" spans="2:30" ht="14.25">
      <c r="C54" s="1442" t="s">
        <v>1604</v>
      </c>
      <c r="D54" s="1443" t="s">
        <v>900</v>
      </c>
      <c r="E54" s="1442" t="s">
        <v>1604</v>
      </c>
      <c r="F54" s="1443" t="s">
        <v>900</v>
      </c>
      <c r="G54" s="1442" t="s">
        <v>1604</v>
      </c>
      <c r="H54" s="1443" t="s">
        <v>900</v>
      </c>
      <c r="I54" s="1442" t="s">
        <v>1604</v>
      </c>
      <c r="J54" s="1443" t="s">
        <v>900</v>
      </c>
      <c r="K54" s="1440" t="s">
        <v>1604</v>
      </c>
      <c r="L54" s="1441" t="s">
        <v>900</v>
      </c>
      <c r="M54" s="1442" t="s">
        <v>1604</v>
      </c>
      <c r="N54" s="1443" t="s">
        <v>900</v>
      </c>
      <c r="O54" s="1442" t="s">
        <v>1604</v>
      </c>
      <c r="P54" s="1443" t="s">
        <v>900</v>
      </c>
      <c r="Q54" s="1442" t="s">
        <v>1604</v>
      </c>
      <c r="R54" s="1443" t="s">
        <v>900</v>
      </c>
      <c r="S54" s="1442" t="s">
        <v>1604</v>
      </c>
      <c r="T54" s="1443" t="s">
        <v>900</v>
      </c>
      <c r="U54" s="1442" t="s">
        <v>1604</v>
      </c>
      <c r="V54" s="1443" t="s">
        <v>900</v>
      </c>
      <c r="W54" s="1442" t="s">
        <v>1604</v>
      </c>
      <c r="X54" s="1453" t="s">
        <v>1581</v>
      </c>
      <c r="Z54" s="68"/>
    </row>
    <row r="55" spans="2:30" ht="14.25">
      <c r="B55" s="271">
        <f t="shared" ref="B55:B79" si="6">B24</f>
        <v>43983</v>
      </c>
      <c r="C55" s="495"/>
      <c r="D55" s="100">
        <f>VLOOKUP($B$79,Índices!$B$6:$F$500,VLOOKUP(D$54,$L$7:$M$9,2,FALSE)+1,FALSE)/VLOOKUP(DATE(YEAR($B55),MONTH($B55)-1,1),Índices!$B$6:$F$500,VLOOKUP(D$54,$L$7:$M$9,2,FALSE)+1,FALSE)*C55</f>
        <v>0</v>
      </c>
      <c r="E55" s="208"/>
      <c r="F55" s="100">
        <f>VLOOKUP($B$48,Índices!$B$6:$F$500,VLOOKUP(F$54,$L$7:$M$9,2,FALSE)+1,FALSE)/VLOOKUP(DATE(YEAR($B55),MONTH($B55)-1,1),Índices!$B$6:$F$500,VLOOKUP(F$54,$L$7:$M$9,2,FALSE)+1,FALSE)*E55</f>
        <v>0</v>
      </c>
      <c r="G55" s="208"/>
      <c r="H55" s="100">
        <f>VLOOKUP($B$48,Índices!$B$6:$F$500,VLOOKUP(H$54,$L$7:$M$9,2,FALSE)+1,FALSE)/VLOOKUP(DATE(YEAR($B55),MONTH($B55)-1,1),Índices!$B$6:$F$500,VLOOKUP(H$54,$L$7:$M$9,2,FALSE)+1,FALSE)*G55</f>
        <v>0</v>
      </c>
      <c r="I55" s="208"/>
      <c r="J55" s="100">
        <f>VLOOKUP($B$48,Índices!$B$6:$F$500,VLOOKUP(J$54,$L$7:$M$9,2,FALSE)+1,FALSE)/VLOOKUP(DATE(YEAR($B55),MONTH($B55)-1,1),Índices!$B$6:$F$500,VLOOKUP(J$54,$L$7:$M$9,2,FALSE)+1,FALSE)*I55</f>
        <v>0</v>
      </c>
      <c r="K55" s="208"/>
      <c r="L55" s="100">
        <f>VLOOKUP($B$48,Índices!$B$6:$F$500,VLOOKUP(L$54,$L$7:$M$9,2,FALSE)+1,FALSE)/VLOOKUP(DATE(YEAR($B55),MONTH($B55)-1,1),Índices!$B$6:$F$500,VLOOKUP(L$54,$L$7:$M$9,2,FALSE)+1,FALSE)*K55</f>
        <v>0</v>
      </c>
      <c r="M55" s="208"/>
      <c r="N55" s="100">
        <f>VLOOKUP($B$48,Índices!$B$6:$F$500,VLOOKUP(N$54,$L$7:$M$9,2,FALSE)+1,FALSE)/VLOOKUP(DATE(YEAR($B55),MONTH($B55)-1,1),Índices!$B$6:$F$500,VLOOKUP(N$54,$L$7:$M$9,2,FALSE)+1,FALSE)*M55</f>
        <v>0</v>
      </c>
      <c r="O55" s="208"/>
      <c r="P55" s="100">
        <f>VLOOKUP($B$48,Índices!$B$6:$F$500,VLOOKUP(P$54,$L$7:$M$9,2,FALSE)+1,FALSE)/VLOOKUP(DATE(YEAR($B55),MONTH($B55)-1,1),Índices!$B$6:$F$500,VLOOKUP(P$54,$L$7:$M$9,2,FALSE)+1,FALSE)*O55</f>
        <v>0</v>
      </c>
      <c r="Q55" s="208"/>
      <c r="R55" s="100">
        <f>VLOOKUP($B$48,Índices!$B$6:$F$500,VLOOKUP(R$54,$L$7:$M$9,2,FALSE)+1,FALSE)/VLOOKUP(DATE(YEAR($B55),MONTH($B55)-1,1),Índices!$B$6:$F$500,VLOOKUP(R$54,$L$7:$M$9,2,FALSE)+1,FALSE)*Q55</f>
        <v>0</v>
      </c>
      <c r="S55" s="208"/>
      <c r="T55" s="100">
        <f>VLOOKUP($B$48,Índices!$B$6:$F$500,VLOOKUP(T$54,$L$7:$M$9,2,FALSE)+1,FALSE)/VLOOKUP(DATE(YEAR($B55),MONTH($B55)-1,1),Índices!$B$6:$F$500,VLOOKUP(T$54,$L$7:$M$9,2,FALSE)+1,FALSE)*S55</f>
        <v>0</v>
      </c>
      <c r="U55" s="208"/>
      <c r="V55" s="100">
        <f>VLOOKUP($B$48,Índices!$B$6:$F$500,VLOOKUP(V$54,$L$7:$M$9,2,FALSE)+1,FALSE)/VLOOKUP(DATE(YEAR($B55),MONTH($B55)-1,1),Índices!$B$6:$F$500,VLOOKUP(V$54,$L$7:$M$9,2,FALSE)+1,FALSE)*U55</f>
        <v>0</v>
      </c>
      <c r="W55" s="208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1">
        <f t="shared" si="6"/>
        <v>44013</v>
      </c>
      <c r="C56" s="208"/>
      <c r="D56" s="100">
        <f>VLOOKUP($B$79,Índices!$B$6:$F$500,VLOOKUP(D$54,$L$7:$M$9,2,FALSE)+1,FALSE)/VLOOKUP(DATE(YEAR($B56),MONTH($B56)-1,1),Índices!$B$6:$F$500,VLOOKUP(D$54,$L$7:$M$9,2,FALSE)+1,FALSE)*C56</f>
        <v>0</v>
      </c>
      <c r="E56" s="208"/>
      <c r="F56" s="100">
        <f>VLOOKUP($B$48,Índices!$B$6:$F$500,VLOOKUP(F$54,$L$7:$M$9,2,FALSE)+1,FALSE)/VLOOKUP(DATE(YEAR($B56),MONTH($B56)-1,1),Índices!$B$6:$F$500,VLOOKUP(F$54,$L$7:$M$9,2,FALSE)+1,FALSE)*E56</f>
        <v>0</v>
      </c>
      <c r="G56" s="208"/>
      <c r="H56" s="100">
        <f>VLOOKUP($B$48,Índices!$B$6:$F$500,VLOOKUP(H$54,$L$7:$M$9,2,FALSE)+1,FALSE)/VLOOKUP(DATE(YEAR($B56),MONTH($B56)-1,1),Índices!$B$6:$F$500,VLOOKUP(H$54,$L$7:$M$9,2,FALSE)+1,FALSE)*G56</f>
        <v>0</v>
      </c>
      <c r="I56" s="208"/>
      <c r="J56" s="100">
        <f>VLOOKUP($B$48,Índices!$B$6:$F$500,VLOOKUP(J$54,$L$7:$M$9,2,FALSE)+1,FALSE)/VLOOKUP(DATE(YEAR($B56),MONTH($B56)-1,1),Índices!$B$6:$F$500,VLOOKUP(J$54,$L$7:$M$9,2,FALSE)+1,FALSE)*I56</f>
        <v>0</v>
      </c>
      <c r="K56" s="208"/>
      <c r="L56" s="100">
        <f>VLOOKUP($B$48,Índices!$B$6:$F$500,VLOOKUP(L$54,$L$7:$M$9,2,FALSE)+1,FALSE)/VLOOKUP(DATE(YEAR($B56),MONTH($B56)-1,1),Índices!$B$6:$F$500,VLOOKUP(L$54,$L$7:$M$9,2,FALSE)+1,FALSE)*K56</f>
        <v>0</v>
      </c>
      <c r="M56" s="208"/>
      <c r="N56" s="100">
        <f>VLOOKUP($B$48,Índices!$B$6:$F$500,VLOOKUP(N$54,$L$7:$M$9,2,FALSE)+1,FALSE)/VLOOKUP(DATE(YEAR($B56),MONTH($B56)-1,1),Índices!$B$6:$F$500,VLOOKUP(N$54,$L$7:$M$9,2,FALSE)+1,FALSE)*M56</f>
        <v>0</v>
      </c>
      <c r="O56" s="208"/>
      <c r="P56" s="100">
        <f>VLOOKUP($B$48,Índices!$B$6:$F$500,VLOOKUP(P$54,$L$7:$M$9,2,FALSE)+1,FALSE)/VLOOKUP(DATE(YEAR($B56),MONTH($B56)-1,1),Índices!$B$6:$F$500,VLOOKUP(P$54,$L$7:$M$9,2,FALSE)+1,FALSE)*O56</f>
        <v>0</v>
      </c>
      <c r="Q56" s="208"/>
      <c r="R56" s="100">
        <f>VLOOKUP($B$48,Índices!$B$6:$F$500,VLOOKUP(R$54,$L$7:$M$9,2,FALSE)+1,FALSE)/VLOOKUP(DATE(YEAR($B56),MONTH($B56)-1,1),Índices!$B$6:$F$500,VLOOKUP(R$54,$L$7:$M$9,2,FALSE)+1,FALSE)*Q56</f>
        <v>0</v>
      </c>
      <c r="S56" s="208"/>
      <c r="T56" s="100">
        <f>VLOOKUP($B$48,Índices!$B$6:$F$500,VLOOKUP(T$54,$L$7:$M$9,2,FALSE)+1,FALSE)/VLOOKUP(DATE(YEAR($B56),MONTH($B56)-1,1),Índices!$B$6:$F$500,VLOOKUP(T$54,$L$7:$M$9,2,FALSE)+1,FALSE)*S56</f>
        <v>0</v>
      </c>
      <c r="U56" s="208"/>
      <c r="V56" s="100">
        <f>VLOOKUP($B$48,Índices!$B$6:$F$500,VLOOKUP(V$54,$L$7:$M$9,2,FALSE)+1,FALSE)/VLOOKUP(DATE(YEAR($B56),MONTH($B56)-1,1),Índices!$B$6:$F$500,VLOOKUP(V$54,$L$7:$M$9,2,FALSE)+1,FALSE)*U56</f>
        <v>0</v>
      </c>
      <c r="W56" s="208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1">
        <f t="shared" si="6"/>
        <v>44044</v>
      </c>
      <c r="C57" s="208"/>
      <c r="D57" s="100">
        <f>VLOOKUP($B$79,Índices!$B$6:$F$500,VLOOKUP(D$54,$L$7:$M$9,2,FALSE)+1,FALSE)/VLOOKUP(DATE(YEAR($B57),MONTH($B57)-1,1),Índices!$B$6:$F$500,VLOOKUP(D$54,$L$7:$M$9,2,FALSE)+1,FALSE)*C57</f>
        <v>0</v>
      </c>
      <c r="E57" s="208"/>
      <c r="F57" s="100">
        <f>VLOOKUP($B$48,Índices!$B$6:$F$500,VLOOKUP(F$23,$L$7:$M$9,2,FALSE)+1,FALSE)/VLOOKUP(DATE(YEAR($B57),MONTH($B57)-1,1),Índices!$B$6:$F$500,VLOOKUP(F$23,$L$7:$M$9,2,FALSE)+1,FALSE)*E57</f>
        <v>0</v>
      </c>
      <c r="G57" s="208"/>
      <c r="H57" s="100">
        <f>VLOOKUP($B$48,Índices!$B$6:$F$500,VLOOKUP(H$54,$L$7:$M$9,2,FALSE)+1,FALSE)/VLOOKUP(DATE(YEAR($B57),MONTH($B57)-1,1),Índices!$B$6:$F$500,VLOOKUP(H$54,$L$7:$M$9,2,FALSE)+1,FALSE)*G57</f>
        <v>0</v>
      </c>
      <c r="I57" s="208"/>
      <c r="J57" s="100">
        <f>VLOOKUP($B$48,Índices!$B$6:$F$500,VLOOKUP(J$54,$L$7:$M$9,2,FALSE)+1,FALSE)/VLOOKUP(DATE(YEAR($B57),MONTH($B57)-1,1),Índices!$B$6:$F$500,VLOOKUP(J$54,$L$7:$M$9,2,FALSE)+1,FALSE)*I57</f>
        <v>0</v>
      </c>
      <c r="K57" s="208"/>
      <c r="L57" s="100">
        <f>VLOOKUP($B$48,Índices!$B$6:$F$500,VLOOKUP(L$54,$L$7:$M$9,2,FALSE)+1,FALSE)/VLOOKUP(DATE(YEAR($B57),MONTH($B57)-1,1),Índices!$B$6:$F$500,VLOOKUP(L$54,$L$7:$M$9,2,FALSE)+1,FALSE)*K57</f>
        <v>0</v>
      </c>
      <c r="M57" s="208"/>
      <c r="N57" s="100">
        <f>VLOOKUP($B$48,Índices!$B$6:$F$500,VLOOKUP(N$54,$L$7:$M$9,2,FALSE)+1,FALSE)/VLOOKUP(DATE(YEAR($B57),MONTH($B57)-1,1),Índices!$B$6:$F$500,VLOOKUP(N$54,$L$7:$M$9,2,FALSE)+1,FALSE)*M57</f>
        <v>0</v>
      </c>
      <c r="O57" s="208"/>
      <c r="P57" s="100">
        <f>VLOOKUP($B$48,Índices!$B$6:$F$500,VLOOKUP(P$54,$L$7:$M$9,2,FALSE)+1,FALSE)/VLOOKUP(DATE(YEAR($B57),MONTH($B57)-1,1),Índices!$B$6:$F$500,VLOOKUP(P$54,$L$7:$M$9,2,FALSE)+1,FALSE)*O57</f>
        <v>0</v>
      </c>
      <c r="Q57" s="208"/>
      <c r="R57" s="100">
        <f>VLOOKUP($B$48,Índices!$B$6:$F$500,VLOOKUP(R$54,$L$7:$M$9,2,FALSE)+1,FALSE)/VLOOKUP(DATE(YEAR($B57),MONTH($B57)-1,1),Índices!$B$6:$F$500,VLOOKUP(R$54,$L$7:$M$9,2,FALSE)+1,FALSE)*Q57</f>
        <v>0</v>
      </c>
      <c r="S57" s="208"/>
      <c r="T57" s="100">
        <f>VLOOKUP($B$48,Índices!$B$6:$F$500,VLOOKUP(T$54,$L$7:$M$9,2,FALSE)+1,FALSE)/VLOOKUP(DATE(YEAR($B57),MONTH($B57)-1,1),Índices!$B$6:$F$500,VLOOKUP(T$54,$L$7:$M$9,2,FALSE)+1,FALSE)*S57</f>
        <v>0</v>
      </c>
      <c r="U57" s="208"/>
      <c r="V57" s="100">
        <f>VLOOKUP($B$48,Índices!$B$6:$F$500,VLOOKUP(V$54,$L$7:$M$9,2,FALSE)+1,FALSE)/VLOOKUP(DATE(YEAR($B57),MONTH($B57)-1,1),Índices!$B$6:$F$500,VLOOKUP(V$54,$L$7:$M$9,2,FALSE)+1,FALSE)*U57</f>
        <v>0</v>
      </c>
      <c r="W57" s="208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1">
        <f t="shared" si="6"/>
        <v>44075</v>
      </c>
      <c r="C58" s="208"/>
      <c r="D58" s="100">
        <f>VLOOKUP($B$79,Índices!$B$6:$F$500,VLOOKUP(D$54,$L$7:$M$9,2,FALSE)+1,FALSE)/VLOOKUP(DATE(YEAR($B58),MONTH($B58)-1,1),Índices!$B$6:$F$500,VLOOKUP(D$54,$L$7:$M$9,2,FALSE)+1,FALSE)*C58</f>
        <v>0</v>
      </c>
      <c r="E58" s="208"/>
      <c r="F58" s="100">
        <f>VLOOKUP($B$48,Índices!$B$6:$F$500,VLOOKUP(F$23,$L$7:$M$9,2,FALSE)+1,FALSE)/VLOOKUP(DATE(YEAR($B58),MONTH($B58)-1,1),Índices!$B$6:$F$500,VLOOKUP(F$23,$L$7:$M$9,2,FALSE)+1,FALSE)*E58</f>
        <v>0</v>
      </c>
      <c r="G58" s="208"/>
      <c r="H58" s="100">
        <f>VLOOKUP($B$48,Índices!$B$6:$F$500,VLOOKUP(H$54,$L$7:$M$9,2,FALSE)+1,FALSE)/VLOOKUP(DATE(YEAR($B58),MONTH($B58)-1,1),Índices!$B$6:$F$500,VLOOKUP(H$54,$L$7:$M$9,2,FALSE)+1,FALSE)*G58</f>
        <v>0</v>
      </c>
      <c r="I58" s="208"/>
      <c r="J58" s="100">
        <f>VLOOKUP($B$48,Índices!$B$6:$F$500,VLOOKUP(J$54,$L$7:$M$9,2,FALSE)+1,FALSE)/VLOOKUP(DATE(YEAR($B58),MONTH($B58)-1,1),Índices!$B$6:$F$500,VLOOKUP(J$54,$L$7:$M$9,2,FALSE)+1,FALSE)*I58</f>
        <v>0</v>
      </c>
      <c r="K58" s="208"/>
      <c r="L58" s="100">
        <f>VLOOKUP($B$48,Índices!$B$6:$F$500,VLOOKUP(L$54,$L$7:$M$9,2,FALSE)+1,FALSE)/VLOOKUP(DATE(YEAR($B58),MONTH($B58)-1,1),Índices!$B$6:$F$500,VLOOKUP(L$54,$L$7:$M$9,2,FALSE)+1,FALSE)*K58</f>
        <v>0</v>
      </c>
      <c r="M58" s="208"/>
      <c r="N58" s="100">
        <f>VLOOKUP($B$48,Índices!$B$6:$F$500,VLOOKUP(N$54,$L$7:$M$9,2,FALSE)+1,FALSE)/VLOOKUP(DATE(YEAR($B58),MONTH($B58)-1,1),Índices!$B$6:$F$500,VLOOKUP(N$54,$L$7:$M$9,2,FALSE)+1,FALSE)*M58</f>
        <v>0</v>
      </c>
      <c r="O58" s="208"/>
      <c r="P58" s="100">
        <f>VLOOKUP($B$48,Índices!$B$6:$F$500,VLOOKUP(P$54,$L$7:$M$9,2,FALSE)+1,FALSE)/VLOOKUP(DATE(YEAR($B58),MONTH($B58)-1,1),Índices!$B$6:$F$500,VLOOKUP(P$54,$L$7:$M$9,2,FALSE)+1,FALSE)*O58</f>
        <v>0</v>
      </c>
      <c r="Q58" s="208"/>
      <c r="R58" s="100">
        <f>VLOOKUP($B$48,Índices!$B$6:$F$500,VLOOKUP(R$54,$L$7:$M$9,2,FALSE)+1,FALSE)/VLOOKUP(DATE(YEAR($B58),MONTH($B58)-1,1),Índices!$B$6:$F$500,VLOOKUP(R$54,$L$7:$M$9,2,FALSE)+1,FALSE)*Q58</f>
        <v>0</v>
      </c>
      <c r="S58" s="208"/>
      <c r="T58" s="100">
        <f>VLOOKUP($B$48,Índices!$B$6:$F$500,VLOOKUP(T$54,$L$7:$M$9,2,FALSE)+1,FALSE)/VLOOKUP(DATE(YEAR($B58),MONTH($B58)-1,1),Índices!$B$6:$F$500,VLOOKUP(T$54,$L$7:$M$9,2,FALSE)+1,FALSE)*S58</f>
        <v>0</v>
      </c>
      <c r="U58" s="208"/>
      <c r="V58" s="100">
        <f>VLOOKUP($B$48,Índices!$B$6:$F$500,VLOOKUP(V$54,$L$7:$M$9,2,FALSE)+1,FALSE)/VLOOKUP(DATE(YEAR($B58),MONTH($B58)-1,1),Índices!$B$6:$F$500,VLOOKUP(V$54,$L$7:$M$9,2,FALSE)+1,FALSE)*U58</f>
        <v>0</v>
      </c>
      <c r="W58" s="208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1">
        <f t="shared" si="6"/>
        <v>44105</v>
      </c>
      <c r="C59" s="208"/>
      <c r="D59" s="100">
        <f>VLOOKUP($B$79,Índices!$B$6:$F$500,VLOOKUP(D$54,$L$7:$M$9,2,FALSE)+1,FALSE)/VLOOKUP(DATE(YEAR($B59),MONTH($B59)-1,1),Índices!$B$6:$F$500,VLOOKUP(D$54,$L$7:$M$9,2,FALSE)+1,FALSE)*C59</f>
        <v>0</v>
      </c>
      <c r="E59" s="208"/>
      <c r="F59" s="100">
        <f>VLOOKUP($B$48,Índices!$B$6:$F$500,VLOOKUP(F$23,$L$7:$M$9,2,FALSE)+1,FALSE)/VLOOKUP(DATE(YEAR($B59),MONTH($B59)-1,1),Índices!$B$6:$F$500,VLOOKUP(F$23,$L$7:$M$9,2,FALSE)+1,FALSE)*E59</f>
        <v>0</v>
      </c>
      <c r="G59" s="208"/>
      <c r="H59" s="100">
        <f>VLOOKUP($B$48,Índices!$B$6:$F$500,VLOOKUP(H$54,$L$7:$M$9,2,FALSE)+1,FALSE)/VLOOKUP(DATE(YEAR($B59),MONTH($B59)-1,1),Índices!$B$6:$F$500,VLOOKUP(H$54,$L$7:$M$9,2,FALSE)+1,FALSE)*G59</f>
        <v>0</v>
      </c>
      <c r="I59" s="208"/>
      <c r="J59" s="100">
        <f>VLOOKUP($B$48,Índices!$B$6:$F$500,VLOOKUP(J$54,$L$7:$M$9,2,FALSE)+1,FALSE)/VLOOKUP(DATE(YEAR($B59),MONTH($B59)-1,1),Índices!$B$6:$F$500,VLOOKUP(J$54,$L$7:$M$9,2,FALSE)+1,FALSE)*I59</f>
        <v>0</v>
      </c>
      <c r="K59" s="208"/>
      <c r="L59" s="100">
        <f>VLOOKUP($B$48,Índices!$B$6:$F$500,VLOOKUP(L$54,$L$7:$M$9,2,FALSE)+1,FALSE)/VLOOKUP(DATE(YEAR($B59),MONTH($B59)-1,1),Índices!$B$6:$F$500,VLOOKUP(L$54,$L$7:$M$9,2,FALSE)+1,FALSE)*K59</f>
        <v>0</v>
      </c>
      <c r="M59" s="208"/>
      <c r="N59" s="100">
        <f>VLOOKUP($B$48,Índices!$B$6:$F$500,VLOOKUP(N$54,$L$7:$M$9,2,FALSE)+1,FALSE)/VLOOKUP(DATE(YEAR($B59),MONTH($B59)-1,1),Índices!$B$6:$F$500,VLOOKUP(N$54,$L$7:$M$9,2,FALSE)+1,FALSE)*M59</f>
        <v>0</v>
      </c>
      <c r="O59" s="208"/>
      <c r="P59" s="100">
        <f>VLOOKUP($B$48,Índices!$B$6:$F$500,VLOOKUP(P$54,$L$7:$M$9,2,FALSE)+1,FALSE)/VLOOKUP(DATE(YEAR($B59),MONTH($B59)-1,1),Índices!$B$6:$F$500,VLOOKUP(P$54,$L$7:$M$9,2,FALSE)+1,FALSE)*O59</f>
        <v>0</v>
      </c>
      <c r="Q59" s="208"/>
      <c r="R59" s="100">
        <f>VLOOKUP($B$48,Índices!$B$6:$F$500,VLOOKUP(R$54,$L$7:$M$9,2,FALSE)+1,FALSE)/VLOOKUP(DATE(YEAR($B59),MONTH($B59)-1,1),Índices!$B$6:$F$500,VLOOKUP(R$54,$L$7:$M$9,2,FALSE)+1,FALSE)*Q59</f>
        <v>0</v>
      </c>
      <c r="S59" s="208"/>
      <c r="T59" s="100">
        <f>VLOOKUP($B$48,Índices!$B$6:$F$500,VLOOKUP(T$54,$L$7:$M$9,2,FALSE)+1,FALSE)/VLOOKUP(DATE(YEAR($B59),MONTH($B59)-1,1),Índices!$B$6:$F$500,VLOOKUP(T$54,$L$7:$M$9,2,FALSE)+1,FALSE)*S59</f>
        <v>0</v>
      </c>
      <c r="U59" s="208"/>
      <c r="V59" s="100">
        <f>VLOOKUP($B$48,Índices!$B$6:$F$500,VLOOKUP(V$54,$L$7:$M$9,2,FALSE)+1,FALSE)/VLOOKUP(DATE(YEAR($B59),MONTH($B59)-1,1),Índices!$B$6:$F$500,VLOOKUP(V$54,$L$7:$M$9,2,FALSE)+1,FALSE)*U59</f>
        <v>0</v>
      </c>
      <c r="W59" s="208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1">
        <f t="shared" si="6"/>
        <v>44136</v>
      </c>
      <c r="C60" s="208"/>
      <c r="D60" s="100">
        <f>VLOOKUP($B$79,Índices!$B$6:$F$500,VLOOKUP(D$54,$L$7:$M$9,2,FALSE)+1,FALSE)/VLOOKUP(DATE(YEAR($B60),MONTH($B60)-1,1),Índices!$B$6:$F$500,VLOOKUP(D$54,$L$7:$M$9,2,FALSE)+1,FALSE)*C60</f>
        <v>0</v>
      </c>
      <c r="E60" s="208"/>
      <c r="F60" s="100">
        <f>VLOOKUP($B$48,Índices!$B$6:$F$500,VLOOKUP(F$23,$L$7:$M$9,2,FALSE)+1,FALSE)/VLOOKUP(DATE(YEAR($B60),MONTH($B60)-1,1),Índices!$B$6:$F$500,VLOOKUP(F$23,$L$7:$M$9,2,FALSE)+1,FALSE)*E60</f>
        <v>0</v>
      </c>
      <c r="G60" s="208"/>
      <c r="H60" s="100">
        <f>VLOOKUP($B$48,Índices!$B$6:$F$500,VLOOKUP(H$54,$L$7:$M$9,2,FALSE)+1,FALSE)/VLOOKUP(DATE(YEAR($B60),MONTH($B60)-1,1),Índices!$B$6:$F$500,VLOOKUP(H$54,$L$7:$M$9,2,FALSE)+1,FALSE)*G60</f>
        <v>0</v>
      </c>
      <c r="I60" s="208"/>
      <c r="J60" s="100">
        <f>VLOOKUP($B$48,Índices!$B$6:$F$500,VLOOKUP(J$54,$L$7:$M$9,2,FALSE)+1,FALSE)/VLOOKUP(DATE(YEAR($B60),MONTH($B60)-1,1),Índices!$B$6:$F$500,VLOOKUP(J$54,$L$7:$M$9,2,FALSE)+1,FALSE)*I60</f>
        <v>0</v>
      </c>
      <c r="K60" s="208"/>
      <c r="L60" s="100">
        <f>VLOOKUP($B$48,Índices!$B$6:$F$500,VLOOKUP(L$54,$L$7:$M$9,2,FALSE)+1,FALSE)/VLOOKUP(DATE(YEAR($B60),MONTH($B60)-1,1),Índices!$B$6:$F$500,VLOOKUP(L$54,$L$7:$M$9,2,FALSE)+1,FALSE)*K60</f>
        <v>0</v>
      </c>
      <c r="M60" s="208"/>
      <c r="N60" s="100">
        <f>VLOOKUP($B$48,Índices!$B$6:$F$500,VLOOKUP(N$54,$L$7:$M$9,2,FALSE)+1,FALSE)/VLOOKUP(DATE(YEAR($B60),MONTH($B60)-1,1),Índices!$B$6:$F$500,VLOOKUP(N$54,$L$7:$M$9,2,FALSE)+1,FALSE)*M60</f>
        <v>0</v>
      </c>
      <c r="O60" s="208"/>
      <c r="P60" s="100">
        <f>VLOOKUP($B$48,Índices!$B$6:$F$500,VLOOKUP(P$54,$L$7:$M$9,2,FALSE)+1,FALSE)/VLOOKUP(DATE(YEAR($B60),MONTH($B60)-1,1),Índices!$B$6:$F$500,VLOOKUP(P$54,$L$7:$M$9,2,FALSE)+1,FALSE)*O60</f>
        <v>0</v>
      </c>
      <c r="Q60" s="208"/>
      <c r="R60" s="100">
        <f>VLOOKUP($B$48,Índices!$B$6:$F$500,VLOOKUP(R$54,$L$7:$M$9,2,FALSE)+1,FALSE)/VLOOKUP(DATE(YEAR($B60),MONTH($B60)-1,1),Índices!$B$6:$F$500,VLOOKUP(R$54,$L$7:$M$9,2,FALSE)+1,FALSE)*Q60</f>
        <v>0</v>
      </c>
      <c r="S60" s="208"/>
      <c r="T60" s="100">
        <f>VLOOKUP($B$48,Índices!$B$6:$F$500,VLOOKUP(T$54,$L$7:$M$9,2,FALSE)+1,FALSE)/VLOOKUP(DATE(YEAR($B60),MONTH($B60)-1,1),Índices!$B$6:$F$500,VLOOKUP(T$54,$L$7:$M$9,2,FALSE)+1,FALSE)*S60</f>
        <v>0</v>
      </c>
      <c r="U60" s="208"/>
      <c r="V60" s="100">
        <f>VLOOKUP($B$48,Índices!$B$6:$F$500,VLOOKUP(V$54,$L$7:$M$9,2,FALSE)+1,FALSE)/VLOOKUP(DATE(YEAR($B60),MONTH($B60)-1,1),Índices!$B$6:$F$500,VLOOKUP(V$54,$L$7:$M$9,2,FALSE)+1,FALSE)*U60</f>
        <v>0</v>
      </c>
      <c r="W60" s="208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1">
        <f t="shared" si="6"/>
        <v>44166</v>
      </c>
      <c r="C61" s="208"/>
      <c r="D61" s="100">
        <f>VLOOKUP($B$79,Índices!$B$6:$F$500,VLOOKUP(D$54,$L$7:$M$9,2,FALSE)+1,FALSE)/VLOOKUP(DATE(YEAR($B61),MONTH($B61)-1,1),Índices!$B$6:$F$500,VLOOKUP(D$54,$L$7:$M$9,2,FALSE)+1,FALSE)*C61</f>
        <v>0</v>
      </c>
      <c r="E61" s="208"/>
      <c r="F61" s="100">
        <f>VLOOKUP($B$48,Índices!$B$6:$F$500,VLOOKUP(F$23,$L$7:$M$9,2,FALSE)+1,FALSE)/VLOOKUP(DATE(YEAR($B61),MONTH($B61)-1,1),Índices!$B$6:$F$500,VLOOKUP(F$23,$L$7:$M$9,2,FALSE)+1,FALSE)*E61</f>
        <v>0</v>
      </c>
      <c r="G61" s="208"/>
      <c r="H61" s="100">
        <f>VLOOKUP($B$48,Índices!$B$6:$F$500,VLOOKUP(H$54,$L$7:$M$9,2,FALSE)+1,FALSE)/VLOOKUP(DATE(YEAR($B61),MONTH($B61)-1,1),Índices!$B$6:$F$500,VLOOKUP(H$54,$L$7:$M$9,2,FALSE)+1,FALSE)*G61</f>
        <v>0</v>
      </c>
      <c r="I61" s="208"/>
      <c r="J61" s="100">
        <f>VLOOKUP($B$48,Índices!$B$6:$F$500,VLOOKUP(J$54,$L$7:$M$9,2,FALSE)+1,FALSE)/VLOOKUP(DATE(YEAR($B61),MONTH($B61)-1,1),Índices!$B$6:$F$500,VLOOKUP(J$54,$L$7:$M$9,2,FALSE)+1,FALSE)*I61</f>
        <v>0</v>
      </c>
      <c r="K61" s="208"/>
      <c r="L61" s="100">
        <f>VLOOKUP($B$48,Índices!$B$6:$F$500,VLOOKUP(L$54,$L$7:$M$9,2,FALSE)+1,FALSE)/VLOOKUP(DATE(YEAR($B61),MONTH($B61)-1,1),Índices!$B$6:$F$500,VLOOKUP(L$54,$L$7:$M$9,2,FALSE)+1,FALSE)*K61</f>
        <v>0</v>
      </c>
      <c r="M61" s="208"/>
      <c r="N61" s="100">
        <f>VLOOKUP($B$48,Índices!$B$6:$F$500,VLOOKUP(N$54,$L$7:$M$9,2,FALSE)+1,FALSE)/VLOOKUP(DATE(YEAR($B61),MONTH($B61)-1,1),Índices!$B$6:$F$500,VLOOKUP(N$54,$L$7:$M$9,2,FALSE)+1,FALSE)*M61</f>
        <v>0</v>
      </c>
      <c r="O61" s="208"/>
      <c r="P61" s="100">
        <f>VLOOKUP($B$48,Índices!$B$6:$F$500,VLOOKUP(P$54,$L$7:$M$9,2,FALSE)+1,FALSE)/VLOOKUP(DATE(YEAR($B61),MONTH($B61)-1,1),Índices!$B$6:$F$500,VLOOKUP(P$54,$L$7:$M$9,2,FALSE)+1,FALSE)*O61</f>
        <v>0</v>
      </c>
      <c r="Q61" s="208"/>
      <c r="R61" s="100">
        <f>VLOOKUP($B$48,Índices!$B$6:$F$500,VLOOKUP(R$54,$L$7:$M$9,2,FALSE)+1,FALSE)/VLOOKUP(DATE(YEAR($B61),MONTH($B61)-1,1),Índices!$B$6:$F$500,VLOOKUP(R$54,$L$7:$M$9,2,FALSE)+1,FALSE)*Q61</f>
        <v>0</v>
      </c>
      <c r="S61" s="208"/>
      <c r="T61" s="100">
        <f>VLOOKUP($B$48,Índices!$B$6:$F$500,VLOOKUP(T$54,$L$7:$M$9,2,FALSE)+1,FALSE)/VLOOKUP(DATE(YEAR($B61),MONTH($B61)-1,1),Índices!$B$6:$F$500,VLOOKUP(T$54,$L$7:$M$9,2,FALSE)+1,FALSE)*S61</f>
        <v>0</v>
      </c>
      <c r="U61" s="208"/>
      <c r="V61" s="100">
        <f>VLOOKUP($B$48,Índices!$B$6:$F$500,VLOOKUP(V$54,$L$7:$M$9,2,FALSE)+1,FALSE)/VLOOKUP(DATE(YEAR($B61),MONTH($B61)-1,1),Índices!$B$6:$F$500,VLOOKUP(V$54,$L$7:$M$9,2,FALSE)+1,FALSE)*U61</f>
        <v>0</v>
      </c>
      <c r="W61" s="208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1">
        <f t="shared" si="6"/>
        <v>44197</v>
      </c>
      <c r="C62" s="208"/>
      <c r="D62" s="100">
        <f>VLOOKUP($B$79,Índices!$B$6:$F$500,VLOOKUP(D$54,$L$7:$M$9,2,FALSE)+1,FALSE)/VLOOKUP(DATE(YEAR($B62),MONTH($B62)-1,1),Índices!$B$6:$F$500,VLOOKUP(D$54,$L$7:$M$9,2,FALSE)+1,FALSE)*C62</f>
        <v>0</v>
      </c>
      <c r="E62" s="208"/>
      <c r="F62" s="100">
        <f>VLOOKUP($B$48,Índices!$B$6:$F$500,VLOOKUP(F$23,$L$7:$M$9,2,FALSE)+1,FALSE)/VLOOKUP(DATE(YEAR($B62),MONTH($B62)-1,1),Índices!$B$6:$F$500,VLOOKUP(F$23,$L$7:$M$9,2,FALSE)+1,FALSE)*E62</f>
        <v>0</v>
      </c>
      <c r="G62" s="208"/>
      <c r="H62" s="100">
        <f>VLOOKUP($B$48,Índices!$B$6:$F$500,VLOOKUP(H$54,$L$7:$M$9,2,FALSE)+1,FALSE)/VLOOKUP(DATE(YEAR($B62),MONTH($B62)-1,1),Índices!$B$6:$F$500,VLOOKUP(H$54,$L$7:$M$9,2,FALSE)+1,FALSE)*G62</f>
        <v>0</v>
      </c>
      <c r="I62" s="208"/>
      <c r="J62" s="100">
        <f>VLOOKUP($B$48,Índices!$B$6:$F$500,VLOOKUP(J$54,$L$7:$M$9,2,FALSE)+1,FALSE)/VLOOKUP(DATE(YEAR($B62),MONTH($B62)-1,1),Índices!$B$6:$F$500,VLOOKUP(J$54,$L$7:$M$9,2,FALSE)+1,FALSE)*I62</f>
        <v>0</v>
      </c>
      <c r="K62" s="208"/>
      <c r="L62" s="100">
        <f>VLOOKUP($B$48,Índices!$B$6:$F$500,VLOOKUP(L$54,$L$7:$M$9,2,FALSE)+1,FALSE)/VLOOKUP(DATE(YEAR($B62),MONTH($B62)-1,1),Índices!$B$6:$F$500,VLOOKUP(L$54,$L$7:$M$9,2,FALSE)+1,FALSE)*K62</f>
        <v>0</v>
      </c>
      <c r="M62" s="208"/>
      <c r="N62" s="100">
        <f>VLOOKUP($B$48,Índices!$B$6:$F$500,VLOOKUP(N$54,$L$7:$M$9,2,FALSE)+1,FALSE)/VLOOKUP(DATE(YEAR($B62),MONTH($B62)-1,1),Índices!$B$6:$F$500,VLOOKUP(N$54,$L$7:$M$9,2,FALSE)+1,FALSE)*M62</f>
        <v>0</v>
      </c>
      <c r="O62" s="208"/>
      <c r="P62" s="100">
        <f>VLOOKUP($B$48,Índices!$B$6:$F$500,VLOOKUP(P$54,$L$7:$M$9,2,FALSE)+1,FALSE)/VLOOKUP(DATE(YEAR($B62),MONTH($B62)-1,1),Índices!$B$6:$F$500,VLOOKUP(P$54,$L$7:$M$9,2,FALSE)+1,FALSE)*O62</f>
        <v>0</v>
      </c>
      <c r="Q62" s="208"/>
      <c r="R62" s="100">
        <f>VLOOKUP($B$48,Índices!$B$6:$F$500,VLOOKUP(R$54,$L$7:$M$9,2,FALSE)+1,FALSE)/VLOOKUP(DATE(YEAR($B62),MONTH($B62)-1,1),Índices!$B$6:$F$500,VLOOKUP(R$54,$L$7:$M$9,2,FALSE)+1,FALSE)*Q62</f>
        <v>0</v>
      </c>
      <c r="S62" s="208"/>
      <c r="T62" s="100">
        <f>VLOOKUP($B$48,Índices!$B$6:$F$500,VLOOKUP(T$54,$L$7:$M$9,2,FALSE)+1,FALSE)/VLOOKUP(DATE(YEAR($B62),MONTH($B62)-1,1),Índices!$B$6:$F$500,VLOOKUP(T$54,$L$7:$M$9,2,FALSE)+1,FALSE)*S62</f>
        <v>0</v>
      </c>
      <c r="U62" s="208"/>
      <c r="V62" s="100">
        <f>VLOOKUP($B$48,Índices!$B$6:$F$500,VLOOKUP(V$54,$L$7:$M$9,2,FALSE)+1,FALSE)/VLOOKUP(DATE(YEAR($B62),MONTH($B62)-1,1),Índices!$B$6:$F$500,VLOOKUP(V$54,$L$7:$M$9,2,FALSE)+1,FALSE)*U62</f>
        <v>0</v>
      </c>
      <c r="W62" s="208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1">
        <f t="shared" si="6"/>
        <v>44228</v>
      </c>
      <c r="C63" s="208"/>
      <c r="D63" s="100">
        <f>VLOOKUP($B$79,Índices!$B$6:$F$500,VLOOKUP(D$54,$L$7:$M$9,2,FALSE)+1,FALSE)/VLOOKUP(DATE(YEAR($B63),MONTH($B63)-1,1),Índices!$B$6:$F$500,VLOOKUP(D$54,$L$7:$M$9,2,FALSE)+1,FALSE)*C63</f>
        <v>0</v>
      </c>
      <c r="E63" s="208"/>
      <c r="F63" s="100">
        <f>VLOOKUP($B$48,Índices!$B$6:$F$500,VLOOKUP(F$23,$L$7:$M$9,2,FALSE)+1,FALSE)/VLOOKUP(DATE(YEAR($B63),MONTH($B63)-1,1),Índices!$B$6:$F$500,VLOOKUP(F$23,$L$7:$M$9,2,FALSE)+1,FALSE)*E63</f>
        <v>0</v>
      </c>
      <c r="G63" s="208"/>
      <c r="H63" s="100">
        <f>VLOOKUP($B$48,Índices!$B$6:$F$500,VLOOKUP(H$54,$L$7:$M$9,2,FALSE)+1,FALSE)/VLOOKUP(DATE(YEAR($B63),MONTH($B63)-1,1),Índices!$B$6:$F$500,VLOOKUP(H$54,$L$7:$M$9,2,FALSE)+1,FALSE)*G63</f>
        <v>0</v>
      </c>
      <c r="I63" s="208"/>
      <c r="J63" s="100">
        <f>VLOOKUP($B$48,Índices!$B$6:$F$500,VLOOKUP(J$54,$L$7:$M$9,2,FALSE)+1,FALSE)/VLOOKUP(DATE(YEAR($B63),MONTH($B63)-1,1),Índices!$B$6:$F$500,VLOOKUP(J$54,$L$7:$M$9,2,FALSE)+1,FALSE)*I63</f>
        <v>0</v>
      </c>
      <c r="K63" s="208"/>
      <c r="L63" s="100">
        <f>VLOOKUP($B$48,Índices!$B$6:$F$500,VLOOKUP(L$54,$L$7:$M$9,2,FALSE)+1,FALSE)/VLOOKUP(DATE(YEAR($B63),MONTH($B63)-1,1),Índices!$B$6:$F$500,VLOOKUP(L$54,$L$7:$M$9,2,FALSE)+1,FALSE)*K63</f>
        <v>0</v>
      </c>
      <c r="M63" s="208"/>
      <c r="N63" s="100">
        <f>VLOOKUP($B$48,Índices!$B$6:$F$500,VLOOKUP(N$54,$L$7:$M$9,2,FALSE)+1,FALSE)/VLOOKUP(DATE(YEAR($B63),MONTH($B63)-1,1),Índices!$B$6:$F$500,VLOOKUP(N$54,$L$7:$M$9,2,FALSE)+1,FALSE)*M63</f>
        <v>0</v>
      </c>
      <c r="O63" s="208"/>
      <c r="P63" s="100">
        <f>VLOOKUP($B$48,Índices!$B$6:$F$500,VLOOKUP(P$54,$L$7:$M$9,2,FALSE)+1,FALSE)/VLOOKUP(DATE(YEAR($B63),MONTH($B63)-1,1),Índices!$B$6:$F$500,VLOOKUP(P$54,$L$7:$M$9,2,FALSE)+1,FALSE)*O63</f>
        <v>0</v>
      </c>
      <c r="Q63" s="208"/>
      <c r="R63" s="100">
        <f>VLOOKUP($B$48,Índices!$B$6:$F$500,VLOOKUP(R$54,$L$7:$M$9,2,FALSE)+1,FALSE)/VLOOKUP(DATE(YEAR($B63),MONTH($B63)-1,1),Índices!$B$6:$F$500,VLOOKUP(R$54,$L$7:$M$9,2,FALSE)+1,FALSE)*Q63</f>
        <v>0</v>
      </c>
      <c r="S63" s="208"/>
      <c r="T63" s="100">
        <f>VLOOKUP($B$48,Índices!$B$6:$F$500,VLOOKUP(T$54,$L$7:$M$9,2,FALSE)+1,FALSE)/VLOOKUP(DATE(YEAR($B63),MONTH($B63)-1,1),Índices!$B$6:$F$500,VLOOKUP(T$54,$L$7:$M$9,2,FALSE)+1,FALSE)*S63</f>
        <v>0</v>
      </c>
      <c r="U63" s="208"/>
      <c r="V63" s="100">
        <f>VLOOKUP($B$48,Índices!$B$6:$F$500,VLOOKUP(V$54,$L$7:$M$9,2,FALSE)+1,FALSE)/VLOOKUP(DATE(YEAR($B63),MONTH($B63)-1,1),Índices!$B$6:$F$500,VLOOKUP(V$54,$L$7:$M$9,2,FALSE)+1,FALSE)*U63</f>
        <v>0</v>
      </c>
      <c r="W63" s="208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09"/>
    </row>
    <row r="64" spans="2:30" ht="14.25">
      <c r="B64" s="271">
        <f t="shared" si="6"/>
        <v>44256</v>
      </c>
      <c r="C64" s="208"/>
      <c r="D64" s="100">
        <f>VLOOKUP($B$79,Índices!$B$6:$F$500,VLOOKUP(D$54,$L$7:$M$9,2,FALSE)+1,FALSE)/VLOOKUP(DATE(YEAR($B64),MONTH($B64)-1,1),Índices!$B$6:$F$500,VLOOKUP(D$54,$L$7:$M$9,2,FALSE)+1,FALSE)*C64</f>
        <v>0</v>
      </c>
      <c r="E64" s="208"/>
      <c r="F64" s="100">
        <f>VLOOKUP($B$48,Índices!$B$6:$F$500,VLOOKUP(F$23,$L$7:$M$9,2,FALSE)+1,FALSE)/VLOOKUP(DATE(YEAR($B64),MONTH($B64)-1,1),Índices!$B$6:$F$500,VLOOKUP(F$23,$L$7:$M$9,2,FALSE)+1,FALSE)*E64</f>
        <v>0</v>
      </c>
      <c r="G64" s="208"/>
      <c r="H64" s="100">
        <f>VLOOKUP($B$48,Índices!$B$6:$F$500,VLOOKUP(H$54,$L$7:$M$9,2,FALSE)+1,FALSE)/VLOOKUP(DATE(YEAR($B64),MONTH($B64)-1,1),Índices!$B$6:$F$500,VLOOKUP(H$54,$L$7:$M$9,2,FALSE)+1,FALSE)*G64</f>
        <v>0</v>
      </c>
      <c r="I64" s="208"/>
      <c r="J64" s="100">
        <f>VLOOKUP($B$48,Índices!$B$6:$F$500,VLOOKUP(J$54,$L$7:$M$9,2,FALSE)+1,FALSE)/VLOOKUP(DATE(YEAR($B64),MONTH($B64)-1,1),Índices!$B$6:$F$500,VLOOKUP(J$54,$L$7:$M$9,2,FALSE)+1,FALSE)*I64</f>
        <v>0</v>
      </c>
      <c r="K64" s="208"/>
      <c r="L64" s="100">
        <f>VLOOKUP($B$48,Índices!$B$6:$F$500,VLOOKUP(L$54,$L$7:$M$9,2,FALSE)+1,FALSE)/VLOOKUP(DATE(YEAR($B64),MONTH($B64)-1,1),Índices!$B$6:$F$500,VLOOKUP(L$54,$L$7:$M$9,2,FALSE)+1,FALSE)*K64</f>
        <v>0</v>
      </c>
      <c r="M64" s="208"/>
      <c r="N64" s="100">
        <f>VLOOKUP($B$48,Índices!$B$6:$F$500,VLOOKUP(N$54,$L$7:$M$9,2,FALSE)+1,FALSE)/VLOOKUP(DATE(YEAR($B64),MONTH($B64)-1,1),Índices!$B$6:$F$500,VLOOKUP(N$54,$L$7:$M$9,2,FALSE)+1,FALSE)*M64</f>
        <v>0</v>
      </c>
      <c r="O64" s="208"/>
      <c r="P64" s="100">
        <f>VLOOKUP($B$48,Índices!$B$6:$F$500,VLOOKUP(P$54,$L$7:$M$9,2,FALSE)+1,FALSE)/VLOOKUP(DATE(YEAR($B64),MONTH($B64)-1,1),Índices!$B$6:$F$500,VLOOKUP(P$54,$L$7:$M$9,2,FALSE)+1,FALSE)*O64</f>
        <v>0</v>
      </c>
      <c r="Q64" s="208"/>
      <c r="R64" s="100">
        <f>VLOOKUP($B$48,Índices!$B$6:$F$500,VLOOKUP(R$54,$L$7:$M$9,2,FALSE)+1,FALSE)/VLOOKUP(DATE(YEAR($B64),MONTH($B64)-1,1),Índices!$B$6:$F$500,VLOOKUP(R$54,$L$7:$M$9,2,FALSE)+1,FALSE)*Q64</f>
        <v>0</v>
      </c>
      <c r="S64" s="208"/>
      <c r="T64" s="100">
        <f>VLOOKUP($B$48,Índices!$B$6:$F$500,VLOOKUP(T$54,$L$7:$M$9,2,FALSE)+1,FALSE)/VLOOKUP(DATE(YEAR($B64),MONTH($B64)-1,1),Índices!$B$6:$F$500,VLOOKUP(T$54,$L$7:$M$9,2,FALSE)+1,FALSE)*S64</f>
        <v>0</v>
      </c>
      <c r="U64" s="208"/>
      <c r="V64" s="100">
        <f>VLOOKUP($B$48,Índices!$B$6:$F$500,VLOOKUP(V$54,$L$7:$M$9,2,FALSE)+1,FALSE)/VLOOKUP(DATE(YEAR($B64),MONTH($B64)-1,1),Índices!$B$6:$F$500,VLOOKUP(V$54,$L$7:$M$9,2,FALSE)+1,FALSE)*U64</f>
        <v>0</v>
      </c>
      <c r="W64" s="208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09"/>
    </row>
    <row r="65" spans="2:30" ht="14.25">
      <c r="B65" s="271">
        <f t="shared" si="6"/>
        <v>44287</v>
      </c>
      <c r="C65" s="208"/>
      <c r="D65" s="100">
        <f>VLOOKUP($B$79,Índices!$B$6:$F$500,VLOOKUP(D$54,$L$7:$M$9,2,FALSE)+1,FALSE)/VLOOKUP(DATE(YEAR($B65),MONTH($B65)-1,1),Índices!$B$6:$F$500,VLOOKUP(D$54,$L$7:$M$9,2,FALSE)+1,FALSE)*C65</f>
        <v>0</v>
      </c>
      <c r="E65" s="208"/>
      <c r="F65" s="100">
        <f>VLOOKUP($B$48,Índices!$B$6:$F$500,VLOOKUP(F$23,$L$7:$M$9,2,FALSE)+1,FALSE)/VLOOKUP(DATE(YEAR($B65),MONTH($B65)-1,1),Índices!$B$6:$F$500,VLOOKUP(F$23,$L$7:$M$9,2,FALSE)+1,FALSE)*E65</f>
        <v>0</v>
      </c>
      <c r="G65" s="208"/>
      <c r="H65" s="226">
        <f>VLOOKUP($B$48,Índices!$B$6:$F$500,VLOOKUP(H$54,$L$7:$M$9,2,FALSE)+1,FALSE)/VLOOKUP(DATE(YEAR($B65),MONTH($B65)-1,1),Índices!$B$6:$F$500,VLOOKUP(H$54,$L$7:$M$9,2,FALSE)+1,FALSE)*G65</f>
        <v>0</v>
      </c>
      <c r="I65" s="208"/>
      <c r="J65" s="226">
        <f>VLOOKUP($B$48,Índices!$B$6:$F$500,VLOOKUP(J$54,$L$7:$M$9,2,FALSE)+1,FALSE)/VLOOKUP(DATE(YEAR($B65),MONTH($B65)-1,1),Índices!$B$6:$F$500,VLOOKUP(J$54,$L$7:$M$9,2,FALSE)+1,FALSE)*I65</f>
        <v>0</v>
      </c>
      <c r="K65" s="208"/>
      <c r="L65" s="226">
        <f>VLOOKUP($B$48,Índices!$B$6:$F$500,VLOOKUP(L$54,$L$7:$M$9,2,FALSE)+1,FALSE)/VLOOKUP(DATE(YEAR($B65),MONTH($B65)-1,1),Índices!$B$6:$F$500,VLOOKUP(L$54,$L$7:$M$9,2,FALSE)+1,FALSE)*K65</f>
        <v>0</v>
      </c>
      <c r="M65" s="208"/>
      <c r="N65" s="226">
        <f>VLOOKUP($B$48,Índices!$B$6:$F$500,VLOOKUP(N$54,$L$7:$M$9,2,FALSE)+1,FALSE)/VLOOKUP(DATE(YEAR($B65),MONTH($B65)-1,1),Índices!$B$6:$F$500,VLOOKUP(N$54,$L$7:$M$9,2,FALSE)+1,FALSE)*M65</f>
        <v>0</v>
      </c>
      <c r="O65" s="208"/>
      <c r="P65" s="226">
        <f>VLOOKUP($B$48,Índices!$B$6:$F$500,VLOOKUP(P$54,$L$7:$M$9,2,FALSE)+1,FALSE)/VLOOKUP(DATE(YEAR($B65),MONTH($B65)-1,1),Índices!$B$6:$F$500,VLOOKUP(P$54,$L$7:$M$9,2,FALSE)+1,FALSE)*O65</f>
        <v>0</v>
      </c>
      <c r="Q65" s="208"/>
      <c r="R65" s="226">
        <f>VLOOKUP($B$48,Índices!$B$6:$F$500,VLOOKUP(R$54,$L$7:$M$9,2,FALSE)+1,FALSE)/VLOOKUP(DATE(YEAR($B65),MONTH($B65)-1,1),Índices!$B$6:$F$500,VLOOKUP(R$54,$L$7:$M$9,2,FALSE)+1,FALSE)*Q65</f>
        <v>0</v>
      </c>
      <c r="S65" s="208"/>
      <c r="T65" s="226">
        <f>VLOOKUP($B$48,Índices!$B$6:$F$500,VLOOKUP(T$54,$L$7:$M$9,2,FALSE)+1,FALSE)/VLOOKUP(DATE(YEAR($B65),MONTH($B65)-1,1),Índices!$B$6:$F$500,VLOOKUP(T$54,$L$7:$M$9,2,FALSE)+1,FALSE)*S65</f>
        <v>0</v>
      </c>
      <c r="U65" s="208"/>
      <c r="V65" s="226">
        <f>VLOOKUP($B$48,Índices!$B$6:$F$500,VLOOKUP(V$54,$L$7:$M$9,2,FALSE)+1,FALSE)/VLOOKUP(DATE(YEAR($B65),MONTH($B65)-1,1),Índices!$B$6:$F$500,VLOOKUP(V$54,$L$7:$M$9,2,FALSE)+1,FALSE)*U65</f>
        <v>0</v>
      </c>
      <c r="W65" s="208"/>
      <c r="X65" s="226">
        <f>VLOOKUP($B$48,Índices!$B$6:$F$500,VLOOKUP(X$54,$L$7:$M$9,2,FALSE)+1,FALSE)/VLOOKUP(DATE(YEAR($B65),MONTH($B65)-1,1),Índices!$B$6:$F$500,VLOOKUP(X$54,$L$7:$M$9,2,FALSE)+1,FALSE)*W65</f>
        <v>0</v>
      </c>
      <c r="Z65" s="68"/>
      <c r="AD65" s="209"/>
    </row>
    <row r="66" spans="2:30" ht="14.25">
      <c r="B66" s="271">
        <f t="shared" si="6"/>
        <v>44317</v>
      </c>
      <c r="C66" s="208"/>
      <c r="D66" s="100">
        <f>VLOOKUP($B$79,Índices!$B$6:$F$500,VLOOKUP(D$54,$L$7:$M$9,2,FALSE)+1,FALSE)/VLOOKUP(DATE(YEAR($B66),MONTH($B66)-1,1),Índices!$B$6:$F$500,VLOOKUP(D$54,$L$7:$M$9,2,FALSE)+1,FALSE)*C66</f>
        <v>0</v>
      </c>
      <c r="E66" s="208"/>
      <c r="F66" s="100">
        <f>VLOOKUP($B$48,Índices!$B$6:$F$500,VLOOKUP(F$23,$L$7:$M$9,2,FALSE)+1,FALSE)/VLOOKUP(DATE(YEAR($B66),MONTH($B66)-1,1),Índices!$B$6:$F$500,VLOOKUP(F$23,$L$7:$M$9,2,FALSE)+1,FALSE)*E66</f>
        <v>0</v>
      </c>
      <c r="G66" s="208"/>
      <c r="H66" s="226">
        <f>VLOOKUP($B$48,Índices!$B$6:$F$500,VLOOKUP(H$54,$L$7:$M$9,2,FALSE)+1,FALSE)/VLOOKUP(DATE(YEAR($B66),MONTH($B66)-1,1),Índices!$B$6:$F$500,VLOOKUP(H$54,$L$7:$M$9,2,FALSE)+1,FALSE)*G66</f>
        <v>0</v>
      </c>
      <c r="I66" s="208"/>
      <c r="J66" s="226">
        <f>VLOOKUP($B$48,Índices!$B$6:$F$500,VLOOKUP(J$54,$L$7:$M$9,2,FALSE)+1,FALSE)/VLOOKUP(DATE(YEAR($B66),MONTH($B66)-1,1),Índices!$B$6:$F$500,VLOOKUP(J$54,$L$7:$M$9,2,FALSE)+1,FALSE)*I66</f>
        <v>0</v>
      </c>
      <c r="K66" s="208"/>
      <c r="L66" s="226">
        <f>VLOOKUP($B$48,Índices!$B$6:$F$500,VLOOKUP(L$54,$L$7:$M$9,2,FALSE)+1,FALSE)/VLOOKUP(DATE(YEAR($B66),MONTH($B66)-1,1),Índices!$B$6:$F$500,VLOOKUP(L$54,$L$7:$M$9,2,FALSE)+1,FALSE)*K66</f>
        <v>0</v>
      </c>
      <c r="M66" s="208"/>
      <c r="N66" s="226">
        <f>VLOOKUP($B$48,Índices!$B$6:$F$500,VLOOKUP(N$54,$L$7:$M$9,2,FALSE)+1,FALSE)/VLOOKUP(DATE(YEAR($B66),MONTH($B66)-1,1),Índices!$B$6:$F$500,VLOOKUP(N$54,$L$7:$M$9,2,FALSE)+1,FALSE)*M66</f>
        <v>0</v>
      </c>
      <c r="O66" s="208"/>
      <c r="P66" s="226">
        <f>VLOOKUP($B$48,Índices!$B$6:$F$500,VLOOKUP(P$54,$L$7:$M$9,2,FALSE)+1,FALSE)/VLOOKUP(DATE(YEAR($B66),MONTH($B66)-1,1),Índices!$B$6:$F$500,VLOOKUP(P$54,$L$7:$M$9,2,FALSE)+1,FALSE)*O66</f>
        <v>0</v>
      </c>
      <c r="Q66" s="208"/>
      <c r="R66" s="226">
        <f>VLOOKUP($B$48,Índices!$B$6:$F$500,VLOOKUP(R$54,$L$7:$M$9,2,FALSE)+1,FALSE)/VLOOKUP(DATE(YEAR($B66),MONTH($B66)-1,1),Índices!$B$6:$F$500,VLOOKUP(R$54,$L$7:$M$9,2,FALSE)+1,FALSE)*Q66</f>
        <v>0</v>
      </c>
      <c r="S66" s="208"/>
      <c r="T66" s="226">
        <f>VLOOKUP($B$48,Índices!$B$6:$F$500,VLOOKUP(T$54,$L$7:$M$9,2,FALSE)+1,FALSE)/VLOOKUP(DATE(YEAR($B66),MONTH($B66)-1,1),Índices!$B$6:$F$500,VLOOKUP(T$54,$L$7:$M$9,2,FALSE)+1,FALSE)*S66</f>
        <v>0</v>
      </c>
      <c r="U66" s="208"/>
      <c r="V66" s="226">
        <f>VLOOKUP($B$48,Índices!$B$6:$F$500,VLOOKUP(V$54,$L$7:$M$9,2,FALSE)+1,FALSE)/VLOOKUP(DATE(YEAR($B66),MONTH($B66)-1,1),Índices!$B$6:$F$500,VLOOKUP(V$54,$L$7:$M$9,2,FALSE)+1,FALSE)*U66</f>
        <v>0</v>
      </c>
      <c r="W66" s="208"/>
      <c r="X66" s="226">
        <f>VLOOKUP($B$48,Índices!$B$6:$F$500,VLOOKUP(X$54,$L$7:$M$9,2,FALSE)+1,FALSE)/VLOOKUP(DATE(YEAR($B66),MONTH($B66)-1,1),Índices!$B$6:$F$500,VLOOKUP(X$54,$L$7:$M$9,2,FALSE)+1,FALSE)*W66</f>
        <v>0</v>
      </c>
      <c r="Z66" s="68"/>
      <c r="AD66" s="209"/>
    </row>
    <row r="67" spans="2:30" ht="14.25">
      <c r="B67" s="271">
        <f t="shared" si="6"/>
        <v>44348</v>
      </c>
      <c r="C67" s="208"/>
      <c r="D67" s="100">
        <f>VLOOKUP($B$79,Índices!$B$6:$F$500,VLOOKUP(D$54,$L$7:$M$9,2,FALSE)+1,FALSE)/VLOOKUP(DATE(YEAR($B67),MONTH($B67)-1,1),Índices!$B$6:$F$500,VLOOKUP(D$54,$L$7:$M$9,2,FALSE)+1,FALSE)*C67</f>
        <v>0</v>
      </c>
      <c r="E67" s="208"/>
      <c r="F67" s="100">
        <f>VLOOKUP($B$48,Índices!$B$6:$F$500,VLOOKUP(F$23,$L$7:$M$9,2,FALSE)+1,FALSE)/VLOOKUP(DATE(YEAR($B67),MONTH($B67)-1,1),Índices!$B$6:$F$500,VLOOKUP(F$23,$L$7:$M$9,2,FALSE)+1,FALSE)*E67</f>
        <v>0</v>
      </c>
      <c r="G67" s="208"/>
      <c r="H67" s="226">
        <f>VLOOKUP($B$48,Índices!$B$6:$F$500,VLOOKUP(H$54,$L$7:$M$9,2,FALSE)+1,FALSE)/VLOOKUP(DATE(YEAR($B67),MONTH($B67)-1,1),Índices!$B$6:$F$500,VLOOKUP(H$54,$L$7:$M$9,2,FALSE)+1,FALSE)*G67</f>
        <v>0</v>
      </c>
      <c r="I67" s="208"/>
      <c r="J67" s="226">
        <f>VLOOKUP($B$48,Índices!$B$6:$F$500,VLOOKUP(J$54,$L$7:$M$9,2,FALSE)+1,FALSE)/VLOOKUP(DATE(YEAR($B67),MONTH($B67)-1,1),Índices!$B$6:$F$500,VLOOKUP(J$54,$L$7:$M$9,2,FALSE)+1,FALSE)*I67</f>
        <v>0</v>
      </c>
      <c r="K67" s="208"/>
      <c r="L67" s="226">
        <f>VLOOKUP($B$48,Índices!$B$6:$F$500,VLOOKUP(L$54,$L$7:$M$9,2,FALSE)+1,FALSE)/VLOOKUP(DATE(YEAR($B67),MONTH($B67)-1,1),Índices!$B$6:$F$500,VLOOKUP(L$54,$L$7:$M$9,2,FALSE)+1,FALSE)*K67</f>
        <v>0</v>
      </c>
      <c r="M67" s="208"/>
      <c r="N67" s="226">
        <f>VLOOKUP($B$48,Índices!$B$6:$F$500,VLOOKUP(N$54,$L$7:$M$9,2,FALSE)+1,FALSE)/VLOOKUP(DATE(YEAR($B67),MONTH($B67)-1,1),Índices!$B$6:$F$500,VLOOKUP(N$54,$L$7:$M$9,2,FALSE)+1,FALSE)*M67</f>
        <v>0</v>
      </c>
      <c r="O67" s="208"/>
      <c r="P67" s="226">
        <f>VLOOKUP($B$48,Índices!$B$6:$F$500,VLOOKUP(P$54,$L$7:$M$9,2,FALSE)+1,FALSE)/VLOOKUP(DATE(YEAR($B67),MONTH($B67)-1,1),Índices!$B$6:$F$500,VLOOKUP(P$54,$L$7:$M$9,2,FALSE)+1,FALSE)*O67</f>
        <v>0</v>
      </c>
      <c r="Q67" s="208"/>
      <c r="R67" s="226">
        <f>VLOOKUP($B$48,Índices!$B$6:$F$500,VLOOKUP(R$54,$L$7:$M$9,2,FALSE)+1,FALSE)/VLOOKUP(DATE(YEAR($B67),MONTH($B67)-1,1),Índices!$B$6:$F$500,VLOOKUP(R$54,$L$7:$M$9,2,FALSE)+1,FALSE)*Q67</f>
        <v>0</v>
      </c>
      <c r="S67" s="208"/>
      <c r="T67" s="226">
        <f>VLOOKUP($B$48,Índices!$B$6:$F$500,VLOOKUP(T$54,$L$7:$M$9,2,FALSE)+1,FALSE)/VLOOKUP(DATE(YEAR($B67),MONTH($B67)-1,1),Índices!$B$6:$F$500,VLOOKUP(T$54,$L$7:$M$9,2,FALSE)+1,FALSE)*S67</f>
        <v>0</v>
      </c>
      <c r="U67" s="208"/>
      <c r="V67" s="226">
        <f>VLOOKUP($B$48,Índices!$B$6:$F$500,VLOOKUP(V$54,$L$7:$M$9,2,FALSE)+1,FALSE)/VLOOKUP(DATE(YEAR($B67),MONTH($B67)-1,1),Índices!$B$6:$F$500,VLOOKUP(V$54,$L$7:$M$9,2,FALSE)+1,FALSE)*U67</f>
        <v>0</v>
      </c>
      <c r="W67" s="208"/>
      <c r="X67" s="226">
        <f>VLOOKUP($B$48,Índices!$B$6:$F$500,VLOOKUP(X$54,$L$7:$M$9,2,FALSE)+1,FALSE)/VLOOKUP(DATE(YEAR($B67),MONTH($B67)-1,1),Índices!$B$6:$F$500,VLOOKUP(X$54,$L$7:$M$9,2,FALSE)+1,FALSE)*W67</f>
        <v>0</v>
      </c>
      <c r="Z67" s="68"/>
      <c r="AD67" s="209"/>
    </row>
    <row r="68" spans="2:30" ht="14.25">
      <c r="B68" s="271">
        <f t="shared" si="6"/>
        <v>44378</v>
      </c>
      <c r="C68" s="208">
        <f ca="1">Encargos!C31</f>
        <v>27913.671943715599</v>
      </c>
      <c r="D68" s="100">
        <f ca="1">VLOOKUP($B$79,Índices!$B$6:$F$500,VLOOKUP(D$54,$L$7:$M$9,2,FALSE)+1,FALSE)/VLOOKUP(DATE(YEAR($B68),MONTH($B68)-1,1),Índices!$B$6:$F$500,VLOOKUP(D$54,$L$7:$M$9,2,FALSE)+1,FALSE)*C68</f>
        <v>31231.733735270551</v>
      </c>
      <c r="E68" s="208">
        <f ca="1">Encargos!D31</f>
        <v>5363.1296366082461</v>
      </c>
      <c r="F68" s="100">
        <f ca="1">VLOOKUP($B$79,Índices!$B$6:$F$500,VLOOKUP(F$54,$L$7:$M$9,2,FALSE)+1,FALSE)/VLOOKUP(DATE(YEAR($B68),MONTH($B68)-1,1),Índices!$B$6:$F$500,VLOOKUP(F$54,$L$7:$M$9,2,FALSE)+1,FALSE)*E68</f>
        <v>6000.6378643422249</v>
      </c>
      <c r="G68" s="208">
        <f ca="1">Encargos!E31</f>
        <v>1547.711963072843</v>
      </c>
      <c r="H68" s="226">
        <f ca="1">VLOOKUP($B$48,Índices!$B$6:$F$500,VLOOKUP(H$54,$L$7:$M$9,2,FALSE)+1,FALSE)/VLOOKUP(DATE(YEAR($B68),MONTH($B68)-1,1),Índices!$B$6:$F$500,VLOOKUP(H$54,$L$7:$M$9,2,FALSE)+1,FALSE)*G68</f>
        <v>1731.6864662969049</v>
      </c>
      <c r="I68" s="208">
        <f ca="1">Encargos!F31</f>
        <v>58929.123015401303</v>
      </c>
      <c r="J68" s="226">
        <f ca="1">VLOOKUP($B$48,Índices!$B$6:$F$500,VLOOKUP(J$54,$L$7:$M$9,2,FALSE)+1,FALSE)/VLOOKUP(DATE(YEAR($B68),MONTH($B68)-1,1),Índices!$B$6:$F$500,VLOOKUP(J$54,$L$7:$M$9,2,FALSE)+1,FALSE)*I68</f>
        <v>65933.951039514621</v>
      </c>
      <c r="K68" s="208">
        <f ca="1">Encargos!L62</f>
        <v>0</v>
      </c>
      <c r="L68" s="226">
        <f ca="1">VLOOKUP($B$48,Índices!$B$6:$F$500,VLOOKUP(L$54,$L$7:$M$9,2,FALSE)+1,FALSE)/VLOOKUP(DATE(YEAR($B68),MONTH($B68)-1,1),Índices!$B$6:$F$500,VLOOKUP(L$54,$L$7:$M$9,2,FALSE)+1,FALSE)*K68</f>
        <v>0</v>
      </c>
      <c r="M68" s="208">
        <f ca="1">Encargos!G31</f>
        <v>9850.3807679838355</v>
      </c>
      <c r="N68" s="226">
        <f ca="1">VLOOKUP($B$48,Índices!$B$6:$F$500,VLOOKUP(N$54,$L$7:$M$9,2,FALSE)+1,FALSE)/VLOOKUP(DATE(YEAR($B68),MONTH($B68)-1,1),Índices!$B$6:$F$500,VLOOKUP(N$54,$L$7:$M$9,2,FALSE)+1,FALSE)*M68</f>
        <v>11021.282687459654</v>
      </c>
      <c r="O68" s="208">
        <f ca="1">Encargos!H31</f>
        <v>-19499.695337984274</v>
      </c>
      <c r="P68" s="226">
        <f ca="1">VLOOKUP($B$48,Índices!$B$6:$F$500,VLOOKUP(P$54,$L$7:$M$9,2,FALSE)+1,FALSE)/VLOOKUP(DATE(YEAR($B68),MONTH($B68)-1,1),Índices!$B$6:$F$500,VLOOKUP(P$54,$L$7:$M$9,2,FALSE)+1,FALSE)*O68</f>
        <v>-21817.598700121282</v>
      </c>
      <c r="Q68" s="208">
        <f ca="1">Encargos!I31</f>
        <v>-13055.013207145894</v>
      </c>
      <c r="R68" s="226">
        <f ca="1">VLOOKUP($B$48,Índices!$B$6:$F$500,VLOOKUP(R$54,$L$7:$M$9,2,FALSE)+1,FALSE)/VLOOKUP(DATE(YEAR($B68),MONTH($B68)-1,1),Índices!$B$6:$F$500,VLOOKUP(R$54,$L$7:$M$9,2,FALSE)+1,FALSE)*Q68</f>
        <v>-14606.84560663171</v>
      </c>
      <c r="S68" s="208"/>
      <c r="T68" s="226">
        <f>VLOOKUP($B$48,Índices!$B$6:$F$500,VLOOKUP(T$54,$L$7:$M$9,2,FALSE)+1,FALSE)/VLOOKUP(DATE(YEAR($B68),MONTH($B68)-1,1),Índices!$B$6:$F$500,VLOOKUP(T$54,$L$7:$M$9,2,FALSE)+1,FALSE)*S68</f>
        <v>0</v>
      </c>
      <c r="U68" s="208"/>
      <c r="V68" s="226">
        <f>VLOOKUP($B$48,Índices!$B$6:$F$500,VLOOKUP(V$54,$L$7:$M$9,2,FALSE)+1,FALSE)/VLOOKUP(DATE(YEAR($B68),MONTH($B68)-1,1),Índices!$B$6:$F$500,VLOOKUP(V$54,$L$7:$M$9,2,FALSE)+1,FALSE)*U68</f>
        <v>0</v>
      </c>
      <c r="W68" s="208">
        <f>CVE!$D$33</f>
        <v>0</v>
      </c>
      <c r="X68" s="226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9"/>
    </row>
    <row r="69" spans="2:30" ht="14.25">
      <c r="B69" s="271">
        <f t="shared" si="6"/>
        <v>44409</v>
      </c>
      <c r="C69" s="208">
        <f ca="1">Encargos!C32</f>
        <v>23731.612279762601</v>
      </c>
      <c r="D69" s="100">
        <f ca="1">VLOOKUP($B$79,Índices!$B$6:$F$500,VLOOKUP(D$54,$L$7:$M$9,2,FALSE)+1,FALSE)/VLOOKUP(DATE(YEAR($B69),MONTH($B69)-1,1),Índices!$B$6:$F$500,VLOOKUP(D$54,$L$7:$M$9,2,FALSE)+1,FALSE)*C69</f>
        <v>26300.085511530666</v>
      </c>
      <c r="E69" s="208">
        <f ca="1">Encargos!D32</f>
        <v>4545.6077066377911</v>
      </c>
      <c r="F69" s="100">
        <f ca="1">VLOOKUP($B$79,Índices!$B$6:$F$500,VLOOKUP(F$54,$L$7:$M$9,2,FALSE)+1,FALSE)/VLOOKUP(DATE(YEAR($B69),MONTH($B69)-1,1),Índices!$B$6:$F$500,VLOOKUP(F$54,$L$7:$M$9,2,FALSE)+1,FALSE)*E69</f>
        <v>5037.5789886131843</v>
      </c>
      <c r="G69" s="208">
        <f ca="1">Encargos!E32</f>
        <v>1323.501419145603</v>
      </c>
      <c r="H69" s="226">
        <f ca="1">VLOOKUP($B$48,Índices!$B$6:$F$500,VLOOKUP(H$54,$L$7:$M$9,2,FALSE)+1,FALSE)/VLOOKUP(DATE(YEAR($B69),MONTH($B69)-1,1),Índices!$B$6:$F$500,VLOOKUP(H$54,$L$7:$M$9,2,FALSE)+1,FALSE)*G69</f>
        <v>1466.7440242922153</v>
      </c>
      <c r="I69" s="208">
        <f ca="1">Encargos!F32</f>
        <v>50100.291434527491</v>
      </c>
      <c r="J69" s="226">
        <f ca="1">VLOOKUP($B$48,Índices!$B$6:$F$500,VLOOKUP(J$54,$L$7:$M$9,2,FALSE)+1,FALSE)/VLOOKUP(DATE(YEAR($B69),MONTH($B69)-1,1),Índices!$B$6:$F$500,VLOOKUP(J$54,$L$7:$M$9,2,FALSE)+1,FALSE)*I69</f>
        <v>55522.647738700602</v>
      </c>
      <c r="K69" s="208">
        <f ca="1">Encargos!L63</f>
        <v>0</v>
      </c>
      <c r="L69" s="226">
        <f ca="1">VLOOKUP($B$48,Índices!$B$6:$F$500,VLOOKUP(L$54,$L$7:$M$9,2,FALSE)+1,FALSE)/VLOOKUP(DATE(YEAR($B69),MONTH($B69)-1,1),Índices!$B$6:$F$500,VLOOKUP(L$54,$L$7:$M$9,2,FALSE)+1,FALSE)*K69</f>
        <v>0</v>
      </c>
      <c r="M69" s="208">
        <f ca="1">Encargos!G32</f>
        <v>8357.8227860206825</v>
      </c>
      <c r="N69" s="226">
        <f ca="1">VLOOKUP($B$48,Índices!$B$6:$F$500,VLOOKUP(N$54,$L$7:$M$9,2,FALSE)+1,FALSE)/VLOOKUP(DATE(YEAR($B69),MONTH($B69)-1,1),Índices!$B$6:$F$500,VLOOKUP(N$54,$L$7:$M$9,2,FALSE)+1,FALSE)*M69</f>
        <v>9262.3902401275154</v>
      </c>
      <c r="O69" s="208">
        <f ca="1">Encargos!H32</f>
        <v>-15205.04008461404</v>
      </c>
      <c r="P69" s="226">
        <f ca="1">VLOOKUP($B$48,Índices!$B$6:$F$500,VLOOKUP(P$54,$L$7:$M$9,2,FALSE)+1,FALSE)/VLOOKUP(DATE(YEAR($B69),MONTH($B69)-1,1),Índices!$B$6:$F$500,VLOOKUP(P$54,$L$7:$M$9,2,FALSE)+1,FALSE)*O69</f>
        <v>-16850.682107789817</v>
      </c>
      <c r="Q69" s="208">
        <f ca="1">Encargos!I32</f>
        <v>-10137.279942784982</v>
      </c>
      <c r="R69" s="226">
        <f ca="1">VLOOKUP($B$48,Índices!$B$6:$F$500,VLOOKUP(R$54,$L$7:$M$9,2,FALSE)+1,FALSE)/VLOOKUP(DATE(YEAR($B69),MONTH($B69)-1,1),Índices!$B$6:$F$500,VLOOKUP(R$54,$L$7:$M$9,2,FALSE)+1,FALSE)*Q69</f>
        <v>-11234.438107558564</v>
      </c>
      <c r="S69" s="208"/>
      <c r="T69" s="226">
        <f>VLOOKUP($B$48,Índices!$B$6:$F$500,VLOOKUP(T$54,$L$7:$M$9,2,FALSE)+1,FALSE)/VLOOKUP(DATE(YEAR($B69),MONTH($B69)-1,1),Índices!$B$6:$F$500,VLOOKUP(T$54,$L$7:$M$9,2,FALSE)+1,FALSE)*S69</f>
        <v>0</v>
      </c>
      <c r="U69" s="208"/>
      <c r="V69" s="226">
        <f>VLOOKUP($B$48,Índices!$B$6:$F$500,VLOOKUP(V$54,$L$7:$M$9,2,FALSE)+1,FALSE)/VLOOKUP(DATE(YEAR($B69),MONTH($B69)-1,1),Índices!$B$6:$F$500,VLOOKUP(V$54,$L$7:$M$9,2,FALSE)+1,FALSE)*U69</f>
        <v>0</v>
      </c>
      <c r="W69" s="208"/>
      <c r="X69" s="226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9"/>
    </row>
    <row r="70" spans="2:30" ht="14.25">
      <c r="B70" s="271">
        <f t="shared" si="6"/>
        <v>44440</v>
      </c>
      <c r="C70" s="208">
        <f ca="1">Encargos!C33</f>
        <v>8245.4598923799931</v>
      </c>
      <c r="D70" s="100">
        <f ca="1">VLOOKUP($B$79,Índices!$B$6:$F$500,VLOOKUP(D$54,$L$7:$M$9,2,FALSE)+1,FALSE)/VLOOKUP(DATE(YEAR($B70),MONTH($B70)-1,1),Índices!$B$6:$F$500,VLOOKUP(D$54,$L$7:$M$9,2,FALSE)+1,FALSE)*C70</f>
        <v>9059.0536578520223</v>
      </c>
      <c r="E70" s="208">
        <f ca="1">Encargos!D33</f>
        <v>1742.0469404079267</v>
      </c>
      <c r="F70" s="100">
        <f ca="1">VLOOKUP($B$79,Índices!$B$6:$F$500,VLOOKUP(F$54,$L$7:$M$9,2,FALSE)+1,FALSE)/VLOOKUP(DATE(YEAR($B70),MONTH($B70)-1,1),Índices!$B$6:$F$500,VLOOKUP(F$54,$L$7:$M$9,2,FALSE)+1,FALSE)*E70</f>
        <v>1913.9377201066216</v>
      </c>
      <c r="G70" s="208">
        <f ca="1">Encargos!E33</f>
        <v>227.06011561392734</v>
      </c>
      <c r="H70" s="226">
        <f ca="1">VLOOKUP($B$48,Índices!$B$6:$F$500,VLOOKUP(H$54,$L$7:$M$9,2,FALSE)+1,FALSE)/VLOOKUP(DATE(YEAR($B70),MONTH($B70)-1,1),Índices!$B$6:$F$500,VLOOKUP(H$54,$L$7:$M$9,2,FALSE)+1,FALSE)*G70</f>
        <v>249.46452929879302</v>
      </c>
      <c r="I70" s="208">
        <f ca="1">Encargos!F33</f>
        <v>17407.158803627593</v>
      </c>
      <c r="J70" s="226">
        <f ca="1">VLOOKUP($B$48,Índices!$B$6:$F$500,VLOOKUP(J$54,$L$7:$M$9,2,FALSE)+1,FALSE)/VLOOKUP(DATE(YEAR($B70),MONTH($B70)-1,1),Índices!$B$6:$F$500,VLOOKUP(J$54,$L$7:$M$9,2,FALSE)+1,FALSE)*I70</f>
        <v>19124.753220683826</v>
      </c>
      <c r="K70" s="208">
        <f ca="1">Encargos!L64</f>
        <v>0</v>
      </c>
      <c r="L70" s="226">
        <f ca="1">VLOOKUP($B$48,Índices!$B$6:$F$500,VLOOKUP(L$54,$L$7:$M$9,2,FALSE)+1,FALSE)/VLOOKUP(DATE(YEAR($B70),MONTH($B70)-1,1),Índices!$B$6:$F$500,VLOOKUP(L$54,$L$7:$M$9,2,FALSE)+1,FALSE)*K70</f>
        <v>0</v>
      </c>
      <c r="M70" s="208">
        <f ca="1">Encargos!G33</f>
        <v>3273.1916390461993</v>
      </c>
      <c r="N70" s="226">
        <f ca="1">VLOOKUP($B$48,Índices!$B$6:$F$500,VLOOKUP(N$54,$L$7:$M$9,2,FALSE)+1,FALSE)/VLOOKUP(DATE(YEAR($B70),MONTH($B70)-1,1),Índices!$B$6:$F$500,VLOOKUP(N$54,$L$7:$M$9,2,FALSE)+1,FALSE)*M70</f>
        <v>3596.1631100716304</v>
      </c>
      <c r="O70" s="208">
        <f ca="1">Encargos!H33</f>
        <v>-2205.6344562892918</v>
      </c>
      <c r="P70" s="226">
        <f ca="1">VLOOKUP($B$48,Índices!$B$6:$F$500,VLOOKUP(P$54,$L$7:$M$9,2,FALSE)+1,FALSE)/VLOOKUP(DATE(YEAR($B70),MONTH($B70)-1,1),Índices!$B$6:$F$500,VLOOKUP(P$54,$L$7:$M$9,2,FALSE)+1,FALSE)*O70</f>
        <v>-2423.2682166821633</v>
      </c>
      <c r="Q70" s="208">
        <f ca="1">Encargos!I33</f>
        <v>-3327.1386178893154</v>
      </c>
      <c r="R70" s="226">
        <f ca="1">VLOOKUP($B$48,Índices!$B$6:$F$500,VLOOKUP(R$54,$L$7:$M$9,2,FALSE)+1,FALSE)/VLOOKUP(DATE(YEAR($B70),MONTH($B70)-1,1),Índices!$B$6:$F$500,VLOOKUP(R$54,$L$7:$M$9,2,FALSE)+1,FALSE)*Q70</f>
        <v>-3655.4331304704242</v>
      </c>
      <c r="S70" s="208"/>
      <c r="T70" s="226">
        <f>VLOOKUP($B$48,Índices!$B$6:$F$500,VLOOKUP(T$54,$L$7:$M$9,2,FALSE)+1,FALSE)/VLOOKUP(DATE(YEAR($B70),MONTH($B70)-1,1),Índices!$B$6:$F$500,VLOOKUP(T$54,$L$7:$M$9,2,FALSE)+1,FALSE)*S70</f>
        <v>0</v>
      </c>
      <c r="U70" s="208"/>
      <c r="V70" s="226">
        <f>VLOOKUP($B$48,Índices!$B$6:$F$500,VLOOKUP(V$54,$L$7:$M$9,2,FALSE)+1,FALSE)/VLOOKUP(DATE(YEAR($B70),MONTH($B70)-1,1),Índices!$B$6:$F$500,VLOOKUP(V$54,$L$7:$M$9,2,FALSE)+1,FALSE)*U70</f>
        <v>0</v>
      </c>
      <c r="W70" s="208"/>
      <c r="X70" s="226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9"/>
    </row>
    <row r="71" spans="2:30" ht="14.25">
      <c r="B71" s="271">
        <f t="shared" si="6"/>
        <v>44470</v>
      </c>
      <c r="C71" s="208">
        <f ca="1">Encargos!C34</f>
        <v>19739.231235228624</v>
      </c>
      <c r="D71" s="100">
        <f ca="1">VLOOKUP($B$79,Índices!$B$6:$F$500,VLOOKUP(D$54,$L$7:$M$9,2,FALSE)+1,FALSE)/VLOOKUP(DATE(YEAR($B71),MONTH($B71)-1,1),Índices!$B$6:$F$500,VLOOKUP(D$54,$L$7:$M$9,2,FALSE)+1,FALSE)*C71</f>
        <v>21438.259410409577</v>
      </c>
      <c r="E71" s="208">
        <f ca="1">Encargos!D34</f>
        <v>3723.0555955359014</v>
      </c>
      <c r="F71" s="100">
        <f ca="1">VLOOKUP($B$79,Índices!$B$6:$F$500,VLOOKUP(F$54,$L$7:$M$9,2,FALSE)+1,FALSE)/VLOOKUP(DATE(YEAR($B71),MONTH($B71)-1,1),Índices!$B$6:$F$500,VLOOKUP(F$54,$L$7:$M$9,2,FALSE)+1,FALSE)*E71</f>
        <v>4043.5126730785837</v>
      </c>
      <c r="G71" s="208">
        <f ca="1">Encargos!E34</f>
        <v>1128.4378681906019</v>
      </c>
      <c r="H71" s="226">
        <f ca="1">VLOOKUP($B$48,Índices!$B$6:$F$500,VLOOKUP(H$54,$L$7:$M$9,2,FALSE)+1,FALSE)/VLOOKUP(DATE(YEAR($B71),MONTH($B71)-1,1),Índices!$B$6:$F$500,VLOOKUP(H$54,$L$7:$M$9,2,FALSE)+1,FALSE)*G71</f>
        <v>1225.5666625772469</v>
      </c>
      <c r="I71" s="208">
        <f ca="1">Encargos!F34</f>
        <v>41671.894261554524</v>
      </c>
      <c r="J71" s="226">
        <f ca="1">VLOOKUP($B$48,Índices!$B$6:$F$500,VLOOKUP(J$54,$L$7:$M$9,2,FALSE)+1,FALSE)/VLOOKUP(DATE(YEAR($B71),MONTH($B71)-1,1),Índices!$B$6:$F$500,VLOOKUP(J$54,$L$7:$M$9,2,FALSE)+1,FALSE)*I71</f>
        <v>45258.747347159129</v>
      </c>
      <c r="K71" s="208">
        <f ca="1">Encargos!L65</f>
        <v>0</v>
      </c>
      <c r="L71" s="226">
        <f ca="1">VLOOKUP($B$48,Índices!$B$6:$F$500,VLOOKUP(L$54,$L$7:$M$9,2,FALSE)+1,FALSE)/VLOOKUP(DATE(YEAR($B71),MONTH($B71)-1,1),Índices!$B$6:$F$500,VLOOKUP(L$54,$L$7:$M$9,2,FALSE)+1,FALSE)*K71</f>
        <v>0</v>
      </c>
      <c r="M71" s="208">
        <f ca="1">Encargos!G34</f>
        <v>6888.4029477987351</v>
      </c>
      <c r="N71" s="226">
        <f ca="1">VLOOKUP($B$48,Índices!$B$6:$F$500,VLOOKUP(N$54,$L$7:$M$9,2,FALSE)+1,FALSE)/VLOOKUP(DATE(YEAR($B71),MONTH($B71)-1,1),Índices!$B$6:$F$500,VLOOKUP(N$54,$L$7:$M$9,2,FALSE)+1,FALSE)*M71</f>
        <v>7481.3131047769957</v>
      </c>
      <c r="O71" s="208">
        <f ca="1">Encargos!H34</f>
        <v>-13122.942281397176</v>
      </c>
      <c r="P71" s="226">
        <f ca="1">VLOOKUP($B$48,Índices!$B$6:$F$500,VLOOKUP(P$54,$L$7:$M$9,2,FALSE)+1,FALSE)/VLOOKUP(DATE(YEAR($B71),MONTH($B71)-1,1),Índices!$B$6:$F$500,VLOOKUP(P$54,$L$7:$M$9,2,FALSE)+1,FALSE)*O71</f>
        <v>-14252.482151094588</v>
      </c>
      <c r="Q71" s="208">
        <f ca="1">Encargos!I34</f>
        <v>-8679.5003795471712</v>
      </c>
      <c r="R71" s="226">
        <f ca="1">VLOOKUP($B$48,Índices!$B$6:$F$500,VLOOKUP(R$54,$L$7:$M$9,2,FALSE)+1,FALSE)/VLOOKUP(DATE(YEAR($B71),MONTH($B71)-1,1),Índices!$B$6:$F$500,VLOOKUP(R$54,$L$7:$M$9,2,FALSE)+1,FALSE)*Q71</f>
        <v>-9426.5768748579885</v>
      </c>
      <c r="S71" s="208"/>
      <c r="T71" s="226">
        <f>VLOOKUP($B$48,Índices!$B$6:$F$500,VLOOKUP(T$54,$L$7:$M$9,2,FALSE)+1,FALSE)/VLOOKUP(DATE(YEAR($B71),MONTH($B71)-1,1),Índices!$B$6:$F$500,VLOOKUP(T$54,$L$7:$M$9,2,FALSE)+1,FALSE)*S71</f>
        <v>0</v>
      </c>
      <c r="U71" s="208"/>
      <c r="V71" s="226">
        <f>VLOOKUP($B$48,Índices!$B$6:$F$500,VLOOKUP(V$54,$L$7:$M$9,2,FALSE)+1,FALSE)/VLOOKUP(DATE(YEAR($B71),MONTH($B71)-1,1),Índices!$B$6:$F$500,VLOOKUP(V$54,$L$7:$M$9,2,FALSE)+1,FALSE)*U71</f>
        <v>0</v>
      </c>
      <c r="W71" s="208"/>
      <c r="X71" s="226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9"/>
    </row>
    <row r="72" spans="2:30" ht="14.25">
      <c r="B72" s="271">
        <f t="shared" si="6"/>
        <v>44501</v>
      </c>
      <c r="C72" s="208">
        <f ca="1">Encargos!C35</f>
        <v>-18311.425788577268</v>
      </c>
      <c r="D72" s="100">
        <f ca="1">VLOOKUP($B$79,Índices!$B$6:$F$500,VLOOKUP(D$54,$L$7:$M$9,2,FALSE)+1,FALSE)/VLOOKUP(DATE(YEAR($B72),MONTH($B72)-1,1),Índices!$B$6:$F$500,VLOOKUP(D$54,$L$7:$M$9,2,FALSE)+1,FALSE)*C72</f>
        <v>-19642.040667405479</v>
      </c>
      <c r="E72" s="208">
        <f ca="1">Encargos!D35</f>
        <v>-3687.5676223136397</v>
      </c>
      <c r="F72" s="100">
        <f ca="1">VLOOKUP($B$79,Índices!$B$6:$F$500,VLOOKUP(F$54,$L$7:$M$9,2,FALSE)+1,FALSE)/VLOOKUP(DATE(YEAR($B72),MONTH($B72)-1,1),Índices!$B$6:$F$500,VLOOKUP(F$54,$L$7:$M$9,2,FALSE)+1,FALSE)*E72</f>
        <v>-3955.5277692507802</v>
      </c>
      <c r="G72" s="208">
        <f ca="1">Encargos!E35</f>
        <v>-837.63451348519811</v>
      </c>
      <c r="H72" s="226">
        <f ca="1">VLOOKUP($B$48,Índices!$B$6:$F$500,VLOOKUP(H$54,$L$7:$M$9,2,FALSE)+1,FALSE)/VLOOKUP(DATE(YEAR($B72),MONTH($B72)-1,1),Índices!$B$6:$F$500,VLOOKUP(H$54,$L$7:$M$9,2,FALSE)+1,FALSE)*G72</f>
        <v>-898.50191723257353</v>
      </c>
      <c r="I72" s="208">
        <f ca="1">Encargos!F35</f>
        <v>-38657.625018244958</v>
      </c>
      <c r="J72" s="226">
        <f ca="1">VLOOKUP($B$48,Índices!$B$6:$F$500,VLOOKUP(J$54,$L$7:$M$9,2,FALSE)+1,FALSE)/VLOOKUP(DATE(YEAR($B72),MONTH($B72)-1,1),Índices!$B$6:$F$500,VLOOKUP(J$54,$L$7:$M$9,2,FALSE)+1,FALSE)*I72</f>
        <v>-41466.713268572574</v>
      </c>
      <c r="K72" s="208">
        <f ca="1">Encargos!L66</f>
        <v>0</v>
      </c>
      <c r="L72" s="226">
        <f ca="1">VLOOKUP($B$48,Índices!$B$6:$F$500,VLOOKUP(L$54,$L$7:$M$9,2,FALSE)+1,FALSE)/VLOOKUP(DATE(YEAR($B72),MONTH($B72)-1,1),Índices!$B$6:$F$500,VLOOKUP(L$54,$L$7:$M$9,2,FALSE)+1,FALSE)*K72</f>
        <v>0</v>
      </c>
      <c r="M72" s="208">
        <f ca="1">Encargos!G35</f>
        <v>-6769.8371780582966</v>
      </c>
      <c r="N72" s="226">
        <f ca="1">VLOOKUP($B$48,Índices!$B$6:$F$500,VLOOKUP(N$54,$L$7:$M$9,2,FALSE)+1,FALSE)/VLOOKUP(DATE(YEAR($B72),MONTH($B72)-1,1),Índices!$B$6:$F$500,VLOOKUP(N$54,$L$7:$M$9,2,FALSE)+1,FALSE)*M72</f>
        <v>-7261.7729879933167</v>
      </c>
      <c r="O72" s="208">
        <f ca="1">Encargos!H35</f>
        <v>7356.1812152887287</v>
      </c>
      <c r="P72" s="226">
        <f ca="1">VLOOKUP($B$48,Índices!$B$6:$F$500,VLOOKUP(P$54,$L$7:$M$9,2,FALSE)+1,FALSE)/VLOOKUP(DATE(YEAR($B72),MONTH($B72)-1,1),Índices!$B$6:$F$500,VLOOKUP(P$54,$L$7:$M$9,2,FALSE)+1,FALSE)*O72</f>
        <v>7890.724198966479</v>
      </c>
      <c r="Q72" s="208">
        <f ca="1">Encargos!I35</f>
        <v>6961.4489716791722</v>
      </c>
      <c r="R72" s="226">
        <f ca="1">VLOOKUP($B$48,Índices!$B$6:$F$500,VLOOKUP(R$54,$L$7:$M$9,2,FALSE)+1,FALSE)/VLOOKUP(DATE(YEAR($B72),MONTH($B72)-1,1),Índices!$B$6:$F$500,VLOOKUP(R$54,$L$7:$M$9,2,FALSE)+1,FALSE)*Q72</f>
        <v>7467.3084108550102</v>
      </c>
      <c r="S72" s="208"/>
      <c r="T72" s="226">
        <f>VLOOKUP($B$48,Índices!$B$6:$F$500,VLOOKUP(T$54,$L$7:$M$9,2,FALSE)+1,FALSE)/VLOOKUP(DATE(YEAR($B72),MONTH($B72)-1,1),Índices!$B$6:$F$500,VLOOKUP(T$54,$L$7:$M$9,2,FALSE)+1,FALSE)*S72</f>
        <v>0</v>
      </c>
      <c r="U72" s="208"/>
      <c r="V72" s="226">
        <f>VLOOKUP($B$48,Índices!$B$6:$F$500,VLOOKUP(V$54,$L$7:$M$9,2,FALSE)+1,FALSE)/VLOOKUP(DATE(YEAR($B72),MONTH($B72)-1,1),Índices!$B$6:$F$500,VLOOKUP(V$54,$L$7:$M$9,2,FALSE)+1,FALSE)*U72</f>
        <v>0</v>
      </c>
      <c r="W72" s="208"/>
      <c r="X72" s="226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9"/>
    </row>
    <row r="73" spans="2:30" ht="14.25">
      <c r="B73" s="271">
        <f t="shared" si="6"/>
        <v>44531</v>
      </c>
      <c r="C73" s="208">
        <f ca="1">Encargos!C36</f>
        <v>-65782.769866483606</v>
      </c>
      <c r="D73" s="100">
        <f ca="1">VLOOKUP($B$79,Índices!$B$6:$F$500,VLOOKUP(D$54,$L$7:$M$9,2,FALSE)+1,FALSE)/VLOOKUP(DATE(YEAR($B73),MONTH($B73)-1,1),Índices!$B$6:$F$500,VLOOKUP(D$54,$L$7:$M$9,2,FALSE)+1,FALSE)*C73</f>
        <v>-69898.841916315389</v>
      </c>
      <c r="E73" s="208">
        <f ca="1">Encargos!D36</f>
        <v>-12851.499012756343</v>
      </c>
      <c r="F73" s="100">
        <f ca="1">VLOOKUP($B$79,Índices!$B$6:$F$500,VLOOKUP(F$54,$L$7:$M$9,2,FALSE)+1,FALSE)/VLOOKUP(DATE(YEAR($B73),MONTH($B73)-1,1),Índices!$B$6:$F$500,VLOOKUP(F$54,$L$7:$M$9,2,FALSE)+1,FALSE)*E73</f>
        <v>-13655.625929154228</v>
      </c>
      <c r="G73" s="208">
        <f ca="1">Encargos!E36</f>
        <v>-3376.0425541142467</v>
      </c>
      <c r="H73" s="226">
        <f ca="1">VLOOKUP($B$48,Índices!$B$6:$F$500,VLOOKUP(H$54,$L$7:$M$9,2,FALSE)+1,FALSE)/VLOOKUP(DATE(YEAR($B73),MONTH($B73)-1,1),Índices!$B$6:$F$500,VLOOKUP(H$54,$L$7:$M$9,2,FALSE)+1,FALSE)*G73</f>
        <v>-3587.2838020008367</v>
      </c>
      <c r="I73" s="208">
        <f ca="1">Encargos!F36</f>
        <v>-138875.34916840598</v>
      </c>
      <c r="J73" s="226">
        <f ca="1">VLOOKUP($B$48,Índices!$B$6:$F$500,VLOOKUP(J$54,$L$7:$M$9,2,FALSE)+1,FALSE)/VLOOKUP(DATE(YEAR($B73),MONTH($B73)-1,1),Índices!$B$6:$F$500,VLOOKUP(J$54,$L$7:$M$9,2,FALSE)+1,FALSE)*I73</f>
        <v>-147564.87294922123</v>
      </c>
      <c r="K73" s="208">
        <f ca="1">Encargos!L67</f>
        <v>0</v>
      </c>
      <c r="L73" s="226">
        <f ca="1">VLOOKUP($B$48,Índices!$B$6:$F$500,VLOOKUP(L$54,$L$7:$M$9,2,FALSE)+1,FALSE)/VLOOKUP(DATE(YEAR($B73),MONTH($B73)-1,1),Índices!$B$6:$F$500,VLOOKUP(L$54,$L$7:$M$9,2,FALSE)+1,FALSE)*K73</f>
        <v>0</v>
      </c>
      <c r="M73" s="208">
        <f ca="1">Encargos!G36</f>
        <v>-23662.699784019074</v>
      </c>
      <c r="N73" s="226">
        <f ca="1">VLOOKUP($B$48,Índices!$B$6:$F$500,VLOOKUP(N$54,$L$7:$M$9,2,FALSE)+1,FALSE)/VLOOKUP(DATE(YEAR($B73),MONTH($B73)-1,1),Índices!$B$6:$F$500,VLOOKUP(N$54,$L$7:$M$9,2,FALSE)+1,FALSE)*M73</f>
        <v>-25143.290786834015</v>
      </c>
      <c r="O73" s="208">
        <f ca="1">Encargos!H36</f>
        <v>36776.904465257598</v>
      </c>
      <c r="P73" s="226">
        <f ca="1">VLOOKUP($B$48,Índices!$B$6:$F$500,VLOOKUP(P$54,$L$7:$M$9,2,FALSE)+1,FALSE)/VLOOKUP(DATE(YEAR($B73),MONTH($B73)-1,1),Índices!$B$6:$F$500,VLOOKUP(P$54,$L$7:$M$9,2,FALSE)+1,FALSE)*O73</f>
        <v>39078.060054419053</v>
      </c>
      <c r="Q73" s="208">
        <f ca="1">Encargos!I36</f>
        <v>26696.143203534419</v>
      </c>
      <c r="R73" s="226">
        <f ca="1">VLOOKUP($B$48,Índices!$B$6:$F$500,VLOOKUP(R$54,$L$7:$M$9,2,FALSE)+1,FALSE)/VLOOKUP(DATE(YEAR($B73),MONTH($B73)-1,1),Índices!$B$6:$F$500,VLOOKUP(R$54,$L$7:$M$9,2,FALSE)+1,FALSE)*Q73</f>
        <v>28366.538796505039</v>
      </c>
      <c r="S73" s="208"/>
      <c r="T73" s="226">
        <f>VLOOKUP($B$48,Índices!$B$6:$F$500,VLOOKUP(T$54,$L$7:$M$9,2,FALSE)+1,FALSE)/VLOOKUP(DATE(YEAR($B73),MONTH($B73)-1,1),Índices!$B$6:$F$500,VLOOKUP(T$54,$L$7:$M$9,2,FALSE)+1,FALSE)*S73</f>
        <v>0</v>
      </c>
      <c r="U73" s="208"/>
      <c r="V73" s="226">
        <f>VLOOKUP($B$48,Índices!$B$6:$F$500,VLOOKUP(V$54,$L$7:$M$9,2,FALSE)+1,FALSE)/VLOOKUP(DATE(YEAR($B73),MONTH($B73)-1,1),Índices!$B$6:$F$500,VLOOKUP(V$54,$L$7:$M$9,2,FALSE)+1,FALSE)*U73</f>
        <v>0</v>
      </c>
      <c r="W73" s="208"/>
      <c r="X73" s="226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9"/>
    </row>
    <row r="74" spans="2:30" ht="14.25">
      <c r="B74" s="271">
        <f t="shared" si="6"/>
        <v>44562</v>
      </c>
      <c r="C74" s="208">
        <f ca="1">Encargos!C37</f>
        <v>-91173.559082912776</v>
      </c>
      <c r="D74" s="100">
        <f ca="1">VLOOKUP($B$79,Índices!$B$6:$F$500,VLOOKUP(D$54,$L$7:$M$9,2,FALSE)+1,FALSE)/VLOOKUP(DATE(YEAR($B74),MONTH($B74)-1,1),Índices!$B$6:$F$500,VLOOKUP(D$54,$L$7:$M$9,2,FALSE)+1,FALSE)*C74</f>
        <v>-96176.302998905638</v>
      </c>
      <c r="E74" s="208">
        <f ca="1">Encargos!D37</f>
        <v>-17251.520348992199</v>
      </c>
      <c r="F74" s="100">
        <f ca="1">VLOOKUP($B$79,Índices!$B$6:$F$500,VLOOKUP(F$54,$L$7:$M$9,2,FALSE)+1,FALSE)/VLOOKUP(DATE(YEAR($B74),MONTH($B74)-1,1),Índices!$B$6:$F$500,VLOOKUP(F$54,$L$7:$M$9,2,FALSE)+1,FALSE)*E74</f>
        <v>-18198.120869314789</v>
      </c>
      <c r="G74" s="208">
        <f ca="1">Encargos!E37</f>
        <v>-5442.5714801284994</v>
      </c>
      <c r="H74" s="226">
        <f ca="1">VLOOKUP($B$48,Índices!$B$6:$F$500,VLOOKUP(H$54,$L$7:$M$9,2,FALSE)+1,FALSE)/VLOOKUP(DATE(YEAR($B74),MONTH($B74)-1,1),Índices!$B$6:$F$500,VLOOKUP(H$54,$L$7:$M$9,2,FALSE)+1,FALSE)*G74</f>
        <v>-5741.2084054985871</v>
      </c>
      <c r="I74" s="208">
        <f ca="1">Encargos!F37</f>
        <v>-192478.3629248942</v>
      </c>
      <c r="J74" s="226">
        <f ca="1">VLOOKUP($B$48,Índices!$B$6:$F$500,VLOOKUP(J$54,$L$7:$M$9,2,FALSE)+1,FALSE)/VLOOKUP(DATE(YEAR($B74),MONTH($B74)-1,1),Índices!$B$6:$F$500,VLOOKUP(J$54,$L$7:$M$9,2,FALSE)+1,FALSE)*I74</f>
        <v>-203039.75779385073</v>
      </c>
      <c r="K74" s="208">
        <f ca="1">Encargos!L68</f>
        <v>0</v>
      </c>
      <c r="L74" s="226">
        <f ca="1">VLOOKUP($B$48,Índices!$B$6:$F$500,VLOOKUP(L$54,$L$7:$M$9,2,FALSE)+1,FALSE)/VLOOKUP(DATE(YEAR($B74),MONTH($B74)-1,1),Índices!$B$6:$F$500,VLOOKUP(L$54,$L$7:$M$9,2,FALSE)+1,FALSE)*K74</f>
        <v>0</v>
      </c>
      <c r="M74" s="208">
        <f ca="1">Encargos!G37</f>
        <v>-31567.259940119606</v>
      </c>
      <c r="N74" s="226">
        <f ca="1">VLOOKUP($B$48,Índices!$B$6:$F$500,VLOOKUP(N$54,$L$7:$M$9,2,FALSE)+1,FALSE)/VLOOKUP(DATE(YEAR($B74),MONTH($B74)-1,1),Índices!$B$6:$F$500,VLOOKUP(N$54,$L$7:$M$9,2,FALSE)+1,FALSE)*M74</f>
        <v>-33299.373057107659</v>
      </c>
      <c r="O74" s="208">
        <f ca="1">Encargos!H37</f>
        <v>72896.462658275326</v>
      </c>
      <c r="P74" s="226">
        <f ca="1">VLOOKUP($B$48,Índices!$B$6:$F$500,VLOOKUP(P$54,$L$7:$M$9,2,FALSE)+1,FALSE)/VLOOKUP(DATE(YEAR($B74),MONTH($B74)-1,1),Índices!$B$6:$F$500,VLOOKUP(P$54,$L$7:$M$9,2,FALSE)+1,FALSE)*O74</f>
        <v>76896.332124042776</v>
      </c>
      <c r="Q74" s="208">
        <f ca="1">Encargos!I37</f>
        <v>43975.001342624513</v>
      </c>
      <c r="R74" s="226">
        <f ca="1">VLOOKUP($B$48,Índices!$B$6:$F$500,VLOOKUP(R$54,$L$7:$M$9,2,FALSE)+1,FALSE)/VLOOKUP(DATE(YEAR($B74),MONTH($B74)-1,1),Índices!$B$6:$F$500,VLOOKUP(R$54,$L$7:$M$9,2,FALSE)+1,FALSE)*Q74</f>
        <v>46387.934134055082</v>
      </c>
      <c r="S74" s="208"/>
      <c r="T74" s="226">
        <f>VLOOKUP($B$48,Índices!$B$6:$F$500,VLOOKUP(T$54,$L$7:$M$9,2,FALSE)+1,FALSE)/VLOOKUP(DATE(YEAR($B74),MONTH($B74)-1,1),Índices!$B$6:$F$500,VLOOKUP(T$54,$L$7:$M$9,2,FALSE)+1,FALSE)*S74</f>
        <v>0</v>
      </c>
      <c r="U74" s="208"/>
      <c r="V74" s="226">
        <f>VLOOKUP($B$48,Índices!$B$6:$F$500,VLOOKUP(V$54,$L$7:$M$9,2,FALSE)+1,FALSE)/VLOOKUP(DATE(YEAR($B74),MONTH($B74)-1,1),Índices!$B$6:$F$500,VLOOKUP(V$54,$L$7:$M$9,2,FALSE)+1,FALSE)*U74</f>
        <v>0</v>
      </c>
      <c r="W74" s="208"/>
      <c r="X74" s="226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9"/>
    </row>
    <row r="75" spans="2:30" ht="14.25">
      <c r="B75" s="271">
        <f t="shared" si="6"/>
        <v>44593</v>
      </c>
      <c r="C75" s="208">
        <f ca="1">Encargos!C38</f>
        <v>-170285.16421793736</v>
      </c>
      <c r="D75" s="100">
        <f ca="1">VLOOKUP($B$79,Índices!$B$6:$F$500,VLOOKUP(D$54,$L$7:$M$9,2,FALSE)+1,FALSE)/VLOOKUP(DATE(YEAR($B75),MONTH($B75)-1,1),Índices!$B$6:$F$500,VLOOKUP(D$54,$L$7:$M$9,2,FALSE)+1,FALSE)*C75</f>
        <v>-178663.96841527929</v>
      </c>
      <c r="E75" s="208">
        <f ca="1">Encargos!D38</f>
        <v>-31125.837712807806</v>
      </c>
      <c r="F75" s="100">
        <f ca="1">VLOOKUP($B$79,Índices!$B$6:$F$500,VLOOKUP(F$54,$L$7:$M$9,2,FALSE)+1,FALSE)/VLOOKUP(DATE(YEAR($B75),MONTH($B75)-1,1),Índices!$B$6:$F$500,VLOOKUP(F$54,$L$7:$M$9,2,FALSE)+1,FALSE)*E75</f>
        <v>-32657.370426603589</v>
      </c>
      <c r="G75" s="208">
        <f ca="1">Encargos!E38</f>
        <v>-11930.035769400532</v>
      </c>
      <c r="H75" s="226">
        <f ca="1">VLOOKUP($B$48,Índices!$B$6:$F$500,VLOOKUP(H$54,$L$7:$M$9,2,FALSE)+1,FALSE)/VLOOKUP(DATE(YEAR($B75),MONTH($B75)-1,1),Índices!$B$6:$F$500,VLOOKUP(H$54,$L$7:$M$9,2,FALSE)+1,FALSE)*G75</f>
        <v>-12517.047763300136</v>
      </c>
      <c r="I75" s="208">
        <f ca="1">Encargos!F38</f>
        <v>-359492.48848845332</v>
      </c>
      <c r="J75" s="226">
        <f ca="1">VLOOKUP($B$48,Índices!$B$6:$F$500,VLOOKUP(J$54,$L$7:$M$9,2,FALSE)+1,FALSE)/VLOOKUP(DATE(YEAR($B75),MONTH($B75)-1,1),Índices!$B$6:$F$500,VLOOKUP(J$54,$L$7:$M$9,2,FALSE)+1,FALSE)*I75</f>
        <v>-377181.1531780262</v>
      </c>
      <c r="K75" s="208">
        <f ca="1">Encargos!L69</f>
        <v>0</v>
      </c>
      <c r="L75" s="226">
        <f ca="1">VLOOKUP($B$48,Índices!$B$6:$F$500,VLOOKUP(L$54,$L$7:$M$9,2,FALSE)+1,FALSE)/VLOOKUP(DATE(YEAR($B75),MONTH($B75)-1,1),Índices!$B$6:$F$500,VLOOKUP(L$54,$L$7:$M$9,2,FALSE)+1,FALSE)*K75</f>
        <v>0</v>
      </c>
      <c r="M75" s="208">
        <f ca="1">Encargos!G38</f>
        <v>-56217.5825219244</v>
      </c>
      <c r="N75" s="226">
        <f ca="1">VLOOKUP($B$48,Índices!$B$6:$F$500,VLOOKUP(N$54,$L$7:$M$9,2,FALSE)+1,FALSE)/VLOOKUP(DATE(YEAR($B75),MONTH($B75)-1,1),Índices!$B$6:$F$500,VLOOKUP(N$54,$L$7:$M$9,2,FALSE)+1,FALSE)*M75</f>
        <v>-58983.74314761618</v>
      </c>
      <c r="O75" s="208">
        <f ca="1">Encargos!H38</f>
        <v>172378.07492494269</v>
      </c>
      <c r="P75" s="226">
        <f ca="1">VLOOKUP($B$48,Índices!$B$6:$F$500,VLOOKUP(P$54,$L$7:$M$9,2,FALSE)+1,FALSE)/VLOOKUP(DATE(YEAR($B75),MONTH($B75)-1,1),Índices!$B$6:$F$500,VLOOKUP(P$54,$L$7:$M$9,2,FALSE)+1,FALSE)*O75</f>
        <v>180859.85984345936</v>
      </c>
      <c r="Q75" s="208">
        <f ca="1">Encargos!I38</f>
        <v>92111.385445800086</v>
      </c>
      <c r="R75" s="226">
        <f ca="1">VLOOKUP($B$48,Índices!$B$6:$F$500,VLOOKUP(R$54,$L$7:$M$9,2,FALSE)+1,FALSE)/VLOOKUP(DATE(YEAR($B75),MONTH($B75)-1,1),Índices!$B$6:$F$500,VLOOKUP(R$54,$L$7:$M$9,2,FALSE)+1,FALSE)*Q75</f>
        <v>96643.684348883005</v>
      </c>
      <c r="S75" s="208"/>
      <c r="T75" s="226">
        <f>VLOOKUP($B$48,Índices!$B$6:$F$500,VLOOKUP(T$54,$L$7:$M$9,2,FALSE)+1,FALSE)/VLOOKUP(DATE(YEAR($B75),MONTH($B75)-1,1),Índices!$B$6:$F$500,VLOOKUP(T$54,$L$7:$M$9,2,FALSE)+1,FALSE)*S75</f>
        <v>0</v>
      </c>
      <c r="U75" s="208"/>
      <c r="V75" s="226">
        <f>VLOOKUP($B$48,Índices!$B$6:$F$500,VLOOKUP(V$54,$L$7:$M$9,2,FALSE)+1,FALSE)/VLOOKUP(DATE(YEAR($B75),MONTH($B75)-1,1),Índices!$B$6:$F$500,VLOOKUP(V$54,$L$7:$M$9,2,FALSE)+1,FALSE)*U75</f>
        <v>0</v>
      </c>
      <c r="W75" s="208"/>
      <c r="X75" s="226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9"/>
    </row>
    <row r="76" spans="2:30" ht="14.25">
      <c r="B76" s="271">
        <f t="shared" si="6"/>
        <v>44621</v>
      </c>
      <c r="C76" s="208">
        <f ca="1">Encargos!C39</f>
        <v>95091.465734139521</v>
      </c>
      <c r="D76" s="100">
        <f ca="1">VLOOKUP($B$79,Índices!$B$6:$F$500,VLOOKUP(D$54,$L$7:$M$9,2,FALSE)+1,FALSE)/VLOOKUP(DATE(YEAR($B76),MONTH($B76)-1,1),Índices!$B$6:$F$500,VLOOKUP(D$54,$L$7:$M$9,2,FALSE)+1,FALSE)*C76</f>
        <v>98772.732679630179</v>
      </c>
      <c r="E76" s="208">
        <f ca="1">Encargos!D39</f>
        <v>16210.385557795638</v>
      </c>
      <c r="F76" s="100">
        <f ca="1">VLOOKUP($B$79,Índices!$B$6:$F$500,VLOOKUP(F$54,$L$7:$M$9,2,FALSE)+1,FALSE)/VLOOKUP(DATE(YEAR($B76),MONTH($B76)-1,1),Índices!$B$6:$F$500,VLOOKUP(F$54,$L$7:$M$9,2,FALSE)+1,FALSE)*E76</f>
        <v>16837.936685195578</v>
      </c>
      <c r="G76" s="208">
        <f ca="1">Encargos!E39</f>
        <v>6467.2867023700128</v>
      </c>
      <c r="H76" s="226">
        <f ca="1">VLOOKUP($B$48,Índices!$B$6:$F$500,VLOOKUP(H$54,$L$7:$M$9,2,FALSE)+1,FALSE)/VLOOKUP(DATE(YEAR($B76),MONTH($B76)-1,1),Índices!$B$6:$F$500,VLOOKUP(H$54,$L$7:$M$9,2,FALSE)+1,FALSE)*G76</f>
        <v>6717.6541625899317</v>
      </c>
      <c r="I76" s="208">
        <f ca="1">Encargos!F39</f>
        <v>200749.53568491439</v>
      </c>
      <c r="J76" s="226">
        <f ca="1">VLOOKUP($B$48,Índices!$B$6:$F$500,VLOOKUP(J$54,$L$7:$M$9,2,FALSE)+1,FALSE)/VLOOKUP(DATE(YEAR($B76),MONTH($B76)-1,1),Índices!$B$6:$F$500,VLOOKUP(J$54,$L$7:$M$9,2,FALSE)+1,FALSE)*I76</f>
        <v>208521.13352846465</v>
      </c>
      <c r="K76" s="208">
        <f ca="1">Encargos!L70</f>
        <v>0</v>
      </c>
      <c r="L76" s="226">
        <f ca="1">VLOOKUP($B$48,Índices!$B$6:$F$500,VLOOKUP(L$54,$L$7:$M$9,2,FALSE)+1,FALSE)/VLOOKUP(DATE(YEAR($B76),MONTH($B76)-1,1),Índices!$B$6:$F$500,VLOOKUP(L$54,$L$7:$M$9,2,FALSE)+1,FALSE)*K76</f>
        <v>0</v>
      </c>
      <c r="M76" s="208">
        <f ca="1">Encargos!G39</f>
        <v>31049.76352494477</v>
      </c>
      <c r="N76" s="226">
        <f ca="1">VLOOKUP($B$48,Índices!$B$6:$F$500,VLOOKUP(N$54,$L$7:$M$9,2,FALSE)+1,FALSE)/VLOOKUP(DATE(YEAR($B76),MONTH($B76)-1,1),Índices!$B$6:$F$500,VLOOKUP(N$54,$L$7:$M$9,2,FALSE)+1,FALSE)*M76</f>
        <v>32251.790092179013</v>
      </c>
      <c r="O76" s="208">
        <f ca="1">Encargos!H39</f>
        <v>-94843.999401091249</v>
      </c>
      <c r="P76" s="226">
        <f ca="1">VLOOKUP($B$48,Índices!$B$6:$F$500,VLOOKUP(P$54,$L$7:$M$9,2,FALSE)+1,FALSE)/VLOOKUP(DATE(YEAR($B76),MONTH($B76)-1,1),Índices!$B$6:$F$500,VLOOKUP(P$54,$L$7:$M$9,2,FALSE)+1,FALSE)*O76</f>
        <v>-98515.68620576759</v>
      </c>
      <c r="Q76" s="208">
        <f ca="1">Encargos!I39</f>
        <v>-49903.242918263917</v>
      </c>
      <c r="R76" s="226">
        <f ca="1">VLOOKUP($B$48,Índices!$B$6:$F$500,VLOOKUP(R$54,$L$7:$M$9,2,FALSE)+1,FALSE)/VLOOKUP(DATE(YEAR($B76),MONTH($B76)-1,1),Índices!$B$6:$F$500,VLOOKUP(R$54,$L$7:$M$9,2,FALSE)+1,FALSE)*Q76</f>
        <v>-51835.142455299254</v>
      </c>
      <c r="S76" s="208"/>
      <c r="T76" s="226">
        <f>VLOOKUP($B$48,Índices!$B$6:$F$500,VLOOKUP(T$54,$L$7:$M$9,2,FALSE)+1,FALSE)/VLOOKUP(DATE(YEAR($B76),MONTH($B76)-1,1),Índices!$B$6:$F$500,VLOOKUP(T$54,$L$7:$M$9,2,FALSE)+1,FALSE)*S76</f>
        <v>0</v>
      </c>
      <c r="U76" s="208"/>
      <c r="V76" s="226">
        <f>VLOOKUP($B$48,Índices!$B$6:$F$500,VLOOKUP(V$54,$L$7:$M$9,2,FALSE)+1,FALSE)/VLOOKUP(DATE(YEAR($B76),MONTH($B76)-1,1),Índices!$B$6:$F$500,VLOOKUP(V$54,$L$7:$M$9,2,FALSE)+1,FALSE)*U76</f>
        <v>0</v>
      </c>
      <c r="W76" s="208"/>
      <c r="X76" s="226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9"/>
    </row>
    <row r="77" spans="2:30" ht="14.25">
      <c r="B77" s="271">
        <f t="shared" si="6"/>
        <v>44652</v>
      </c>
      <c r="C77" s="208">
        <f ca="1">Encargos!C40</f>
        <v>2010.7681847922213</v>
      </c>
      <c r="D77" s="100">
        <f ca="1">VLOOKUP($B$79,Índices!$B$6:$F$500,VLOOKUP(D$54,$L$7:$M$9,2,FALSE)+1,FALSE)/VLOOKUP(DATE(YEAR($B77),MONTH($B77)-1,1),Índices!$B$6:$F$500,VLOOKUP(D$54,$L$7:$M$9,2,FALSE)+1,FALSE)*C77</f>
        <v>2055.3137520192372</v>
      </c>
      <c r="E77" s="208">
        <f ca="1">Encargos!D40</f>
        <v>-157.68315932931728</v>
      </c>
      <c r="F77" s="100">
        <f ca="1">VLOOKUP($B$79,Índices!$B$6:$F$500,VLOOKUP(F$54,$L$7:$M$9,2,FALSE)+1,FALSE)/VLOOKUP(DATE(YEAR($B77),MONTH($B77)-1,1),Índices!$B$6:$F$500,VLOOKUP(F$54,$L$7:$M$9,2,FALSE)+1,FALSE)*E77</f>
        <v>-161.1763943166205</v>
      </c>
      <c r="G77" s="208">
        <f ca="1">Encargos!E40</f>
        <v>-314.88692955947772</v>
      </c>
      <c r="H77" s="226">
        <f ca="1">VLOOKUP($B$48,Índices!$B$6:$F$500,VLOOKUP(H$54,$L$7:$M$9,2,FALSE)+1,FALSE)/VLOOKUP(DATE(YEAR($B77),MONTH($B77)-1,1),Índices!$B$6:$F$500,VLOOKUP(H$54,$L$7:$M$9,2,FALSE)+1,FALSE)*G77</f>
        <v>-321.8627793842798</v>
      </c>
      <c r="I77" s="208">
        <f ca="1">Encargos!F40</f>
        <v>4244.9737876122817</v>
      </c>
      <c r="J77" s="226">
        <f ca="1">VLOOKUP($B$48,Índices!$B$6:$F$500,VLOOKUP(J$54,$L$7:$M$9,2,FALSE)+1,FALSE)/VLOOKUP(DATE(YEAR($B77),MONTH($B77)-1,1),Índices!$B$6:$F$500,VLOOKUP(J$54,$L$7:$M$9,2,FALSE)+1,FALSE)*I77</f>
        <v>4339.0148444895285</v>
      </c>
      <c r="K77" s="208">
        <f ca="1">Encargos!L71</f>
        <v>0</v>
      </c>
      <c r="L77" s="226">
        <f ca="1">VLOOKUP($B$48,Índices!$B$6:$F$500,VLOOKUP(L$54,$L$7:$M$9,2,FALSE)+1,FALSE)/VLOOKUP(DATE(YEAR($B77),MONTH($B77)-1,1),Índices!$B$6:$F$500,VLOOKUP(L$54,$L$7:$M$9,2,FALSE)+1,FALSE)*K77</f>
        <v>0</v>
      </c>
      <c r="M77" s="208">
        <f ca="1">Encargos!G40</f>
        <v>967.24303678816068</v>
      </c>
      <c r="N77" s="226">
        <f ca="1">VLOOKUP($B$48,Índices!$B$6:$F$500,VLOOKUP(N$54,$L$7:$M$9,2,FALSE)+1,FALSE)/VLOOKUP(DATE(YEAR($B77),MONTH($B77)-1,1),Índices!$B$6:$F$500,VLOOKUP(N$54,$L$7:$M$9,2,FALSE)+1,FALSE)*M77</f>
        <v>988.67086225604896</v>
      </c>
      <c r="O77" s="208">
        <f ca="1">Encargos!H40</f>
        <v>4739.9631929739262</v>
      </c>
      <c r="P77" s="226">
        <f ca="1">VLOOKUP($B$48,Índices!$B$6:$F$500,VLOOKUP(P$54,$L$7:$M$9,2,FALSE)+1,FALSE)/VLOOKUP(DATE(YEAR($B77),MONTH($B77)-1,1),Índices!$B$6:$F$500,VLOOKUP(P$54,$L$7:$M$9,2,FALSE)+1,FALSE)*O77</f>
        <v>4844.9700011495888</v>
      </c>
      <c r="Q77" s="208">
        <f ca="1">Encargos!I40</f>
        <v>753.82161830581026</v>
      </c>
      <c r="R77" s="226">
        <f ca="1">VLOOKUP($B$48,Índices!$B$6:$F$500,VLOOKUP(R$54,$L$7:$M$9,2,FALSE)+1,FALSE)/VLOOKUP(DATE(YEAR($B77),MONTH($B77)-1,1),Índices!$B$6:$F$500,VLOOKUP(R$54,$L$7:$M$9,2,FALSE)+1,FALSE)*Q77</f>
        <v>770.52141086737265</v>
      </c>
      <c r="S77" s="208"/>
      <c r="T77" s="226">
        <f>VLOOKUP($B$48,Índices!$B$6:$F$500,VLOOKUP(T$54,$L$7:$M$9,2,FALSE)+1,FALSE)/VLOOKUP(DATE(YEAR($B77),MONTH($B77)-1,1),Índices!$B$6:$F$500,VLOOKUP(T$54,$L$7:$M$9,2,FALSE)+1,FALSE)*S77</f>
        <v>0</v>
      </c>
      <c r="U77" s="208"/>
      <c r="V77" s="226">
        <f>VLOOKUP($B$48,Índices!$B$6:$F$500,VLOOKUP(V$54,$L$7:$M$9,2,FALSE)+1,FALSE)/VLOOKUP(DATE(YEAR($B77),MONTH($B77)-1,1),Índices!$B$6:$F$500,VLOOKUP(V$54,$L$7:$M$9,2,FALSE)+1,FALSE)*U77</f>
        <v>0</v>
      </c>
      <c r="W77" s="208"/>
      <c r="X77" s="226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9"/>
    </row>
    <row r="78" spans="2:30" ht="14.25">
      <c r="B78" s="271">
        <f t="shared" si="6"/>
        <v>44682</v>
      </c>
      <c r="C78" s="208">
        <f ca="1">Encargos!C41</f>
        <v>28187.856901000137</v>
      </c>
      <c r="D78" s="100">
        <f ca="1">VLOOKUP($B$79,Índices!$B$6:$F$500,VLOOKUP(D$54,$L$7:$M$9,2,FALSE)+1,FALSE)/VLOOKUP(DATE(YEAR($B78),MONTH($B78)-1,1),Índices!$B$6:$F$500,VLOOKUP(D$54,$L$7:$M$9,2,FALSE)+1,FALSE)*C78</f>
        <v>28510.104525593732</v>
      </c>
      <c r="E78" s="208">
        <f ca="1">Encargos!D41</f>
        <v>4576.2820957632284</v>
      </c>
      <c r="F78" s="100">
        <f ca="1">VLOOKUP($B$79,Índices!$B$6:$F$500,VLOOKUP(F$54,$L$7:$M$9,2,FALSE)+1,FALSE)/VLOOKUP(DATE(YEAR($B78),MONTH($B78)-1,1),Índices!$B$6:$F$500,VLOOKUP(F$54,$L$7:$M$9,2,FALSE)+1,FALSE)*E78</f>
        <v>4628.5988093044261</v>
      </c>
      <c r="G78" s="208">
        <f ca="1">Encargos!E41</f>
        <v>1590.8303268572326</v>
      </c>
      <c r="H78" s="226">
        <f ca="1">VLOOKUP($B$48,Índices!$B$6:$F$500,VLOOKUP(H$54,$L$7:$M$9,2,FALSE)+1,FALSE)/VLOOKUP(DATE(YEAR($B78),MONTH($B78)-1,1),Índices!$B$6:$F$500,VLOOKUP(H$54,$L$7:$M$9,2,FALSE)+1,FALSE)*G78</f>
        <v>1609.0169274122754</v>
      </c>
      <c r="I78" s="208">
        <f ca="1">Encargos!F41</f>
        <v>59507.960479328409</v>
      </c>
      <c r="J78" s="226">
        <f ca="1">VLOOKUP($B$48,Índices!$B$6:$F$500,VLOOKUP(J$54,$L$7:$M$9,2,FALSE)+1,FALSE)/VLOOKUP(DATE(YEAR($B78),MONTH($B78)-1,1),Índices!$B$6:$F$500,VLOOKUP(J$54,$L$7:$M$9,2,FALSE)+1,FALSE)*I78</f>
        <v>60188.264021957533</v>
      </c>
      <c r="K78" s="208">
        <f ca="1">Encargos!L72</f>
        <v>0</v>
      </c>
      <c r="L78" s="226">
        <f ca="1">VLOOKUP($B$48,Índices!$B$6:$F$500,VLOOKUP(L$54,$L$7:$M$9,2,FALSE)+1,FALSE)/VLOOKUP(DATE(YEAR($B78),MONTH($B78)-1,1),Índices!$B$6:$F$500,VLOOKUP(L$54,$L$7:$M$9,2,FALSE)+1,FALSE)*K78</f>
        <v>0</v>
      </c>
      <c r="M78" s="208">
        <f ca="1">Encargos!G41</f>
        <v>9494.4881072818243</v>
      </c>
      <c r="N78" s="226">
        <f ca="1">VLOOKUP($B$48,Índices!$B$6:$F$500,VLOOKUP(N$54,$L$7:$M$9,2,FALSE)+1,FALSE)/VLOOKUP(DATE(YEAR($B78),MONTH($B78)-1,1),Índices!$B$6:$F$500,VLOOKUP(N$54,$L$7:$M$9,2,FALSE)+1,FALSE)*M78</f>
        <v>9603.030457629684</v>
      </c>
      <c r="O78" s="208">
        <f ca="1">Encargos!H41</f>
        <v>-24111.502879716165</v>
      </c>
      <c r="P78" s="226">
        <f ca="1">VLOOKUP($B$48,Índices!$B$6:$F$500,VLOOKUP(P$54,$L$7:$M$9,2,FALSE)+1,FALSE)/VLOOKUP(DATE(YEAR($B78),MONTH($B78)-1,1),Índices!$B$6:$F$500,VLOOKUP(P$54,$L$7:$M$9,2,FALSE)+1,FALSE)*O78</f>
        <v>-24387.149040247597</v>
      </c>
      <c r="Q78" s="208">
        <f ca="1">Encargos!I41</f>
        <v>-14217.637183567786</v>
      </c>
      <c r="R78" s="226">
        <f ca="1">VLOOKUP($B$48,Índices!$B$6:$F$500,VLOOKUP(R$54,$L$7:$M$9,2,FALSE)+1,FALSE)/VLOOKUP(DATE(YEAR($B78),MONTH($B78)-1,1),Índices!$B$6:$F$500,VLOOKUP(R$54,$L$7:$M$9,2,FALSE)+1,FALSE)*Q78</f>
        <v>-14380.175251851215</v>
      </c>
      <c r="S78" s="208"/>
      <c r="T78" s="226">
        <f>VLOOKUP($B$48,Índices!$B$6:$F$500,VLOOKUP(T$54,$L$7:$M$9,2,FALSE)+1,FALSE)/VLOOKUP(DATE(YEAR($B78),MONTH($B78)-1,1),Índices!$B$6:$F$500,VLOOKUP(T$54,$L$7:$M$9,2,FALSE)+1,FALSE)*S78</f>
        <v>0</v>
      </c>
      <c r="U78" s="208"/>
      <c r="V78" s="226">
        <f>VLOOKUP($B$48,Índices!$B$6:$F$500,VLOOKUP(V$54,$L$7:$M$9,2,FALSE)+1,FALSE)/VLOOKUP(DATE(YEAR($B78),MONTH($B78)-1,1),Índices!$B$6:$F$500,VLOOKUP(V$54,$L$7:$M$9,2,FALSE)+1,FALSE)*U78</f>
        <v>0</v>
      </c>
      <c r="W78" s="208"/>
      <c r="X78" s="226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9"/>
    </row>
    <row r="79" spans="2:30" ht="14.25">
      <c r="B79" s="271">
        <f t="shared" si="6"/>
        <v>44713</v>
      </c>
      <c r="C79" s="208">
        <f ca="1">Encargos!C42</f>
        <v>22151.404965179623</v>
      </c>
      <c r="D79" s="100">
        <f ca="1">VLOOKUP($B$79,Índices!$B$6:$F$500,VLOOKUP(D$54,$L$7:$M$9,2,FALSE)+1,FALSE)/VLOOKUP(DATE(YEAR($B79),MONTH($B79)-1,1),Índices!$B$6:$F$500,VLOOKUP(D$54,$L$7:$M$9,2,FALSE)+1,FALSE)*C79</f>
        <v>22299.83217282327</v>
      </c>
      <c r="E79" s="208">
        <f ca="1">Encargos!D42</f>
        <v>3539.3756103129854</v>
      </c>
      <c r="F79" s="100">
        <f ca="1">VLOOKUP($B$79,Índices!$B$6:$F$500,VLOOKUP(F$54,$L$7:$M$9,2,FALSE)+1,FALSE)/VLOOKUP(DATE(YEAR($B79),MONTH($B79)-1,1),Índices!$B$6:$F$500,VLOOKUP(F$54,$L$7:$M$9,2,FALSE)+1,FALSE)*E79</f>
        <v>3563.0914712015642</v>
      </c>
      <c r="G79" s="208">
        <f ca="1">Encargos!E42</f>
        <v>1111.1054034621047</v>
      </c>
      <c r="H79" s="226">
        <f ca="1">VLOOKUP($B$48,Índices!$B$6:$F$500,VLOOKUP(H$54,$L$7:$M$9,2,FALSE)+1,FALSE)/VLOOKUP(DATE(YEAR($B79),MONTH($B79)-1,1),Índices!$B$6:$F$500,VLOOKUP(H$54,$L$7:$M$9,2,FALSE)+1,FALSE)*G79</f>
        <v>1118.5504514260097</v>
      </c>
      <c r="I79" s="208">
        <f ca="1">Encargos!F42</f>
        <v>46764.283494810225</v>
      </c>
      <c r="J79" s="226">
        <f ca="1">VLOOKUP($B$48,Índices!$B$6:$F$500,VLOOKUP(J$54,$L$7:$M$9,2,FALSE)+1,FALSE)/VLOOKUP(DATE(YEAR($B79),MONTH($B79)-1,1),Índices!$B$6:$F$500,VLOOKUP(J$54,$L$7:$M$9,2,FALSE)+1,FALSE)*I79</f>
        <v>47077.631204695957</v>
      </c>
      <c r="K79" s="208">
        <f ca="1">Encargos!L73</f>
        <v>0</v>
      </c>
      <c r="L79" s="226">
        <f ca="1">VLOOKUP($B$48,Índices!$B$6:$F$500,VLOOKUP(L$54,$L$7:$M$9,2,FALSE)+1,FALSE)/VLOOKUP(DATE(YEAR($B79),MONTH($B79)-1,1),Índices!$B$6:$F$500,VLOOKUP(L$54,$L$7:$M$9,2,FALSE)+1,FALSE)*K79</f>
        <v>0</v>
      </c>
      <c r="M79" s="208">
        <f ca="1">Encargos!G42</f>
        <v>7605.4148802132113</v>
      </c>
      <c r="N79" s="226">
        <f ca="1">VLOOKUP($B$48,Índices!$B$6:$F$500,VLOOKUP(N$54,$L$7:$M$9,2,FALSE)+1,FALSE)/VLOOKUP(DATE(YEAR($B79),MONTH($B79)-1,1),Índices!$B$6:$F$500,VLOOKUP(N$54,$L$7:$M$9,2,FALSE)+1,FALSE)*M79</f>
        <v>7656.3755527040057</v>
      </c>
      <c r="O79" s="208">
        <f ca="1">Encargos!H42</f>
        <v>-19456.049478961446</v>
      </c>
      <c r="P79" s="226">
        <f ca="1">VLOOKUP($B$48,Índices!$B$6:$F$500,VLOOKUP(P$54,$L$7:$M$9,2,FALSE)+1,FALSE)/VLOOKUP(DATE(YEAR($B79),MONTH($B79)-1,1),Índices!$B$6:$F$500,VLOOKUP(P$54,$L$7:$M$9,2,FALSE)+1,FALSE)*O79</f>
        <v>-19586.416248043508</v>
      </c>
      <c r="Q79" s="208">
        <f ca="1">Encargos!I42</f>
        <v>-11654.725565327826</v>
      </c>
      <c r="R79" s="226">
        <f ca="1">VLOOKUP($B$48,Índices!$B$6:$F$500,VLOOKUP(R$54,$L$7:$M$9,2,FALSE)+1,FALSE)/VLOOKUP(DATE(YEAR($B79),MONTH($B79)-1,1),Índices!$B$6:$F$500,VLOOKUP(R$54,$L$7:$M$9,2,FALSE)+1,FALSE)*Q79</f>
        <v>-11732.818958240548</v>
      </c>
      <c r="S79" s="208"/>
      <c r="T79" s="226">
        <f>VLOOKUP($B$48,Índices!$B$6:$F$500,VLOOKUP(T$54,$L$7:$M$9,2,FALSE)+1,FALSE)/VLOOKUP(DATE(YEAR($B79),MONTH($B79)-1,1),Índices!$B$6:$F$500,VLOOKUP(T$54,$L$7:$M$9,2,FALSE)+1,FALSE)*S79</f>
        <v>0</v>
      </c>
      <c r="U79" s="208"/>
      <c r="V79" s="226">
        <f>VLOOKUP($B$48,Índices!$B$6:$F$500,VLOOKUP(V$54,$L$7:$M$9,2,FALSE)+1,FALSE)/VLOOKUP(DATE(YEAR($B79),MONTH($B79)-1,1),Índices!$B$6:$F$500,VLOOKUP(V$54,$L$7:$M$9,2,FALSE)+1,FALSE)*U79</f>
        <v>0</v>
      </c>
      <c r="W79" s="208"/>
      <c r="X79" s="226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9"/>
    </row>
    <row r="80" spans="2:30" ht="14.25">
      <c r="C80" s="1451">
        <f ca="1">SUM(C56:C79)</f>
        <v>-118481.44781971269</v>
      </c>
      <c r="D80" s="1452">
        <f ca="1">SUM(D56:D79)</f>
        <v>-124714.0385527766</v>
      </c>
      <c r="E80" s="1451">
        <f ca="1">SUM(E56:E79)</f>
        <v>-25374.224713137584</v>
      </c>
      <c r="F80" s="1452">
        <f ca="1">SUM(F56:F79)</f>
        <v>-26602.52717679783</v>
      </c>
      <c r="G80" s="1451">
        <f ca="1">SUM(G55:G79)</f>
        <v>-8505.2374479756309</v>
      </c>
      <c r="H80" s="1451">
        <f t="shared" ref="H80:N80" ca="1" si="7">SUM(H55:H79)</f>
        <v>-8947.221443523038</v>
      </c>
      <c r="I80" s="1451">
        <f t="shared" ca="1" si="7"/>
        <v>-250128.6046382222</v>
      </c>
      <c r="J80" s="1451">
        <f t="shared" ca="1" si="7"/>
        <v>-263286.35424400494</v>
      </c>
      <c r="K80" s="1451">
        <f t="shared" ca="1" si="7"/>
        <v>0</v>
      </c>
      <c r="L80" s="1451">
        <f t="shared" ca="1" si="7"/>
        <v>0</v>
      </c>
      <c r="M80" s="1451">
        <f t="shared" ca="1" si="7"/>
        <v>-40730.671734043957</v>
      </c>
      <c r="N80" s="1451">
        <f t="shared" ca="1" si="7"/>
        <v>-42827.163872346617</v>
      </c>
      <c r="O80" s="1451">
        <f t="shared" ref="O80:R80" ca="1" si="8">SUM(O55:O79)</f>
        <v>105702.72253668463</v>
      </c>
      <c r="P80" s="1451">
        <f t="shared" ca="1" si="8"/>
        <v>111736.66355229073</v>
      </c>
      <c r="Q80" s="1451">
        <f t="shared" ca="1" si="8"/>
        <v>59523.262767417109</v>
      </c>
      <c r="R80" s="1451">
        <f t="shared" ca="1" si="8"/>
        <v>62764.5567162558</v>
      </c>
      <c r="S80" s="1451">
        <f t="shared" ref="S80:X80" si="9">SUM(S55:S79)</f>
        <v>0</v>
      </c>
      <c r="T80" s="1451">
        <f t="shared" si="9"/>
        <v>0</v>
      </c>
      <c r="U80" s="1451">
        <f t="shared" si="9"/>
        <v>0</v>
      </c>
      <c r="V80" s="1454">
        <f t="shared" si="9"/>
        <v>0</v>
      </c>
      <c r="W80" s="1451">
        <f t="shared" si="9"/>
        <v>0</v>
      </c>
      <c r="X80" s="1454">
        <f t="shared" si="9"/>
        <v>0</v>
      </c>
      <c r="Y80" s="77"/>
      <c r="Z80" s="77"/>
      <c r="AA80" s="77"/>
      <c r="AB80" s="77"/>
      <c r="AD80" s="209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1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3" customWidth="1"/>
    <col min="6" max="6" width="15.7109375" style="233" customWidth="1"/>
    <col min="7" max="7" width="13.140625" style="233" bestFit="1" customWidth="1"/>
    <col min="8" max="8" width="15.140625" style="233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1616</v>
      </c>
      <c r="C1" s="9" t="s">
        <v>1617</v>
      </c>
      <c r="D1" s="9" t="s">
        <v>1618</v>
      </c>
      <c r="E1" s="234" t="s">
        <v>1619</v>
      </c>
      <c r="F1" s="234" t="s">
        <v>1620</v>
      </c>
      <c r="G1" s="234" t="s">
        <v>1621</v>
      </c>
      <c r="H1" s="234" t="s">
        <v>1622</v>
      </c>
      <c r="I1" s="9" t="s">
        <v>272</v>
      </c>
      <c r="J1" s="9" t="s">
        <v>1623</v>
      </c>
      <c r="K1" s="9" t="s">
        <v>1624</v>
      </c>
      <c r="L1" s="9" t="s">
        <v>1625</v>
      </c>
      <c r="M1" s="9" t="s">
        <v>1626</v>
      </c>
      <c r="N1" s="9" t="s">
        <v>1095</v>
      </c>
      <c r="O1" s="9" t="s">
        <v>1007</v>
      </c>
      <c r="P1" s="9" t="s">
        <v>1627</v>
      </c>
      <c r="Q1" s="8" t="s">
        <v>1001</v>
      </c>
      <c r="R1" s="17" t="s">
        <v>1628</v>
      </c>
    </row>
    <row r="2" spans="2:18" hidden="1">
      <c r="E2" s="235"/>
      <c r="F2" s="235"/>
    </row>
    <row r="3" spans="2:18" hidden="1"/>
    <row r="4" spans="2:18" hidden="1"/>
    <row r="5" spans="2:18" hidden="1"/>
    <row r="6" spans="2:18" hidden="1"/>
    <row r="7" spans="2:18" hidden="1">
      <c r="E7" s="235"/>
      <c r="F7" s="235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5"/>
      <c r="F14" s="235"/>
    </row>
    <row r="15" spans="2:18" hidden="1">
      <c r="E15" s="235"/>
      <c r="F15" s="235"/>
    </row>
    <row r="16" spans="2:18" hidden="1">
      <c r="E16" s="235"/>
      <c r="F16" s="235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5"/>
      <c r="F23" s="235"/>
    </row>
    <row r="24" spans="5:6" hidden="1">
      <c r="E24" s="235"/>
      <c r="F24" s="235"/>
    </row>
    <row r="25" spans="5:6" hidden="1">
      <c r="E25" s="235"/>
      <c r="F25" s="235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5"/>
      <c r="F38" s="235"/>
    </row>
    <row r="39" spans="5:6" hidden="1">
      <c r="E39" s="235"/>
      <c r="F39" s="235"/>
    </row>
    <row r="40" spans="5:6" hidden="1">
      <c r="E40" s="235"/>
      <c r="F40" s="235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6"/>
      <c r="C50002" s="236"/>
      <c r="D50002" s="236"/>
      <c r="E50002" s="237"/>
      <c r="F50002" s="237"/>
      <c r="G50002" s="237"/>
      <c r="H50002" s="237"/>
      <c r="I50002" s="236"/>
      <c r="J50002" s="236"/>
      <c r="K50002" s="236"/>
      <c r="L50002" s="236"/>
      <c r="M50002" s="236"/>
      <c r="N50002" s="236"/>
      <c r="O50002" s="236"/>
      <c r="P50002" s="236"/>
      <c r="Q50002" s="238"/>
      <c r="R50002" s="238"/>
    </row>
    <row r="50003" spans="2:18">
      <c r="B50003" s="239"/>
      <c r="C50003" s="239"/>
      <c r="D50003" s="239"/>
      <c r="E50003" s="240"/>
      <c r="F50003" s="240"/>
      <c r="G50003" s="240"/>
      <c r="H50003" s="240"/>
      <c r="I50003" s="239"/>
      <c r="J50003" s="239"/>
      <c r="K50003" s="239"/>
      <c r="L50003" s="239"/>
      <c r="M50003" s="239"/>
      <c r="N50003" s="239"/>
      <c r="O50003" s="239"/>
      <c r="P50003" s="239"/>
      <c r="Q50003" s="241"/>
      <c r="R50003" s="241"/>
    </row>
    <row r="50004" spans="2:18">
      <c r="B50004" s="236"/>
      <c r="C50004" s="236"/>
      <c r="D50004" s="236"/>
      <c r="E50004" s="237"/>
      <c r="F50004" s="237"/>
      <c r="G50004" s="237"/>
      <c r="H50004" s="237"/>
      <c r="I50004" s="236"/>
      <c r="J50004" s="236"/>
      <c r="K50004" s="236"/>
      <c r="L50004" s="236"/>
      <c r="M50004" s="236"/>
      <c r="N50004" s="236"/>
      <c r="O50004" s="236"/>
      <c r="P50004" s="236"/>
      <c r="Q50004" s="238"/>
      <c r="R50004" s="238"/>
    </row>
    <row r="50009" spans="2:18">
      <c r="G50009" s="233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1617</v>
      </c>
      <c r="B1" t="s">
        <v>1094</v>
      </c>
      <c r="C1" t="s">
        <v>1629</v>
      </c>
      <c r="D1" t="s">
        <v>1011</v>
      </c>
      <c r="E1" t="s">
        <v>1630</v>
      </c>
      <c r="F1" t="s">
        <v>66</v>
      </c>
      <c r="G1" t="s">
        <v>640</v>
      </c>
      <c r="H1" t="s">
        <v>1095</v>
      </c>
      <c r="I1" t="s">
        <v>160</v>
      </c>
      <c r="J1" t="s">
        <v>1621</v>
      </c>
      <c r="K1" t="s">
        <v>1631</v>
      </c>
      <c r="L1" t="s">
        <v>1632</v>
      </c>
      <c r="M1" t="s">
        <v>1633</v>
      </c>
      <c r="N1" t="s">
        <v>1105</v>
      </c>
      <c r="O1" t="s">
        <v>1634</v>
      </c>
      <c r="P1" t="s">
        <v>1635</v>
      </c>
      <c r="Q1" t="s">
        <v>1636</v>
      </c>
      <c r="R1" t="s">
        <v>1637</v>
      </c>
      <c r="S1" t="s">
        <v>272</v>
      </c>
      <c r="T1" t="s">
        <v>1638</v>
      </c>
      <c r="U1" t="s">
        <v>1639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M1" sqref="M1:M1048576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667" t="s">
        <v>1640</v>
      </c>
      <c r="D2" s="3" t="s">
        <v>1641</v>
      </c>
    </row>
    <row r="3" spans="2:15">
      <c r="B3" s="5"/>
    </row>
    <row r="6" spans="2:15">
      <c r="B6" s="1455" t="s">
        <v>1642</v>
      </c>
      <c r="C6" s="1455" t="s">
        <v>1643</v>
      </c>
      <c r="D6" s="1455" t="s">
        <v>900</v>
      </c>
      <c r="E6" s="6" t="s">
        <v>1644</v>
      </c>
      <c r="F6" s="6" t="s">
        <v>1645</v>
      </c>
      <c r="G6" s="1456" t="s">
        <v>1646</v>
      </c>
      <c r="K6" s="1634" t="s">
        <v>1647</v>
      </c>
      <c r="L6" s="1560" t="s">
        <v>36</v>
      </c>
      <c r="M6" s="1561" t="s">
        <v>1648</v>
      </c>
      <c r="N6" s="1560" t="s">
        <v>1544</v>
      </c>
      <c r="O6" s="1635" t="s">
        <v>1649</v>
      </c>
    </row>
    <row r="7" spans="2:15">
      <c r="B7" s="1457">
        <v>32629</v>
      </c>
      <c r="C7" s="1458">
        <v>2.5789999999999999E-5</v>
      </c>
      <c r="D7" s="1458">
        <v>3.4132578959999998E-4</v>
      </c>
      <c r="E7" s="1458">
        <v>0</v>
      </c>
      <c r="F7" s="1458">
        <v>1</v>
      </c>
      <c r="K7" s="1636">
        <v>42064</v>
      </c>
      <c r="L7" s="1637"/>
      <c r="M7" s="1638">
        <v>0</v>
      </c>
      <c r="N7" s="1639">
        <v>1</v>
      </c>
      <c r="O7" s="1639">
        <v>1</v>
      </c>
    </row>
    <row r="8" spans="2:15">
      <c r="B8" s="1457">
        <v>32660</v>
      </c>
      <c r="C8" s="1458">
        <v>3.0859999999999999E-5</v>
      </c>
      <c r="D8" s="1458">
        <v>4.3911559890000003E-4</v>
      </c>
      <c r="E8" s="1458">
        <v>0</v>
      </c>
      <c r="F8" s="1458">
        <v>1</v>
      </c>
      <c r="G8" s="10"/>
      <c r="K8" s="1636">
        <v>42065</v>
      </c>
      <c r="L8" s="1637" t="s">
        <v>1650</v>
      </c>
      <c r="M8" s="1638">
        <v>4.5512999999999998E-2</v>
      </c>
      <c r="N8" s="1639">
        <v>1.00045513</v>
      </c>
      <c r="O8" s="1639">
        <v>1.00045513</v>
      </c>
    </row>
    <row r="9" spans="2:15">
      <c r="B9" s="1457">
        <v>32690</v>
      </c>
      <c r="C9" s="1458">
        <v>4.1940000000000002E-5</v>
      </c>
      <c r="D9" s="1458">
        <v>5.6092617030000002E-4</v>
      </c>
      <c r="E9" s="1458">
        <v>0</v>
      </c>
      <c r="F9" s="1458">
        <v>1</v>
      </c>
      <c r="K9" s="1636">
        <v>42066</v>
      </c>
      <c r="L9" s="1637" t="s">
        <v>1650</v>
      </c>
      <c r="M9" s="1638">
        <v>4.5512999999999998E-2</v>
      </c>
      <c r="N9" s="1639">
        <v>1.0009104671433169</v>
      </c>
      <c r="O9" s="1639">
        <v>1.0009104671433169</v>
      </c>
    </row>
    <row r="10" spans="2:15">
      <c r="B10" s="1457">
        <v>32721</v>
      </c>
      <c r="C10" s="1458">
        <v>5.7429999999999997E-5</v>
      </c>
      <c r="D10" s="1458">
        <v>7.5001448160000002E-4</v>
      </c>
      <c r="E10" s="1458">
        <v>0</v>
      </c>
      <c r="F10" s="1458">
        <v>1</v>
      </c>
      <c r="K10" s="1636">
        <v>42067</v>
      </c>
      <c r="L10" s="1637" t="s">
        <v>1650</v>
      </c>
      <c r="M10" s="1638">
        <v>4.5512999999999998E-2</v>
      </c>
      <c r="N10" s="1639">
        <v>1.0013660115242278</v>
      </c>
      <c r="O10" s="1639">
        <v>1.0013660115242278</v>
      </c>
    </row>
    <row r="11" spans="2:15">
      <c r="B11" s="1457">
        <v>32752</v>
      </c>
      <c r="C11" s="1458">
        <v>8.0350000000000001E-5</v>
      </c>
      <c r="D11" s="1458">
        <v>1.031719911E-3</v>
      </c>
      <c r="E11" s="1458">
        <v>0</v>
      </c>
      <c r="F11" s="1458">
        <v>1</v>
      </c>
      <c r="K11" s="1636">
        <v>42068</v>
      </c>
      <c r="L11" s="1637" t="s">
        <v>1650</v>
      </c>
      <c r="M11" s="1638">
        <v>4.7279000000000002E-2</v>
      </c>
      <c r="N11" s="1639">
        <v>1.0018394473608161</v>
      </c>
      <c r="O11" s="1639">
        <v>1.0018394473608161</v>
      </c>
    </row>
    <row r="12" spans="2:15">
      <c r="B12" s="1457">
        <v>32782</v>
      </c>
      <c r="C12" s="1458">
        <v>1.13E-4</v>
      </c>
      <c r="D12" s="1458">
        <v>1.4420348808E-3</v>
      </c>
      <c r="E12" s="1458">
        <v>0</v>
      </c>
      <c r="F12" s="1458">
        <v>1</v>
      </c>
      <c r="K12" s="1636">
        <v>42069</v>
      </c>
      <c r="L12" s="1637" t="s">
        <v>1650</v>
      </c>
      <c r="M12" s="1638">
        <v>4.7279000000000002E-2</v>
      </c>
      <c r="N12" s="1639">
        <v>1.0023131070331337</v>
      </c>
      <c r="O12" s="1639">
        <v>1.0023131070331337</v>
      </c>
    </row>
    <row r="13" spans="2:15">
      <c r="B13" s="1457">
        <v>32813</v>
      </c>
      <c r="C13" s="1458">
        <v>1.5873999999999999E-4</v>
      </c>
      <c r="D13" s="1458">
        <v>2.1316159802999999E-3</v>
      </c>
      <c r="E13" s="1458">
        <v>0</v>
      </c>
      <c r="F13" s="1458">
        <v>1</v>
      </c>
      <c r="K13" s="1636">
        <v>42070</v>
      </c>
      <c r="L13" s="1637"/>
      <c r="M13" s="1638">
        <v>0</v>
      </c>
      <c r="N13" s="1639">
        <v>1.0023131070331337</v>
      </c>
      <c r="O13" s="1639">
        <v>1.0023131070331337</v>
      </c>
    </row>
    <row r="14" spans="2:15">
      <c r="B14" s="1457">
        <v>32843</v>
      </c>
      <c r="C14" s="1458">
        <v>2.3356000000000001E-4</v>
      </c>
      <c r="D14" s="1458">
        <v>3.2293981927000001E-3</v>
      </c>
      <c r="E14" s="1458">
        <v>0</v>
      </c>
      <c r="F14" s="1458">
        <v>1</v>
      </c>
      <c r="K14" s="1636">
        <v>42071</v>
      </c>
      <c r="L14" s="1637"/>
      <c r="M14" s="1638">
        <v>0</v>
      </c>
      <c r="N14" s="1639">
        <v>1.0023131070331337</v>
      </c>
      <c r="O14" s="1639">
        <v>1.0023131070331337</v>
      </c>
    </row>
    <row r="15" spans="2:15">
      <c r="B15" s="1457">
        <v>32874</v>
      </c>
      <c r="C15" s="1458">
        <v>3.7711E-4</v>
      </c>
      <c r="D15" s="1458">
        <v>5.4108567453999999E-3</v>
      </c>
      <c r="E15" s="1458">
        <v>0</v>
      </c>
      <c r="F15" s="1458">
        <v>1</v>
      </c>
      <c r="K15" s="1636">
        <v>42072</v>
      </c>
      <c r="L15" s="1637" t="s">
        <v>1650</v>
      </c>
      <c r="M15" s="1638">
        <v>4.7279000000000002E-2</v>
      </c>
      <c r="N15" s="1639">
        <v>1.0027869906470077</v>
      </c>
      <c r="O15" s="1639">
        <v>1.0027869906470077</v>
      </c>
    </row>
    <row r="16" spans="2:15">
      <c r="B16" s="1457">
        <v>32905</v>
      </c>
      <c r="C16" s="1458">
        <v>6.8364999999999995E-4</v>
      </c>
      <c r="D16" s="1458">
        <v>9.5084984832999996E-3</v>
      </c>
      <c r="E16" s="1458">
        <v>0</v>
      </c>
      <c r="F16" s="1458">
        <v>1</v>
      </c>
      <c r="K16" s="1636">
        <v>42073</v>
      </c>
      <c r="L16" s="1637" t="s">
        <v>1650</v>
      </c>
      <c r="M16" s="1638">
        <v>4.7279000000000002E-2</v>
      </c>
      <c r="N16" s="1639">
        <v>1.0032610983083157</v>
      </c>
      <c r="O16" s="1639">
        <v>1.0032610983083157</v>
      </c>
    </row>
    <row r="17" spans="2:15">
      <c r="B17" s="1457">
        <v>32933</v>
      </c>
      <c r="C17" s="1458">
        <v>1.2575500000000001E-3</v>
      </c>
      <c r="D17" s="1458">
        <v>1.7342550351000002E-2</v>
      </c>
      <c r="E17" s="1458">
        <v>0</v>
      </c>
      <c r="F17" s="1458">
        <v>1</v>
      </c>
      <c r="K17" s="1636">
        <v>42074</v>
      </c>
      <c r="L17" s="1637" t="s">
        <v>1650</v>
      </c>
      <c r="M17" s="1638">
        <v>4.7279000000000002E-2</v>
      </c>
      <c r="N17" s="1639">
        <v>1.0037354301229848</v>
      </c>
      <c r="O17" s="1639">
        <v>1.0037354301229848</v>
      </c>
    </row>
    <row r="18" spans="2:15">
      <c r="B18" s="1457">
        <v>32964</v>
      </c>
      <c r="C18" s="1458">
        <v>1.61407E-3</v>
      </c>
      <c r="D18" s="1458">
        <v>2.00341140678E-2</v>
      </c>
      <c r="E18" s="1458">
        <v>0</v>
      </c>
      <c r="F18" s="1458">
        <v>1</v>
      </c>
      <c r="K18" s="1636">
        <v>42075</v>
      </c>
      <c r="L18" s="1637" t="s">
        <v>1650</v>
      </c>
      <c r="M18" s="1638">
        <v>4.7279000000000002E-2</v>
      </c>
      <c r="N18" s="1639">
        <v>1.0042099861969926</v>
      </c>
      <c r="O18" s="1639">
        <v>1.0042099861969926</v>
      </c>
    </row>
    <row r="19" spans="2:15">
      <c r="B19" s="1457">
        <v>32994</v>
      </c>
      <c r="C19" s="1458">
        <v>1.70973E-3</v>
      </c>
      <c r="D19" s="1458">
        <v>2.1554703244099999E-2</v>
      </c>
      <c r="E19" s="1458">
        <v>0</v>
      </c>
      <c r="F19" s="1458">
        <v>1</v>
      </c>
      <c r="K19" s="1636">
        <v>42076</v>
      </c>
      <c r="L19" s="1637" t="s">
        <v>1650</v>
      </c>
      <c r="M19" s="1638">
        <v>4.7279000000000002E-2</v>
      </c>
      <c r="N19" s="1639">
        <v>1.0046847666363665</v>
      </c>
      <c r="O19" s="1639">
        <v>1.0046847666363665</v>
      </c>
    </row>
    <row r="20" spans="2:15">
      <c r="B20" s="1457">
        <v>33025</v>
      </c>
      <c r="C20" s="1458">
        <v>1.87962E-3</v>
      </c>
      <c r="D20" s="1458">
        <v>2.4087380951899998E-2</v>
      </c>
      <c r="E20" s="1458">
        <v>0</v>
      </c>
      <c r="F20" s="1458">
        <v>1</v>
      </c>
      <c r="K20" s="1636">
        <v>42077</v>
      </c>
      <c r="L20" s="1637"/>
      <c r="M20" s="1638">
        <v>0</v>
      </c>
      <c r="N20" s="1639">
        <v>1.0046847666363665</v>
      </c>
      <c r="O20" s="1639">
        <v>1.0046847666363665</v>
      </c>
    </row>
    <row r="21" spans="2:15">
      <c r="B21" s="1457">
        <v>33055</v>
      </c>
      <c r="C21" s="1458">
        <v>2.10539E-3</v>
      </c>
      <c r="D21" s="1458">
        <v>2.7199470492E-2</v>
      </c>
      <c r="E21" s="1458">
        <v>0</v>
      </c>
      <c r="F21" s="1458">
        <v>1</v>
      </c>
      <c r="K21" s="1636">
        <v>42078</v>
      </c>
      <c r="L21" s="1637"/>
      <c r="M21" s="1638">
        <v>0</v>
      </c>
      <c r="N21" s="1639">
        <v>1.0046847666363665</v>
      </c>
      <c r="O21" s="1639">
        <v>1.0046847666363665</v>
      </c>
    </row>
    <row r="22" spans="2:15">
      <c r="B22" s="1457">
        <v>33086</v>
      </c>
      <c r="C22" s="1458">
        <v>2.39215E-3</v>
      </c>
      <c r="D22" s="1458">
        <v>3.0702762318699998E-2</v>
      </c>
      <c r="E22" s="1458">
        <v>0</v>
      </c>
      <c r="F22" s="1458">
        <v>1</v>
      </c>
      <c r="K22" s="1636">
        <v>42079</v>
      </c>
      <c r="L22" s="1637" t="s">
        <v>1650</v>
      </c>
      <c r="M22" s="1638">
        <v>4.7279000000000002E-2</v>
      </c>
      <c r="N22" s="1639">
        <v>1.0051597715471845</v>
      </c>
      <c r="O22" s="1639">
        <v>1.0051597715471845</v>
      </c>
    </row>
    <row r="23" spans="2:15">
      <c r="B23" s="1457">
        <v>33117</v>
      </c>
      <c r="C23" s="1458">
        <v>2.6984000000000001E-3</v>
      </c>
      <c r="D23" s="1458">
        <v>3.51270304097E-2</v>
      </c>
      <c r="E23" s="1458">
        <v>0</v>
      </c>
      <c r="F23" s="1458">
        <v>1</v>
      </c>
      <c r="K23" s="1636">
        <v>42080</v>
      </c>
      <c r="L23" s="1637" t="s">
        <v>1650</v>
      </c>
      <c r="M23" s="1638">
        <v>4.7279000000000002E-2</v>
      </c>
      <c r="N23" s="1639">
        <v>1.0056350010355741</v>
      </c>
      <c r="O23" s="1639">
        <v>1.0056350010355741</v>
      </c>
    </row>
    <row r="24" spans="2:15">
      <c r="B24" s="1457">
        <v>33147</v>
      </c>
      <c r="C24" s="1458">
        <v>3.0483699999999999E-3</v>
      </c>
      <c r="D24" s="1458">
        <v>4.0171272055300002E-2</v>
      </c>
      <c r="E24" s="1458">
        <v>0</v>
      </c>
      <c r="F24" s="1458">
        <v>1</v>
      </c>
      <c r="K24" s="1636">
        <v>42081</v>
      </c>
      <c r="L24" s="1637" t="s">
        <v>1650</v>
      </c>
      <c r="M24" s="1638">
        <v>4.7279000000000002E-2</v>
      </c>
      <c r="N24" s="1639">
        <v>1.0061104552077136</v>
      </c>
      <c r="O24" s="1639">
        <v>1.0061104552077136</v>
      </c>
    </row>
    <row r="25" spans="2:15">
      <c r="B25" s="1457">
        <v>33178</v>
      </c>
      <c r="C25" s="1458">
        <v>3.5622900000000001E-3</v>
      </c>
      <c r="D25" s="1458">
        <v>4.6924062784199999E-2</v>
      </c>
      <c r="E25" s="1458">
        <v>0</v>
      </c>
      <c r="F25" s="1458">
        <v>1</v>
      </c>
      <c r="K25" s="1636">
        <v>42082</v>
      </c>
      <c r="L25" s="1637" t="s">
        <v>1650</v>
      </c>
      <c r="M25" s="1638">
        <v>4.7279000000000002E-2</v>
      </c>
      <c r="N25" s="1639">
        <v>1.0065861341698312</v>
      </c>
      <c r="O25" s="1639">
        <v>1.0065861341698312</v>
      </c>
    </row>
    <row r="26" spans="2:15">
      <c r="B26" s="1457">
        <v>33208</v>
      </c>
      <c r="C26" s="1458">
        <v>4.2034799999999999E-3</v>
      </c>
      <c r="D26" s="1458">
        <v>5.5576860018600002E-2</v>
      </c>
      <c r="E26" s="1458">
        <v>0</v>
      </c>
      <c r="F26" s="1458">
        <v>1</v>
      </c>
      <c r="K26" s="1636">
        <v>42083</v>
      </c>
      <c r="L26" s="1637" t="s">
        <v>1650</v>
      </c>
      <c r="M26" s="1638">
        <v>4.7279000000000002E-2</v>
      </c>
      <c r="N26" s="1639">
        <v>1.0070620380282054</v>
      </c>
      <c r="O26" s="1639">
        <v>1.0070620380282054</v>
      </c>
    </row>
    <row r="27" spans="2:15">
      <c r="B27" s="1457">
        <v>33239</v>
      </c>
      <c r="C27" s="1458">
        <v>4.9475200000000004E-3</v>
      </c>
      <c r="D27" s="1458">
        <v>6.7109058472399993E-2</v>
      </c>
      <c r="E27" s="1458">
        <v>0</v>
      </c>
      <c r="F27" s="1458">
        <v>1</v>
      </c>
      <c r="K27" s="1636">
        <v>42084</v>
      </c>
      <c r="L27" s="1637"/>
      <c r="M27" s="1638">
        <v>0</v>
      </c>
      <c r="N27" s="1639">
        <v>1.0070620380282054</v>
      </c>
      <c r="O27" s="1639">
        <v>1.0070620380282054</v>
      </c>
    </row>
    <row r="28" spans="2:15">
      <c r="B28" s="1457">
        <v>33270</v>
      </c>
      <c r="C28" s="1458">
        <v>5.9873900000000004E-3</v>
      </c>
      <c r="D28" s="1458">
        <v>8.1014388849100005E-2</v>
      </c>
      <c r="E28" s="1458">
        <v>0</v>
      </c>
      <c r="F28" s="1458">
        <v>1</v>
      </c>
      <c r="K28" s="1636">
        <v>42085</v>
      </c>
      <c r="L28" s="1637"/>
      <c r="M28" s="1638">
        <v>0</v>
      </c>
      <c r="N28" s="1639">
        <v>1.0070620380282054</v>
      </c>
      <c r="O28" s="1639">
        <v>1.0070620380282054</v>
      </c>
    </row>
    <row r="29" spans="2:15">
      <c r="B29" s="1457">
        <v>33298</v>
      </c>
      <c r="C29" s="1458">
        <v>6.5374099999999996E-3</v>
      </c>
      <c r="D29" s="1458">
        <v>9.0673647120300002E-2</v>
      </c>
      <c r="E29" s="1458">
        <v>0</v>
      </c>
      <c r="F29" s="1458">
        <v>1</v>
      </c>
      <c r="K29" s="1636">
        <v>42086</v>
      </c>
      <c r="L29" s="1637" t="s">
        <v>1650</v>
      </c>
      <c r="M29" s="1638">
        <v>4.7279000000000002E-2</v>
      </c>
      <c r="N29" s="1639">
        <v>1.0075381668891645</v>
      </c>
      <c r="O29" s="1639">
        <v>1.0075381668891645</v>
      </c>
    </row>
    <row r="30" spans="2:15">
      <c r="B30" s="1457">
        <v>33329</v>
      </c>
      <c r="C30" s="1458">
        <v>7.0477600000000001E-3</v>
      </c>
      <c r="D30" s="1458">
        <v>9.5197603525800006E-2</v>
      </c>
      <c r="E30" s="1458">
        <v>0</v>
      </c>
      <c r="F30" s="1458">
        <v>1</v>
      </c>
      <c r="K30" s="1636">
        <v>42087</v>
      </c>
      <c r="L30" s="1637" t="s">
        <v>1650</v>
      </c>
      <c r="M30" s="1638">
        <v>4.7279000000000002E-2</v>
      </c>
      <c r="N30" s="1639">
        <v>1.008014520859088</v>
      </c>
      <c r="O30" s="1639">
        <v>1.008014520859088</v>
      </c>
    </row>
    <row r="31" spans="2:15">
      <c r="B31" s="1457">
        <v>33359</v>
      </c>
      <c r="C31" s="1458">
        <v>7.57502E-3</v>
      </c>
      <c r="D31" s="1458">
        <v>0.10227253780620001</v>
      </c>
      <c r="E31" s="1458">
        <v>0</v>
      </c>
      <c r="F31" s="1458">
        <v>1</v>
      </c>
      <c r="K31" s="1636">
        <v>42088</v>
      </c>
      <c r="L31" s="1637" t="s">
        <v>1650</v>
      </c>
      <c r="M31" s="1638">
        <v>4.7279000000000002E-2</v>
      </c>
      <c r="N31" s="1639">
        <v>1.008491100044405</v>
      </c>
      <c r="O31" s="1639">
        <v>1.008491100044405</v>
      </c>
    </row>
    <row r="32" spans="2:15">
      <c r="B32" s="1457">
        <v>33390</v>
      </c>
      <c r="C32" s="1458">
        <v>8.2174099999999996E-3</v>
      </c>
      <c r="D32" s="1458">
        <v>0.113715813284</v>
      </c>
      <c r="E32" s="1458">
        <v>0</v>
      </c>
      <c r="F32" s="1458">
        <v>1</v>
      </c>
      <c r="K32" s="1636">
        <v>42089</v>
      </c>
      <c r="L32" s="1637" t="s">
        <v>1650</v>
      </c>
      <c r="M32" s="1638">
        <v>4.7279000000000002E-2</v>
      </c>
      <c r="N32" s="1639">
        <v>1.0089679045515949</v>
      </c>
      <c r="O32" s="1639">
        <v>1.0089679045515949</v>
      </c>
    </row>
    <row r="33" spans="2:15">
      <c r="B33" s="1457">
        <v>33420</v>
      </c>
      <c r="C33" s="1458">
        <v>9.3037399999999996E-3</v>
      </c>
      <c r="D33" s="1458">
        <v>0.12782677804270001</v>
      </c>
      <c r="E33" s="1458">
        <v>0</v>
      </c>
      <c r="F33" s="1458">
        <v>1</v>
      </c>
      <c r="K33" s="1636">
        <v>42090</v>
      </c>
      <c r="L33" s="1637" t="s">
        <v>1650</v>
      </c>
      <c r="M33" s="1638">
        <v>4.7279000000000002E-2</v>
      </c>
      <c r="N33" s="1639">
        <v>1.0094449344871876</v>
      </c>
      <c r="O33" s="1639">
        <v>1.0094449344871876</v>
      </c>
    </row>
    <row r="34" spans="2:15">
      <c r="B34" s="1457">
        <v>33451</v>
      </c>
      <c r="C34" s="1458">
        <v>1.072268E-2</v>
      </c>
      <c r="D34" s="1458">
        <v>0.14780665921940001</v>
      </c>
      <c r="E34" s="1459">
        <v>0</v>
      </c>
      <c r="F34" s="1459">
        <v>1</v>
      </c>
      <c r="K34" s="1636">
        <v>42091</v>
      </c>
      <c r="L34" s="1637"/>
      <c r="M34" s="1638">
        <v>0</v>
      </c>
      <c r="N34" s="1639">
        <v>1.0094449344871876</v>
      </c>
      <c r="O34" s="1639">
        <v>1.0094449344871876</v>
      </c>
    </row>
    <row r="35" spans="2:15">
      <c r="B35" s="1457">
        <v>33482</v>
      </c>
      <c r="C35" s="1458">
        <v>1.232337E-2</v>
      </c>
      <c r="D35" s="1458">
        <v>0.17090995992909999</v>
      </c>
      <c r="E35" s="1459">
        <v>0</v>
      </c>
      <c r="F35" s="1459">
        <v>1</v>
      </c>
      <c r="K35" s="1636">
        <v>42092</v>
      </c>
      <c r="L35" s="1637"/>
      <c r="M35" s="1638">
        <v>0</v>
      </c>
      <c r="N35" s="1639">
        <v>1.0094449344871876</v>
      </c>
      <c r="O35" s="1639">
        <v>1.0094449344871876</v>
      </c>
    </row>
    <row r="36" spans="2:15">
      <c r="B36" s="1457">
        <v>33512</v>
      </c>
      <c r="C36" s="1458">
        <v>1.5112230000000001E-2</v>
      </c>
      <c r="D36" s="1458">
        <v>0.20548432454660001</v>
      </c>
      <c r="E36" s="1459">
        <v>0</v>
      </c>
      <c r="F36" s="1459">
        <v>1</v>
      </c>
      <c r="K36" s="1636">
        <v>42093</v>
      </c>
      <c r="L36" s="1637" t="s">
        <v>1650</v>
      </c>
      <c r="M36" s="1638">
        <v>4.7279000000000002E-2</v>
      </c>
      <c r="N36" s="1639">
        <v>1.0099221899577637</v>
      </c>
      <c r="O36" s="1639">
        <v>1.0099221899577637</v>
      </c>
    </row>
    <row r="37" spans="2:15">
      <c r="B37" s="1457">
        <v>33543</v>
      </c>
      <c r="C37" s="1458">
        <v>1.8984250000000001E-2</v>
      </c>
      <c r="D37" s="1458">
        <v>0.2572875157699</v>
      </c>
      <c r="E37" s="1459">
        <v>0</v>
      </c>
      <c r="F37" s="1459">
        <v>1</v>
      </c>
      <c r="K37" s="1636">
        <v>42094</v>
      </c>
      <c r="L37" s="1637" t="s">
        <v>1650</v>
      </c>
      <c r="M37" s="1638">
        <v>4.7279000000000002E-2</v>
      </c>
      <c r="N37" s="1639">
        <v>1.0103996710699537</v>
      </c>
      <c r="O37" s="1639">
        <v>1.0103996710699537</v>
      </c>
    </row>
    <row r="38" spans="2:15">
      <c r="B38" s="1457">
        <v>33573</v>
      </c>
      <c r="C38" s="1458">
        <v>2.347107E-2</v>
      </c>
      <c r="D38" s="1458">
        <v>0.31828867732630001</v>
      </c>
      <c r="E38" s="1459">
        <v>0</v>
      </c>
      <c r="F38" s="1459">
        <v>1</v>
      </c>
      <c r="K38" s="1636">
        <v>42095</v>
      </c>
      <c r="L38" s="1637" t="s">
        <v>1650</v>
      </c>
      <c r="M38" s="1638">
        <v>4.7279000000000002E-2</v>
      </c>
      <c r="N38" s="1639">
        <v>1.0108773779304387</v>
      </c>
      <c r="O38" s="1639">
        <v>1.0108773779304387</v>
      </c>
    </row>
    <row r="39" spans="2:15">
      <c r="B39" s="1457">
        <v>33604</v>
      </c>
      <c r="C39" s="1458">
        <v>2.9000140000000001E-2</v>
      </c>
      <c r="D39" s="1458">
        <v>0.40085366056990002</v>
      </c>
      <c r="E39" s="1459">
        <v>0</v>
      </c>
      <c r="F39" s="1459">
        <v>1</v>
      </c>
      <c r="K39" s="1636">
        <v>42096</v>
      </c>
      <c r="L39" s="1637" t="s">
        <v>1650</v>
      </c>
      <c r="M39" s="1638">
        <v>4.7279000000000002E-2</v>
      </c>
      <c r="N39" s="1639">
        <v>1.0113553106459503</v>
      </c>
      <c r="O39" s="1639">
        <v>1.0113553106459503</v>
      </c>
    </row>
    <row r="40" spans="2:15">
      <c r="B40" s="1457">
        <v>33635</v>
      </c>
      <c r="C40" s="1458">
        <v>3.7078809999999997E-2</v>
      </c>
      <c r="D40" s="1458">
        <v>0.49834103072840003</v>
      </c>
      <c r="E40" s="1459">
        <v>0</v>
      </c>
      <c r="F40" s="1459">
        <v>1</v>
      </c>
      <c r="K40" s="1636">
        <v>42097</v>
      </c>
      <c r="L40" s="1637"/>
      <c r="M40" s="1638">
        <v>0</v>
      </c>
      <c r="N40" s="1639">
        <v>1.0113553106459503</v>
      </c>
      <c r="O40" s="1639">
        <v>1.0113553106459503</v>
      </c>
    </row>
    <row r="41" spans="2:15">
      <c r="B41" s="1457">
        <v>33664</v>
      </c>
      <c r="C41" s="1458">
        <v>4.501144E-2</v>
      </c>
      <c r="D41" s="1458">
        <v>0.60498746741809994</v>
      </c>
      <c r="E41" s="1459">
        <v>0</v>
      </c>
      <c r="F41" s="1459">
        <v>1</v>
      </c>
      <c r="K41" s="1636">
        <v>42098</v>
      </c>
      <c r="L41" s="1637"/>
      <c r="M41" s="1638">
        <v>0</v>
      </c>
      <c r="N41" s="1639">
        <v>1.0113553106459503</v>
      </c>
      <c r="O41" s="1639">
        <v>1.0113553106459503</v>
      </c>
    </row>
    <row r="42" spans="2:15">
      <c r="B42" s="1457">
        <v>33695</v>
      </c>
      <c r="C42" s="1458">
        <v>5.3986060000000002E-2</v>
      </c>
      <c r="D42" s="1458">
        <v>0.72556146522830001</v>
      </c>
      <c r="E42" s="1459">
        <v>0</v>
      </c>
      <c r="F42" s="1459">
        <v>1</v>
      </c>
      <c r="K42" s="1636">
        <v>42099</v>
      </c>
      <c r="L42" s="1637"/>
      <c r="M42" s="1638">
        <v>0</v>
      </c>
      <c r="N42" s="1639">
        <v>1.0113553106459503</v>
      </c>
      <c r="O42" s="1639">
        <v>1.0113553106459503</v>
      </c>
    </row>
    <row r="43" spans="2:15">
      <c r="B43" s="1457">
        <v>33725</v>
      </c>
      <c r="C43" s="1458">
        <v>6.5012799999999996E-2</v>
      </c>
      <c r="D43" s="1458">
        <v>0.90593616441860003</v>
      </c>
      <c r="E43" s="1459">
        <v>0</v>
      </c>
      <c r="F43" s="1459">
        <v>1</v>
      </c>
      <c r="K43" s="1636">
        <v>42100</v>
      </c>
      <c r="L43" s="1637" t="s">
        <v>1650</v>
      </c>
      <c r="M43" s="1638">
        <v>4.7279000000000002E-2</v>
      </c>
      <c r="N43" s="1639">
        <v>1.0118334693232705</v>
      </c>
      <c r="O43" s="1639">
        <v>1.0118334693232705</v>
      </c>
    </row>
    <row r="44" spans="2:15">
      <c r="B44" s="1457">
        <v>33756</v>
      </c>
      <c r="C44" s="1458">
        <v>8.0361459999999996E-2</v>
      </c>
      <c r="D44" s="1458">
        <v>1.0890285720637001</v>
      </c>
      <c r="E44" s="1459">
        <v>0</v>
      </c>
      <c r="F44" s="1459">
        <v>1</v>
      </c>
      <c r="K44" s="1636">
        <v>42101</v>
      </c>
      <c r="L44" s="1637" t="s">
        <v>1650</v>
      </c>
      <c r="M44" s="1638">
        <v>4.7279000000000002E-2</v>
      </c>
      <c r="N44" s="1639">
        <v>1.0123118540692317</v>
      </c>
      <c r="O44" s="1639">
        <v>1.0123118540692317</v>
      </c>
    </row>
    <row r="45" spans="2:15">
      <c r="B45" s="1457">
        <v>33786</v>
      </c>
      <c r="C45" s="1458">
        <v>9.7908469999999997E-2</v>
      </c>
      <c r="D45" s="1458">
        <v>1.3267641484791</v>
      </c>
      <c r="E45" s="1459">
        <v>0</v>
      </c>
      <c r="F45" s="1459">
        <v>1</v>
      </c>
      <c r="K45" s="1636">
        <v>42102</v>
      </c>
      <c r="L45" s="1637" t="s">
        <v>1650</v>
      </c>
      <c r="M45" s="1638">
        <v>4.7279000000000002E-2</v>
      </c>
      <c r="N45" s="1639">
        <v>1.0127904649907171</v>
      </c>
      <c r="O45" s="1639">
        <v>1.0127904649907171</v>
      </c>
    </row>
    <row r="46" spans="2:15">
      <c r="B46" s="1457">
        <v>33817</v>
      </c>
      <c r="C46" s="1458">
        <v>0.12202180999999999</v>
      </c>
      <c r="D46" s="1458">
        <v>1.6205100844213001</v>
      </c>
      <c r="E46" s="1459">
        <v>0</v>
      </c>
      <c r="F46" s="1459">
        <v>1</v>
      </c>
      <c r="K46" s="1636">
        <v>42103</v>
      </c>
      <c r="L46" s="1637" t="s">
        <v>1650</v>
      </c>
      <c r="M46" s="1638">
        <v>4.7279000000000002E-2</v>
      </c>
      <c r="N46" s="1639">
        <v>1.0132693021946599</v>
      </c>
      <c r="O46" s="1639">
        <v>1.0132693021946599</v>
      </c>
    </row>
    <row r="47" spans="2:15">
      <c r="B47" s="1457">
        <v>33848</v>
      </c>
      <c r="C47" s="1458">
        <v>0.15285811999999999</v>
      </c>
      <c r="D47" s="1458">
        <v>2.0196408623306001</v>
      </c>
      <c r="E47" s="1459">
        <v>0</v>
      </c>
      <c r="F47" s="1459">
        <v>1</v>
      </c>
      <c r="K47" s="1636">
        <v>42104</v>
      </c>
      <c r="L47" s="1637" t="s">
        <v>1650</v>
      </c>
      <c r="M47" s="1638">
        <v>4.7279000000000002E-2</v>
      </c>
      <c r="N47" s="1639">
        <v>1.0137483657880444</v>
      </c>
      <c r="O47" s="1639">
        <v>1.0137483657880444</v>
      </c>
    </row>
    <row r="48" spans="2:15">
      <c r="B48" s="1457">
        <v>33878</v>
      </c>
      <c r="C48" s="1458">
        <v>0.19376498</v>
      </c>
      <c r="D48" s="1458">
        <v>2.5293973801068002</v>
      </c>
      <c r="E48" s="1459">
        <v>0</v>
      </c>
      <c r="F48" s="1459">
        <v>1</v>
      </c>
      <c r="K48" s="1636">
        <v>42105</v>
      </c>
      <c r="L48" s="1637"/>
      <c r="M48" s="1638">
        <v>0</v>
      </c>
      <c r="N48" s="1639">
        <v>1.0137483657880444</v>
      </c>
      <c r="O48" s="1639">
        <v>1.0137483657880444</v>
      </c>
    </row>
    <row r="49" spans="2:15">
      <c r="B49" s="1457">
        <v>33909</v>
      </c>
      <c r="C49" s="1458">
        <v>0.23916162999999999</v>
      </c>
      <c r="D49" s="1458">
        <v>3.0982598885127999</v>
      </c>
      <c r="E49" s="1459">
        <v>0</v>
      </c>
      <c r="F49" s="1459">
        <v>1</v>
      </c>
      <c r="K49" s="1636">
        <v>42106</v>
      </c>
      <c r="L49" s="1637"/>
      <c r="M49" s="1638">
        <v>0</v>
      </c>
      <c r="N49" s="1639">
        <v>1.0137483657880444</v>
      </c>
      <c r="O49" s="1639">
        <v>1.0137483657880444</v>
      </c>
    </row>
    <row r="50" spans="2:15">
      <c r="B50" s="1457">
        <v>33939</v>
      </c>
      <c r="C50" s="1458">
        <v>0.29913278999999998</v>
      </c>
      <c r="D50" s="1458">
        <v>3.8802596550900001</v>
      </c>
      <c r="E50" s="1459">
        <v>0</v>
      </c>
      <c r="F50" s="1459">
        <v>1</v>
      </c>
      <c r="K50" s="1636">
        <v>42107</v>
      </c>
      <c r="L50" s="1637" t="s">
        <v>1650</v>
      </c>
      <c r="M50" s="1638">
        <v>4.7279000000000002E-2</v>
      </c>
      <c r="N50" s="1639">
        <v>1.0142276558779053</v>
      </c>
      <c r="O50" s="1639">
        <v>1.0142276558779053</v>
      </c>
    </row>
    <row r="51" spans="2:15">
      <c r="B51" s="1457">
        <v>33970</v>
      </c>
      <c r="C51" s="1458">
        <v>0.37638683000000001</v>
      </c>
      <c r="D51" s="1458">
        <v>5.0579166458253004</v>
      </c>
      <c r="E51" s="1459">
        <v>0</v>
      </c>
      <c r="F51" s="1459">
        <v>1</v>
      </c>
      <c r="K51" s="1636">
        <v>42108</v>
      </c>
      <c r="L51" s="1637" t="s">
        <v>1650</v>
      </c>
      <c r="M51" s="1638">
        <v>4.7279000000000002E-2</v>
      </c>
      <c r="N51" s="1639">
        <v>1.0147071725713277</v>
      </c>
      <c r="O51" s="1639">
        <v>1.0147071725713277</v>
      </c>
    </row>
    <row r="52" spans="2:15">
      <c r="B52" s="1457">
        <v>34001</v>
      </c>
      <c r="C52" s="1458">
        <v>0.48335073000000001</v>
      </c>
      <c r="D52" s="1458">
        <v>6.3213843084293</v>
      </c>
      <c r="E52" s="1459">
        <v>0</v>
      </c>
      <c r="F52" s="1459">
        <v>1</v>
      </c>
      <c r="K52" s="1636">
        <v>42109</v>
      </c>
      <c r="L52" s="1637" t="s">
        <v>1650</v>
      </c>
      <c r="M52" s="1638">
        <v>4.7279000000000002E-2</v>
      </c>
      <c r="N52" s="1639">
        <v>1.0151869159754476</v>
      </c>
      <c r="O52" s="1639">
        <v>1.0151869159754476</v>
      </c>
    </row>
    <row r="53" spans="2:15">
      <c r="B53" s="1457">
        <v>34029</v>
      </c>
      <c r="C53" s="1458">
        <v>0.61023090000000002</v>
      </c>
      <c r="D53" s="1458">
        <v>8.0445948724788998</v>
      </c>
      <c r="E53" s="1459">
        <v>0</v>
      </c>
      <c r="F53" s="1459">
        <v>1</v>
      </c>
      <c r="K53" s="1636">
        <v>42110</v>
      </c>
      <c r="L53" s="1637" t="s">
        <v>1650</v>
      </c>
      <c r="M53" s="1638">
        <v>4.7279000000000002E-2</v>
      </c>
      <c r="N53" s="1639">
        <v>1.0156668861974516</v>
      </c>
      <c r="O53" s="1639">
        <v>1.0156668861974516</v>
      </c>
    </row>
    <row r="54" spans="2:15">
      <c r="B54" s="1457">
        <v>34060</v>
      </c>
      <c r="C54" s="1458">
        <v>0.78617482000000005</v>
      </c>
      <c r="D54" s="1458">
        <v>10.2769672819025</v>
      </c>
      <c r="E54" s="1459">
        <v>0</v>
      </c>
      <c r="F54" s="1459">
        <v>1</v>
      </c>
      <c r="K54" s="1636">
        <v>42111</v>
      </c>
      <c r="L54" s="1637" t="s">
        <v>1650</v>
      </c>
      <c r="M54" s="1638">
        <v>4.7279000000000002E-2</v>
      </c>
      <c r="N54" s="1639">
        <v>1.0161470833445767</v>
      </c>
      <c r="O54" s="1639">
        <v>1.0161470833445767</v>
      </c>
    </row>
    <row r="55" spans="2:15">
      <c r="B55" s="1457">
        <v>34090</v>
      </c>
      <c r="C55" s="1458">
        <v>1.01968087</v>
      </c>
      <c r="D55" s="1458">
        <v>13.1226581300609</v>
      </c>
      <c r="E55" s="1459">
        <v>0</v>
      </c>
      <c r="F55" s="1459">
        <v>1</v>
      </c>
      <c r="K55" s="1636">
        <v>42112</v>
      </c>
      <c r="L55" s="1637"/>
      <c r="M55" s="1638">
        <v>0</v>
      </c>
      <c r="N55" s="1639">
        <v>1.0161470833445767</v>
      </c>
      <c r="O55" s="1639">
        <v>1.0161470833445767</v>
      </c>
    </row>
    <row r="56" spans="2:15">
      <c r="B56" s="1457">
        <v>34121</v>
      </c>
      <c r="C56" s="1458">
        <v>1.3408208699999999</v>
      </c>
      <c r="D56" s="1458">
        <v>17.068642979808899</v>
      </c>
      <c r="E56" s="1459">
        <v>0</v>
      </c>
      <c r="F56" s="1459">
        <v>1</v>
      </c>
      <c r="K56" s="1636">
        <v>42113</v>
      </c>
      <c r="L56" s="1637"/>
      <c r="M56" s="1638">
        <v>0</v>
      </c>
      <c r="N56" s="1639">
        <v>1.0161470833445767</v>
      </c>
      <c r="O56" s="1639">
        <v>1.0161470833445767</v>
      </c>
    </row>
    <row r="57" spans="2:15">
      <c r="B57" s="1457">
        <v>34151</v>
      </c>
      <c r="C57" s="1458">
        <v>1.75984608</v>
      </c>
      <c r="D57" s="1458">
        <v>22.312130761236201</v>
      </c>
      <c r="E57" s="1459">
        <v>0</v>
      </c>
      <c r="F57" s="1459">
        <v>1</v>
      </c>
      <c r="K57" s="1636">
        <v>42114</v>
      </c>
      <c r="L57" s="1637" t="s">
        <v>1650</v>
      </c>
      <c r="M57" s="1638">
        <v>4.7279000000000002E-2</v>
      </c>
      <c r="N57" s="1639">
        <v>1.0166275075241111</v>
      </c>
      <c r="O57" s="1639">
        <v>1.0166275075241111</v>
      </c>
    </row>
    <row r="58" spans="2:15">
      <c r="B58" s="1457">
        <v>34182</v>
      </c>
      <c r="C58" s="1458">
        <v>2.31923637</v>
      </c>
      <c r="D58" s="1458">
        <v>29.666210936414501</v>
      </c>
      <c r="E58" s="1459">
        <v>0</v>
      </c>
      <c r="F58" s="1459">
        <v>1</v>
      </c>
      <c r="K58" s="1636">
        <v>42115</v>
      </c>
      <c r="L58" s="1637"/>
      <c r="M58" s="1638">
        <v>0</v>
      </c>
      <c r="N58" s="1639">
        <v>1.0166275075241111</v>
      </c>
      <c r="O58" s="1639">
        <v>1.0166275075241111</v>
      </c>
    </row>
    <row r="59" spans="2:15">
      <c r="B59" s="1457">
        <v>34213</v>
      </c>
      <c r="C59" s="1458">
        <v>3.1375231000000001</v>
      </c>
      <c r="D59" s="1458">
        <v>40.254080730946797</v>
      </c>
      <c r="E59" s="1459">
        <v>0</v>
      </c>
      <c r="F59" s="1459">
        <v>1</v>
      </c>
      <c r="K59" s="1636">
        <v>42116</v>
      </c>
      <c r="L59" s="1637" t="s">
        <v>1650</v>
      </c>
      <c r="M59" s="1638">
        <v>4.7279000000000002E-2</v>
      </c>
      <c r="N59" s="1639">
        <v>1.0171081588433935</v>
      </c>
      <c r="O59" s="1639">
        <v>1.0171081588433935</v>
      </c>
    </row>
    <row r="60" spans="2:15">
      <c r="B60" s="1457">
        <v>34243</v>
      </c>
      <c r="C60" s="1458">
        <v>4.2367972299999996</v>
      </c>
      <c r="D60" s="1458">
        <v>53.908264834853298</v>
      </c>
      <c r="E60" s="1459">
        <v>0</v>
      </c>
      <c r="F60" s="1459">
        <v>1</v>
      </c>
      <c r="K60" s="1636">
        <v>42117</v>
      </c>
      <c r="L60" s="1637" t="s">
        <v>1650</v>
      </c>
      <c r="M60" s="1638">
        <v>4.7279000000000002E-2</v>
      </c>
      <c r="N60" s="1639">
        <v>1.0175890374098129</v>
      </c>
      <c r="O60" s="1639">
        <v>1.0175890374098129</v>
      </c>
    </row>
    <row r="61" spans="2:15">
      <c r="B61" s="1457">
        <v>34274</v>
      </c>
      <c r="C61" s="1458">
        <v>5.7685216500000003</v>
      </c>
      <c r="D61" s="1458">
        <v>73.078046584524003</v>
      </c>
      <c r="E61" s="1459">
        <v>0</v>
      </c>
      <c r="F61" s="1459">
        <v>1</v>
      </c>
      <c r="K61" s="1636">
        <v>42118</v>
      </c>
      <c r="L61" s="1637" t="s">
        <v>1650</v>
      </c>
      <c r="M61" s="1638">
        <v>4.7279000000000002E-2</v>
      </c>
      <c r="N61" s="1639">
        <v>1.0180701433308097</v>
      </c>
      <c r="O61" s="1639">
        <v>1.0180701433308097</v>
      </c>
    </row>
    <row r="62" spans="2:15">
      <c r="B62" s="1457">
        <v>34304</v>
      </c>
      <c r="C62" s="1458">
        <v>7.9792505900000004</v>
      </c>
      <c r="D62" s="1458">
        <v>100</v>
      </c>
      <c r="E62" s="1459">
        <v>0</v>
      </c>
      <c r="F62" s="1459">
        <v>1</v>
      </c>
      <c r="K62" s="1636">
        <v>42119</v>
      </c>
      <c r="L62" s="1637"/>
      <c r="M62" s="1638">
        <v>0</v>
      </c>
      <c r="N62" s="1639">
        <v>1.0180701433308097</v>
      </c>
      <c r="O62" s="1639">
        <v>1.0180701433308097</v>
      </c>
    </row>
    <row r="63" spans="2:15">
      <c r="B63" s="1457">
        <v>34335</v>
      </c>
      <c r="C63" s="1458">
        <v>11.0967647</v>
      </c>
      <c r="D63" s="1458">
        <v>141.31</v>
      </c>
      <c r="E63" s="1459">
        <v>0</v>
      </c>
      <c r="F63" s="1459">
        <v>1</v>
      </c>
      <c r="K63" s="1636">
        <v>42120</v>
      </c>
      <c r="L63" s="1637"/>
      <c r="M63" s="1638">
        <v>0</v>
      </c>
      <c r="N63" s="1639">
        <v>1.0180701433308097</v>
      </c>
      <c r="O63" s="1639">
        <v>1.0180701433308097</v>
      </c>
    </row>
    <row r="64" spans="2:15">
      <c r="B64" s="1457">
        <v>34366</v>
      </c>
      <c r="C64" s="1458">
        <v>15.62186911</v>
      </c>
      <c r="D64" s="1458">
        <v>198.22</v>
      </c>
      <c r="E64" s="1459">
        <v>0</v>
      </c>
      <c r="F64" s="1459">
        <v>1</v>
      </c>
      <c r="K64" s="1636">
        <v>42121</v>
      </c>
      <c r="L64" s="1637" t="s">
        <v>1650</v>
      </c>
      <c r="M64" s="1638">
        <v>4.7314000000000002E-2</v>
      </c>
      <c r="N64" s="1639">
        <v>1.0185518330384251</v>
      </c>
      <c r="O64" s="1639">
        <v>1.0185518330384251</v>
      </c>
    </row>
    <row r="65" spans="2:15">
      <c r="B65" s="1457">
        <v>34394</v>
      </c>
      <c r="C65" s="1458">
        <v>22.762782099999999</v>
      </c>
      <c r="D65" s="1458">
        <v>282.95999999999998</v>
      </c>
      <c r="E65" s="1459">
        <v>0</v>
      </c>
      <c r="F65" s="1459">
        <v>1</v>
      </c>
      <c r="K65" s="1636">
        <v>42122</v>
      </c>
      <c r="L65" s="1637" t="s">
        <v>1650</v>
      </c>
      <c r="M65" s="1638">
        <v>4.7350000000000003E-2</v>
      </c>
      <c r="N65" s="1639">
        <v>1.0190341173313688</v>
      </c>
      <c r="O65" s="1639">
        <v>1.0190341173313688</v>
      </c>
    </row>
    <row r="66" spans="2:15">
      <c r="B66" s="1457">
        <v>34425</v>
      </c>
      <c r="C66" s="1458">
        <v>32.074938510000003</v>
      </c>
      <c r="D66" s="1458">
        <v>403.73</v>
      </c>
      <c r="E66" s="1459">
        <v>0</v>
      </c>
      <c r="F66" s="1459">
        <v>1</v>
      </c>
      <c r="K66" s="1636">
        <v>42123</v>
      </c>
      <c r="L66" s="1637" t="s">
        <v>1650</v>
      </c>
      <c r="M66" s="1638">
        <v>4.7350000000000003E-2</v>
      </c>
      <c r="N66" s="1639">
        <v>1.0195166299859253</v>
      </c>
      <c r="O66" s="1639">
        <v>1.0195166299859253</v>
      </c>
    </row>
    <row r="67" spans="2:15">
      <c r="B67" s="1457">
        <v>34455</v>
      </c>
      <c r="C67" s="1458">
        <v>45.731576959999998</v>
      </c>
      <c r="D67" s="1458">
        <v>581.49</v>
      </c>
      <c r="E67" s="1459">
        <v>0</v>
      </c>
      <c r="F67" s="1459">
        <v>1</v>
      </c>
      <c r="K67" s="1636">
        <v>42124</v>
      </c>
      <c r="L67" s="1637" t="s">
        <v>1650</v>
      </c>
      <c r="M67" s="1638">
        <v>4.9036999999999997E-2</v>
      </c>
      <c r="N67" s="1639">
        <v>1.0200165703557715</v>
      </c>
      <c r="O67" s="1639">
        <v>1.0200165703557715</v>
      </c>
    </row>
    <row r="68" spans="2:15">
      <c r="B68" s="1457">
        <v>34486</v>
      </c>
      <c r="C68" s="1458">
        <v>66.408212939999999</v>
      </c>
      <c r="D68" s="1458">
        <v>857.29</v>
      </c>
      <c r="E68" s="1459">
        <v>0</v>
      </c>
      <c r="F68" s="1459">
        <v>1</v>
      </c>
      <c r="K68" s="1636">
        <v>42125</v>
      </c>
      <c r="L68" s="1637"/>
      <c r="M68" s="1638">
        <v>0</v>
      </c>
      <c r="N68" s="1639">
        <v>1.0200165703557715</v>
      </c>
      <c r="O68" s="1639">
        <v>1.0200165703557715</v>
      </c>
    </row>
    <row r="69" spans="2:15">
      <c r="B69" s="1457">
        <v>34516</v>
      </c>
      <c r="C69" s="1458">
        <v>92.968426030000003</v>
      </c>
      <c r="D69" s="1458">
        <v>915.93</v>
      </c>
      <c r="E69" s="1459">
        <v>0</v>
      </c>
      <c r="F69" s="1459">
        <v>1</v>
      </c>
      <c r="K69" s="1636">
        <v>42126</v>
      </c>
      <c r="L69" s="1637"/>
      <c r="M69" s="1638">
        <v>0</v>
      </c>
      <c r="N69" s="1639">
        <v>1.0200165703557715</v>
      </c>
      <c r="O69" s="1639">
        <v>1.0200165703557715</v>
      </c>
    </row>
    <row r="70" spans="2:15">
      <c r="B70" s="1457">
        <v>34547</v>
      </c>
      <c r="C70" s="1458">
        <v>100</v>
      </c>
      <c r="D70" s="1458">
        <v>932.97</v>
      </c>
      <c r="E70" s="1459">
        <v>1.0417031360600404</v>
      </c>
      <c r="F70" s="1459">
        <v>1.0417031360600404</v>
      </c>
      <c r="K70" s="1636">
        <v>42127</v>
      </c>
      <c r="L70" s="1637"/>
      <c r="M70" s="1638">
        <v>0</v>
      </c>
      <c r="N70" s="1639">
        <v>1.0200165703557715</v>
      </c>
      <c r="O70" s="1639">
        <v>1.0200165703557715</v>
      </c>
    </row>
    <row r="71" spans="2:15">
      <c r="B71" s="1457">
        <v>34578</v>
      </c>
      <c r="C71" s="1458">
        <v>101.751</v>
      </c>
      <c r="D71" s="1458">
        <v>947.24</v>
      </c>
      <c r="E71" s="1459">
        <v>1.040191380612066</v>
      </c>
      <c r="F71" s="1459">
        <v>1.0835706232862121</v>
      </c>
      <c r="K71" s="1636">
        <v>42128</v>
      </c>
      <c r="L71" s="1637" t="s">
        <v>1650</v>
      </c>
      <c r="M71" s="1638">
        <v>4.9036999999999997E-2</v>
      </c>
      <c r="N71" s="1639">
        <v>1.020516755881377</v>
      </c>
      <c r="O71" s="1639">
        <v>1.020516755881377</v>
      </c>
    </row>
    <row r="72" spans="2:15">
      <c r="B72" s="1457">
        <v>34608</v>
      </c>
      <c r="C72" s="1458">
        <v>103.602</v>
      </c>
      <c r="D72" s="1458">
        <v>972.06</v>
      </c>
      <c r="E72" s="1459">
        <v>1.0400235119965635</v>
      </c>
      <c r="F72" s="1459">
        <v>1.1269389251264317</v>
      </c>
      <c r="K72" s="1636">
        <v>42129</v>
      </c>
      <c r="L72" s="1637" t="s">
        <v>1650</v>
      </c>
      <c r="M72" s="1638">
        <v>4.9036999999999997E-2</v>
      </c>
      <c r="N72" s="1639">
        <v>1.0210171866829587</v>
      </c>
      <c r="O72" s="1639">
        <v>1.0210171866829587</v>
      </c>
    </row>
    <row r="73" spans="2:15">
      <c r="B73" s="1457">
        <v>34639</v>
      </c>
      <c r="C73" s="1458">
        <v>106.553</v>
      </c>
      <c r="D73" s="1458">
        <v>999.37</v>
      </c>
      <c r="E73" s="1459">
        <v>1.0448704061969656</v>
      </c>
      <c r="F73" s="1459">
        <v>1.1775051324560264</v>
      </c>
      <c r="K73" s="1636">
        <v>42130</v>
      </c>
      <c r="L73" s="1637" t="s">
        <v>1650</v>
      </c>
      <c r="M73" s="1638">
        <v>4.9036999999999997E-2</v>
      </c>
      <c r="N73" s="1639">
        <v>1.0215178628807926</v>
      </c>
      <c r="O73" s="1639">
        <v>1.0215178628807926</v>
      </c>
    </row>
    <row r="74" spans="2:15">
      <c r="B74" s="1457">
        <v>34669</v>
      </c>
      <c r="C74" s="1458">
        <v>107.45</v>
      </c>
      <c r="D74" s="1458">
        <v>1016.46</v>
      </c>
      <c r="E74" s="1459">
        <v>1.0379749903132509</v>
      </c>
      <c r="F74" s="1459">
        <v>1.2222208784548472</v>
      </c>
      <c r="K74" s="1636">
        <v>42131</v>
      </c>
      <c r="L74" s="1637" t="s">
        <v>1650</v>
      </c>
      <c r="M74" s="1638">
        <v>4.9036999999999997E-2</v>
      </c>
      <c r="N74" s="1639">
        <v>1.0220187845952136</v>
      </c>
      <c r="O74" s="1639">
        <v>1.0220187845952136</v>
      </c>
    </row>
    <row r="75" spans="2:15">
      <c r="B75" s="1457">
        <v>34700</v>
      </c>
      <c r="C75" s="1458">
        <v>108.44199999999999</v>
      </c>
      <c r="D75" s="1458">
        <v>1033.74</v>
      </c>
      <c r="E75" s="1459">
        <v>1.033745155557255</v>
      </c>
      <c r="F75" s="1459">
        <v>1.2634649121236308</v>
      </c>
      <c r="K75" s="1636">
        <v>42132</v>
      </c>
      <c r="L75" s="1637" t="s">
        <v>1650</v>
      </c>
      <c r="M75" s="1638">
        <v>4.9036999999999997E-2</v>
      </c>
      <c r="N75" s="1639">
        <v>1.0225199519466155</v>
      </c>
      <c r="O75" s="1639">
        <v>1.0225199519466155</v>
      </c>
    </row>
    <row r="76" spans="2:15">
      <c r="B76" s="1457">
        <v>34731</v>
      </c>
      <c r="C76" s="1458">
        <v>109.9455</v>
      </c>
      <c r="D76" s="1458">
        <v>1044.28</v>
      </c>
      <c r="E76" s="1459">
        <v>1.0361946548110796</v>
      </c>
      <c r="F76" s="1459">
        <v>1.3091955884838566</v>
      </c>
      <c r="K76" s="1636">
        <v>42133</v>
      </c>
      <c r="L76" s="1637"/>
      <c r="M76" s="1638">
        <v>0</v>
      </c>
      <c r="N76" s="1639">
        <v>1.0225199519466155</v>
      </c>
      <c r="O76" s="1639">
        <v>1.0225199519466155</v>
      </c>
    </row>
    <row r="77" spans="2:15">
      <c r="B77" s="1457">
        <v>34759</v>
      </c>
      <c r="C77" s="1458">
        <v>111.178</v>
      </c>
      <c r="D77" s="1458">
        <v>1060.47</v>
      </c>
      <c r="E77" s="1459">
        <v>1.0426211014987152</v>
      </c>
      <c r="F77" s="1459">
        <v>1.3649949465422972</v>
      </c>
      <c r="K77" s="1636">
        <v>42134</v>
      </c>
      <c r="L77" s="1637"/>
      <c r="M77" s="1638">
        <v>0</v>
      </c>
      <c r="N77" s="1639">
        <v>1.0225199519466155</v>
      </c>
      <c r="O77" s="1639">
        <v>1.0225199519466155</v>
      </c>
    </row>
    <row r="78" spans="2:15">
      <c r="B78" s="1457">
        <v>34790</v>
      </c>
      <c r="C78" s="1458">
        <v>113.518</v>
      </c>
      <c r="D78" s="1458">
        <v>1086.24</v>
      </c>
      <c r="E78" s="1459">
        <v>1.0502446731743562</v>
      </c>
      <c r="F78" s="1459">
        <v>1.4335786715159629</v>
      </c>
      <c r="K78" s="1636">
        <v>42135</v>
      </c>
      <c r="L78" s="1637" t="s">
        <v>1650</v>
      </c>
      <c r="M78" s="1638">
        <v>4.9036999999999997E-2</v>
      </c>
      <c r="N78" s="1639">
        <v>1.0230213650554516</v>
      </c>
      <c r="O78" s="1639">
        <v>1.0230213650554516</v>
      </c>
    </row>
    <row r="79" spans="2:15">
      <c r="B79" s="1457">
        <v>34820</v>
      </c>
      <c r="C79" s="1458">
        <v>114.17100000000001</v>
      </c>
      <c r="D79" s="1458">
        <v>1115.24</v>
      </c>
      <c r="E79" s="1459">
        <v>1.0450356278102417</v>
      </c>
      <c r="F79" s="1459">
        <v>1.4981407870030565</v>
      </c>
      <c r="K79" s="1636">
        <v>42136</v>
      </c>
      <c r="L79" s="1637" t="s">
        <v>1650</v>
      </c>
      <c r="M79" s="1638">
        <v>4.9036999999999997E-2</v>
      </c>
      <c r="N79" s="1639">
        <v>1.0235230240422339</v>
      </c>
      <c r="O79" s="1639">
        <v>1.0235230240422339</v>
      </c>
    </row>
    <row r="80" spans="2:15">
      <c r="B80" s="1457">
        <v>34851</v>
      </c>
      <c r="C80" s="1458">
        <v>116.98399999999999</v>
      </c>
      <c r="D80" s="1458">
        <v>1140.44</v>
      </c>
      <c r="E80" s="1459">
        <v>1.0423602226147934</v>
      </c>
      <c r="F80" s="1459">
        <v>1.5616023642488079</v>
      </c>
      <c r="K80" s="1636">
        <v>42137</v>
      </c>
      <c r="L80" s="1637" t="s">
        <v>1650</v>
      </c>
      <c r="M80" s="1638">
        <v>4.9036999999999997E-2</v>
      </c>
      <c r="N80" s="1639">
        <v>1.0240249290275336</v>
      </c>
      <c r="O80" s="1639">
        <v>1.0240249290275336</v>
      </c>
    </row>
    <row r="81" spans="2:15">
      <c r="B81" s="1457">
        <v>34881</v>
      </c>
      <c r="C81" s="1458">
        <v>119.114</v>
      </c>
      <c r="D81" s="1458">
        <v>1167.3499999999999</v>
      </c>
      <c r="E81" s="1459">
        <v>1.0402311780170954</v>
      </c>
      <c r="F81" s="1459">
        <v>1.6244274669568188</v>
      </c>
      <c r="K81" s="1636">
        <v>42138</v>
      </c>
      <c r="L81" s="1637" t="s">
        <v>1650</v>
      </c>
      <c r="M81" s="1638">
        <v>4.9036999999999997E-2</v>
      </c>
      <c r="N81" s="1639">
        <v>1.024527080131981</v>
      </c>
      <c r="O81" s="1639">
        <v>1.024527080131981</v>
      </c>
    </row>
    <row r="82" spans="2:15">
      <c r="B82" s="1457">
        <v>34912</v>
      </c>
      <c r="C82" s="1458">
        <v>121.729</v>
      </c>
      <c r="D82" s="1458">
        <v>1178.9100000000001</v>
      </c>
      <c r="E82" s="1458">
        <v>1.0383979241220025</v>
      </c>
      <c r="F82" s="1458">
        <v>1.6868021095747234</v>
      </c>
      <c r="G82" s="7">
        <v>41036.512291666666</v>
      </c>
      <c r="K82" s="1636">
        <v>42139</v>
      </c>
      <c r="L82" s="1637" t="s">
        <v>1650</v>
      </c>
      <c r="M82" s="1638">
        <v>4.9036999999999997E-2</v>
      </c>
      <c r="N82" s="1639">
        <v>1.0250294774762654</v>
      </c>
      <c r="O82" s="1639">
        <v>1.0250294774762654</v>
      </c>
    </row>
    <row r="83" spans="2:15">
      <c r="B83" s="1457">
        <v>34943</v>
      </c>
      <c r="C83" s="1458">
        <v>120.869</v>
      </c>
      <c r="D83" s="1458">
        <v>1190.58</v>
      </c>
      <c r="E83" s="1458">
        <v>1.0349384575781275</v>
      </c>
      <c r="F83" s="1458">
        <v>1.745736373522796</v>
      </c>
      <c r="K83" s="1636">
        <v>42140</v>
      </c>
      <c r="L83" s="1637"/>
      <c r="M83" s="1638">
        <v>0</v>
      </c>
      <c r="N83" s="1639">
        <v>1.0250294774762654</v>
      </c>
      <c r="O83" s="1639">
        <v>1.0250294774762654</v>
      </c>
    </row>
    <row r="84" spans="2:15">
      <c r="B84" s="1457">
        <v>34973</v>
      </c>
      <c r="C84" s="1458">
        <v>121.503</v>
      </c>
      <c r="D84" s="1458">
        <v>1207.3699999999999</v>
      </c>
      <c r="E84" s="1458">
        <v>1.0324041438440343</v>
      </c>
      <c r="F84" s="1458">
        <v>1.8023054660841915</v>
      </c>
      <c r="K84" s="1636">
        <v>42141</v>
      </c>
      <c r="L84" s="1637"/>
      <c r="M84" s="1638">
        <v>0</v>
      </c>
      <c r="N84" s="1639">
        <v>1.0250294774762654</v>
      </c>
      <c r="O84" s="1639">
        <v>1.0250294774762654</v>
      </c>
    </row>
    <row r="85" spans="2:15">
      <c r="B85" s="1457">
        <v>35004</v>
      </c>
      <c r="C85" s="1458">
        <v>122.955</v>
      </c>
      <c r="D85" s="1458">
        <v>1225.1199999999999</v>
      </c>
      <c r="E85" s="1458">
        <v>1.0316999077357936</v>
      </c>
      <c r="F85" s="1458">
        <v>1.8594383830707768</v>
      </c>
      <c r="K85" s="1636">
        <v>42142</v>
      </c>
      <c r="L85" s="1637" t="s">
        <v>1650</v>
      </c>
      <c r="M85" s="1638">
        <v>4.9036999999999997E-2</v>
      </c>
      <c r="N85" s="1639">
        <v>1.0255321211811355</v>
      </c>
      <c r="O85" s="1639">
        <v>1.0255321211811355</v>
      </c>
    </row>
    <row r="86" spans="2:15">
      <c r="B86" s="1457">
        <v>35034</v>
      </c>
      <c r="C86" s="1458">
        <v>123.833</v>
      </c>
      <c r="D86" s="1458">
        <v>1244.23</v>
      </c>
      <c r="E86" s="1458">
        <v>1.0292086837764389</v>
      </c>
      <c r="F86" s="1458">
        <v>1.913750130803664</v>
      </c>
      <c r="K86" s="1636">
        <v>42143</v>
      </c>
      <c r="L86" s="1637" t="s">
        <v>1650</v>
      </c>
      <c r="M86" s="1638">
        <v>4.9036999999999997E-2</v>
      </c>
      <c r="N86" s="1639">
        <v>1.0260350113673991</v>
      </c>
      <c r="O86" s="1639">
        <v>1.0260350113673991</v>
      </c>
    </row>
    <row r="87" spans="2:15">
      <c r="B87" s="1457">
        <v>35065</v>
      </c>
      <c r="C87" s="1458">
        <v>125.977</v>
      </c>
      <c r="D87" s="1458">
        <v>1260.9000000000001</v>
      </c>
      <c r="E87" s="1458">
        <v>1.0271429062533448</v>
      </c>
      <c r="F87" s="1458">
        <v>1.9656948711963942</v>
      </c>
      <c r="K87" s="1636">
        <v>42144</v>
      </c>
      <c r="L87" s="1637" t="s">
        <v>1650</v>
      </c>
      <c r="M87" s="1638">
        <v>4.9036999999999997E-2</v>
      </c>
      <c r="N87" s="1639">
        <v>1.0265381481559233</v>
      </c>
      <c r="O87" s="1639">
        <v>1.0265381481559233</v>
      </c>
    </row>
    <row r="88" spans="2:15">
      <c r="B88" s="1457">
        <v>35096</v>
      </c>
      <c r="C88" s="1458">
        <v>127.202</v>
      </c>
      <c r="D88" s="1458">
        <v>1273.8900000000001</v>
      </c>
      <c r="E88" s="1458">
        <v>1.026088709032714</v>
      </c>
      <c r="F88" s="1458">
        <v>2.0169773127381352</v>
      </c>
      <c r="K88" s="1636">
        <v>42145</v>
      </c>
      <c r="L88" s="1637" t="s">
        <v>1650</v>
      </c>
      <c r="M88" s="1638">
        <v>4.9036999999999997E-2</v>
      </c>
      <c r="N88" s="1639">
        <v>1.0270415316676345</v>
      </c>
      <c r="O88" s="1639">
        <v>1.0270415316676345</v>
      </c>
    </row>
    <row r="89" spans="2:15">
      <c r="B89" s="1457">
        <v>35125</v>
      </c>
      <c r="C89" s="1458">
        <v>127.715</v>
      </c>
      <c r="D89" s="1458">
        <v>1278.3499999999999</v>
      </c>
      <c r="E89" s="1458">
        <v>1.0222082178682002</v>
      </c>
      <c r="F89" s="1458">
        <v>2.0617707843346404</v>
      </c>
      <c r="K89" s="1636">
        <v>42146</v>
      </c>
      <c r="L89" s="1637" t="s">
        <v>1650</v>
      </c>
      <c r="M89" s="1638">
        <v>4.9036999999999997E-2</v>
      </c>
      <c r="N89" s="1639">
        <v>1.0275451620235183</v>
      </c>
      <c r="O89" s="1639">
        <v>1.0275451620235183</v>
      </c>
    </row>
    <row r="90" spans="2:15">
      <c r="B90" s="1457">
        <v>35156</v>
      </c>
      <c r="C90" s="1458">
        <v>128.13</v>
      </c>
      <c r="D90" s="1458">
        <v>1294.46</v>
      </c>
      <c r="E90" s="1458">
        <v>1.0227569082086725</v>
      </c>
      <c r="F90" s="1458">
        <v>2.1086903128210666</v>
      </c>
      <c r="K90" s="1636">
        <v>42147</v>
      </c>
      <c r="L90" s="1637"/>
      <c r="M90" s="1638">
        <v>0</v>
      </c>
      <c r="N90" s="1639">
        <v>1.0275451620235183</v>
      </c>
      <c r="O90" s="1639">
        <v>1.0275451620235183</v>
      </c>
    </row>
    <row r="91" spans="2:15">
      <c r="B91" s="1457">
        <v>35186</v>
      </c>
      <c r="C91" s="1458">
        <v>130.12100000000001</v>
      </c>
      <c r="D91" s="1458">
        <v>1310.25</v>
      </c>
      <c r="E91" s="1458">
        <v>1.0210626514511167</v>
      </c>
      <c r="F91" s="1458">
        <v>2.1531049218983629</v>
      </c>
      <c r="K91" s="1636">
        <v>42148</v>
      </c>
      <c r="L91" s="1637"/>
      <c r="M91" s="1638">
        <v>0</v>
      </c>
      <c r="N91" s="1639">
        <v>1.0275451620235183</v>
      </c>
      <c r="O91" s="1639">
        <v>1.0275451620235183</v>
      </c>
    </row>
    <row r="92" spans="2:15">
      <c r="B92" s="1457">
        <v>35217</v>
      </c>
      <c r="C92" s="1458">
        <v>131.44499999999999</v>
      </c>
      <c r="D92" s="1458">
        <v>1325.84</v>
      </c>
      <c r="E92" s="1458">
        <v>1.020826552130859</v>
      </c>
      <c r="F92" s="1458">
        <v>2.1979466737974884</v>
      </c>
      <c r="K92" s="1636">
        <v>42149</v>
      </c>
      <c r="L92" s="1637" t="s">
        <v>1650</v>
      </c>
      <c r="M92" s="1638">
        <v>4.9036999999999997E-2</v>
      </c>
      <c r="N92" s="1639">
        <v>1.0280490393446198</v>
      </c>
      <c r="O92" s="1639">
        <v>1.0280490393446198</v>
      </c>
    </row>
    <row r="93" spans="2:15">
      <c r="B93" s="1457">
        <v>35247</v>
      </c>
      <c r="C93" s="1458">
        <v>133.21299999999999</v>
      </c>
      <c r="D93" s="1458">
        <v>1340.56</v>
      </c>
      <c r="E93" s="1458">
        <v>1.0192856968560815</v>
      </c>
      <c r="F93" s="1458">
        <v>2.2403356070541793</v>
      </c>
      <c r="K93" s="1636">
        <v>42150</v>
      </c>
      <c r="L93" s="1637" t="s">
        <v>1650</v>
      </c>
      <c r="M93" s="1638">
        <v>4.9036999999999997E-2</v>
      </c>
      <c r="N93" s="1639">
        <v>1.0285531637520433</v>
      </c>
      <c r="O93" s="1639">
        <v>1.0285531637520433</v>
      </c>
    </row>
    <row r="94" spans="2:15">
      <c r="B94" s="1457">
        <v>35278</v>
      </c>
      <c r="C94" s="1458">
        <v>133.58699999999999</v>
      </c>
      <c r="D94" s="1458">
        <v>1346.46</v>
      </c>
      <c r="E94" s="1458">
        <v>1.0196791435025818</v>
      </c>
      <c r="F94" s="1458">
        <v>2.2844234929593421</v>
      </c>
      <c r="K94" s="1636">
        <v>42151</v>
      </c>
      <c r="L94" s="1637" t="s">
        <v>1650</v>
      </c>
      <c r="M94" s="1638">
        <v>4.9036999999999997E-2</v>
      </c>
      <c r="N94" s="1639">
        <v>1.0290575353669524</v>
      </c>
      <c r="O94" s="1639">
        <v>1.0290575353669524</v>
      </c>
    </row>
    <row r="95" spans="2:15">
      <c r="B95" s="1457">
        <v>35309</v>
      </c>
      <c r="C95" s="1458">
        <v>133.72200000000001</v>
      </c>
      <c r="D95" s="1458">
        <v>1348.48</v>
      </c>
      <c r="E95" s="1458">
        <v>1.0190405257020327</v>
      </c>
      <c r="F95" s="1458">
        <v>2.3279201171913617</v>
      </c>
      <c r="K95" s="1636">
        <v>42152</v>
      </c>
      <c r="L95" s="1637" t="s">
        <v>1650</v>
      </c>
      <c r="M95" s="1638">
        <v>4.9036999999999997E-2</v>
      </c>
      <c r="N95" s="1639">
        <v>1.0295621543105704</v>
      </c>
      <c r="O95" s="1639">
        <v>1.0295621543105704</v>
      </c>
    </row>
    <row r="96" spans="2:15">
      <c r="B96" s="1457">
        <v>35339</v>
      </c>
      <c r="C96" s="1458">
        <v>133.97800000000001</v>
      </c>
      <c r="D96" s="1458">
        <v>1352.53</v>
      </c>
      <c r="E96" s="1458">
        <v>1.0194350405573067</v>
      </c>
      <c r="F96" s="1458">
        <v>2.3731633390831459</v>
      </c>
      <c r="K96" s="1636">
        <v>42153</v>
      </c>
      <c r="L96" s="1637" t="s">
        <v>1650</v>
      </c>
      <c r="M96" s="1638">
        <v>4.9036999999999997E-2</v>
      </c>
      <c r="N96" s="1639">
        <v>1.0300670207041798</v>
      </c>
      <c r="O96" s="1639">
        <v>1.0300670207041798</v>
      </c>
    </row>
    <row r="97" spans="2:15">
      <c r="B97" s="1457">
        <v>35370</v>
      </c>
      <c r="C97" s="1458">
        <v>134.24199999999999</v>
      </c>
      <c r="D97" s="1458">
        <v>1356.86</v>
      </c>
      <c r="E97" s="1458">
        <v>1.018952291397875</v>
      </c>
      <c r="F97" s="1458">
        <v>2.4181402222202037</v>
      </c>
      <c r="K97" s="1636">
        <v>42154</v>
      </c>
      <c r="L97" s="1637"/>
      <c r="M97" s="1638">
        <v>0</v>
      </c>
      <c r="N97" s="1639">
        <v>1.0300670207041798</v>
      </c>
      <c r="O97" s="1639">
        <v>1.0300670207041798</v>
      </c>
    </row>
    <row r="98" spans="2:15">
      <c r="B98" s="1457">
        <v>35400</v>
      </c>
      <c r="C98" s="1458">
        <v>135.22499999999999</v>
      </c>
      <c r="D98" s="1458">
        <v>1363.24</v>
      </c>
      <c r="E98" s="1458">
        <v>1.0189221360623306</v>
      </c>
      <c r="F98" s="1458">
        <v>2.4638966005228489</v>
      </c>
      <c r="K98" s="1636">
        <v>42155</v>
      </c>
      <c r="L98" s="1637"/>
      <c r="M98" s="1638">
        <v>0</v>
      </c>
      <c r="N98" s="1639">
        <v>1.0300670207041798</v>
      </c>
      <c r="O98" s="1639">
        <v>1.0300670207041798</v>
      </c>
    </row>
    <row r="99" spans="2:15">
      <c r="B99" s="1457">
        <v>35431</v>
      </c>
      <c r="C99" s="1458">
        <v>137.613</v>
      </c>
      <c r="D99" s="1458">
        <v>1379.33</v>
      </c>
      <c r="E99" s="1458">
        <v>1.0182168360386268</v>
      </c>
      <c r="F99" s="1458">
        <v>2.5087810009107034</v>
      </c>
      <c r="K99" s="1636">
        <v>42156</v>
      </c>
      <c r="L99" s="1637" t="s">
        <v>1650</v>
      </c>
      <c r="M99" s="1638">
        <v>4.9036999999999997E-2</v>
      </c>
      <c r="N99" s="1639">
        <v>1.0305721346691226</v>
      </c>
      <c r="O99" s="1639">
        <v>1.0305721346691226</v>
      </c>
    </row>
    <row r="100" spans="2:15">
      <c r="B100" s="1457">
        <v>35462</v>
      </c>
      <c r="C100" s="1458">
        <v>138.20400000000001</v>
      </c>
      <c r="D100" s="1458">
        <v>1386.23</v>
      </c>
      <c r="E100" s="1458">
        <v>1.018615977536991</v>
      </c>
      <c r="F100" s="1458">
        <v>2.5554844116688868</v>
      </c>
      <c r="K100" s="1636">
        <v>42157</v>
      </c>
      <c r="L100" s="1637" t="s">
        <v>1650</v>
      </c>
      <c r="M100" s="1638">
        <v>4.9036999999999997E-2</v>
      </c>
      <c r="N100" s="1639">
        <v>1.0310774963268003</v>
      </c>
      <c r="O100" s="1639">
        <v>1.0310774963268003</v>
      </c>
    </row>
    <row r="101" spans="2:15">
      <c r="B101" s="1457">
        <v>35490</v>
      </c>
      <c r="C101" s="1458">
        <v>139.79499999999999</v>
      </c>
      <c r="D101" s="1458">
        <v>1393.3</v>
      </c>
      <c r="E101" s="1458">
        <v>1.0181653196053577</v>
      </c>
      <c r="F101" s="1458">
        <v>2.6019056027533618</v>
      </c>
      <c r="K101" s="1636">
        <v>42158</v>
      </c>
      <c r="L101" s="1637" t="s">
        <v>1650</v>
      </c>
      <c r="M101" s="1638">
        <v>4.9036999999999997E-2</v>
      </c>
      <c r="N101" s="1639">
        <v>1.0315831057986742</v>
      </c>
      <c r="O101" s="1639">
        <v>1.0315831057986742</v>
      </c>
    </row>
    <row r="102" spans="2:15">
      <c r="B102" s="1457">
        <v>35521</v>
      </c>
      <c r="C102" s="1458">
        <v>140.74199999999999</v>
      </c>
      <c r="D102" s="1458">
        <v>1405.56</v>
      </c>
      <c r="E102" s="1458">
        <v>1.0174130782041242</v>
      </c>
      <c r="F102" s="1458">
        <v>2.6472127884938548</v>
      </c>
      <c r="K102" s="1636">
        <v>42159</v>
      </c>
      <c r="L102" s="1637"/>
      <c r="M102" s="1638">
        <v>0</v>
      </c>
      <c r="N102" s="1639">
        <v>1.0315831057986742</v>
      </c>
      <c r="O102" s="1639">
        <v>1.0315831057986742</v>
      </c>
    </row>
    <row r="103" spans="2:15">
      <c r="B103" s="1457">
        <v>35551</v>
      </c>
      <c r="C103" s="1458">
        <v>141.04</v>
      </c>
      <c r="D103" s="1458">
        <v>1411.32</v>
      </c>
      <c r="E103" s="1458">
        <v>1.0173859708262292</v>
      </c>
      <c r="F103" s="1458">
        <v>2.6932371528054295</v>
      </c>
      <c r="K103" s="1636">
        <v>42160</v>
      </c>
      <c r="L103" s="1637" t="s">
        <v>1650</v>
      </c>
      <c r="M103" s="1638">
        <v>5.0788E-2</v>
      </c>
      <c r="N103" s="1639">
        <v>1.0321070262264471</v>
      </c>
      <c r="O103" s="1639">
        <v>1.0321070262264471</v>
      </c>
    </row>
    <row r="104" spans="2:15">
      <c r="B104" s="1457">
        <v>35582</v>
      </c>
      <c r="C104" s="1458">
        <v>142.09</v>
      </c>
      <c r="D104" s="1458">
        <v>1418.94</v>
      </c>
      <c r="E104" s="1458">
        <v>1.0160683269749473</v>
      </c>
      <c r="F104" s="1458">
        <v>2.7365129679977831</v>
      </c>
      <c r="K104" s="1636">
        <v>42161</v>
      </c>
      <c r="L104" s="1637"/>
      <c r="M104" s="1638">
        <v>0</v>
      </c>
      <c r="N104" s="1639">
        <v>1.0321070262264471</v>
      </c>
      <c r="O104" s="1639">
        <v>1.0321070262264471</v>
      </c>
    </row>
    <row r="105" spans="2:15">
      <c r="B105" s="1457">
        <v>35612</v>
      </c>
      <c r="C105" s="1458">
        <v>142.221</v>
      </c>
      <c r="D105" s="1458">
        <v>1422.06</v>
      </c>
      <c r="E105" s="1458">
        <v>1.0160384417373229</v>
      </c>
      <c r="F105" s="1458">
        <v>2.7804023717984441</v>
      </c>
      <c r="K105" s="1636">
        <v>42162</v>
      </c>
      <c r="L105" s="1637"/>
      <c r="M105" s="1638">
        <v>0</v>
      </c>
      <c r="N105" s="1639">
        <v>1.0321070262264471</v>
      </c>
      <c r="O105" s="1639">
        <v>1.0321070262264471</v>
      </c>
    </row>
    <row r="106" spans="2:15">
      <c r="B106" s="1457">
        <v>35643</v>
      </c>
      <c r="C106" s="1458">
        <v>142.35300000000001</v>
      </c>
      <c r="D106" s="1458">
        <v>1421.78</v>
      </c>
      <c r="E106" s="1458">
        <v>1.0158585469231169</v>
      </c>
      <c r="F106" s="1458">
        <v>2.8244955132767555</v>
      </c>
      <c r="K106" s="1636">
        <v>42163</v>
      </c>
      <c r="L106" s="1637" t="s">
        <v>1650</v>
      </c>
      <c r="M106" s="1638">
        <v>5.0788E-2</v>
      </c>
      <c r="N106" s="1639">
        <v>1.0326312127429271</v>
      </c>
      <c r="O106" s="1639">
        <v>1.0326312127429271</v>
      </c>
    </row>
    <row r="107" spans="2:15">
      <c r="B107" s="1457">
        <v>35674</v>
      </c>
      <c r="C107" s="1458">
        <v>143.042</v>
      </c>
      <c r="D107" s="1458">
        <v>1422.63</v>
      </c>
      <c r="E107" s="1458">
        <v>1.0159028051900765</v>
      </c>
      <c r="F107" s="1458">
        <v>2.869412915184641</v>
      </c>
      <c r="K107" s="1636">
        <v>42164</v>
      </c>
      <c r="L107" s="1637" t="s">
        <v>1650</v>
      </c>
      <c r="M107" s="1638">
        <v>5.0788E-2</v>
      </c>
      <c r="N107" s="1639">
        <v>1.033155665483255</v>
      </c>
      <c r="O107" s="1639">
        <v>1.033155665483255</v>
      </c>
    </row>
    <row r="108" spans="2:15">
      <c r="B108" s="1457">
        <v>35704</v>
      </c>
      <c r="C108" s="1458">
        <v>143.56700000000001</v>
      </c>
      <c r="D108" s="1458">
        <v>1425.9</v>
      </c>
      <c r="E108" s="1458">
        <v>1.0167288802763557</v>
      </c>
      <c r="F108" s="1458">
        <v>2.9174149803061935</v>
      </c>
      <c r="K108" s="1636">
        <v>42165</v>
      </c>
      <c r="L108" s="1637" t="s">
        <v>1650</v>
      </c>
      <c r="M108" s="1638">
        <v>5.0788E-2</v>
      </c>
      <c r="N108" s="1639">
        <v>1.0336803845826406</v>
      </c>
      <c r="O108" s="1639">
        <v>1.0336803845826406</v>
      </c>
    </row>
    <row r="109" spans="2:15">
      <c r="B109" s="1457">
        <v>35735</v>
      </c>
      <c r="C109" s="1458">
        <v>144.48099999999999</v>
      </c>
      <c r="D109" s="1458">
        <v>1428.32</v>
      </c>
      <c r="E109" s="1458">
        <v>1.0304347964479648</v>
      </c>
      <c r="F109" s="1458">
        <v>3.0062059113860555</v>
      </c>
      <c r="K109" s="1636">
        <v>42166</v>
      </c>
      <c r="L109" s="1637" t="s">
        <v>1650</v>
      </c>
      <c r="M109" s="1638">
        <v>5.0788E-2</v>
      </c>
      <c r="N109" s="1639">
        <v>1.0342053701763625</v>
      </c>
      <c r="O109" s="1639">
        <v>1.0342053701763625</v>
      </c>
    </row>
    <row r="110" spans="2:15">
      <c r="B110" s="1457">
        <v>35765</v>
      </c>
      <c r="C110" s="1458">
        <v>145.69499999999999</v>
      </c>
      <c r="D110" s="1458">
        <v>1434.46</v>
      </c>
      <c r="E110" s="1458">
        <v>1.0311549813439238</v>
      </c>
      <c r="F110" s="1458">
        <v>3.0998642004712815</v>
      </c>
      <c r="K110" s="1636">
        <v>42167</v>
      </c>
      <c r="L110" s="1637" t="s">
        <v>1650</v>
      </c>
      <c r="M110" s="1638">
        <v>5.0788E-2</v>
      </c>
      <c r="N110" s="1639">
        <v>1.0347306223997677</v>
      </c>
      <c r="O110" s="1639">
        <v>1.0347306223997677</v>
      </c>
    </row>
    <row r="111" spans="2:15">
      <c r="B111" s="1457">
        <v>35796</v>
      </c>
      <c r="C111" s="1458">
        <v>147.09100000000001</v>
      </c>
      <c r="D111" s="1458">
        <v>1444.64</v>
      </c>
      <c r="E111" s="1458">
        <v>1.0280960413836384</v>
      </c>
      <c r="F111" s="1458">
        <v>3.1869581133313818</v>
      </c>
      <c r="K111" s="1636">
        <v>42168</v>
      </c>
      <c r="L111" s="1637"/>
      <c r="M111" s="1638">
        <v>0</v>
      </c>
      <c r="N111" s="1639">
        <v>1.0347306223997677</v>
      </c>
      <c r="O111" s="1639">
        <v>1.0347306223997677</v>
      </c>
    </row>
    <row r="112" spans="2:15">
      <c r="B112" s="1457">
        <v>35827</v>
      </c>
      <c r="C112" s="1458">
        <v>147.35599999999999</v>
      </c>
      <c r="D112" s="1458">
        <v>1451.29</v>
      </c>
      <c r="E112" s="1458">
        <v>1.0236711069024262</v>
      </c>
      <c r="F112" s="1458">
        <v>3.2623969395256034</v>
      </c>
      <c r="K112" s="1636">
        <v>42169</v>
      </c>
      <c r="L112" s="1637"/>
      <c r="M112" s="1638">
        <v>0</v>
      </c>
      <c r="N112" s="1639">
        <v>1.0347306223997677</v>
      </c>
      <c r="O112" s="1639">
        <v>1.0347306223997677</v>
      </c>
    </row>
    <row r="113" spans="2:15">
      <c r="B113" s="1457">
        <v>35855</v>
      </c>
      <c r="C113" s="1458">
        <v>147.63499999999999</v>
      </c>
      <c r="D113" s="1458">
        <v>1456.22</v>
      </c>
      <c r="E113" s="1458">
        <v>1.0220072916308196</v>
      </c>
      <c r="F113" s="1458">
        <v>3.3341934603892365</v>
      </c>
      <c r="K113" s="1636">
        <v>42170</v>
      </c>
      <c r="L113" s="1637" t="s">
        <v>1650</v>
      </c>
      <c r="M113" s="1638">
        <v>5.0788E-2</v>
      </c>
      <c r="N113" s="1639">
        <v>1.0352561413882722</v>
      </c>
      <c r="O113" s="1639">
        <v>1.0352561413882722</v>
      </c>
    </row>
    <row r="114" spans="2:15">
      <c r="B114" s="1457">
        <v>35886</v>
      </c>
      <c r="C114" s="1458">
        <v>147.821</v>
      </c>
      <c r="D114" s="1458">
        <v>1459.71</v>
      </c>
      <c r="E114" s="1458">
        <v>1.0199031041694671</v>
      </c>
      <c r="F114" s="1458">
        <v>3.4005542601525192</v>
      </c>
      <c r="K114" s="1636">
        <v>42171</v>
      </c>
      <c r="L114" s="1637" t="s">
        <v>1650</v>
      </c>
      <c r="M114" s="1638">
        <v>5.0788E-2</v>
      </c>
      <c r="N114" s="1639">
        <v>1.0357819272773605</v>
      </c>
      <c r="O114" s="1639">
        <v>1.0357819272773605</v>
      </c>
    </row>
    <row r="115" spans="2:15">
      <c r="B115" s="1457">
        <v>35916</v>
      </c>
      <c r="C115" s="1458">
        <v>148.02099999999999</v>
      </c>
      <c r="D115" s="1458">
        <v>1467.01</v>
      </c>
      <c r="E115" s="1458">
        <v>1.0171306475499944</v>
      </c>
      <c r="F115" s="1458">
        <v>3.4588079566578238</v>
      </c>
      <c r="K115" s="1636">
        <v>42172</v>
      </c>
      <c r="L115" s="1637" t="s">
        <v>1650</v>
      </c>
      <c r="M115" s="1638">
        <v>5.0788E-2</v>
      </c>
      <c r="N115" s="1639">
        <v>1.0363079802025861</v>
      </c>
      <c r="O115" s="1639">
        <v>1.0363079802025861</v>
      </c>
    </row>
    <row r="116" spans="2:15">
      <c r="B116" s="1457">
        <v>35947</v>
      </c>
      <c r="C116" s="1458">
        <v>148.58799999999999</v>
      </c>
      <c r="D116" s="1458">
        <v>1467.3</v>
      </c>
      <c r="E116" s="1458">
        <v>1.0167959651913006</v>
      </c>
      <c r="F116" s="1458">
        <v>3.5169019747012422</v>
      </c>
      <c r="K116" s="1636">
        <v>42173</v>
      </c>
      <c r="L116" s="1637" t="s">
        <v>1650</v>
      </c>
      <c r="M116" s="1638">
        <v>5.0788E-2</v>
      </c>
      <c r="N116" s="1639">
        <v>1.0368343002995715</v>
      </c>
      <c r="O116" s="1639">
        <v>1.0368343002995715</v>
      </c>
    </row>
    <row r="117" spans="2:15">
      <c r="B117" s="1457">
        <v>35977</v>
      </c>
      <c r="C117" s="1458">
        <v>148.339</v>
      </c>
      <c r="D117" s="1458">
        <v>1465.54</v>
      </c>
      <c r="E117" s="1458">
        <v>1.0170373206405035</v>
      </c>
      <c r="F117" s="1458">
        <v>3.5768205613054471</v>
      </c>
      <c r="K117" s="1636">
        <v>42174</v>
      </c>
      <c r="L117" s="1637" t="s">
        <v>1650</v>
      </c>
      <c r="M117" s="1638">
        <v>5.0788E-2</v>
      </c>
      <c r="N117" s="1639">
        <v>1.0373608877040077</v>
      </c>
      <c r="O117" s="1639">
        <v>1.0373608877040077</v>
      </c>
    </row>
    <row r="118" spans="2:15">
      <c r="B118" s="1457">
        <v>36008</v>
      </c>
      <c r="C118" s="1458">
        <v>148.10900000000001</v>
      </c>
      <c r="D118" s="1458">
        <v>1458.07</v>
      </c>
      <c r="E118" s="1458">
        <v>1.0147631694962493</v>
      </c>
      <c r="F118" s="1458">
        <v>3.6296257695096692</v>
      </c>
      <c r="K118" s="1636">
        <v>42175</v>
      </c>
      <c r="L118" s="1637"/>
      <c r="M118" s="1638">
        <v>0</v>
      </c>
      <c r="N118" s="1639">
        <v>1.0373608877040077</v>
      </c>
      <c r="O118" s="1639">
        <v>1.0373608877040077</v>
      </c>
    </row>
    <row r="119" spans="2:15">
      <c r="B119" s="1457">
        <v>36039</v>
      </c>
      <c r="C119" s="1458">
        <v>147.98400000000001</v>
      </c>
      <c r="D119" s="1458">
        <v>1454.86</v>
      </c>
      <c r="E119" s="1458">
        <v>1.0255896332244516</v>
      </c>
      <c r="F119" s="1458">
        <v>3.7225065616934394</v>
      </c>
      <c r="K119" s="1636">
        <v>42176</v>
      </c>
      <c r="L119" s="1637"/>
      <c r="M119" s="1638">
        <v>0</v>
      </c>
      <c r="N119" s="1639">
        <v>1.0373608877040077</v>
      </c>
      <c r="O119" s="1639">
        <v>1.0373608877040077</v>
      </c>
    </row>
    <row r="120" spans="2:15">
      <c r="B120" s="1457">
        <v>36069</v>
      </c>
      <c r="C120" s="1458">
        <v>148.1</v>
      </c>
      <c r="D120" s="1458">
        <v>1455.15</v>
      </c>
      <c r="E120" s="1458">
        <v>1.0308188720930029</v>
      </c>
      <c r="F120" s="1458">
        <v>3.8372300152836338</v>
      </c>
      <c r="K120" s="1636">
        <v>42177</v>
      </c>
      <c r="L120" s="1637" t="s">
        <v>1650</v>
      </c>
      <c r="M120" s="1638">
        <v>5.0788E-2</v>
      </c>
      <c r="N120" s="1639">
        <v>1.0378877425516548</v>
      </c>
      <c r="O120" s="1639">
        <v>1.0378877425516548</v>
      </c>
    </row>
    <row r="121" spans="2:15">
      <c r="B121" s="1457">
        <v>36100</v>
      </c>
      <c r="C121" s="1458">
        <v>147.62799999999999</v>
      </c>
      <c r="D121" s="1458">
        <v>1453.4</v>
      </c>
      <c r="E121" s="1458">
        <v>1.0277678356785036</v>
      </c>
      <c r="F121" s="1458">
        <v>3.9437815878086515</v>
      </c>
      <c r="K121" s="1636">
        <v>42178</v>
      </c>
      <c r="L121" s="1637" t="s">
        <v>1650</v>
      </c>
      <c r="M121" s="1638">
        <v>5.0788E-2</v>
      </c>
      <c r="N121" s="1639">
        <v>1.038414864978342</v>
      </c>
      <c r="O121" s="1639">
        <v>1.038414864978342</v>
      </c>
    </row>
    <row r="122" spans="2:15">
      <c r="B122" s="1457">
        <v>36130</v>
      </c>
      <c r="C122" s="1458">
        <v>148.291</v>
      </c>
      <c r="D122" s="1458">
        <v>1458.2</v>
      </c>
      <c r="E122" s="1458">
        <v>1.025049538167373</v>
      </c>
      <c r="F122" s="1458">
        <v>4.0425714952162473</v>
      </c>
      <c r="K122" s="1636">
        <v>42179</v>
      </c>
      <c r="L122" s="1637" t="s">
        <v>1650</v>
      </c>
      <c r="M122" s="1638">
        <v>5.0788E-2</v>
      </c>
      <c r="N122" s="1639">
        <v>1.0389422551199672</v>
      </c>
      <c r="O122" s="1639">
        <v>1.0389422551199672</v>
      </c>
    </row>
    <row r="123" spans="2:15">
      <c r="B123" s="1457">
        <v>36161</v>
      </c>
      <c r="C123" s="1458">
        <v>149.53299999999999</v>
      </c>
      <c r="D123" s="1458">
        <v>1468.41</v>
      </c>
      <c r="E123" s="1458">
        <v>1.022811290449001</v>
      </c>
      <c r="F123" s="1458">
        <v>4.1347877677544771</v>
      </c>
      <c r="K123" s="1636">
        <v>42180</v>
      </c>
      <c r="L123" s="1637" t="s">
        <v>1650</v>
      </c>
      <c r="M123" s="1638">
        <v>5.0788E-2</v>
      </c>
      <c r="N123" s="1639">
        <v>1.0394699131124976</v>
      </c>
      <c r="O123" s="1639">
        <v>1.0394699131124976</v>
      </c>
    </row>
    <row r="124" spans="2:15">
      <c r="B124" s="1457">
        <v>36192</v>
      </c>
      <c r="C124" s="1458">
        <v>154.93299999999999</v>
      </c>
      <c r="D124" s="1458">
        <v>1483.83</v>
      </c>
      <c r="E124" s="1458">
        <v>1.0264662861429437</v>
      </c>
      <c r="F124" s="1458">
        <v>4.2442202439562102</v>
      </c>
      <c r="K124" s="1636">
        <v>42181</v>
      </c>
      <c r="L124" s="1637" t="s">
        <v>1650</v>
      </c>
      <c r="M124" s="1638">
        <v>5.0788E-2</v>
      </c>
      <c r="N124" s="1639">
        <v>1.0399978390919691</v>
      </c>
      <c r="O124" s="1639">
        <v>1.0399978390919691</v>
      </c>
    </row>
    <row r="125" spans="2:15">
      <c r="B125" s="1457">
        <v>36220</v>
      </c>
      <c r="C125" s="1458">
        <v>159.32499999999999</v>
      </c>
      <c r="D125" s="1458">
        <v>1500.15</v>
      </c>
      <c r="E125" s="1458">
        <v>1.033345195070198</v>
      </c>
      <c r="F125" s="1458">
        <v>4.3857445959118131</v>
      </c>
      <c r="K125" s="1636">
        <v>42182</v>
      </c>
      <c r="L125" s="1637"/>
      <c r="M125" s="1638">
        <v>0</v>
      </c>
      <c r="N125" s="1639">
        <v>1.0399978390919691</v>
      </c>
      <c r="O125" s="1639">
        <v>1.0399978390919691</v>
      </c>
    </row>
    <row r="126" spans="2:15">
      <c r="B126" s="1457">
        <v>36251</v>
      </c>
      <c r="C126" s="1458">
        <v>160.459</v>
      </c>
      <c r="D126" s="1458">
        <v>1508.55</v>
      </c>
      <c r="E126" s="1458">
        <v>1.027563660965396</v>
      </c>
      <c r="F126" s="1458">
        <v>4.5066317730343437</v>
      </c>
      <c r="K126" s="1636">
        <v>42183</v>
      </c>
      <c r="L126" s="1637"/>
      <c r="M126" s="1638">
        <v>0</v>
      </c>
      <c r="N126" s="1639">
        <v>1.0399978390919691</v>
      </c>
      <c r="O126" s="1639">
        <v>1.0399978390919691</v>
      </c>
    </row>
    <row r="127" spans="2:15">
      <c r="B127" s="1457">
        <v>36281</v>
      </c>
      <c r="C127" s="1458">
        <v>159.99600000000001</v>
      </c>
      <c r="D127" s="1458">
        <v>1513.08</v>
      </c>
      <c r="E127" s="1458">
        <v>1.0201883000304468</v>
      </c>
      <c r="F127" s="1458">
        <v>4.5976130073951058</v>
      </c>
      <c r="K127" s="1636">
        <v>42184</v>
      </c>
      <c r="L127" s="1637" t="s">
        <v>1650</v>
      </c>
      <c r="M127" s="1638">
        <v>5.0788E-2</v>
      </c>
      <c r="N127" s="1639">
        <v>1.0405260331944872</v>
      </c>
      <c r="O127" s="1639">
        <v>1.0405260331944872</v>
      </c>
    </row>
    <row r="128" spans="2:15">
      <c r="B128" s="1457">
        <v>36312</v>
      </c>
      <c r="C128" s="1458">
        <v>160.57300000000001</v>
      </c>
      <c r="D128" s="1458">
        <v>1515.95</v>
      </c>
      <c r="E128" s="1458">
        <v>1.0175637707499077</v>
      </c>
      <c r="F128" s="1458">
        <v>4.6783644282537873</v>
      </c>
      <c r="K128" s="1636">
        <v>42185</v>
      </c>
      <c r="L128" s="1637" t="s">
        <v>1650</v>
      </c>
      <c r="M128" s="1638">
        <v>5.0788E-2</v>
      </c>
      <c r="N128" s="1639">
        <v>1.041054495556226</v>
      </c>
      <c r="O128" s="1639">
        <v>1.041054495556226</v>
      </c>
    </row>
    <row r="129" spans="2:15">
      <c r="B129" s="1457">
        <v>36342</v>
      </c>
      <c r="C129" s="1458">
        <v>163.06</v>
      </c>
      <c r="D129" s="1458">
        <v>1532.47</v>
      </c>
      <c r="E129" s="1458">
        <v>1.0165876375704719</v>
      </c>
      <c r="F129" s="1458">
        <v>4.7559674418122491</v>
      </c>
      <c r="K129" s="1636">
        <v>42186</v>
      </c>
      <c r="L129" s="1637" t="s">
        <v>1650</v>
      </c>
      <c r="M129" s="1638">
        <v>5.0788E-2</v>
      </c>
      <c r="N129" s="1639">
        <v>1.041583226313429</v>
      </c>
      <c r="O129" s="1639">
        <v>1.041583226313429</v>
      </c>
    </row>
    <row r="130" spans="2:15">
      <c r="B130" s="1457">
        <v>36373</v>
      </c>
      <c r="C130" s="1458">
        <v>165.60300000000001</v>
      </c>
      <c r="D130" s="1458">
        <v>1541.05</v>
      </c>
      <c r="E130" s="1458">
        <v>1.0156847483880824</v>
      </c>
      <c r="F130" s="1458">
        <v>4.8305635944789866</v>
      </c>
      <c r="K130" s="1636">
        <v>42187</v>
      </c>
      <c r="L130" s="1637" t="s">
        <v>1650</v>
      </c>
      <c r="M130" s="1638">
        <v>5.0788E-2</v>
      </c>
      <c r="N130" s="1639">
        <v>1.0421122256024091</v>
      </c>
      <c r="O130" s="1639">
        <v>1.0421122256024091</v>
      </c>
    </row>
    <row r="131" spans="2:15">
      <c r="B131" s="1457">
        <v>36404</v>
      </c>
      <c r="C131" s="1458">
        <v>167.99700000000001</v>
      </c>
      <c r="D131" s="1458">
        <v>1545.83</v>
      </c>
      <c r="E131" s="1458">
        <v>1.0155901672784533</v>
      </c>
      <c r="F131" s="1458">
        <v>4.9058728889661207</v>
      </c>
      <c r="K131" s="1636">
        <v>42188</v>
      </c>
      <c r="L131" s="1637" t="s">
        <v>1650</v>
      </c>
      <c r="M131" s="1638">
        <v>5.0788E-2</v>
      </c>
      <c r="N131" s="1639">
        <v>1.042641493559548</v>
      </c>
      <c r="O131" s="1639">
        <v>1.042641493559548</v>
      </c>
    </row>
    <row r="132" spans="2:15">
      <c r="B132" s="1457">
        <v>36434</v>
      </c>
      <c r="C132" s="1458">
        <v>170.86099999999999</v>
      </c>
      <c r="D132" s="1458">
        <v>1564.23</v>
      </c>
      <c r="E132" s="1458">
        <v>1.0145370189540868</v>
      </c>
      <c r="F132" s="1458">
        <v>4.9771896561393616</v>
      </c>
      <c r="K132" s="1636">
        <v>42189</v>
      </c>
      <c r="L132" s="1637"/>
      <c r="M132" s="1638">
        <v>0</v>
      </c>
      <c r="N132" s="1639">
        <v>1.042641493559548</v>
      </c>
      <c r="O132" s="1639">
        <v>1.042641493559548</v>
      </c>
    </row>
    <row r="133" spans="2:15">
      <c r="B133" s="1457">
        <v>36465</v>
      </c>
      <c r="C133" s="1458">
        <v>174.93899999999999</v>
      </c>
      <c r="D133" s="1458">
        <v>1579.09</v>
      </c>
      <c r="E133" s="1458">
        <v>1.0152599173733607</v>
      </c>
      <c r="F133" s="1458">
        <v>5.0531411590435944</v>
      </c>
      <c r="K133" s="1636">
        <v>42190</v>
      </c>
      <c r="L133" s="1637"/>
      <c r="M133" s="1638">
        <v>0</v>
      </c>
      <c r="N133" s="1639">
        <v>1.042641493559548</v>
      </c>
      <c r="O133" s="1639">
        <v>1.042641493559548</v>
      </c>
    </row>
    <row r="134" spans="2:15">
      <c r="B134" s="1457">
        <v>36495</v>
      </c>
      <c r="C134" s="1458">
        <v>178.09899999999999</v>
      </c>
      <c r="D134" s="1458">
        <v>1588.56</v>
      </c>
      <c r="E134" s="1458">
        <v>1.0159962861507461</v>
      </c>
      <c r="F134" s="1458">
        <v>5.1339726509837682</v>
      </c>
      <c r="K134" s="1636">
        <v>42191</v>
      </c>
      <c r="L134" s="1637" t="s">
        <v>1650</v>
      </c>
      <c r="M134" s="1638">
        <v>5.0788E-2</v>
      </c>
      <c r="N134" s="1639">
        <v>1.0431710303212971</v>
      </c>
      <c r="O134" s="1639">
        <v>1.0431710303212971</v>
      </c>
    </row>
    <row r="135" spans="2:15">
      <c r="B135" s="1457">
        <v>36526</v>
      </c>
      <c r="C135" s="1458">
        <v>180.30099999999999</v>
      </c>
      <c r="D135" s="1458">
        <v>1598.41</v>
      </c>
      <c r="E135" s="1458">
        <v>1.0145573263269665</v>
      </c>
      <c r="F135" s="1458">
        <v>5.20870956621786</v>
      </c>
      <c r="K135" s="1636">
        <v>42192</v>
      </c>
      <c r="L135" s="1637" t="s">
        <v>1650</v>
      </c>
      <c r="M135" s="1638">
        <v>5.0788E-2</v>
      </c>
      <c r="N135" s="1639">
        <v>1.0437008360241766</v>
      </c>
      <c r="O135" s="1639">
        <v>1.0437008360241766</v>
      </c>
    </row>
    <row r="136" spans="2:15">
      <c r="B136" s="1457">
        <v>36557</v>
      </c>
      <c r="C136" s="1458">
        <v>180.935</v>
      </c>
      <c r="D136" s="1458">
        <v>1600.49</v>
      </c>
      <c r="E136" s="1458">
        <v>1.0145089461247463</v>
      </c>
      <c r="F136" s="1458">
        <v>5.2842824526935654</v>
      </c>
      <c r="K136" s="1636">
        <v>42193</v>
      </c>
      <c r="L136" s="1637" t="s">
        <v>1650</v>
      </c>
      <c r="M136" s="1638">
        <v>5.0788E-2</v>
      </c>
      <c r="N136" s="1639">
        <v>1.0442309108047767</v>
      </c>
      <c r="O136" s="1639">
        <v>1.0442309108047767</v>
      </c>
    </row>
    <row r="137" spans="2:15">
      <c r="B137" s="1457">
        <v>36586</v>
      </c>
      <c r="C137" s="1458">
        <v>181.214</v>
      </c>
      <c r="D137" s="1458">
        <v>1604.01</v>
      </c>
      <c r="E137" s="1458">
        <v>1.0158860407835757</v>
      </c>
      <c r="F137" s="1458">
        <v>5.3682287792489891</v>
      </c>
      <c r="K137" s="1636">
        <v>42194</v>
      </c>
      <c r="L137" s="1637" t="s">
        <v>1650</v>
      </c>
      <c r="M137" s="1638">
        <v>5.0788E-2</v>
      </c>
      <c r="N137" s="1639">
        <v>1.0447612547997562</v>
      </c>
      <c r="O137" s="1639">
        <v>1.0447612547997562</v>
      </c>
    </row>
    <row r="138" spans="2:15">
      <c r="B138" s="1457">
        <v>36617</v>
      </c>
      <c r="C138" s="1458">
        <v>181.63499999999999</v>
      </c>
      <c r="D138" s="1458">
        <v>1610.75</v>
      </c>
      <c r="E138" s="1458">
        <v>1.0136441914221253</v>
      </c>
      <c r="F138" s="1458">
        <v>5.4414739203108242</v>
      </c>
      <c r="K138" s="1636">
        <v>42195</v>
      </c>
      <c r="L138" s="1637" t="s">
        <v>1650</v>
      </c>
      <c r="M138" s="1638">
        <v>5.0788E-2</v>
      </c>
      <c r="N138" s="1639">
        <v>1.0452918681458438</v>
      </c>
      <c r="O138" s="1639">
        <v>1.0452918681458438</v>
      </c>
    </row>
    <row r="139" spans="2:15">
      <c r="B139" s="1457">
        <v>36647</v>
      </c>
      <c r="C139" s="1458">
        <v>182.18899999999999</v>
      </c>
      <c r="D139" s="1458">
        <v>1610.91</v>
      </c>
      <c r="E139" s="1458">
        <v>1.0156265899953318</v>
      </c>
      <c r="F139" s="1458">
        <v>5.5265056022338124</v>
      </c>
      <c r="K139" s="1636">
        <v>42196</v>
      </c>
      <c r="L139" s="1637"/>
      <c r="M139" s="1638">
        <v>0</v>
      </c>
      <c r="N139" s="1639">
        <v>1.0452918681458438</v>
      </c>
      <c r="O139" s="1639">
        <v>1.0452918681458438</v>
      </c>
    </row>
    <row r="140" spans="2:15">
      <c r="B140" s="1457">
        <v>36678</v>
      </c>
      <c r="C140" s="1458">
        <v>183.745</v>
      </c>
      <c r="D140" s="1458">
        <v>1614.62</v>
      </c>
      <c r="E140" s="1458">
        <v>1.0145668910909638</v>
      </c>
      <c r="F140" s="1458">
        <v>5.6070096074551534</v>
      </c>
      <c r="K140" s="1636">
        <v>42197</v>
      </c>
      <c r="L140" s="1637"/>
      <c r="M140" s="1638">
        <v>0</v>
      </c>
      <c r="N140" s="1639">
        <v>1.0452918681458438</v>
      </c>
      <c r="O140" s="1639">
        <v>1.0452918681458438</v>
      </c>
    </row>
    <row r="141" spans="2:15">
      <c r="B141" s="1457">
        <v>36708</v>
      </c>
      <c r="C141" s="1458">
        <v>186.63399999999999</v>
      </c>
      <c r="D141" s="1458">
        <v>1640.62</v>
      </c>
      <c r="E141" s="1458">
        <v>1.0130599958288005</v>
      </c>
      <c r="F141" s="1458">
        <v>5.6802371295405623</v>
      </c>
      <c r="K141" s="1636">
        <v>42198</v>
      </c>
      <c r="L141" s="1637" t="s">
        <v>1650</v>
      </c>
      <c r="M141" s="1638">
        <v>5.0788E-2</v>
      </c>
      <c r="N141" s="1639">
        <v>1.0458227509798377</v>
      </c>
      <c r="O141" s="1639">
        <v>1.0458227509798377</v>
      </c>
    </row>
    <row r="142" spans="2:15">
      <c r="B142" s="1457">
        <v>36739</v>
      </c>
      <c r="C142" s="1458">
        <v>191.08699999999999</v>
      </c>
      <c r="D142" s="1458">
        <v>1662.11</v>
      </c>
      <c r="E142" s="1458">
        <v>1.0140543715890855</v>
      </c>
      <c r="F142" s="1458">
        <v>5.7600692928732462</v>
      </c>
      <c r="K142" s="1636">
        <v>42199</v>
      </c>
      <c r="L142" s="1637" t="s">
        <v>1650</v>
      </c>
      <c r="M142" s="1638">
        <v>5.0788E-2</v>
      </c>
      <c r="N142" s="1639">
        <v>1.0463539034386053</v>
      </c>
      <c r="O142" s="1639">
        <v>1.0463539034386053</v>
      </c>
    </row>
    <row r="143" spans="2:15">
      <c r="B143" s="1457">
        <v>36770</v>
      </c>
      <c r="C143" s="1458">
        <v>193.297</v>
      </c>
      <c r="D143" s="1458">
        <v>1665.93</v>
      </c>
      <c r="E143" s="1458">
        <v>1.0128508890656427</v>
      </c>
      <c r="F143" s="1458">
        <v>5.8340913043663756</v>
      </c>
      <c r="K143" s="1636">
        <v>42200</v>
      </c>
      <c r="L143" s="1637" t="s">
        <v>1650</v>
      </c>
      <c r="M143" s="1638">
        <v>5.0788E-2</v>
      </c>
      <c r="N143" s="1639">
        <v>1.0468853256590838</v>
      </c>
      <c r="O143" s="1639">
        <v>1.0468853256590838</v>
      </c>
    </row>
    <row r="144" spans="2:15">
      <c r="B144" s="1457">
        <v>36800</v>
      </c>
      <c r="C144" s="1458">
        <v>194.04</v>
      </c>
      <c r="D144" s="1458">
        <v>1668.26</v>
      </c>
      <c r="E144" s="1458">
        <v>1.013495295624836</v>
      </c>
      <c r="F144" s="1458">
        <v>5.9128240912210845</v>
      </c>
      <c r="K144" s="1636">
        <v>42201</v>
      </c>
      <c r="L144" s="1637" t="s">
        <v>1650</v>
      </c>
      <c r="M144" s="1638">
        <v>5.0788E-2</v>
      </c>
      <c r="N144" s="1639">
        <v>1.0474170177782796</v>
      </c>
      <c r="O144" s="1639">
        <v>1.0474170177782796</v>
      </c>
    </row>
    <row r="145" spans="2:15">
      <c r="B145" s="1457">
        <v>36831</v>
      </c>
      <c r="C145" s="1458">
        <v>194.59899999999999</v>
      </c>
      <c r="D145" s="1458">
        <v>1673.6</v>
      </c>
      <c r="E145" s="1458">
        <v>1.013431060777086</v>
      </c>
      <c r="F145" s="1458">
        <v>5.992239590954493</v>
      </c>
      <c r="K145" s="1636">
        <v>42202</v>
      </c>
      <c r="L145" s="1637" t="s">
        <v>1650</v>
      </c>
      <c r="M145" s="1638">
        <v>5.0788E-2</v>
      </c>
      <c r="N145" s="1639">
        <v>1.0479489799332689</v>
      </c>
      <c r="O145" s="1639">
        <v>1.0479489799332689</v>
      </c>
    </row>
    <row r="146" spans="2:15">
      <c r="B146" s="1457">
        <v>36861</v>
      </c>
      <c r="C146" s="1458">
        <v>195.827</v>
      </c>
      <c r="D146" s="1458">
        <v>1683.47</v>
      </c>
      <c r="E146" s="1458">
        <v>1.0125716392096709</v>
      </c>
      <c r="F146" s="1458">
        <v>6.0675718651498789</v>
      </c>
      <c r="K146" s="1636">
        <v>42203</v>
      </c>
      <c r="L146" s="1637"/>
      <c r="M146" s="1638">
        <v>0</v>
      </c>
      <c r="N146" s="1639">
        <v>1.0479489799332689</v>
      </c>
      <c r="O146" s="1639">
        <v>1.0479489799332689</v>
      </c>
    </row>
    <row r="147" spans="2:15">
      <c r="B147" s="1457">
        <v>36892</v>
      </c>
      <c r="C147" s="1458">
        <v>197.04499999999999</v>
      </c>
      <c r="D147" s="1458">
        <v>1693.07</v>
      </c>
      <c r="E147" s="1458">
        <v>1.0126506879847863</v>
      </c>
      <c r="F147" s="1458">
        <v>6.144330823641158</v>
      </c>
      <c r="K147" s="1636">
        <v>42204</v>
      </c>
      <c r="L147" s="1637"/>
      <c r="M147" s="1638">
        <v>0</v>
      </c>
      <c r="N147" s="1639">
        <v>1.0479489799332689</v>
      </c>
      <c r="O147" s="1639">
        <v>1.0479489799332689</v>
      </c>
    </row>
    <row r="148" spans="2:15">
      <c r="B148" s="1457">
        <v>36923</v>
      </c>
      <c r="C148" s="1458">
        <v>197.49100000000001</v>
      </c>
      <c r="D148" s="1458">
        <v>1700.86</v>
      </c>
      <c r="E148" s="1458">
        <v>1.0101583510827936</v>
      </c>
      <c r="F148" s="1458">
        <v>6.206747093316535</v>
      </c>
      <c r="K148" s="1636">
        <v>42205</v>
      </c>
      <c r="L148" s="1637" t="s">
        <v>1650</v>
      </c>
      <c r="M148" s="1638">
        <v>5.0788E-2</v>
      </c>
      <c r="N148" s="1639">
        <v>1.0484812122611973</v>
      </c>
      <c r="O148" s="1639">
        <v>1.0484812122611973</v>
      </c>
    </row>
    <row r="149" spans="2:15">
      <c r="B149" s="1457">
        <v>36951</v>
      </c>
      <c r="C149" s="1458">
        <v>198.60599999999999</v>
      </c>
      <c r="D149" s="1458">
        <v>1707.32</v>
      </c>
      <c r="E149" s="1458">
        <v>1.0125785495836725</v>
      </c>
      <c r="F149" s="1458">
        <v>6.2848189693831324</v>
      </c>
      <c r="K149" s="1636">
        <v>42206</v>
      </c>
      <c r="L149" s="1637" t="s">
        <v>1650</v>
      </c>
      <c r="M149" s="1638">
        <v>5.0788E-2</v>
      </c>
      <c r="N149" s="1639">
        <v>1.0490137148992804</v>
      </c>
      <c r="O149" s="1639">
        <v>1.0490137148992804</v>
      </c>
    </row>
    <row r="150" spans="2:15">
      <c r="B150" s="1457">
        <v>36982</v>
      </c>
      <c r="C150" s="1458">
        <v>200.59100000000001</v>
      </c>
      <c r="D150" s="1458">
        <v>1717.22</v>
      </c>
      <c r="E150" s="1458">
        <v>1.0118637336714187</v>
      </c>
      <c r="F150" s="1458">
        <v>6.3593803878089741</v>
      </c>
      <c r="K150" s="1636">
        <v>42207</v>
      </c>
      <c r="L150" s="1637" t="s">
        <v>1650</v>
      </c>
      <c r="M150" s="1638">
        <v>5.0788E-2</v>
      </c>
      <c r="N150" s="1639">
        <v>1.0495464879848035</v>
      </c>
      <c r="O150" s="1639">
        <v>1.0495464879848035</v>
      </c>
    </row>
    <row r="151" spans="2:15">
      <c r="B151" s="1457">
        <v>37012</v>
      </c>
      <c r="C151" s="1458">
        <v>202.32400000000001</v>
      </c>
      <c r="D151" s="1458">
        <v>1724.26</v>
      </c>
      <c r="E151" s="1458">
        <v>1.0133677002760824</v>
      </c>
      <c r="F151" s="1458">
        <v>6.4443906787748011</v>
      </c>
      <c r="K151" s="1636">
        <v>42208</v>
      </c>
      <c r="L151" s="1637" t="s">
        <v>1650</v>
      </c>
      <c r="M151" s="1638">
        <v>5.0788E-2</v>
      </c>
      <c r="N151" s="1639">
        <v>1.0500795316551212</v>
      </c>
      <c r="O151" s="1639">
        <v>1.0500795316551212</v>
      </c>
    </row>
    <row r="152" spans="2:15">
      <c r="B152" s="1457">
        <v>37043</v>
      </c>
      <c r="C152" s="1458">
        <v>204.31</v>
      </c>
      <c r="D152" s="1458">
        <v>1733.23</v>
      </c>
      <c r="E152" s="1458">
        <v>1.0127331554566117</v>
      </c>
      <c r="F152" s="1458">
        <v>6.5264481071107801</v>
      </c>
      <c r="K152" s="1636">
        <v>42209</v>
      </c>
      <c r="L152" s="1637" t="s">
        <v>1650</v>
      </c>
      <c r="M152" s="1638">
        <v>5.0788E-2</v>
      </c>
      <c r="N152" s="1639">
        <v>1.0506128460476583</v>
      </c>
      <c r="O152" s="1639">
        <v>1.0506128460476583</v>
      </c>
    </row>
    <row r="153" spans="2:15">
      <c r="B153" s="1457">
        <v>37073</v>
      </c>
      <c r="C153" s="1458">
        <v>207.34100000000001</v>
      </c>
      <c r="D153" s="1458">
        <v>1756.28</v>
      </c>
      <c r="E153" s="1458">
        <v>1.014979822756394</v>
      </c>
      <c r="F153" s="1458">
        <v>6.6242131429841029</v>
      </c>
      <c r="K153" s="1636">
        <v>42210</v>
      </c>
      <c r="L153" s="1637"/>
      <c r="M153" s="1638">
        <v>0</v>
      </c>
      <c r="N153" s="1639">
        <v>1.0506128460476583</v>
      </c>
      <c r="O153" s="1639">
        <v>1.0506128460476583</v>
      </c>
    </row>
    <row r="154" spans="2:15">
      <c r="B154" s="1457">
        <v>37104</v>
      </c>
      <c r="C154" s="1458">
        <v>210.21100000000001</v>
      </c>
      <c r="D154" s="1458">
        <v>1768.57</v>
      </c>
      <c r="E154" s="1458">
        <v>1.0160000122718875</v>
      </c>
      <c r="F154" s="1458">
        <v>6.7302006345634471</v>
      </c>
      <c r="K154" s="1636">
        <v>42211</v>
      </c>
      <c r="L154" s="1637"/>
      <c r="M154" s="1638">
        <v>0</v>
      </c>
      <c r="N154" s="1639">
        <v>1.0506128460476583</v>
      </c>
      <c r="O154" s="1639">
        <v>1.0506128460476583</v>
      </c>
    </row>
    <row r="155" spans="2:15">
      <c r="B155" s="1457">
        <v>37135</v>
      </c>
      <c r="C155" s="1458">
        <v>210.85300000000001</v>
      </c>
      <c r="D155" s="1458">
        <v>1773.52</v>
      </c>
      <c r="E155" s="1458">
        <v>1.013243107438228</v>
      </c>
      <c r="F155" s="1458">
        <v>6.8193294046478012</v>
      </c>
      <c r="K155" s="1636">
        <v>42212</v>
      </c>
      <c r="L155" s="1637" t="s">
        <v>1650</v>
      </c>
      <c r="M155" s="1638">
        <v>5.0788E-2</v>
      </c>
      <c r="N155" s="1639">
        <v>1.051146431299909</v>
      </c>
      <c r="O155" s="1639">
        <v>1.051146431299909</v>
      </c>
    </row>
    <row r="156" spans="2:15">
      <c r="B156" s="1457">
        <v>37165</v>
      </c>
      <c r="C156" s="1458">
        <v>213.339</v>
      </c>
      <c r="D156" s="1458">
        <v>1788.24</v>
      </c>
      <c r="E156" s="1458">
        <v>1.0153493751182632</v>
      </c>
      <c r="F156" s="1458">
        <v>6.9240018497347426</v>
      </c>
      <c r="K156" s="1636">
        <v>42213</v>
      </c>
      <c r="L156" s="1637" t="s">
        <v>1650</v>
      </c>
      <c r="M156" s="1638">
        <v>5.0788E-2</v>
      </c>
      <c r="N156" s="1639">
        <v>1.0516802875494375</v>
      </c>
      <c r="O156" s="1639">
        <v>1.0516802875494375</v>
      </c>
    </row>
    <row r="157" spans="2:15">
      <c r="B157" s="1457">
        <v>37196</v>
      </c>
      <c r="C157" s="1458">
        <v>215.685</v>
      </c>
      <c r="D157" s="1458">
        <v>1800.94</v>
      </c>
      <c r="E157" s="1458">
        <v>1.0139343824698488</v>
      </c>
      <c r="F157" s="1458">
        <v>7.0204835397308871</v>
      </c>
      <c r="K157" s="1636">
        <v>42214</v>
      </c>
      <c r="L157" s="1637" t="s">
        <v>1650</v>
      </c>
      <c r="M157" s="1638">
        <v>5.0788E-2</v>
      </c>
      <c r="N157" s="1639">
        <v>1.0522144149338781</v>
      </c>
      <c r="O157" s="1639">
        <v>1.0522144149338781</v>
      </c>
    </row>
    <row r="158" spans="2:15">
      <c r="B158" s="1457">
        <v>37226</v>
      </c>
      <c r="C158" s="1458">
        <v>216.16300000000001</v>
      </c>
      <c r="D158" s="1458">
        <v>1812.65</v>
      </c>
      <c r="E158" s="1458">
        <v>1.0139354159682339</v>
      </c>
      <c r="F158" s="1458">
        <v>7.1183168981551761</v>
      </c>
      <c r="K158" s="1636">
        <v>42215</v>
      </c>
      <c r="L158" s="1637" t="s">
        <v>1650</v>
      </c>
      <c r="M158" s="1638">
        <v>5.2531000000000001E-2</v>
      </c>
      <c r="N158" s="1639">
        <v>1.0527671536881871</v>
      </c>
      <c r="O158" s="1639">
        <v>1.0527671536881871</v>
      </c>
    </row>
    <row r="159" spans="2:15">
      <c r="B159" s="1457">
        <v>37257</v>
      </c>
      <c r="C159" s="1458">
        <v>216.94399999999999</v>
      </c>
      <c r="D159" s="1458">
        <v>1822.08</v>
      </c>
      <c r="E159" s="1458">
        <v>1.0153395939759675</v>
      </c>
      <c r="F159" s="1458">
        <v>7.2275089891651447</v>
      </c>
      <c r="K159" s="1636">
        <v>42216</v>
      </c>
      <c r="L159" s="1637" t="s">
        <v>1650</v>
      </c>
      <c r="M159" s="1638">
        <v>5.2531000000000001E-2</v>
      </c>
      <c r="N159" s="1639">
        <v>1.0533201828016909</v>
      </c>
      <c r="O159" s="1639">
        <v>1.0533201828016909</v>
      </c>
    </row>
    <row r="160" spans="2:15">
      <c r="B160" s="1457">
        <v>37288</v>
      </c>
      <c r="C160" s="1458">
        <v>217.07400000000001</v>
      </c>
      <c r="D160" s="1458">
        <v>1828.64</v>
      </c>
      <c r="E160" s="1458">
        <v>1.012482154231837</v>
      </c>
      <c r="F160" s="1458">
        <v>7.3177238710798918</v>
      </c>
      <c r="K160" s="1636">
        <v>42217</v>
      </c>
      <c r="L160" s="1637"/>
      <c r="M160" s="1638">
        <v>0</v>
      </c>
      <c r="N160" s="1639">
        <v>1.0533201828016909</v>
      </c>
      <c r="O160" s="1639">
        <v>1.0533201828016909</v>
      </c>
    </row>
    <row r="161" spans="2:15">
      <c r="B161" s="1457">
        <v>37316</v>
      </c>
      <c r="C161" s="1458">
        <v>217.27600000000001</v>
      </c>
      <c r="D161" s="1458">
        <v>1839.61</v>
      </c>
      <c r="E161" s="1458">
        <v>1.013713327882185</v>
      </c>
      <c r="F161" s="1458">
        <v>7.4180742178753025</v>
      </c>
      <c r="K161" s="1636">
        <v>42218</v>
      </c>
      <c r="L161" s="1637"/>
      <c r="M161" s="1638">
        <v>0</v>
      </c>
      <c r="N161" s="1639">
        <v>1.0533201828016909</v>
      </c>
      <c r="O161" s="1639">
        <v>1.0533201828016909</v>
      </c>
    </row>
    <row r="162" spans="2:15">
      <c r="B162" s="1457">
        <v>37347</v>
      </c>
      <c r="C162" s="1458">
        <v>218.48599999999999</v>
      </c>
      <c r="D162" s="1458">
        <v>1854.33</v>
      </c>
      <c r="E162" s="1458">
        <v>1.0148356719718208</v>
      </c>
      <c r="F162" s="1458">
        <v>7.5281263336343214</v>
      </c>
      <c r="K162" s="1636">
        <v>42219</v>
      </c>
      <c r="L162" s="1637" t="s">
        <v>1650</v>
      </c>
      <c r="M162" s="1638">
        <v>5.2531000000000001E-2</v>
      </c>
      <c r="N162" s="1639">
        <v>1.0538735024269186</v>
      </c>
      <c r="O162" s="1639">
        <v>1.0538735024269186</v>
      </c>
    </row>
    <row r="163" spans="2:15">
      <c r="B163" s="1457">
        <v>37377</v>
      </c>
      <c r="C163" s="1458">
        <v>220.292</v>
      </c>
      <c r="D163" s="1458">
        <v>1858.22</v>
      </c>
      <c r="E163" s="1458">
        <v>1.0141498936566418</v>
      </c>
      <c r="F163" s="1458">
        <v>7.6346485206890113</v>
      </c>
      <c r="K163" s="1636">
        <v>42220</v>
      </c>
      <c r="L163" s="1637" t="s">
        <v>1650</v>
      </c>
      <c r="M163" s="1638">
        <v>5.2531000000000001E-2</v>
      </c>
      <c r="N163" s="1639">
        <v>1.0544271127164784</v>
      </c>
      <c r="O163" s="1639">
        <v>1.0544271127164784</v>
      </c>
    </row>
    <row r="164" spans="2:15">
      <c r="B164" s="1457">
        <v>37408</v>
      </c>
      <c r="C164" s="1458">
        <v>223.68799999999999</v>
      </c>
      <c r="D164" s="1458">
        <v>1866.02</v>
      </c>
      <c r="E164" s="1458">
        <v>1.0132903281280037</v>
      </c>
      <c r="F164" s="1458">
        <v>7.7361155046709458</v>
      </c>
      <c r="K164" s="1636">
        <v>42221</v>
      </c>
      <c r="L164" s="1637" t="s">
        <v>1650</v>
      </c>
      <c r="M164" s="1638">
        <v>5.2531000000000001E-2</v>
      </c>
      <c r="N164" s="1639">
        <v>1.0549810138230595</v>
      </c>
      <c r="O164" s="1639">
        <v>1.0549810138230595</v>
      </c>
    </row>
    <row r="165" spans="2:15">
      <c r="B165" s="1457">
        <v>37438</v>
      </c>
      <c r="C165" s="1458">
        <v>228.05699999999999</v>
      </c>
      <c r="D165" s="1458">
        <v>1888.23</v>
      </c>
      <c r="E165" s="1458">
        <v>1.0153543455443825</v>
      </c>
      <c r="F165" s="1458">
        <v>7.8548984953009189</v>
      </c>
      <c r="K165" s="1636">
        <v>42222</v>
      </c>
      <c r="L165" s="1637" t="s">
        <v>1650</v>
      </c>
      <c r="M165" s="1638">
        <v>5.2531000000000001E-2</v>
      </c>
      <c r="N165" s="1639">
        <v>1.055535205899431</v>
      </c>
      <c r="O165" s="1639">
        <v>1.055535205899431</v>
      </c>
    </row>
    <row r="166" spans="2:15">
      <c r="B166" s="1457">
        <v>37469</v>
      </c>
      <c r="C166" s="1458">
        <v>233.34800000000001</v>
      </c>
      <c r="D166" s="1458">
        <v>1900.5</v>
      </c>
      <c r="E166" s="1458">
        <v>1.0144340404848073</v>
      </c>
      <c r="F166" s="1458">
        <v>7.9682764181861447</v>
      </c>
      <c r="K166" s="1636">
        <v>42223</v>
      </c>
      <c r="L166" s="1637" t="s">
        <v>1650</v>
      </c>
      <c r="M166" s="1638">
        <v>5.2531000000000001E-2</v>
      </c>
      <c r="N166" s="1639">
        <v>1.0560896890984419</v>
      </c>
      <c r="O166" s="1639">
        <v>1.0560896890984419</v>
      </c>
    </row>
    <row r="167" spans="2:15">
      <c r="B167" s="1457">
        <v>37500</v>
      </c>
      <c r="C167" s="1458">
        <v>238.94300000000001</v>
      </c>
      <c r="D167" s="1458">
        <v>1914.18</v>
      </c>
      <c r="E167" s="1458">
        <v>1.0138126637754254</v>
      </c>
      <c r="F167" s="1458">
        <v>8.0783395412202008</v>
      </c>
      <c r="K167" s="1636">
        <v>42224</v>
      </c>
      <c r="L167" s="1637"/>
      <c r="M167" s="1638">
        <v>0</v>
      </c>
      <c r="N167" s="1639">
        <v>1.0560896890984419</v>
      </c>
      <c r="O167" s="1639">
        <v>1.0560896890984419</v>
      </c>
    </row>
    <row r="168" spans="2:15">
      <c r="B168" s="1457">
        <v>37530</v>
      </c>
      <c r="C168" s="1458">
        <v>248.19900000000001</v>
      </c>
      <c r="D168" s="1458">
        <v>1939.26</v>
      </c>
      <c r="E168" s="1458">
        <v>1.0164592520111337</v>
      </c>
      <c r="F168" s="1458">
        <v>8.2113029675606501</v>
      </c>
      <c r="K168" s="1636">
        <v>42225</v>
      </c>
      <c r="L168" s="1637"/>
      <c r="M168" s="1638">
        <v>0</v>
      </c>
      <c r="N168" s="1639">
        <v>1.0560896890984419</v>
      </c>
      <c r="O168" s="1639">
        <v>1.0560896890984419</v>
      </c>
    </row>
    <row r="169" spans="2:15">
      <c r="B169" s="1457">
        <v>37561</v>
      </c>
      <c r="C169" s="1458">
        <v>261.08</v>
      </c>
      <c r="D169" s="1458">
        <v>1997.83</v>
      </c>
      <c r="E169" s="1458">
        <v>1.0154093077816833</v>
      </c>
      <c r="F169" s="1458">
        <v>8.337833462276441</v>
      </c>
      <c r="K169" s="1636">
        <v>42226</v>
      </c>
      <c r="L169" s="1637" t="s">
        <v>1650</v>
      </c>
      <c r="M169" s="1638">
        <v>5.2531000000000001E-2</v>
      </c>
      <c r="N169" s="1639">
        <v>1.0566444635730223</v>
      </c>
      <c r="O169" s="1639">
        <v>1.0566444635730223</v>
      </c>
    </row>
    <row r="170" spans="2:15">
      <c r="B170" s="1457">
        <v>37591</v>
      </c>
      <c r="C170" s="1458">
        <v>270.86700000000002</v>
      </c>
      <c r="D170" s="1458">
        <v>2039.78</v>
      </c>
      <c r="E170" s="1458">
        <v>1.0174244857414556</v>
      </c>
      <c r="F170" s="1458">
        <v>8.483115922554509</v>
      </c>
      <c r="K170" s="1636">
        <v>42227</v>
      </c>
      <c r="L170" s="1637" t="s">
        <v>1650</v>
      </c>
      <c r="M170" s="1638">
        <v>5.2531000000000001E-2</v>
      </c>
      <c r="N170" s="1639">
        <v>1.0571995294761818</v>
      </c>
      <c r="O170" s="1639">
        <v>1.0571995294761818</v>
      </c>
    </row>
    <row r="171" spans="2:15">
      <c r="B171" s="1457">
        <v>37622</v>
      </c>
      <c r="C171" s="1458">
        <v>277.173</v>
      </c>
      <c r="D171" s="1458">
        <v>2085.6799999999998</v>
      </c>
      <c r="E171" s="1458">
        <v>1.0197126646415859</v>
      </c>
      <c r="F171" s="1458">
        <v>8.6503407418515241</v>
      </c>
      <c r="K171" s="1636">
        <v>42228</v>
      </c>
      <c r="L171" s="1637" t="s">
        <v>1650</v>
      </c>
      <c r="M171" s="1638">
        <v>5.2531000000000001E-2</v>
      </c>
      <c r="N171" s="1639">
        <v>1.0577548869610109</v>
      </c>
      <c r="O171" s="1639">
        <v>1.0577548869610109</v>
      </c>
    </row>
    <row r="172" spans="2:15">
      <c r="B172" s="1457">
        <v>37653</v>
      </c>
      <c r="C172" s="1458">
        <v>283.50599999999997</v>
      </c>
      <c r="D172" s="1458">
        <v>2118.4299999999998</v>
      </c>
      <c r="E172" s="1458">
        <v>1.0183037986307939</v>
      </c>
      <c r="F172" s="1458">
        <v>8.8086748368781276</v>
      </c>
      <c r="K172" s="1636">
        <v>42229</v>
      </c>
      <c r="L172" s="1637" t="s">
        <v>1650</v>
      </c>
      <c r="M172" s="1638">
        <v>5.2531000000000001E-2</v>
      </c>
      <c r="N172" s="1639">
        <v>1.0583105361806804</v>
      </c>
      <c r="O172" s="1639">
        <v>1.0583105361806804</v>
      </c>
    </row>
    <row r="173" spans="2:15">
      <c r="B173" s="1457">
        <v>37681</v>
      </c>
      <c r="C173" s="1458">
        <v>287.85500000000002</v>
      </c>
      <c r="D173" s="1458">
        <v>2144.4899999999998</v>
      </c>
      <c r="E173" s="1458">
        <v>1.0177701866474056</v>
      </c>
      <c r="F173" s="1458">
        <v>8.9652066328457565</v>
      </c>
      <c r="K173" s="1636">
        <v>42230</v>
      </c>
      <c r="L173" s="1637" t="s">
        <v>1650</v>
      </c>
      <c r="M173" s="1638">
        <v>5.2531000000000001E-2</v>
      </c>
      <c r="N173" s="1639">
        <v>1.0588664772884415</v>
      </c>
      <c r="O173" s="1639">
        <v>1.0588664772884415</v>
      </c>
    </row>
    <row r="174" spans="2:15">
      <c r="B174" s="1457">
        <v>37712</v>
      </c>
      <c r="C174" s="1458">
        <v>290.512</v>
      </c>
      <c r="D174" s="1458">
        <v>2165.29</v>
      </c>
      <c r="E174" s="1458">
        <v>1.0187159495984839</v>
      </c>
      <c r="F174" s="1458">
        <v>9.1329989883260918</v>
      </c>
      <c r="K174" s="1636">
        <v>42231</v>
      </c>
      <c r="L174" s="1637"/>
      <c r="M174" s="1638">
        <v>0</v>
      </c>
      <c r="N174" s="1639">
        <v>1.0588664772884415</v>
      </c>
      <c r="O174" s="1639">
        <v>1.0588664772884415</v>
      </c>
    </row>
    <row r="175" spans="2:15">
      <c r="B175" s="1457">
        <v>37742</v>
      </c>
      <c r="C175" s="1458">
        <v>289.74700000000001</v>
      </c>
      <c r="D175" s="1458">
        <v>2178.5</v>
      </c>
      <c r="E175" s="1458">
        <v>1.0196535248447016</v>
      </c>
      <c r="F175" s="1458">
        <v>9.312494610849793</v>
      </c>
      <c r="K175" s="1636">
        <v>42232</v>
      </c>
      <c r="L175" s="1637"/>
      <c r="M175" s="1638">
        <v>0</v>
      </c>
      <c r="N175" s="1639">
        <v>1.0588664772884415</v>
      </c>
      <c r="O175" s="1639">
        <v>1.0588664772884415</v>
      </c>
    </row>
    <row r="176" spans="2:15">
      <c r="B176" s="1457">
        <v>37773</v>
      </c>
      <c r="C176" s="1458">
        <v>286.84300000000002</v>
      </c>
      <c r="D176" s="1458">
        <v>2175.23</v>
      </c>
      <c r="E176" s="1458">
        <v>1.0185667947451373</v>
      </c>
      <c r="F176" s="1458">
        <v>9.4853977868546391</v>
      </c>
      <c r="K176" s="1636">
        <v>42233</v>
      </c>
      <c r="L176" s="1637" t="s">
        <v>1650</v>
      </c>
      <c r="M176" s="1638">
        <v>5.2531000000000001E-2</v>
      </c>
      <c r="N176" s="1639">
        <v>1.0594227104376259</v>
      </c>
      <c r="O176" s="1639">
        <v>1.0594227104376259</v>
      </c>
    </row>
    <row r="177" spans="2:15">
      <c r="B177" s="1457">
        <v>37803</v>
      </c>
      <c r="C177" s="1458">
        <v>285.649</v>
      </c>
      <c r="D177" s="1458">
        <v>2179.58</v>
      </c>
      <c r="E177" s="1458">
        <v>1.0208424747911398</v>
      </c>
      <c r="F177" s="1458">
        <v>9.6830969511110894</v>
      </c>
      <c r="K177" s="1636">
        <v>42234</v>
      </c>
      <c r="L177" s="1637" t="s">
        <v>1650</v>
      </c>
      <c r="M177" s="1638">
        <v>5.2531000000000001E-2</v>
      </c>
      <c r="N177" s="1639">
        <v>1.059979235781646</v>
      </c>
      <c r="O177" s="1639">
        <v>1.059979235781646</v>
      </c>
    </row>
    <row r="178" spans="2:15">
      <c r="B178" s="1457">
        <v>37834</v>
      </c>
      <c r="C178" s="1458">
        <v>286.73500000000001</v>
      </c>
      <c r="D178" s="1458">
        <v>2186.9899999999998</v>
      </c>
      <c r="E178" s="1458">
        <v>1.0177426111342931</v>
      </c>
      <c r="F178" s="1458">
        <v>9.8549003748903132</v>
      </c>
      <c r="K178" s="1636">
        <v>42235</v>
      </c>
      <c r="L178" s="1637" t="s">
        <v>1650</v>
      </c>
      <c r="M178" s="1638">
        <v>5.2531000000000001E-2</v>
      </c>
      <c r="N178" s="1639">
        <v>1.0605360534739945</v>
      </c>
      <c r="O178" s="1639">
        <v>1.0605360534739945</v>
      </c>
    </row>
    <row r="179" spans="2:15">
      <c r="B179" s="1457">
        <v>37865</v>
      </c>
      <c r="C179" s="1458">
        <v>290.12700000000001</v>
      </c>
      <c r="D179" s="1458">
        <v>2204.0500000000002</v>
      </c>
      <c r="E179" s="1458">
        <v>1.0167950902831471</v>
      </c>
      <c r="F179" s="1458">
        <v>10.020414316418016</v>
      </c>
      <c r="K179" s="1636">
        <v>42236</v>
      </c>
      <c r="L179" s="1637" t="s">
        <v>1650</v>
      </c>
      <c r="M179" s="1638">
        <v>5.2531000000000001E-2</v>
      </c>
      <c r="N179" s="1639">
        <v>1.061093163668245</v>
      </c>
      <c r="O179" s="1639">
        <v>1.061093163668245</v>
      </c>
    </row>
    <row r="180" spans="2:15">
      <c r="B180" s="1457">
        <v>37895</v>
      </c>
      <c r="C180" s="1458">
        <v>291.22899999999998</v>
      </c>
      <c r="D180" s="1458">
        <v>2210.44</v>
      </c>
      <c r="E180" s="1458">
        <v>1.0164205992977207</v>
      </c>
      <c r="F180" s="1458">
        <v>10.18495552470506</v>
      </c>
      <c r="K180" s="1636">
        <v>42237</v>
      </c>
      <c r="L180" s="1637" t="s">
        <v>1650</v>
      </c>
      <c r="M180" s="1638">
        <v>5.2531000000000001E-2</v>
      </c>
      <c r="N180" s="1639">
        <v>1.0616505665180516</v>
      </c>
      <c r="O180" s="1639">
        <v>1.0616505665180516</v>
      </c>
    </row>
    <row r="181" spans="2:15">
      <c r="B181" s="1457">
        <v>37926</v>
      </c>
      <c r="C181" s="1458">
        <v>292.65699999999998</v>
      </c>
      <c r="D181" s="1458">
        <v>2217.96</v>
      </c>
      <c r="E181" s="1458">
        <v>1.0134353138584866</v>
      </c>
      <c r="F181" s="1458">
        <v>10.3217935988142</v>
      </c>
      <c r="K181" s="1636">
        <v>42238</v>
      </c>
      <c r="L181" s="1637"/>
      <c r="M181" s="1638">
        <v>0</v>
      </c>
      <c r="N181" s="1639">
        <v>1.0616505665180516</v>
      </c>
      <c r="O181" s="1639">
        <v>1.0616505665180516</v>
      </c>
    </row>
    <row r="182" spans="2:15">
      <c r="B182" s="1457">
        <v>37956</v>
      </c>
      <c r="C182" s="1458">
        <v>294.45499999999998</v>
      </c>
      <c r="D182" s="1458">
        <v>2229.4899999999998</v>
      </c>
      <c r="E182" s="1458">
        <v>1.0137325047762002</v>
      </c>
      <c r="F182" s="1458">
        <v>10.463537678708869</v>
      </c>
      <c r="K182" s="1636">
        <v>42239</v>
      </c>
      <c r="L182" s="1637"/>
      <c r="M182" s="1638">
        <v>0</v>
      </c>
      <c r="N182" s="1639">
        <v>1.0616505665180516</v>
      </c>
      <c r="O182" s="1639">
        <v>1.0616505665180516</v>
      </c>
    </row>
    <row r="183" spans="2:15">
      <c r="B183" s="1457">
        <v>37987</v>
      </c>
      <c r="C183" s="1458">
        <v>297.03899999999999</v>
      </c>
      <c r="D183" s="1458">
        <v>2246.4299999999998</v>
      </c>
      <c r="E183" s="1458">
        <v>1.0126755135884871</v>
      </c>
      <c r="F183" s="1458">
        <v>10.59616839273899</v>
      </c>
      <c r="K183" s="1636">
        <v>42240</v>
      </c>
      <c r="L183" s="1637" t="s">
        <v>1650</v>
      </c>
      <c r="M183" s="1638">
        <v>5.2531000000000001E-2</v>
      </c>
      <c r="N183" s="1639">
        <v>1.0622082621771491</v>
      </c>
      <c r="O183" s="1639">
        <v>1.0622082621771491</v>
      </c>
    </row>
    <row r="184" spans="2:15">
      <c r="B184" s="1457">
        <v>38018</v>
      </c>
      <c r="C184" s="1458">
        <v>299.09699999999998</v>
      </c>
      <c r="D184" s="1458">
        <v>2260.13</v>
      </c>
      <c r="E184" s="1458">
        <v>1.0108439419169848</v>
      </c>
      <c r="F184" s="1458">
        <v>10.711072627332442</v>
      </c>
      <c r="K184" s="1636">
        <v>42241</v>
      </c>
      <c r="L184" s="1637" t="s">
        <v>1650</v>
      </c>
      <c r="M184" s="1638">
        <v>5.2531000000000001E-2</v>
      </c>
      <c r="N184" s="1639">
        <v>1.0627662507993534</v>
      </c>
      <c r="O184" s="1639">
        <v>1.0627662507993534</v>
      </c>
    </row>
    <row r="185" spans="2:15">
      <c r="B185" s="1457">
        <v>38047</v>
      </c>
      <c r="C185" s="1458">
        <v>302.48399999999998</v>
      </c>
      <c r="D185" s="1458">
        <v>2270.75</v>
      </c>
      <c r="E185" s="1458">
        <v>1.0137912342986635</v>
      </c>
      <c r="F185" s="1458">
        <v>10.858791539525985</v>
      </c>
      <c r="K185" s="1636">
        <v>42242</v>
      </c>
      <c r="L185" s="1637" t="s">
        <v>1650</v>
      </c>
      <c r="M185" s="1638">
        <v>5.2531000000000001E-2</v>
      </c>
      <c r="N185" s="1639">
        <v>1.0633245325385607</v>
      </c>
      <c r="O185" s="1639">
        <v>1.0633245325385607</v>
      </c>
    </row>
    <row r="186" spans="2:15">
      <c r="B186" s="1457">
        <v>38078</v>
      </c>
      <c r="C186" s="1458">
        <v>306.15100000000001</v>
      </c>
      <c r="D186" s="1458">
        <v>2279.15</v>
      </c>
      <c r="E186" s="1458">
        <v>1.011818501098614</v>
      </c>
      <c r="F186" s="1458">
        <v>10.987126179265493</v>
      </c>
      <c r="K186" s="1636">
        <v>42243</v>
      </c>
      <c r="L186" s="1637" t="s">
        <v>1650</v>
      </c>
      <c r="M186" s="1638">
        <v>5.2531000000000001E-2</v>
      </c>
      <c r="N186" s="1639">
        <v>1.0638831075487485</v>
      </c>
      <c r="O186" s="1639">
        <v>1.0638831075487485</v>
      </c>
    </row>
    <row r="187" spans="2:15">
      <c r="B187" s="1457">
        <v>38108</v>
      </c>
      <c r="C187" s="1458">
        <v>310.15199999999999</v>
      </c>
      <c r="D187" s="1458">
        <v>2290.77</v>
      </c>
      <c r="E187" s="1458">
        <v>1.0122780474663127</v>
      </c>
      <c r="F187" s="1458">
        <v>11.122026636012881</v>
      </c>
      <c r="K187" s="1636">
        <v>42244</v>
      </c>
      <c r="L187" s="1637" t="s">
        <v>1650</v>
      </c>
      <c r="M187" s="1638">
        <v>5.2531000000000001E-2</v>
      </c>
      <c r="N187" s="1639">
        <v>1.0644419759839749</v>
      </c>
      <c r="O187" s="1639">
        <v>1.0644419759839749</v>
      </c>
    </row>
    <row r="188" spans="2:15">
      <c r="B188" s="1457">
        <v>38139</v>
      </c>
      <c r="C188" s="1458">
        <v>314.41899999999998</v>
      </c>
      <c r="D188" s="1458">
        <v>2307.0300000000002</v>
      </c>
      <c r="E188" s="1458">
        <v>1.0122988884857291</v>
      </c>
      <c r="F188" s="1458">
        <v>11.258815201344513</v>
      </c>
      <c r="K188" s="1636">
        <v>42245</v>
      </c>
      <c r="L188" s="1637"/>
      <c r="M188" s="1638">
        <v>0</v>
      </c>
      <c r="N188" s="1639">
        <v>1.0644419759839749</v>
      </c>
      <c r="O188" s="1639">
        <v>1.0644419759839749</v>
      </c>
    </row>
    <row r="189" spans="2:15">
      <c r="B189" s="1457">
        <v>38169</v>
      </c>
      <c r="C189" s="1458">
        <v>318.53199999999998</v>
      </c>
      <c r="D189" s="1458">
        <v>2328.02</v>
      </c>
      <c r="E189" s="1458">
        <v>1.012868893920805</v>
      </c>
      <c r="F189" s="1458">
        <v>11.403703699844563</v>
      </c>
      <c r="K189" s="1636">
        <v>42246</v>
      </c>
      <c r="L189" s="1637"/>
      <c r="M189" s="1638">
        <v>0</v>
      </c>
      <c r="N189" s="1639">
        <v>1.0644419759839749</v>
      </c>
      <c r="O189" s="1639">
        <v>1.0644419759839749</v>
      </c>
    </row>
    <row r="190" spans="2:15">
      <c r="B190" s="1457">
        <v>38200</v>
      </c>
      <c r="C190" s="1458">
        <v>322.41199999999998</v>
      </c>
      <c r="D190" s="1458">
        <v>2344.08</v>
      </c>
      <c r="E190" s="1458">
        <v>1.0129358583775749</v>
      </c>
      <c r="F190" s="1458">
        <v>11.551220395885579</v>
      </c>
      <c r="K190" s="1636">
        <v>42247</v>
      </c>
      <c r="L190" s="1637" t="s">
        <v>1650</v>
      </c>
      <c r="M190" s="1638">
        <v>5.2531000000000001E-2</v>
      </c>
      <c r="N190" s="1639">
        <v>1.065001137998379</v>
      </c>
      <c r="O190" s="1639">
        <v>1.065001137998379</v>
      </c>
    </row>
    <row r="191" spans="2:15">
      <c r="B191" s="1457">
        <v>38231</v>
      </c>
      <c r="C191" s="1458">
        <v>324.65100000000001</v>
      </c>
      <c r="D191" s="1458">
        <v>2351.8200000000002</v>
      </c>
      <c r="E191" s="1458">
        <v>1.0125132709021758</v>
      </c>
      <c r="F191" s="1458">
        <v>11.695763945950034</v>
      </c>
      <c r="K191" s="1636">
        <v>42248</v>
      </c>
      <c r="L191" s="1637" t="s">
        <v>1650</v>
      </c>
      <c r="M191" s="1638">
        <v>5.2531000000000001E-2</v>
      </c>
      <c r="N191" s="1639">
        <v>1.065560593746181</v>
      </c>
      <c r="O191" s="1639">
        <v>1.065560593746181</v>
      </c>
    </row>
    <row r="192" spans="2:15">
      <c r="B192" s="1457">
        <v>38261</v>
      </c>
      <c r="C192" s="1458">
        <v>325.92500000000001</v>
      </c>
      <c r="D192" s="1458">
        <v>2362.17</v>
      </c>
      <c r="E192" s="1458">
        <v>1.0121322386789289</v>
      </c>
      <c r="F192" s="1458">
        <v>11.837659745674712</v>
      </c>
      <c r="K192" s="1636">
        <v>42249</v>
      </c>
      <c r="L192" s="1637" t="s">
        <v>1650</v>
      </c>
      <c r="M192" s="1638">
        <v>5.2531000000000001E-2</v>
      </c>
      <c r="N192" s="1639">
        <v>1.0661203433816817</v>
      </c>
      <c r="O192" s="1639">
        <v>1.0661203433816817</v>
      </c>
    </row>
    <row r="193" spans="2:15">
      <c r="B193" s="1457">
        <v>38292</v>
      </c>
      <c r="C193" s="1458">
        <v>328.58800000000002</v>
      </c>
      <c r="D193" s="1458">
        <v>2378.4699999999998</v>
      </c>
      <c r="E193" s="1458">
        <v>1.0125098562166484</v>
      </c>
      <c r="F193" s="1458">
        <v>11.985747167034708</v>
      </c>
      <c r="K193" s="1636">
        <v>42250</v>
      </c>
      <c r="L193" s="1637" t="s">
        <v>1650</v>
      </c>
      <c r="M193" s="1638">
        <v>5.2531000000000001E-2</v>
      </c>
      <c r="N193" s="1639">
        <v>1.0666803870592636</v>
      </c>
      <c r="O193" s="1639">
        <v>1.0666803870592636</v>
      </c>
    </row>
    <row r="194" spans="2:15">
      <c r="B194" s="1457">
        <v>38322</v>
      </c>
      <c r="C194" s="1458">
        <v>331.005</v>
      </c>
      <c r="D194" s="1458">
        <v>2398.92</v>
      </c>
      <c r="E194" s="1458">
        <v>1.0148282315457626</v>
      </c>
      <c r="F194" s="1458">
        <v>12.163474601276468</v>
      </c>
      <c r="K194" s="1636">
        <v>42251</v>
      </c>
      <c r="L194" s="1637" t="s">
        <v>1650</v>
      </c>
      <c r="M194" s="1638">
        <v>5.2531000000000001E-2</v>
      </c>
      <c r="N194" s="1639">
        <v>1.0672407249333897</v>
      </c>
      <c r="O194" s="1639">
        <v>1.0672407249333897</v>
      </c>
    </row>
    <row r="195" spans="2:15">
      <c r="B195" s="1457">
        <v>38353</v>
      </c>
      <c r="C195" s="1458">
        <v>332.298</v>
      </c>
      <c r="D195" s="1458">
        <v>2412.83</v>
      </c>
      <c r="E195" s="1458">
        <v>1.0138388229391033</v>
      </c>
      <c r="F195" s="1458">
        <v>12.331802772607814</v>
      </c>
      <c r="K195" s="1636">
        <v>42252</v>
      </c>
      <c r="L195" s="1637"/>
      <c r="M195" s="1638">
        <v>0</v>
      </c>
      <c r="N195" s="1639">
        <v>1.0672407249333897</v>
      </c>
      <c r="O195" s="1639">
        <v>1.0672407249333897</v>
      </c>
    </row>
    <row r="196" spans="2:15">
      <c r="B196" s="1457">
        <v>38384</v>
      </c>
      <c r="C196" s="1458">
        <v>333.28800000000001</v>
      </c>
      <c r="D196" s="1458">
        <v>2427.0700000000002</v>
      </c>
      <c r="E196" s="1458">
        <v>1.0121818576713373</v>
      </c>
      <c r="F196" s="1458">
        <v>12.482027038814724</v>
      </c>
      <c r="K196" s="1636">
        <v>42253</v>
      </c>
      <c r="L196" s="1637"/>
      <c r="M196" s="1638">
        <v>0</v>
      </c>
      <c r="N196" s="1639">
        <v>1.0672407249333897</v>
      </c>
      <c r="O196" s="1639">
        <v>1.0672407249333897</v>
      </c>
    </row>
    <row r="197" spans="2:15">
      <c r="B197" s="1457">
        <v>38412</v>
      </c>
      <c r="C197" s="1458">
        <v>336.12299999999999</v>
      </c>
      <c r="D197" s="1458">
        <v>2441.87</v>
      </c>
      <c r="E197" s="1458">
        <v>1.0152817807540921</v>
      </c>
      <c r="F197" s="1458">
        <v>12.672774639388541</v>
      </c>
      <c r="G197" s="67"/>
      <c r="K197" s="1636">
        <v>42254</v>
      </c>
      <c r="L197" s="1637"/>
      <c r="M197" s="1638">
        <v>0</v>
      </c>
      <c r="N197" s="1639">
        <v>1.0672407249333897</v>
      </c>
      <c r="O197" s="1639">
        <v>1.0672407249333897</v>
      </c>
    </row>
    <row r="198" spans="2:15">
      <c r="B198" s="1457">
        <v>38443</v>
      </c>
      <c r="C198" s="1458">
        <v>339.03</v>
      </c>
      <c r="D198" s="1458">
        <v>2463.11</v>
      </c>
      <c r="E198" s="1458">
        <v>1.0141152901477553</v>
      </c>
      <c r="F198" s="1458">
        <v>12.851654530400625</v>
      </c>
      <c r="K198" s="1636">
        <v>42255</v>
      </c>
      <c r="L198" s="1637" t="s">
        <v>1650</v>
      </c>
      <c r="M198" s="1638">
        <v>5.2531000000000001E-2</v>
      </c>
      <c r="N198" s="1639">
        <v>1.0678013571586045</v>
      </c>
      <c r="O198" s="1639">
        <v>1.0678013571586045</v>
      </c>
    </row>
    <row r="199" spans="2:15">
      <c r="B199" s="1457">
        <v>38473</v>
      </c>
      <c r="C199" s="1458">
        <v>338.29899999999998</v>
      </c>
      <c r="D199" s="1458">
        <v>2475.1799999999998</v>
      </c>
      <c r="E199" s="1458">
        <v>1.0150306502044895</v>
      </c>
      <c r="F199" s="1458">
        <v>13.044823254196018</v>
      </c>
      <c r="K199" s="1636">
        <v>42256</v>
      </c>
      <c r="L199" s="1637" t="s">
        <v>1650</v>
      </c>
      <c r="M199" s="1638">
        <v>5.2531000000000001E-2</v>
      </c>
      <c r="N199" s="1639">
        <v>1.0683622838895335</v>
      </c>
      <c r="O199" s="1639">
        <v>1.0683622838895335</v>
      </c>
    </row>
    <row r="200" spans="2:15">
      <c r="B200" s="1457">
        <v>38504</v>
      </c>
      <c r="C200" s="1458">
        <v>336.80099999999999</v>
      </c>
      <c r="D200" s="1458">
        <v>2474.6799999999998</v>
      </c>
      <c r="E200" s="1458">
        <v>1.0158560276185216</v>
      </c>
      <c r="F200" s="1458">
        <v>13.251662331993282</v>
      </c>
      <c r="K200" s="1636">
        <v>42257</v>
      </c>
      <c r="L200" s="1637" t="s">
        <v>1650</v>
      </c>
      <c r="M200" s="1638">
        <v>5.2531000000000001E-2</v>
      </c>
      <c r="N200" s="1639">
        <v>1.0689235052808834</v>
      </c>
      <c r="O200" s="1639">
        <v>1.0689235052808834</v>
      </c>
    </row>
    <row r="201" spans="2:15">
      <c r="B201" s="1457">
        <v>38534</v>
      </c>
      <c r="C201" s="1458">
        <v>335.66300000000001</v>
      </c>
      <c r="D201" s="1458">
        <v>2480.87</v>
      </c>
      <c r="E201" s="1458">
        <v>1.0151134516871545</v>
      </c>
      <c r="F201" s="1458">
        <v>13.451940690422347</v>
      </c>
      <c r="K201" s="1636">
        <v>42258</v>
      </c>
      <c r="L201" s="1637" t="s">
        <v>1650</v>
      </c>
      <c r="M201" s="1638">
        <v>5.2531000000000001E-2</v>
      </c>
      <c r="N201" s="1639">
        <v>1.0694850214874425</v>
      </c>
      <c r="O201" s="1639">
        <v>1.0694850214874425</v>
      </c>
    </row>
    <row r="202" spans="2:15">
      <c r="B202" s="1457">
        <v>38565</v>
      </c>
      <c r="C202" s="1458">
        <v>333.47399999999999</v>
      </c>
      <c r="D202" s="1458">
        <v>2485.09</v>
      </c>
      <c r="E202" s="1458">
        <v>1.0165848332092207</v>
      </c>
      <c r="F202" s="1458">
        <v>13.675038883113331</v>
      </c>
      <c r="K202" s="1636">
        <v>42259</v>
      </c>
      <c r="L202" s="1637"/>
      <c r="M202" s="1638">
        <v>0</v>
      </c>
      <c r="N202" s="1639">
        <v>1.0694850214874425</v>
      </c>
      <c r="O202" s="1639">
        <v>1.0694850214874425</v>
      </c>
    </row>
    <row r="203" spans="2:15">
      <c r="B203" s="1457">
        <v>38596</v>
      </c>
      <c r="C203" s="1458">
        <v>331.69</v>
      </c>
      <c r="D203" s="1458">
        <v>2493.79</v>
      </c>
      <c r="E203" s="1458">
        <v>1.0150313602253485</v>
      </c>
      <c r="F203" s="1458">
        <v>13.880593318661054</v>
      </c>
      <c r="K203" s="1636">
        <v>42260</v>
      </c>
      <c r="L203" s="1637"/>
      <c r="M203" s="1638">
        <v>0</v>
      </c>
      <c r="N203" s="1639">
        <v>1.0694850214874425</v>
      </c>
      <c r="O203" s="1639">
        <v>1.0694850214874425</v>
      </c>
    </row>
    <row r="204" spans="2:15">
      <c r="B204" s="1457">
        <v>38626</v>
      </c>
      <c r="C204" s="1458">
        <v>333.69400000000002</v>
      </c>
      <c r="D204" s="1458">
        <v>2512.4899999999998</v>
      </c>
      <c r="E204" s="1458">
        <v>1.0140716431638075</v>
      </c>
      <c r="F204" s="1458">
        <v>14.075916074743184</v>
      </c>
      <c r="K204" s="1636">
        <v>42261</v>
      </c>
      <c r="L204" s="1637" t="s">
        <v>1650</v>
      </c>
      <c r="M204" s="1638">
        <v>5.2531000000000001E-2</v>
      </c>
      <c r="N204" s="1639">
        <v>1.0700468326640802</v>
      </c>
      <c r="O204" s="1639">
        <v>1.0700468326640802</v>
      </c>
    </row>
    <row r="205" spans="2:15">
      <c r="B205" s="1457">
        <v>38657</v>
      </c>
      <c r="C205" s="1458">
        <v>335.03300000000002</v>
      </c>
      <c r="D205" s="1458">
        <v>2526.31</v>
      </c>
      <c r="E205" s="1458">
        <v>1.0138104099310956</v>
      </c>
      <c r="F205" s="1458">
        <v>14.270310245891086</v>
      </c>
      <c r="K205" s="1636">
        <v>42262</v>
      </c>
      <c r="L205" s="1637" t="s">
        <v>1650</v>
      </c>
      <c r="M205" s="1638">
        <v>5.2531000000000001E-2</v>
      </c>
      <c r="N205" s="1639">
        <v>1.0706089389657469</v>
      </c>
      <c r="O205" s="1639">
        <v>1.0706089389657469</v>
      </c>
    </row>
    <row r="206" spans="2:15">
      <c r="B206" s="1457">
        <v>38687</v>
      </c>
      <c r="C206" s="1458">
        <v>335.00599999999997</v>
      </c>
      <c r="D206" s="1458">
        <v>2535.4</v>
      </c>
      <c r="E206" s="1458">
        <v>1.0147357208231795</v>
      </c>
      <c r="F206" s="1458">
        <v>14.480593553734694</v>
      </c>
      <c r="K206" s="1636">
        <v>42263</v>
      </c>
      <c r="L206" s="1637" t="s">
        <v>1650</v>
      </c>
      <c r="M206" s="1638">
        <v>5.2531000000000001E-2</v>
      </c>
      <c r="N206" s="1639">
        <v>1.071171340547475</v>
      </c>
      <c r="O206" s="1639">
        <v>1.071171340547475</v>
      </c>
    </row>
    <row r="207" spans="2:15">
      <c r="B207" s="1457">
        <v>38718</v>
      </c>
      <c r="C207" s="1458">
        <v>338.08300000000003</v>
      </c>
      <c r="D207" s="1458">
        <v>2550.36</v>
      </c>
      <c r="E207" s="1458">
        <v>1.0142931741687891</v>
      </c>
      <c r="F207" s="1458">
        <v>14.687567199465668</v>
      </c>
      <c r="K207" s="1636">
        <v>42264</v>
      </c>
      <c r="L207" s="1637" t="s">
        <v>1650</v>
      </c>
      <c r="M207" s="1638">
        <v>5.2531000000000001E-2</v>
      </c>
      <c r="N207" s="1639">
        <v>1.071734037564378</v>
      </c>
      <c r="O207" s="1639">
        <v>1.071734037564378</v>
      </c>
    </row>
    <row r="208" spans="2:15">
      <c r="B208" s="1457">
        <v>38749</v>
      </c>
      <c r="C208" s="1458">
        <v>338.12799999999999</v>
      </c>
      <c r="D208" s="1458">
        <v>2560.8200000000002</v>
      </c>
      <c r="E208" s="1458">
        <v>1.0114506306443078</v>
      </c>
      <c r="F208" s="1458">
        <v>14.855749106530201</v>
      </c>
      <c r="K208" s="1636">
        <v>42265</v>
      </c>
      <c r="L208" s="1637" t="s">
        <v>1650</v>
      </c>
      <c r="M208" s="1638">
        <v>5.2531000000000001E-2</v>
      </c>
      <c r="N208" s="1639">
        <v>1.072297030171651</v>
      </c>
      <c r="O208" s="1639">
        <v>1.072297030171651</v>
      </c>
    </row>
    <row r="209" spans="2:15">
      <c r="B209" s="1457">
        <v>38777</v>
      </c>
      <c r="C209" s="1458">
        <v>337.339</v>
      </c>
      <c r="D209" s="1458">
        <v>2571.83</v>
      </c>
      <c r="E209" s="1458">
        <v>1.0142230199009199</v>
      </c>
      <c r="F209" s="1458">
        <v>15.067042721715453</v>
      </c>
      <c r="K209" s="1636">
        <v>42266</v>
      </c>
      <c r="L209" s="1637"/>
      <c r="M209" s="1638">
        <v>0</v>
      </c>
      <c r="N209" s="1639">
        <v>1.072297030171651</v>
      </c>
      <c r="O209" s="1639">
        <v>1.072297030171651</v>
      </c>
    </row>
    <row r="210" spans="2:15">
      <c r="B210" s="1457">
        <v>38808</v>
      </c>
      <c r="C210" s="1458">
        <v>335.92099999999999</v>
      </c>
      <c r="D210" s="1458">
        <v>2577.23</v>
      </c>
      <c r="E210" s="1458">
        <v>1.0107787821533378</v>
      </c>
      <c r="F210" s="1458">
        <v>15.229447092907858</v>
      </c>
      <c r="K210" s="1636">
        <v>42267</v>
      </c>
      <c r="L210" s="1637"/>
      <c r="M210" s="1638">
        <v>0</v>
      </c>
      <c r="N210" s="1639">
        <v>1.072297030171651</v>
      </c>
      <c r="O210" s="1639">
        <v>1.072297030171651</v>
      </c>
    </row>
    <row r="211" spans="2:15">
      <c r="B211" s="1457">
        <v>38838</v>
      </c>
      <c r="C211" s="1458">
        <v>337.185</v>
      </c>
      <c r="D211" s="1458">
        <v>2579.81</v>
      </c>
      <c r="E211" s="1458">
        <v>1.0128136552027243</v>
      </c>
      <c r="F211" s="1458">
        <v>15.424591976884511</v>
      </c>
      <c r="K211" s="1636">
        <v>42268</v>
      </c>
      <c r="L211" s="1637" t="s">
        <v>1650</v>
      </c>
      <c r="M211" s="1638">
        <v>5.2531000000000001E-2</v>
      </c>
      <c r="N211" s="1639">
        <v>1.0728603185245704</v>
      </c>
      <c r="O211" s="1639">
        <v>1.0728603185245704</v>
      </c>
    </row>
    <row r="212" spans="2:15">
      <c r="B212" s="1457">
        <v>38869</v>
      </c>
      <c r="C212" s="1458">
        <v>339.71199999999999</v>
      </c>
      <c r="D212" s="1458">
        <v>2574.39</v>
      </c>
      <c r="E212" s="1458">
        <v>1.0118439390435949</v>
      </c>
      <c r="F212" s="1458">
        <v>15.607279904031055</v>
      </c>
      <c r="K212" s="1636">
        <v>42269</v>
      </c>
      <c r="L212" s="1637" t="s">
        <v>1650</v>
      </c>
      <c r="M212" s="1638">
        <v>5.2531000000000001E-2</v>
      </c>
      <c r="N212" s="1639">
        <v>1.0734239027784946</v>
      </c>
      <c r="O212" s="1639">
        <v>1.0734239027784946</v>
      </c>
    </row>
    <row r="213" spans="2:15">
      <c r="B213" s="1457">
        <v>38899</v>
      </c>
      <c r="C213" s="1458">
        <v>340.31200000000001</v>
      </c>
      <c r="D213" s="1458">
        <v>2579.2800000000002</v>
      </c>
      <c r="E213" s="1458">
        <v>1.0116996590630269</v>
      </c>
      <c r="F213" s="1458">
        <v>15.78987975780945</v>
      </c>
      <c r="K213" s="1636">
        <v>42270</v>
      </c>
      <c r="L213" s="1637" t="s">
        <v>1650</v>
      </c>
      <c r="M213" s="1638">
        <v>5.2531000000000001E-2</v>
      </c>
      <c r="N213" s="1639">
        <v>1.0739877830888631</v>
      </c>
      <c r="O213" s="1639">
        <v>1.0739877830888631</v>
      </c>
    </row>
    <row r="214" spans="2:15">
      <c r="B214" s="1457">
        <v>38930</v>
      </c>
      <c r="C214" s="1458">
        <v>341.57400000000001</v>
      </c>
      <c r="D214" s="1458">
        <v>2580.5700000000002</v>
      </c>
      <c r="E214" s="1458">
        <v>1.012562646303421</v>
      </c>
      <c r="F214" s="1458">
        <v>15.988242432380357</v>
      </c>
      <c r="K214" s="1636">
        <v>42271</v>
      </c>
      <c r="L214" s="1637" t="s">
        <v>1650</v>
      </c>
      <c r="M214" s="1638">
        <v>5.2531000000000001E-2</v>
      </c>
      <c r="N214" s="1639">
        <v>1.0745519596111974</v>
      </c>
      <c r="O214" s="1639">
        <v>1.0745519596111974</v>
      </c>
    </row>
    <row r="215" spans="2:15" ht="13.5" customHeight="1">
      <c r="B215" s="1457">
        <v>38961</v>
      </c>
      <c r="C215" s="1458">
        <v>342.56099999999998</v>
      </c>
      <c r="D215" s="1458">
        <v>2585.9899999999998</v>
      </c>
      <c r="E215" s="1458">
        <v>1.0105730983323107</v>
      </c>
      <c r="F215" s="1458">
        <v>16.157287691778738</v>
      </c>
      <c r="K215" s="1636">
        <v>42272</v>
      </c>
      <c r="L215" s="1637" t="s">
        <v>1650</v>
      </c>
      <c r="M215" s="1638">
        <v>5.2531000000000001E-2</v>
      </c>
      <c r="N215" s="1639">
        <v>1.0751164325011009</v>
      </c>
      <c r="O215" s="1639">
        <v>1.0751164325011009</v>
      </c>
    </row>
    <row r="216" spans="2:15">
      <c r="B216" s="1457">
        <v>38991</v>
      </c>
      <c r="C216" s="1458">
        <v>344.15499999999997</v>
      </c>
      <c r="D216" s="1458">
        <v>2594.52</v>
      </c>
      <c r="E216" s="1458">
        <v>1.0109424441222723</v>
      </c>
      <c r="F216" s="1458">
        <v>16.334087909513503</v>
      </c>
      <c r="K216" s="1636">
        <v>42273</v>
      </c>
      <c r="L216" s="1637"/>
      <c r="M216" s="1638">
        <v>0</v>
      </c>
      <c r="N216" s="1639">
        <v>1.0751164325011009</v>
      </c>
      <c r="O216" s="1639">
        <v>1.0751164325011009</v>
      </c>
    </row>
    <row r="217" spans="2:15">
      <c r="B217" s="1457">
        <v>39022</v>
      </c>
      <c r="C217" s="1458">
        <v>346.74599999999998</v>
      </c>
      <c r="D217" s="1458">
        <v>2602.56</v>
      </c>
      <c r="E217" s="1458">
        <v>1.0102060517349183</v>
      </c>
      <c r="F217" s="1458">
        <v>16.500794455760701</v>
      </c>
      <c r="K217" s="1636">
        <v>42274</v>
      </c>
      <c r="L217" s="1637"/>
      <c r="M217" s="1638">
        <v>0</v>
      </c>
      <c r="N217" s="1639">
        <v>1.0751164325011009</v>
      </c>
      <c r="O217" s="1639">
        <v>1.0751164325011009</v>
      </c>
    </row>
    <row r="218" spans="2:15">
      <c r="B218" s="1457">
        <v>39052</v>
      </c>
      <c r="C218" s="1458">
        <v>347.84199999999998</v>
      </c>
      <c r="D218" s="1458">
        <v>2615.0500000000002</v>
      </c>
      <c r="E218" s="1458">
        <v>1.0098788606332807</v>
      </c>
      <c r="F218" s="1458">
        <v>16.663803504527571</v>
      </c>
      <c r="K218" s="1636">
        <v>42275</v>
      </c>
      <c r="L218" s="1637" t="s">
        <v>1650</v>
      </c>
      <c r="M218" s="1638">
        <v>5.2531000000000001E-2</v>
      </c>
      <c r="N218" s="1639">
        <v>1.0756812019142581</v>
      </c>
      <c r="O218" s="1639">
        <v>1.0756812019142581</v>
      </c>
    </row>
    <row r="219" spans="2:15">
      <c r="B219" s="1457">
        <v>39083</v>
      </c>
      <c r="C219" s="1458">
        <v>349.59300000000002</v>
      </c>
      <c r="D219" s="1458">
        <v>2626.56</v>
      </c>
      <c r="E219" s="1458">
        <v>1.0108280266006449</v>
      </c>
      <c r="F219" s="1458">
        <v>16.844239612142516</v>
      </c>
      <c r="K219" s="1636">
        <v>42276</v>
      </c>
      <c r="L219" s="1637" t="s">
        <v>1650</v>
      </c>
      <c r="M219" s="1638">
        <v>5.2531000000000001E-2</v>
      </c>
      <c r="N219" s="1639">
        <v>1.0762462680064357</v>
      </c>
      <c r="O219" s="1639">
        <v>1.0762462680064357</v>
      </c>
    </row>
    <row r="220" spans="2:15">
      <c r="B220" s="1457">
        <v>39114</v>
      </c>
      <c r="C220" s="1458">
        <v>350.524</v>
      </c>
      <c r="D220" s="1458">
        <v>2638.12</v>
      </c>
      <c r="E220" s="1458">
        <v>1.008724844950982</v>
      </c>
      <c r="F220" s="1458">
        <v>16.991202991075649</v>
      </c>
      <c r="K220" s="1636">
        <v>42277</v>
      </c>
      <c r="L220" s="1637" t="s">
        <v>1650</v>
      </c>
      <c r="M220" s="1638">
        <v>5.2531000000000001E-2</v>
      </c>
      <c r="N220" s="1639">
        <v>1.0768116309334823</v>
      </c>
      <c r="O220" s="1639">
        <v>1.0768116309334823</v>
      </c>
    </row>
    <row r="221" spans="2:15">
      <c r="B221" s="1457">
        <v>39142</v>
      </c>
      <c r="C221" s="1458">
        <v>351.71699999999998</v>
      </c>
      <c r="D221" s="1458">
        <v>2647.88</v>
      </c>
      <c r="E221" s="1458">
        <v>1.0105222327764332</v>
      </c>
      <c r="F221" s="1458">
        <v>17.169988384099376</v>
      </c>
      <c r="K221" s="1636">
        <v>42278</v>
      </c>
      <c r="L221" s="1637" t="s">
        <v>1650</v>
      </c>
      <c r="M221" s="1638">
        <v>5.2531000000000001E-2</v>
      </c>
      <c r="N221" s="1639">
        <v>1.0773772908513279</v>
      </c>
      <c r="O221" s="1639">
        <v>1.0773772908513279</v>
      </c>
    </row>
    <row r="222" spans="2:15">
      <c r="B222" s="1457">
        <v>39173</v>
      </c>
      <c r="C222" s="1458">
        <v>351.86900000000003</v>
      </c>
      <c r="D222" s="1458">
        <v>2654.5</v>
      </c>
      <c r="E222" s="1458">
        <v>1.0094482340398951</v>
      </c>
      <c r="F222" s="1458">
        <v>17.332214452814629</v>
      </c>
      <c r="K222" s="1636">
        <v>42279</v>
      </c>
      <c r="L222" s="1637" t="s">
        <v>1650</v>
      </c>
      <c r="M222" s="1638">
        <v>5.2531000000000001E-2</v>
      </c>
      <c r="N222" s="1639">
        <v>1.0779432479159849</v>
      </c>
      <c r="O222" s="1639">
        <v>1.0779432479159849</v>
      </c>
    </row>
    <row r="223" spans="2:15">
      <c r="B223" s="1457">
        <v>39203</v>
      </c>
      <c r="C223" s="1458">
        <v>352.02</v>
      </c>
      <c r="D223" s="1458">
        <v>2661.93</v>
      </c>
      <c r="E223" s="1458">
        <v>1.0102807696314628</v>
      </c>
      <c r="F223" s="1458">
        <v>17.510402956807127</v>
      </c>
      <c r="K223" s="1636">
        <v>42280</v>
      </c>
      <c r="L223" s="1637"/>
      <c r="M223" s="1638">
        <v>0</v>
      </c>
      <c r="N223" s="1639">
        <v>1.0779432479159849</v>
      </c>
      <c r="O223" s="1639">
        <v>1.0779432479159849</v>
      </c>
    </row>
    <row r="224" spans="2:15">
      <c r="B224" s="1457">
        <v>39234</v>
      </c>
      <c r="C224" s="1458">
        <v>352.93599999999998</v>
      </c>
      <c r="D224" s="1458">
        <v>2669.38</v>
      </c>
      <c r="E224" s="1458">
        <v>1.0090562894719608</v>
      </c>
      <c r="F224" s="1458">
        <v>17.668982234754651</v>
      </c>
      <c r="K224" s="1636">
        <v>42281</v>
      </c>
      <c r="L224" s="1637"/>
      <c r="M224" s="1638">
        <v>0</v>
      </c>
      <c r="N224" s="1639">
        <v>1.0779432479159849</v>
      </c>
      <c r="O224" s="1639">
        <v>1.0779432479159849</v>
      </c>
    </row>
    <row r="225" spans="2:15">
      <c r="B225" s="1457">
        <v>39264</v>
      </c>
      <c r="C225" s="1458">
        <v>353.92</v>
      </c>
      <c r="D225" s="1458">
        <v>2675.79</v>
      </c>
      <c r="E225" s="1458">
        <v>1.0097263257608722</v>
      </c>
      <c r="F225" s="1458">
        <v>17.840836511832936</v>
      </c>
      <c r="K225" s="1636">
        <v>42282</v>
      </c>
      <c r="L225" s="1637" t="s">
        <v>1650</v>
      </c>
      <c r="M225" s="1638">
        <v>5.2531000000000001E-2</v>
      </c>
      <c r="N225" s="1639">
        <v>1.0785095022835478</v>
      </c>
      <c r="O225" s="1639">
        <v>1.0785095022835478</v>
      </c>
    </row>
    <row r="226" spans="2:15">
      <c r="B226" s="1457">
        <v>39295</v>
      </c>
      <c r="C226" s="1458">
        <v>357.404</v>
      </c>
      <c r="D226" s="1458">
        <v>2688.37</v>
      </c>
      <c r="E226" s="1458">
        <v>1.0099263513682912</v>
      </c>
      <c r="F226" s="1458">
        <v>18.017930923753628</v>
      </c>
      <c r="K226" s="1636">
        <v>42283</v>
      </c>
      <c r="L226" s="1637" t="s">
        <v>1650</v>
      </c>
      <c r="M226" s="1638">
        <v>5.2531000000000001E-2</v>
      </c>
      <c r="N226" s="1639">
        <v>1.0790760541101925</v>
      </c>
      <c r="O226" s="1639">
        <v>1.0790760541101925</v>
      </c>
    </row>
    <row r="227" spans="2:15">
      <c r="B227" s="1457">
        <v>39326</v>
      </c>
      <c r="C227" s="1458">
        <v>361.99700000000001</v>
      </c>
      <c r="D227" s="1458">
        <v>2693.21</v>
      </c>
      <c r="E227" s="1458">
        <v>1.0080496134415582</v>
      </c>
      <c r="F227" s="1458">
        <v>18.162968302706542</v>
      </c>
      <c r="K227" s="1636">
        <v>42284</v>
      </c>
      <c r="L227" s="1637" t="s">
        <v>1650</v>
      </c>
      <c r="M227" s="1638">
        <v>5.2531000000000001E-2</v>
      </c>
      <c r="N227" s="1639">
        <v>1.0796429035521771</v>
      </c>
      <c r="O227" s="1639">
        <v>1.0796429035521771</v>
      </c>
    </row>
    <row r="228" spans="2:15">
      <c r="B228" s="1457">
        <v>39356</v>
      </c>
      <c r="C228" s="1458">
        <v>365.79399999999998</v>
      </c>
      <c r="D228" s="1458">
        <v>2701.29</v>
      </c>
      <c r="E228" s="1458">
        <v>1.0092949262855189</v>
      </c>
      <c r="F228" s="1458">
        <v>18.331791754206414</v>
      </c>
      <c r="K228" s="1636">
        <v>42285</v>
      </c>
      <c r="L228" s="1637" t="s">
        <v>1650</v>
      </c>
      <c r="M228" s="1638">
        <v>5.2531000000000001E-2</v>
      </c>
      <c r="N228" s="1639">
        <v>1.0802100507658421</v>
      </c>
      <c r="O228" s="1639">
        <v>1.0802100507658421</v>
      </c>
    </row>
    <row r="229" spans="2:15">
      <c r="B229" s="1457">
        <v>39387</v>
      </c>
      <c r="C229" s="1458">
        <v>368.334</v>
      </c>
      <c r="D229" s="1458">
        <v>2711.55</v>
      </c>
      <c r="E229" s="1458">
        <v>1.0084467048252397</v>
      </c>
      <c r="F229" s="1458">
        <v>18.486634988071959</v>
      </c>
      <c r="K229" s="1636">
        <v>42286</v>
      </c>
      <c r="L229" s="1637" t="s">
        <v>1650</v>
      </c>
      <c r="M229" s="1638">
        <v>5.2531000000000001E-2</v>
      </c>
      <c r="N229" s="1639">
        <v>1.08077749590761</v>
      </c>
      <c r="O229" s="1639">
        <v>1.08077749590761</v>
      </c>
    </row>
    <row r="230" spans="2:15">
      <c r="B230" s="1457">
        <v>39417</v>
      </c>
      <c r="C230" s="1458">
        <v>374.815</v>
      </c>
      <c r="D230" s="1458">
        <v>2731.62</v>
      </c>
      <c r="E230" s="1458">
        <v>1.0084467048252395</v>
      </c>
      <c r="F230" s="1458">
        <v>18.642786137028146</v>
      </c>
      <c r="K230" s="1636">
        <v>42287</v>
      </c>
      <c r="L230" s="1637"/>
      <c r="M230" s="1638">
        <v>0</v>
      </c>
      <c r="N230" s="1639">
        <v>1.08077749590761</v>
      </c>
      <c r="O230" s="1639">
        <v>1.08077749590761</v>
      </c>
    </row>
    <row r="231" spans="2:15">
      <c r="B231" s="1457">
        <v>39448</v>
      </c>
      <c r="C231" s="1458">
        <v>378.9</v>
      </c>
      <c r="D231" s="1458">
        <v>2746.37</v>
      </c>
      <c r="E231" s="1458">
        <v>1.0092938367057227</v>
      </c>
      <c r="F231" s="1458">
        <v>18.816049147125398</v>
      </c>
      <c r="K231" s="1636">
        <v>42288</v>
      </c>
      <c r="L231" s="1637"/>
      <c r="M231" s="1638">
        <v>0</v>
      </c>
      <c r="N231" s="1639">
        <v>1.08077749590761</v>
      </c>
      <c r="O231" s="1639">
        <v>1.08077749590761</v>
      </c>
    </row>
    <row r="232" spans="2:15">
      <c r="B232" s="1457">
        <v>39479</v>
      </c>
      <c r="C232" s="1458">
        <v>380.90600000000001</v>
      </c>
      <c r="D232" s="1458">
        <v>2759.83</v>
      </c>
      <c r="E232" s="1458">
        <v>1.0080223173492819</v>
      </c>
      <c r="F232" s="1458">
        <v>18.966997464643324</v>
      </c>
      <c r="K232" s="1636">
        <v>42289</v>
      </c>
      <c r="L232" s="1637"/>
      <c r="M232" s="1638">
        <v>0</v>
      </c>
      <c r="N232" s="1639">
        <v>1.08077749590761</v>
      </c>
      <c r="O232" s="1639">
        <v>1.08077749590761</v>
      </c>
    </row>
    <row r="233" spans="2:15">
      <c r="B233" s="1457">
        <v>39508</v>
      </c>
      <c r="C233" s="1458">
        <v>383.73099999999999</v>
      </c>
      <c r="D233" s="1458">
        <v>2773.08</v>
      </c>
      <c r="E233" s="1458">
        <v>1.0084459790490408</v>
      </c>
      <c r="F233" s="1458">
        <v>19.12719232785291</v>
      </c>
      <c r="K233" s="1636">
        <v>42290</v>
      </c>
      <c r="L233" s="1637" t="s">
        <v>1650</v>
      </c>
      <c r="M233" s="1638">
        <v>5.2531000000000001E-2</v>
      </c>
      <c r="N233" s="1639">
        <v>1.0813452391339853</v>
      </c>
      <c r="O233" s="1639">
        <v>1.0813452391339853</v>
      </c>
    </row>
    <row r="234" spans="2:15">
      <c r="B234" s="1457">
        <v>39539</v>
      </c>
      <c r="C234" s="1458">
        <v>386.38</v>
      </c>
      <c r="D234" s="1458">
        <v>2788.33</v>
      </c>
      <c r="E234" s="1458">
        <v>1.0090142575644072</v>
      </c>
      <c r="F234" s="1458">
        <v>19.299609765980129</v>
      </c>
      <c r="K234" s="1636">
        <v>42291</v>
      </c>
      <c r="L234" s="1637" t="s">
        <v>1650</v>
      </c>
      <c r="M234" s="1638">
        <v>5.2531000000000001E-2</v>
      </c>
      <c r="N234" s="1639">
        <v>1.0819132806015548</v>
      </c>
      <c r="O234" s="1639">
        <v>1.0819132806015548</v>
      </c>
    </row>
    <row r="235" spans="2:15">
      <c r="B235" s="1457">
        <v>39569</v>
      </c>
      <c r="C235" s="1458">
        <v>392.59199999999998</v>
      </c>
      <c r="D235" s="1458">
        <v>2810.36</v>
      </c>
      <c r="E235" s="1458">
        <v>1.0087678287685495</v>
      </c>
      <c r="F235" s="1458">
        <v>19.46882543970807</v>
      </c>
      <c r="K235" s="1636">
        <v>42292</v>
      </c>
      <c r="L235" s="1637" t="s">
        <v>1650</v>
      </c>
      <c r="M235" s="1638">
        <v>5.2531000000000001E-2</v>
      </c>
      <c r="N235" s="1639">
        <v>1.0824816204669876</v>
      </c>
      <c r="O235" s="1639">
        <v>1.0824816204669876</v>
      </c>
    </row>
    <row r="236" spans="2:15">
      <c r="B236" s="1457">
        <v>39600</v>
      </c>
      <c r="C236" s="1458">
        <v>400.38200000000001</v>
      </c>
      <c r="D236" s="1458">
        <v>2831.16</v>
      </c>
      <c r="E236" s="1458">
        <v>1.0095559246898425</v>
      </c>
      <c r="F236" s="1458">
        <v>19.654868069409609</v>
      </c>
      <c r="K236" s="1636">
        <v>42293</v>
      </c>
      <c r="L236" s="1637" t="s">
        <v>1650</v>
      </c>
      <c r="M236" s="1638">
        <v>5.2531000000000001E-2</v>
      </c>
      <c r="N236" s="1639">
        <v>1.0830502588870352</v>
      </c>
      <c r="O236" s="1639">
        <v>1.0830502588870352</v>
      </c>
    </row>
    <row r="237" spans="2:15">
      <c r="B237" s="1457">
        <v>39630</v>
      </c>
      <c r="C237" s="1458">
        <v>407.44600000000003</v>
      </c>
      <c r="D237" s="1458">
        <v>2846.16</v>
      </c>
      <c r="E237" s="1458">
        <v>1.0106967121371</v>
      </c>
      <c r="F237" s="1458">
        <v>19.865110535240763</v>
      </c>
      <c r="K237" s="1636">
        <v>42294</v>
      </c>
      <c r="L237" s="1637"/>
      <c r="M237" s="1638">
        <v>0</v>
      </c>
      <c r="N237" s="1639">
        <v>1.0830502588870352</v>
      </c>
      <c r="O237" s="1639">
        <v>1.0830502588870352</v>
      </c>
    </row>
    <row r="238" spans="2:15">
      <c r="B238" s="1457">
        <v>39661</v>
      </c>
      <c r="C238" s="1458">
        <v>406.12700000000001</v>
      </c>
      <c r="D238" s="1458">
        <v>2854.13</v>
      </c>
      <c r="E238" s="1458">
        <v>1.0101765713502602</v>
      </c>
      <c r="F238" s="1458">
        <v>20.067269249983447</v>
      </c>
      <c r="K238" s="1636">
        <v>42295</v>
      </c>
      <c r="L238" s="1637"/>
      <c r="M238" s="1638">
        <v>0</v>
      </c>
      <c r="N238" s="1639">
        <v>1.0830502588870352</v>
      </c>
      <c r="O238" s="1639">
        <v>1.0830502588870352</v>
      </c>
    </row>
    <row r="239" spans="2:15">
      <c r="B239" s="1457">
        <v>39692</v>
      </c>
      <c r="C239" s="1458">
        <v>406.55700000000002</v>
      </c>
      <c r="D239" s="1458">
        <v>2861.55</v>
      </c>
      <c r="E239" s="1458">
        <v>1.011030909274969</v>
      </c>
      <c r="F239" s="1458">
        <v>20.288629476476387</v>
      </c>
      <c r="K239" s="1636">
        <v>42296</v>
      </c>
      <c r="L239" s="1637" t="s">
        <v>1650</v>
      </c>
      <c r="M239" s="1638">
        <v>5.2531000000000001E-2</v>
      </c>
      <c r="N239" s="1639">
        <v>1.0836191960185311</v>
      </c>
      <c r="O239" s="1639">
        <v>1.0836191960185311</v>
      </c>
    </row>
    <row r="240" spans="2:15">
      <c r="B240" s="1457">
        <v>39722</v>
      </c>
      <c r="C240" s="1458">
        <v>410.524</v>
      </c>
      <c r="D240" s="1458">
        <v>2874.43</v>
      </c>
      <c r="E240" s="1458">
        <v>1.0117587656900342</v>
      </c>
      <c r="F240" s="1458">
        <v>20.527198716662195</v>
      </c>
      <c r="K240" s="1636">
        <v>42297</v>
      </c>
      <c r="L240" s="1637" t="s">
        <v>1650</v>
      </c>
      <c r="M240" s="1638">
        <v>5.2531000000000001E-2</v>
      </c>
      <c r="N240" s="1639">
        <v>1.0841884320183917</v>
      </c>
      <c r="O240" s="1639">
        <v>1.0841884320183917</v>
      </c>
    </row>
    <row r="241" spans="2:15">
      <c r="B241" s="1457">
        <v>39753</v>
      </c>
      <c r="C241" s="1458">
        <v>412.10399999999998</v>
      </c>
      <c r="D241" s="1458">
        <v>2884.78</v>
      </c>
      <c r="E241" s="1458">
        <v>1.0101996908301405</v>
      </c>
      <c r="F241" s="1458">
        <v>20.736569797181005</v>
      </c>
      <c r="K241" s="1636">
        <v>42298</v>
      </c>
      <c r="L241" s="1637" t="s">
        <v>1650</v>
      </c>
      <c r="M241" s="1638">
        <v>5.2531000000000001E-2</v>
      </c>
      <c r="N241" s="1639">
        <v>1.0847579670436152</v>
      </c>
      <c r="O241" s="1639">
        <v>1.0847579670436152</v>
      </c>
    </row>
    <row r="242" spans="2:15">
      <c r="B242" s="1457">
        <v>39783</v>
      </c>
      <c r="C242" s="1458">
        <v>411.57499999999999</v>
      </c>
      <c r="D242" s="1458">
        <v>2892.86</v>
      </c>
      <c r="E242" s="1458">
        <v>1.0112409294280835</v>
      </c>
      <c r="F242" s="1458">
        <v>20.969668114851643</v>
      </c>
      <c r="K242" s="1636">
        <v>42299</v>
      </c>
      <c r="L242" s="1637" t="s">
        <v>1650</v>
      </c>
      <c r="M242" s="1638">
        <v>5.2531000000000001E-2</v>
      </c>
      <c r="N242" s="1639">
        <v>1.0853278012512828</v>
      </c>
      <c r="O242" s="1639">
        <v>1.0853278012512828</v>
      </c>
    </row>
    <row r="243" spans="2:15">
      <c r="B243" s="1457">
        <v>39814</v>
      </c>
      <c r="C243" s="1458">
        <v>409.78199999999998</v>
      </c>
      <c r="D243" s="1458">
        <v>2906.74</v>
      </c>
      <c r="E243" s="1458">
        <v>1.0104780743150839</v>
      </c>
      <c r="F243" s="1458">
        <v>21.189389855721704</v>
      </c>
      <c r="K243" s="1636">
        <v>42300</v>
      </c>
      <c r="L243" s="1637" t="s">
        <v>1650</v>
      </c>
      <c r="M243" s="1638">
        <v>5.2531000000000001E-2</v>
      </c>
      <c r="N243" s="1639">
        <v>1.0858979347985582</v>
      </c>
      <c r="O243" s="1639">
        <v>1.0858979347985582</v>
      </c>
    </row>
    <row r="244" spans="2:15">
      <c r="B244" s="1457">
        <v>39845</v>
      </c>
      <c r="C244" s="1458">
        <v>410.84899999999999</v>
      </c>
      <c r="D244" s="1458">
        <v>2922.73</v>
      </c>
      <c r="E244" s="1458">
        <v>1.0085508573858042</v>
      </c>
      <c r="F244" s="1458">
        <v>21.370577306470185</v>
      </c>
      <c r="K244" s="1636">
        <v>42301</v>
      </c>
      <c r="L244" s="1637"/>
      <c r="M244" s="1638">
        <v>0</v>
      </c>
      <c r="N244" s="1639">
        <v>1.0858979347985582</v>
      </c>
      <c r="O244" s="1639">
        <v>1.0858979347985582</v>
      </c>
    </row>
    <row r="245" spans="2:15">
      <c r="B245" s="1457">
        <v>39873</v>
      </c>
      <c r="C245" s="1458">
        <v>407.80799999999999</v>
      </c>
      <c r="D245" s="1458">
        <v>2928.57</v>
      </c>
      <c r="E245" s="1458">
        <v>1.0097088387156097</v>
      </c>
      <c r="F245" s="1458">
        <v>21.578060794798173</v>
      </c>
      <c r="K245" s="1636">
        <v>42302</v>
      </c>
      <c r="L245" s="1637"/>
      <c r="M245" s="1638">
        <v>0</v>
      </c>
      <c r="N245" s="1639">
        <v>1.0858979347985582</v>
      </c>
      <c r="O245" s="1639">
        <v>1.0858979347985582</v>
      </c>
    </row>
    <row r="246" spans="2:15">
      <c r="B246" s="1457">
        <v>39904</v>
      </c>
      <c r="C246" s="1458">
        <v>407.18099999999998</v>
      </c>
      <c r="D246" s="1458">
        <v>2942.63</v>
      </c>
      <c r="E246" s="1458">
        <v>1.008395669248594</v>
      </c>
      <c r="F246" s="1458">
        <v>21.759223056257351</v>
      </c>
      <c r="K246" s="1636">
        <v>42303</v>
      </c>
      <c r="L246" s="1637" t="s">
        <v>1650</v>
      </c>
      <c r="M246" s="1638">
        <v>5.2531000000000001E-2</v>
      </c>
      <c r="N246" s="1639">
        <v>1.0864683678426872</v>
      </c>
      <c r="O246" s="1639">
        <v>1.0864683678426872</v>
      </c>
    </row>
    <row r="247" spans="2:15">
      <c r="B247" s="1457">
        <v>39934</v>
      </c>
      <c r="C247" s="1458">
        <v>406.88499999999999</v>
      </c>
      <c r="D247" s="1458">
        <v>2956.46</v>
      </c>
      <c r="E247" s="1458">
        <v>1.0077089274459567</v>
      </c>
      <c r="F247" s="1458">
        <v>21.926963328078429</v>
      </c>
      <c r="K247" s="1636">
        <v>42304</v>
      </c>
      <c r="L247" s="1637" t="s">
        <v>1650</v>
      </c>
      <c r="M247" s="1638">
        <v>5.2531000000000001E-2</v>
      </c>
      <c r="N247" s="1639">
        <v>1.0870391005409987</v>
      </c>
      <c r="O247" s="1639">
        <v>1.0870391005409987</v>
      </c>
    </row>
    <row r="248" spans="2:15">
      <c r="B248" s="1457">
        <v>39965</v>
      </c>
      <c r="C248" s="1458">
        <v>406.48599999999999</v>
      </c>
      <c r="D248" s="1458">
        <v>2967.1</v>
      </c>
      <c r="E248" s="1458">
        <v>1.0076218232644543</v>
      </c>
      <c r="F248" s="1458">
        <v>22.094086767291213</v>
      </c>
      <c r="K248" s="1636">
        <v>42305</v>
      </c>
      <c r="L248" s="1637" t="s">
        <v>1650</v>
      </c>
      <c r="M248" s="1638">
        <v>5.2531000000000001E-2</v>
      </c>
      <c r="N248" s="1639">
        <v>1.0876101330509038</v>
      </c>
      <c r="O248" s="1639">
        <v>1.0876101330509038</v>
      </c>
    </row>
    <row r="249" spans="2:15">
      <c r="B249" s="1457">
        <v>39995</v>
      </c>
      <c r="C249" s="1458">
        <v>404.71800000000002</v>
      </c>
      <c r="D249" s="1458">
        <v>2974.22</v>
      </c>
      <c r="E249" s="1458">
        <v>1.0079014252372847</v>
      </c>
      <c r="F249" s="1458">
        <v>22.268661542069044</v>
      </c>
      <c r="K249" s="1636">
        <v>42306</v>
      </c>
      <c r="L249" s="1637" t="s">
        <v>1650</v>
      </c>
      <c r="M249" s="1638">
        <v>5.2531000000000001E-2</v>
      </c>
      <c r="N249" s="1639">
        <v>1.0881814655298967</v>
      </c>
      <c r="O249" s="1639">
        <v>1.0881814655298967</v>
      </c>
    </row>
    <row r="250" spans="2:15">
      <c r="B250" s="1457">
        <v>40026</v>
      </c>
      <c r="C250" s="1458">
        <v>403.25299999999999</v>
      </c>
      <c r="D250" s="1458">
        <v>2978.68</v>
      </c>
      <c r="E250" s="1458">
        <v>1.0069374854840563</v>
      </c>
      <c r="F250" s="1458">
        <v>22.423150058266511</v>
      </c>
      <c r="K250" s="1636">
        <v>42307</v>
      </c>
      <c r="L250" s="1637" t="s">
        <v>1650</v>
      </c>
      <c r="M250" s="1638">
        <v>5.2531000000000001E-2</v>
      </c>
      <c r="N250" s="1639">
        <v>1.0887530981355542</v>
      </c>
      <c r="O250" s="1639">
        <v>1.0887530981355542</v>
      </c>
    </row>
    <row r="251" spans="2:15">
      <c r="B251" s="1457">
        <v>40057</v>
      </c>
      <c r="C251" s="1458">
        <v>404.94499999999999</v>
      </c>
      <c r="D251" s="1458">
        <v>2985.83</v>
      </c>
      <c r="E251" s="1458">
        <v>1.0069374854840563</v>
      </c>
      <c r="F251" s="1458">
        <v>22.578710336302549</v>
      </c>
      <c r="K251" s="1636">
        <v>42308</v>
      </c>
      <c r="L251" s="1637"/>
      <c r="M251" s="1638">
        <v>0</v>
      </c>
      <c r="N251" s="1639">
        <v>1.0887530981355542</v>
      </c>
      <c r="O251" s="1639">
        <v>1.0887530981355542</v>
      </c>
    </row>
    <row r="252" spans="2:15">
      <c r="B252" s="1457">
        <v>40087</v>
      </c>
      <c r="C252" s="1458">
        <v>405.12900000000002</v>
      </c>
      <c r="D252" s="1458">
        <v>2994.19</v>
      </c>
      <c r="E252" s="1458">
        <v>1.006937485484056</v>
      </c>
      <c r="F252" s="1458">
        <v>22.735349811509355</v>
      </c>
      <c r="K252" s="1636">
        <v>42309</v>
      </c>
      <c r="L252" s="1637"/>
      <c r="M252" s="1638">
        <v>0</v>
      </c>
      <c r="N252" s="1639">
        <v>1.0887530981355542</v>
      </c>
      <c r="O252" s="1639">
        <v>1.0887530981355542</v>
      </c>
    </row>
    <row r="253" spans="2:15">
      <c r="B253" s="1457">
        <v>40118</v>
      </c>
      <c r="C253" s="1458">
        <v>405.548</v>
      </c>
      <c r="D253" s="1458">
        <v>3006.47</v>
      </c>
      <c r="E253" s="1458">
        <v>1.006606040313162</v>
      </c>
      <c r="F253" s="1458">
        <v>22.885540448898027</v>
      </c>
      <c r="K253" s="1636">
        <v>42310</v>
      </c>
      <c r="L253" s="1637"/>
      <c r="M253" s="1638">
        <v>0</v>
      </c>
      <c r="N253" s="1639">
        <v>1.0887530981355542</v>
      </c>
      <c r="O253" s="1639">
        <v>1.0887530981355542</v>
      </c>
    </row>
    <row r="254" spans="2:15">
      <c r="B254" s="1457">
        <v>40148</v>
      </c>
      <c r="C254" s="1458">
        <v>404.49900000000002</v>
      </c>
      <c r="D254" s="1458">
        <v>3017.59</v>
      </c>
      <c r="E254" s="1458">
        <v>1.0072686672230315</v>
      </c>
      <c r="F254" s="1458">
        <v>23.051887826640293</v>
      </c>
      <c r="K254" s="1636">
        <v>42311</v>
      </c>
      <c r="L254" s="1637" t="s">
        <v>1650</v>
      </c>
      <c r="M254" s="1638">
        <v>5.2531000000000001E-2</v>
      </c>
      <c r="N254" s="1639">
        <v>1.0893250310255358</v>
      </c>
      <c r="O254" s="1639">
        <v>1.0893250310255358</v>
      </c>
    </row>
    <row r="255" spans="2:15">
      <c r="B255" s="1457">
        <v>40179</v>
      </c>
      <c r="C255" s="1458">
        <v>407.04899999999998</v>
      </c>
      <c r="D255" s="1458">
        <v>3040.22</v>
      </c>
      <c r="E255" s="1458">
        <v>1.0066056679915218</v>
      </c>
      <c r="F255" s="1458">
        <v>23.204160944200883</v>
      </c>
      <c r="K255" s="1636">
        <v>42312</v>
      </c>
      <c r="L255" s="1637" t="s">
        <v>1650</v>
      </c>
      <c r="M255" s="1638">
        <v>5.2531000000000001E-2</v>
      </c>
      <c r="N255" s="1639">
        <v>1.0898972643575837</v>
      </c>
      <c r="O255" s="1639">
        <v>1.0898972643575837</v>
      </c>
    </row>
    <row r="256" spans="2:15">
      <c r="B256" s="1457">
        <v>40210</v>
      </c>
      <c r="C256" s="1458">
        <v>411.84300000000002</v>
      </c>
      <c r="D256" s="1458">
        <v>3063.93</v>
      </c>
      <c r="E256" s="1458">
        <v>1.0059434772325486</v>
      </c>
      <c r="F256" s="1458">
        <v>23.342074346473133</v>
      </c>
      <c r="K256" s="1636">
        <v>42313</v>
      </c>
      <c r="L256" s="1637" t="s">
        <v>1650</v>
      </c>
      <c r="M256" s="1638">
        <v>5.2531000000000001E-2</v>
      </c>
      <c r="N256" s="1639">
        <v>1.0904697982895235</v>
      </c>
      <c r="O256" s="1639">
        <v>1.0904697982895235</v>
      </c>
    </row>
    <row r="257" spans="2:15">
      <c r="B257" s="1457">
        <v>40238</v>
      </c>
      <c r="C257" s="1458">
        <v>415.73399999999998</v>
      </c>
      <c r="D257" s="1458">
        <v>3079.86</v>
      </c>
      <c r="E257" s="1458">
        <v>1.0076007032666325</v>
      </c>
      <c r="F257" s="1458">
        <v>23.519490527208351</v>
      </c>
      <c r="K257" s="1636">
        <v>42314</v>
      </c>
      <c r="L257" s="1637" t="s">
        <v>1650</v>
      </c>
      <c r="M257" s="1638">
        <v>5.2531000000000001E-2</v>
      </c>
      <c r="N257" s="1639">
        <v>1.0910426329792631</v>
      </c>
      <c r="O257" s="1639">
        <v>1.0910426329792631</v>
      </c>
    </row>
    <row r="258" spans="2:15">
      <c r="B258" s="1457">
        <v>40269</v>
      </c>
      <c r="C258" s="1458">
        <v>418.91699999999997</v>
      </c>
      <c r="D258" s="1458">
        <v>3097.42</v>
      </c>
      <c r="E258" s="1458">
        <v>1.0066591320264642</v>
      </c>
      <c r="F258" s="1458">
        <v>23.676109919824206</v>
      </c>
      <c r="K258" s="1636">
        <v>42315</v>
      </c>
      <c r="L258" s="1637"/>
      <c r="M258" s="1638">
        <v>0</v>
      </c>
      <c r="N258" s="1639">
        <v>1.0910426329792631</v>
      </c>
      <c r="O258" s="1639">
        <v>1.0910426329792631</v>
      </c>
    </row>
    <row r="259" spans="2:15">
      <c r="B259" s="1457">
        <v>40299</v>
      </c>
      <c r="C259" s="1458">
        <v>423.88499999999999</v>
      </c>
      <c r="D259" s="1458">
        <v>3110.74</v>
      </c>
      <c r="E259" s="1458">
        <v>1.0075136425194853</v>
      </c>
      <c r="F259" s="1458">
        <v>23.854003746013806</v>
      </c>
      <c r="K259" s="1636">
        <v>42316</v>
      </c>
      <c r="L259" s="1637"/>
      <c r="M259" s="1638">
        <v>0</v>
      </c>
      <c r="N259" s="1639">
        <v>1.0910426329792631</v>
      </c>
      <c r="O259" s="1639">
        <v>1.0910426329792631</v>
      </c>
    </row>
    <row r="260" spans="2:15">
      <c r="B260" s="1457">
        <v>40330</v>
      </c>
      <c r="C260" s="1458">
        <v>427.48899999999998</v>
      </c>
      <c r="D260" s="1458">
        <v>3110.74</v>
      </c>
      <c r="E260" s="1458">
        <v>1.0079257581819461</v>
      </c>
      <c r="F260" s="1458">
        <v>24.043064811375949</v>
      </c>
      <c r="K260" s="1636">
        <v>42317</v>
      </c>
      <c r="L260" s="1637" t="s">
        <v>1650</v>
      </c>
      <c r="M260" s="1638">
        <v>5.2531000000000001E-2</v>
      </c>
      <c r="N260" s="1639">
        <v>1.0916157685847934</v>
      </c>
      <c r="O260" s="1639">
        <v>1.0916157685847934</v>
      </c>
    </row>
    <row r="261" spans="2:15">
      <c r="B261" s="1457">
        <v>40360</v>
      </c>
      <c r="C261" s="1458">
        <v>428.15</v>
      </c>
      <c r="D261" s="1458">
        <v>3111.05</v>
      </c>
      <c r="E261" s="1458">
        <v>1.0086102956499179</v>
      </c>
      <c r="F261" s="1458">
        <v>24.250082707732034</v>
      </c>
      <c r="K261" s="1636">
        <v>42318</v>
      </c>
      <c r="L261" s="1637" t="s">
        <v>1650</v>
      </c>
      <c r="M261" s="1638">
        <v>5.2531000000000001E-2</v>
      </c>
      <c r="N261" s="1639">
        <v>1.0921892052641886</v>
      </c>
      <c r="O261" s="1639">
        <v>1.0921892052641886</v>
      </c>
    </row>
    <row r="262" spans="2:15">
      <c r="B262" s="1457">
        <v>40391</v>
      </c>
      <c r="C262" s="1458">
        <v>431.44499999999999</v>
      </c>
      <c r="D262" s="1458">
        <v>3112.29</v>
      </c>
      <c r="E262" s="1458">
        <v>1.0088820963555043</v>
      </c>
      <c r="F262" s="1458">
        <v>24.465474278971058</v>
      </c>
      <c r="K262" s="1636">
        <v>42319</v>
      </c>
      <c r="L262" s="1637" t="s">
        <v>1650</v>
      </c>
      <c r="M262" s="1638">
        <v>5.2531000000000001E-2</v>
      </c>
      <c r="N262" s="1639">
        <v>1.0927629431756058</v>
      </c>
      <c r="O262" s="1639">
        <v>1.0927629431756058</v>
      </c>
    </row>
    <row r="263" spans="2:15">
      <c r="B263" s="1457">
        <v>40422</v>
      </c>
      <c r="C263" s="1458">
        <v>436.423</v>
      </c>
      <c r="D263" s="1458">
        <v>3126.29</v>
      </c>
      <c r="E263" s="1458">
        <v>1.0084766584844942</v>
      </c>
      <c r="F263" s="1458">
        <v>24.672859749095071</v>
      </c>
      <c r="K263" s="1636">
        <v>42320</v>
      </c>
      <c r="L263" s="1637" t="s">
        <v>1650</v>
      </c>
      <c r="M263" s="1638">
        <v>5.2531000000000001E-2</v>
      </c>
      <c r="N263" s="1639">
        <v>1.0933369824772854</v>
      </c>
      <c r="O263" s="1639">
        <v>1.0933369824772854</v>
      </c>
    </row>
    <row r="264" spans="2:15">
      <c r="B264" s="1457">
        <v>40452</v>
      </c>
      <c r="C264" s="1458">
        <v>440.82900000000001</v>
      </c>
      <c r="D264" s="1458">
        <v>3149.74</v>
      </c>
      <c r="E264" s="1458">
        <v>1.0080713835461668</v>
      </c>
      <c r="F264" s="1458">
        <v>24.872003863310798</v>
      </c>
      <c r="K264" s="1636">
        <v>42321</v>
      </c>
      <c r="L264" s="1637" t="s">
        <v>1650</v>
      </c>
      <c r="M264" s="1638">
        <v>5.2531000000000001E-2</v>
      </c>
      <c r="N264" s="1639">
        <v>1.0939113233275506</v>
      </c>
      <c r="O264" s="1639">
        <v>1.0939113233275506</v>
      </c>
    </row>
    <row r="265" spans="2:15">
      <c r="B265" s="1457">
        <v>40483</v>
      </c>
      <c r="C265" s="1458">
        <v>447.20600000000002</v>
      </c>
      <c r="D265" s="1458">
        <v>3175.88</v>
      </c>
      <c r="E265" s="1458">
        <v>1.008071383546167</v>
      </c>
      <c r="F265" s="1458">
        <v>25.072755346053327</v>
      </c>
      <c r="K265" s="1636">
        <v>42322</v>
      </c>
      <c r="L265" s="1637"/>
      <c r="M265" s="1638">
        <v>0</v>
      </c>
      <c r="N265" s="1639">
        <v>1.0939113233275506</v>
      </c>
      <c r="O265" s="1639">
        <v>1.0939113233275506</v>
      </c>
    </row>
    <row r="266" spans="2:15">
      <c r="B266" s="1457">
        <v>40513</v>
      </c>
      <c r="C266" s="1458">
        <v>450.30099999999999</v>
      </c>
      <c r="D266" s="1458">
        <v>3195.89</v>
      </c>
      <c r="E266" s="1458">
        <v>1.0092887868177591</v>
      </c>
      <c r="F266" s="1458">
        <v>25.305650825396647</v>
      </c>
      <c r="K266" s="1636">
        <v>42323</v>
      </c>
      <c r="L266" s="1637"/>
      <c r="M266" s="1638">
        <v>0</v>
      </c>
      <c r="N266" s="1639">
        <v>1.0939113233275506</v>
      </c>
      <c r="O266" s="1639">
        <v>1.0939113233275506</v>
      </c>
    </row>
    <row r="267" spans="2:15">
      <c r="B267" s="1457">
        <v>40544</v>
      </c>
      <c r="C267" s="1458">
        <v>453.875</v>
      </c>
      <c r="D267" s="1458">
        <v>3222.42</v>
      </c>
      <c r="E267" s="1458">
        <v>1.0086232010755674</v>
      </c>
      <c r="F267" s="1458">
        <v>25.52386654081214</v>
      </c>
      <c r="K267" s="1636">
        <v>42324</v>
      </c>
      <c r="L267" s="1637" t="s">
        <v>1650</v>
      </c>
      <c r="M267" s="1638">
        <v>5.2531000000000001E-2</v>
      </c>
      <c r="N267" s="1639">
        <v>1.0944859658848078</v>
      </c>
      <c r="O267" s="1639">
        <v>1.0944859658848078</v>
      </c>
    </row>
    <row r="268" spans="2:15">
      <c r="B268" s="1457">
        <v>40575</v>
      </c>
      <c r="C268" s="1458">
        <v>458.39699999999999</v>
      </c>
      <c r="D268" s="1458">
        <v>3248.2</v>
      </c>
      <c r="E268" s="1458">
        <v>1.0084390842010735</v>
      </c>
      <c r="F268" s="1458">
        <v>25.739264599687019</v>
      </c>
      <c r="K268" s="1636">
        <v>42325</v>
      </c>
      <c r="L268" s="1637" t="s">
        <v>1650</v>
      </c>
      <c r="M268" s="1638">
        <v>5.2531000000000001E-2</v>
      </c>
      <c r="N268" s="1639">
        <v>1.0950609103075468</v>
      </c>
      <c r="O268" s="1639">
        <v>1.0950609103075468</v>
      </c>
    </row>
    <row r="269" spans="2:15">
      <c r="B269" s="1457">
        <v>40603</v>
      </c>
      <c r="C269" s="1458">
        <v>461.24900000000002</v>
      </c>
      <c r="D269" s="1458">
        <v>3273.86</v>
      </c>
      <c r="E269" s="1458">
        <v>1.0092045846073012</v>
      </c>
      <c r="F269" s="1458">
        <v>25.97618383842455</v>
      </c>
      <c r="K269" s="1636">
        <v>42326</v>
      </c>
      <c r="L269" s="1637" t="s">
        <v>1650</v>
      </c>
      <c r="M269" s="1638">
        <v>5.2531000000000001E-2</v>
      </c>
      <c r="N269" s="1639">
        <v>1.0956361567543405</v>
      </c>
      <c r="O269" s="1639">
        <v>1.0956361567543405</v>
      </c>
    </row>
    <row r="270" spans="2:15">
      <c r="B270" s="1457">
        <v>40634</v>
      </c>
      <c r="C270" s="1458">
        <v>463.31099999999998</v>
      </c>
      <c r="D270" s="1458">
        <v>3299.07</v>
      </c>
      <c r="E270" s="1458">
        <v>1.0084015541577225</v>
      </c>
      <c r="F270" s="1458">
        <v>26.194424153754028</v>
      </c>
      <c r="K270" s="1636">
        <v>42327</v>
      </c>
      <c r="L270" s="1637" t="s">
        <v>1650</v>
      </c>
      <c r="M270" s="1638">
        <v>5.2531000000000001E-2</v>
      </c>
      <c r="N270" s="1639">
        <v>1.0962117053838452</v>
      </c>
      <c r="O270" s="1639">
        <v>1.0962117053838452</v>
      </c>
    </row>
    <row r="271" spans="2:15">
      <c r="B271" s="1457">
        <v>40664</v>
      </c>
      <c r="C271" s="1458">
        <v>465.31099999999998</v>
      </c>
      <c r="D271" s="1458">
        <v>3314.58</v>
      </c>
      <c r="E271" s="1458">
        <v>1.0098798495673293</v>
      </c>
      <c r="F271" s="1458">
        <v>26.453221123895936</v>
      </c>
      <c r="K271" s="1636">
        <v>42328</v>
      </c>
      <c r="L271" s="1637" t="s">
        <v>1650</v>
      </c>
      <c r="M271" s="1638">
        <v>5.2531000000000001E-2</v>
      </c>
      <c r="N271" s="1639">
        <v>1.0967875563548004</v>
      </c>
      <c r="O271" s="1639">
        <v>1.0967875563548004</v>
      </c>
    </row>
    <row r="272" spans="2:15">
      <c r="B272" s="1457">
        <v>40695</v>
      </c>
      <c r="C272" s="1458">
        <v>464.46300000000002</v>
      </c>
      <c r="D272" s="1458">
        <v>3319.55</v>
      </c>
      <c r="E272" s="1458">
        <v>1.0095627565914342</v>
      </c>
      <c r="F272" s="1458">
        <v>26.706186838563141</v>
      </c>
      <c r="K272" s="1636">
        <v>42329</v>
      </c>
      <c r="L272" s="1637"/>
      <c r="M272" s="1638">
        <v>0</v>
      </c>
      <c r="N272" s="1639">
        <v>1.0967875563548004</v>
      </c>
      <c r="O272" s="1639">
        <v>1.0967875563548004</v>
      </c>
    </row>
    <row r="273" spans="2:15">
      <c r="B273" s="1457">
        <v>40725</v>
      </c>
      <c r="C273" s="1458">
        <v>463.92700000000002</v>
      </c>
      <c r="D273" s="1458">
        <v>3324.86</v>
      </c>
      <c r="E273" s="1458">
        <v>1.0096788504099796</v>
      </c>
      <c r="F273" s="1458">
        <v>26.96467202599456</v>
      </c>
      <c r="K273" s="1636">
        <v>42330</v>
      </c>
      <c r="L273" s="1637"/>
      <c r="M273" s="1638">
        <v>0</v>
      </c>
      <c r="N273" s="1639">
        <v>1.0967875563548004</v>
      </c>
      <c r="O273" s="1639">
        <v>1.0967875563548004</v>
      </c>
    </row>
    <row r="274" spans="2:15">
      <c r="B274" s="1457">
        <v>40756</v>
      </c>
      <c r="C274" s="1458">
        <v>465.96800000000002</v>
      </c>
      <c r="D274" s="1458">
        <v>3337.16</v>
      </c>
      <c r="E274" s="1458">
        <v>1.0107406292787873</v>
      </c>
      <c r="F274" s="1458">
        <v>27.254289571849853</v>
      </c>
      <c r="K274" s="1636">
        <v>42331</v>
      </c>
      <c r="L274" s="1637" t="s">
        <v>1650</v>
      </c>
      <c r="M274" s="1638">
        <v>5.2531000000000001E-2</v>
      </c>
      <c r="N274" s="1639">
        <v>1.0973637098260292</v>
      </c>
      <c r="O274" s="1639">
        <v>1.0973637098260292</v>
      </c>
    </row>
    <row r="275" spans="2:15">
      <c r="B275" s="1457">
        <v>40787</v>
      </c>
      <c r="C275" s="1458">
        <v>468.97500000000002</v>
      </c>
      <c r="D275" s="1458">
        <v>3354.85</v>
      </c>
      <c r="E275" s="1458">
        <v>1.00941760689889</v>
      </c>
      <c r="F275" s="1458">
        <v>27.510959757346054</v>
      </c>
      <c r="K275" s="1636">
        <v>42332</v>
      </c>
      <c r="L275" s="1637" t="s">
        <v>1650</v>
      </c>
      <c r="M275" s="1638">
        <v>5.2531000000000001E-2</v>
      </c>
      <c r="N275" s="1639">
        <v>1.0979401659564378</v>
      </c>
      <c r="O275" s="1639">
        <v>1.0979401659564378</v>
      </c>
    </row>
    <row r="276" spans="2:15">
      <c r="B276" s="1457">
        <v>40817</v>
      </c>
      <c r="C276" s="1458">
        <v>471.46600000000001</v>
      </c>
      <c r="D276" s="1458">
        <v>3369.28</v>
      </c>
      <c r="E276" s="1458">
        <v>1.0088195463919019</v>
      </c>
      <c r="F276" s="1458">
        <v>27.753593943211712</v>
      </c>
      <c r="K276" s="1636">
        <v>42333</v>
      </c>
      <c r="L276" s="1637" t="s">
        <v>1650</v>
      </c>
      <c r="M276" s="1638">
        <v>5.2531000000000001E-2</v>
      </c>
      <c r="N276" s="1639">
        <v>1.0985169249050164</v>
      </c>
      <c r="O276" s="1639">
        <v>1.0985169249050164</v>
      </c>
    </row>
    <row r="277" spans="2:15">
      <c r="B277" s="1457">
        <v>40848</v>
      </c>
      <c r="C277" s="1458">
        <v>473.80799999999999</v>
      </c>
      <c r="D277" s="1458">
        <v>3386.8</v>
      </c>
      <c r="E277" s="1458">
        <v>1.0086047745492386</v>
      </c>
      <c r="F277" s="1458">
        <v>27.992407362024164</v>
      </c>
      <c r="K277" s="1636">
        <v>42334</v>
      </c>
      <c r="L277" s="1637" t="s">
        <v>1650</v>
      </c>
      <c r="M277" s="1638">
        <v>5.2531000000000001E-2</v>
      </c>
      <c r="N277" s="1639">
        <v>1.0990939868308383</v>
      </c>
      <c r="O277" s="1639">
        <v>1.0990939868308383</v>
      </c>
    </row>
    <row r="278" spans="2:15">
      <c r="B278" s="1457">
        <v>40878</v>
      </c>
      <c r="C278" s="1458">
        <v>473.25200000000001</v>
      </c>
      <c r="D278" s="1458">
        <v>3403.73</v>
      </c>
      <c r="E278" s="1458">
        <v>1.0090732804800764</v>
      </c>
      <c r="F278" s="1458">
        <v>28.246390325332364</v>
      </c>
      <c r="K278" s="1636">
        <v>42335</v>
      </c>
      <c r="L278" s="1637" t="s">
        <v>1650</v>
      </c>
      <c r="M278" s="1638">
        <v>5.2531000000000001E-2</v>
      </c>
      <c r="N278" s="1639">
        <v>1.0996713518930603</v>
      </c>
      <c r="O278" s="1639">
        <v>1.0996713518930603</v>
      </c>
    </row>
    <row r="279" spans="2:15">
      <c r="B279" s="1457">
        <v>40909</v>
      </c>
      <c r="C279" s="1458">
        <v>474.42899999999997</v>
      </c>
      <c r="D279" s="1458">
        <v>3422.79</v>
      </c>
      <c r="E279" s="1458">
        <v>1.0089101617717657</v>
      </c>
      <c r="F279" s="1458">
        <v>28.498070232599513</v>
      </c>
      <c r="K279" s="1636">
        <v>42336</v>
      </c>
      <c r="L279" s="1637"/>
      <c r="M279" s="1638">
        <v>0</v>
      </c>
      <c r="N279" s="1639">
        <v>1.0996713518930603</v>
      </c>
      <c r="O279" s="1639">
        <v>1.0996713518930603</v>
      </c>
    </row>
    <row r="280" spans="2:15">
      <c r="B280" s="1457">
        <v>40940</v>
      </c>
      <c r="C280" s="1458">
        <v>474.13799999999998</v>
      </c>
      <c r="D280" s="1458">
        <v>3438.19</v>
      </c>
      <c r="E280" s="1458">
        <v>1.0074877292470876</v>
      </c>
      <c r="F280" s="1458">
        <v>28.711456066565706</v>
      </c>
      <c r="K280" s="1636">
        <v>42337</v>
      </c>
      <c r="L280" s="1637"/>
      <c r="M280" s="1638">
        <v>0</v>
      </c>
      <c r="N280" s="1639">
        <v>1.0996713518930603</v>
      </c>
      <c r="O280" s="1639">
        <v>1.0996713518930603</v>
      </c>
    </row>
    <row r="281" spans="2:15">
      <c r="B281" s="1457">
        <v>40969</v>
      </c>
      <c r="C281" s="1458">
        <v>476.166</v>
      </c>
      <c r="D281" s="1458">
        <v>3445.41</v>
      </c>
      <c r="E281" s="1458">
        <v>1.0082113884808406</v>
      </c>
      <c r="F281" s="1458">
        <v>28.947216986178862</v>
      </c>
      <c r="K281" s="1636">
        <v>42338</v>
      </c>
      <c r="L281" s="1637" t="s">
        <v>1650</v>
      </c>
      <c r="M281" s="1638">
        <v>5.2531000000000001E-2</v>
      </c>
      <c r="N281" s="1639">
        <v>1.1002490202509232</v>
      </c>
      <c r="O281" s="1639">
        <v>1.1002490202509232</v>
      </c>
    </row>
    <row r="282" spans="2:15">
      <c r="B282" s="1457">
        <v>41000</v>
      </c>
      <c r="C282" s="1458">
        <v>480.22899999999998</v>
      </c>
      <c r="D282" s="1458">
        <v>3467.46</v>
      </c>
      <c r="E282" s="1458">
        <v>1.0071187588624242</v>
      </c>
      <c r="F282" s="1458">
        <v>29.15328524364174</v>
      </c>
      <c r="K282" s="1636">
        <v>42339</v>
      </c>
      <c r="L282" s="1637" t="s">
        <v>1650</v>
      </c>
      <c r="M282" s="1638">
        <v>5.2531000000000001E-2</v>
      </c>
      <c r="N282" s="1639">
        <v>1.1008269920637512</v>
      </c>
      <c r="O282" s="1639">
        <v>1.1008269920637512</v>
      </c>
    </row>
    <row r="283" spans="2:15">
      <c r="B283" s="1457">
        <v>41030</v>
      </c>
      <c r="C283" s="1458">
        <v>485.14</v>
      </c>
      <c r="D283" s="1458">
        <v>3479.94</v>
      </c>
      <c r="E283" s="1458">
        <v>1.007447242329657</v>
      </c>
      <c r="F283" s="1458">
        <v>29.370396823556753</v>
      </c>
      <c r="G283" s="11"/>
      <c r="K283" s="1636">
        <v>42340</v>
      </c>
      <c r="L283" s="1637" t="s">
        <v>1650</v>
      </c>
      <c r="M283" s="1638">
        <v>5.2531000000000001E-2</v>
      </c>
      <c r="N283" s="1639">
        <v>1.1014052674909522</v>
      </c>
      <c r="O283" s="1639">
        <v>1.1014052674909522</v>
      </c>
    </row>
    <row r="284" spans="2:15">
      <c r="B284" s="1457">
        <v>41061</v>
      </c>
      <c r="C284" s="1458">
        <v>488.34199999999998</v>
      </c>
      <c r="D284" s="1458">
        <v>3482.72</v>
      </c>
      <c r="E284" s="1458">
        <v>1.0064150263426446</v>
      </c>
      <c r="F284" s="1458">
        <v>29.558808692873793</v>
      </c>
      <c r="K284" s="1636">
        <v>42341</v>
      </c>
      <c r="L284" s="1637" t="s">
        <v>1650</v>
      </c>
      <c r="M284" s="1638">
        <v>5.2531000000000001E-2</v>
      </c>
      <c r="N284" s="1639">
        <v>1.101983846692018</v>
      </c>
      <c r="O284" s="1639">
        <v>1.101983846692018</v>
      </c>
    </row>
    <row r="285" spans="2:15">
      <c r="B285" s="1457">
        <v>41091</v>
      </c>
      <c r="C285" s="1458">
        <v>494.89100000000002</v>
      </c>
      <c r="D285" s="1458">
        <v>3497.7</v>
      </c>
      <c r="E285" s="1458">
        <v>1.0067996486835762</v>
      </c>
      <c r="F285" s="1458">
        <v>29.759798207490373</v>
      </c>
      <c r="K285" s="1636">
        <v>42342</v>
      </c>
      <c r="L285" s="1637" t="s">
        <v>1650</v>
      </c>
      <c r="M285" s="1638">
        <v>5.2531000000000001E-2</v>
      </c>
      <c r="N285" s="1639">
        <v>1.1025627298265237</v>
      </c>
      <c r="O285" s="1639">
        <v>1.1025627298265237</v>
      </c>
    </row>
    <row r="286" spans="2:15">
      <c r="B286" s="1457">
        <v>41122</v>
      </c>
      <c r="C286" s="1458">
        <v>501.95699999999999</v>
      </c>
      <c r="D286" s="1458">
        <v>3512.04</v>
      </c>
      <c r="E286" s="1458">
        <v>1.0069181066014252</v>
      </c>
      <c r="F286" s="1458">
        <v>29.965679663926696</v>
      </c>
      <c r="K286" s="1636">
        <v>42343</v>
      </c>
      <c r="L286" s="1637"/>
      <c r="M286" s="1638">
        <v>0</v>
      </c>
      <c r="N286" s="1639">
        <v>1.1025627298265237</v>
      </c>
      <c r="O286" s="1639">
        <v>1.1025627298265237</v>
      </c>
    </row>
    <row r="287" spans="2:15">
      <c r="B287" s="1457">
        <v>41153</v>
      </c>
      <c r="C287" s="1458">
        <v>506.80399999999997</v>
      </c>
      <c r="D287" s="1458">
        <v>3532.06</v>
      </c>
      <c r="E287" s="1458">
        <v>1.0053899533259578</v>
      </c>
      <c r="F287" s="1458">
        <v>30.127193278695866</v>
      </c>
      <c r="K287" s="1636">
        <v>42344</v>
      </c>
      <c r="L287" s="1637"/>
      <c r="M287" s="1638">
        <v>0</v>
      </c>
      <c r="N287" s="1639">
        <v>1.1025627298265237</v>
      </c>
      <c r="O287" s="1639">
        <v>1.1025627298265237</v>
      </c>
    </row>
    <row r="288" spans="2:15">
      <c r="B288" s="1457">
        <v>41183</v>
      </c>
      <c r="C288" s="1458">
        <v>506.92599999999999</v>
      </c>
      <c r="D288" s="1458">
        <v>3552.9</v>
      </c>
      <c r="E288" s="1458">
        <v>1.0061133864051108</v>
      </c>
      <c r="F288" s="1458">
        <v>30.311372452509993</v>
      </c>
      <c r="K288" s="1636">
        <v>42345</v>
      </c>
      <c r="L288" s="1637" t="s">
        <v>1650</v>
      </c>
      <c r="M288" s="1638">
        <v>5.2531000000000001E-2</v>
      </c>
      <c r="N288" s="1639">
        <v>1.1031419170541288</v>
      </c>
      <c r="O288" s="1639">
        <v>1.1031419170541288</v>
      </c>
    </row>
    <row r="289" spans="2:15">
      <c r="B289" s="1457">
        <v>41214</v>
      </c>
      <c r="C289" s="1458">
        <v>506.79500000000002</v>
      </c>
      <c r="D289" s="1458">
        <v>3574.22</v>
      </c>
      <c r="E289" s="1458">
        <v>1.0054884576647556</v>
      </c>
      <c r="F289" s="1458">
        <v>30.477735136976232</v>
      </c>
      <c r="K289" s="1636">
        <v>42346</v>
      </c>
      <c r="L289" s="1637" t="s">
        <v>1650</v>
      </c>
      <c r="M289" s="1638">
        <v>5.2531000000000001E-2</v>
      </c>
      <c r="N289" s="1639">
        <v>1.1037214085345766</v>
      </c>
      <c r="O289" s="1639">
        <v>1.1037214085345766</v>
      </c>
    </row>
    <row r="290" spans="2:15">
      <c r="B290" s="1457">
        <v>41244</v>
      </c>
      <c r="C290" s="1458">
        <v>510.25200000000001</v>
      </c>
      <c r="D290" s="1458">
        <v>3602.46</v>
      </c>
      <c r="E290" s="1458">
        <v>1.0055015154231364</v>
      </c>
      <c r="F290" s="1458">
        <v>30.645408866894574</v>
      </c>
      <c r="K290" s="1636">
        <v>42347</v>
      </c>
      <c r="L290" s="1637" t="s">
        <v>1650</v>
      </c>
      <c r="M290" s="1638">
        <v>5.2531000000000001E-2</v>
      </c>
      <c r="N290" s="1639">
        <v>1.1043012044276939</v>
      </c>
      <c r="O290" s="1639">
        <v>1.1043012044276939</v>
      </c>
    </row>
    <row r="291" spans="2:15">
      <c r="B291" s="1457">
        <v>41275</v>
      </c>
      <c r="C291" s="1458">
        <v>511.97699999999998</v>
      </c>
      <c r="D291" s="1458">
        <v>3633.44</v>
      </c>
      <c r="E291" s="1458">
        <v>1.0060143970219473</v>
      </c>
      <c r="F291" s="1458">
        <v>30.82972252271998</v>
      </c>
      <c r="K291" s="1636">
        <v>42348</v>
      </c>
      <c r="L291" s="1637" t="s">
        <v>1650</v>
      </c>
      <c r="M291" s="1638">
        <v>5.2531000000000001E-2</v>
      </c>
      <c r="N291" s="1639">
        <v>1.1048813048933919</v>
      </c>
      <c r="O291" s="1639">
        <v>1.1048813048933919</v>
      </c>
    </row>
    <row r="292" spans="2:15">
      <c r="B292" s="1457">
        <v>41306</v>
      </c>
      <c r="C292" s="1458">
        <v>513.46699999999998</v>
      </c>
      <c r="D292" s="1458">
        <v>3655.24</v>
      </c>
      <c r="E292" s="1458">
        <v>1.0049274991744226</v>
      </c>
      <c r="F292" s="1458">
        <v>30.98163595499836</v>
      </c>
      <c r="K292" s="1636">
        <v>42349</v>
      </c>
      <c r="L292" s="1637" t="s">
        <v>1650</v>
      </c>
      <c r="M292" s="1638">
        <v>5.2531000000000001E-2</v>
      </c>
      <c r="N292" s="1639">
        <v>1.1054617100916655</v>
      </c>
      <c r="O292" s="1639">
        <v>1.1054617100916655</v>
      </c>
    </row>
    <row r="293" spans="2:15">
      <c r="B293" s="1457">
        <v>41334</v>
      </c>
      <c r="C293" s="1458">
        <v>514.52599999999995</v>
      </c>
      <c r="D293" s="1458">
        <v>3672.42</v>
      </c>
      <c r="E293" s="1458">
        <v>1.0054940366101026</v>
      </c>
      <c r="F293" s="1458">
        <v>31.151850197175992</v>
      </c>
      <c r="K293" s="1636">
        <v>42350</v>
      </c>
      <c r="L293" s="1637"/>
      <c r="M293" s="1638">
        <v>0</v>
      </c>
      <c r="N293" s="1639">
        <v>1.1054617100916655</v>
      </c>
      <c r="O293" s="1639">
        <v>1.1054617100916655</v>
      </c>
    </row>
    <row r="294" spans="2:15">
      <c r="B294" s="1457">
        <v>41365</v>
      </c>
      <c r="C294" s="1458">
        <v>515.27599999999995</v>
      </c>
      <c r="D294" s="1458">
        <v>3692.62</v>
      </c>
      <c r="E294" s="1458">
        <v>1.0061364605097283</v>
      </c>
      <c r="F294" s="1458">
        <v>31.343012295715933</v>
      </c>
      <c r="K294" s="1636">
        <v>42351</v>
      </c>
      <c r="L294" s="1637"/>
      <c r="M294" s="1638">
        <v>0</v>
      </c>
      <c r="N294" s="1639">
        <v>1.1054617100916655</v>
      </c>
      <c r="O294" s="1639">
        <v>1.1054617100916655</v>
      </c>
    </row>
    <row r="295" spans="2:15">
      <c r="B295" s="1457">
        <v>41395</v>
      </c>
      <c r="C295" s="1458">
        <v>515.29899999999998</v>
      </c>
      <c r="D295" s="1458">
        <v>3706.28</v>
      </c>
      <c r="E295" s="1458">
        <v>1.0059853629993882</v>
      </c>
      <c r="F295" s="1458">
        <v>31.530611601800082</v>
      </c>
      <c r="K295" s="1636">
        <v>42352</v>
      </c>
      <c r="L295" s="1637" t="s">
        <v>1650</v>
      </c>
      <c r="M295" s="1638">
        <v>5.2531000000000001E-2</v>
      </c>
      <c r="N295" s="1639">
        <v>1.1060424201825938</v>
      </c>
      <c r="O295" s="1639">
        <v>1.1060424201825938</v>
      </c>
    </row>
    <row r="296" spans="2:15">
      <c r="B296" s="1457">
        <v>41426</v>
      </c>
      <c r="C296" s="1458">
        <v>519.15300000000002</v>
      </c>
      <c r="D296" s="1458">
        <v>3715.92</v>
      </c>
      <c r="E296" s="1458">
        <v>1.0060527337434972</v>
      </c>
      <c r="F296" s="1458">
        <v>31.721457998595405</v>
      </c>
      <c r="G296" s="66"/>
      <c r="K296" s="1636">
        <v>42353</v>
      </c>
      <c r="L296" s="1637" t="s">
        <v>1650</v>
      </c>
      <c r="M296" s="1638">
        <v>5.2531000000000001E-2</v>
      </c>
      <c r="N296" s="1639">
        <v>1.10662343532634</v>
      </c>
      <c r="O296" s="1639">
        <v>1.10662343532634</v>
      </c>
    </row>
    <row r="297" spans="2:15">
      <c r="B297" s="1457">
        <v>41456</v>
      </c>
      <c r="C297" s="1458">
        <v>520.50800000000004</v>
      </c>
      <c r="D297" s="1458">
        <v>3717.03</v>
      </c>
      <c r="E297" s="1458">
        <v>1.0072409169740031</v>
      </c>
      <c r="F297" s="1458">
        <v>31.951150442257561</v>
      </c>
      <c r="K297" s="1636">
        <v>42354</v>
      </c>
      <c r="L297" s="1637" t="s">
        <v>1650</v>
      </c>
      <c r="M297" s="1638">
        <v>5.2531000000000001E-2</v>
      </c>
      <c r="N297" s="1639">
        <v>1.1072047556831512</v>
      </c>
      <c r="O297" s="1639">
        <v>1.1072047556831512</v>
      </c>
    </row>
    <row r="298" spans="2:15">
      <c r="B298" s="1457">
        <v>41487</v>
      </c>
      <c r="C298" s="1458">
        <v>521.27</v>
      </c>
      <c r="D298" s="1458">
        <v>3725.95</v>
      </c>
      <c r="E298" s="1458">
        <v>1.0071031495053051</v>
      </c>
      <c r="F298" s="1458">
        <v>32.178104240715413</v>
      </c>
      <c r="K298" s="1636">
        <v>42355</v>
      </c>
      <c r="L298" s="1637" t="s">
        <v>1650</v>
      </c>
      <c r="M298" s="1638">
        <v>5.2531000000000001E-2</v>
      </c>
      <c r="N298" s="1639">
        <v>1.1077863814133591</v>
      </c>
      <c r="O298" s="1639">
        <v>1.1077863814133591</v>
      </c>
    </row>
    <row r="299" spans="2:15">
      <c r="B299" s="1457">
        <v>41518</v>
      </c>
      <c r="C299" s="1458">
        <v>529.08500000000004</v>
      </c>
      <c r="D299" s="1458">
        <v>3738.99</v>
      </c>
      <c r="E299" s="1458">
        <v>1.0071302882501354</v>
      </c>
      <c r="F299" s="1458">
        <v>32.407543399294617</v>
      </c>
      <c r="K299" s="1636">
        <v>42356</v>
      </c>
      <c r="L299" s="1637" t="s">
        <v>1650</v>
      </c>
      <c r="M299" s="1638">
        <v>5.2531000000000001E-2</v>
      </c>
      <c r="N299" s="1639">
        <v>1.1083683126773793</v>
      </c>
      <c r="O299" s="1639">
        <v>1.1083683126773793</v>
      </c>
    </row>
    <row r="300" spans="2:15">
      <c r="B300" s="1457">
        <v>41548</v>
      </c>
      <c r="C300" s="1458">
        <v>533.62099999999998</v>
      </c>
      <c r="D300" s="1458">
        <v>3760.3</v>
      </c>
      <c r="E300" s="1458">
        <v>1.0081051023495244</v>
      </c>
      <c r="F300" s="1458">
        <v>32.670209855442558</v>
      </c>
      <c r="G300" s="67"/>
      <c r="K300" s="1636">
        <v>42357</v>
      </c>
      <c r="L300" s="1637"/>
      <c r="M300" s="1638">
        <v>0</v>
      </c>
      <c r="N300" s="1639">
        <v>1.1083683126773793</v>
      </c>
      <c r="O300" s="1639">
        <v>1.1083683126773793</v>
      </c>
    </row>
    <row r="301" spans="2:15">
      <c r="B301" s="1457">
        <v>41579</v>
      </c>
      <c r="C301" s="1458">
        <v>535.16800000000001</v>
      </c>
      <c r="D301" s="1458">
        <v>3780.61</v>
      </c>
      <c r="E301" s="1458">
        <v>1.0071920752752215</v>
      </c>
      <c r="F301" s="1458">
        <v>32.905176463980183</v>
      </c>
      <c r="G301" s="67"/>
      <c r="K301" s="1636">
        <v>42358</v>
      </c>
      <c r="L301" s="1637"/>
      <c r="M301" s="1638">
        <v>0</v>
      </c>
      <c r="N301" s="1639">
        <v>1.1083683126773793</v>
      </c>
      <c r="O301" s="1639">
        <v>1.1083683126773793</v>
      </c>
    </row>
    <row r="302" spans="2:15">
      <c r="B302" s="1457">
        <v>41609</v>
      </c>
      <c r="C302" s="1458">
        <v>538.37</v>
      </c>
      <c r="D302" s="1458">
        <v>3815.39</v>
      </c>
      <c r="E302" s="1458">
        <v>1.0078974581644051</v>
      </c>
      <c r="F302" s="1458">
        <v>33.165043718496833</v>
      </c>
      <c r="G302" s="66"/>
      <c r="K302" s="1636">
        <v>42359</v>
      </c>
      <c r="L302" s="1637" t="s">
        <v>1650</v>
      </c>
      <c r="M302" s="1638">
        <v>5.2531000000000001E-2</v>
      </c>
      <c r="N302" s="1639">
        <v>1.1089505496357119</v>
      </c>
      <c r="O302" s="1639">
        <v>1.1089505496357119</v>
      </c>
    </row>
    <row r="303" spans="2:15">
      <c r="B303" s="1457">
        <v>41640</v>
      </c>
      <c r="C303" s="1458">
        <v>540.95899999999995</v>
      </c>
      <c r="D303" s="1458">
        <v>3836.38</v>
      </c>
      <c r="E303" s="1458">
        <v>1.0084934395272054</v>
      </c>
      <c r="F303" s="1458">
        <v>33.446729011737006</v>
      </c>
      <c r="K303" s="1636">
        <v>42360</v>
      </c>
      <c r="L303" s="1637" t="s">
        <v>1650</v>
      </c>
      <c r="M303" s="1638">
        <v>5.2531000000000001E-2</v>
      </c>
      <c r="N303" s="1639">
        <v>1.109533092448941</v>
      </c>
      <c r="O303" s="1639">
        <v>1.109533092448941</v>
      </c>
    </row>
    <row r="304" spans="2:15">
      <c r="B304" s="1457">
        <v>41671</v>
      </c>
      <c r="C304" s="1458">
        <v>543.03800000000001</v>
      </c>
      <c r="D304" s="1458">
        <v>3862.84</v>
      </c>
      <c r="E304" s="1458">
        <v>1.007901464239193</v>
      </c>
      <c r="F304" s="1458">
        <v>33.711007144941227</v>
      </c>
      <c r="K304" s="1636">
        <v>42361</v>
      </c>
      <c r="L304" s="1637" t="s">
        <v>1650</v>
      </c>
      <c r="M304" s="1638">
        <v>5.2531000000000001E-2</v>
      </c>
      <c r="N304" s="1639">
        <v>1.1101159412777355</v>
      </c>
      <c r="O304" s="1639">
        <v>1.1101159412777355</v>
      </c>
    </row>
    <row r="305" spans="2:15">
      <c r="B305" s="1457">
        <v>41699</v>
      </c>
      <c r="C305" s="1458">
        <v>552.08699999999999</v>
      </c>
      <c r="D305" s="1458">
        <v>3898.38</v>
      </c>
      <c r="E305" s="1458">
        <v>1.0076595732083427</v>
      </c>
      <c r="F305" s="1458">
        <v>33.969219072094866</v>
      </c>
      <c r="K305" s="1636">
        <v>42362</v>
      </c>
      <c r="L305" s="1637" t="s">
        <v>1650</v>
      </c>
      <c r="M305" s="1638">
        <v>5.2531000000000001E-2</v>
      </c>
      <c r="N305" s="1639">
        <v>1.110699096282848</v>
      </c>
      <c r="O305" s="1639">
        <v>1.110699096282848</v>
      </c>
    </row>
    <row r="306" spans="2:15">
      <c r="B306" s="1457">
        <v>41730</v>
      </c>
      <c r="C306" s="1458">
        <v>556.41999999999996</v>
      </c>
      <c r="D306" s="1458">
        <v>3924.5</v>
      </c>
      <c r="E306" s="1458">
        <v>1.0082266762081393</v>
      </c>
      <c r="F306" s="1458">
        <v>34.248672838444342</v>
      </c>
      <c r="K306" s="1636">
        <v>42363</v>
      </c>
      <c r="L306" s="1637"/>
      <c r="M306" s="1638">
        <v>0</v>
      </c>
      <c r="N306" s="1639">
        <v>1.110699096282848</v>
      </c>
      <c r="O306" s="1639">
        <v>1.110699096282848</v>
      </c>
    </row>
    <row r="307" spans="2:15">
      <c r="B307" s="1457">
        <v>41760</v>
      </c>
      <c r="C307" s="1458">
        <v>555.67899999999997</v>
      </c>
      <c r="D307" s="1458">
        <v>3942.55</v>
      </c>
      <c r="E307" s="1458">
        <v>1.0086587318278823</v>
      </c>
      <c r="F307" s="1458">
        <v>34.545222912013308</v>
      </c>
      <c r="K307" s="1636">
        <v>42364</v>
      </c>
      <c r="L307" s="1637"/>
      <c r="M307" s="1638">
        <v>0</v>
      </c>
      <c r="N307" s="1639">
        <v>1.110699096282848</v>
      </c>
      <c r="O307" s="1639">
        <v>1.110699096282848</v>
      </c>
    </row>
    <row r="308" spans="2:15">
      <c r="B308" s="1457">
        <v>41791</v>
      </c>
      <c r="C308" s="1458">
        <v>551.55399999999997</v>
      </c>
      <c r="D308" s="1458">
        <v>3958.32</v>
      </c>
      <c r="E308" s="1458">
        <v>1.0082447163000285</v>
      </c>
      <c r="F308" s="1458">
        <v>34.830038474444102</v>
      </c>
      <c r="K308" s="1636">
        <v>42365</v>
      </c>
      <c r="L308" s="1637"/>
      <c r="M308" s="1638">
        <v>0</v>
      </c>
      <c r="N308" s="1639">
        <v>1.110699096282848</v>
      </c>
      <c r="O308" s="1639">
        <v>1.110699096282848</v>
      </c>
    </row>
    <row r="309" spans="2:15">
      <c r="B309" s="1457">
        <v>41821</v>
      </c>
      <c r="C309" s="1458">
        <v>548.202</v>
      </c>
      <c r="D309" s="1458">
        <v>3958.72</v>
      </c>
      <c r="E309" s="1458">
        <v>1.0094872729749897</v>
      </c>
      <c r="F309" s="1458">
        <v>35.160480557180549</v>
      </c>
      <c r="K309" s="1636">
        <v>42366</v>
      </c>
      <c r="L309" s="1637" t="s">
        <v>1650</v>
      </c>
      <c r="M309" s="1638">
        <v>5.2531000000000001E-2</v>
      </c>
      <c r="N309" s="1639">
        <v>1.1112825576251164</v>
      </c>
      <c r="O309" s="1639">
        <v>1.1112825576251164</v>
      </c>
    </row>
    <row r="310" spans="2:15">
      <c r="B310" s="1457">
        <v>41852</v>
      </c>
      <c r="C310" s="1458">
        <v>546.745</v>
      </c>
      <c r="D310" s="1458">
        <v>3968.62</v>
      </c>
      <c r="E310" s="1458">
        <v>1.0086598207325679</v>
      </c>
      <c r="F310" s="1458">
        <v>35.464964015676671</v>
      </c>
      <c r="K310" s="1636">
        <v>42367</v>
      </c>
      <c r="L310" s="1637" t="s">
        <v>1650</v>
      </c>
      <c r="M310" s="1638">
        <v>5.2531000000000001E-2</v>
      </c>
      <c r="N310" s="1639">
        <v>1.1118663254654624</v>
      </c>
      <c r="O310" s="1639">
        <v>1.1118663254654624</v>
      </c>
    </row>
    <row r="311" spans="2:15">
      <c r="B311" s="1457">
        <v>41883</v>
      </c>
      <c r="C311" s="1458">
        <v>547.83900000000006</v>
      </c>
      <c r="D311" s="1458">
        <v>3991.24</v>
      </c>
      <c r="E311" s="1458">
        <v>1.0090729173629331</v>
      </c>
      <c r="F311" s="1458">
        <v>35.786734703470302</v>
      </c>
      <c r="K311" s="1636">
        <v>42368</v>
      </c>
      <c r="L311" s="1637" t="s">
        <v>1650</v>
      </c>
      <c r="M311" s="1638">
        <v>5.2531000000000001E-2</v>
      </c>
      <c r="N311" s="1639">
        <v>1.1124503999648927</v>
      </c>
      <c r="O311" s="1639">
        <v>1.1124503999648927</v>
      </c>
    </row>
    <row r="312" spans="2:15">
      <c r="B312" s="1457">
        <v>41913</v>
      </c>
      <c r="C312" s="1458">
        <v>549.39599999999996</v>
      </c>
      <c r="D312" s="1458">
        <v>4008</v>
      </c>
      <c r="E312" s="1458">
        <v>1.009505315279368</v>
      </c>
      <c r="F312" s="1458">
        <v>36.126898899645887</v>
      </c>
      <c r="K312" s="1636">
        <v>42369</v>
      </c>
      <c r="L312" s="1637" t="s">
        <v>1650</v>
      </c>
      <c r="M312" s="1638">
        <v>5.2531000000000001E-2</v>
      </c>
      <c r="N312" s="1639">
        <v>1.1130347812844983</v>
      </c>
      <c r="O312" s="1639">
        <v>1.1130347812844983</v>
      </c>
    </row>
    <row r="313" spans="2:15">
      <c r="B313" s="1457">
        <v>41944</v>
      </c>
      <c r="C313" s="1458">
        <v>554.76900000000001</v>
      </c>
      <c r="D313" s="1458">
        <v>4028.44</v>
      </c>
      <c r="E313" s="1458">
        <v>1.0084249317586502</v>
      </c>
      <c r="F313" s="1458">
        <v>36.431265557527063</v>
      </c>
      <c r="K313" s="1636">
        <v>42370</v>
      </c>
      <c r="L313" s="1637"/>
      <c r="M313" s="1638">
        <v>0</v>
      </c>
      <c r="N313" s="1639">
        <v>1.1130347812844983</v>
      </c>
      <c r="O313" s="1639">
        <v>1.1130347812844983</v>
      </c>
    </row>
    <row r="314" spans="2:15">
      <c r="B314" s="1457">
        <v>41974</v>
      </c>
      <c r="C314" s="1458">
        <v>558.21299999999997</v>
      </c>
      <c r="D314" s="1458">
        <v>4059.86</v>
      </c>
      <c r="E314" s="1458">
        <v>1.0096129495106978</v>
      </c>
      <c r="F314" s="1458">
        <v>36.781477473942395</v>
      </c>
      <c r="K314" s="1636">
        <v>42371</v>
      </c>
      <c r="L314" s="1637"/>
      <c r="M314" s="1638">
        <v>0</v>
      </c>
      <c r="N314" s="1639">
        <v>1.1130347812844983</v>
      </c>
      <c r="O314" s="1639">
        <v>1.1130347812844983</v>
      </c>
    </row>
    <row r="315" spans="2:15">
      <c r="B315" s="1457">
        <v>42005</v>
      </c>
      <c r="C315" s="1458">
        <v>562.48199999999997</v>
      </c>
      <c r="D315" s="1458">
        <v>4110.2</v>
      </c>
      <c r="E315" s="1458">
        <v>1.0093507541041149</v>
      </c>
      <c r="F315" s="1458">
        <v>37.12541202538727</v>
      </c>
      <c r="K315" s="1636">
        <v>42372</v>
      </c>
      <c r="L315" s="1637"/>
      <c r="M315" s="1638">
        <v>0</v>
      </c>
      <c r="N315" s="1639">
        <v>1.1130347812844983</v>
      </c>
      <c r="O315" s="1639">
        <v>1.1130347812844983</v>
      </c>
    </row>
    <row r="316" spans="2:15">
      <c r="B316" s="1457">
        <v>42036</v>
      </c>
      <c r="C316" s="1458">
        <v>564.00400000000002</v>
      </c>
      <c r="D316" s="1458">
        <v>4160.34</v>
      </c>
      <c r="E316" s="1458">
        <v>1.0082241099890967</v>
      </c>
      <c r="F316" s="1458">
        <v>37.43073549727459</v>
      </c>
      <c r="K316" s="1636">
        <v>42373</v>
      </c>
      <c r="L316" s="1637" t="s">
        <v>1650</v>
      </c>
      <c r="M316" s="1638">
        <v>5.2531000000000001E-2</v>
      </c>
      <c r="N316" s="1639">
        <v>1.1136194695854549</v>
      </c>
      <c r="O316" s="1639">
        <v>1.1136194695854549</v>
      </c>
    </row>
    <row r="317" spans="2:15">
      <c r="B317" s="1457">
        <v>42064</v>
      </c>
      <c r="C317" s="1458">
        <v>569.53599999999994</v>
      </c>
      <c r="D317" s="1458">
        <v>4215.26</v>
      </c>
      <c r="E317" s="1458">
        <v>1.0103996710699541</v>
      </c>
      <c r="F317" s="1458">
        <v>37.820002834352699</v>
      </c>
      <c r="K317" s="1636">
        <v>42374</v>
      </c>
      <c r="L317" s="1637" t="s">
        <v>1650</v>
      </c>
      <c r="M317" s="1638">
        <v>5.2531000000000001E-2</v>
      </c>
      <c r="N317" s="1639">
        <v>1.1142044650290228</v>
      </c>
      <c r="O317" s="1639">
        <v>1.1142044650290228</v>
      </c>
    </row>
    <row r="318" spans="2:15">
      <c r="B318" s="1457">
        <v>42095</v>
      </c>
      <c r="C318" s="1458">
        <v>576.17499999999995</v>
      </c>
      <c r="D318" s="1458">
        <v>4245.1899999999996</v>
      </c>
      <c r="E318" s="1458">
        <v>1.0095179160892187</v>
      </c>
      <c r="F318" s="1458">
        <v>38.179970447824083</v>
      </c>
      <c r="K318" s="1636">
        <v>42375</v>
      </c>
      <c r="L318" s="1637" t="s">
        <v>1650</v>
      </c>
      <c r="M318" s="1638">
        <v>5.2531000000000001E-2</v>
      </c>
      <c r="N318" s="1639">
        <v>1.1147897677765473</v>
      </c>
      <c r="O318" s="1639">
        <v>1.1147897677765473</v>
      </c>
    </row>
    <row r="319" spans="2:15">
      <c r="B319" s="1457">
        <v>42125</v>
      </c>
      <c r="C319" s="1458">
        <v>578.51599999999996</v>
      </c>
      <c r="D319" s="1458">
        <v>4276.6000000000004</v>
      </c>
      <c r="E319" s="1458">
        <v>1.0098532226245138</v>
      </c>
      <c r="F319" s="1458">
        <v>38.556166196443854</v>
      </c>
      <c r="K319" s="1636">
        <v>42376</v>
      </c>
      <c r="L319" s="1637" t="s">
        <v>1650</v>
      </c>
      <c r="M319" s="1638">
        <v>5.2531000000000001E-2</v>
      </c>
      <c r="N319" s="1639">
        <v>1.115375377989458</v>
      </c>
      <c r="O319" s="1639">
        <v>1.115375377989458</v>
      </c>
    </row>
    <row r="320" spans="2:15">
      <c r="B320" s="1457">
        <v>42156</v>
      </c>
      <c r="C320" s="1458">
        <v>582.40099999999995</v>
      </c>
      <c r="D320" s="1458">
        <v>4310.3900000000003</v>
      </c>
      <c r="E320" s="1458">
        <v>1.0106667572412273</v>
      </c>
      <c r="F320" s="1458">
        <v>38.967435461413736</v>
      </c>
      <c r="K320" s="1636">
        <v>42377</v>
      </c>
      <c r="L320" s="1637" t="s">
        <v>1650</v>
      </c>
      <c r="M320" s="1638">
        <v>5.2531000000000001E-2</v>
      </c>
      <c r="N320" s="1639">
        <v>1.1159612958292695</v>
      </c>
      <c r="O320" s="1639">
        <v>1.1159612958292695</v>
      </c>
    </row>
    <row r="321" spans="2:15">
      <c r="B321" s="1457">
        <v>42186</v>
      </c>
      <c r="C321" s="1458">
        <v>586.42600000000004</v>
      </c>
      <c r="D321" s="1458">
        <v>4337.1099999999997</v>
      </c>
      <c r="E321" s="1458">
        <v>1.0117819838421735</v>
      </c>
      <c r="F321" s="1458">
        <v>39.426549156391054</v>
      </c>
      <c r="K321" s="1636">
        <v>42378</v>
      </c>
      <c r="L321" s="1637"/>
      <c r="M321" s="1638">
        <v>0</v>
      </c>
      <c r="N321" s="1639">
        <v>1.1159612958292695</v>
      </c>
      <c r="O321" s="1639">
        <v>1.1159612958292695</v>
      </c>
    </row>
    <row r="322" spans="2:15">
      <c r="B322" s="1457">
        <v>42217</v>
      </c>
      <c r="C322" s="1458">
        <v>588.04200000000003</v>
      </c>
      <c r="D322" s="1458">
        <v>4346.6499999999996</v>
      </c>
      <c r="E322" s="1458">
        <v>1.0110896528780247</v>
      </c>
      <c r="F322" s="1458">
        <v>39.863775900713804</v>
      </c>
      <c r="K322" s="1636">
        <v>42379</v>
      </c>
      <c r="L322" s="1637"/>
      <c r="M322" s="1638">
        <v>0</v>
      </c>
      <c r="N322" s="1639">
        <v>1.1159612958292695</v>
      </c>
      <c r="O322" s="1639">
        <v>1.1159612958292695</v>
      </c>
    </row>
    <row r="323" spans="2:15">
      <c r="B323" s="1457">
        <v>42248</v>
      </c>
      <c r="C323" s="1458">
        <v>593.60599999999999</v>
      </c>
      <c r="D323" s="1458">
        <v>4370.12</v>
      </c>
      <c r="E323" s="1458">
        <v>1.0110896528780244</v>
      </c>
      <c r="F323" s="1458">
        <v>40.305851337860076</v>
      </c>
      <c r="K323" s="1636">
        <v>42380</v>
      </c>
      <c r="L323" s="1637" t="s">
        <v>1650</v>
      </c>
      <c r="M323" s="1638">
        <v>5.2531000000000001E-2</v>
      </c>
      <c r="N323" s="1639">
        <v>1.1165475214575815</v>
      </c>
      <c r="O323" s="1639">
        <v>1.1165475214575815</v>
      </c>
    </row>
    <row r="324" spans="2:15">
      <c r="B324" s="1457">
        <v>42278</v>
      </c>
      <c r="C324" s="1458">
        <v>604.83199999999999</v>
      </c>
      <c r="D324" s="1458">
        <v>4405.95</v>
      </c>
      <c r="E324" s="1458">
        <v>1.0110896528780242</v>
      </c>
      <c r="F324" s="1458">
        <v>40.752829238150191</v>
      </c>
      <c r="K324" s="1636">
        <v>42381</v>
      </c>
      <c r="L324" s="1637" t="s">
        <v>1650</v>
      </c>
      <c r="M324" s="1638">
        <v>5.2531000000000001E-2</v>
      </c>
      <c r="N324" s="1639">
        <v>1.1171340550360784</v>
      </c>
      <c r="O324" s="1639">
        <v>1.1171340550360784</v>
      </c>
    </row>
    <row r="325" spans="2:15">
      <c r="B325" s="1457">
        <v>42309</v>
      </c>
      <c r="C325" s="1458">
        <v>614.05100000000004</v>
      </c>
      <c r="D325" s="1458">
        <v>4450.45</v>
      </c>
      <c r="E325" s="1458">
        <v>1.0105587962367735</v>
      </c>
      <c r="F325" s="1458">
        <v>41.183130058147846</v>
      </c>
      <c r="K325" s="1636">
        <v>42382</v>
      </c>
      <c r="L325" s="1637" t="s">
        <v>1650</v>
      </c>
      <c r="M325" s="1638">
        <v>5.2531000000000001E-2</v>
      </c>
      <c r="N325" s="1639">
        <v>1.1177208967265295</v>
      </c>
      <c r="O325" s="1639">
        <v>1.1177208967265295</v>
      </c>
    </row>
    <row r="326" spans="2:15">
      <c r="B326" s="1457">
        <v>42339</v>
      </c>
      <c r="C326" s="1458">
        <v>617.04399999999998</v>
      </c>
      <c r="D326" s="1458">
        <v>4493.17</v>
      </c>
      <c r="E326" s="1458">
        <v>1.0116207883835777</v>
      </c>
      <c r="F326" s="1458">
        <v>41.66171049752694</v>
      </c>
      <c r="K326" s="1636">
        <v>42383</v>
      </c>
      <c r="L326" s="1637" t="s">
        <v>1650</v>
      </c>
      <c r="M326" s="1638">
        <v>5.2531000000000001E-2</v>
      </c>
      <c r="N326" s="1639">
        <v>1.1183080466907889</v>
      </c>
      <c r="O326" s="1639">
        <v>1.1183080466907889</v>
      </c>
    </row>
    <row r="327" spans="2:15">
      <c r="B327" s="1457">
        <v>42370</v>
      </c>
      <c r="C327" s="1458">
        <v>624.05999999999995</v>
      </c>
      <c r="D327" s="1458">
        <v>4550.2299999999996</v>
      </c>
      <c r="E327" s="1458">
        <v>1.0105587962367735</v>
      </c>
      <c r="F327" s="1458">
        <v>42.101608009545771</v>
      </c>
      <c r="K327" s="1636">
        <v>42384</v>
      </c>
      <c r="L327" s="1637" t="s">
        <v>1650</v>
      </c>
      <c r="M327" s="1638">
        <v>5.2531000000000001E-2</v>
      </c>
      <c r="N327" s="1639">
        <v>1.118895505090796</v>
      </c>
      <c r="O327" s="1639">
        <v>1.118895505090796</v>
      </c>
    </row>
    <row r="328" spans="2:15">
      <c r="B328" s="1457">
        <v>42401</v>
      </c>
      <c r="C328" s="1458">
        <v>632.11400000000003</v>
      </c>
      <c r="D328" s="1458">
        <v>4591.18</v>
      </c>
      <c r="E328" s="1458">
        <v>1.0100282183134115</v>
      </c>
      <c r="F328" s="1458">
        <v>42.523812126011173</v>
      </c>
      <c r="K328" s="1636">
        <v>42385</v>
      </c>
      <c r="L328" s="1637"/>
      <c r="M328" s="1638">
        <v>0</v>
      </c>
      <c r="N328" s="1639">
        <v>1.118895505090796</v>
      </c>
      <c r="O328" s="1639">
        <v>1.118895505090796</v>
      </c>
    </row>
    <row r="329" spans="2:15">
      <c r="B329" s="1457">
        <v>42430</v>
      </c>
      <c r="C329" s="1458">
        <v>635.34900000000005</v>
      </c>
      <c r="D329" s="1458">
        <v>4610.92</v>
      </c>
      <c r="E329" s="1458">
        <v>1.0116207883835779</v>
      </c>
      <c r="F329" s="1458">
        <v>43.017972347990572</v>
      </c>
      <c r="K329" s="1636">
        <v>42386</v>
      </c>
      <c r="L329" s="1637"/>
      <c r="M329" s="1638">
        <v>0</v>
      </c>
      <c r="N329" s="1639">
        <v>1.118895505090796</v>
      </c>
      <c r="O329" s="1639">
        <v>1.118895505090796</v>
      </c>
    </row>
    <row r="330" spans="2:15">
      <c r="B330" s="1457">
        <v>42461</v>
      </c>
      <c r="C330" s="1458">
        <v>637.43399999999997</v>
      </c>
      <c r="D330" s="1458">
        <v>4639.05</v>
      </c>
      <c r="E330" s="1458">
        <v>1.0105587962367735</v>
      </c>
      <c r="F330" s="1458">
        <v>43.472190352532159</v>
      </c>
      <c r="K330" s="1636">
        <v>42387</v>
      </c>
      <c r="L330" s="1637" t="s">
        <v>1650</v>
      </c>
      <c r="M330" s="1638">
        <v>5.2531000000000001E-2</v>
      </c>
      <c r="N330" s="1639">
        <v>1.1194832720885752</v>
      </c>
      <c r="O330" s="1639">
        <v>1.1194832720885752</v>
      </c>
    </row>
    <row r="331" spans="2:15">
      <c r="B331" s="1457">
        <v>42491</v>
      </c>
      <c r="C331" s="1458">
        <v>642.65099999999995</v>
      </c>
      <c r="D331" s="1458">
        <v>4675.2299999999996</v>
      </c>
      <c r="E331" s="1458">
        <v>1.0110896528780244</v>
      </c>
      <c r="F331" s="1458">
        <v>43.954281853389141</v>
      </c>
      <c r="K331" s="1636">
        <v>42388</v>
      </c>
      <c r="L331" s="1637" t="s">
        <v>1650</v>
      </c>
      <c r="M331" s="1638">
        <v>5.2531000000000001E-2</v>
      </c>
      <c r="N331" s="1639">
        <v>1.1200713478462361</v>
      </c>
      <c r="O331" s="1639">
        <v>1.1200713478462361</v>
      </c>
    </row>
    <row r="332" spans="2:15">
      <c r="B332" s="1457">
        <v>42522</v>
      </c>
      <c r="C332" s="1458">
        <v>653.49599999999998</v>
      </c>
      <c r="D332" s="1458">
        <v>4691.59</v>
      </c>
      <c r="E332" s="1458">
        <v>1.0116207883835777</v>
      </c>
      <c r="F332" s="1458">
        <v>44.465065261359506</v>
      </c>
      <c r="K332" s="1636">
        <v>42389</v>
      </c>
      <c r="L332" s="1637" t="s">
        <v>1650</v>
      </c>
      <c r="M332" s="1638">
        <v>5.2531000000000001E-2</v>
      </c>
      <c r="N332" s="1639">
        <v>1.1206597325259733</v>
      </c>
      <c r="O332" s="1639">
        <v>1.1206597325259733</v>
      </c>
    </row>
    <row r="333" spans="2:15">
      <c r="B333" s="1457">
        <v>42552</v>
      </c>
      <c r="C333" s="1458">
        <v>654.64099999999996</v>
      </c>
      <c r="D333" s="1458">
        <v>4715.99</v>
      </c>
      <c r="E333" s="1458">
        <v>1.0110896528780242</v>
      </c>
      <c r="F333" s="1458">
        <v>44.958167400306678</v>
      </c>
      <c r="K333" s="1636">
        <v>42390</v>
      </c>
      <c r="L333" s="1637" t="s">
        <v>1650</v>
      </c>
      <c r="M333" s="1638">
        <v>5.2531000000000001E-2</v>
      </c>
      <c r="N333" s="1639">
        <v>1.1212484262900666</v>
      </c>
      <c r="O333" s="1639">
        <v>1.1212484262900666</v>
      </c>
    </row>
    <row r="334" spans="2:15">
      <c r="B334" s="1457">
        <v>42583</v>
      </c>
      <c r="C334" s="1458">
        <v>655.60199999999998</v>
      </c>
      <c r="D334" s="1458">
        <v>4736.74</v>
      </c>
      <c r="E334" s="1458">
        <v>1.0121522028999232</v>
      </c>
      <c r="F334" s="1458">
        <v>45.504508172563916</v>
      </c>
      <c r="K334" s="1636">
        <v>42391</v>
      </c>
      <c r="L334" s="1637" t="s">
        <v>1650</v>
      </c>
      <c r="M334" s="1638">
        <v>5.2531000000000001E-2</v>
      </c>
      <c r="N334" s="1639">
        <v>1.121837429300881</v>
      </c>
      <c r="O334" s="1639">
        <v>1.121837429300881</v>
      </c>
    </row>
    <row r="335" spans="2:15">
      <c r="B335" s="1457">
        <v>42614</v>
      </c>
      <c r="C335" s="1458">
        <v>656.89400000000001</v>
      </c>
      <c r="D335" s="1458">
        <v>4740.53</v>
      </c>
      <c r="E335" s="1458">
        <v>1.0110896528780247</v>
      </c>
      <c r="F335" s="1458">
        <v>46.009137372582884</v>
      </c>
      <c r="K335" s="1636">
        <v>42392</v>
      </c>
      <c r="L335" s="1637"/>
      <c r="M335" s="1638">
        <v>0</v>
      </c>
      <c r="N335" s="1639">
        <v>1.121837429300881</v>
      </c>
      <c r="O335" s="1639">
        <v>1.121837429300881</v>
      </c>
    </row>
    <row r="336" spans="2:15">
      <c r="B336" s="1457">
        <v>42644</v>
      </c>
      <c r="C336" s="1458">
        <v>657.92700000000002</v>
      </c>
      <c r="D336" s="1458">
        <v>4752.8599999999997</v>
      </c>
      <c r="E336" s="1458">
        <v>1.0104884196148551</v>
      </c>
      <c r="F336" s="1458">
        <v>46.491700511464046</v>
      </c>
      <c r="K336" s="1636">
        <v>42393</v>
      </c>
      <c r="L336" s="1637"/>
      <c r="M336" s="1638">
        <v>0</v>
      </c>
      <c r="N336" s="1639">
        <v>1.121837429300881</v>
      </c>
      <c r="O336" s="1639">
        <v>1.121837429300881</v>
      </c>
    </row>
    <row r="337" spans="2:15">
      <c r="B337" s="1457">
        <v>42675</v>
      </c>
      <c r="C337" s="1458">
        <v>657.75199999999995</v>
      </c>
      <c r="D337" s="1458">
        <v>4761.42</v>
      </c>
      <c r="E337" s="1458">
        <v>1.0103828638714687</v>
      </c>
      <c r="F337" s="1458">
        <v>46.974417509027667</v>
      </c>
      <c r="K337" s="1636">
        <v>42394</v>
      </c>
      <c r="L337" s="1637" t="s">
        <v>1650</v>
      </c>
      <c r="M337" s="1638">
        <v>5.2531000000000001E-2</v>
      </c>
      <c r="N337" s="1639">
        <v>1.1224267417208671</v>
      </c>
      <c r="O337" s="1639">
        <v>1.1224267417208671</v>
      </c>
    </row>
    <row r="338" spans="2:15">
      <c r="B338" s="1457">
        <v>42705</v>
      </c>
      <c r="C338" s="1458">
        <v>661.30399999999997</v>
      </c>
      <c r="D338" s="1458">
        <v>4775.7</v>
      </c>
      <c r="E338" s="1458">
        <v>1.0112331468569866</v>
      </c>
      <c r="F338" s="1458">
        <v>47.502088039427981</v>
      </c>
      <c r="K338" s="1636">
        <v>42395</v>
      </c>
      <c r="L338" s="1637" t="s">
        <v>1650</v>
      </c>
      <c r="M338" s="1638">
        <v>5.2531000000000001E-2</v>
      </c>
      <c r="N338" s="1639">
        <v>1.1230163637125605</v>
      </c>
      <c r="O338" s="1639">
        <v>1.1230163637125605</v>
      </c>
    </row>
    <row r="339" spans="2:15">
      <c r="B339" s="1457">
        <v>42736</v>
      </c>
      <c r="C339" s="1458">
        <v>665.54200000000003</v>
      </c>
      <c r="D339" s="1458">
        <v>4793.8500000000004</v>
      </c>
      <c r="E339" s="1458">
        <v>1.0108612048503447</v>
      </c>
      <c r="F339" s="1458">
        <v>48.018017948443315</v>
      </c>
      <c r="K339" s="1636">
        <v>42396</v>
      </c>
      <c r="L339" s="1637" t="s">
        <v>1650</v>
      </c>
      <c r="M339" s="1638">
        <v>5.2531000000000001E-2</v>
      </c>
      <c r="N339" s="1639">
        <v>1.1236062954385824</v>
      </c>
      <c r="O339" s="1639">
        <v>1.1236062954385824</v>
      </c>
    </row>
    <row r="340" spans="2:15">
      <c r="B340" s="1457">
        <v>42767</v>
      </c>
      <c r="C340" s="1458">
        <v>666.09900000000005</v>
      </c>
      <c r="D340" s="1458">
        <v>4809.67</v>
      </c>
      <c r="E340" s="1458">
        <v>1.0086508422083289</v>
      </c>
      <c r="F340" s="1458">
        <v>48.433414244872004</v>
      </c>
      <c r="K340" s="1636">
        <v>42397</v>
      </c>
      <c r="L340" s="1637" t="s">
        <v>1650</v>
      </c>
      <c r="M340" s="1638">
        <v>5.2531000000000001E-2</v>
      </c>
      <c r="N340" s="1639">
        <v>1.1241965370616391</v>
      </c>
      <c r="O340" s="1639">
        <v>1.1241965370616391</v>
      </c>
    </row>
    <row r="341" spans="2:15">
      <c r="B341" s="1457">
        <v>42795</v>
      </c>
      <c r="C341" s="1458">
        <v>666.197</v>
      </c>
      <c r="D341" s="1458">
        <v>4821.6899999999996</v>
      </c>
      <c r="E341" s="1458">
        <v>1.0105205646045978</v>
      </c>
      <c r="F341" s="1458">
        <v>48.94296110845643</v>
      </c>
      <c r="K341" s="1636">
        <v>42398</v>
      </c>
      <c r="L341" s="1637" t="s">
        <v>1650</v>
      </c>
      <c r="M341" s="1638">
        <v>5.2531000000000001E-2</v>
      </c>
      <c r="N341" s="1639">
        <v>1.124787088744523</v>
      </c>
      <c r="O341" s="1639">
        <v>1.124787088744523</v>
      </c>
    </row>
    <row r="342" spans="2:15">
      <c r="B342" s="1457">
        <v>42826</v>
      </c>
      <c r="C342" s="1458">
        <v>658.89800000000002</v>
      </c>
      <c r="D342" s="1458">
        <v>4828.4399999999996</v>
      </c>
      <c r="E342" s="1458">
        <v>1.0078658059100756</v>
      </c>
      <c r="F342" s="1458">
        <v>49.327936941199923</v>
      </c>
      <c r="K342" s="1636">
        <v>42399</v>
      </c>
      <c r="L342" s="1637"/>
      <c r="M342" s="1638">
        <v>0</v>
      </c>
      <c r="N342" s="1639">
        <v>1.124787088744523</v>
      </c>
      <c r="O342" s="1639">
        <v>1.124787088744523</v>
      </c>
    </row>
    <row r="343" spans="2:15">
      <c r="B343" s="1457">
        <v>42856</v>
      </c>
      <c r="C343" s="1458">
        <v>652.75800000000004</v>
      </c>
      <c r="D343" s="1458">
        <v>4843.41</v>
      </c>
      <c r="E343" s="1458">
        <v>1.0092713189779878</v>
      </c>
      <c r="F343" s="1458">
        <v>49.785271979107854</v>
      </c>
      <c r="K343" s="1636">
        <v>42400</v>
      </c>
      <c r="L343" s="1637"/>
      <c r="M343" s="1638">
        <v>0</v>
      </c>
      <c r="N343" s="1639">
        <v>1.124787088744523</v>
      </c>
      <c r="O343" s="1639">
        <v>1.124787088744523</v>
      </c>
    </row>
    <row r="344" spans="2:15">
      <c r="B344" s="1457">
        <v>42887</v>
      </c>
      <c r="C344" s="1458">
        <v>648.40899999999999</v>
      </c>
      <c r="D344" s="1458">
        <v>4832.2700000000004</v>
      </c>
      <c r="E344" s="1458">
        <v>1.0080886926571575</v>
      </c>
      <c r="F344" s="1458">
        <v>50.187969742999854</v>
      </c>
      <c r="K344" s="1636">
        <v>42401</v>
      </c>
      <c r="L344" s="1637" t="s">
        <v>1650</v>
      </c>
      <c r="M344" s="1638">
        <v>5.2531000000000001E-2</v>
      </c>
      <c r="N344" s="1639">
        <v>1.1253779506501114</v>
      </c>
      <c r="O344" s="1639">
        <v>1.1253779506501114</v>
      </c>
    </row>
    <row r="345" spans="2:15">
      <c r="B345" s="1457">
        <v>42917</v>
      </c>
      <c r="C345" s="1458">
        <v>643.76599999999996</v>
      </c>
      <c r="D345" s="1458">
        <v>4843.87</v>
      </c>
      <c r="E345" s="1458">
        <v>1.0079792299470567</v>
      </c>
      <c r="F345" s="1458">
        <v>50.588431094155176</v>
      </c>
      <c r="K345" s="1636">
        <v>42402</v>
      </c>
      <c r="L345" s="1637" t="s">
        <v>1650</v>
      </c>
      <c r="M345" s="1638">
        <v>5.2531000000000001E-2</v>
      </c>
      <c r="N345" s="1639">
        <v>1.1259691229413673</v>
      </c>
      <c r="O345" s="1639">
        <v>1.1259691229413673</v>
      </c>
    </row>
    <row r="346" spans="2:15">
      <c r="B346" s="1457">
        <v>42948</v>
      </c>
      <c r="C346" s="1458">
        <v>644.38300000000004</v>
      </c>
      <c r="D346" s="1458">
        <v>4853.07</v>
      </c>
      <c r="E346" s="1458">
        <v>1.0080228940119034</v>
      </c>
      <c r="F346" s="1458">
        <v>50.994296715052059</v>
      </c>
      <c r="K346" s="1636">
        <v>42403</v>
      </c>
      <c r="L346" s="1637" t="s">
        <v>1650</v>
      </c>
      <c r="M346" s="1638">
        <v>5.2531000000000001E-2</v>
      </c>
      <c r="N346" s="1639">
        <v>1.1265606057813395</v>
      </c>
      <c r="O346" s="1639">
        <v>1.1265606057813395</v>
      </c>
    </row>
    <row r="347" spans="2:15">
      <c r="B347" s="1457">
        <v>42979</v>
      </c>
      <c r="C347" s="1458">
        <v>647.4</v>
      </c>
      <c r="D347" s="1458">
        <v>4860.83</v>
      </c>
      <c r="E347" s="1458">
        <v>1.0063846003708505</v>
      </c>
      <c r="F347" s="1458">
        <v>51.319874920770239</v>
      </c>
      <c r="K347" s="1636">
        <v>42404</v>
      </c>
      <c r="L347" s="1637" t="s">
        <v>1650</v>
      </c>
      <c r="M347" s="1638">
        <v>5.2531000000000001E-2</v>
      </c>
      <c r="N347" s="1639">
        <v>1.1271523993331625</v>
      </c>
      <c r="O347" s="1639">
        <v>1.1271523993331625</v>
      </c>
    </row>
    <row r="348" spans="2:15">
      <c r="B348" s="1457">
        <v>43009</v>
      </c>
      <c r="C348" s="1458">
        <v>648.67200000000003</v>
      </c>
      <c r="D348" s="1458">
        <v>4881.25</v>
      </c>
      <c r="E348" s="1458">
        <v>1.0064393014601032</v>
      </c>
      <c r="F348" s="1458">
        <v>51.650339066279869</v>
      </c>
      <c r="K348" s="1636">
        <v>42405</v>
      </c>
      <c r="L348" s="1637" t="s">
        <v>1650</v>
      </c>
      <c r="M348" s="1638">
        <v>5.2531000000000001E-2</v>
      </c>
      <c r="N348" s="1639">
        <v>1.1277445037600562</v>
      </c>
      <c r="O348" s="1639">
        <v>1.1277445037600562</v>
      </c>
    </row>
    <row r="349" spans="2:15">
      <c r="B349" s="1457">
        <v>43040</v>
      </c>
      <c r="C349" s="1458">
        <v>652.07299999999998</v>
      </c>
      <c r="D349" s="1458">
        <v>4894.92</v>
      </c>
      <c r="E349" s="1458">
        <v>1.0056818783789492</v>
      </c>
      <c r="F349" s="1458">
        <v>51.943810011085958</v>
      </c>
      <c r="K349" s="1636">
        <v>42406</v>
      </c>
      <c r="L349" s="1637"/>
      <c r="M349" s="1638">
        <v>0</v>
      </c>
      <c r="N349" s="1639">
        <v>1.1277445037600562</v>
      </c>
      <c r="O349" s="1639">
        <v>1.1277445037600562</v>
      </c>
    </row>
    <row r="350" spans="2:15">
      <c r="B350" s="1457">
        <v>43070</v>
      </c>
      <c r="C350" s="1458">
        <v>657.85900000000004</v>
      </c>
      <c r="D350" s="1458">
        <v>4916.46</v>
      </c>
      <c r="E350" s="1458">
        <v>1.0053840004998948</v>
      </c>
      <c r="F350" s="1458">
        <v>52.223475510152085</v>
      </c>
      <c r="K350" s="1636">
        <v>42407</v>
      </c>
      <c r="L350" s="1637"/>
      <c r="M350" s="1638">
        <v>0</v>
      </c>
      <c r="N350" s="1639">
        <v>1.1277445037600562</v>
      </c>
      <c r="O350" s="1639">
        <v>1.1277445037600562</v>
      </c>
    </row>
    <row r="351" spans="2:15">
      <c r="B351" s="1457">
        <v>43101</v>
      </c>
      <c r="C351" s="1458">
        <v>662.82600000000002</v>
      </c>
      <c r="D351" s="1458">
        <v>4930.72</v>
      </c>
      <c r="E351" s="1458">
        <v>1.0058420473548675</v>
      </c>
      <c r="F351" s="1458">
        <v>52.528567527118156</v>
      </c>
      <c r="K351" s="1636">
        <v>42408</v>
      </c>
      <c r="L351" s="1637"/>
      <c r="M351" s="1638">
        <v>0</v>
      </c>
      <c r="N351" s="1639">
        <v>1.1277445037600562</v>
      </c>
      <c r="O351" s="1639">
        <v>1.1277445037600562</v>
      </c>
    </row>
    <row r="352" spans="2:15">
      <c r="B352" s="1457">
        <v>43132</v>
      </c>
      <c r="C352" s="1458">
        <v>663.31100000000004</v>
      </c>
      <c r="D352" s="1458">
        <v>4946.5</v>
      </c>
      <c r="E352" s="1458">
        <v>1.0046560161193037</v>
      </c>
      <c r="F352" s="1458">
        <v>52.773141384248348</v>
      </c>
      <c r="K352" s="1636">
        <v>42409</v>
      </c>
      <c r="L352" s="1637"/>
      <c r="M352" s="1638">
        <v>0</v>
      </c>
      <c r="N352" s="1639">
        <v>1.1277445037600562</v>
      </c>
      <c r="O352" s="1639">
        <v>1.1277445037600562</v>
      </c>
    </row>
    <row r="353" spans="2:15">
      <c r="B353" s="1457">
        <v>43160</v>
      </c>
      <c r="C353" s="1458">
        <v>667.524</v>
      </c>
      <c r="D353" s="1458">
        <v>4950.95</v>
      </c>
      <c r="E353" s="1458">
        <v>1.0053234480536677</v>
      </c>
      <c r="F353" s="1458">
        <v>53.054076461036253</v>
      </c>
      <c r="K353" s="1636">
        <v>42410</v>
      </c>
      <c r="L353" s="1637" t="s">
        <v>1650</v>
      </c>
      <c r="M353" s="1638">
        <v>5.2531000000000001E-2</v>
      </c>
      <c r="N353" s="1639">
        <v>1.1283369192253263</v>
      </c>
      <c r="O353" s="1639">
        <v>1.1283369192253263</v>
      </c>
    </row>
    <row r="354" spans="2:15">
      <c r="B354" s="1457">
        <v>43191</v>
      </c>
      <c r="C354" s="1458">
        <v>671.327</v>
      </c>
      <c r="D354" s="1458">
        <v>4961.84</v>
      </c>
      <c r="E354" s="1458">
        <v>1.0051829489023658</v>
      </c>
      <c r="F354" s="1458">
        <v>53.329053028396011</v>
      </c>
      <c r="K354" s="1636">
        <v>42411</v>
      </c>
      <c r="L354" s="1637" t="s">
        <v>1650</v>
      </c>
      <c r="M354" s="1638">
        <v>5.2531000000000001E-2</v>
      </c>
      <c r="N354" s="1639">
        <v>1.1289296458923646</v>
      </c>
      <c r="O354" s="1639">
        <v>1.1289296458923646</v>
      </c>
    </row>
    <row r="355" spans="2:15">
      <c r="B355" s="1457">
        <v>43221</v>
      </c>
      <c r="C355" s="1458">
        <v>680.57899999999995</v>
      </c>
      <c r="D355" s="1458">
        <v>4981.6899999999996</v>
      </c>
      <c r="E355" s="1458">
        <v>1.0051829489023656</v>
      </c>
      <c r="F355" s="1458">
        <v>53.605454785253734</v>
      </c>
      <c r="G355" s="501"/>
      <c r="K355" s="1636">
        <v>42412</v>
      </c>
      <c r="L355" s="1637" t="s">
        <v>1650</v>
      </c>
      <c r="M355" s="1638">
        <v>5.2531000000000001E-2</v>
      </c>
      <c r="N355" s="1639">
        <v>1.1295226839246482</v>
      </c>
      <c r="O355" s="1639">
        <v>1.1295226839246482</v>
      </c>
    </row>
    <row r="356" spans="2:15">
      <c r="B356" s="1457">
        <v>43252</v>
      </c>
      <c r="C356" s="1458">
        <v>693.28700000000003</v>
      </c>
      <c r="D356" s="1458">
        <v>5044.46</v>
      </c>
      <c r="E356" s="1458">
        <v>1.0051829489023654</v>
      </c>
      <c r="F356" s="1458">
        <v>53.88328911829376</v>
      </c>
      <c r="G356" s="10"/>
      <c r="I356" s="10"/>
      <c r="K356" s="1636">
        <v>42413</v>
      </c>
      <c r="L356" s="1637"/>
      <c r="M356" s="1638">
        <v>0</v>
      </c>
      <c r="N356" s="1639">
        <v>1.1295226839246482</v>
      </c>
      <c r="O356" s="1639">
        <v>1.1295226839246482</v>
      </c>
    </row>
    <row r="357" spans="2:15">
      <c r="B357" s="1457">
        <v>43282</v>
      </c>
      <c r="C357" s="1458">
        <v>696.8</v>
      </c>
      <c r="D357" s="1458">
        <v>5061.1099999999997</v>
      </c>
      <c r="E357" s="1458">
        <v>1.0054304249443857</v>
      </c>
      <c r="F357" s="1458">
        <v>54.175898275607288</v>
      </c>
      <c r="G357" s="10"/>
      <c r="K357" s="1636">
        <v>42414</v>
      </c>
      <c r="L357" s="1637"/>
      <c r="M357" s="1638">
        <v>0</v>
      </c>
      <c r="N357" s="1639">
        <v>1.1295226839246482</v>
      </c>
      <c r="O357" s="1639">
        <v>1.1295226839246482</v>
      </c>
    </row>
    <row r="358" spans="2:15">
      <c r="B358" s="1457">
        <v>43313</v>
      </c>
      <c r="C358" s="1458">
        <v>701.67700000000002</v>
      </c>
      <c r="D358" s="1458">
        <v>5056.5600000000004</v>
      </c>
      <c r="E358" s="1458">
        <v>1.0056779619150069</v>
      </c>
      <c r="F358" s="1458">
        <v>54.483506962727475</v>
      </c>
      <c r="K358" s="1636">
        <v>42415</v>
      </c>
      <c r="L358" s="1637" t="s">
        <v>1650</v>
      </c>
      <c r="M358" s="1638">
        <v>5.2531000000000001E-2</v>
      </c>
      <c r="N358" s="1639">
        <v>1.1301160334857405</v>
      </c>
      <c r="O358" s="1639">
        <v>1.1301160334857405</v>
      </c>
    </row>
    <row r="359" spans="2:15">
      <c r="B359" s="1457">
        <v>43344</v>
      </c>
      <c r="C359" s="1458">
        <v>712.37300000000005</v>
      </c>
      <c r="D359" s="1458">
        <v>5080.83</v>
      </c>
      <c r="E359" s="1458">
        <v>1.0046881795441467</v>
      </c>
      <c r="F359" s="1458">
        <v>54.738935425563504</v>
      </c>
      <c r="K359" s="1636">
        <v>42416</v>
      </c>
      <c r="L359" s="1637" t="s">
        <v>1650</v>
      </c>
      <c r="M359" s="1638">
        <v>5.2531000000000001E-2</v>
      </c>
      <c r="N359" s="1639">
        <v>1.1307096947392909</v>
      </c>
      <c r="O359" s="1639">
        <v>1.1307096947392909</v>
      </c>
    </row>
    <row r="360" spans="2:15">
      <c r="B360" s="1457">
        <v>43374</v>
      </c>
      <c r="C360" s="1458">
        <v>718.68399999999997</v>
      </c>
      <c r="D360" s="1458">
        <v>5103.6899999999996</v>
      </c>
      <c r="E360" s="1458">
        <v>1.0054304249443855</v>
      </c>
      <c r="F360" s="1458">
        <v>55.036191105927593</v>
      </c>
      <c r="K360" s="1636">
        <v>42417</v>
      </c>
      <c r="L360" s="1637" t="s">
        <v>1650</v>
      </c>
      <c r="M360" s="1638">
        <v>5.2531000000000001E-2</v>
      </c>
      <c r="N360" s="1639">
        <v>1.1313036678490345</v>
      </c>
      <c r="O360" s="1639">
        <v>1.1313036678490345</v>
      </c>
    </row>
    <row r="361" spans="2:15">
      <c r="B361" s="1457">
        <v>43405</v>
      </c>
      <c r="C361" s="1458">
        <v>715.16600000000005</v>
      </c>
      <c r="D361" s="1458">
        <v>5092.97</v>
      </c>
      <c r="E361" s="1458">
        <v>1.0049355337739507</v>
      </c>
      <c r="F361" s="1458">
        <v>55.307824085920508</v>
      </c>
      <c r="K361" s="1636">
        <v>42418</v>
      </c>
      <c r="L361" s="1637" t="s">
        <v>1650</v>
      </c>
      <c r="M361" s="1638">
        <v>5.2531000000000001E-2</v>
      </c>
      <c r="N361" s="1639">
        <v>1.1318979529787923</v>
      </c>
      <c r="O361" s="1639">
        <v>1.1318979529787923</v>
      </c>
    </row>
    <row r="362" spans="2:15">
      <c r="B362" s="1457">
        <v>43435</v>
      </c>
      <c r="C362" s="1458">
        <v>707.44100000000003</v>
      </c>
      <c r="D362" s="1458">
        <v>5100.6099999999997</v>
      </c>
      <c r="E362" s="1458">
        <v>1.0049355337739507</v>
      </c>
      <c r="F362" s="1458">
        <v>55.580797719660296</v>
      </c>
      <c r="K362" s="1636">
        <v>42419</v>
      </c>
      <c r="L362" s="1637" t="s">
        <v>1650</v>
      </c>
      <c r="M362" s="1638">
        <v>5.2531000000000001E-2</v>
      </c>
      <c r="N362" s="1639">
        <v>1.1324925502924716</v>
      </c>
      <c r="O362" s="1639">
        <v>1.1324925502924716</v>
      </c>
    </row>
    <row r="363" spans="2:15">
      <c r="B363" s="1457">
        <v>43466</v>
      </c>
      <c r="C363" s="1458">
        <v>707.48800000000006</v>
      </c>
      <c r="D363" s="1458">
        <v>5116.93</v>
      </c>
      <c r="E363" s="1458">
        <v>1.0054304249443855</v>
      </c>
      <c r="F363" s="1458">
        <v>55.882625070025988</v>
      </c>
      <c r="K363" s="1636">
        <v>42420</v>
      </c>
      <c r="L363" s="1637"/>
      <c r="M363" s="1638">
        <v>0</v>
      </c>
      <c r="N363" s="1639">
        <v>1.1324925502924716</v>
      </c>
      <c r="O363" s="1639">
        <v>1.1324925502924716</v>
      </c>
    </row>
    <row r="364" spans="2:15">
      <c r="B364" s="1457">
        <v>43497</v>
      </c>
      <c r="C364" s="1458">
        <v>713.74699999999996</v>
      </c>
      <c r="D364" s="1458">
        <v>5138.93</v>
      </c>
      <c r="E364" s="1458">
        <v>1.0049355337739507</v>
      </c>
      <c r="F364" s="1458">
        <v>56.158435653436129</v>
      </c>
      <c r="K364" s="1636">
        <v>42421</v>
      </c>
      <c r="L364" s="1637"/>
      <c r="M364" s="1638">
        <v>0</v>
      </c>
      <c r="N364" s="1639">
        <v>1.1324925502924716</v>
      </c>
      <c r="O364" s="1639">
        <v>1.1324925502924716</v>
      </c>
    </row>
    <row r="365" spans="2:15">
      <c r="B365" s="1457">
        <v>43525</v>
      </c>
      <c r="C365" s="1458">
        <v>722.70699999999999</v>
      </c>
      <c r="D365" s="1458">
        <v>5177.47</v>
      </c>
      <c r="E365" s="1458">
        <v>1.0046881795441467</v>
      </c>
      <c r="F365" s="1458">
        <v>56.421716482697846</v>
      </c>
      <c r="K365" s="1636">
        <v>42422</v>
      </c>
      <c r="L365" s="1637" t="s">
        <v>1650</v>
      </c>
      <c r="M365" s="1638">
        <v>5.2531000000000001E-2</v>
      </c>
      <c r="N365" s="1639">
        <v>1.1330874599540657</v>
      </c>
      <c r="O365" s="1639">
        <v>1.1330874599540657</v>
      </c>
    </row>
    <row r="366" spans="2:15">
      <c r="B366" s="1457">
        <v>43556</v>
      </c>
      <c r="C366" s="1458">
        <v>729.346</v>
      </c>
      <c r="D366" s="1458">
        <v>5206.9799999999996</v>
      </c>
      <c r="E366" s="1458">
        <v>1.0051829489023654</v>
      </c>
      <c r="F366" s="1458">
        <v>56.714147356211413</v>
      </c>
      <c r="K366" s="1636">
        <v>42423</v>
      </c>
      <c r="L366" s="1637" t="s">
        <v>1650</v>
      </c>
      <c r="M366" s="1638">
        <v>5.2531000000000001E-2</v>
      </c>
      <c r="N366" s="1639">
        <v>1.1336826821276542</v>
      </c>
      <c r="O366" s="1639">
        <v>1.1336826821276542</v>
      </c>
    </row>
    <row r="367" spans="2:15">
      <c r="B367" s="1457">
        <v>43586</v>
      </c>
      <c r="C367" s="1458">
        <v>732.59500000000003</v>
      </c>
      <c r="D367" s="1458">
        <v>5213.75</v>
      </c>
      <c r="E367" s="1458">
        <v>1.0054304249443855</v>
      </c>
      <c r="F367" s="1458">
        <v>57.022129276714139</v>
      </c>
      <c r="K367" s="1636">
        <v>42424</v>
      </c>
      <c r="L367" s="1637" t="s">
        <v>1650</v>
      </c>
      <c r="M367" s="1638">
        <v>5.2531000000000001E-2</v>
      </c>
      <c r="N367" s="1639">
        <v>1.1342782169774026</v>
      </c>
      <c r="O367" s="1639">
        <v>1.1342782169774026</v>
      </c>
    </row>
    <row r="368" spans="2:15">
      <c r="B368" s="1457">
        <v>43617</v>
      </c>
      <c r="C368" s="1458">
        <v>738.42100000000005</v>
      </c>
      <c r="D368" s="1458">
        <v>5214.2700000000004</v>
      </c>
      <c r="E368" s="1458">
        <v>1.0046881795441465</v>
      </c>
      <c r="F368" s="1458">
        <v>57.289459256752906</v>
      </c>
      <c r="K368" s="1636">
        <v>42425</v>
      </c>
      <c r="L368" s="1637" t="s">
        <v>1650</v>
      </c>
      <c r="M368" s="1638">
        <v>5.2531000000000001E-2</v>
      </c>
      <c r="N368" s="1639">
        <v>1.134874064667563</v>
      </c>
      <c r="O368" s="1639">
        <v>1.134874064667563</v>
      </c>
    </row>
    <row r="369" spans="2:15">
      <c r="B369" s="1457">
        <v>43647</v>
      </c>
      <c r="C369" s="1458">
        <v>741.346</v>
      </c>
      <c r="D369" s="1458">
        <v>5224.18</v>
      </c>
      <c r="E369" s="1458">
        <v>1.0056779619150069</v>
      </c>
      <c r="F369" s="1458">
        <v>57.61474662454409</v>
      </c>
      <c r="K369" s="1636">
        <v>42426</v>
      </c>
      <c r="L369" s="1637" t="s">
        <v>1650</v>
      </c>
      <c r="M369" s="1638">
        <v>5.2531000000000001E-2</v>
      </c>
      <c r="N369" s="1639">
        <v>1.1354702253624736</v>
      </c>
      <c r="O369" s="1639">
        <v>1.1354702253624736</v>
      </c>
    </row>
    <row r="370" spans="2:15">
      <c r="B370" s="1457">
        <v>43678</v>
      </c>
      <c r="C370" s="1458">
        <v>736.40200000000004</v>
      </c>
      <c r="D370" s="1458">
        <v>5229.93</v>
      </c>
      <c r="E370" s="1458">
        <v>1.0050171948996307</v>
      </c>
      <c r="F370" s="1458">
        <v>57.903811037452265</v>
      </c>
      <c r="K370" s="1636">
        <v>42427</v>
      </c>
      <c r="L370" s="1637"/>
      <c r="M370" s="1638">
        <v>0</v>
      </c>
      <c r="N370" s="1639">
        <v>1.1354702253624736</v>
      </c>
      <c r="O370" s="1639">
        <v>1.1354702253624736</v>
      </c>
    </row>
    <row r="371" spans="2:15">
      <c r="B371" s="1457">
        <v>43709</v>
      </c>
      <c r="C371" s="1458">
        <v>736.36199999999997</v>
      </c>
      <c r="D371" s="1458">
        <v>5227.84</v>
      </c>
      <c r="E371" s="1458">
        <v>1.0046375999081099</v>
      </c>
      <c r="F371" s="1458">
        <v>58.172345746198765</v>
      </c>
      <c r="K371" s="1636">
        <v>42428</v>
      </c>
      <c r="L371" s="1637"/>
      <c r="M371" s="1638">
        <v>0</v>
      </c>
      <c r="N371" s="1639">
        <v>1.1354702253624736</v>
      </c>
      <c r="O371" s="1639">
        <v>1.1354702253624736</v>
      </c>
    </row>
    <row r="372" spans="2:15">
      <c r="B372" s="1457">
        <v>43739</v>
      </c>
      <c r="C372" s="1458">
        <v>741.33299999999997</v>
      </c>
      <c r="D372" s="1458">
        <v>5233.07</v>
      </c>
      <c r="E372" s="1458">
        <v>1.0047926409835022</v>
      </c>
      <c r="F372" s="1458">
        <v>58.451144914528456</v>
      </c>
      <c r="K372" s="1636">
        <v>42429</v>
      </c>
      <c r="L372" s="1637" t="s">
        <v>1650</v>
      </c>
      <c r="M372" s="1638">
        <v>5.2531000000000001E-2</v>
      </c>
      <c r="N372" s="1639">
        <v>1.1360666992265587</v>
      </c>
      <c r="O372" s="1639">
        <v>1.1360666992265587</v>
      </c>
    </row>
    <row r="373" spans="2:15">
      <c r="B373" s="1457">
        <v>43770</v>
      </c>
      <c r="C373" s="1458">
        <v>743.55799999999999</v>
      </c>
      <c r="D373" s="1458">
        <v>5259.76</v>
      </c>
      <c r="E373" s="1458">
        <v>1.0038038559813272</v>
      </c>
      <c r="F373" s="1458">
        <v>58.673484651727009</v>
      </c>
      <c r="K373" s="1636">
        <v>42430</v>
      </c>
      <c r="L373" s="1637" t="s">
        <v>1650</v>
      </c>
      <c r="M373" s="1638">
        <v>5.2531000000000001E-2</v>
      </c>
      <c r="N373" s="1639">
        <v>1.1366634864243295</v>
      </c>
      <c r="O373" s="1639">
        <v>1.1366634864243295</v>
      </c>
    </row>
    <row r="374" spans="2:15">
      <c r="B374" s="1457">
        <v>43800</v>
      </c>
      <c r="C374" s="1458">
        <v>759.11199999999997</v>
      </c>
      <c r="D374" s="1458">
        <v>5320.25</v>
      </c>
      <c r="E374" s="1458">
        <v>1.0037470387078873</v>
      </c>
      <c r="F374" s="1458">
        <v>58.893336469843661</v>
      </c>
      <c r="K374" s="1636">
        <v>42431</v>
      </c>
      <c r="L374" s="1637" t="s">
        <v>1650</v>
      </c>
      <c r="M374" s="1638">
        <v>5.2531000000000001E-2</v>
      </c>
      <c r="N374" s="1639">
        <v>1.1372605871203831</v>
      </c>
      <c r="O374" s="1639">
        <v>1.1372605871203831</v>
      </c>
    </row>
    <row r="375" spans="2:15">
      <c r="B375" s="1457">
        <v>43831</v>
      </c>
      <c r="C375" s="1458">
        <v>762.73299999999995</v>
      </c>
      <c r="D375" s="1458">
        <v>5331.42</v>
      </c>
      <c r="E375" s="1458">
        <v>1.00376633367529</v>
      </c>
      <c r="F375" s="1458">
        <v>59.115148426240218</v>
      </c>
      <c r="K375" s="1636">
        <v>42432</v>
      </c>
      <c r="L375" s="1637" t="s">
        <v>1650</v>
      </c>
      <c r="M375" s="1638">
        <v>5.2531000000000001E-2</v>
      </c>
      <c r="N375" s="1639">
        <v>1.1378580014794033</v>
      </c>
      <c r="O375" s="1639">
        <v>1.1378580014794033</v>
      </c>
    </row>
    <row r="376" spans="2:15">
      <c r="B376" s="1457">
        <v>43862</v>
      </c>
      <c r="C376" s="1458">
        <v>762.423</v>
      </c>
      <c r="D376" s="1458">
        <v>5344.75</v>
      </c>
      <c r="E376" s="1458">
        <v>1.0029372863155552</v>
      </c>
      <c r="F376" s="1458">
        <v>59.288786542754629</v>
      </c>
      <c r="K376" s="1636">
        <v>42433</v>
      </c>
      <c r="L376" s="1637" t="s">
        <v>1650</v>
      </c>
      <c r="M376" s="1638">
        <v>5.2531000000000001E-2</v>
      </c>
      <c r="N376" s="1639">
        <v>1.1384557296661604</v>
      </c>
      <c r="O376" s="1639">
        <v>1.1384557296661604</v>
      </c>
    </row>
    <row r="377" spans="2:15">
      <c r="B377" s="1457">
        <v>43891</v>
      </c>
      <c r="C377" s="1458">
        <v>771.90800000000002</v>
      </c>
      <c r="D377" s="1458">
        <v>5348.49</v>
      </c>
      <c r="E377" s="1458">
        <v>1.0033836914846632</v>
      </c>
      <c r="F377" s="1458">
        <v>59.489401504915364</v>
      </c>
      <c r="K377" s="1636">
        <v>42434</v>
      </c>
      <c r="L377" s="1637"/>
      <c r="M377" s="1638">
        <v>0</v>
      </c>
      <c r="N377" s="1639">
        <v>1.1384557296661604</v>
      </c>
      <c r="O377" s="1639">
        <v>1.1384557296661604</v>
      </c>
    </row>
    <row r="378" spans="2:15">
      <c r="B378" s="1457">
        <v>43922</v>
      </c>
      <c r="C378" s="1458">
        <v>778.101</v>
      </c>
      <c r="D378" s="1458">
        <v>5331.91</v>
      </c>
      <c r="E378" s="1458">
        <v>1.0028492490278405</v>
      </c>
      <c r="F378" s="1458">
        <v>59.658901624320052</v>
      </c>
      <c r="K378" s="1636">
        <v>42435</v>
      </c>
      <c r="L378" s="1637"/>
      <c r="M378" s="1638">
        <v>0</v>
      </c>
      <c r="N378" s="1639">
        <v>1.1384557296661604</v>
      </c>
      <c r="O378" s="1639">
        <v>1.1384557296661604</v>
      </c>
    </row>
    <row r="379" spans="2:15">
      <c r="B379" s="1457">
        <v>43952</v>
      </c>
      <c r="C379" s="1458">
        <v>780.28</v>
      </c>
      <c r="D379" s="1458">
        <v>5311.65</v>
      </c>
      <c r="E379" s="1458">
        <v>1.0023580961930716</v>
      </c>
      <c r="F379" s="1458">
        <v>59.799583053123193</v>
      </c>
      <c r="K379" s="1636">
        <v>42436</v>
      </c>
      <c r="L379" s="1637" t="s">
        <v>1650</v>
      </c>
      <c r="M379" s="1638">
        <v>5.2531000000000001E-2</v>
      </c>
      <c r="N379" s="1639">
        <v>1.1390537718455114</v>
      </c>
      <c r="O379" s="1639">
        <v>1.1390537718455114</v>
      </c>
    </row>
    <row r="380" spans="2:15">
      <c r="B380" s="1457">
        <v>43983</v>
      </c>
      <c r="C380" s="1458">
        <v>792.42899999999997</v>
      </c>
      <c r="D380" s="1458">
        <v>5325.46</v>
      </c>
      <c r="E380" s="1458">
        <v>1.0021233217736718</v>
      </c>
      <c r="F380" s="1458">
        <v>59.926556809876388</v>
      </c>
      <c r="K380" s="1636">
        <v>42437</v>
      </c>
      <c r="L380" s="1637" t="s">
        <v>1650</v>
      </c>
      <c r="M380" s="1638">
        <v>5.2531000000000001E-2</v>
      </c>
      <c r="N380" s="1639">
        <v>1.1396521281823995</v>
      </c>
      <c r="O380" s="1639">
        <v>1.1396521281823995</v>
      </c>
    </row>
    <row r="381" spans="2:15">
      <c r="B381" s="1457">
        <v>44013</v>
      </c>
      <c r="C381" s="1458">
        <v>810.08299999999997</v>
      </c>
      <c r="D381" s="1458">
        <v>5344.63</v>
      </c>
      <c r="E381" s="1458">
        <v>1.0019434641302636</v>
      </c>
      <c r="F381" s="1458">
        <v>60.043021923486585</v>
      </c>
      <c r="K381" s="1636">
        <v>42438</v>
      </c>
      <c r="L381" s="1637" t="s">
        <v>1650</v>
      </c>
      <c r="M381" s="1638">
        <v>5.2531000000000001E-2</v>
      </c>
      <c r="N381" s="1639">
        <v>1.1402507988418549</v>
      </c>
      <c r="O381" s="1639">
        <v>1.1402507988418549</v>
      </c>
    </row>
    <row r="382" spans="2:15">
      <c r="B382" s="1457">
        <v>44044</v>
      </c>
      <c r="C382" s="1458">
        <v>832.31299999999999</v>
      </c>
      <c r="D382" s="1458">
        <v>5357.46</v>
      </c>
      <c r="E382" s="1458">
        <v>1.0015988959789295</v>
      </c>
      <c r="F382" s="1458">
        <v>60.13902446980282</v>
      </c>
      <c r="K382" s="1636">
        <v>42439</v>
      </c>
      <c r="L382" s="1637" t="s">
        <v>1650</v>
      </c>
      <c r="M382" s="1638">
        <v>5.2531000000000001E-2</v>
      </c>
      <c r="N382" s="1639">
        <v>1.1408497839889944</v>
      </c>
      <c r="O382" s="1639">
        <v>1.1408497839889944</v>
      </c>
    </row>
    <row r="383" spans="2:15">
      <c r="B383" s="1457">
        <v>44075</v>
      </c>
      <c r="C383" s="1458">
        <v>868.44200000000001</v>
      </c>
      <c r="D383" s="1458">
        <v>5391.75</v>
      </c>
      <c r="E383" s="1458">
        <v>1.0015696620595307</v>
      </c>
      <c r="F383" s="1458">
        <v>60.233422414810256</v>
      </c>
      <c r="K383" s="1636">
        <v>42440</v>
      </c>
      <c r="L383" s="1637" t="s">
        <v>1650</v>
      </c>
      <c r="M383" s="1638">
        <v>5.2531000000000001E-2</v>
      </c>
      <c r="N383" s="1639">
        <v>1.1414490837890217</v>
      </c>
      <c r="O383" s="1639">
        <v>1.1414490837890217</v>
      </c>
    </row>
    <row r="384" spans="2:15">
      <c r="B384" s="1457">
        <v>44105</v>
      </c>
      <c r="C384" s="1458">
        <v>896.505</v>
      </c>
      <c r="D384" s="1458">
        <v>5438.12</v>
      </c>
      <c r="E384" s="1458">
        <v>1.00156966205953</v>
      </c>
      <c r="F384" s="1458">
        <v>60.327968532690427</v>
      </c>
      <c r="K384" s="1636">
        <v>42441</v>
      </c>
      <c r="L384" s="1637"/>
      <c r="M384" s="1638">
        <v>0</v>
      </c>
      <c r="N384" s="1639">
        <v>1.1414490837890217</v>
      </c>
      <c r="O384" s="1639">
        <v>1.1414490837890217</v>
      </c>
    </row>
    <row r="385" spans="2:15">
      <c r="B385" s="1457">
        <v>44136</v>
      </c>
      <c r="C385" s="1458">
        <v>925.88699999999994</v>
      </c>
      <c r="D385" s="1458">
        <v>5486.52</v>
      </c>
      <c r="E385" s="1458">
        <v>1.0014948604084073</v>
      </c>
      <c r="F385" s="1458">
        <v>60.418150424369585</v>
      </c>
      <c r="K385" s="1636">
        <v>42442</v>
      </c>
      <c r="L385" s="1637"/>
      <c r="M385" s="1638">
        <v>0</v>
      </c>
      <c r="N385" s="1639">
        <v>1.1414490837890217</v>
      </c>
      <c r="O385" s="1639">
        <v>1.1414490837890217</v>
      </c>
    </row>
    <row r="386" spans="2:15">
      <c r="B386" s="1457">
        <v>44166</v>
      </c>
      <c r="C386" s="1458">
        <v>934.75800000000004</v>
      </c>
      <c r="D386" s="1458">
        <v>5560.59</v>
      </c>
      <c r="E386" s="1458">
        <v>1.0016444692975899</v>
      </c>
      <c r="F386" s="1458">
        <v>60.517506217759632</v>
      </c>
      <c r="K386" s="1636">
        <v>42443</v>
      </c>
      <c r="L386" s="1637" t="s">
        <v>1650</v>
      </c>
      <c r="M386" s="1638">
        <v>5.2531000000000001E-2</v>
      </c>
      <c r="N386" s="1639">
        <v>1.1420486984072269</v>
      </c>
      <c r="O386" s="1639">
        <v>1.1420486984072269</v>
      </c>
    </row>
    <row r="387" spans="2:15">
      <c r="B387" s="1457">
        <v>44197</v>
      </c>
      <c r="C387" s="1458">
        <v>958.84400000000005</v>
      </c>
      <c r="D387" s="1458">
        <v>5574.49</v>
      </c>
      <c r="E387" s="1458">
        <v>1.0014948604084077</v>
      </c>
      <c r="F387" s="1458">
        <v>60.607971441820126</v>
      </c>
      <c r="K387" s="1636">
        <v>42444</v>
      </c>
      <c r="L387" s="1637" t="s">
        <v>1650</v>
      </c>
      <c r="M387" s="1638">
        <v>5.2531000000000001E-2</v>
      </c>
      <c r="N387" s="1639">
        <v>1.1426486280089871</v>
      </c>
      <c r="O387" s="1639">
        <v>1.1426486280089871</v>
      </c>
    </row>
    <row r="388" spans="2:15">
      <c r="B388" s="1457">
        <v>44228</v>
      </c>
      <c r="C388" s="1458">
        <v>983.06299999999999</v>
      </c>
      <c r="D388" s="1458">
        <v>5622.43</v>
      </c>
      <c r="E388" s="1458">
        <v>1.0013452738652961</v>
      </c>
      <c r="F388" s="1458">
        <v>60.689505761829423</v>
      </c>
      <c r="K388" s="1636">
        <v>42445</v>
      </c>
      <c r="L388" s="1637" t="s">
        <v>1650</v>
      </c>
      <c r="M388" s="1638">
        <v>5.2531000000000001E-2</v>
      </c>
      <c r="N388" s="1639">
        <v>1.1432488727597665</v>
      </c>
      <c r="O388" s="1639">
        <v>1.1432488727597665</v>
      </c>
    </row>
    <row r="389" spans="2:15">
      <c r="B389" s="1457">
        <v>44256</v>
      </c>
      <c r="C389" s="1458">
        <v>1011.948</v>
      </c>
      <c r="D389" s="1458">
        <v>5674.72</v>
      </c>
      <c r="E389" s="1458">
        <v>1.0020107988327946</v>
      </c>
      <c r="F389" s="1458">
        <v>60.811540149178192</v>
      </c>
      <c r="K389" s="1636">
        <v>42446</v>
      </c>
      <c r="L389" s="1637" t="s">
        <v>1650</v>
      </c>
      <c r="M389" s="1638">
        <v>5.2531000000000001E-2</v>
      </c>
      <c r="N389" s="1639">
        <v>1.1438494328251159</v>
      </c>
      <c r="O389" s="1639">
        <v>1.1438494328251159</v>
      </c>
    </row>
    <row r="390" spans="2:15">
      <c r="B390" s="1457">
        <v>44287</v>
      </c>
      <c r="C390" s="1458">
        <v>1027.211</v>
      </c>
      <c r="D390" s="1458">
        <v>5692.31</v>
      </c>
      <c r="E390" s="1458">
        <v>1.0020778480243349</v>
      </c>
      <c r="F390" s="1458">
        <v>60.937897287733925</v>
      </c>
      <c r="K390" s="1636">
        <v>42447</v>
      </c>
      <c r="L390" s="1637" t="s">
        <v>1650</v>
      </c>
      <c r="M390" s="1638">
        <v>5.2531000000000001E-2</v>
      </c>
      <c r="N390" s="1639">
        <v>1.1444503083706732</v>
      </c>
      <c r="O390" s="1639">
        <v>1.1444503083706732</v>
      </c>
    </row>
    <row r="391" spans="2:15">
      <c r="B391" s="1457">
        <v>44317</v>
      </c>
      <c r="C391" s="1458">
        <v>1069.289</v>
      </c>
      <c r="D391" s="1458">
        <v>5739.56</v>
      </c>
      <c r="E391" s="1458">
        <v>1.0027032626398216</v>
      </c>
      <c r="F391" s="1458">
        <v>61.102628428821141</v>
      </c>
      <c r="K391" s="1636">
        <v>42448</v>
      </c>
      <c r="L391" s="1637"/>
      <c r="M391" s="1638">
        <v>0</v>
      </c>
      <c r="N391" s="1639">
        <v>1.1444503083706732</v>
      </c>
      <c r="O391" s="1639">
        <v>1.1444503083706732</v>
      </c>
    </row>
    <row r="392" spans="2:15">
      <c r="B392" s="1457">
        <v>44348</v>
      </c>
      <c r="C392" s="1458">
        <v>1075.7329999999999</v>
      </c>
      <c r="D392" s="1458">
        <v>5769.98</v>
      </c>
      <c r="E392" s="1458">
        <v>1.0030777896833167</v>
      </c>
      <c r="F392" s="1458">
        <v>61.290689468222901</v>
      </c>
      <c r="K392" s="1636">
        <v>42449</v>
      </c>
      <c r="L392" s="1637"/>
      <c r="M392" s="1638">
        <v>0</v>
      </c>
      <c r="N392" s="1639">
        <v>1.1444503083706732</v>
      </c>
      <c r="O392" s="1639">
        <v>1.1444503083706732</v>
      </c>
    </row>
    <row r="393" spans="2:15">
      <c r="B393" s="1457">
        <v>44378</v>
      </c>
      <c r="C393" s="1458">
        <v>1084.095</v>
      </c>
      <c r="D393" s="1458">
        <v>5825.37</v>
      </c>
      <c r="E393" s="1458">
        <v>1.003556161780192</v>
      </c>
      <c r="F393" s="1458">
        <v>61.508649075591414</v>
      </c>
      <c r="K393" s="1636">
        <v>42450</v>
      </c>
      <c r="L393" s="1637" t="s">
        <v>1650</v>
      </c>
      <c r="M393" s="1638">
        <v>5.2531000000000001E-2</v>
      </c>
      <c r="N393" s="1639">
        <v>1.1450514995621635</v>
      </c>
      <c r="O393" s="1639">
        <v>1.1450514995621635</v>
      </c>
    </row>
    <row r="394" spans="2:15">
      <c r="B394" s="1457">
        <v>44409</v>
      </c>
      <c r="C394" s="1458">
        <v>1091.29</v>
      </c>
      <c r="D394" s="1458">
        <v>5876.05</v>
      </c>
      <c r="E394" s="1458">
        <v>1.0042795247734253</v>
      </c>
      <c r="F394" s="1458">
        <v>61.771876863090334</v>
      </c>
      <c r="K394" s="1636">
        <v>42451</v>
      </c>
      <c r="L394" s="1637" t="s">
        <v>1650</v>
      </c>
      <c r="M394" s="1638">
        <v>5.2531000000000001E-2</v>
      </c>
      <c r="N394" s="1639">
        <v>1.1456530065653985</v>
      </c>
      <c r="O394" s="1639">
        <v>1.1456530065653985</v>
      </c>
    </row>
    <row r="395" spans="2:15">
      <c r="B395" s="1457">
        <v>44440</v>
      </c>
      <c r="C395" s="1458">
        <v>1084.3119999999999</v>
      </c>
      <c r="D395" s="1458">
        <v>5944.21</v>
      </c>
      <c r="E395" s="1458">
        <v>1.0044199933223523</v>
      </c>
      <c r="F395" s="1458">
        <v>62.044908146334365</v>
      </c>
      <c r="K395" s="1636">
        <v>42452</v>
      </c>
      <c r="L395" s="1637" t="s">
        <v>1650</v>
      </c>
      <c r="M395" s="1638">
        <v>5.2531000000000001E-2</v>
      </c>
      <c r="N395" s="1639">
        <v>1.1462548295462773</v>
      </c>
      <c r="O395" s="1639">
        <v>1.1462548295462773</v>
      </c>
    </row>
    <row r="396" spans="2:15">
      <c r="B396" s="1457">
        <v>44470</v>
      </c>
      <c r="C396" s="1458">
        <v>1091.2829999999999</v>
      </c>
      <c r="D396" s="1458">
        <v>6018.51</v>
      </c>
      <c r="E396" s="1458">
        <v>1.0048599610251685</v>
      </c>
      <c r="F396" s="1458">
        <v>62.34644398173571</v>
      </c>
      <c r="K396" s="1636">
        <v>42453</v>
      </c>
      <c r="L396" s="1637" t="s">
        <v>1650</v>
      </c>
      <c r="M396" s="1638">
        <v>5.2531000000000001E-2</v>
      </c>
      <c r="N396" s="1639">
        <v>1.1468569686707863</v>
      </c>
      <c r="O396" s="1639">
        <v>1.1468569686707863</v>
      </c>
    </row>
    <row r="397" spans="2:15">
      <c r="B397" s="1457">
        <v>44501</v>
      </c>
      <c r="C397" s="1458">
        <v>1091.4829999999999</v>
      </c>
      <c r="D397" s="1458">
        <v>6075.69</v>
      </c>
      <c r="E397" s="1458">
        <v>1.0058674909390046</v>
      </c>
      <c r="F397" s="1458">
        <v>62.712261176877703</v>
      </c>
      <c r="K397" s="1636">
        <v>42454</v>
      </c>
      <c r="L397" s="1637"/>
      <c r="M397" s="1638">
        <v>0</v>
      </c>
      <c r="N397" s="1639">
        <v>1.1468569686707863</v>
      </c>
      <c r="O397" s="1639">
        <v>1.1468569686707863</v>
      </c>
    </row>
    <row r="398" spans="2:15">
      <c r="B398" s="1457">
        <v>44531</v>
      </c>
      <c r="C398" s="1458">
        <v>1100.9880000000001</v>
      </c>
      <c r="D398" s="1458">
        <v>6120.04</v>
      </c>
      <c r="E398" s="1458">
        <v>1.0076908308186336</v>
      </c>
      <c r="F398" s="1458">
        <v>63.194570567843037</v>
      </c>
      <c r="K398" s="1636">
        <v>42455</v>
      </c>
      <c r="L398" s="1637"/>
      <c r="M398" s="1638">
        <v>0</v>
      </c>
      <c r="N398" s="1639">
        <v>1.1468569686707863</v>
      </c>
      <c r="O398" s="1639">
        <v>1.1468569686707863</v>
      </c>
    </row>
    <row r="399" spans="2:15">
      <c r="B399" s="1457">
        <v>44562</v>
      </c>
      <c r="C399" s="1458">
        <v>1120.999</v>
      </c>
      <c r="D399" s="1458">
        <v>6153.09</v>
      </c>
      <c r="E399" s="1458">
        <v>1.0073227032460901</v>
      </c>
      <c r="F399" s="1458">
        <v>63.65732565487545</v>
      </c>
      <c r="K399" s="1636">
        <v>42456</v>
      </c>
      <c r="L399" s="1637"/>
      <c r="M399" s="1638">
        <v>0</v>
      </c>
      <c r="N399" s="1639">
        <v>1.1468569686707863</v>
      </c>
      <c r="O399" s="1639">
        <v>1.1468569686707863</v>
      </c>
    </row>
    <row r="400" spans="2:15">
      <c r="B400" s="1457">
        <v>44593</v>
      </c>
      <c r="C400" s="1458">
        <v>1141.546</v>
      </c>
      <c r="D400" s="1458">
        <v>6215.24</v>
      </c>
      <c r="E400" s="1458">
        <v>1.0075504098703885</v>
      </c>
      <c r="F400" s="1458">
        <v>64.13796455482256</v>
      </c>
      <c r="K400" s="1636">
        <v>42457</v>
      </c>
      <c r="L400" s="1637" t="s">
        <v>1650</v>
      </c>
      <c r="M400" s="1638">
        <v>5.2531000000000001E-2</v>
      </c>
      <c r="N400" s="1639">
        <v>1.1474594241049989</v>
      </c>
      <c r="O400" s="1639">
        <v>1.1474594241049989</v>
      </c>
    </row>
    <row r="401" spans="2:15">
      <c r="B401" s="1457">
        <v>44621</v>
      </c>
      <c r="C401" s="1458">
        <v>1161.4179999999999</v>
      </c>
      <c r="D401" s="1458">
        <v>6315.93</v>
      </c>
      <c r="E401" s="1458">
        <v>1.0092705386289318</v>
      </c>
      <c r="F401" s="1458">
        <v>64.732558032809095</v>
      </c>
      <c r="K401" s="1636">
        <v>42458</v>
      </c>
      <c r="L401" s="1637" t="s">
        <v>1650</v>
      </c>
      <c r="M401" s="1638">
        <v>5.2531000000000001E-2</v>
      </c>
      <c r="N401" s="1639">
        <v>1.1480621960150754</v>
      </c>
      <c r="O401" s="1639">
        <v>1.1480621960150754</v>
      </c>
    </row>
    <row r="402" spans="2:15">
      <c r="B402" s="1457">
        <v>44652</v>
      </c>
      <c r="C402" s="1458">
        <v>1177.809</v>
      </c>
      <c r="D402" s="1458">
        <v>6382.88</v>
      </c>
      <c r="E402" s="1458">
        <v>1.0083432052372134</v>
      </c>
      <c r="F402" s="1458">
        <v>65.272635050006656</v>
      </c>
      <c r="K402" s="1636">
        <v>42459</v>
      </c>
      <c r="L402" s="1637" t="s">
        <v>1650</v>
      </c>
      <c r="M402" s="1638">
        <v>5.2531000000000001E-2</v>
      </c>
      <c r="N402" s="1639">
        <v>1.148665284567264</v>
      </c>
      <c r="O402" s="1639">
        <v>1.148665284567264</v>
      </c>
    </row>
    <row r="403" spans="2:15">
      <c r="B403" s="1457">
        <v>44682</v>
      </c>
      <c r="C403" s="1458">
        <v>1183.953</v>
      </c>
      <c r="D403" s="1458">
        <v>6412.88</v>
      </c>
      <c r="E403" s="1458">
        <v>1.0103459230153136</v>
      </c>
      <c r="F403" s="1458">
        <v>65.947940707240676</v>
      </c>
      <c r="K403" s="1636">
        <v>42460</v>
      </c>
      <c r="L403" s="1637" t="s">
        <v>1650</v>
      </c>
      <c r="M403" s="1638">
        <v>5.2531000000000001E-2</v>
      </c>
      <c r="N403" s="1639">
        <v>1.1492686899279001</v>
      </c>
      <c r="O403" s="1639">
        <v>1.1492686899279001</v>
      </c>
    </row>
    <row r="404" spans="2:15">
      <c r="B404" s="1457">
        <v>44713</v>
      </c>
      <c r="C404" s="1458">
        <v>1190.8820000000001</v>
      </c>
      <c r="D404" s="1458">
        <v>6455.85</v>
      </c>
      <c r="E404" s="1458">
        <v>1.0101531560893695</v>
      </c>
      <c r="F404" s="1458">
        <v>66.617520443013774</v>
      </c>
      <c r="K404" s="1636">
        <v>42461</v>
      </c>
      <c r="L404" s="1637" t="s">
        <v>1650</v>
      </c>
      <c r="M404" s="1638">
        <v>5.2531000000000001E-2</v>
      </c>
      <c r="N404" s="1639">
        <v>1.1498724122634061</v>
      </c>
      <c r="O404" s="1639">
        <v>1.1498724122634061</v>
      </c>
    </row>
    <row r="405" spans="2:15">
      <c r="B405" s="1457">
        <v>44743</v>
      </c>
      <c r="C405" s="1458">
        <v>1197.0638684620001</v>
      </c>
      <c r="D405" s="1458">
        <v>6491.3184399000011</v>
      </c>
      <c r="E405" s="1458">
        <v>1.0103484243492924</v>
      </c>
      <c r="F405" s="1458">
        <v>67.306906813655743</v>
      </c>
      <c r="K405" s="1636">
        <v>42462</v>
      </c>
      <c r="L405" s="1637"/>
      <c r="M405" s="1638">
        <v>0</v>
      </c>
      <c r="N405" s="1639">
        <v>1.1498724122634061</v>
      </c>
      <c r="O405" s="1639">
        <v>1.1498724122634061</v>
      </c>
    </row>
    <row r="406" spans="2:15">
      <c r="B406" s="1457">
        <v>44774</v>
      </c>
      <c r="C406" s="1458">
        <v>1203.249097470343</v>
      </c>
      <c r="D406" s="1458">
        <v>6514.7391168311606</v>
      </c>
      <c r="E406" s="1458">
        <v>1.0113395564141356</v>
      </c>
      <c r="F406" s="1458">
        <v>68.070137280530162</v>
      </c>
      <c r="K406" s="1636">
        <v>42463</v>
      </c>
      <c r="L406" s="1637"/>
      <c r="M406" s="1638">
        <v>0</v>
      </c>
      <c r="N406" s="1639">
        <v>1.1498724122634061</v>
      </c>
      <c r="O406" s="1639">
        <v>1.1498724122634061</v>
      </c>
    </row>
    <row r="407" spans="2:15">
      <c r="B407" s="1457">
        <v>44805</v>
      </c>
      <c r="C407" s="1458">
        <v>1210.3554866400029</v>
      </c>
      <c r="D407" s="1458">
        <v>6541.5407535578033</v>
      </c>
      <c r="E407" s="1458">
        <v>1.0103484243492922</v>
      </c>
      <c r="F407" s="1458">
        <v>68.774555946623664</v>
      </c>
      <c r="K407" s="1636">
        <v>42464</v>
      </c>
      <c r="L407" s="1637" t="s">
        <v>1650</v>
      </c>
      <c r="M407" s="1638">
        <v>5.2531000000000001E-2</v>
      </c>
      <c r="N407" s="1639">
        <v>1.1504764517402921</v>
      </c>
      <c r="O407" s="1639">
        <v>1.1504764517402921</v>
      </c>
    </row>
    <row r="408" spans="2:15">
      <c r="B408" s="1457">
        <v>44835</v>
      </c>
      <c r="C408" s="1458">
        <v>1217.5885710281636</v>
      </c>
      <c r="D408" s="1458">
        <v>6571.7430472169799</v>
      </c>
      <c r="E408" s="1458">
        <v>1.0098532226245143</v>
      </c>
      <c r="F408" s="1458">
        <v>69.452206957267862</v>
      </c>
      <c r="K408" s="1636">
        <v>42465</v>
      </c>
      <c r="L408" s="1637" t="s">
        <v>1650</v>
      </c>
      <c r="M408" s="1638">
        <v>5.2531000000000001E-2</v>
      </c>
      <c r="N408" s="1639">
        <v>1.1510808085251558</v>
      </c>
      <c r="O408" s="1639">
        <v>1.1510808085251558</v>
      </c>
    </row>
    <row r="409" spans="2:15">
      <c r="B409" s="1457">
        <v>44866</v>
      </c>
      <c r="C409" s="1458">
        <v>1224.992727128586</v>
      </c>
      <c r="D409" s="1458">
        <v>6602.2359349560666</v>
      </c>
      <c r="E409" s="1458">
        <v>1.0098532226245134</v>
      </c>
      <c r="F409" s="1458">
        <v>70.136535014181604</v>
      </c>
      <c r="K409" s="1636">
        <v>42466</v>
      </c>
      <c r="L409" s="1637" t="s">
        <v>1650</v>
      </c>
      <c r="M409" s="1638">
        <v>5.2531000000000001E-2</v>
      </c>
      <c r="N409" s="1639">
        <v>1.1516854827846821</v>
      </c>
      <c r="O409" s="1639">
        <v>1.1516854827846821</v>
      </c>
    </row>
    <row r="410" spans="2:15">
      <c r="B410" s="1457">
        <v>44896</v>
      </c>
      <c r="C410" s="1458">
        <v>1232.3194086295421</v>
      </c>
      <c r="D410" s="1458">
        <v>6643.9422593571835</v>
      </c>
      <c r="E410" s="1458">
        <v>1.0108438689061403</v>
      </c>
      <c r="F410" s="1458">
        <v>70.897086405406313</v>
      </c>
      <c r="K410" s="1636">
        <v>42467</v>
      </c>
      <c r="L410" s="1637" t="s">
        <v>1650</v>
      </c>
      <c r="M410" s="1638">
        <v>5.2531000000000001E-2</v>
      </c>
      <c r="N410" s="1639">
        <v>1.1522904746856437</v>
      </c>
      <c r="O410" s="1639">
        <v>1.1522904746856437</v>
      </c>
    </row>
    <row r="411" spans="2:15">
      <c r="B411" s="1457">
        <v>44927</v>
      </c>
      <c r="C411" s="1458">
        <v>1238.1470471129512</v>
      </c>
      <c r="D411" s="1458">
        <v>6675.3880380707214</v>
      </c>
      <c r="E411" s="1458">
        <v>1.0108438689061405</v>
      </c>
      <c r="F411" s="1458">
        <v>71.665885116213857</v>
      </c>
      <c r="K411" s="1636">
        <v>42468</v>
      </c>
      <c r="L411" s="1637" t="s">
        <v>1650</v>
      </c>
      <c r="M411" s="1638">
        <v>5.2531000000000001E-2</v>
      </c>
      <c r="N411" s="1639">
        <v>1.1528957843949008</v>
      </c>
      <c r="O411" s="1639">
        <v>1.1528957843949008</v>
      </c>
    </row>
    <row r="412" spans="2:15">
      <c r="B412" s="1457">
        <v>44958</v>
      </c>
      <c r="C412" s="1458">
        <v>1242.8891503033938</v>
      </c>
      <c r="D412" s="1458">
        <v>6708.8651090816456</v>
      </c>
      <c r="E412" s="1458">
        <v>1.0088635471951473</v>
      </c>
      <c r="F412" s="1458">
        <v>72.301099071223419</v>
      </c>
      <c r="K412" s="1636">
        <v>42469</v>
      </c>
      <c r="L412" s="1637"/>
      <c r="M412" s="1638">
        <v>0</v>
      </c>
      <c r="N412" s="1639">
        <v>1.1528957843949008</v>
      </c>
      <c r="O412" s="1639">
        <v>1.1528957843949008</v>
      </c>
    </row>
    <row r="413" spans="2:15">
      <c r="B413" s="1457">
        <v>44986</v>
      </c>
      <c r="C413" s="1458">
        <v>1247.4530392633078</v>
      </c>
      <c r="D413" s="1458">
        <v>6733.7617075014477</v>
      </c>
      <c r="E413" s="1458">
        <v>1.0113395564141363</v>
      </c>
      <c r="F413" s="1458">
        <v>73.120961462945615</v>
      </c>
      <c r="K413" s="1636">
        <v>42470</v>
      </c>
      <c r="L413" s="1637"/>
      <c r="M413" s="1638">
        <v>0</v>
      </c>
      <c r="N413" s="1639">
        <v>1.1528957843949008</v>
      </c>
      <c r="O413" s="1639">
        <v>1.1528957843949008</v>
      </c>
    </row>
    <row r="414" spans="2:15">
      <c r="B414" s="1457">
        <v>45017</v>
      </c>
      <c r="C414" s="1458">
        <v>1251.4698380497357</v>
      </c>
      <c r="D414" s="1458">
        <v>6758.8113010533525</v>
      </c>
      <c r="E414" s="1458">
        <v>1.0088635471951479</v>
      </c>
      <c r="F414" s="1458">
        <v>73.769072555827023</v>
      </c>
      <c r="K414" s="1636">
        <v>42471</v>
      </c>
      <c r="L414" s="1637" t="s">
        <v>1650</v>
      </c>
      <c r="M414" s="1638">
        <v>5.2531000000000001E-2</v>
      </c>
      <c r="N414" s="1639">
        <v>1.1535014120794014</v>
      </c>
      <c r="O414" s="1639">
        <v>1.1535014120794014</v>
      </c>
    </row>
    <row r="415" spans="2:15">
      <c r="B415" s="1457">
        <v>45047</v>
      </c>
      <c r="C415" s="1458">
        <v>1255.0803285325092</v>
      </c>
      <c r="D415" s="1458">
        <v>6776.8505684158645</v>
      </c>
      <c r="E415" s="1458">
        <v>1.0108438689061405</v>
      </c>
      <c r="F415" s="1458">
        <v>74.569014707949975</v>
      </c>
      <c r="K415" s="1636">
        <v>42472</v>
      </c>
      <c r="L415" s="1637" t="s">
        <v>1650</v>
      </c>
      <c r="M415" s="1638">
        <v>5.2531000000000001E-2</v>
      </c>
      <c r="N415" s="1639">
        <v>1.1541073579061809</v>
      </c>
      <c r="O415" s="1639">
        <v>1.1541073579061809</v>
      </c>
    </row>
    <row r="416" spans="2:15">
      <c r="B416" s="1457">
        <v>45078</v>
      </c>
      <c r="C416" s="1458">
        <v>1259.3250102036061</v>
      </c>
      <c r="D416" s="1458">
        <v>6793.2031088374515</v>
      </c>
      <c r="E416" s="1458">
        <v>1.010348424349292</v>
      </c>
      <c r="F416" s="1458">
        <v>75.34068651545644</v>
      </c>
      <c r="K416" s="1636">
        <v>42473</v>
      </c>
      <c r="L416" s="1637" t="s">
        <v>1650</v>
      </c>
      <c r="M416" s="1638">
        <v>5.2531000000000001E-2</v>
      </c>
      <c r="N416" s="1639">
        <v>1.1547136220423626</v>
      </c>
      <c r="O416" s="1639">
        <v>1.1547136220423626</v>
      </c>
    </row>
    <row r="417" spans="2:15">
      <c r="B417" s="1457">
        <v>45108</v>
      </c>
      <c r="C417" s="1458" t="e">
        <v>#N/A</v>
      </c>
      <c r="D417" s="1458" t="e">
        <v>#N/A</v>
      </c>
      <c r="E417" s="1458" t="e">
        <v>#N/A</v>
      </c>
      <c r="F417" s="1458" t="e">
        <f t="shared" ref="F417:F419" si="0">F416*E417</f>
        <v>#N/A</v>
      </c>
      <c r="K417" s="1636">
        <v>42474</v>
      </c>
      <c r="L417" s="1637" t="s">
        <v>1650</v>
      </c>
      <c r="M417" s="1638">
        <v>5.2531000000000001E-2</v>
      </c>
      <c r="N417" s="1639">
        <v>1.1553202046551576</v>
      </c>
      <c r="O417" s="1639">
        <v>1.1553202046551576</v>
      </c>
    </row>
    <row r="418" spans="2:15">
      <c r="B418" s="1457">
        <v>45139</v>
      </c>
      <c r="C418" s="1458" t="e">
        <v>#N/A</v>
      </c>
      <c r="D418" s="1458" t="e">
        <v>#N/A</v>
      </c>
      <c r="E418" s="1458" t="e">
        <v>#N/A</v>
      </c>
      <c r="F418" s="1458" t="e">
        <f t="shared" si="0"/>
        <v>#N/A</v>
      </c>
      <c r="K418" s="1636">
        <v>42475</v>
      </c>
      <c r="L418" s="1637" t="s">
        <v>1650</v>
      </c>
      <c r="M418" s="1638">
        <v>5.2531000000000001E-2</v>
      </c>
      <c r="N418" s="1639">
        <v>1.155927105911865</v>
      </c>
      <c r="O418" s="1639">
        <v>1.155927105911865</v>
      </c>
    </row>
    <row r="419" spans="2:15">
      <c r="B419" s="1457">
        <v>45170</v>
      </c>
      <c r="C419" s="1458" t="e">
        <v>#N/A</v>
      </c>
      <c r="D419" s="1458" t="e">
        <v>#N/A</v>
      </c>
      <c r="E419" s="1458" t="e">
        <v>#N/A</v>
      </c>
      <c r="F419" s="1458" t="e">
        <f t="shared" si="0"/>
        <v>#N/A</v>
      </c>
      <c r="K419" s="1636">
        <v>42476</v>
      </c>
      <c r="L419" s="1637"/>
      <c r="M419" s="1638">
        <v>0</v>
      </c>
      <c r="N419" s="1639">
        <v>1.155927105911865</v>
      </c>
      <c r="O419" s="1639">
        <v>1.155927105911865</v>
      </c>
    </row>
    <row r="420" spans="2:15">
      <c r="B420" s="1457">
        <v>45200</v>
      </c>
      <c r="C420" s="1458" t="e">
        <v>#N/A</v>
      </c>
      <c r="D420" s="1458" t="e">
        <v>#N/A</v>
      </c>
      <c r="E420" s="1458" t="e">
        <v>#N/A</v>
      </c>
      <c r="F420" s="1458" t="e">
        <f t="shared" ref="F420:F483" si="1">F419*E420</f>
        <v>#N/A</v>
      </c>
      <c r="K420" s="1636">
        <v>42477</v>
      </c>
      <c r="L420" s="1637"/>
      <c r="M420" s="1638">
        <v>0</v>
      </c>
      <c r="N420" s="1639">
        <v>1.155927105911865</v>
      </c>
      <c r="O420" s="1639">
        <v>1.155927105911865</v>
      </c>
    </row>
    <row r="421" spans="2:15">
      <c r="B421" s="1457">
        <v>45231</v>
      </c>
      <c r="C421" s="1458" t="e">
        <v>#N/A</v>
      </c>
      <c r="D421" s="1458" t="e">
        <v>#N/A</v>
      </c>
      <c r="E421" s="1458" t="e">
        <v>#N/A</v>
      </c>
      <c r="F421" s="1458" t="e">
        <f t="shared" si="1"/>
        <v>#N/A</v>
      </c>
      <c r="K421" s="1636">
        <v>42478</v>
      </c>
      <c r="L421" s="1637" t="s">
        <v>1650</v>
      </c>
      <c r="M421" s="1638">
        <v>5.2531000000000001E-2</v>
      </c>
      <c r="N421" s="1639">
        <v>1.1565343259798715</v>
      </c>
      <c r="O421" s="1639">
        <v>1.1565343259798715</v>
      </c>
    </row>
    <row r="422" spans="2:15">
      <c r="B422" s="1457">
        <v>45261</v>
      </c>
      <c r="C422" s="1458" t="e">
        <v>#N/A</v>
      </c>
      <c r="D422" s="1458" t="e">
        <v>#N/A</v>
      </c>
      <c r="E422" s="1458" t="e">
        <v>#N/A</v>
      </c>
      <c r="F422" s="1458" t="e">
        <f t="shared" si="1"/>
        <v>#N/A</v>
      </c>
      <c r="K422" s="1636">
        <v>42479</v>
      </c>
      <c r="L422" s="1637" t="s">
        <v>1650</v>
      </c>
      <c r="M422" s="1638">
        <v>5.2531000000000001E-2</v>
      </c>
      <c r="N422" s="1639">
        <v>1.1571418650266521</v>
      </c>
      <c r="O422" s="1639">
        <v>1.1571418650266521</v>
      </c>
    </row>
    <row r="423" spans="2:15">
      <c r="B423" s="1457">
        <v>45292</v>
      </c>
      <c r="C423" s="1458" t="e">
        <v>#N/A</v>
      </c>
      <c r="D423" s="1458" t="e">
        <v>#N/A</v>
      </c>
      <c r="E423" s="1458" t="e">
        <v>#N/A</v>
      </c>
      <c r="F423" s="1458" t="e">
        <f t="shared" si="1"/>
        <v>#N/A</v>
      </c>
      <c r="K423" s="1636">
        <v>42480</v>
      </c>
      <c r="L423" s="1637" t="s">
        <v>1650</v>
      </c>
      <c r="M423" s="1638">
        <v>5.2531000000000001E-2</v>
      </c>
      <c r="N423" s="1639">
        <v>1.1577497232197693</v>
      </c>
      <c r="O423" s="1639">
        <v>1.1577497232197693</v>
      </c>
    </row>
    <row r="424" spans="2:15">
      <c r="B424" s="1457">
        <v>45323</v>
      </c>
      <c r="C424" s="1458" t="e">
        <v>#N/A</v>
      </c>
      <c r="D424" s="1458" t="e">
        <v>#N/A</v>
      </c>
      <c r="E424" s="1458" t="e">
        <v>#N/A</v>
      </c>
      <c r="F424" s="1458" t="e">
        <f t="shared" si="1"/>
        <v>#N/A</v>
      </c>
      <c r="K424" s="1636">
        <v>42481</v>
      </c>
      <c r="L424" s="1637"/>
      <c r="M424" s="1638">
        <v>0</v>
      </c>
      <c r="N424" s="1639">
        <v>1.1577497232197693</v>
      </c>
      <c r="O424" s="1639">
        <v>1.1577497232197693</v>
      </c>
    </row>
    <row r="425" spans="2:15">
      <c r="B425" s="1457">
        <v>45352</v>
      </c>
      <c r="C425" s="1458" t="e">
        <v>#N/A</v>
      </c>
      <c r="D425" s="1458" t="e">
        <v>#N/A</v>
      </c>
      <c r="E425" s="1458" t="e">
        <v>#N/A</v>
      </c>
      <c r="F425" s="1458" t="e">
        <f t="shared" si="1"/>
        <v>#N/A</v>
      </c>
      <c r="K425" s="1636">
        <v>42482</v>
      </c>
      <c r="L425" s="1637" t="s">
        <v>1650</v>
      </c>
      <c r="M425" s="1638">
        <v>5.2531000000000001E-2</v>
      </c>
      <c r="N425" s="1639">
        <v>1.1583579007268738</v>
      </c>
      <c r="O425" s="1639">
        <v>1.1583579007268738</v>
      </c>
    </row>
    <row r="426" spans="2:15">
      <c r="B426" s="1457">
        <v>45383</v>
      </c>
      <c r="C426" s="1458" t="e">
        <v>#N/A</v>
      </c>
      <c r="D426" s="1458" t="e">
        <v>#N/A</v>
      </c>
      <c r="E426" s="1458" t="e">
        <v>#N/A</v>
      </c>
      <c r="F426" s="1458" t="e">
        <f t="shared" si="1"/>
        <v>#N/A</v>
      </c>
      <c r="K426" s="1636">
        <v>42483</v>
      </c>
      <c r="L426" s="1637"/>
      <c r="M426" s="1638">
        <v>0</v>
      </c>
      <c r="N426" s="1639">
        <v>1.1583579007268738</v>
      </c>
      <c r="O426" s="1639">
        <v>1.1583579007268738</v>
      </c>
    </row>
    <row r="427" spans="2:15">
      <c r="B427" s="1457">
        <v>45413</v>
      </c>
      <c r="C427" s="1458" t="e">
        <v>#N/A</v>
      </c>
      <c r="D427" s="1458" t="e">
        <v>#N/A</v>
      </c>
      <c r="E427" s="1458" t="e">
        <v>#N/A</v>
      </c>
      <c r="F427" s="1458" t="e">
        <f t="shared" si="1"/>
        <v>#N/A</v>
      </c>
      <c r="K427" s="1636">
        <v>42484</v>
      </c>
      <c r="L427" s="1637"/>
      <c r="M427" s="1638">
        <v>0</v>
      </c>
      <c r="N427" s="1639">
        <v>1.1583579007268738</v>
      </c>
      <c r="O427" s="1639">
        <v>1.1583579007268738</v>
      </c>
    </row>
    <row r="428" spans="2:15">
      <c r="B428" s="1457">
        <v>45444</v>
      </c>
      <c r="C428" s="1458" t="e">
        <v>#N/A</v>
      </c>
      <c r="D428" s="1458" t="e">
        <v>#N/A</v>
      </c>
      <c r="E428" s="1458" t="e">
        <v>#N/A</v>
      </c>
      <c r="F428" s="1458" t="e">
        <f t="shared" si="1"/>
        <v>#N/A</v>
      </c>
      <c r="K428" s="1636">
        <v>42485</v>
      </c>
      <c r="L428" s="1637" t="s">
        <v>1650</v>
      </c>
      <c r="M428" s="1638">
        <v>5.2531000000000001E-2</v>
      </c>
      <c r="N428" s="1639">
        <v>1.1589663977157048</v>
      </c>
      <c r="O428" s="1639">
        <v>1.1589663977157048</v>
      </c>
    </row>
    <row r="429" spans="2:15">
      <c r="B429" s="1457">
        <v>45474</v>
      </c>
      <c r="C429" s="1458" t="e">
        <v>#N/A</v>
      </c>
      <c r="D429" s="1458" t="e">
        <v>#N/A</v>
      </c>
      <c r="E429" s="1458" t="e">
        <v>#N/A</v>
      </c>
      <c r="F429" s="1458" t="e">
        <f t="shared" si="1"/>
        <v>#N/A</v>
      </c>
      <c r="K429" s="1636">
        <v>42486</v>
      </c>
      <c r="L429" s="1637" t="s">
        <v>1650</v>
      </c>
      <c r="M429" s="1638">
        <v>5.2531000000000001E-2</v>
      </c>
      <c r="N429" s="1639">
        <v>1.1595752143540887</v>
      </c>
      <c r="O429" s="1639">
        <v>1.1595752143540887</v>
      </c>
    </row>
    <row r="430" spans="2:15">
      <c r="B430" s="1457">
        <v>45505</v>
      </c>
      <c r="C430" s="1458" t="e">
        <v>#N/A</v>
      </c>
      <c r="D430" s="1458" t="e">
        <v>#N/A</v>
      </c>
      <c r="E430" s="1458" t="e">
        <v>#N/A</v>
      </c>
      <c r="F430" s="1458" t="e">
        <f t="shared" si="1"/>
        <v>#N/A</v>
      </c>
      <c r="K430" s="1636">
        <v>42487</v>
      </c>
      <c r="L430" s="1637" t="s">
        <v>1650</v>
      </c>
      <c r="M430" s="1638">
        <v>5.2531000000000001E-2</v>
      </c>
      <c r="N430" s="1639">
        <v>1.160184350809941</v>
      </c>
      <c r="O430" s="1639">
        <v>1.160184350809941</v>
      </c>
    </row>
    <row r="431" spans="2:15">
      <c r="B431" s="1457">
        <v>45536</v>
      </c>
      <c r="C431" s="1458" t="e">
        <v>#N/A</v>
      </c>
      <c r="D431" s="1458" t="e">
        <v>#N/A</v>
      </c>
      <c r="E431" s="1458" t="e">
        <v>#N/A</v>
      </c>
      <c r="F431" s="1458" t="e">
        <f t="shared" si="1"/>
        <v>#N/A</v>
      </c>
      <c r="K431" s="1636">
        <v>42488</v>
      </c>
      <c r="L431" s="1637" t="s">
        <v>1650</v>
      </c>
      <c r="M431" s="1638">
        <v>5.2531000000000001E-2</v>
      </c>
      <c r="N431" s="1639">
        <v>1.1607938072512649</v>
      </c>
      <c r="O431" s="1639">
        <v>1.1607938072512649</v>
      </c>
    </row>
    <row r="432" spans="2:15">
      <c r="B432" s="1457">
        <v>45566</v>
      </c>
      <c r="C432" s="1458" t="e">
        <v>#N/A</v>
      </c>
      <c r="D432" s="1458" t="e">
        <v>#N/A</v>
      </c>
      <c r="E432" s="1458" t="e">
        <v>#N/A</v>
      </c>
      <c r="F432" s="1458" t="e">
        <f t="shared" si="1"/>
        <v>#N/A</v>
      </c>
      <c r="K432" s="1636">
        <v>42489</v>
      </c>
      <c r="L432" s="1637" t="s">
        <v>1650</v>
      </c>
      <c r="M432" s="1638">
        <v>5.2531000000000001E-2</v>
      </c>
      <c r="N432" s="1639">
        <v>1.1614035838461521</v>
      </c>
      <c r="O432" s="1639">
        <v>1.1614035838461521</v>
      </c>
    </row>
    <row r="433" spans="2:15">
      <c r="B433" s="1457">
        <v>45597</v>
      </c>
      <c r="C433" s="1458" t="e">
        <v>#N/A</v>
      </c>
      <c r="D433" s="1458" t="e">
        <v>#N/A</v>
      </c>
      <c r="E433" s="1458" t="e">
        <v>#N/A</v>
      </c>
      <c r="F433" s="1458" t="e">
        <f t="shared" si="1"/>
        <v>#N/A</v>
      </c>
      <c r="K433" s="1636">
        <v>42490</v>
      </c>
      <c r="L433" s="1637"/>
      <c r="M433" s="1638">
        <v>0</v>
      </c>
      <c r="N433" s="1639">
        <v>1.1614035838461521</v>
      </c>
      <c r="O433" s="1639">
        <v>1.1614035838461521</v>
      </c>
    </row>
    <row r="434" spans="2:15">
      <c r="B434" s="1457">
        <v>45627</v>
      </c>
      <c r="C434" s="1458" t="e">
        <v>#N/A</v>
      </c>
      <c r="D434" s="1458" t="e">
        <v>#N/A</v>
      </c>
      <c r="E434" s="1458" t="e">
        <v>#N/A</v>
      </c>
      <c r="F434" s="1458" t="e">
        <f t="shared" si="1"/>
        <v>#N/A</v>
      </c>
      <c r="K434" s="1636">
        <v>42491</v>
      </c>
      <c r="L434" s="1637"/>
      <c r="M434" s="1638">
        <v>0</v>
      </c>
      <c r="N434" s="1639">
        <v>1.1614035838461521</v>
      </c>
      <c r="O434" s="1639">
        <v>1.1614035838461521</v>
      </c>
    </row>
    <row r="435" spans="2:15">
      <c r="B435" s="1457">
        <v>45658</v>
      </c>
      <c r="C435" s="1458" t="e">
        <v>#N/A</v>
      </c>
      <c r="D435" s="1458" t="e">
        <v>#N/A</v>
      </c>
      <c r="E435" s="1458" t="e">
        <v>#N/A</v>
      </c>
      <c r="F435" s="1458" t="e">
        <f t="shared" si="1"/>
        <v>#N/A</v>
      </c>
      <c r="K435" s="1636">
        <v>42492</v>
      </c>
      <c r="L435" s="1637" t="s">
        <v>1650</v>
      </c>
      <c r="M435" s="1638">
        <v>5.2531000000000001E-2</v>
      </c>
      <c r="N435" s="1639">
        <v>1.1620136807627823</v>
      </c>
      <c r="O435" s="1639">
        <v>1.1620136807627823</v>
      </c>
    </row>
    <row r="436" spans="2:15">
      <c r="B436" s="1457">
        <v>45689</v>
      </c>
      <c r="C436" s="1458" t="e">
        <v>#N/A</v>
      </c>
      <c r="D436" s="1458" t="e">
        <v>#N/A</v>
      </c>
      <c r="E436" s="1458" t="e">
        <v>#N/A</v>
      </c>
      <c r="F436" s="1458" t="e">
        <f t="shared" si="1"/>
        <v>#N/A</v>
      </c>
      <c r="K436" s="1636">
        <v>42493</v>
      </c>
      <c r="L436" s="1637" t="s">
        <v>1650</v>
      </c>
      <c r="M436" s="1638">
        <v>5.2531000000000001E-2</v>
      </c>
      <c r="N436" s="1639">
        <v>1.1626240981694238</v>
      </c>
      <c r="O436" s="1639">
        <v>1.1626240981694238</v>
      </c>
    </row>
    <row r="437" spans="2:15">
      <c r="B437" s="1457">
        <v>45717</v>
      </c>
      <c r="C437" s="1458" t="e">
        <v>#N/A</v>
      </c>
      <c r="D437" s="1458" t="e">
        <v>#N/A</v>
      </c>
      <c r="E437" s="1458" t="e">
        <v>#N/A</v>
      </c>
      <c r="F437" s="1458" t="e">
        <f t="shared" si="1"/>
        <v>#N/A</v>
      </c>
      <c r="K437" s="1636">
        <v>42494</v>
      </c>
      <c r="L437" s="1637" t="s">
        <v>1650</v>
      </c>
      <c r="M437" s="1638">
        <v>5.2531000000000001E-2</v>
      </c>
      <c r="N437" s="1639">
        <v>1.1632348362344331</v>
      </c>
      <c r="O437" s="1639">
        <v>1.1632348362344331</v>
      </c>
    </row>
    <row r="438" spans="2:15">
      <c r="B438" s="1457">
        <v>45748</v>
      </c>
      <c r="C438" s="1458" t="e">
        <v>#N/A</v>
      </c>
      <c r="D438" s="1458" t="e">
        <v>#N/A</v>
      </c>
      <c r="E438" s="1458" t="e">
        <v>#N/A</v>
      </c>
      <c r="F438" s="1458" t="e">
        <f t="shared" si="1"/>
        <v>#N/A</v>
      </c>
      <c r="K438" s="1636">
        <v>42495</v>
      </c>
      <c r="L438" s="1637" t="s">
        <v>1650</v>
      </c>
      <c r="M438" s="1638">
        <v>5.2531000000000001E-2</v>
      </c>
      <c r="N438" s="1639">
        <v>1.1638458951262554</v>
      </c>
      <c r="O438" s="1639">
        <v>1.1638458951262554</v>
      </c>
    </row>
    <row r="439" spans="2:15">
      <c r="B439" s="1457">
        <v>45778</v>
      </c>
      <c r="C439" s="1458" t="e">
        <v>#N/A</v>
      </c>
      <c r="D439" s="1458" t="e">
        <v>#N/A</v>
      </c>
      <c r="E439" s="1458" t="e">
        <v>#N/A</v>
      </c>
      <c r="F439" s="1458" t="e">
        <f t="shared" si="1"/>
        <v>#N/A</v>
      </c>
      <c r="K439" s="1636">
        <v>42496</v>
      </c>
      <c r="L439" s="1637" t="s">
        <v>1650</v>
      </c>
      <c r="M439" s="1638">
        <v>5.2531000000000001E-2</v>
      </c>
      <c r="N439" s="1639">
        <v>1.1644572750134241</v>
      </c>
      <c r="O439" s="1639">
        <v>1.1644572750134241</v>
      </c>
    </row>
    <row r="440" spans="2:15">
      <c r="B440" s="1457">
        <v>45809</v>
      </c>
      <c r="C440" s="1458" t="e">
        <v>#N/A</v>
      </c>
      <c r="D440" s="1458" t="e">
        <v>#N/A</v>
      </c>
      <c r="E440" s="1458" t="e">
        <v>#N/A</v>
      </c>
      <c r="F440" s="1458" t="e">
        <f t="shared" si="1"/>
        <v>#N/A</v>
      </c>
      <c r="K440" s="1636">
        <v>42497</v>
      </c>
      <c r="L440" s="1637"/>
      <c r="M440" s="1638">
        <v>0</v>
      </c>
      <c r="N440" s="1639">
        <v>1.1644572750134241</v>
      </c>
      <c r="O440" s="1639">
        <v>1.1644572750134241</v>
      </c>
    </row>
    <row r="441" spans="2:15">
      <c r="B441" s="1457">
        <v>45839</v>
      </c>
      <c r="C441" s="1458" t="e">
        <v>#N/A</v>
      </c>
      <c r="D441" s="1458" t="e">
        <v>#N/A</v>
      </c>
      <c r="E441" s="1458" t="e">
        <v>#N/A</v>
      </c>
      <c r="F441" s="1458" t="e">
        <f t="shared" si="1"/>
        <v>#N/A</v>
      </c>
      <c r="K441" s="1636">
        <v>42498</v>
      </c>
      <c r="L441" s="1637"/>
      <c r="M441" s="1638">
        <v>0</v>
      </c>
      <c r="N441" s="1639">
        <v>1.1644572750134241</v>
      </c>
      <c r="O441" s="1639">
        <v>1.1644572750134241</v>
      </c>
    </row>
    <row r="442" spans="2:15">
      <c r="B442" s="1457">
        <v>45870</v>
      </c>
      <c r="C442" s="1458" t="e">
        <v>#N/A</v>
      </c>
      <c r="D442" s="1458" t="e">
        <v>#N/A</v>
      </c>
      <c r="E442" s="1458" t="e">
        <v>#N/A</v>
      </c>
      <c r="F442" s="1458" t="e">
        <f t="shared" si="1"/>
        <v>#N/A</v>
      </c>
      <c r="K442" s="1636">
        <v>42499</v>
      </c>
      <c r="L442" s="1637" t="s">
        <v>1650</v>
      </c>
      <c r="M442" s="1638">
        <v>5.2531000000000001E-2</v>
      </c>
      <c r="N442" s="1639">
        <v>1.1650689760645614</v>
      </c>
      <c r="O442" s="1639">
        <v>1.1650689760645614</v>
      </c>
    </row>
    <row r="443" spans="2:15">
      <c r="B443" s="1457">
        <v>45901</v>
      </c>
      <c r="C443" s="1458" t="e">
        <v>#N/A</v>
      </c>
      <c r="D443" s="1458" t="e">
        <v>#N/A</v>
      </c>
      <c r="E443" s="1458" t="e">
        <v>#N/A</v>
      </c>
      <c r="F443" s="1458" t="e">
        <f t="shared" si="1"/>
        <v>#N/A</v>
      </c>
      <c r="K443" s="1636">
        <v>42500</v>
      </c>
      <c r="L443" s="1637" t="s">
        <v>1650</v>
      </c>
      <c r="M443" s="1638">
        <v>5.2531000000000001E-2</v>
      </c>
      <c r="N443" s="1639">
        <v>1.1656809984483778</v>
      </c>
      <c r="O443" s="1639">
        <v>1.1656809984483778</v>
      </c>
    </row>
    <row r="444" spans="2:15">
      <c r="B444" s="1457">
        <v>45931</v>
      </c>
      <c r="C444" s="1458" t="e">
        <v>#N/A</v>
      </c>
      <c r="D444" s="1458" t="e">
        <v>#N/A</v>
      </c>
      <c r="E444" s="1458" t="e">
        <v>#N/A</v>
      </c>
      <c r="F444" s="1458" t="e">
        <f t="shared" si="1"/>
        <v>#N/A</v>
      </c>
      <c r="K444" s="1636">
        <v>42501</v>
      </c>
      <c r="L444" s="1637" t="s">
        <v>1650</v>
      </c>
      <c r="M444" s="1638">
        <v>5.2531000000000001E-2</v>
      </c>
      <c r="N444" s="1639">
        <v>1.1662933423336728</v>
      </c>
      <c r="O444" s="1639">
        <v>1.1662933423336728</v>
      </c>
    </row>
    <row r="445" spans="2:15">
      <c r="B445" s="1457">
        <v>45962</v>
      </c>
      <c r="C445" s="1458" t="e">
        <v>#N/A</v>
      </c>
      <c r="D445" s="1458" t="e">
        <v>#N/A</v>
      </c>
      <c r="E445" s="1458" t="e">
        <v>#N/A</v>
      </c>
      <c r="F445" s="1458" t="e">
        <f t="shared" si="1"/>
        <v>#N/A</v>
      </c>
      <c r="K445" s="1636">
        <v>42502</v>
      </c>
      <c r="L445" s="1637" t="s">
        <v>1650</v>
      </c>
      <c r="M445" s="1638">
        <v>5.2531000000000001E-2</v>
      </c>
      <c r="N445" s="1639">
        <v>1.1669060078893341</v>
      </c>
      <c r="O445" s="1639">
        <v>1.1669060078893341</v>
      </c>
    </row>
    <row r="446" spans="2:15">
      <c r="B446" s="1457">
        <v>45992</v>
      </c>
      <c r="C446" s="1458" t="e">
        <v>#N/A</v>
      </c>
      <c r="D446" s="1458" t="e">
        <v>#N/A</v>
      </c>
      <c r="E446" s="1458" t="e">
        <v>#N/A</v>
      </c>
      <c r="F446" s="1458" t="e">
        <f t="shared" si="1"/>
        <v>#N/A</v>
      </c>
      <c r="K446" s="1636">
        <v>42503</v>
      </c>
      <c r="L446" s="1637" t="s">
        <v>1650</v>
      </c>
      <c r="M446" s="1638">
        <v>5.2531000000000001E-2</v>
      </c>
      <c r="N446" s="1639">
        <v>1.1675189952843383</v>
      </c>
      <c r="O446" s="1639">
        <v>1.1675189952843383</v>
      </c>
    </row>
    <row r="447" spans="2:15">
      <c r="B447" s="1457">
        <v>46023</v>
      </c>
      <c r="C447" s="1458" t="e">
        <v>#N/A</v>
      </c>
      <c r="D447" s="1458" t="e">
        <v>#N/A</v>
      </c>
      <c r="E447" s="1458" t="e">
        <v>#N/A</v>
      </c>
      <c r="F447" s="1458" t="e">
        <f t="shared" si="1"/>
        <v>#N/A</v>
      </c>
      <c r="K447" s="1636">
        <v>42504</v>
      </c>
      <c r="L447" s="1637"/>
      <c r="M447" s="1638">
        <v>0</v>
      </c>
      <c r="N447" s="1639">
        <v>1.1675189952843383</v>
      </c>
      <c r="O447" s="1639">
        <v>1.1675189952843383</v>
      </c>
    </row>
    <row r="448" spans="2:15">
      <c r="B448" s="1457">
        <v>46054</v>
      </c>
      <c r="C448" s="1458" t="e">
        <v>#N/A</v>
      </c>
      <c r="D448" s="1458" t="e">
        <v>#N/A</v>
      </c>
      <c r="E448" s="1458" t="e">
        <v>#N/A</v>
      </c>
      <c r="F448" s="1458" t="e">
        <f t="shared" si="1"/>
        <v>#N/A</v>
      </c>
      <c r="K448" s="1636">
        <v>42505</v>
      </c>
      <c r="L448" s="1637"/>
      <c r="M448" s="1638">
        <v>0</v>
      </c>
      <c r="N448" s="1639">
        <v>1.1675189952843383</v>
      </c>
      <c r="O448" s="1639">
        <v>1.1675189952843383</v>
      </c>
    </row>
    <row r="449" spans="2:15">
      <c r="B449" s="1457">
        <v>46082</v>
      </c>
      <c r="C449" s="1458" t="e">
        <v>#N/A</v>
      </c>
      <c r="D449" s="1458" t="e">
        <v>#N/A</v>
      </c>
      <c r="E449" s="1458" t="e">
        <v>#N/A</v>
      </c>
      <c r="F449" s="1458" t="e">
        <f t="shared" si="1"/>
        <v>#N/A</v>
      </c>
      <c r="K449" s="1636">
        <v>42506</v>
      </c>
      <c r="L449" s="1637" t="s">
        <v>1650</v>
      </c>
      <c r="M449" s="1638">
        <v>5.2531000000000001E-2</v>
      </c>
      <c r="N449" s="1639">
        <v>1.1681323046877512</v>
      </c>
      <c r="O449" s="1639">
        <v>1.1681323046877512</v>
      </c>
    </row>
    <row r="450" spans="2:15">
      <c r="B450" s="1457">
        <v>46113</v>
      </c>
      <c r="C450" s="1458" t="e">
        <v>#N/A</v>
      </c>
      <c r="D450" s="1458" t="e">
        <v>#N/A</v>
      </c>
      <c r="E450" s="1458" t="e">
        <v>#N/A</v>
      </c>
      <c r="F450" s="1458" t="e">
        <f t="shared" si="1"/>
        <v>#N/A</v>
      </c>
      <c r="K450" s="1636">
        <v>42507</v>
      </c>
      <c r="L450" s="1637" t="s">
        <v>1650</v>
      </c>
      <c r="M450" s="1638">
        <v>5.2531000000000001E-2</v>
      </c>
      <c r="N450" s="1639">
        <v>1.1687459362687267</v>
      </c>
      <c r="O450" s="1639">
        <v>1.1687459362687267</v>
      </c>
    </row>
    <row r="451" spans="2:15">
      <c r="B451" s="1457">
        <v>46143</v>
      </c>
      <c r="C451" s="1458" t="e">
        <v>#N/A</v>
      </c>
      <c r="D451" s="1458" t="e">
        <v>#N/A</v>
      </c>
      <c r="E451" s="1458" t="e">
        <v>#N/A</v>
      </c>
      <c r="F451" s="1458" t="e">
        <f t="shared" si="1"/>
        <v>#N/A</v>
      </c>
      <c r="K451" s="1636">
        <v>42508</v>
      </c>
      <c r="L451" s="1637" t="s">
        <v>1650</v>
      </c>
      <c r="M451" s="1638">
        <v>5.2531000000000001E-2</v>
      </c>
      <c r="N451" s="1639">
        <v>1.1693598901965081</v>
      </c>
      <c r="O451" s="1639">
        <v>1.1693598901965081</v>
      </c>
    </row>
    <row r="452" spans="2:15">
      <c r="B452" s="1457">
        <v>46174</v>
      </c>
      <c r="C452" s="1458" t="e">
        <v>#N/A</v>
      </c>
      <c r="D452" s="1458" t="e">
        <v>#N/A</v>
      </c>
      <c r="E452" s="1458" t="e">
        <v>#N/A</v>
      </c>
      <c r="F452" s="1458" t="e">
        <f t="shared" si="1"/>
        <v>#N/A</v>
      </c>
      <c r="K452" s="1636">
        <v>42509</v>
      </c>
      <c r="L452" s="1637" t="s">
        <v>1650</v>
      </c>
      <c r="M452" s="1638">
        <v>5.2531000000000001E-2</v>
      </c>
      <c r="N452" s="1639">
        <v>1.1699741666404273</v>
      </c>
      <c r="O452" s="1639">
        <v>1.1699741666404273</v>
      </c>
    </row>
    <row r="453" spans="2:15">
      <c r="B453" s="1457">
        <v>46204</v>
      </c>
      <c r="C453" s="1458" t="e">
        <v>#N/A</v>
      </c>
      <c r="D453" s="1458" t="e">
        <v>#N/A</v>
      </c>
      <c r="E453" s="1458" t="e">
        <v>#N/A</v>
      </c>
      <c r="F453" s="1458" t="e">
        <f t="shared" si="1"/>
        <v>#N/A</v>
      </c>
      <c r="K453" s="1636">
        <v>42510</v>
      </c>
      <c r="L453" s="1637" t="s">
        <v>1650</v>
      </c>
      <c r="M453" s="1638">
        <v>5.2531000000000001E-2</v>
      </c>
      <c r="N453" s="1639">
        <v>1.1705887657699052</v>
      </c>
      <c r="O453" s="1639">
        <v>1.1705887657699052</v>
      </c>
    </row>
    <row r="454" spans="2:15">
      <c r="B454" s="1457">
        <v>46235</v>
      </c>
      <c r="C454" s="1458" t="e">
        <v>#N/A</v>
      </c>
      <c r="D454" s="1458" t="e">
        <v>#N/A</v>
      </c>
      <c r="E454" s="1458" t="e">
        <v>#N/A</v>
      </c>
      <c r="F454" s="1458" t="e">
        <f t="shared" si="1"/>
        <v>#N/A</v>
      </c>
      <c r="K454" s="1636">
        <v>42511</v>
      </c>
      <c r="L454" s="1637"/>
      <c r="M454" s="1638">
        <v>0</v>
      </c>
      <c r="N454" s="1639">
        <v>1.1705887657699052</v>
      </c>
      <c r="O454" s="1639">
        <v>1.1705887657699052</v>
      </c>
    </row>
    <row r="455" spans="2:15">
      <c r="B455" s="1457">
        <v>46266</v>
      </c>
      <c r="C455" s="1458" t="e">
        <v>#N/A</v>
      </c>
      <c r="D455" s="1458" t="e">
        <v>#N/A</v>
      </c>
      <c r="E455" s="1458" t="e">
        <v>#N/A</v>
      </c>
      <c r="F455" s="1458" t="e">
        <f t="shared" si="1"/>
        <v>#N/A</v>
      </c>
      <c r="K455" s="1636">
        <v>42512</v>
      </c>
      <c r="L455" s="1637"/>
      <c r="M455" s="1638">
        <v>0</v>
      </c>
      <c r="N455" s="1639">
        <v>1.1705887657699052</v>
      </c>
      <c r="O455" s="1639">
        <v>1.1705887657699052</v>
      </c>
    </row>
    <row r="456" spans="2:15">
      <c r="B456" s="1457">
        <v>46296</v>
      </c>
      <c r="C456" s="1458" t="e">
        <v>#N/A</v>
      </c>
      <c r="D456" s="1458" t="e">
        <v>#N/A</v>
      </c>
      <c r="E456" s="1458" t="e">
        <v>#N/A</v>
      </c>
      <c r="F456" s="1458" t="e">
        <f t="shared" si="1"/>
        <v>#N/A</v>
      </c>
      <c r="K456" s="1636">
        <v>42513</v>
      </c>
      <c r="L456" s="1637" t="s">
        <v>1650</v>
      </c>
      <c r="M456" s="1638">
        <v>5.2531000000000001E-2</v>
      </c>
      <c r="N456" s="1639">
        <v>1.1712036877544518</v>
      </c>
      <c r="O456" s="1639">
        <v>1.1712036877544518</v>
      </c>
    </row>
    <row r="457" spans="2:15">
      <c r="B457" s="1457">
        <v>46327</v>
      </c>
      <c r="C457" s="1458" t="e">
        <v>#N/A</v>
      </c>
      <c r="D457" s="1458" t="e">
        <v>#N/A</v>
      </c>
      <c r="E457" s="1458" t="e">
        <v>#N/A</v>
      </c>
      <c r="F457" s="1458" t="e">
        <f t="shared" si="1"/>
        <v>#N/A</v>
      </c>
      <c r="K457" s="1636">
        <v>42514</v>
      </c>
      <c r="L457" s="1637" t="s">
        <v>1650</v>
      </c>
      <c r="M457" s="1638">
        <v>5.2531000000000001E-2</v>
      </c>
      <c r="N457" s="1639">
        <v>1.1718189327636661</v>
      </c>
      <c r="O457" s="1639">
        <v>1.1718189327636661</v>
      </c>
    </row>
    <row r="458" spans="2:15">
      <c r="B458" s="1457">
        <v>46357</v>
      </c>
      <c r="C458" s="1458" t="e">
        <v>#N/A</v>
      </c>
      <c r="D458" s="1458" t="e">
        <v>#N/A</v>
      </c>
      <c r="E458" s="1458" t="e">
        <v>#N/A</v>
      </c>
      <c r="F458" s="1458" t="e">
        <f t="shared" si="1"/>
        <v>#N/A</v>
      </c>
      <c r="K458" s="1636">
        <v>42515</v>
      </c>
      <c r="L458" s="1637" t="s">
        <v>1650</v>
      </c>
      <c r="M458" s="1638">
        <v>5.2531000000000001E-2</v>
      </c>
      <c r="N458" s="1639">
        <v>1.1724345009672361</v>
      </c>
      <c r="O458" s="1639">
        <v>1.1724345009672361</v>
      </c>
    </row>
    <row r="459" spans="2:15">
      <c r="B459" s="1457">
        <v>46388</v>
      </c>
      <c r="C459" s="1458" t="e">
        <v>#N/A</v>
      </c>
      <c r="D459" s="1458" t="e">
        <v>#N/A</v>
      </c>
      <c r="E459" s="1458" t="e">
        <v>#N/A</v>
      </c>
      <c r="F459" s="1458" t="e">
        <f t="shared" si="1"/>
        <v>#N/A</v>
      </c>
      <c r="K459" s="1636">
        <v>42516</v>
      </c>
      <c r="L459" s="1637"/>
      <c r="M459" s="1638">
        <v>0</v>
      </c>
      <c r="N459" s="1639">
        <v>1.1724345009672361</v>
      </c>
      <c r="O459" s="1639">
        <v>1.1724345009672361</v>
      </c>
    </row>
    <row r="460" spans="2:15">
      <c r="B460" s="1457">
        <v>46419</v>
      </c>
      <c r="C460" s="1458" t="e">
        <v>#N/A</v>
      </c>
      <c r="D460" s="1458" t="e">
        <v>#N/A</v>
      </c>
      <c r="E460" s="1458" t="e">
        <v>#N/A</v>
      </c>
      <c r="F460" s="1458" t="e">
        <f t="shared" si="1"/>
        <v>#N/A</v>
      </c>
      <c r="K460" s="1636">
        <v>42517</v>
      </c>
      <c r="L460" s="1637" t="s">
        <v>1650</v>
      </c>
      <c r="M460" s="1638">
        <v>5.2531000000000001E-2</v>
      </c>
      <c r="N460" s="1639">
        <v>1.1730503925349391</v>
      </c>
      <c r="O460" s="1639">
        <v>1.1730503925349391</v>
      </c>
    </row>
    <row r="461" spans="2:15">
      <c r="B461" s="1457">
        <v>46447</v>
      </c>
      <c r="C461" s="1458" t="e">
        <v>#N/A</v>
      </c>
      <c r="D461" s="1458" t="e">
        <v>#N/A</v>
      </c>
      <c r="E461" s="1458" t="e">
        <v>#N/A</v>
      </c>
      <c r="F461" s="1458" t="e">
        <f t="shared" si="1"/>
        <v>#N/A</v>
      </c>
      <c r="K461" s="1636">
        <v>42518</v>
      </c>
      <c r="L461" s="1637"/>
      <c r="M461" s="1638">
        <v>0</v>
      </c>
      <c r="N461" s="1639">
        <v>1.1730503925349391</v>
      </c>
      <c r="O461" s="1639">
        <v>1.1730503925349391</v>
      </c>
    </row>
    <row r="462" spans="2:15">
      <c r="B462" s="1457">
        <v>46478</v>
      </c>
      <c r="C462" s="1458" t="e">
        <v>#N/A</v>
      </c>
      <c r="D462" s="1458" t="e">
        <v>#N/A</v>
      </c>
      <c r="E462" s="1458" t="e">
        <v>#N/A</v>
      </c>
      <c r="F462" s="1458" t="e">
        <f t="shared" si="1"/>
        <v>#N/A</v>
      </c>
      <c r="K462" s="1636">
        <v>42519</v>
      </c>
      <c r="L462" s="1637"/>
      <c r="M462" s="1638">
        <v>0</v>
      </c>
      <c r="N462" s="1639">
        <v>1.1730503925349391</v>
      </c>
      <c r="O462" s="1639">
        <v>1.1730503925349391</v>
      </c>
    </row>
    <row r="463" spans="2:15">
      <c r="B463" s="1457">
        <v>46508</v>
      </c>
      <c r="C463" s="1458" t="e">
        <v>#N/A</v>
      </c>
      <c r="D463" s="1458" t="e">
        <v>#N/A</v>
      </c>
      <c r="E463" s="1458" t="e">
        <v>#N/A</v>
      </c>
      <c r="F463" s="1458" t="e">
        <f t="shared" si="1"/>
        <v>#N/A</v>
      </c>
      <c r="K463" s="1636">
        <v>42520</v>
      </c>
      <c r="L463" s="1637" t="s">
        <v>1650</v>
      </c>
      <c r="M463" s="1638">
        <v>5.2531000000000001E-2</v>
      </c>
      <c r="N463" s="1639">
        <v>1.1736666076366418</v>
      </c>
      <c r="O463" s="1639">
        <v>1.1736666076366418</v>
      </c>
    </row>
    <row r="464" spans="2:15">
      <c r="B464" s="1457">
        <v>46539</v>
      </c>
      <c r="C464" s="1458" t="e">
        <v>#N/A</v>
      </c>
      <c r="D464" s="1458" t="e">
        <v>#N/A</v>
      </c>
      <c r="E464" s="1458" t="e">
        <v>#N/A</v>
      </c>
      <c r="F464" s="1458" t="e">
        <f t="shared" si="1"/>
        <v>#N/A</v>
      </c>
      <c r="K464" s="1636">
        <v>42521</v>
      </c>
      <c r="L464" s="1637" t="s">
        <v>1650</v>
      </c>
      <c r="M464" s="1638">
        <v>5.2531000000000001E-2</v>
      </c>
      <c r="N464" s="1639">
        <v>1.1742831464422994</v>
      </c>
      <c r="O464" s="1639">
        <v>1.1742831464422994</v>
      </c>
    </row>
    <row r="465" spans="2:15">
      <c r="B465" s="1457">
        <v>46569</v>
      </c>
      <c r="C465" s="1458" t="e">
        <v>#N/A</v>
      </c>
      <c r="D465" s="1458" t="e">
        <v>#N/A</v>
      </c>
      <c r="E465" s="1458" t="e">
        <v>#N/A</v>
      </c>
      <c r="F465" s="1458" t="e">
        <f t="shared" si="1"/>
        <v>#N/A</v>
      </c>
      <c r="K465" s="1636">
        <v>42522</v>
      </c>
      <c r="L465" s="1637" t="s">
        <v>1650</v>
      </c>
      <c r="M465" s="1638">
        <v>5.2531000000000001E-2</v>
      </c>
      <c r="N465" s="1639">
        <v>1.174900009121957</v>
      </c>
      <c r="O465" s="1639">
        <v>1.174900009121957</v>
      </c>
    </row>
    <row r="466" spans="2:15">
      <c r="B466" s="1457">
        <v>46600</v>
      </c>
      <c r="C466" s="1458" t="e">
        <v>#N/A</v>
      </c>
      <c r="D466" s="1458" t="e">
        <v>#N/A</v>
      </c>
      <c r="E466" s="1458" t="e">
        <v>#N/A</v>
      </c>
      <c r="F466" s="1458" t="e">
        <f t="shared" si="1"/>
        <v>#N/A</v>
      </c>
      <c r="K466" s="1636">
        <v>42523</v>
      </c>
      <c r="L466" s="1637" t="s">
        <v>1650</v>
      </c>
      <c r="M466" s="1638">
        <v>5.2531000000000001E-2</v>
      </c>
      <c r="N466" s="1639">
        <v>1.1755171958457489</v>
      </c>
      <c r="O466" s="1639">
        <v>1.1755171958457489</v>
      </c>
    </row>
    <row r="467" spans="2:15">
      <c r="B467" s="1457">
        <v>46631</v>
      </c>
      <c r="C467" s="1458" t="e">
        <v>#N/A</v>
      </c>
      <c r="D467" s="1458" t="e">
        <v>#N/A</v>
      </c>
      <c r="E467" s="1458" t="e">
        <v>#N/A</v>
      </c>
      <c r="F467" s="1458" t="e">
        <f t="shared" si="1"/>
        <v>#N/A</v>
      </c>
      <c r="K467" s="1636">
        <v>42524</v>
      </c>
      <c r="L467" s="1637" t="s">
        <v>1650</v>
      </c>
      <c r="M467" s="1638">
        <v>5.2531000000000001E-2</v>
      </c>
      <c r="N467" s="1639">
        <v>1.1761347067838985</v>
      </c>
      <c r="O467" s="1639">
        <v>1.1761347067838985</v>
      </c>
    </row>
    <row r="468" spans="2:15">
      <c r="B468" s="1457">
        <v>46661</v>
      </c>
      <c r="C468" s="1458" t="e">
        <v>#N/A</v>
      </c>
      <c r="D468" s="1458" t="e">
        <v>#N/A</v>
      </c>
      <c r="E468" s="1458" t="e">
        <v>#N/A</v>
      </c>
      <c r="F468" s="1458" t="e">
        <f t="shared" si="1"/>
        <v>#N/A</v>
      </c>
      <c r="K468" s="1636">
        <v>42525</v>
      </c>
      <c r="L468" s="1637"/>
      <c r="M468" s="1638">
        <v>0</v>
      </c>
      <c r="N468" s="1639">
        <v>1.1761347067838985</v>
      </c>
      <c r="O468" s="1639">
        <v>1.1761347067838985</v>
      </c>
    </row>
    <row r="469" spans="2:15">
      <c r="B469" s="1457">
        <v>46692</v>
      </c>
      <c r="C469" s="1458" t="e">
        <v>#N/A</v>
      </c>
      <c r="D469" s="1458" t="e">
        <v>#N/A</v>
      </c>
      <c r="E469" s="1458" t="e">
        <v>#N/A</v>
      </c>
      <c r="F469" s="1458" t="e">
        <f t="shared" si="1"/>
        <v>#N/A</v>
      </c>
      <c r="K469" s="1636">
        <v>42526</v>
      </c>
      <c r="L469" s="1637"/>
      <c r="M469" s="1638">
        <v>0</v>
      </c>
      <c r="N469" s="1639">
        <v>1.1761347067838985</v>
      </c>
      <c r="O469" s="1639">
        <v>1.1761347067838985</v>
      </c>
    </row>
    <row r="470" spans="2:15">
      <c r="B470" s="1457">
        <v>46722</v>
      </c>
      <c r="C470" s="1458" t="e">
        <v>#N/A</v>
      </c>
      <c r="D470" s="1458" t="e">
        <v>#N/A</v>
      </c>
      <c r="E470" s="1458" t="e">
        <v>#N/A</v>
      </c>
      <c r="F470" s="1458" t="e">
        <f t="shared" si="1"/>
        <v>#N/A</v>
      </c>
      <c r="K470" s="1636">
        <v>42527</v>
      </c>
      <c r="L470" s="1637" t="s">
        <v>1650</v>
      </c>
      <c r="M470" s="1638">
        <v>5.2531000000000001E-2</v>
      </c>
      <c r="N470" s="1639">
        <v>1.1767525421067191</v>
      </c>
      <c r="O470" s="1639">
        <v>1.1767525421067191</v>
      </c>
    </row>
    <row r="471" spans="2:15">
      <c r="B471" s="1457">
        <v>46753</v>
      </c>
      <c r="C471" s="1458" t="e">
        <v>#N/A</v>
      </c>
      <c r="D471" s="1458" t="e">
        <v>#N/A</v>
      </c>
      <c r="E471" s="1458" t="e">
        <v>#N/A</v>
      </c>
      <c r="F471" s="1458" t="e">
        <f t="shared" si="1"/>
        <v>#N/A</v>
      </c>
      <c r="K471" s="1636">
        <v>42528</v>
      </c>
      <c r="L471" s="1637" t="s">
        <v>1650</v>
      </c>
      <c r="M471" s="1638">
        <v>5.2531000000000001E-2</v>
      </c>
      <c r="N471" s="1639">
        <v>1.1773707019846131</v>
      </c>
      <c r="O471" s="1639">
        <v>1.1773707019846131</v>
      </c>
    </row>
    <row r="472" spans="2:15">
      <c r="B472" s="1457">
        <v>46784</v>
      </c>
      <c r="C472" s="1458" t="e">
        <v>#N/A</v>
      </c>
      <c r="D472" s="1458" t="e">
        <v>#N/A</v>
      </c>
      <c r="E472" s="1458" t="e">
        <v>#N/A</v>
      </c>
      <c r="F472" s="1458" t="e">
        <f t="shared" si="1"/>
        <v>#N/A</v>
      </c>
      <c r="K472" s="1636">
        <v>42529</v>
      </c>
      <c r="L472" s="1637" t="s">
        <v>1650</v>
      </c>
      <c r="M472" s="1638">
        <v>5.2531000000000001E-2</v>
      </c>
      <c r="N472" s="1639">
        <v>1.1779891865880727</v>
      </c>
      <c r="O472" s="1639">
        <v>1.1779891865880727</v>
      </c>
    </row>
    <row r="473" spans="2:15">
      <c r="B473" s="1457">
        <v>46813</v>
      </c>
      <c r="C473" s="1458" t="e">
        <v>#N/A</v>
      </c>
      <c r="D473" s="1458" t="e">
        <v>#N/A</v>
      </c>
      <c r="E473" s="1458" t="e">
        <v>#N/A</v>
      </c>
      <c r="F473" s="1458" t="e">
        <f t="shared" si="1"/>
        <v>#N/A</v>
      </c>
      <c r="K473" s="1636">
        <v>42530</v>
      </c>
      <c r="L473" s="1637" t="s">
        <v>1650</v>
      </c>
      <c r="M473" s="1638">
        <v>5.2531000000000001E-2</v>
      </c>
      <c r="N473" s="1639">
        <v>1.1786079960876794</v>
      </c>
      <c r="O473" s="1639">
        <v>1.1786079960876794</v>
      </c>
    </row>
    <row r="474" spans="2:15">
      <c r="B474" s="1457">
        <v>46844</v>
      </c>
      <c r="C474" s="1458" t="e">
        <v>#N/A</v>
      </c>
      <c r="D474" s="1458" t="e">
        <v>#N/A</v>
      </c>
      <c r="E474" s="1458" t="e">
        <v>#N/A</v>
      </c>
      <c r="F474" s="1458" t="e">
        <f t="shared" si="1"/>
        <v>#N/A</v>
      </c>
      <c r="K474" s="1636">
        <v>42531</v>
      </c>
      <c r="L474" s="1637" t="s">
        <v>1650</v>
      </c>
      <c r="M474" s="1638">
        <v>5.2531000000000001E-2</v>
      </c>
      <c r="N474" s="1639">
        <v>1.1792271306541042</v>
      </c>
      <c r="O474" s="1639">
        <v>1.1792271306541042</v>
      </c>
    </row>
    <row r="475" spans="2:15">
      <c r="B475" s="1457">
        <v>46874</v>
      </c>
      <c r="C475" s="1458" t="e">
        <v>#N/A</v>
      </c>
      <c r="D475" s="1458" t="e">
        <v>#N/A</v>
      </c>
      <c r="E475" s="1458" t="e">
        <v>#N/A</v>
      </c>
      <c r="F475" s="1458" t="e">
        <f t="shared" si="1"/>
        <v>#N/A</v>
      </c>
      <c r="K475" s="1636">
        <v>42532</v>
      </c>
      <c r="L475" s="1637"/>
      <c r="M475" s="1638">
        <v>0</v>
      </c>
      <c r="N475" s="1639">
        <v>1.1792271306541042</v>
      </c>
      <c r="O475" s="1639">
        <v>1.1792271306541042</v>
      </c>
    </row>
    <row r="476" spans="2:15">
      <c r="B476" s="1457">
        <v>46905</v>
      </c>
      <c r="C476" s="1458" t="e">
        <v>#N/A</v>
      </c>
      <c r="D476" s="1458" t="e">
        <v>#N/A</v>
      </c>
      <c r="E476" s="1458" t="e">
        <v>#N/A</v>
      </c>
      <c r="F476" s="1458" t="e">
        <f t="shared" si="1"/>
        <v>#N/A</v>
      </c>
      <c r="K476" s="1636">
        <v>42533</v>
      </c>
      <c r="L476" s="1637"/>
      <c r="M476" s="1638">
        <v>0</v>
      </c>
      <c r="N476" s="1639">
        <v>1.1792271306541042</v>
      </c>
      <c r="O476" s="1639">
        <v>1.1792271306541042</v>
      </c>
    </row>
    <row r="477" spans="2:15">
      <c r="B477" s="1457">
        <v>46935</v>
      </c>
      <c r="C477" s="1458" t="e">
        <v>#N/A</v>
      </c>
      <c r="D477" s="1458" t="e">
        <v>#N/A</v>
      </c>
      <c r="E477" s="1458" t="e">
        <v>#N/A</v>
      </c>
      <c r="F477" s="1458" t="e">
        <f t="shared" si="1"/>
        <v>#N/A</v>
      </c>
      <c r="K477" s="1636">
        <v>42534</v>
      </c>
      <c r="L477" s="1637" t="s">
        <v>1650</v>
      </c>
      <c r="M477" s="1638">
        <v>5.2531000000000001E-2</v>
      </c>
      <c r="N477" s="1639">
        <v>1.1798465904581081</v>
      </c>
      <c r="O477" s="1639">
        <v>1.1798465904581081</v>
      </c>
    </row>
    <row r="478" spans="2:15">
      <c r="B478" s="1457">
        <v>46966</v>
      </c>
      <c r="C478" s="1458" t="e">
        <v>#N/A</v>
      </c>
      <c r="D478" s="1458" t="e">
        <v>#N/A</v>
      </c>
      <c r="E478" s="1458" t="e">
        <v>#N/A</v>
      </c>
      <c r="F478" s="1458" t="e">
        <f t="shared" si="1"/>
        <v>#N/A</v>
      </c>
      <c r="K478" s="1636">
        <v>42535</v>
      </c>
      <c r="L478" s="1637" t="s">
        <v>1650</v>
      </c>
      <c r="M478" s="1638">
        <v>5.2531000000000001E-2</v>
      </c>
      <c r="N478" s="1639">
        <v>1.1804663756705416</v>
      </c>
      <c r="O478" s="1639">
        <v>1.1804663756705416</v>
      </c>
    </row>
    <row r="479" spans="2:15">
      <c r="B479" s="1457">
        <v>46997</v>
      </c>
      <c r="C479" s="1458" t="e">
        <v>#N/A</v>
      </c>
      <c r="D479" s="1458" t="e">
        <v>#N/A</v>
      </c>
      <c r="E479" s="1458" t="e">
        <v>#N/A</v>
      </c>
      <c r="F479" s="1458" t="e">
        <f t="shared" si="1"/>
        <v>#N/A</v>
      </c>
      <c r="K479" s="1636">
        <v>42536</v>
      </c>
      <c r="L479" s="1637" t="s">
        <v>1650</v>
      </c>
      <c r="M479" s="1638">
        <v>5.2531000000000001E-2</v>
      </c>
      <c r="N479" s="1639">
        <v>1.1810864864623452</v>
      </c>
      <c r="O479" s="1639">
        <v>1.1810864864623452</v>
      </c>
    </row>
    <row r="480" spans="2:15">
      <c r="B480" s="1457">
        <v>47027</v>
      </c>
      <c r="C480" s="1458" t="e">
        <v>#N/A</v>
      </c>
      <c r="D480" s="1458" t="e">
        <v>#N/A</v>
      </c>
      <c r="E480" s="1458" t="e">
        <v>#N/A</v>
      </c>
      <c r="F480" s="1458" t="e">
        <f t="shared" si="1"/>
        <v>#N/A</v>
      </c>
      <c r="K480" s="1636">
        <v>42537</v>
      </c>
      <c r="L480" s="1637" t="s">
        <v>1650</v>
      </c>
      <c r="M480" s="1638">
        <v>5.2531000000000001E-2</v>
      </c>
      <c r="N480" s="1639">
        <v>1.1817069230045487</v>
      </c>
      <c r="O480" s="1639">
        <v>1.1817069230045487</v>
      </c>
    </row>
    <row r="481" spans="2:15">
      <c r="B481" s="1457">
        <v>47058</v>
      </c>
      <c r="C481" s="1458" t="e">
        <v>#N/A</v>
      </c>
      <c r="D481" s="1458" t="e">
        <v>#N/A</v>
      </c>
      <c r="E481" s="1458" t="e">
        <v>#N/A</v>
      </c>
      <c r="F481" s="1458" t="e">
        <f t="shared" si="1"/>
        <v>#N/A</v>
      </c>
      <c r="K481" s="1636">
        <v>42538</v>
      </c>
      <c r="L481" s="1637" t="s">
        <v>1650</v>
      </c>
      <c r="M481" s="1638">
        <v>5.2531000000000001E-2</v>
      </c>
      <c r="N481" s="1639">
        <v>1.1823276854682723</v>
      </c>
      <c r="O481" s="1639">
        <v>1.1823276854682723</v>
      </c>
    </row>
    <row r="482" spans="2:15">
      <c r="B482" s="1457">
        <v>47088</v>
      </c>
      <c r="C482" s="1458" t="e">
        <v>#N/A</v>
      </c>
      <c r="D482" s="1458" t="e">
        <v>#N/A</v>
      </c>
      <c r="E482" s="1458" t="e">
        <v>#N/A</v>
      </c>
      <c r="F482" s="1458" t="e">
        <f t="shared" si="1"/>
        <v>#N/A</v>
      </c>
      <c r="K482" s="1636">
        <v>42539</v>
      </c>
      <c r="L482" s="1637"/>
      <c r="M482" s="1638">
        <v>0</v>
      </c>
      <c r="N482" s="1639">
        <v>1.1823276854682723</v>
      </c>
      <c r="O482" s="1639">
        <v>1.1823276854682723</v>
      </c>
    </row>
    <row r="483" spans="2:15">
      <c r="B483" s="1457">
        <v>47119</v>
      </c>
      <c r="C483" s="1458" t="e">
        <v>#N/A</v>
      </c>
      <c r="D483" s="1458" t="e">
        <v>#N/A</v>
      </c>
      <c r="E483" s="1458" t="e">
        <v>#N/A</v>
      </c>
      <c r="F483" s="1458" t="e">
        <f t="shared" si="1"/>
        <v>#N/A</v>
      </c>
      <c r="K483" s="1636">
        <v>42540</v>
      </c>
      <c r="L483" s="1637"/>
      <c r="M483" s="1638">
        <v>0</v>
      </c>
      <c r="N483" s="1639">
        <v>1.1823276854682723</v>
      </c>
      <c r="O483" s="1639">
        <v>1.1823276854682723</v>
      </c>
    </row>
    <row r="484" spans="2:15">
      <c r="B484" s="1457">
        <v>47150</v>
      </c>
      <c r="C484" s="1458" t="e">
        <v>#N/A</v>
      </c>
      <c r="D484" s="1458" t="e">
        <v>#N/A</v>
      </c>
      <c r="E484" s="1458" t="e">
        <v>#N/A</v>
      </c>
      <c r="F484" s="1458" t="e">
        <f t="shared" ref="F484:F500" si="2">F483*E484</f>
        <v>#N/A</v>
      </c>
      <c r="K484" s="1636">
        <v>42541</v>
      </c>
      <c r="L484" s="1637" t="s">
        <v>1650</v>
      </c>
      <c r="M484" s="1638">
        <v>5.2531000000000001E-2</v>
      </c>
      <c r="N484" s="1639">
        <v>1.1829487740247255</v>
      </c>
      <c r="O484" s="1639">
        <v>1.1829487740247255</v>
      </c>
    </row>
    <row r="485" spans="2:15">
      <c r="B485" s="1457">
        <v>47178</v>
      </c>
      <c r="C485" s="1458" t="e">
        <v>#N/A</v>
      </c>
      <c r="D485" s="1458" t="e">
        <v>#N/A</v>
      </c>
      <c r="E485" s="1458" t="e">
        <v>#N/A</v>
      </c>
      <c r="F485" s="1458" t="e">
        <f t="shared" si="2"/>
        <v>#N/A</v>
      </c>
      <c r="K485" s="1636">
        <v>42542</v>
      </c>
      <c r="L485" s="1637" t="s">
        <v>1650</v>
      </c>
      <c r="M485" s="1638">
        <v>5.2531000000000001E-2</v>
      </c>
      <c r="N485" s="1639">
        <v>1.1835701888452084</v>
      </c>
      <c r="O485" s="1639">
        <v>1.1835701888452084</v>
      </c>
    </row>
    <row r="486" spans="2:15">
      <c r="B486" s="1457">
        <v>47209</v>
      </c>
      <c r="C486" s="1458" t="e">
        <v>#N/A</v>
      </c>
      <c r="D486" s="1458" t="e">
        <v>#N/A</v>
      </c>
      <c r="E486" s="1458" t="e">
        <v>#N/A</v>
      </c>
      <c r="F486" s="1458" t="e">
        <f t="shared" si="2"/>
        <v>#N/A</v>
      </c>
      <c r="K486" s="1636">
        <v>42543</v>
      </c>
      <c r="L486" s="1637" t="s">
        <v>1650</v>
      </c>
      <c r="M486" s="1638">
        <v>5.2531000000000001E-2</v>
      </c>
      <c r="N486" s="1639">
        <v>1.1841919301011106</v>
      </c>
      <c r="O486" s="1639">
        <v>1.1841919301011106</v>
      </c>
    </row>
    <row r="487" spans="2:15">
      <c r="B487" s="1457">
        <v>47239</v>
      </c>
      <c r="C487" s="1458" t="e">
        <v>#N/A</v>
      </c>
      <c r="D487" s="1458" t="e">
        <v>#N/A</v>
      </c>
      <c r="E487" s="1458" t="e">
        <v>#N/A</v>
      </c>
      <c r="F487" s="1458" t="e">
        <f t="shared" si="2"/>
        <v>#N/A</v>
      </c>
      <c r="K487" s="1636">
        <v>42544</v>
      </c>
      <c r="L487" s="1637" t="s">
        <v>1650</v>
      </c>
      <c r="M487" s="1638">
        <v>5.2531000000000001E-2</v>
      </c>
      <c r="N487" s="1639">
        <v>1.1848139979639121</v>
      </c>
      <c r="O487" s="1639">
        <v>1.1848139979639121</v>
      </c>
    </row>
    <row r="488" spans="2:15">
      <c r="B488" s="1457">
        <v>47270</v>
      </c>
      <c r="C488" s="1458" t="e">
        <v>#N/A</v>
      </c>
      <c r="D488" s="1458" t="e">
        <v>#N/A</v>
      </c>
      <c r="E488" s="1458" t="e">
        <v>#N/A</v>
      </c>
      <c r="F488" s="1458" t="e">
        <f t="shared" si="2"/>
        <v>#N/A</v>
      </c>
      <c r="K488" s="1636">
        <v>42545</v>
      </c>
      <c r="L488" s="1637" t="s">
        <v>1650</v>
      </c>
      <c r="M488" s="1638">
        <v>5.2531000000000001E-2</v>
      </c>
      <c r="N488" s="1639">
        <v>1.1854363926051825</v>
      </c>
      <c r="O488" s="1639">
        <v>1.1854363926051825</v>
      </c>
    </row>
    <row r="489" spans="2:15">
      <c r="B489" s="1457">
        <v>47300</v>
      </c>
      <c r="C489" s="1458" t="e">
        <v>#N/A</v>
      </c>
      <c r="D489" s="1458" t="e">
        <v>#N/A</v>
      </c>
      <c r="E489" s="1458" t="e">
        <v>#N/A</v>
      </c>
      <c r="F489" s="1458" t="e">
        <f t="shared" si="2"/>
        <v>#N/A</v>
      </c>
      <c r="K489" s="1636">
        <v>42546</v>
      </c>
      <c r="L489" s="1637"/>
      <c r="M489" s="1638">
        <v>0</v>
      </c>
      <c r="N489" s="1639">
        <v>1.1854363926051825</v>
      </c>
      <c r="O489" s="1639">
        <v>1.1854363926051825</v>
      </c>
    </row>
    <row r="490" spans="2:15">
      <c r="B490" s="1457">
        <v>47331</v>
      </c>
      <c r="C490" s="1458" t="e">
        <v>#N/A</v>
      </c>
      <c r="D490" s="1458" t="e">
        <v>#N/A</v>
      </c>
      <c r="E490" s="1458" t="e">
        <v>#N/A</v>
      </c>
      <c r="F490" s="1458" t="e">
        <f t="shared" si="2"/>
        <v>#N/A</v>
      </c>
      <c r="K490" s="1636">
        <v>42547</v>
      </c>
      <c r="L490" s="1637"/>
      <c r="M490" s="1638">
        <v>0</v>
      </c>
      <c r="N490" s="1639">
        <v>1.1854363926051825</v>
      </c>
      <c r="O490" s="1639">
        <v>1.1854363926051825</v>
      </c>
    </row>
    <row r="491" spans="2:15">
      <c r="B491" s="1457">
        <v>47362</v>
      </c>
      <c r="C491" s="1458" t="e">
        <v>#N/A</v>
      </c>
      <c r="D491" s="1458" t="e">
        <v>#N/A</v>
      </c>
      <c r="E491" s="1458" t="e">
        <v>#N/A</v>
      </c>
      <c r="F491" s="1458" t="e">
        <f t="shared" si="2"/>
        <v>#N/A</v>
      </c>
      <c r="K491" s="1636">
        <v>42548</v>
      </c>
      <c r="L491" s="1637" t="s">
        <v>1650</v>
      </c>
      <c r="M491" s="1638">
        <v>5.2531000000000001E-2</v>
      </c>
      <c r="N491" s="1639">
        <v>1.1860591141965819</v>
      </c>
      <c r="O491" s="1639">
        <v>1.1860591141965819</v>
      </c>
    </row>
    <row r="492" spans="2:15">
      <c r="B492" s="1457">
        <v>47392</v>
      </c>
      <c r="C492" s="1458" t="e">
        <v>#N/A</v>
      </c>
      <c r="D492" s="1458" t="e">
        <v>#N/A</v>
      </c>
      <c r="E492" s="1458" t="e">
        <v>#N/A</v>
      </c>
      <c r="F492" s="1458" t="e">
        <f t="shared" si="2"/>
        <v>#N/A</v>
      </c>
      <c r="K492" s="1636">
        <v>42549</v>
      </c>
      <c r="L492" s="1637" t="s">
        <v>1650</v>
      </c>
      <c r="M492" s="1638">
        <v>5.2531000000000001E-2</v>
      </c>
      <c r="N492" s="1639">
        <v>1.1866821629098605</v>
      </c>
      <c r="O492" s="1639">
        <v>1.1866821629098605</v>
      </c>
    </row>
    <row r="493" spans="2:15">
      <c r="B493" s="1457">
        <v>47423</v>
      </c>
      <c r="C493" s="1458" t="e">
        <v>#N/A</v>
      </c>
      <c r="D493" s="1458" t="e">
        <v>#N/A</v>
      </c>
      <c r="E493" s="1458" t="e">
        <v>#N/A</v>
      </c>
      <c r="F493" s="1458" t="e">
        <f t="shared" si="2"/>
        <v>#N/A</v>
      </c>
      <c r="K493" s="1636">
        <v>42550</v>
      </c>
      <c r="L493" s="1637" t="s">
        <v>1650</v>
      </c>
      <c r="M493" s="1638">
        <v>5.2531000000000001E-2</v>
      </c>
      <c r="N493" s="1639">
        <v>1.1873055389168587</v>
      </c>
      <c r="O493" s="1639">
        <v>1.1873055389168587</v>
      </c>
    </row>
    <row r="494" spans="2:15">
      <c r="B494" s="1457">
        <v>47453</v>
      </c>
      <c r="C494" s="1458" t="e">
        <v>#N/A</v>
      </c>
      <c r="D494" s="1458" t="e">
        <v>#N/A</v>
      </c>
      <c r="E494" s="1458" t="e">
        <v>#N/A</v>
      </c>
      <c r="F494" s="1458" t="e">
        <f t="shared" si="2"/>
        <v>#N/A</v>
      </c>
      <c r="K494" s="1636">
        <v>42551</v>
      </c>
      <c r="L494" s="1637" t="s">
        <v>1650</v>
      </c>
      <c r="M494" s="1638">
        <v>5.2531000000000001E-2</v>
      </c>
      <c r="N494" s="1639">
        <v>1.1879292423895071</v>
      </c>
      <c r="O494" s="1639">
        <v>1.1879292423895071</v>
      </c>
    </row>
    <row r="495" spans="2:15">
      <c r="B495" s="1457">
        <v>47484</v>
      </c>
      <c r="C495" s="1458" t="e">
        <v>#N/A</v>
      </c>
      <c r="D495" s="1458" t="e">
        <v>#N/A</v>
      </c>
      <c r="E495" s="1458" t="e">
        <v>#N/A</v>
      </c>
      <c r="F495" s="1458" t="e">
        <f t="shared" si="2"/>
        <v>#N/A</v>
      </c>
      <c r="K495" s="1636">
        <v>42552</v>
      </c>
      <c r="L495" s="1637" t="s">
        <v>1650</v>
      </c>
      <c r="M495" s="1638">
        <v>5.2531000000000001E-2</v>
      </c>
      <c r="N495" s="1639">
        <v>1.1885532734998268</v>
      </c>
      <c r="O495" s="1639">
        <v>1.1885532734998268</v>
      </c>
    </row>
    <row r="496" spans="2:15">
      <c r="B496" s="1457">
        <v>47515</v>
      </c>
      <c r="C496" s="1458" t="e">
        <v>#N/A</v>
      </c>
      <c r="D496" s="1458" t="e">
        <v>#N/A</v>
      </c>
      <c r="E496" s="1458" t="e">
        <v>#N/A</v>
      </c>
      <c r="F496" s="1458" t="e">
        <f t="shared" si="2"/>
        <v>#N/A</v>
      </c>
      <c r="K496" s="1636">
        <v>42553</v>
      </c>
      <c r="L496" s="1637"/>
      <c r="M496" s="1638">
        <v>0</v>
      </c>
      <c r="N496" s="1639">
        <v>1.1885532734998268</v>
      </c>
      <c r="O496" s="1639">
        <v>1.1885532734998268</v>
      </c>
    </row>
    <row r="497" spans="2:15">
      <c r="B497" s="1457">
        <v>47543</v>
      </c>
      <c r="C497" s="1458" t="e">
        <v>#N/A</v>
      </c>
      <c r="D497" s="1458" t="e">
        <v>#N/A</v>
      </c>
      <c r="E497" s="1458" t="e">
        <v>#N/A</v>
      </c>
      <c r="F497" s="1458" t="e">
        <f t="shared" si="2"/>
        <v>#N/A</v>
      </c>
      <c r="K497" s="1636">
        <v>42554</v>
      </c>
      <c r="L497" s="1637"/>
      <c r="M497" s="1638">
        <v>0</v>
      </c>
      <c r="N497" s="1639">
        <v>1.1885532734998268</v>
      </c>
      <c r="O497" s="1639">
        <v>1.1885532734998268</v>
      </c>
    </row>
    <row r="498" spans="2:15">
      <c r="B498" s="1457">
        <v>47574</v>
      </c>
      <c r="C498" s="1458" t="e">
        <v>#N/A</v>
      </c>
      <c r="D498" s="1458" t="e">
        <v>#N/A</v>
      </c>
      <c r="E498" s="1458" t="e">
        <v>#N/A</v>
      </c>
      <c r="F498" s="1458" t="e">
        <f t="shared" si="2"/>
        <v>#N/A</v>
      </c>
      <c r="K498" s="1636">
        <v>42555</v>
      </c>
      <c r="L498" s="1637" t="s">
        <v>1650</v>
      </c>
      <c r="M498" s="1638">
        <v>5.2531000000000001E-2</v>
      </c>
      <c r="N498" s="1639">
        <v>1.189177632419929</v>
      </c>
      <c r="O498" s="1639">
        <v>1.189177632419929</v>
      </c>
    </row>
    <row r="499" spans="2:15">
      <c r="B499" s="1457">
        <v>47604</v>
      </c>
      <c r="C499" s="1458" t="e">
        <v>#N/A</v>
      </c>
      <c r="D499" s="1458" t="e">
        <v>#N/A</v>
      </c>
      <c r="E499" s="1458" t="e">
        <v>#N/A</v>
      </c>
      <c r="F499" s="1458" t="e">
        <f t="shared" si="2"/>
        <v>#N/A</v>
      </c>
      <c r="K499" s="1636">
        <v>42556</v>
      </c>
      <c r="L499" s="1637" t="s">
        <v>1650</v>
      </c>
      <c r="M499" s="1638">
        <v>5.2531000000000001E-2</v>
      </c>
      <c r="N499" s="1639">
        <v>1.1898023193220155</v>
      </c>
      <c r="O499" s="1639">
        <v>1.1898023193220155</v>
      </c>
    </row>
    <row r="500" spans="2:15">
      <c r="B500" s="1457">
        <v>47635</v>
      </c>
      <c r="C500" s="1458" t="e">
        <v>#N/A</v>
      </c>
      <c r="D500" s="1458" t="e">
        <v>#N/A</v>
      </c>
      <c r="E500" s="1458" t="e">
        <v>#N/A</v>
      </c>
      <c r="F500" s="1458" t="e">
        <f t="shared" si="2"/>
        <v>#N/A</v>
      </c>
      <c r="K500" s="1636">
        <v>42557</v>
      </c>
      <c r="L500" s="1637" t="s">
        <v>1650</v>
      </c>
      <c r="M500" s="1638">
        <v>5.2531000000000001E-2</v>
      </c>
      <c r="N500" s="1639">
        <v>1.1904273343783787</v>
      </c>
      <c r="O500" s="1639">
        <v>1.1904273343783787</v>
      </c>
    </row>
    <row r="501" spans="2:15">
      <c r="K501" s="1636">
        <v>42558</v>
      </c>
      <c r="L501" s="1637" t="s">
        <v>1650</v>
      </c>
      <c r="M501" s="1638">
        <v>5.2531000000000001E-2</v>
      </c>
      <c r="N501" s="1639">
        <v>1.191052677761401</v>
      </c>
      <c r="O501" s="1639">
        <v>1.191052677761401</v>
      </c>
    </row>
    <row r="502" spans="2:15">
      <c r="K502" s="1636">
        <v>42559</v>
      </c>
      <c r="L502" s="1637" t="s">
        <v>1650</v>
      </c>
      <c r="M502" s="1638">
        <v>5.2531000000000001E-2</v>
      </c>
      <c r="N502" s="1639">
        <v>1.1916783496435559</v>
      </c>
      <c r="O502" s="1639">
        <v>1.1916783496435559</v>
      </c>
    </row>
    <row r="503" spans="2:15">
      <c r="K503" s="1636">
        <v>42560</v>
      </c>
      <c r="L503" s="1637"/>
      <c r="M503" s="1638">
        <v>0</v>
      </c>
      <c r="N503" s="1639">
        <v>1.1916783496435559</v>
      </c>
      <c r="O503" s="1639">
        <v>1.1916783496435559</v>
      </c>
    </row>
    <row r="504" spans="2:15">
      <c r="K504" s="1636">
        <v>42561</v>
      </c>
      <c r="L504" s="1637"/>
      <c r="M504" s="1638">
        <v>0</v>
      </c>
      <c r="N504" s="1639">
        <v>1.1916783496435559</v>
      </c>
      <c r="O504" s="1639">
        <v>1.1916783496435559</v>
      </c>
    </row>
    <row r="505" spans="2:15">
      <c r="K505" s="1636">
        <v>42562</v>
      </c>
      <c r="L505" s="1637" t="s">
        <v>1650</v>
      </c>
      <c r="M505" s="1638">
        <v>5.2531000000000001E-2</v>
      </c>
      <c r="N505" s="1639">
        <v>1.1923043501974071</v>
      </c>
      <c r="O505" s="1639">
        <v>1.1923043501974071</v>
      </c>
    </row>
    <row r="506" spans="2:15">
      <c r="K506" s="1636">
        <v>42563</v>
      </c>
      <c r="L506" s="1637" t="s">
        <v>1650</v>
      </c>
      <c r="M506" s="1638">
        <v>5.2531000000000001E-2</v>
      </c>
      <c r="N506" s="1639">
        <v>1.1929306795956094</v>
      </c>
      <c r="O506" s="1639">
        <v>1.1929306795956094</v>
      </c>
    </row>
    <row r="507" spans="2:15">
      <c r="K507" s="1636">
        <v>42564</v>
      </c>
      <c r="L507" s="1637" t="s">
        <v>1650</v>
      </c>
      <c r="M507" s="1638">
        <v>5.2531000000000001E-2</v>
      </c>
      <c r="N507" s="1639">
        <v>1.1935573380109077</v>
      </c>
      <c r="O507" s="1639">
        <v>1.1935573380109077</v>
      </c>
    </row>
    <row r="508" spans="2:15">
      <c r="K508" s="1636">
        <v>42565</v>
      </c>
      <c r="L508" s="1637" t="s">
        <v>1650</v>
      </c>
      <c r="M508" s="1638">
        <v>5.2531000000000001E-2</v>
      </c>
      <c r="N508" s="1639">
        <v>1.1941843256161382</v>
      </c>
      <c r="O508" s="1639">
        <v>1.1941843256161382</v>
      </c>
    </row>
    <row r="509" spans="2:15">
      <c r="K509" s="1636">
        <v>42566</v>
      </c>
      <c r="L509" s="1637" t="s">
        <v>1650</v>
      </c>
      <c r="M509" s="1638">
        <v>5.2531000000000001E-2</v>
      </c>
      <c r="N509" s="1639">
        <v>1.1948116425842277</v>
      </c>
      <c r="O509" s="1639">
        <v>1.1948116425842277</v>
      </c>
    </row>
    <row r="510" spans="2:15">
      <c r="K510" s="1636">
        <v>42567</v>
      </c>
      <c r="L510" s="1637"/>
      <c r="M510" s="1638">
        <v>0</v>
      </c>
      <c r="N510" s="1639">
        <v>1.1948116425842277</v>
      </c>
      <c r="O510" s="1639">
        <v>1.1948116425842277</v>
      </c>
    </row>
    <row r="511" spans="2:15">
      <c r="K511" s="1636">
        <v>42568</v>
      </c>
      <c r="L511" s="1637"/>
      <c r="M511" s="1638">
        <v>0</v>
      </c>
      <c r="N511" s="1639">
        <v>1.1948116425842277</v>
      </c>
      <c r="O511" s="1639">
        <v>1.1948116425842277</v>
      </c>
    </row>
    <row r="512" spans="2:15">
      <c r="K512" s="1636">
        <v>42569</v>
      </c>
      <c r="L512" s="1637" t="s">
        <v>1650</v>
      </c>
      <c r="M512" s="1638">
        <v>5.2531000000000001E-2</v>
      </c>
      <c r="N512" s="1639">
        <v>1.1954392890881935</v>
      </c>
      <c r="O512" s="1639">
        <v>1.1954392890881935</v>
      </c>
    </row>
    <row r="513" spans="11:15">
      <c r="K513" s="1636">
        <v>42570</v>
      </c>
      <c r="L513" s="1637" t="s">
        <v>1650</v>
      </c>
      <c r="M513" s="1638">
        <v>5.2531000000000001E-2</v>
      </c>
      <c r="N513" s="1639">
        <v>1.1960672653011444</v>
      </c>
      <c r="O513" s="1639">
        <v>1.1960672653011444</v>
      </c>
    </row>
    <row r="514" spans="11:15">
      <c r="K514" s="1636">
        <v>42571</v>
      </c>
      <c r="L514" s="1637" t="s">
        <v>1650</v>
      </c>
      <c r="M514" s="1638">
        <v>5.2531000000000001E-2</v>
      </c>
      <c r="N514" s="1639">
        <v>1.1966955713962797</v>
      </c>
      <c r="O514" s="1639">
        <v>1.1966955713962797</v>
      </c>
    </row>
    <row r="515" spans="11:15">
      <c r="K515" s="1636">
        <v>42572</v>
      </c>
      <c r="L515" s="1637" t="s">
        <v>1650</v>
      </c>
      <c r="M515" s="1638">
        <v>5.2531000000000001E-2</v>
      </c>
      <c r="N515" s="1639">
        <v>1.19732420754689</v>
      </c>
      <c r="O515" s="1639">
        <v>1.19732420754689</v>
      </c>
    </row>
    <row r="516" spans="11:15">
      <c r="K516" s="1636">
        <v>42573</v>
      </c>
      <c r="L516" s="1637" t="s">
        <v>1650</v>
      </c>
      <c r="M516" s="1638">
        <v>5.2531000000000001E-2</v>
      </c>
      <c r="N516" s="1639">
        <v>1.1979531739263565</v>
      </c>
      <c r="O516" s="1639">
        <v>1.1979531739263565</v>
      </c>
    </row>
    <row r="517" spans="11:15">
      <c r="K517" s="1636">
        <v>42574</v>
      </c>
      <c r="L517" s="1637"/>
      <c r="M517" s="1638">
        <v>0</v>
      </c>
      <c r="N517" s="1639">
        <v>1.1979531739263565</v>
      </c>
      <c r="O517" s="1639">
        <v>1.1979531739263565</v>
      </c>
    </row>
    <row r="518" spans="11:15">
      <c r="K518" s="1636">
        <v>42575</v>
      </c>
      <c r="L518" s="1637"/>
      <c r="M518" s="1638">
        <v>0</v>
      </c>
      <c r="N518" s="1639">
        <v>1.1979531739263565</v>
      </c>
      <c r="O518" s="1639">
        <v>1.1979531739263565</v>
      </c>
    </row>
    <row r="519" spans="11:15">
      <c r="K519" s="1636">
        <v>42576</v>
      </c>
      <c r="L519" s="1637" t="s">
        <v>1650</v>
      </c>
      <c r="M519" s="1638">
        <v>5.2531000000000001E-2</v>
      </c>
      <c r="N519" s="1639">
        <v>1.1985824707081518</v>
      </c>
      <c r="O519" s="1639">
        <v>1.1985824707081518</v>
      </c>
    </row>
    <row r="520" spans="11:15">
      <c r="K520" s="1636">
        <v>42577</v>
      </c>
      <c r="L520" s="1637" t="s">
        <v>1650</v>
      </c>
      <c r="M520" s="1638">
        <v>5.2531000000000001E-2</v>
      </c>
      <c r="N520" s="1639">
        <v>1.1992120980658396</v>
      </c>
      <c r="O520" s="1639">
        <v>1.1992120980658396</v>
      </c>
    </row>
    <row r="521" spans="11:15">
      <c r="K521" s="1636">
        <v>42578</v>
      </c>
      <c r="L521" s="1637" t="s">
        <v>1650</v>
      </c>
      <c r="M521" s="1638">
        <v>5.2531000000000001E-2</v>
      </c>
      <c r="N521" s="1639">
        <v>1.1998420561730745</v>
      </c>
      <c r="O521" s="1639">
        <v>1.1998420561730745</v>
      </c>
    </row>
    <row r="522" spans="11:15">
      <c r="K522" s="1636">
        <v>42579</v>
      </c>
      <c r="L522" s="1637" t="s">
        <v>1650</v>
      </c>
      <c r="M522" s="1638">
        <v>5.2531000000000001E-2</v>
      </c>
      <c r="N522" s="1639">
        <v>1.2004723452036028</v>
      </c>
      <c r="O522" s="1639">
        <v>1.2004723452036028</v>
      </c>
    </row>
    <row r="523" spans="11:15">
      <c r="K523" s="1636">
        <v>42580</v>
      </c>
      <c r="L523" s="1637" t="s">
        <v>1650</v>
      </c>
      <c r="M523" s="1638">
        <v>5.2531000000000001E-2</v>
      </c>
      <c r="N523" s="1639">
        <v>1.2011029653312617</v>
      </c>
      <c r="O523" s="1639">
        <v>1.2011029653312617</v>
      </c>
    </row>
    <row r="524" spans="11:15">
      <c r="K524" s="1636">
        <v>42581</v>
      </c>
      <c r="L524" s="1637"/>
      <c r="M524" s="1638">
        <v>0</v>
      </c>
      <c r="N524" s="1639">
        <v>1.2011029653312617</v>
      </c>
      <c r="O524" s="1639">
        <v>1.2011029653312617</v>
      </c>
    </row>
    <row r="525" spans="11:15">
      <c r="K525" s="1636">
        <v>42582</v>
      </c>
      <c r="L525" s="1637"/>
      <c r="M525" s="1638">
        <v>0</v>
      </c>
      <c r="N525" s="1639">
        <v>1.2011029653312617</v>
      </c>
      <c r="O525" s="1639">
        <v>1.2011029653312617</v>
      </c>
    </row>
    <row r="526" spans="11:15">
      <c r="K526" s="1636">
        <v>42583</v>
      </c>
      <c r="L526" s="1637" t="s">
        <v>1650</v>
      </c>
      <c r="M526" s="1638">
        <v>5.2531000000000001E-2</v>
      </c>
      <c r="N526" s="1639">
        <v>1.2017339167299799</v>
      </c>
      <c r="O526" s="1639">
        <v>1.2017339167299799</v>
      </c>
    </row>
    <row r="527" spans="11:15">
      <c r="K527" s="1636">
        <v>42584</v>
      </c>
      <c r="L527" s="1637" t="s">
        <v>1650</v>
      </c>
      <c r="M527" s="1638">
        <v>5.2531000000000001E-2</v>
      </c>
      <c r="N527" s="1639">
        <v>1.2023651995737772</v>
      </c>
      <c r="O527" s="1639">
        <v>1.2023651995737772</v>
      </c>
    </row>
    <row r="528" spans="11:15">
      <c r="K528" s="1636">
        <v>42585</v>
      </c>
      <c r="L528" s="1637" t="s">
        <v>1650</v>
      </c>
      <c r="M528" s="1638">
        <v>5.2531000000000001E-2</v>
      </c>
      <c r="N528" s="1639">
        <v>1.2029968140367653</v>
      </c>
      <c r="O528" s="1639">
        <v>1.2029968140367653</v>
      </c>
    </row>
    <row r="529" spans="11:15">
      <c r="K529" s="1636">
        <v>42586</v>
      </c>
      <c r="L529" s="1637" t="s">
        <v>1650</v>
      </c>
      <c r="M529" s="1638">
        <v>5.2531000000000001E-2</v>
      </c>
      <c r="N529" s="1639">
        <v>1.203628760293147</v>
      </c>
      <c r="O529" s="1639">
        <v>1.203628760293147</v>
      </c>
    </row>
    <row r="530" spans="11:15">
      <c r="K530" s="1636">
        <v>42587</v>
      </c>
      <c r="L530" s="1637" t="s">
        <v>1650</v>
      </c>
      <c r="M530" s="1638">
        <v>5.2531000000000001E-2</v>
      </c>
      <c r="N530" s="1639">
        <v>1.2042610385172166</v>
      </c>
      <c r="O530" s="1639">
        <v>1.2042610385172166</v>
      </c>
    </row>
    <row r="531" spans="11:15">
      <c r="K531" s="1636">
        <v>42588</v>
      </c>
      <c r="L531" s="1637"/>
      <c r="M531" s="1638">
        <v>0</v>
      </c>
      <c r="N531" s="1639">
        <v>1.2042610385172166</v>
      </c>
      <c r="O531" s="1639">
        <v>1.2042610385172166</v>
      </c>
    </row>
    <row r="532" spans="11:15">
      <c r="K532" s="1636">
        <v>42589</v>
      </c>
      <c r="L532" s="1637"/>
      <c r="M532" s="1638">
        <v>0</v>
      </c>
      <c r="N532" s="1639">
        <v>1.2042610385172166</v>
      </c>
      <c r="O532" s="1639">
        <v>1.2042610385172166</v>
      </c>
    </row>
    <row r="533" spans="11:15">
      <c r="K533" s="1636">
        <v>42590</v>
      </c>
      <c r="L533" s="1637" t="s">
        <v>1650</v>
      </c>
      <c r="M533" s="1638">
        <v>5.2531000000000001E-2</v>
      </c>
      <c r="N533" s="1639">
        <v>1.2048936488833599</v>
      </c>
      <c r="O533" s="1639">
        <v>1.2048936488833599</v>
      </c>
    </row>
    <row r="534" spans="11:15">
      <c r="K534" s="1636">
        <v>42591</v>
      </c>
      <c r="L534" s="1637" t="s">
        <v>1650</v>
      </c>
      <c r="M534" s="1638">
        <v>5.2531000000000001E-2</v>
      </c>
      <c r="N534" s="1639">
        <v>1.2055265915660549</v>
      </c>
      <c r="O534" s="1639">
        <v>1.2055265915660549</v>
      </c>
    </row>
    <row r="535" spans="11:15">
      <c r="K535" s="1636">
        <v>42592</v>
      </c>
      <c r="L535" s="1637" t="s">
        <v>1650</v>
      </c>
      <c r="M535" s="1638">
        <v>5.2531000000000001E-2</v>
      </c>
      <c r="N535" s="1639">
        <v>1.2061598667398705</v>
      </c>
      <c r="O535" s="1639">
        <v>1.2061598667398705</v>
      </c>
    </row>
    <row r="536" spans="11:15">
      <c r="K536" s="1636">
        <v>42593</v>
      </c>
      <c r="L536" s="1637" t="s">
        <v>1650</v>
      </c>
      <c r="M536" s="1638">
        <v>5.2531000000000001E-2</v>
      </c>
      <c r="N536" s="1639">
        <v>1.2067934745794677</v>
      </c>
      <c r="O536" s="1639">
        <v>1.2067934745794677</v>
      </c>
    </row>
    <row r="537" spans="11:15">
      <c r="K537" s="1636">
        <v>42594</v>
      </c>
      <c r="L537" s="1637" t="s">
        <v>1650</v>
      </c>
      <c r="M537" s="1638">
        <v>5.2531000000000001E-2</v>
      </c>
      <c r="N537" s="1639">
        <v>1.2074274152595992</v>
      </c>
      <c r="O537" s="1639">
        <v>1.2074274152595992</v>
      </c>
    </row>
    <row r="538" spans="11:15">
      <c r="K538" s="1636">
        <v>42595</v>
      </c>
      <c r="L538" s="1637"/>
      <c r="M538" s="1638">
        <v>0</v>
      </c>
      <c r="N538" s="1639">
        <v>1.2074274152595992</v>
      </c>
      <c r="O538" s="1639">
        <v>1.2074274152595992</v>
      </c>
    </row>
    <row r="539" spans="11:15">
      <c r="K539" s="1636">
        <v>42596</v>
      </c>
      <c r="L539" s="1637"/>
      <c r="M539" s="1638">
        <v>0</v>
      </c>
      <c r="N539" s="1639">
        <v>1.2074274152595992</v>
      </c>
      <c r="O539" s="1639">
        <v>1.2074274152595992</v>
      </c>
    </row>
    <row r="540" spans="11:15">
      <c r="K540" s="1636">
        <v>42597</v>
      </c>
      <c r="L540" s="1637" t="s">
        <v>1650</v>
      </c>
      <c r="M540" s="1638">
        <v>5.2531000000000001E-2</v>
      </c>
      <c r="N540" s="1639">
        <v>1.2080616889551092</v>
      </c>
      <c r="O540" s="1639">
        <v>1.2080616889551092</v>
      </c>
    </row>
    <row r="541" spans="11:15">
      <c r="K541" s="1636">
        <v>42598</v>
      </c>
      <c r="L541" s="1637" t="s">
        <v>1650</v>
      </c>
      <c r="M541" s="1638">
        <v>5.2531000000000001E-2</v>
      </c>
      <c r="N541" s="1639">
        <v>1.2086962958409342</v>
      </c>
      <c r="O541" s="1639">
        <v>1.2086962958409342</v>
      </c>
    </row>
    <row r="542" spans="11:15">
      <c r="K542" s="1636">
        <v>42599</v>
      </c>
      <c r="L542" s="1637" t="s">
        <v>1650</v>
      </c>
      <c r="M542" s="1638">
        <v>5.2531000000000001E-2</v>
      </c>
      <c r="N542" s="1639">
        <v>1.2093312360921025</v>
      </c>
      <c r="O542" s="1639">
        <v>1.2093312360921025</v>
      </c>
    </row>
    <row r="543" spans="11:15">
      <c r="K543" s="1636">
        <v>42600</v>
      </c>
      <c r="L543" s="1637" t="s">
        <v>1650</v>
      </c>
      <c r="M543" s="1638">
        <v>5.2531000000000001E-2</v>
      </c>
      <c r="N543" s="1639">
        <v>1.209966509883734</v>
      </c>
      <c r="O543" s="1639">
        <v>1.209966509883734</v>
      </c>
    </row>
    <row r="544" spans="11:15">
      <c r="K544" s="1636">
        <v>42601</v>
      </c>
      <c r="L544" s="1637" t="s">
        <v>1650</v>
      </c>
      <c r="M544" s="1638">
        <v>5.2531000000000001E-2</v>
      </c>
      <c r="N544" s="1639">
        <v>1.2106021173910411</v>
      </c>
      <c r="O544" s="1639">
        <v>1.2106021173910411</v>
      </c>
    </row>
    <row r="545" spans="11:15">
      <c r="K545" s="1636">
        <v>42602</v>
      </c>
      <c r="L545" s="1637"/>
      <c r="M545" s="1638">
        <v>0</v>
      </c>
      <c r="N545" s="1639">
        <v>1.2106021173910411</v>
      </c>
      <c r="O545" s="1639">
        <v>1.2106021173910411</v>
      </c>
    </row>
    <row r="546" spans="11:15">
      <c r="K546" s="1636">
        <v>42603</v>
      </c>
      <c r="L546" s="1637"/>
      <c r="M546" s="1638">
        <v>0</v>
      </c>
      <c r="N546" s="1639">
        <v>1.2106021173910411</v>
      </c>
      <c r="O546" s="1639">
        <v>1.2106021173910411</v>
      </c>
    </row>
    <row r="547" spans="11:15">
      <c r="K547" s="1636">
        <v>42604</v>
      </c>
      <c r="L547" s="1637" t="s">
        <v>1650</v>
      </c>
      <c r="M547" s="1638">
        <v>5.2531000000000001E-2</v>
      </c>
      <c r="N547" s="1639">
        <v>1.2112380587893277</v>
      </c>
      <c r="O547" s="1639">
        <v>1.2112380587893277</v>
      </c>
    </row>
    <row r="548" spans="11:15">
      <c r="K548" s="1636">
        <v>42605</v>
      </c>
      <c r="L548" s="1637" t="s">
        <v>1650</v>
      </c>
      <c r="M548" s="1638">
        <v>5.2531000000000001E-2</v>
      </c>
      <c r="N548" s="1639">
        <v>1.2118743342539904</v>
      </c>
      <c r="O548" s="1639">
        <v>1.2118743342539904</v>
      </c>
    </row>
    <row r="549" spans="11:15">
      <c r="K549" s="1636">
        <v>42606</v>
      </c>
      <c r="L549" s="1637" t="s">
        <v>1650</v>
      </c>
      <c r="M549" s="1638">
        <v>5.2531000000000001E-2</v>
      </c>
      <c r="N549" s="1639">
        <v>1.2125109439605173</v>
      </c>
      <c r="O549" s="1639">
        <v>1.2125109439605173</v>
      </c>
    </row>
    <row r="550" spans="11:15">
      <c r="K550" s="1636">
        <v>42607</v>
      </c>
      <c r="L550" s="1637" t="s">
        <v>1650</v>
      </c>
      <c r="M550" s="1638">
        <v>5.2531000000000001E-2</v>
      </c>
      <c r="N550" s="1639">
        <v>1.2131478880844893</v>
      </c>
      <c r="O550" s="1639">
        <v>1.2131478880844893</v>
      </c>
    </row>
    <row r="551" spans="11:15">
      <c r="K551" s="1636">
        <v>42608</v>
      </c>
      <c r="L551" s="1637" t="s">
        <v>1650</v>
      </c>
      <c r="M551" s="1638">
        <v>5.2531000000000001E-2</v>
      </c>
      <c r="N551" s="1639">
        <v>1.2137851668015789</v>
      </c>
      <c r="O551" s="1639">
        <v>1.2137851668015789</v>
      </c>
    </row>
    <row r="552" spans="11:15">
      <c r="K552" s="1636">
        <v>42609</v>
      </c>
      <c r="L552" s="1637"/>
      <c r="M552" s="1638">
        <v>0</v>
      </c>
      <c r="N552" s="1639">
        <v>1.2137851668015789</v>
      </c>
      <c r="O552" s="1639">
        <v>1.2137851668015789</v>
      </c>
    </row>
    <row r="553" spans="11:15">
      <c r="K553" s="1636">
        <v>42610</v>
      </c>
      <c r="L553" s="1637"/>
      <c r="M553" s="1638">
        <v>0</v>
      </c>
      <c r="N553" s="1639">
        <v>1.2137851668015789</v>
      </c>
      <c r="O553" s="1639">
        <v>1.2137851668015789</v>
      </c>
    </row>
    <row r="554" spans="11:15">
      <c r="K554" s="1636">
        <v>42611</v>
      </c>
      <c r="L554" s="1637" t="s">
        <v>1650</v>
      </c>
      <c r="M554" s="1638">
        <v>5.2531000000000001E-2</v>
      </c>
      <c r="N554" s="1639">
        <v>1.2144227802875514</v>
      </c>
      <c r="O554" s="1639">
        <v>1.2144227802875514</v>
      </c>
    </row>
    <row r="555" spans="11:15">
      <c r="K555" s="1636">
        <v>42612</v>
      </c>
      <c r="L555" s="1637" t="s">
        <v>1650</v>
      </c>
      <c r="M555" s="1638">
        <v>5.2531000000000001E-2</v>
      </c>
      <c r="N555" s="1639">
        <v>1.2150607287182642</v>
      </c>
      <c r="O555" s="1639">
        <v>1.2150607287182642</v>
      </c>
    </row>
    <row r="556" spans="11:15">
      <c r="K556" s="1636">
        <v>42613</v>
      </c>
      <c r="L556" s="1637" t="s">
        <v>1650</v>
      </c>
      <c r="M556" s="1638">
        <v>5.2531000000000001E-2</v>
      </c>
      <c r="N556" s="1639">
        <v>1.2156990122696671</v>
      </c>
      <c r="O556" s="1639">
        <v>1.2156990122696671</v>
      </c>
    </row>
    <row r="557" spans="11:15">
      <c r="K557" s="1636">
        <v>42614</v>
      </c>
      <c r="L557" s="1637" t="s">
        <v>1650</v>
      </c>
      <c r="M557" s="1638">
        <v>5.2531000000000001E-2</v>
      </c>
      <c r="N557" s="1639">
        <v>1.2163376311178025</v>
      </c>
      <c r="O557" s="1639">
        <v>1.2163376311178025</v>
      </c>
    </row>
    <row r="558" spans="11:15">
      <c r="K558" s="1636">
        <v>42615</v>
      </c>
      <c r="L558" s="1637" t="s">
        <v>1650</v>
      </c>
      <c r="M558" s="1638">
        <v>5.2531000000000001E-2</v>
      </c>
      <c r="N558" s="1639">
        <v>1.216976585438805</v>
      </c>
      <c r="O558" s="1639">
        <v>1.216976585438805</v>
      </c>
    </row>
    <row r="559" spans="11:15">
      <c r="K559" s="1636">
        <v>42616</v>
      </c>
      <c r="L559" s="1637"/>
      <c r="M559" s="1638">
        <v>0</v>
      </c>
      <c r="N559" s="1639">
        <v>1.216976585438805</v>
      </c>
      <c r="O559" s="1639">
        <v>1.216976585438805</v>
      </c>
    </row>
    <row r="560" spans="11:15">
      <c r="K560" s="1636">
        <v>42617</v>
      </c>
      <c r="L560" s="1637"/>
      <c r="M560" s="1638">
        <v>0</v>
      </c>
      <c r="N560" s="1639">
        <v>1.216976585438805</v>
      </c>
      <c r="O560" s="1639">
        <v>1.216976585438805</v>
      </c>
    </row>
    <row r="561" spans="11:15">
      <c r="K561" s="1636">
        <v>42618</v>
      </c>
      <c r="L561" s="1637" t="s">
        <v>1650</v>
      </c>
      <c r="M561" s="1638">
        <v>5.2531000000000001E-2</v>
      </c>
      <c r="N561" s="1639">
        <v>1.2176158754089019</v>
      </c>
      <c r="O561" s="1639">
        <v>1.2176158754089019</v>
      </c>
    </row>
    <row r="562" spans="11:15">
      <c r="K562" s="1636">
        <v>42619</v>
      </c>
      <c r="L562" s="1637" t="s">
        <v>1650</v>
      </c>
      <c r="M562" s="1638">
        <v>5.2531000000000001E-2</v>
      </c>
      <c r="N562" s="1639">
        <v>1.2182555012044129</v>
      </c>
      <c r="O562" s="1639">
        <v>1.2182555012044129</v>
      </c>
    </row>
    <row r="563" spans="11:15">
      <c r="K563" s="1636">
        <v>42620</v>
      </c>
      <c r="L563" s="1637"/>
      <c r="M563" s="1638">
        <v>0</v>
      </c>
      <c r="N563" s="1639">
        <v>1.2182555012044129</v>
      </c>
      <c r="O563" s="1639">
        <v>1.2182555012044129</v>
      </c>
    </row>
    <row r="564" spans="11:15">
      <c r="K564" s="1636">
        <v>42621</v>
      </c>
      <c r="L564" s="1637" t="s">
        <v>1650</v>
      </c>
      <c r="M564" s="1638">
        <v>5.2531000000000001E-2</v>
      </c>
      <c r="N564" s="1639">
        <v>1.2188954630017506</v>
      </c>
      <c r="O564" s="1639">
        <v>1.2188954630017506</v>
      </c>
    </row>
    <row r="565" spans="11:15">
      <c r="K565" s="1636">
        <v>42622</v>
      </c>
      <c r="L565" s="1637" t="s">
        <v>1650</v>
      </c>
      <c r="M565" s="1638">
        <v>5.2531000000000001E-2</v>
      </c>
      <c r="N565" s="1639">
        <v>1.21953576097742</v>
      </c>
      <c r="O565" s="1639">
        <v>1.21953576097742</v>
      </c>
    </row>
    <row r="566" spans="11:15">
      <c r="K566" s="1636">
        <v>42623</v>
      </c>
      <c r="L566" s="1637"/>
      <c r="M566" s="1638">
        <v>0</v>
      </c>
      <c r="N566" s="1639">
        <v>1.21953576097742</v>
      </c>
      <c r="O566" s="1639">
        <v>1.21953576097742</v>
      </c>
    </row>
    <row r="567" spans="11:15">
      <c r="K567" s="1636">
        <v>42624</v>
      </c>
      <c r="L567" s="1637"/>
      <c r="M567" s="1638">
        <v>0</v>
      </c>
      <c r="N567" s="1639">
        <v>1.21953576097742</v>
      </c>
      <c r="O567" s="1639">
        <v>1.21953576097742</v>
      </c>
    </row>
    <row r="568" spans="11:15">
      <c r="K568" s="1636">
        <v>42625</v>
      </c>
      <c r="L568" s="1637" t="s">
        <v>1650</v>
      </c>
      <c r="M568" s="1638">
        <v>5.2531000000000001E-2</v>
      </c>
      <c r="N568" s="1639">
        <v>1.2201763953080191</v>
      </c>
      <c r="O568" s="1639">
        <v>1.2201763953080191</v>
      </c>
    </row>
    <row r="569" spans="11:15">
      <c r="K569" s="1636">
        <v>42626</v>
      </c>
      <c r="L569" s="1637" t="s">
        <v>1650</v>
      </c>
      <c r="M569" s="1638">
        <v>5.2531000000000001E-2</v>
      </c>
      <c r="N569" s="1639">
        <v>1.2208173661702384</v>
      </c>
      <c r="O569" s="1639">
        <v>1.2208173661702384</v>
      </c>
    </row>
    <row r="570" spans="11:15">
      <c r="K570" s="1636">
        <v>42627</v>
      </c>
      <c r="L570" s="1637" t="s">
        <v>1650</v>
      </c>
      <c r="M570" s="1638">
        <v>5.2531000000000001E-2</v>
      </c>
      <c r="N570" s="1639">
        <v>1.2214586737408613</v>
      </c>
      <c r="O570" s="1639">
        <v>1.2214586737408613</v>
      </c>
    </row>
    <row r="571" spans="11:15">
      <c r="K571" s="1636">
        <v>42628</v>
      </c>
      <c r="L571" s="1637" t="s">
        <v>1650</v>
      </c>
      <c r="M571" s="1638">
        <v>5.2531000000000001E-2</v>
      </c>
      <c r="N571" s="1639">
        <v>1.222100318196764</v>
      </c>
      <c r="O571" s="1639">
        <v>1.222100318196764</v>
      </c>
    </row>
    <row r="572" spans="11:15">
      <c r="K572" s="1636">
        <v>42629</v>
      </c>
      <c r="L572" s="1637" t="s">
        <v>1650</v>
      </c>
      <c r="M572" s="1638">
        <v>5.2531000000000001E-2</v>
      </c>
      <c r="N572" s="1639">
        <v>1.222742299714916</v>
      </c>
      <c r="O572" s="1639">
        <v>1.222742299714916</v>
      </c>
    </row>
    <row r="573" spans="11:15">
      <c r="K573" s="1636">
        <v>42630</v>
      </c>
      <c r="L573" s="1637"/>
      <c r="M573" s="1638">
        <v>0</v>
      </c>
      <c r="N573" s="1639">
        <v>1.222742299714916</v>
      </c>
      <c r="O573" s="1639">
        <v>1.222742299714916</v>
      </c>
    </row>
    <row r="574" spans="11:15">
      <c r="K574" s="1636">
        <v>42631</v>
      </c>
      <c r="L574" s="1637"/>
      <c r="M574" s="1638">
        <v>0</v>
      </c>
      <c r="N574" s="1639">
        <v>1.222742299714916</v>
      </c>
      <c r="O574" s="1639">
        <v>1.222742299714916</v>
      </c>
    </row>
    <row r="575" spans="11:15">
      <c r="K575" s="1636">
        <v>42632</v>
      </c>
      <c r="L575" s="1637" t="s">
        <v>1650</v>
      </c>
      <c r="M575" s="1638">
        <v>5.2531000000000001E-2</v>
      </c>
      <c r="N575" s="1639">
        <v>1.2233846184723793</v>
      </c>
      <c r="O575" s="1639">
        <v>1.2233846184723793</v>
      </c>
    </row>
    <row r="576" spans="11:15">
      <c r="K576" s="1636">
        <v>42633</v>
      </c>
      <c r="L576" s="1637" t="s">
        <v>1650</v>
      </c>
      <c r="M576" s="1638">
        <v>5.2531000000000001E-2</v>
      </c>
      <c r="N576" s="1639">
        <v>1.224027274646309</v>
      </c>
      <c r="O576" s="1639">
        <v>1.224027274646309</v>
      </c>
    </row>
    <row r="577" spans="11:15">
      <c r="K577" s="1636">
        <v>42634</v>
      </c>
      <c r="L577" s="1637" t="s">
        <v>1650</v>
      </c>
      <c r="M577" s="1638">
        <v>5.2531000000000001E-2</v>
      </c>
      <c r="N577" s="1639">
        <v>1.2246702684139534</v>
      </c>
      <c r="O577" s="1639">
        <v>1.2246702684139534</v>
      </c>
    </row>
    <row r="578" spans="11:15">
      <c r="K578" s="1636">
        <v>42635</v>
      </c>
      <c r="L578" s="1637" t="s">
        <v>1650</v>
      </c>
      <c r="M578" s="1638">
        <v>5.2531000000000001E-2</v>
      </c>
      <c r="N578" s="1639">
        <v>1.2253135999526539</v>
      </c>
      <c r="O578" s="1639">
        <v>1.2253135999526539</v>
      </c>
    </row>
    <row r="579" spans="11:15">
      <c r="K579" s="1636">
        <v>42636</v>
      </c>
      <c r="L579" s="1637" t="s">
        <v>1650</v>
      </c>
      <c r="M579" s="1638">
        <v>5.2531000000000001E-2</v>
      </c>
      <c r="N579" s="1639">
        <v>1.2259572694398451</v>
      </c>
      <c r="O579" s="1639">
        <v>1.2259572694398451</v>
      </c>
    </row>
    <row r="580" spans="11:15">
      <c r="K580" s="1636">
        <v>42637</v>
      </c>
      <c r="L580" s="1637"/>
      <c r="M580" s="1638">
        <v>0</v>
      </c>
      <c r="N580" s="1639">
        <v>1.2259572694398451</v>
      </c>
      <c r="O580" s="1639">
        <v>1.2259572694398451</v>
      </c>
    </row>
    <row r="581" spans="11:15">
      <c r="K581" s="1636">
        <v>42638</v>
      </c>
      <c r="L581" s="1637"/>
      <c r="M581" s="1638">
        <v>0</v>
      </c>
      <c r="N581" s="1639">
        <v>1.2259572694398451</v>
      </c>
      <c r="O581" s="1639">
        <v>1.2259572694398451</v>
      </c>
    </row>
    <row r="582" spans="11:15">
      <c r="K582" s="1636">
        <v>42639</v>
      </c>
      <c r="L582" s="1637" t="s">
        <v>1650</v>
      </c>
      <c r="M582" s="1638">
        <v>5.2531000000000001E-2</v>
      </c>
      <c r="N582" s="1639">
        <v>1.2266012770530546</v>
      </c>
      <c r="O582" s="1639">
        <v>1.2266012770530546</v>
      </c>
    </row>
    <row r="583" spans="11:15">
      <c r="K583" s="1636">
        <v>42640</v>
      </c>
      <c r="L583" s="1637" t="s">
        <v>1650</v>
      </c>
      <c r="M583" s="1638">
        <v>5.2531000000000001E-2</v>
      </c>
      <c r="N583" s="1639">
        <v>1.2272456229699034</v>
      </c>
      <c r="O583" s="1639">
        <v>1.2272456229699034</v>
      </c>
    </row>
    <row r="584" spans="11:15">
      <c r="K584" s="1636">
        <v>42641</v>
      </c>
      <c r="L584" s="1637" t="s">
        <v>1650</v>
      </c>
      <c r="M584" s="1638">
        <v>5.2531000000000001E-2</v>
      </c>
      <c r="N584" s="1639">
        <v>1.2278903073681058</v>
      </c>
      <c r="O584" s="1639">
        <v>1.2278903073681058</v>
      </c>
    </row>
    <row r="585" spans="11:15">
      <c r="K585" s="1636">
        <v>42642</v>
      </c>
      <c r="L585" s="1637" t="s">
        <v>1650</v>
      </c>
      <c r="M585" s="1638">
        <v>5.2531000000000001E-2</v>
      </c>
      <c r="N585" s="1639">
        <v>1.2285353304254694</v>
      </c>
      <c r="O585" s="1639">
        <v>1.2285353304254694</v>
      </c>
    </row>
    <row r="586" spans="11:15">
      <c r="K586" s="1636">
        <v>42643</v>
      </c>
      <c r="L586" s="1637" t="s">
        <v>1650</v>
      </c>
      <c r="M586" s="1638">
        <v>5.2531000000000001E-2</v>
      </c>
      <c r="N586" s="1639">
        <v>1.2291806923198951</v>
      </c>
      <c r="O586" s="1639">
        <v>1.2291806923198951</v>
      </c>
    </row>
    <row r="587" spans="11:15">
      <c r="K587" s="1636">
        <v>42644</v>
      </c>
      <c r="L587" s="1637"/>
      <c r="M587" s="1638">
        <v>0</v>
      </c>
      <c r="N587" s="1639">
        <v>1.2291806923198951</v>
      </c>
      <c r="O587" s="1639">
        <v>1.2291806923198951</v>
      </c>
    </row>
    <row r="588" spans="11:15">
      <c r="K588" s="1636">
        <v>42645</v>
      </c>
      <c r="L588" s="1637"/>
      <c r="M588" s="1638">
        <v>0</v>
      </c>
      <c r="N588" s="1639">
        <v>1.2291806923198951</v>
      </c>
      <c r="O588" s="1639">
        <v>1.2291806923198951</v>
      </c>
    </row>
    <row r="589" spans="11:15">
      <c r="K589" s="1636">
        <v>42646</v>
      </c>
      <c r="L589" s="1637" t="s">
        <v>1650</v>
      </c>
      <c r="M589" s="1638">
        <v>5.2531000000000001E-2</v>
      </c>
      <c r="N589" s="1639">
        <v>1.2298263932293776</v>
      </c>
      <c r="O589" s="1639">
        <v>1.2298263932293776</v>
      </c>
    </row>
    <row r="590" spans="11:15">
      <c r="K590" s="1636">
        <v>42647</v>
      </c>
      <c r="L590" s="1637" t="s">
        <v>1650</v>
      </c>
      <c r="M590" s="1638">
        <v>5.2531000000000001E-2</v>
      </c>
      <c r="N590" s="1639">
        <v>1.230472433332005</v>
      </c>
      <c r="O590" s="1639">
        <v>1.230472433332005</v>
      </c>
    </row>
    <row r="591" spans="11:15">
      <c r="K591" s="1636">
        <v>42648</v>
      </c>
      <c r="L591" s="1637" t="s">
        <v>1650</v>
      </c>
      <c r="M591" s="1638">
        <v>5.2531000000000001E-2</v>
      </c>
      <c r="N591" s="1639">
        <v>1.2311188128059587</v>
      </c>
      <c r="O591" s="1639">
        <v>1.2311188128059587</v>
      </c>
    </row>
    <row r="592" spans="11:15">
      <c r="K592" s="1636">
        <v>42649</v>
      </c>
      <c r="L592" s="1637" t="s">
        <v>1650</v>
      </c>
      <c r="M592" s="1638">
        <v>5.2531000000000001E-2</v>
      </c>
      <c r="N592" s="1639">
        <v>1.2317655318295138</v>
      </c>
      <c r="O592" s="1639">
        <v>1.2317655318295138</v>
      </c>
    </row>
    <row r="593" spans="11:15">
      <c r="K593" s="1636">
        <v>42650</v>
      </c>
      <c r="L593" s="1637" t="s">
        <v>1650</v>
      </c>
      <c r="M593" s="1638">
        <v>5.2531000000000001E-2</v>
      </c>
      <c r="N593" s="1639">
        <v>1.232412590581039</v>
      </c>
      <c r="O593" s="1639">
        <v>1.232412590581039</v>
      </c>
    </row>
    <row r="594" spans="11:15">
      <c r="K594" s="1636">
        <v>42651</v>
      </c>
      <c r="L594" s="1637"/>
      <c r="M594" s="1638">
        <v>0</v>
      </c>
      <c r="N594" s="1639">
        <v>1.232412590581039</v>
      </c>
      <c r="O594" s="1639">
        <v>1.232412590581039</v>
      </c>
    </row>
    <row r="595" spans="11:15">
      <c r="K595" s="1636">
        <v>42652</v>
      </c>
      <c r="L595" s="1637"/>
      <c r="M595" s="1638">
        <v>0</v>
      </c>
      <c r="N595" s="1639">
        <v>1.232412590581039</v>
      </c>
      <c r="O595" s="1639">
        <v>1.232412590581039</v>
      </c>
    </row>
    <row r="596" spans="11:15">
      <c r="K596" s="1636">
        <v>42653</v>
      </c>
      <c r="L596" s="1637" t="s">
        <v>1650</v>
      </c>
      <c r="M596" s="1638">
        <v>5.2531000000000001E-2</v>
      </c>
      <c r="N596" s="1639">
        <v>1.2330599892389971</v>
      </c>
      <c r="O596" s="1639">
        <v>1.2330599892389971</v>
      </c>
    </row>
    <row r="597" spans="11:15">
      <c r="K597" s="1636">
        <v>42654</v>
      </c>
      <c r="L597" s="1637" t="s">
        <v>1650</v>
      </c>
      <c r="M597" s="1638">
        <v>5.2531000000000001E-2</v>
      </c>
      <c r="N597" s="1639">
        <v>1.2337077279819442</v>
      </c>
      <c r="O597" s="1639">
        <v>1.2337077279819442</v>
      </c>
    </row>
    <row r="598" spans="11:15">
      <c r="K598" s="1636">
        <v>42655</v>
      </c>
      <c r="L598" s="1637"/>
      <c r="M598" s="1638">
        <v>0</v>
      </c>
      <c r="N598" s="1639">
        <v>1.2337077279819442</v>
      </c>
      <c r="O598" s="1639">
        <v>1.2337077279819442</v>
      </c>
    </row>
    <row r="599" spans="11:15">
      <c r="K599" s="1636">
        <v>42656</v>
      </c>
      <c r="L599" s="1637" t="s">
        <v>1650</v>
      </c>
      <c r="M599" s="1638">
        <v>5.2531000000000001E-2</v>
      </c>
      <c r="N599" s="1639">
        <v>1.2343558069885303</v>
      </c>
      <c r="O599" s="1639">
        <v>1.2343558069885303</v>
      </c>
    </row>
    <row r="600" spans="11:15">
      <c r="K600" s="1636">
        <v>42657</v>
      </c>
      <c r="L600" s="1637" t="s">
        <v>1650</v>
      </c>
      <c r="M600" s="1638">
        <v>5.2531000000000001E-2</v>
      </c>
      <c r="N600" s="1639">
        <v>1.2350042264374994</v>
      </c>
      <c r="O600" s="1639">
        <v>1.2350042264374994</v>
      </c>
    </row>
    <row r="601" spans="11:15">
      <c r="K601" s="1636">
        <v>42658</v>
      </c>
      <c r="L601" s="1637"/>
      <c r="M601" s="1638">
        <v>0</v>
      </c>
      <c r="N601" s="1639">
        <v>1.2350042264374994</v>
      </c>
      <c r="O601" s="1639">
        <v>1.2350042264374994</v>
      </c>
    </row>
    <row r="602" spans="11:15">
      <c r="K602" s="1636">
        <v>42659</v>
      </c>
      <c r="L602" s="1637"/>
      <c r="M602" s="1638">
        <v>0</v>
      </c>
      <c r="N602" s="1639">
        <v>1.2350042264374994</v>
      </c>
      <c r="O602" s="1639">
        <v>1.2350042264374994</v>
      </c>
    </row>
    <row r="603" spans="11:15">
      <c r="K603" s="1636">
        <v>42660</v>
      </c>
      <c r="L603" s="1637" t="s">
        <v>1650</v>
      </c>
      <c r="M603" s="1638">
        <v>5.2531000000000001E-2</v>
      </c>
      <c r="N603" s="1639">
        <v>1.2356529865076893</v>
      </c>
      <c r="O603" s="1639">
        <v>1.2356529865076893</v>
      </c>
    </row>
    <row r="604" spans="11:15">
      <c r="K604" s="1636">
        <v>42661</v>
      </c>
      <c r="L604" s="1637" t="s">
        <v>1650</v>
      </c>
      <c r="M604" s="1638">
        <v>5.2531000000000001E-2</v>
      </c>
      <c r="N604" s="1639">
        <v>1.2363020873780317</v>
      </c>
      <c r="O604" s="1639">
        <v>1.2363020873780317</v>
      </c>
    </row>
    <row r="605" spans="11:15">
      <c r="K605" s="1636">
        <v>42662</v>
      </c>
      <c r="L605" s="1637" t="s">
        <v>1650</v>
      </c>
      <c r="M605" s="1638">
        <v>5.2531000000000001E-2</v>
      </c>
      <c r="N605" s="1639">
        <v>1.2369515292275524</v>
      </c>
      <c r="O605" s="1639">
        <v>1.2369515292275524</v>
      </c>
    </row>
    <row r="606" spans="11:15">
      <c r="K606" s="1636">
        <v>42663</v>
      </c>
      <c r="L606" s="1637" t="s">
        <v>1650</v>
      </c>
      <c r="M606" s="1638">
        <v>5.1659999999999998E-2</v>
      </c>
      <c r="N606" s="1639">
        <v>1.2375905383875514</v>
      </c>
      <c r="O606" s="1639">
        <v>1.2376013122353708</v>
      </c>
    </row>
    <row r="607" spans="11:15">
      <c r="K607" s="1636">
        <v>42664</v>
      </c>
      <c r="L607" s="1637" t="s">
        <v>1650</v>
      </c>
      <c r="M607" s="1638">
        <v>5.1659999999999998E-2</v>
      </c>
      <c r="N607" s="1639">
        <v>1.2382298776596825</v>
      </c>
      <c r="O607" s="1639">
        <v>1.2382514365807011</v>
      </c>
    </row>
    <row r="608" spans="11:15">
      <c r="K608" s="1636">
        <v>42665</v>
      </c>
      <c r="L608" s="1637"/>
      <c r="M608" s="1638">
        <v>0</v>
      </c>
      <c r="N608" s="1639">
        <v>1.2382298776596825</v>
      </c>
      <c r="O608" s="1639">
        <v>1.2382514365807011</v>
      </c>
    </row>
    <row r="609" spans="11:15">
      <c r="K609" s="1636">
        <v>42666</v>
      </c>
      <c r="L609" s="1637"/>
      <c r="M609" s="1638">
        <v>0</v>
      </c>
      <c r="N609" s="1639">
        <v>1.2382298776596825</v>
      </c>
      <c r="O609" s="1639">
        <v>1.2382514365807011</v>
      </c>
    </row>
    <row r="610" spans="11:15">
      <c r="K610" s="1636">
        <v>42667</v>
      </c>
      <c r="L610" s="1637" t="s">
        <v>1650</v>
      </c>
      <c r="M610" s="1638">
        <v>5.1659999999999998E-2</v>
      </c>
      <c r="N610" s="1639">
        <v>1.2388695472144815</v>
      </c>
      <c r="O610" s="1639">
        <v>1.2389019024428514</v>
      </c>
    </row>
    <row r="611" spans="11:15">
      <c r="K611" s="1636">
        <v>42668</v>
      </c>
      <c r="L611" s="1637" t="s">
        <v>1650</v>
      </c>
      <c r="M611" s="1638">
        <v>5.1659999999999998E-2</v>
      </c>
      <c r="N611" s="1639">
        <v>1.2395095472225726</v>
      </c>
      <c r="O611" s="1639">
        <v>1.2395527100012236</v>
      </c>
    </row>
    <row r="612" spans="11:15">
      <c r="K612" s="1636">
        <v>42669</v>
      </c>
      <c r="L612" s="1637" t="s">
        <v>1650</v>
      </c>
      <c r="M612" s="1638">
        <v>5.1659999999999998E-2</v>
      </c>
      <c r="N612" s="1639">
        <v>1.2401498778546678</v>
      </c>
      <c r="O612" s="1639">
        <v>1.2402038594353144</v>
      </c>
    </row>
    <row r="613" spans="11:15">
      <c r="K613" s="1636">
        <v>42670</v>
      </c>
      <c r="L613" s="1637" t="s">
        <v>1650</v>
      </c>
      <c r="M613" s="1638">
        <v>5.1659999999999998E-2</v>
      </c>
      <c r="N613" s="1639">
        <v>1.2407905392815677</v>
      </c>
      <c r="O613" s="1639">
        <v>1.2408553509247144</v>
      </c>
    </row>
    <row r="614" spans="11:15">
      <c r="K614" s="1636">
        <v>42671</v>
      </c>
      <c r="L614" s="1637" t="s">
        <v>1650</v>
      </c>
      <c r="M614" s="1638">
        <v>5.1659999999999998E-2</v>
      </c>
      <c r="N614" s="1639">
        <v>1.2414315316741606</v>
      </c>
      <c r="O614" s="1639">
        <v>1.2415071846491088</v>
      </c>
    </row>
    <row r="615" spans="11:15">
      <c r="K615" s="1636">
        <v>42672</v>
      </c>
      <c r="L615" s="1637"/>
      <c r="M615" s="1638">
        <v>0</v>
      </c>
      <c r="N615" s="1639">
        <v>1.2414315316741606</v>
      </c>
      <c r="O615" s="1639">
        <v>1.2415071846491088</v>
      </c>
    </row>
    <row r="616" spans="11:15">
      <c r="K616" s="1636">
        <v>42673</v>
      </c>
      <c r="L616" s="1637"/>
      <c r="M616" s="1638">
        <v>0</v>
      </c>
      <c r="N616" s="1639">
        <v>1.2414315316741606</v>
      </c>
      <c r="O616" s="1639">
        <v>1.2415071846491088</v>
      </c>
    </row>
    <row r="617" spans="11:15">
      <c r="K617" s="1636">
        <v>42674</v>
      </c>
      <c r="L617" s="1637" t="s">
        <v>1650</v>
      </c>
      <c r="M617" s="1638">
        <v>5.1659999999999998E-2</v>
      </c>
      <c r="N617" s="1639">
        <v>1.2420728552034237</v>
      </c>
      <c r="O617" s="1639">
        <v>1.2421593607882768</v>
      </c>
    </row>
    <row r="618" spans="11:15">
      <c r="K618" s="1636">
        <v>42675</v>
      </c>
      <c r="L618" s="1637" t="s">
        <v>1650</v>
      </c>
      <c r="M618" s="1638">
        <v>5.1659999999999998E-2</v>
      </c>
      <c r="N618" s="1639">
        <v>1.242714510040422</v>
      </c>
      <c r="O618" s="1639">
        <v>1.2428118795220926</v>
      </c>
    </row>
    <row r="619" spans="11:15">
      <c r="K619" s="1636">
        <v>42676</v>
      </c>
      <c r="L619" s="1637"/>
      <c r="M619" s="1638">
        <v>0</v>
      </c>
      <c r="N619" s="1639">
        <v>1.242714510040422</v>
      </c>
      <c r="O619" s="1639">
        <v>1.2428118795220926</v>
      </c>
    </row>
    <row r="620" spans="11:15">
      <c r="K620" s="1636">
        <v>42677</v>
      </c>
      <c r="L620" s="1637" t="s">
        <v>1650</v>
      </c>
      <c r="M620" s="1638">
        <v>5.1659999999999998E-2</v>
      </c>
      <c r="N620" s="1639">
        <v>1.2433564963563091</v>
      </c>
      <c r="O620" s="1639">
        <v>1.2434647410305244</v>
      </c>
    </row>
    <row r="621" spans="11:15">
      <c r="K621" s="1636">
        <v>42678</v>
      </c>
      <c r="L621" s="1637" t="s">
        <v>1650</v>
      </c>
      <c r="M621" s="1638">
        <v>5.1659999999999998E-2</v>
      </c>
      <c r="N621" s="1639">
        <v>1.2439988143223268</v>
      </c>
      <c r="O621" s="1639">
        <v>1.2441179454936351</v>
      </c>
    </row>
    <row r="622" spans="11:15">
      <c r="K622" s="1636">
        <v>42679</v>
      </c>
      <c r="L622" s="1637"/>
      <c r="M622" s="1638">
        <v>0</v>
      </c>
      <c r="N622" s="1639">
        <v>1.2439988143223268</v>
      </c>
      <c r="O622" s="1639">
        <v>1.2441179454936351</v>
      </c>
    </row>
    <row r="623" spans="11:15">
      <c r="K623" s="1636">
        <v>42680</v>
      </c>
      <c r="L623" s="1637"/>
      <c r="M623" s="1638">
        <v>0</v>
      </c>
      <c r="N623" s="1639">
        <v>1.2439988143223268</v>
      </c>
      <c r="O623" s="1639">
        <v>1.2441179454936351</v>
      </c>
    </row>
    <row r="624" spans="11:15">
      <c r="K624" s="1636">
        <v>42681</v>
      </c>
      <c r="L624" s="1637" t="s">
        <v>1650</v>
      </c>
      <c r="M624" s="1638">
        <v>5.1659999999999998E-2</v>
      </c>
      <c r="N624" s="1639">
        <v>1.2446414641098058</v>
      </c>
      <c r="O624" s="1639">
        <v>1.2447714930915823</v>
      </c>
    </row>
    <row r="625" spans="11:15">
      <c r="K625" s="1636">
        <v>42682</v>
      </c>
      <c r="L625" s="1637" t="s">
        <v>1650</v>
      </c>
      <c r="M625" s="1638">
        <v>5.1659999999999998E-2</v>
      </c>
      <c r="N625" s="1639">
        <v>1.2452844458901651</v>
      </c>
      <c r="O625" s="1639">
        <v>1.2454253840046183</v>
      </c>
    </row>
    <row r="626" spans="11:15">
      <c r="K626" s="1636">
        <v>42683</v>
      </c>
      <c r="L626" s="1637" t="s">
        <v>1650</v>
      </c>
      <c r="M626" s="1638">
        <v>5.1659999999999998E-2</v>
      </c>
      <c r="N626" s="1639">
        <v>1.2459277598349121</v>
      </c>
      <c r="O626" s="1639">
        <v>1.2460796184130898</v>
      </c>
    </row>
    <row r="627" spans="11:15">
      <c r="K627" s="1636">
        <v>42684</v>
      </c>
      <c r="L627" s="1637" t="s">
        <v>1650</v>
      </c>
      <c r="M627" s="1638">
        <v>5.1659999999999998E-2</v>
      </c>
      <c r="N627" s="1639">
        <v>1.246571406115643</v>
      </c>
      <c r="O627" s="1639">
        <v>1.2467341964974383</v>
      </c>
    </row>
    <row r="628" spans="11:15">
      <c r="K628" s="1636">
        <v>42685</v>
      </c>
      <c r="L628" s="1637" t="s">
        <v>1650</v>
      </c>
      <c r="M628" s="1638">
        <v>5.1659999999999998E-2</v>
      </c>
      <c r="N628" s="1639">
        <v>1.2472153849040424</v>
      </c>
      <c r="O628" s="1639">
        <v>1.2473891184382004</v>
      </c>
    </row>
    <row r="629" spans="11:15">
      <c r="K629" s="1636">
        <v>42686</v>
      </c>
      <c r="L629" s="1637"/>
      <c r="M629" s="1638">
        <v>0</v>
      </c>
      <c r="N629" s="1639">
        <v>1.2472153849040424</v>
      </c>
      <c r="O629" s="1639">
        <v>1.2473891184382004</v>
      </c>
    </row>
    <row r="630" spans="11:15">
      <c r="K630" s="1636">
        <v>42687</v>
      </c>
      <c r="L630" s="1637"/>
      <c r="M630" s="1638">
        <v>0</v>
      </c>
      <c r="N630" s="1639">
        <v>1.2472153849040424</v>
      </c>
      <c r="O630" s="1639">
        <v>1.2473891184382004</v>
      </c>
    </row>
    <row r="631" spans="11:15">
      <c r="K631" s="1636">
        <v>42688</v>
      </c>
      <c r="L631" s="1637" t="s">
        <v>1650</v>
      </c>
      <c r="M631" s="1638">
        <v>5.1659999999999998E-2</v>
      </c>
      <c r="N631" s="1639">
        <v>1.247859696371884</v>
      </c>
      <c r="O631" s="1639">
        <v>1.2480443844160072</v>
      </c>
    </row>
    <row r="632" spans="11:15">
      <c r="K632" s="1636">
        <v>42689</v>
      </c>
      <c r="L632" s="1637"/>
      <c r="M632" s="1638">
        <v>0</v>
      </c>
      <c r="N632" s="1639">
        <v>1.247859696371884</v>
      </c>
      <c r="O632" s="1639">
        <v>1.2480443844160072</v>
      </c>
    </row>
    <row r="633" spans="11:15">
      <c r="K633" s="1636">
        <v>42690</v>
      </c>
      <c r="L633" s="1637" t="s">
        <v>1650</v>
      </c>
      <c r="M633" s="1638">
        <v>5.1659999999999998E-2</v>
      </c>
      <c r="N633" s="1639">
        <v>1.2485043406910299</v>
      </c>
      <c r="O633" s="1639">
        <v>1.2486999946115847</v>
      </c>
    </row>
    <row r="634" spans="11:15">
      <c r="K634" s="1636">
        <v>42691</v>
      </c>
      <c r="L634" s="1637" t="s">
        <v>1650</v>
      </c>
      <c r="M634" s="1638">
        <v>5.1659999999999998E-2</v>
      </c>
      <c r="N634" s="1639">
        <v>1.249149318033431</v>
      </c>
      <c r="O634" s="1639">
        <v>1.249355949205754</v>
      </c>
    </row>
    <row r="635" spans="11:15">
      <c r="K635" s="1636">
        <v>42692</v>
      </c>
      <c r="L635" s="1637" t="s">
        <v>1650</v>
      </c>
      <c r="M635" s="1638">
        <v>5.1659999999999998E-2</v>
      </c>
      <c r="N635" s="1639">
        <v>1.2497946285711272</v>
      </c>
      <c r="O635" s="1639">
        <v>1.2500122483794314</v>
      </c>
    </row>
    <row r="636" spans="11:15">
      <c r="K636" s="1636">
        <v>42693</v>
      </c>
      <c r="L636" s="1637"/>
      <c r="M636" s="1638">
        <v>0</v>
      </c>
      <c r="N636" s="1639">
        <v>1.2497946285711272</v>
      </c>
      <c r="O636" s="1639">
        <v>1.2500122483794314</v>
      </c>
    </row>
    <row r="637" spans="11:15">
      <c r="K637" s="1636">
        <v>42694</v>
      </c>
      <c r="L637" s="1637"/>
      <c r="M637" s="1638">
        <v>0</v>
      </c>
      <c r="N637" s="1639">
        <v>1.2497946285711272</v>
      </c>
      <c r="O637" s="1639">
        <v>1.2500122483794314</v>
      </c>
    </row>
    <row r="638" spans="11:15">
      <c r="K638" s="1636">
        <v>42695</v>
      </c>
      <c r="L638" s="1637" t="s">
        <v>1650</v>
      </c>
      <c r="M638" s="1638">
        <v>5.1659999999999998E-2</v>
      </c>
      <c r="N638" s="1639">
        <v>1.2504402724762471</v>
      </c>
      <c r="O638" s="1639">
        <v>1.2506688923136275</v>
      </c>
    </row>
    <row r="639" spans="11:15">
      <c r="K639" s="1636">
        <v>42696</v>
      </c>
      <c r="L639" s="1637" t="s">
        <v>1650</v>
      </c>
      <c r="M639" s="1638">
        <v>5.1659999999999998E-2</v>
      </c>
      <c r="N639" s="1639">
        <v>1.2510862499210085</v>
      </c>
      <c r="O639" s="1639">
        <v>1.2513258811894488</v>
      </c>
    </row>
    <row r="640" spans="11:15">
      <c r="K640" s="1636">
        <v>42697</v>
      </c>
      <c r="L640" s="1637" t="s">
        <v>1650</v>
      </c>
      <c r="M640" s="1638">
        <v>5.1659999999999998E-2</v>
      </c>
      <c r="N640" s="1639">
        <v>1.2517325610777177</v>
      </c>
      <c r="O640" s="1639">
        <v>1.2519832151880963</v>
      </c>
    </row>
    <row r="641" spans="11:15">
      <c r="K641" s="1636">
        <v>42698</v>
      </c>
      <c r="L641" s="1637" t="s">
        <v>1650</v>
      </c>
      <c r="M641" s="1638">
        <v>5.1659999999999998E-2</v>
      </c>
      <c r="N641" s="1639">
        <v>1.2523792061187706</v>
      </c>
      <c r="O641" s="1639">
        <v>1.2526408944908667</v>
      </c>
    </row>
    <row r="642" spans="11:15">
      <c r="K642" s="1636">
        <v>42699</v>
      </c>
      <c r="L642" s="1637" t="s">
        <v>1650</v>
      </c>
      <c r="M642" s="1638">
        <v>5.1659999999999998E-2</v>
      </c>
      <c r="N642" s="1639">
        <v>1.2530261852166518</v>
      </c>
      <c r="O642" s="1639">
        <v>1.2532989192791517</v>
      </c>
    </row>
    <row r="643" spans="11:15">
      <c r="K643" s="1636">
        <v>42700</v>
      </c>
      <c r="L643" s="1637"/>
      <c r="M643" s="1638">
        <v>0</v>
      </c>
      <c r="N643" s="1639">
        <v>1.2530261852166518</v>
      </c>
      <c r="O643" s="1639">
        <v>1.2532989192791517</v>
      </c>
    </row>
    <row r="644" spans="11:15">
      <c r="K644" s="1636">
        <v>42701</v>
      </c>
      <c r="L644" s="1637"/>
      <c r="M644" s="1638">
        <v>0</v>
      </c>
      <c r="N644" s="1639">
        <v>1.2530261852166518</v>
      </c>
      <c r="O644" s="1639">
        <v>1.2532989192791517</v>
      </c>
    </row>
    <row r="645" spans="11:15">
      <c r="K645" s="1636">
        <v>42702</v>
      </c>
      <c r="L645" s="1637" t="s">
        <v>1650</v>
      </c>
      <c r="M645" s="1638">
        <v>5.1659999999999998E-2</v>
      </c>
      <c r="N645" s="1639">
        <v>1.2536734985439348</v>
      </c>
      <c r="O645" s="1639">
        <v>1.2539572897344382</v>
      </c>
    </row>
    <row r="646" spans="11:15">
      <c r="K646" s="1636">
        <v>42703</v>
      </c>
      <c r="L646" s="1637" t="s">
        <v>1650</v>
      </c>
      <c r="M646" s="1638">
        <v>5.1659999999999998E-2</v>
      </c>
      <c r="N646" s="1639">
        <v>1.2543211462732828</v>
      </c>
      <c r="O646" s="1639">
        <v>1.2546160060383087</v>
      </c>
    </row>
    <row r="647" spans="11:15">
      <c r="K647" s="1636">
        <v>42704</v>
      </c>
      <c r="L647" s="1637" t="s">
        <v>1650</v>
      </c>
      <c r="M647" s="1638">
        <v>5.1659999999999998E-2</v>
      </c>
      <c r="N647" s="1639">
        <v>1.2549691285774478</v>
      </c>
      <c r="O647" s="1639">
        <v>1.2552750683724407</v>
      </c>
    </row>
    <row r="648" spans="11:15">
      <c r="K648" s="1636">
        <v>42705</v>
      </c>
      <c r="L648" s="1637" t="s">
        <v>1650</v>
      </c>
      <c r="M648" s="1638">
        <v>5.0788E-2</v>
      </c>
      <c r="N648" s="1639">
        <v>1.2556065022984697</v>
      </c>
      <c r="O648" s="1639">
        <v>1.2559344769186074</v>
      </c>
    </row>
    <row r="649" spans="11:15">
      <c r="K649" s="1636">
        <v>42706</v>
      </c>
      <c r="L649" s="1637" t="s">
        <v>1650</v>
      </c>
      <c r="M649" s="1638">
        <v>5.0788E-2</v>
      </c>
      <c r="N649" s="1639">
        <v>1.2562441997288571</v>
      </c>
      <c r="O649" s="1639">
        <v>1.2565942318586776</v>
      </c>
    </row>
    <row r="650" spans="11:15">
      <c r="K650" s="1636">
        <v>42707</v>
      </c>
      <c r="L650" s="1637"/>
      <c r="M650" s="1638">
        <v>0</v>
      </c>
      <c r="N650" s="1639">
        <v>1.2562441997288571</v>
      </c>
      <c r="O650" s="1639">
        <v>1.2565942318586776</v>
      </c>
    </row>
    <row r="651" spans="11:15">
      <c r="K651" s="1636">
        <v>42708</v>
      </c>
      <c r="L651" s="1637"/>
      <c r="M651" s="1638">
        <v>0</v>
      </c>
      <c r="N651" s="1639">
        <v>1.2562441997288571</v>
      </c>
      <c r="O651" s="1639">
        <v>1.2565942318586776</v>
      </c>
    </row>
    <row r="652" spans="11:15">
      <c r="K652" s="1636">
        <v>42709</v>
      </c>
      <c r="L652" s="1637" t="s">
        <v>1650</v>
      </c>
      <c r="M652" s="1638">
        <v>5.0788E-2</v>
      </c>
      <c r="N652" s="1639">
        <v>1.2568822210330155</v>
      </c>
      <c r="O652" s="1639">
        <v>1.2572543333746153</v>
      </c>
    </row>
    <row r="653" spans="11:15">
      <c r="K653" s="1636">
        <v>42710</v>
      </c>
      <c r="L653" s="1637" t="s">
        <v>1650</v>
      </c>
      <c r="M653" s="1638">
        <v>5.0788E-2</v>
      </c>
      <c r="N653" s="1639">
        <v>1.2575205663754339</v>
      </c>
      <c r="O653" s="1639">
        <v>1.2579147816484804</v>
      </c>
    </row>
    <row r="654" spans="11:15">
      <c r="K654" s="1636">
        <v>42711</v>
      </c>
      <c r="L654" s="1637" t="s">
        <v>1650</v>
      </c>
      <c r="M654" s="1638">
        <v>5.0788E-2</v>
      </c>
      <c r="N654" s="1639">
        <v>1.2581592359206846</v>
      </c>
      <c r="O654" s="1639">
        <v>1.258575576862428</v>
      </c>
    </row>
    <row r="655" spans="11:15">
      <c r="K655" s="1636">
        <v>42712</v>
      </c>
      <c r="L655" s="1637" t="s">
        <v>1650</v>
      </c>
      <c r="M655" s="1638">
        <v>5.0788E-2</v>
      </c>
      <c r="N655" s="1639">
        <v>1.2587982298334239</v>
      </c>
      <c r="O655" s="1639">
        <v>1.2592367191987097</v>
      </c>
    </row>
    <row r="656" spans="11:15">
      <c r="K656" s="1636">
        <v>42713</v>
      </c>
      <c r="L656" s="1637" t="s">
        <v>1650</v>
      </c>
      <c r="M656" s="1638">
        <v>5.0788E-2</v>
      </c>
      <c r="N656" s="1639">
        <v>1.2594375482783917</v>
      </c>
      <c r="O656" s="1639">
        <v>1.259898208839672</v>
      </c>
    </row>
    <row r="657" spans="11:15">
      <c r="K657" s="1636">
        <v>42714</v>
      </c>
      <c r="L657" s="1637"/>
      <c r="M657" s="1638">
        <v>0</v>
      </c>
      <c r="N657" s="1639">
        <v>1.2594375482783917</v>
      </c>
      <c r="O657" s="1639">
        <v>1.259898208839672</v>
      </c>
    </row>
    <row r="658" spans="11:15">
      <c r="K658" s="1636">
        <v>42715</v>
      </c>
      <c r="L658" s="1637"/>
      <c r="M658" s="1638">
        <v>0</v>
      </c>
      <c r="N658" s="1639">
        <v>1.2594375482783917</v>
      </c>
      <c r="O658" s="1639">
        <v>1.259898208839672</v>
      </c>
    </row>
    <row r="659" spans="11:15">
      <c r="K659" s="1636">
        <v>42716</v>
      </c>
      <c r="L659" s="1637" t="s">
        <v>1650</v>
      </c>
      <c r="M659" s="1638">
        <v>5.0788E-2</v>
      </c>
      <c r="N659" s="1639">
        <v>1.2600771914204114</v>
      </c>
      <c r="O659" s="1639">
        <v>1.2605600459677575</v>
      </c>
    </row>
    <row r="660" spans="11:15">
      <c r="K660" s="1636">
        <v>42717</v>
      </c>
      <c r="L660" s="1637" t="s">
        <v>1650</v>
      </c>
      <c r="M660" s="1638">
        <v>5.0788E-2</v>
      </c>
      <c r="N660" s="1639">
        <v>1.26071715942439</v>
      </c>
      <c r="O660" s="1639">
        <v>1.2612222307655048</v>
      </c>
    </row>
    <row r="661" spans="11:15">
      <c r="K661" s="1636">
        <v>42718</v>
      </c>
      <c r="L661" s="1637" t="s">
        <v>1650</v>
      </c>
      <c r="M661" s="1638">
        <v>5.0788E-2</v>
      </c>
      <c r="N661" s="1639">
        <v>1.2613574524553184</v>
      </c>
      <c r="O661" s="1639">
        <v>1.2618847634155481</v>
      </c>
    </row>
    <row r="662" spans="11:15">
      <c r="K662" s="1636">
        <v>42719</v>
      </c>
      <c r="L662" s="1637" t="s">
        <v>1650</v>
      </c>
      <c r="M662" s="1638">
        <v>5.0788E-2</v>
      </c>
      <c r="N662" s="1639">
        <v>1.2619980706782714</v>
      </c>
      <c r="O662" s="1639">
        <v>1.262547644100618</v>
      </c>
    </row>
    <row r="663" spans="11:15">
      <c r="K663" s="1636">
        <v>42720</v>
      </c>
      <c r="L663" s="1637" t="s">
        <v>1650</v>
      </c>
      <c r="M663" s="1638">
        <v>5.0788E-2</v>
      </c>
      <c r="N663" s="1639">
        <v>1.2626390142584074</v>
      </c>
      <c r="O663" s="1639">
        <v>1.2632108730035405</v>
      </c>
    </row>
    <row r="664" spans="11:15">
      <c r="K664" s="1636">
        <v>42721</v>
      </c>
      <c r="L664" s="1637"/>
      <c r="M664" s="1638">
        <v>0</v>
      </c>
      <c r="N664" s="1639">
        <v>1.2626390142584074</v>
      </c>
      <c r="O664" s="1639">
        <v>1.2632108730035405</v>
      </c>
    </row>
    <row r="665" spans="11:15">
      <c r="K665" s="1636">
        <v>42722</v>
      </c>
      <c r="L665" s="1637"/>
      <c r="M665" s="1638">
        <v>0</v>
      </c>
      <c r="N665" s="1639">
        <v>1.2626390142584074</v>
      </c>
      <c r="O665" s="1639">
        <v>1.2632108730035405</v>
      </c>
    </row>
    <row r="666" spans="11:15">
      <c r="K666" s="1636">
        <v>42723</v>
      </c>
      <c r="L666" s="1637" t="s">
        <v>1650</v>
      </c>
      <c r="M666" s="1638">
        <v>5.0788E-2</v>
      </c>
      <c r="N666" s="1639">
        <v>1.2632802833609691</v>
      </c>
      <c r="O666" s="1639">
        <v>1.2638744503072381</v>
      </c>
    </row>
    <row r="667" spans="11:15">
      <c r="K667" s="1636">
        <v>42724</v>
      </c>
      <c r="L667" s="1637" t="s">
        <v>1650</v>
      </c>
      <c r="M667" s="1638">
        <v>5.0788E-2</v>
      </c>
      <c r="N667" s="1639">
        <v>1.2639218781512824</v>
      </c>
      <c r="O667" s="1639">
        <v>1.2645383761947291</v>
      </c>
    </row>
    <row r="668" spans="11:15">
      <c r="K668" s="1636">
        <v>42725</v>
      </c>
      <c r="L668" s="1637" t="s">
        <v>1650</v>
      </c>
      <c r="M668" s="1638">
        <v>5.0788E-2</v>
      </c>
      <c r="N668" s="1639">
        <v>1.264563798794758</v>
      </c>
      <c r="O668" s="1639">
        <v>1.2652026508491279</v>
      </c>
    </row>
    <row r="669" spans="11:15">
      <c r="K669" s="1636">
        <v>42726</v>
      </c>
      <c r="L669" s="1637" t="s">
        <v>1650</v>
      </c>
      <c r="M669" s="1638">
        <v>5.0788E-2</v>
      </c>
      <c r="N669" s="1639">
        <v>1.2652060454568899</v>
      </c>
      <c r="O669" s="1639">
        <v>1.2658672744536454</v>
      </c>
    </row>
    <row r="670" spans="11:15">
      <c r="K670" s="1636">
        <v>42727</v>
      </c>
      <c r="L670" s="1637" t="s">
        <v>1650</v>
      </c>
      <c r="M670" s="1638">
        <v>5.0788E-2</v>
      </c>
      <c r="N670" s="1639">
        <v>1.2658486183032565</v>
      </c>
      <c r="O670" s="1639">
        <v>1.2665322471915887</v>
      </c>
    </row>
    <row r="671" spans="11:15">
      <c r="K671" s="1636">
        <v>42728</v>
      </c>
      <c r="L671" s="1637"/>
      <c r="M671" s="1638">
        <v>0</v>
      </c>
      <c r="N671" s="1639">
        <v>1.2658486183032565</v>
      </c>
      <c r="O671" s="1639">
        <v>1.2665322471915887</v>
      </c>
    </row>
    <row r="672" spans="11:15">
      <c r="K672" s="1636">
        <v>42729</v>
      </c>
      <c r="L672" s="1637"/>
      <c r="M672" s="1638">
        <v>0</v>
      </c>
      <c r="N672" s="1639">
        <v>1.2658486183032565</v>
      </c>
      <c r="O672" s="1639">
        <v>1.2665322471915887</v>
      </c>
    </row>
    <row r="673" spans="11:15">
      <c r="K673" s="1636">
        <v>42730</v>
      </c>
      <c r="L673" s="1637" t="s">
        <v>1650</v>
      </c>
      <c r="M673" s="1638">
        <v>5.0788E-2</v>
      </c>
      <c r="N673" s="1639">
        <v>1.2664915174995204</v>
      </c>
      <c r="O673" s="1639">
        <v>1.2671975692463611</v>
      </c>
    </row>
    <row r="674" spans="11:15">
      <c r="K674" s="1636">
        <v>42731</v>
      </c>
      <c r="L674" s="1637" t="s">
        <v>1650</v>
      </c>
      <c r="M674" s="1638">
        <v>5.0788E-2</v>
      </c>
      <c r="N674" s="1639">
        <v>1.2671347432114282</v>
      </c>
      <c r="O674" s="1639">
        <v>1.2678632408014618</v>
      </c>
    </row>
    <row r="675" spans="11:15">
      <c r="K675" s="1636">
        <v>42732</v>
      </c>
      <c r="L675" s="1637" t="s">
        <v>1650</v>
      </c>
      <c r="M675" s="1638">
        <v>5.0788E-2</v>
      </c>
      <c r="N675" s="1639">
        <v>1.2677782956048105</v>
      </c>
      <c r="O675" s="1639">
        <v>1.2685292620404873</v>
      </c>
    </row>
    <row r="676" spans="11:15">
      <c r="K676" s="1636">
        <v>42733</v>
      </c>
      <c r="L676" s="1637" t="s">
        <v>1650</v>
      </c>
      <c r="M676" s="1638">
        <v>5.0788E-2</v>
      </c>
      <c r="N676" s="1639">
        <v>1.2684221748455822</v>
      </c>
      <c r="O676" s="1639">
        <v>1.2691956331471299</v>
      </c>
    </row>
    <row r="677" spans="11:15">
      <c r="K677" s="1636">
        <v>42734</v>
      </c>
      <c r="L677" s="1637" t="s">
        <v>1650</v>
      </c>
      <c r="M677" s="1638">
        <v>5.0788E-2</v>
      </c>
      <c r="N677" s="1639">
        <v>1.2690663810997427</v>
      </c>
      <c r="O677" s="1639">
        <v>1.2698623543051784</v>
      </c>
    </row>
    <row r="678" spans="11:15">
      <c r="K678" s="1636">
        <v>42735</v>
      </c>
      <c r="L678" s="1637"/>
      <c r="M678" s="1638">
        <v>0</v>
      </c>
      <c r="N678" s="1639">
        <v>1.2690663810997427</v>
      </c>
      <c r="O678" s="1639">
        <v>1.2698623543051784</v>
      </c>
    </row>
    <row r="679" spans="11:15">
      <c r="K679" s="1636">
        <v>42736</v>
      </c>
      <c r="L679" s="1637"/>
      <c r="M679" s="1638">
        <v>0</v>
      </c>
      <c r="N679" s="1639">
        <v>1.2690663810997427</v>
      </c>
      <c r="O679" s="1639">
        <v>1.2698623543051784</v>
      </c>
    </row>
    <row r="680" spans="11:15">
      <c r="K680" s="1636">
        <v>42737</v>
      </c>
      <c r="L680" s="1637" t="s">
        <v>1650</v>
      </c>
      <c r="M680" s="1638">
        <v>5.0788E-2</v>
      </c>
      <c r="N680" s="1639">
        <v>1.2697109145333756</v>
      </c>
      <c r="O680" s="1639">
        <v>1.2705294256985185</v>
      </c>
    </row>
    <row r="681" spans="11:15">
      <c r="K681" s="1636">
        <v>42738</v>
      </c>
      <c r="L681" s="1637" t="s">
        <v>1650</v>
      </c>
      <c r="M681" s="1638">
        <v>5.0788E-2</v>
      </c>
      <c r="N681" s="1639">
        <v>1.2703557753126489</v>
      </c>
      <c r="O681" s="1639">
        <v>1.2711968475111322</v>
      </c>
    </row>
    <row r="682" spans="11:15">
      <c r="K682" s="1636">
        <v>42739</v>
      </c>
      <c r="L682" s="1637" t="s">
        <v>1650</v>
      </c>
      <c r="M682" s="1638">
        <v>5.0788E-2</v>
      </c>
      <c r="N682" s="1639">
        <v>1.2710009636038146</v>
      </c>
      <c r="O682" s="1639">
        <v>1.2718646199270982</v>
      </c>
    </row>
    <row r="683" spans="11:15">
      <c r="K683" s="1636">
        <v>42740</v>
      </c>
      <c r="L683" s="1637" t="s">
        <v>1650</v>
      </c>
      <c r="M683" s="1638">
        <v>5.0788E-2</v>
      </c>
      <c r="N683" s="1639">
        <v>1.2716464795732099</v>
      </c>
      <c r="O683" s="1639">
        <v>1.2725327431305922</v>
      </c>
    </row>
    <row r="684" spans="11:15">
      <c r="K684" s="1636">
        <v>42741</v>
      </c>
      <c r="L684" s="1637" t="s">
        <v>1650</v>
      </c>
      <c r="M684" s="1638">
        <v>5.0788E-2</v>
      </c>
      <c r="N684" s="1639">
        <v>1.2722923233872556</v>
      </c>
      <c r="O684" s="1639">
        <v>1.2732012173058862</v>
      </c>
    </row>
    <row r="685" spans="11:15">
      <c r="K685" s="1636">
        <v>42742</v>
      </c>
      <c r="L685" s="1637"/>
      <c r="M685" s="1638">
        <v>0</v>
      </c>
      <c r="N685" s="1639">
        <v>1.2722923233872556</v>
      </c>
      <c r="O685" s="1639">
        <v>1.2732012173058862</v>
      </c>
    </row>
    <row r="686" spans="11:15">
      <c r="K686" s="1636">
        <v>42743</v>
      </c>
      <c r="L686" s="1637"/>
      <c r="M686" s="1638">
        <v>0</v>
      </c>
      <c r="N686" s="1639">
        <v>1.2722923233872556</v>
      </c>
      <c r="O686" s="1639">
        <v>1.2732012173058862</v>
      </c>
    </row>
    <row r="687" spans="11:15">
      <c r="K687" s="1636">
        <v>42744</v>
      </c>
      <c r="L687" s="1637" t="s">
        <v>1650</v>
      </c>
      <c r="M687" s="1638">
        <v>5.0788E-2</v>
      </c>
      <c r="N687" s="1639">
        <v>1.2729384952124576</v>
      </c>
      <c r="O687" s="1639">
        <v>1.2738700426373493</v>
      </c>
    </row>
    <row r="688" spans="11:15">
      <c r="K688" s="1636">
        <v>42745</v>
      </c>
      <c r="L688" s="1637" t="s">
        <v>1650</v>
      </c>
      <c r="M688" s="1638">
        <v>5.0788E-2</v>
      </c>
      <c r="N688" s="1639">
        <v>1.2735849952154061</v>
      </c>
      <c r="O688" s="1639">
        <v>1.2745392193094471</v>
      </c>
    </row>
    <row r="689" spans="11:15">
      <c r="K689" s="1636">
        <v>42746</v>
      </c>
      <c r="L689" s="1637" t="s">
        <v>1650</v>
      </c>
      <c r="M689" s="1638">
        <v>5.0788E-2</v>
      </c>
      <c r="N689" s="1639">
        <v>1.2742318235627761</v>
      </c>
      <c r="O689" s="1639">
        <v>1.2752087475067426</v>
      </c>
    </row>
    <row r="690" spans="11:15">
      <c r="K690" s="1636">
        <v>42747</v>
      </c>
      <c r="L690" s="1637" t="s">
        <v>1650</v>
      </c>
      <c r="M690" s="1638">
        <v>4.8159E-2</v>
      </c>
      <c r="N690" s="1639">
        <v>1.2748454808666856</v>
      </c>
      <c r="O690" s="1639">
        <v>1.2758786274138953</v>
      </c>
    </row>
    <row r="691" spans="11:15">
      <c r="K691" s="1636">
        <v>42748</v>
      </c>
      <c r="L691" s="1637" t="s">
        <v>1650</v>
      </c>
      <c r="M691" s="1638">
        <v>4.8159E-2</v>
      </c>
      <c r="N691" s="1639">
        <v>1.2754594337018161</v>
      </c>
      <c r="O691" s="1639">
        <v>1.2765488592156622</v>
      </c>
    </row>
    <row r="692" spans="11:15">
      <c r="K692" s="1636">
        <v>42749</v>
      </c>
      <c r="L692" s="1637"/>
      <c r="M692" s="1638">
        <v>0</v>
      </c>
      <c r="N692" s="1639">
        <v>1.2754594337018161</v>
      </c>
      <c r="O692" s="1639">
        <v>1.2765488592156622</v>
      </c>
    </row>
    <row r="693" spans="11:15">
      <c r="K693" s="1636">
        <v>42750</v>
      </c>
      <c r="L693" s="1637"/>
      <c r="M693" s="1638">
        <v>0</v>
      </c>
      <c r="N693" s="1639">
        <v>1.2754594337018161</v>
      </c>
      <c r="O693" s="1639">
        <v>1.2765488592156622</v>
      </c>
    </row>
    <row r="694" spans="11:15">
      <c r="K694" s="1636">
        <v>42751</v>
      </c>
      <c r="L694" s="1637" t="s">
        <v>1650</v>
      </c>
      <c r="M694" s="1638">
        <v>4.8159E-2</v>
      </c>
      <c r="N694" s="1639">
        <v>1.2760736822104926</v>
      </c>
      <c r="O694" s="1639">
        <v>1.2772194430968968</v>
      </c>
    </row>
    <row r="695" spans="11:15">
      <c r="K695" s="1636">
        <v>42752</v>
      </c>
      <c r="L695" s="1637" t="s">
        <v>1650</v>
      </c>
      <c r="M695" s="1638">
        <v>4.8159E-2</v>
      </c>
      <c r="N695" s="1639">
        <v>1.2766882265351083</v>
      </c>
      <c r="O695" s="1639">
        <v>1.27789037924255</v>
      </c>
    </row>
    <row r="696" spans="11:15">
      <c r="K696" s="1636">
        <v>42753</v>
      </c>
      <c r="L696" s="1637" t="s">
        <v>1650</v>
      </c>
      <c r="M696" s="1638">
        <v>4.8159E-2</v>
      </c>
      <c r="N696" s="1639">
        <v>1.2773030668181251</v>
      </c>
      <c r="O696" s="1639">
        <v>1.2785616678376699</v>
      </c>
    </row>
    <row r="697" spans="11:15">
      <c r="K697" s="1636">
        <v>42754</v>
      </c>
      <c r="L697" s="1637" t="s">
        <v>1650</v>
      </c>
      <c r="M697" s="1638">
        <v>4.8159E-2</v>
      </c>
      <c r="N697" s="1639">
        <v>1.2779182032020739</v>
      </c>
      <c r="O697" s="1639">
        <v>1.2792333090674017</v>
      </c>
    </row>
    <row r="698" spans="11:15">
      <c r="K698" s="1636">
        <v>42755</v>
      </c>
      <c r="L698" s="1637" t="s">
        <v>1650</v>
      </c>
      <c r="M698" s="1638">
        <v>4.8159E-2</v>
      </c>
      <c r="N698" s="1639">
        <v>1.278533635829554</v>
      </c>
      <c r="O698" s="1639">
        <v>1.279905303116988</v>
      </c>
    </row>
    <row r="699" spans="11:15">
      <c r="K699" s="1636">
        <v>42756</v>
      </c>
      <c r="L699" s="1637"/>
      <c r="M699" s="1638">
        <v>0</v>
      </c>
      <c r="N699" s="1639">
        <v>1.278533635829554</v>
      </c>
      <c r="O699" s="1639">
        <v>1.279905303116988</v>
      </c>
    </row>
    <row r="700" spans="11:15">
      <c r="K700" s="1636">
        <v>42757</v>
      </c>
      <c r="L700" s="1637"/>
      <c r="M700" s="1638">
        <v>0</v>
      </c>
      <c r="N700" s="1639">
        <v>1.278533635829554</v>
      </c>
      <c r="O700" s="1639">
        <v>1.279905303116988</v>
      </c>
    </row>
    <row r="701" spans="11:15">
      <c r="K701" s="1636">
        <v>42758</v>
      </c>
      <c r="L701" s="1637" t="s">
        <v>1650</v>
      </c>
      <c r="M701" s="1638">
        <v>4.8159E-2</v>
      </c>
      <c r="N701" s="1639">
        <v>1.279149364843233</v>
      </c>
      <c r="O701" s="1639">
        <v>1.2805776501717685</v>
      </c>
    </row>
    <row r="702" spans="11:15">
      <c r="K702" s="1636">
        <v>42759</v>
      </c>
      <c r="L702" s="1637" t="s">
        <v>1650</v>
      </c>
      <c r="M702" s="1638">
        <v>4.8159E-2</v>
      </c>
      <c r="N702" s="1639">
        <v>1.2797653903858479</v>
      </c>
      <c r="O702" s="1639">
        <v>1.2812503504171802</v>
      </c>
    </row>
    <row r="703" spans="11:15">
      <c r="K703" s="1636">
        <v>42760</v>
      </c>
      <c r="L703" s="1637" t="s">
        <v>1650</v>
      </c>
      <c r="M703" s="1638">
        <v>4.8159E-2</v>
      </c>
      <c r="N703" s="1639">
        <v>1.2803817126002037</v>
      </c>
      <c r="O703" s="1639">
        <v>1.2819234040387577</v>
      </c>
    </row>
    <row r="704" spans="11:15">
      <c r="K704" s="1636">
        <v>42761</v>
      </c>
      <c r="L704" s="1637" t="s">
        <v>1650</v>
      </c>
      <c r="M704" s="1638">
        <v>4.8159E-2</v>
      </c>
      <c r="N704" s="1639">
        <v>1.2809983316291746</v>
      </c>
      <c r="O704" s="1639">
        <v>1.2825968112221333</v>
      </c>
    </row>
    <row r="705" spans="11:15">
      <c r="K705" s="1636">
        <v>42762</v>
      </c>
      <c r="L705" s="1637" t="s">
        <v>1650</v>
      </c>
      <c r="M705" s="1638">
        <v>4.8159E-2</v>
      </c>
      <c r="N705" s="1639">
        <v>1.2816152476157039</v>
      </c>
      <c r="O705" s="1639">
        <v>1.2832705721530364</v>
      </c>
    </row>
    <row r="706" spans="11:15">
      <c r="K706" s="1636">
        <v>42763</v>
      </c>
      <c r="L706" s="1637"/>
      <c r="M706" s="1638">
        <v>0</v>
      </c>
      <c r="N706" s="1639">
        <v>1.2816152476157039</v>
      </c>
      <c r="O706" s="1639">
        <v>1.2832705721530364</v>
      </c>
    </row>
    <row r="707" spans="11:15">
      <c r="K707" s="1636">
        <v>42764</v>
      </c>
      <c r="L707" s="1637"/>
      <c r="M707" s="1638">
        <v>0</v>
      </c>
      <c r="N707" s="1639">
        <v>1.2816152476157039</v>
      </c>
      <c r="O707" s="1639">
        <v>1.2832705721530364</v>
      </c>
    </row>
    <row r="708" spans="11:15">
      <c r="K708" s="1636">
        <v>42765</v>
      </c>
      <c r="L708" s="1637" t="s">
        <v>1650</v>
      </c>
      <c r="M708" s="1638">
        <v>4.8159E-2</v>
      </c>
      <c r="N708" s="1639">
        <v>1.2822324607028031</v>
      </c>
      <c r="O708" s="1639">
        <v>1.2839446870172941</v>
      </c>
    </row>
    <row r="709" spans="11:15">
      <c r="K709" s="1636">
        <v>42766</v>
      </c>
      <c r="L709" s="1637" t="s">
        <v>1650</v>
      </c>
      <c r="M709" s="1638">
        <v>4.8159E-2</v>
      </c>
      <c r="N709" s="1639">
        <v>1.2828499710335528</v>
      </c>
      <c r="O709" s="1639">
        <v>1.2846191560008311</v>
      </c>
    </row>
    <row r="710" spans="11:15">
      <c r="K710" s="1636">
        <v>42767</v>
      </c>
      <c r="L710" s="1637" t="s">
        <v>1650</v>
      </c>
      <c r="M710" s="1638">
        <v>4.8159E-2</v>
      </c>
      <c r="N710" s="1639">
        <v>1.2834677787511029</v>
      </c>
      <c r="O710" s="1639">
        <v>1.2852939792896698</v>
      </c>
    </row>
    <row r="711" spans="11:15">
      <c r="K711" s="1636">
        <v>42768</v>
      </c>
      <c r="L711" s="1637" t="s">
        <v>1650</v>
      </c>
      <c r="M711" s="1638">
        <v>4.8159E-2</v>
      </c>
      <c r="N711" s="1639">
        <v>1.2840858839986715</v>
      </c>
      <c r="O711" s="1639">
        <v>1.2859691570699305</v>
      </c>
    </row>
    <row r="712" spans="11:15">
      <c r="K712" s="1636">
        <v>42769</v>
      </c>
      <c r="L712" s="1637" t="s">
        <v>1650</v>
      </c>
      <c r="M712" s="1638">
        <v>4.8159E-2</v>
      </c>
      <c r="N712" s="1639">
        <v>1.2847042869195464</v>
      </c>
      <c r="O712" s="1639">
        <v>1.286644689527831</v>
      </c>
    </row>
    <row r="713" spans="11:15">
      <c r="K713" s="1636">
        <v>42770</v>
      </c>
      <c r="L713" s="1637"/>
      <c r="M713" s="1638">
        <v>0</v>
      </c>
      <c r="N713" s="1639">
        <v>1.2847042869195464</v>
      </c>
      <c r="O713" s="1639">
        <v>1.286644689527831</v>
      </c>
    </row>
    <row r="714" spans="11:15">
      <c r="K714" s="1636">
        <v>42771</v>
      </c>
      <c r="L714" s="1637"/>
      <c r="M714" s="1638">
        <v>0</v>
      </c>
      <c r="N714" s="1639">
        <v>1.2847042869195464</v>
      </c>
      <c r="O714" s="1639">
        <v>1.286644689527831</v>
      </c>
    </row>
    <row r="715" spans="11:15">
      <c r="K715" s="1636">
        <v>42772</v>
      </c>
      <c r="L715" s="1637" t="s">
        <v>1650</v>
      </c>
      <c r="M715" s="1638">
        <v>4.8159E-2</v>
      </c>
      <c r="N715" s="1639">
        <v>1.285322987657084</v>
      </c>
      <c r="O715" s="1639">
        <v>1.2873205768496869</v>
      </c>
    </row>
    <row r="716" spans="11:15">
      <c r="K716" s="1636">
        <v>42773</v>
      </c>
      <c r="L716" s="1637" t="s">
        <v>1650</v>
      </c>
      <c r="M716" s="1638">
        <v>4.8159E-2</v>
      </c>
      <c r="N716" s="1639">
        <v>1.2859419863547097</v>
      </c>
      <c r="O716" s="1639">
        <v>1.2879968192219118</v>
      </c>
    </row>
    <row r="717" spans="11:15">
      <c r="K717" s="1636">
        <v>42774</v>
      </c>
      <c r="L717" s="1637" t="s">
        <v>1650</v>
      </c>
      <c r="M717" s="1638">
        <v>4.8159E-2</v>
      </c>
      <c r="N717" s="1639">
        <v>1.2865612831559181</v>
      </c>
      <c r="O717" s="1639">
        <v>1.2886734168310172</v>
      </c>
    </row>
    <row r="718" spans="11:15">
      <c r="K718" s="1636">
        <v>42775</v>
      </c>
      <c r="L718" s="1637" t="s">
        <v>1650</v>
      </c>
      <c r="M718" s="1638">
        <v>4.8159E-2</v>
      </c>
      <c r="N718" s="1639">
        <v>1.2871808782042731</v>
      </c>
      <c r="O718" s="1639">
        <v>1.2893503698636126</v>
      </c>
    </row>
    <row r="719" spans="11:15">
      <c r="K719" s="1636">
        <v>42776</v>
      </c>
      <c r="L719" s="1637" t="s">
        <v>1650</v>
      </c>
      <c r="M719" s="1638">
        <v>4.8159E-2</v>
      </c>
      <c r="N719" s="1639">
        <v>1.2878007716434074</v>
      </c>
      <c r="O719" s="1639">
        <v>1.2900276785064058</v>
      </c>
    </row>
    <row r="720" spans="11:15">
      <c r="K720" s="1636">
        <v>42777</v>
      </c>
      <c r="L720" s="1637"/>
      <c r="M720" s="1638">
        <v>0</v>
      </c>
      <c r="N720" s="1639">
        <v>1.2878007716434074</v>
      </c>
      <c r="O720" s="1639">
        <v>1.2900276785064058</v>
      </c>
    </row>
    <row r="721" spans="11:15">
      <c r="K721" s="1636">
        <v>42778</v>
      </c>
      <c r="L721" s="1637"/>
      <c r="M721" s="1638">
        <v>0</v>
      </c>
      <c r="N721" s="1639">
        <v>1.2878007716434074</v>
      </c>
      <c r="O721" s="1639">
        <v>1.2900276785064058</v>
      </c>
    </row>
    <row r="722" spans="11:15">
      <c r="K722" s="1636">
        <v>42779</v>
      </c>
      <c r="L722" s="1637" t="s">
        <v>1650</v>
      </c>
      <c r="M722" s="1638">
        <v>4.8159E-2</v>
      </c>
      <c r="N722" s="1639">
        <v>1.2884209636170232</v>
      </c>
      <c r="O722" s="1639">
        <v>1.2907053429462019</v>
      </c>
    </row>
    <row r="723" spans="11:15">
      <c r="K723" s="1636">
        <v>42780</v>
      </c>
      <c r="L723" s="1637" t="s">
        <v>1650</v>
      </c>
      <c r="M723" s="1638">
        <v>4.8159E-2</v>
      </c>
      <c r="N723" s="1639">
        <v>1.2890414542688915</v>
      </c>
      <c r="O723" s="1639">
        <v>1.291383363369905</v>
      </c>
    </row>
    <row r="724" spans="11:15">
      <c r="K724" s="1636">
        <v>42781</v>
      </c>
      <c r="L724" s="1637" t="s">
        <v>1650</v>
      </c>
      <c r="M724" s="1638">
        <v>4.8159E-2</v>
      </c>
      <c r="N724" s="1639">
        <v>1.2896622437428527</v>
      </c>
      <c r="O724" s="1639">
        <v>1.2920617399645169</v>
      </c>
    </row>
    <row r="725" spans="11:15">
      <c r="K725" s="1636">
        <v>42782</v>
      </c>
      <c r="L725" s="1637" t="s">
        <v>1650</v>
      </c>
      <c r="M725" s="1638">
        <v>4.8159E-2</v>
      </c>
      <c r="N725" s="1639">
        <v>1.2902833321828167</v>
      </c>
      <c r="O725" s="1639">
        <v>1.2927404729171377</v>
      </c>
    </row>
    <row r="726" spans="11:15">
      <c r="K726" s="1636">
        <v>42783</v>
      </c>
      <c r="L726" s="1637" t="s">
        <v>1650</v>
      </c>
      <c r="M726" s="1638">
        <v>4.8159E-2</v>
      </c>
      <c r="N726" s="1639">
        <v>1.2909047197327626</v>
      </c>
      <c r="O726" s="1639">
        <v>1.2934195624149658</v>
      </c>
    </row>
    <row r="727" spans="11:15">
      <c r="K727" s="1636">
        <v>42784</v>
      </c>
      <c r="L727" s="1637"/>
      <c r="M727" s="1638">
        <v>0</v>
      </c>
      <c r="N727" s="1639">
        <v>1.2909047197327626</v>
      </c>
      <c r="O727" s="1639">
        <v>1.2934195624149658</v>
      </c>
    </row>
    <row r="728" spans="11:15">
      <c r="K728" s="1636">
        <v>42785</v>
      </c>
      <c r="L728" s="1637"/>
      <c r="M728" s="1638">
        <v>0</v>
      </c>
      <c r="N728" s="1639">
        <v>1.2909047197327626</v>
      </c>
      <c r="O728" s="1639">
        <v>1.2934195624149658</v>
      </c>
    </row>
    <row r="729" spans="11:15">
      <c r="K729" s="1636">
        <v>42786</v>
      </c>
      <c r="L729" s="1637" t="s">
        <v>1650</v>
      </c>
      <c r="M729" s="1638">
        <v>4.8159E-2</v>
      </c>
      <c r="N729" s="1639">
        <v>1.2915264065367384</v>
      </c>
      <c r="O729" s="1639">
        <v>1.2940990086452979</v>
      </c>
    </row>
    <row r="730" spans="11:15">
      <c r="K730" s="1636">
        <v>42787</v>
      </c>
      <c r="L730" s="1637" t="s">
        <v>1650</v>
      </c>
      <c r="M730" s="1638">
        <v>4.8159E-2</v>
      </c>
      <c r="N730" s="1639">
        <v>1.2921483927388624</v>
      </c>
      <c r="O730" s="1639">
        <v>1.2947788117955294</v>
      </c>
    </row>
    <row r="731" spans="11:15">
      <c r="K731" s="1636">
        <v>42788</v>
      </c>
      <c r="L731" s="1637" t="s">
        <v>1650</v>
      </c>
      <c r="M731" s="1638">
        <v>4.8159E-2</v>
      </c>
      <c r="N731" s="1639">
        <v>1.2927706784833215</v>
      </c>
      <c r="O731" s="1639">
        <v>1.2954589720531537</v>
      </c>
    </row>
    <row r="732" spans="11:15">
      <c r="K732" s="1636">
        <v>42789</v>
      </c>
      <c r="L732" s="1637" t="s">
        <v>1650</v>
      </c>
      <c r="M732" s="1638">
        <v>4.5512999999999998E-2</v>
      </c>
      <c r="N732" s="1639">
        <v>1.2933590572022196</v>
      </c>
      <c r="O732" s="1639">
        <v>1.296139489605763</v>
      </c>
    </row>
    <row r="733" spans="11:15">
      <c r="K733" s="1636">
        <v>42790</v>
      </c>
      <c r="L733" s="1637" t="s">
        <v>1650</v>
      </c>
      <c r="M733" s="1638">
        <v>4.5512999999999998E-2</v>
      </c>
      <c r="N733" s="1639">
        <v>1.2939477037099241</v>
      </c>
      <c r="O733" s="1639">
        <v>1.2968203646410479</v>
      </c>
    </row>
    <row r="734" spans="11:15">
      <c r="K734" s="1636">
        <v>42791</v>
      </c>
      <c r="L734" s="1637"/>
      <c r="M734" s="1638">
        <v>0</v>
      </c>
      <c r="N734" s="1639">
        <v>1.2939477037099241</v>
      </c>
      <c r="O734" s="1639">
        <v>1.2968203646410479</v>
      </c>
    </row>
    <row r="735" spans="11:15">
      <c r="K735" s="1636">
        <v>42792</v>
      </c>
      <c r="L735" s="1637"/>
      <c r="M735" s="1638">
        <v>0</v>
      </c>
      <c r="N735" s="1639">
        <v>1.2939477037099241</v>
      </c>
      <c r="O735" s="1639">
        <v>1.2968203646410479</v>
      </c>
    </row>
    <row r="736" spans="11:15">
      <c r="K736" s="1636">
        <v>42793</v>
      </c>
      <c r="L736" s="1637"/>
      <c r="M736" s="1638">
        <v>0</v>
      </c>
      <c r="N736" s="1639">
        <v>1.2939477037099241</v>
      </c>
      <c r="O736" s="1639">
        <v>1.2968203646410479</v>
      </c>
    </row>
    <row r="737" spans="11:15">
      <c r="K737" s="1636">
        <v>42794</v>
      </c>
      <c r="L737" s="1637"/>
      <c r="M737" s="1638">
        <v>0</v>
      </c>
      <c r="N737" s="1639">
        <v>1.2939477037099241</v>
      </c>
      <c r="O737" s="1639">
        <v>1.2968203646410479</v>
      </c>
    </row>
    <row r="738" spans="11:15">
      <c r="K738" s="1636">
        <v>42795</v>
      </c>
      <c r="L738" s="1637" t="s">
        <v>1650</v>
      </c>
      <c r="M738" s="1638">
        <v>4.5512999999999998E-2</v>
      </c>
      <c r="N738" s="1639">
        <v>1.2945366181283136</v>
      </c>
      <c r="O738" s="1639">
        <v>1.2975015973467974</v>
      </c>
    </row>
    <row r="739" spans="11:15">
      <c r="K739" s="1636">
        <v>42796</v>
      </c>
      <c r="L739" s="1637" t="s">
        <v>1650</v>
      </c>
      <c r="M739" s="1638">
        <v>4.5512999999999998E-2</v>
      </c>
      <c r="N739" s="1639">
        <v>1.2951258005793223</v>
      </c>
      <c r="O739" s="1639">
        <v>1.2981831879108996</v>
      </c>
    </row>
    <row r="740" spans="11:15">
      <c r="K740" s="1636">
        <v>42797</v>
      </c>
      <c r="L740" s="1637" t="s">
        <v>1650</v>
      </c>
      <c r="M740" s="1638">
        <v>4.5512999999999998E-2</v>
      </c>
      <c r="N740" s="1639">
        <v>1.2957152511849399</v>
      </c>
      <c r="O740" s="1639">
        <v>1.2988651365213411</v>
      </c>
    </row>
    <row r="741" spans="11:15">
      <c r="K741" s="1636">
        <v>42798</v>
      </c>
      <c r="L741" s="1637"/>
      <c r="M741" s="1638">
        <v>0</v>
      </c>
      <c r="N741" s="1639">
        <v>1.2957152511849399</v>
      </c>
      <c r="O741" s="1639">
        <v>1.2988651365213411</v>
      </c>
    </row>
    <row r="742" spans="11:15">
      <c r="K742" s="1636">
        <v>42799</v>
      </c>
      <c r="L742" s="1637"/>
      <c r="M742" s="1638">
        <v>0</v>
      </c>
      <c r="N742" s="1639">
        <v>1.2957152511849399</v>
      </c>
      <c r="O742" s="1639">
        <v>1.2988651365213411</v>
      </c>
    </row>
    <row r="743" spans="11:15">
      <c r="K743" s="1636">
        <v>42800</v>
      </c>
      <c r="L743" s="1637" t="s">
        <v>1650</v>
      </c>
      <c r="M743" s="1638">
        <v>4.5512999999999998E-2</v>
      </c>
      <c r="N743" s="1639">
        <v>1.2963049700672116</v>
      </c>
      <c r="O743" s="1639">
        <v>1.2995474433662071</v>
      </c>
    </row>
    <row r="744" spans="11:15">
      <c r="K744" s="1636">
        <v>42801</v>
      </c>
      <c r="L744" s="1637" t="s">
        <v>1650</v>
      </c>
      <c r="M744" s="1638">
        <v>4.5512999999999998E-2</v>
      </c>
      <c r="N744" s="1639">
        <v>1.2968949573482382</v>
      </c>
      <c r="O744" s="1639">
        <v>1.3002301086336818</v>
      </c>
    </row>
    <row r="745" spans="11:15">
      <c r="K745" s="1636">
        <v>42802</v>
      </c>
      <c r="L745" s="1637" t="s">
        <v>1650</v>
      </c>
      <c r="M745" s="1638">
        <v>4.5512999999999998E-2</v>
      </c>
      <c r="N745" s="1639">
        <v>1.2974852131501762</v>
      </c>
      <c r="O745" s="1639">
        <v>1.3009131325120482</v>
      </c>
    </row>
    <row r="746" spans="11:15">
      <c r="K746" s="1636">
        <v>42803</v>
      </c>
      <c r="L746" s="1637" t="s">
        <v>1650</v>
      </c>
      <c r="M746" s="1638">
        <v>4.5512999999999998E-2</v>
      </c>
      <c r="N746" s="1639">
        <v>1.2980757375952372</v>
      </c>
      <c r="O746" s="1639">
        <v>1.3015965151896882</v>
      </c>
    </row>
    <row r="747" spans="11:15">
      <c r="K747" s="1636">
        <v>42804</v>
      </c>
      <c r="L747" s="1637" t="s">
        <v>1650</v>
      </c>
      <c r="M747" s="1638">
        <v>4.5512999999999998E-2</v>
      </c>
      <c r="N747" s="1639">
        <v>1.2986665308056888</v>
      </c>
      <c r="O747" s="1639">
        <v>1.3022802568550824</v>
      </c>
    </row>
    <row r="748" spans="11:15">
      <c r="K748" s="1636">
        <v>42805</v>
      </c>
      <c r="L748" s="1637"/>
      <c r="M748" s="1638">
        <v>0</v>
      </c>
      <c r="N748" s="1639">
        <v>1.2986665308056888</v>
      </c>
      <c r="O748" s="1639">
        <v>1.3022802568550824</v>
      </c>
    </row>
    <row r="749" spans="11:15">
      <c r="K749" s="1636">
        <v>42806</v>
      </c>
      <c r="L749" s="1637"/>
      <c r="M749" s="1638">
        <v>0</v>
      </c>
      <c r="N749" s="1639">
        <v>1.2986665308056888</v>
      </c>
      <c r="O749" s="1639">
        <v>1.3022802568550824</v>
      </c>
    </row>
    <row r="750" spans="11:15">
      <c r="K750" s="1636">
        <v>42807</v>
      </c>
      <c r="L750" s="1637" t="s">
        <v>1650</v>
      </c>
      <c r="M750" s="1638">
        <v>4.5512999999999998E-2</v>
      </c>
      <c r="N750" s="1639">
        <v>1.2992575929038543</v>
      </c>
      <c r="O750" s="1639">
        <v>1.3029643576968111</v>
      </c>
    </row>
    <row r="751" spans="11:15">
      <c r="K751" s="1636">
        <v>42808</v>
      </c>
      <c r="L751" s="1637" t="s">
        <v>1650</v>
      </c>
      <c r="M751" s="1638">
        <v>4.5512999999999998E-2</v>
      </c>
      <c r="N751" s="1639">
        <v>1.2998489240121127</v>
      </c>
      <c r="O751" s="1639">
        <v>1.3036488179035528</v>
      </c>
    </row>
    <row r="752" spans="11:15">
      <c r="K752" s="1636">
        <v>42809</v>
      </c>
      <c r="L752" s="1637" t="s">
        <v>1650</v>
      </c>
      <c r="M752" s="1638">
        <v>4.5512999999999998E-2</v>
      </c>
      <c r="N752" s="1639">
        <v>1.3004405242528982</v>
      </c>
      <c r="O752" s="1639">
        <v>1.3043336376640857</v>
      </c>
    </row>
    <row r="753" spans="11:15">
      <c r="K753" s="1636">
        <v>42810</v>
      </c>
      <c r="L753" s="1637" t="s">
        <v>1650</v>
      </c>
      <c r="M753" s="1638">
        <v>4.5512999999999998E-2</v>
      </c>
      <c r="N753" s="1639">
        <v>1.3010323937487014</v>
      </c>
      <c r="O753" s="1639">
        <v>1.305018817167287</v>
      </c>
    </row>
    <row r="754" spans="11:15">
      <c r="K754" s="1636">
        <v>42811</v>
      </c>
      <c r="L754" s="1637" t="s">
        <v>1650</v>
      </c>
      <c r="M754" s="1638">
        <v>4.5512999999999998E-2</v>
      </c>
      <c r="N754" s="1639">
        <v>1.3016245326220681</v>
      </c>
      <c r="O754" s="1639">
        <v>1.3057043566021331</v>
      </c>
    </row>
    <row r="755" spans="11:15">
      <c r="K755" s="1636">
        <v>42812</v>
      </c>
      <c r="L755" s="1637"/>
      <c r="M755" s="1638">
        <v>0</v>
      </c>
      <c r="N755" s="1639">
        <v>1.3016245326220681</v>
      </c>
      <c r="O755" s="1639">
        <v>1.3057043566021331</v>
      </c>
    </row>
    <row r="756" spans="11:15">
      <c r="K756" s="1636">
        <v>42813</v>
      </c>
      <c r="L756" s="1637"/>
      <c r="M756" s="1638">
        <v>0</v>
      </c>
      <c r="N756" s="1639">
        <v>1.3016245326220681</v>
      </c>
      <c r="O756" s="1639">
        <v>1.3057043566021331</v>
      </c>
    </row>
    <row r="757" spans="11:15">
      <c r="K757" s="1636">
        <v>42814</v>
      </c>
      <c r="L757" s="1637" t="s">
        <v>1650</v>
      </c>
      <c r="M757" s="1638">
        <v>4.5512999999999998E-2</v>
      </c>
      <c r="N757" s="1639">
        <v>1.3022169409956004</v>
      </c>
      <c r="O757" s="1639">
        <v>1.3063902561576999</v>
      </c>
    </row>
    <row r="758" spans="11:15">
      <c r="K758" s="1636">
        <v>42815</v>
      </c>
      <c r="L758" s="1637" t="s">
        <v>1650</v>
      </c>
      <c r="M758" s="1638">
        <v>4.5512999999999998E-2</v>
      </c>
      <c r="N758" s="1639">
        <v>1.3028096189919556</v>
      </c>
      <c r="O758" s="1639">
        <v>1.3070765160231621</v>
      </c>
    </row>
    <row r="759" spans="11:15">
      <c r="K759" s="1636">
        <v>42816</v>
      </c>
      <c r="L759" s="1637" t="s">
        <v>1650</v>
      </c>
      <c r="M759" s="1638">
        <v>4.5512999999999998E-2</v>
      </c>
      <c r="N759" s="1639">
        <v>1.3034025667338474</v>
      </c>
      <c r="O759" s="1639">
        <v>1.3077631363877942</v>
      </c>
    </row>
    <row r="760" spans="11:15">
      <c r="K760" s="1636">
        <v>42817</v>
      </c>
      <c r="L760" s="1637" t="s">
        <v>1650</v>
      </c>
      <c r="M760" s="1638">
        <v>4.5512999999999998E-2</v>
      </c>
      <c r="N760" s="1639">
        <v>1.3039957843440448</v>
      </c>
      <c r="O760" s="1639">
        <v>1.30845011744097</v>
      </c>
    </row>
    <row r="761" spans="11:15">
      <c r="K761" s="1636">
        <v>42818</v>
      </c>
      <c r="L761" s="1637" t="s">
        <v>1650</v>
      </c>
      <c r="M761" s="1638">
        <v>4.5512999999999998E-2</v>
      </c>
      <c r="N761" s="1639">
        <v>1.3045892719453733</v>
      </c>
      <c r="O761" s="1639">
        <v>1.309137459372163</v>
      </c>
    </row>
    <row r="762" spans="11:15">
      <c r="K762" s="1636">
        <v>42819</v>
      </c>
      <c r="L762" s="1637"/>
      <c r="M762" s="1638">
        <v>0</v>
      </c>
      <c r="N762" s="1639">
        <v>1.3045892719453733</v>
      </c>
      <c r="O762" s="1639">
        <v>1.309137459372163</v>
      </c>
    </row>
    <row r="763" spans="11:15">
      <c r="K763" s="1636">
        <v>42820</v>
      </c>
      <c r="L763" s="1637"/>
      <c r="M763" s="1638">
        <v>0</v>
      </c>
      <c r="N763" s="1639">
        <v>1.3045892719453733</v>
      </c>
      <c r="O763" s="1639">
        <v>1.309137459372163</v>
      </c>
    </row>
    <row r="764" spans="11:15">
      <c r="K764" s="1636">
        <v>42821</v>
      </c>
      <c r="L764" s="1637" t="s">
        <v>1650</v>
      </c>
      <c r="M764" s="1638">
        <v>4.5512999999999998E-2</v>
      </c>
      <c r="N764" s="1639">
        <v>1.3051830296607139</v>
      </c>
      <c r="O764" s="1639">
        <v>1.3098251623709458</v>
      </c>
    </row>
    <row r="765" spans="11:15">
      <c r="K765" s="1636">
        <v>42822</v>
      </c>
      <c r="L765" s="1637" t="s">
        <v>1650</v>
      </c>
      <c r="M765" s="1638">
        <v>4.5512999999999998E-2</v>
      </c>
      <c r="N765" s="1639">
        <v>1.3057770576130032</v>
      </c>
      <c r="O765" s="1639">
        <v>1.310513226626991</v>
      </c>
    </row>
    <row r="766" spans="11:15">
      <c r="K766" s="1636">
        <v>42823</v>
      </c>
      <c r="L766" s="1637" t="s">
        <v>1650</v>
      </c>
      <c r="M766" s="1638">
        <v>4.5512999999999998E-2</v>
      </c>
      <c r="N766" s="1639">
        <v>1.3063713559252346</v>
      </c>
      <c r="O766" s="1639">
        <v>1.3112016523300705</v>
      </c>
    </row>
    <row r="767" spans="11:15">
      <c r="K767" s="1636">
        <v>42824</v>
      </c>
      <c r="L767" s="1637" t="s">
        <v>1650</v>
      </c>
      <c r="M767" s="1638">
        <v>4.5512999999999998E-2</v>
      </c>
      <c r="N767" s="1639">
        <v>1.3069659247204568</v>
      </c>
      <c r="O767" s="1639">
        <v>1.3118904396700559</v>
      </c>
    </row>
    <row r="768" spans="11:15">
      <c r="K768" s="1636">
        <v>42825</v>
      </c>
      <c r="L768" s="1637" t="s">
        <v>1650</v>
      </c>
      <c r="M768" s="1638">
        <v>4.5512999999999998E-2</v>
      </c>
      <c r="N768" s="1639">
        <v>1.3075607641217748</v>
      </c>
      <c r="O768" s="1639">
        <v>1.3125795888369189</v>
      </c>
    </row>
    <row r="769" spans="11:15">
      <c r="K769" s="1636">
        <v>42826</v>
      </c>
      <c r="L769" s="1637"/>
      <c r="M769" s="1638">
        <v>0</v>
      </c>
      <c r="N769" s="1639">
        <v>1.3075607641217748</v>
      </c>
      <c r="O769" s="1639">
        <v>1.3125795888369189</v>
      </c>
    </row>
    <row r="770" spans="11:15">
      <c r="K770" s="1636">
        <v>42827</v>
      </c>
      <c r="L770" s="1637"/>
      <c r="M770" s="1638">
        <v>0</v>
      </c>
      <c r="N770" s="1639">
        <v>1.3075607641217748</v>
      </c>
      <c r="O770" s="1639">
        <v>1.3125795888369189</v>
      </c>
    </row>
    <row r="771" spans="11:15">
      <c r="K771" s="1636">
        <v>42828</v>
      </c>
      <c r="L771" s="1637" t="s">
        <v>1650</v>
      </c>
      <c r="M771" s="1638">
        <v>4.5512999999999998E-2</v>
      </c>
      <c r="N771" s="1639">
        <v>1.3081558742523496</v>
      </c>
      <c r="O771" s="1639">
        <v>1.3132691000207308</v>
      </c>
    </row>
    <row r="772" spans="11:15">
      <c r="K772" s="1636">
        <v>42829</v>
      </c>
      <c r="L772" s="1637" t="s">
        <v>1650</v>
      </c>
      <c r="M772" s="1638">
        <v>4.5512999999999998E-2</v>
      </c>
      <c r="N772" s="1639">
        <v>1.3087512552353979</v>
      </c>
      <c r="O772" s="1639">
        <v>1.3139589734116628</v>
      </c>
    </row>
    <row r="773" spans="11:15">
      <c r="K773" s="1636">
        <v>42830</v>
      </c>
      <c r="L773" s="1637" t="s">
        <v>1650</v>
      </c>
      <c r="M773" s="1638">
        <v>4.5512999999999998E-2</v>
      </c>
      <c r="N773" s="1639">
        <v>1.3093469071941932</v>
      </c>
      <c r="O773" s="1639">
        <v>1.3146492091999857</v>
      </c>
    </row>
    <row r="774" spans="11:15">
      <c r="K774" s="1636">
        <v>42831</v>
      </c>
      <c r="L774" s="1637" t="s">
        <v>1650</v>
      </c>
      <c r="M774" s="1638">
        <v>4.5512999999999998E-2</v>
      </c>
      <c r="N774" s="1639">
        <v>1.3099428302520644</v>
      </c>
      <c r="O774" s="1639">
        <v>1.3153398075760705</v>
      </c>
    </row>
    <row r="775" spans="11:15">
      <c r="K775" s="1636">
        <v>42832</v>
      </c>
      <c r="L775" s="1637" t="s">
        <v>1650</v>
      </c>
      <c r="M775" s="1638">
        <v>4.5512999999999998E-2</v>
      </c>
      <c r="N775" s="1639">
        <v>1.3105390245323969</v>
      </c>
      <c r="O775" s="1639">
        <v>1.3160307687303883</v>
      </c>
    </row>
    <row r="776" spans="11:15">
      <c r="K776" s="1636">
        <v>42833</v>
      </c>
      <c r="L776" s="1637"/>
      <c r="M776" s="1638">
        <v>0</v>
      </c>
      <c r="N776" s="1639">
        <v>1.3105390245323969</v>
      </c>
      <c r="O776" s="1639">
        <v>1.3160307687303883</v>
      </c>
    </row>
    <row r="777" spans="11:15">
      <c r="K777" s="1636">
        <v>42834</v>
      </c>
      <c r="L777" s="1637"/>
      <c r="M777" s="1638">
        <v>0</v>
      </c>
      <c r="N777" s="1639">
        <v>1.3105390245323969</v>
      </c>
      <c r="O777" s="1639">
        <v>1.3160307687303883</v>
      </c>
    </row>
    <row r="778" spans="11:15">
      <c r="K778" s="1636">
        <v>42835</v>
      </c>
      <c r="L778" s="1637" t="s">
        <v>1650</v>
      </c>
      <c r="M778" s="1638">
        <v>4.5512999999999998E-2</v>
      </c>
      <c r="N778" s="1639">
        <v>1.3111354901586323</v>
      </c>
      <c r="O778" s="1639">
        <v>1.3167220928535099</v>
      </c>
    </row>
    <row r="779" spans="11:15">
      <c r="K779" s="1636">
        <v>42836</v>
      </c>
      <c r="L779" s="1637" t="s">
        <v>1650</v>
      </c>
      <c r="M779" s="1638">
        <v>4.5512999999999998E-2</v>
      </c>
      <c r="N779" s="1639">
        <v>1.3117322272542682</v>
      </c>
      <c r="O779" s="1639">
        <v>1.3174137801361068</v>
      </c>
    </row>
    <row r="780" spans="11:15">
      <c r="K780" s="1636">
        <v>42837</v>
      </c>
      <c r="L780" s="1637" t="s">
        <v>1650</v>
      </c>
      <c r="M780" s="1638">
        <v>4.5512999999999998E-2</v>
      </c>
      <c r="N780" s="1639">
        <v>1.3123292359428584</v>
      </c>
      <c r="O780" s="1639">
        <v>1.3181058307689502</v>
      </c>
    </row>
    <row r="781" spans="11:15">
      <c r="K781" s="1636">
        <v>42838</v>
      </c>
      <c r="L781" s="1637" t="s">
        <v>1650</v>
      </c>
      <c r="M781" s="1638">
        <v>4.1957000000000001E-2</v>
      </c>
      <c r="N781" s="1639">
        <v>1.3128798499203831</v>
      </c>
      <c r="O781" s="1639">
        <v>1.3187982449429114</v>
      </c>
    </row>
    <row r="782" spans="11:15">
      <c r="K782" s="1636">
        <v>42839</v>
      </c>
      <c r="L782" s="1637"/>
      <c r="M782" s="1638">
        <v>0</v>
      </c>
      <c r="N782" s="1639">
        <v>1.3128798499203831</v>
      </c>
      <c r="O782" s="1639">
        <v>1.3187982449429114</v>
      </c>
    </row>
    <row r="783" spans="11:15">
      <c r="K783" s="1636">
        <v>42840</v>
      </c>
      <c r="L783" s="1637"/>
      <c r="M783" s="1638">
        <v>0</v>
      </c>
      <c r="N783" s="1639">
        <v>1.3128798499203831</v>
      </c>
      <c r="O783" s="1639">
        <v>1.3187982449429114</v>
      </c>
    </row>
    <row r="784" spans="11:15">
      <c r="K784" s="1636">
        <v>42841</v>
      </c>
      <c r="L784" s="1637"/>
      <c r="M784" s="1638">
        <v>0</v>
      </c>
      <c r="N784" s="1639">
        <v>1.3128798499203831</v>
      </c>
      <c r="O784" s="1639">
        <v>1.3187982449429114</v>
      </c>
    </row>
    <row r="785" spans="11:15">
      <c r="K785" s="1636">
        <v>42842</v>
      </c>
      <c r="L785" s="1637" t="s">
        <v>1650</v>
      </c>
      <c r="M785" s="1638">
        <v>4.1957000000000001E-2</v>
      </c>
      <c r="N785" s="1639">
        <v>1.3134306949190142</v>
      </c>
      <c r="O785" s="1639">
        <v>1.3194910228489625</v>
      </c>
    </row>
    <row r="786" spans="11:15">
      <c r="K786" s="1636">
        <v>42843</v>
      </c>
      <c r="L786" s="1637" t="s">
        <v>1650</v>
      </c>
      <c r="M786" s="1638">
        <v>4.1957000000000001E-2</v>
      </c>
      <c r="N786" s="1639">
        <v>1.3139817710356814</v>
      </c>
      <c r="O786" s="1639">
        <v>1.3201841646781753</v>
      </c>
    </row>
    <row r="787" spans="11:15">
      <c r="K787" s="1636">
        <v>42844</v>
      </c>
      <c r="L787" s="1637" t="s">
        <v>1650</v>
      </c>
      <c r="M787" s="1638">
        <v>4.1957000000000001E-2</v>
      </c>
      <c r="N787" s="1639">
        <v>1.3145330783673548</v>
      </c>
      <c r="O787" s="1639">
        <v>1.3208776706217225</v>
      </c>
    </row>
    <row r="788" spans="11:15">
      <c r="K788" s="1636">
        <v>42845</v>
      </c>
      <c r="L788" s="1637" t="s">
        <v>1650</v>
      </c>
      <c r="M788" s="1638">
        <v>4.1957000000000001E-2</v>
      </c>
      <c r="N788" s="1639">
        <v>1.3150846170110455</v>
      </c>
      <c r="O788" s="1639">
        <v>1.3215715408708768</v>
      </c>
    </row>
    <row r="789" spans="11:15">
      <c r="K789" s="1636">
        <v>42846</v>
      </c>
      <c r="L789" s="1637"/>
      <c r="M789" s="1638">
        <v>0</v>
      </c>
      <c r="N789" s="1639">
        <v>1.3150846170110455</v>
      </c>
      <c r="O789" s="1639">
        <v>1.3215715408708768</v>
      </c>
    </row>
    <row r="790" spans="11:15">
      <c r="K790" s="1636">
        <v>42847</v>
      </c>
      <c r="L790" s="1637"/>
      <c r="M790" s="1638">
        <v>0</v>
      </c>
      <c r="N790" s="1639">
        <v>1.3150846170110455</v>
      </c>
      <c r="O790" s="1639">
        <v>1.3215715408708768</v>
      </c>
    </row>
    <row r="791" spans="11:15">
      <c r="K791" s="1636">
        <v>42848</v>
      </c>
      <c r="L791" s="1637"/>
      <c r="M791" s="1638">
        <v>0</v>
      </c>
      <c r="N791" s="1639">
        <v>1.3150846170110455</v>
      </c>
      <c r="O791" s="1639">
        <v>1.3215715408708768</v>
      </c>
    </row>
    <row r="792" spans="11:15">
      <c r="K792" s="1636">
        <v>42849</v>
      </c>
      <c r="L792" s="1637" t="s">
        <v>1650</v>
      </c>
      <c r="M792" s="1638">
        <v>4.1957000000000001E-2</v>
      </c>
      <c r="N792" s="1639">
        <v>1.3156363870638048</v>
      </c>
      <c r="O792" s="1639">
        <v>1.3222657756170118</v>
      </c>
    </row>
    <row r="793" spans="11:15">
      <c r="K793" s="1636">
        <v>42850</v>
      </c>
      <c r="L793" s="1637" t="s">
        <v>1650</v>
      </c>
      <c r="M793" s="1638">
        <v>4.1957000000000001E-2</v>
      </c>
      <c r="N793" s="1639">
        <v>1.3161883886227252</v>
      </c>
      <c r="O793" s="1639">
        <v>1.322960375051601</v>
      </c>
    </row>
    <row r="794" spans="11:15">
      <c r="K794" s="1636">
        <v>42851</v>
      </c>
      <c r="L794" s="1637" t="s">
        <v>1650</v>
      </c>
      <c r="M794" s="1638">
        <v>4.1957000000000001E-2</v>
      </c>
      <c r="N794" s="1639">
        <v>1.3167406217849398</v>
      </c>
      <c r="O794" s="1639">
        <v>1.3236553393662194</v>
      </c>
    </row>
    <row r="795" spans="11:15">
      <c r="K795" s="1636">
        <v>42852</v>
      </c>
      <c r="L795" s="1637" t="s">
        <v>1650</v>
      </c>
      <c r="M795" s="1638">
        <v>4.1957000000000001E-2</v>
      </c>
      <c r="N795" s="1639">
        <v>1.3172930866476222</v>
      </c>
      <c r="O795" s="1639">
        <v>1.3243506687525419</v>
      </c>
    </row>
    <row r="796" spans="11:15">
      <c r="K796" s="1636">
        <v>42853</v>
      </c>
      <c r="L796" s="1637" t="s">
        <v>1650</v>
      </c>
      <c r="M796" s="1638">
        <v>4.1957000000000001E-2</v>
      </c>
      <c r="N796" s="1639">
        <v>1.3178457833079871</v>
      </c>
      <c r="O796" s="1639">
        <v>1.3250463634023444</v>
      </c>
    </row>
    <row r="797" spans="11:15">
      <c r="K797" s="1636">
        <v>42854</v>
      </c>
      <c r="L797" s="1637"/>
      <c r="M797" s="1638">
        <v>0</v>
      </c>
      <c r="N797" s="1639">
        <v>1.3178457833079871</v>
      </c>
      <c r="O797" s="1639">
        <v>1.3250463634023444</v>
      </c>
    </row>
    <row r="798" spans="11:15">
      <c r="K798" s="1636">
        <v>42855</v>
      </c>
      <c r="L798" s="1637"/>
      <c r="M798" s="1638">
        <v>0</v>
      </c>
      <c r="N798" s="1639">
        <v>1.3178457833079871</v>
      </c>
      <c r="O798" s="1639">
        <v>1.3250463634023444</v>
      </c>
    </row>
    <row r="799" spans="11:15">
      <c r="K799" s="1636">
        <v>42856</v>
      </c>
      <c r="L799" s="1637"/>
      <c r="M799" s="1638">
        <v>0</v>
      </c>
      <c r="N799" s="1639">
        <v>1.3178457833079871</v>
      </c>
      <c r="O799" s="1639">
        <v>1.3250463634023444</v>
      </c>
    </row>
    <row r="800" spans="11:15">
      <c r="K800" s="1636">
        <v>42857</v>
      </c>
      <c r="L800" s="1637" t="s">
        <v>1650</v>
      </c>
      <c r="M800" s="1638">
        <v>4.1957000000000001E-2</v>
      </c>
      <c r="N800" s="1639">
        <v>1.3183987118632896</v>
      </c>
      <c r="O800" s="1639">
        <v>1.3257424235075033</v>
      </c>
    </row>
    <row r="801" spans="11:15">
      <c r="K801" s="1636">
        <v>42858</v>
      </c>
      <c r="L801" s="1637" t="s">
        <v>1650</v>
      </c>
      <c r="M801" s="1638">
        <v>4.1957000000000001E-2</v>
      </c>
      <c r="N801" s="1639">
        <v>1.3189518724108262</v>
      </c>
      <c r="O801" s="1639">
        <v>1.3264388492599959</v>
      </c>
    </row>
    <row r="802" spans="11:15">
      <c r="K802" s="1636">
        <v>42859</v>
      </c>
      <c r="L802" s="1637" t="s">
        <v>1650</v>
      </c>
      <c r="M802" s="1638">
        <v>4.1957000000000001E-2</v>
      </c>
      <c r="N802" s="1639">
        <v>1.3195052650479338</v>
      </c>
      <c r="O802" s="1639">
        <v>1.3271356408519006</v>
      </c>
    </row>
    <row r="803" spans="11:15">
      <c r="K803" s="1636">
        <v>42860</v>
      </c>
      <c r="L803" s="1637" t="s">
        <v>1650</v>
      </c>
      <c r="M803" s="1638">
        <v>4.1957000000000001E-2</v>
      </c>
      <c r="N803" s="1639">
        <v>1.32005888987199</v>
      </c>
      <c r="O803" s="1639">
        <v>1.3278327984753966</v>
      </c>
    </row>
    <row r="804" spans="11:15">
      <c r="K804" s="1636">
        <v>42861</v>
      </c>
      <c r="L804" s="1637"/>
      <c r="M804" s="1638">
        <v>0</v>
      </c>
      <c r="N804" s="1639">
        <v>1.32005888987199</v>
      </c>
      <c r="O804" s="1639">
        <v>1.3278327984753966</v>
      </c>
    </row>
    <row r="805" spans="11:15">
      <c r="K805" s="1636">
        <v>42862</v>
      </c>
      <c r="L805" s="1637"/>
      <c r="M805" s="1638">
        <v>0</v>
      </c>
      <c r="N805" s="1639">
        <v>1.32005888987199</v>
      </c>
      <c r="O805" s="1639">
        <v>1.3278327984753966</v>
      </c>
    </row>
    <row r="806" spans="11:15">
      <c r="K806" s="1636">
        <v>42863</v>
      </c>
      <c r="L806" s="1637" t="s">
        <v>1650</v>
      </c>
      <c r="M806" s="1638">
        <v>4.1957000000000001E-2</v>
      </c>
      <c r="N806" s="1639">
        <v>1.3206127469804136</v>
      </c>
      <c r="O806" s="1639">
        <v>1.3285303223227638</v>
      </c>
    </row>
    <row r="807" spans="11:15">
      <c r="K807" s="1636">
        <v>42864</v>
      </c>
      <c r="L807" s="1637" t="s">
        <v>1650</v>
      </c>
      <c r="M807" s="1638">
        <v>4.1957000000000001E-2</v>
      </c>
      <c r="N807" s="1639">
        <v>1.3211668364706644</v>
      </c>
      <c r="O807" s="1639">
        <v>1.3292282125863832</v>
      </c>
    </row>
    <row r="808" spans="11:15">
      <c r="K808" s="1636">
        <v>42865</v>
      </c>
      <c r="L808" s="1637" t="s">
        <v>1650</v>
      </c>
      <c r="M808" s="1638">
        <v>4.1957000000000001E-2</v>
      </c>
      <c r="N808" s="1639">
        <v>1.3217211584402424</v>
      </c>
      <c r="O808" s="1639">
        <v>1.3299264694587369</v>
      </c>
    </row>
    <row r="809" spans="11:15">
      <c r="K809" s="1636">
        <v>42866</v>
      </c>
      <c r="L809" s="1637" t="s">
        <v>1650</v>
      </c>
      <c r="M809" s="1638">
        <v>4.1957000000000001E-2</v>
      </c>
      <c r="N809" s="1639">
        <v>1.3222757129866893</v>
      </c>
      <c r="O809" s="1639">
        <v>1.3306250931324084</v>
      </c>
    </row>
    <row r="810" spans="11:15">
      <c r="K810" s="1636">
        <v>42867</v>
      </c>
      <c r="L810" s="1637" t="s">
        <v>1650</v>
      </c>
      <c r="M810" s="1638">
        <v>4.1957000000000001E-2</v>
      </c>
      <c r="N810" s="1639">
        <v>1.3228305002075873</v>
      </c>
      <c r="O810" s="1639">
        <v>1.3313240838000817</v>
      </c>
    </row>
    <row r="811" spans="11:15">
      <c r="K811" s="1636">
        <v>42868</v>
      </c>
      <c r="L811" s="1637"/>
      <c r="M811" s="1638">
        <v>0</v>
      </c>
      <c r="N811" s="1639">
        <v>1.3228305002075873</v>
      </c>
      <c r="O811" s="1639">
        <v>1.3313240838000817</v>
      </c>
    </row>
    <row r="812" spans="11:15">
      <c r="K812" s="1636">
        <v>42869</v>
      </c>
      <c r="L812" s="1637"/>
      <c r="M812" s="1638">
        <v>0</v>
      </c>
      <c r="N812" s="1639">
        <v>1.3228305002075873</v>
      </c>
      <c r="O812" s="1639">
        <v>1.3313240838000817</v>
      </c>
    </row>
    <row r="813" spans="11:15">
      <c r="K813" s="1636">
        <v>42870</v>
      </c>
      <c r="L813" s="1637" t="s">
        <v>1650</v>
      </c>
      <c r="M813" s="1638">
        <v>4.1957000000000001E-2</v>
      </c>
      <c r="N813" s="1639">
        <v>1.3233855202005596</v>
      </c>
      <c r="O813" s="1639">
        <v>1.3320234416545427</v>
      </c>
    </row>
    <row r="814" spans="11:15">
      <c r="K814" s="1636">
        <v>42871</v>
      </c>
      <c r="L814" s="1637" t="s">
        <v>1650</v>
      </c>
      <c r="M814" s="1638">
        <v>4.1957000000000001E-2</v>
      </c>
      <c r="N814" s="1639">
        <v>1.3239407730632702</v>
      </c>
      <c r="O814" s="1639">
        <v>1.3327231668886783</v>
      </c>
    </row>
    <row r="815" spans="11:15">
      <c r="K815" s="1636">
        <v>42872</v>
      </c>
      <c r="L815" s="1637" t="s">
        <v>1650</v>
      </c>
      <c r="M815" s="1638">
        <v>4.1957000000000001E-2</v>
      </c>
      <c r="N815" s="1639">
        <v>1.3244962588934244</v>
      </c>
      <c r="O815" s="1639">
        <v>1.3334232596954767</v>
      </c>
    </row>
    <row r="816" spans="11:15">
      <c r="K816" s="1636">
        <v>42873</v>
      </c>
      <c r="L816" s="1637" t="s">
        <v>1650</v>
      </c>
      <c r="M816" s="1638">
        <v>4.1957000000000001E-2</v>
      </c>
      <c r="N816" s="1639">
        <v>1.3250519777887684</v>
      </c>
      <c r="O816" s="1639">
        <v>1.3341237202680274</v>
      </c>
    </row>
    <row r="817" spans="11:15">
      <c r="K817" s="1636">
        <v>42874</v>
      </c>
      <c r="L817" s="1637" t="s">
        <v>1650</v>
      </c>
      <c r="M817" s="1638">
        <v>4.1957000000000001E-2</v>
      </c>
      <c r="N817" s="1639">
        <v>1.3256079298470893</v>
      </c>
      <c r="O817" s="1639">
        <v>1.3348245487995214</v>
      </c>
    </row>
    <row r="818" spans="11:15">
      <c r="K818" s="1636">
        <v>42875</v>
      </c>
      <c r="L818" s="1637"/>
      <c r="M818" s="1638">
        <v>0</v>
      </c>
      <c r="N818" s="1639">
        <v>1.3256079298470893</v>
      </c>
      <c r="O818" s="1639">
        <v>1.3348245487995214</v>
      </c>
    </row>
    <row r="819" spans="11:15">
      <c r="K819" s="1636">
        <v>42876</v>
      </c>
      <c r="L819" s="1637"/>
      <c r="M819" s="1638">
        <v>0</v>
      </c>
      <c r="N819" s="1639">
        <v>1.3256079298470893</v>
      </c>
      <c r="O819" s="1639">
        <v>1.3348245487995214</v>
      </c>
    </row>
    <row r="820" spans="11:15">
      <c r="K820" s="1636">
        <v>42877</v>
      </c>
      <c r="L820" s="1637" t="s">
        <v>1650</v>
      </c>
      <c r="M820" s="1638">
        <v>4.1957000000000001E-2</v>
      </c>
      <c r="N820" s="1639">
        <v>1.3261641151662154</v>
      </c>
      <c r="O820" s="1639">
        <v>1.3355257454832512</v>
      </c>
    </row>
    <row r="821" spans="11:15">
      <c r="K821" s="1636">
        <v>42878</v>
      </c>
      <c r="L821" s="1637" t="s">
        <v>1650</v>
      </c>
      <c r="M821" s="1638">
        <v>4.1957000000000001E-2</v>
      </c>
      <c r="N821" s="1639">
        <v>1.3267205338440158</v>
      </c>
      <c r="O821" s="1639">
        <v>1.336227310512611</v>
      </c>
    </row>
    <row r="822" spans="11:15">
      <c r="K822" s="1636">
        <v>42879</v>
      </c>
      <c r="L822" s="1637" t="s">
        <v>1650</v>
      </c>
      <c r="M822" s="1638">
        <v>4.1957000000000001E-2</v>
      </c>
      <c r="N822" s="1639">
        <v>1.3272771859784007</v>
      </c>
      <c r="O822" s="1639">
        <v>1.3369292440810965</v>
      </c>
    </row>
    <row r="823" spans="11:15">
      <c r="K823" s="1636">
        <v>42880</v>
      </c>
      <c r="L823" s="1637" t="s">
        <v>1650</v>
      </c>
      <c r="M823" s="1638">
        <v>4.1957000000000001E-2</v>
      </c>
      <c r="N823" s="1639">
        <v>1.3278340716673218</v>
      </c>
      <c r="O823" s="1639">
        <v>1.3376315463823047</v>
      </c>
    </row>
    <row r="824" spans="11:15">
      <c r="K824" s="1636">
        <v>42881</v>
      </c>
      <c r="L824" s="1637" t="s">
        <v>1650</v>
      </c>
      <c r="M824" s="1638">
        <v>4.1957000000000001E-2</v>
      </c>
      <c r="N824" s="1639">
        <v>1.3283911910087713</v>
      </c>
      <c r="O824" s="1639">
        <v>1.3383342176099349</v>
      </c>
    </row>
    <row r="825" spans="11:15">
      <c r="K825" s="1636">
        <v>42882</v>
      </c>
      <c r="L825" s="1637"/>
      <c r="M825" s="1638">
        <v>0</v>
      </c>
      <c r="N825" s="1639">
        <v>1.3283911910087713</v>
      </c>
      <c r="O825" s="1639">
        <v>1.3383342176099349</v>
      </c>
    </row>
    <row r="826" spans="11:15">
      <c r="K826" s="1636">
        <v>42883</v>
      </c>
      <c r="L826" s="1637"/>
      <c r="M826" s="1638">
        <v>0</v>
      </c>
      <c r="N826" s="1639">
        <v>1.3283911910087713</v>
      </c>
      <c r="O826" s="1639">
        <v>1.3383342176099349</v>
      </c>
    </row>
    <row r="827" spans="11:15">
      <c r="K827" s="1636">
        <v>42884</v>
      </c>
      <c r="L827" s="1637" t="s">
        <v>1650</v>
      </c>
      <c r="M827" s="1638">
        <v>4.1957000000000001E-2</v>
      </c>
      <c r="N827" s="1639">
        <v>1.3289485441007829</v>
      </c>
      <c r="O827" s="1639">
        <v>1.3390372579577876</v>
      </c>
    </row>
    <row r="828" spans="11:15">
      <c r="K828" s="1636">
        <v>42885</v>
      </c>
      <c r="L828" s="1637" t="s">
        <v>1650</v>
      </c>
      <c r="M828" s="1638">
        <v>4.1957000000000001E-2</v>
      </c>
      <c r="N828" s="1639">
        <v>1.3295061310414313</v>
      </c>
      <c r="O828" s="1639">
        <v>1.3397406676197654</v>
      </c>
    </row>
    <row r="829" spans="11:15">
      <c r="K829" s="1636">
        <v>42886</v>
      </c>
      <c r="L829" s="1637" t="s">
        <v>1650</v>
      </c>
      <c r="M829" s="1638">
        <v>4.1957000000000001E-2</v>
      </c>
      <c r="N829" s="1639">
        <v>1.3300639519288324</v>
      </c>
      <c r="O829" s="1639">
        <v>1.3404444467898728</v>
      </c>
    </row>
    <row r="830" spans="11:15">
      <c r="K830" s="1636">
        <v>42887</v>
      </c>
      <c r="L830" s="1637" t="s">
        <v>1650</v>
      </c>
      <c r="M830" s="1638">
        <v>3.8370000000000001E-2</v>
      </c>
      <c r="N830" s="1639">
        <v>1.3305742974671875</v>
      </c>
      <c r="O830" s="1639">
        <v>1.341148595662216</v>
      </c>
    </row>
    <row r="831" spans="11:15">
      <c r="K831" s="1636">
        <v>42888</v>
      </c>
      <c r="L831" s="1637" t="s">
        <v>1650</v>
      </c>
      <c r="M831" s="1638">
        <v>3.8370000000000001E-2</v>
      </c>
      <c r="N831" s="1639">
        <v>1.3310848388251255</v>
      </c>
      <c r="O831" s="1639">
        <v>1.3418531144310033</v>
      </c>
    </row>
    <row r="832" spans="11:15">
      <c r="K832" s="1636">
        <v>42889</v>
      </c>
      <c r="L832" s="1637"/>
      <c r="M832" s="1638">
        <v>0</v>
      </c>
      <c r="N832" s="1639">
        <v>1.3310848388251255</v>
      </c>
      <c r="O832" s="1639">
        <v>1.3418531144310033</v>
      </c>
    </row>
    <row r="833" spans="11:15">
      <c r="K833" s="1636">
        <v>42890</v>
      </c>
      <c r="L833" s="1637"/>
      <c r="M833" s="1638">
        <v>0</v>
      </c>
      <c r="N833" s="1639">
        <v>1.3310848388251255</v>
      </c>
      <c r="O833" s="1639">
        <v>1.3418531144310033</v>
      </c>
    </row>
    <row r="834" spans="11:15">
      <c r="K834" s="1636">
        <v>42891</v>
      </c>
      <c r="L834" s="1637" t="s">
        <v>1650</v>
      </c>
      <c r="M834" s="1638">
        <v>3.8370000000000001E-2</v>
      </c>
      <c r="N834" s="1639">
        <v>1.3315955760777827</v>
      </c>
      <c r="O834" s="1639">
        <v>1.3425580032905451</v>
      </c>
    </row>
    <row r="835" spans="11:15">
      <c r="K835" s="1636">
        <v>42892</v>
      </c>
      <c r="L835" s="1637" t="s">
        <v>1650</v>
      </c>
      <c r="M835" s="1638">
        <v>3.8370000000000001E-2</v>
      </c>
      <c r="N835" s="1639">
        <v>1.3321065093003237</v>
      </c>
      <c r="O835" s="1639">
        <v>1.3432632624352536</v>
      </c>
    </row>
    <row r="836" spans="11:15">
      <c r="K836" s="1636">
        <v>42893</v>
      </c>
      <c r="L836" s="1637" t="s">
        <v>1650</v>
      </c>
      <c r="M836" s="1638">
        <v>3.8370000000000001E-2</v>
      </c>
      <c r="N836" s="1639">
        <v>1.3326176385679422</v>
      </c>
      <c r="O836" s="1639">
        <v>1.3439688920596435</v>
      </c>
    </row>
    <row r="837" spans="11:15">
      <c r="K837" s="1636">
        <v>42894</v>
      </c>
      <c r="L837" s="1637" t="s">
        <v>1650</v>
      </c>
      <c r="M837" s="1638">
        <v>3.8370000000000001E-2</v>
      </c>
      <c r="N837" s="1639">
        <v>1.3331289639558608</v>
      </c>
      <c r="O837" s="1639">
        <v>1.3446748923583314</v>
      </c>
    </row>
    <row r="838" spans="11:15">
      <c r="K838" s="1636">
        <v>42895</v>
      </c>
      <c r="L838" s="1637" t="s">
        <v>1650</v>
      </c>
      <c r="M838" s="1638">
        <v>3.8370000000000001E-2</v>
      </c>
      <c r="N838" s="1639">
        <v>1.3336404855393307</v>
      </c>
      <c r="O838" s="1639">
        <v>1.345381263526036</v>
      </c>
    </row>
    <row r="839" spans="11:15">
      <c r="K839" s="1636">
        <v>42896</v>
      </c>
      <c r="L839" s="1637"/>
      <c r="M839" s="1638">
        <v>0</v>
      </c>
      <c r="N839" s="1639">
        <v>1.3336404855393307</v>
      </c>
      <c r="O839" s="1639">
        <v>1.345381263526036</v>
      </c>
    </row>
    <row r="840" spans="11:15">
      <c r="K840" s="1636">
        <v>42897</v>
      </c>
      <c r="L840" s="1637"/>
      <c r="M840" s="1638">
        <v>0</v>
      </c>
      <c r="N840" s="1639">
        <v>1.3336404855393307</v>
      </c>
      <c r="O840" s="1639">
        <v>1.345381263526036</v>
      </c>
    </row>
    <row r="841" spans="11:15">
      <c r="K841" s="1636">
        <v>42898</v>
      </c>
      <c r="L841" s="1637" t="s">
        <v>1650</v>
      </c>
      <c r="M841" s="1638">
        <v>3.8370000000000001E-2</v>
      </c>
      <c r="N841" s="1639">
        <v>1.3341522033936322</v>
      </c>
      <c r="O841" s="1639">
        <v>1.3460880057575788</v>
      </c>
    </row>
    <row r="842" spans="11:15">
      <c r="K842" s="1636">
        <v>42899</v>
      </c>
      <c r="L842" s="1637" t="s">
        <v>1650</v>
      </c>
      <c r="M842" s="1638">
        <v>3.8370000000000001E-2</v>
      </c>
      <c r="N842" s="1639">
        <v>1.3346641175940743</v>
      </c>
      <c r="O842" s="1639">
        <v>1.3467951192478833</v>
      </c>
    </row>
    <row r="843" spans="11:15">
      <c r="K843" s="1636">
        <v>42900</v>
      </c>
      <c r="L843" s="1637" t="s">
        <v>1650</v>
      </c>
      <c r="M843" s="1638">
        <v>3.8370000000000001E-2</v>
      </c>
      <c r="N843" s="1639">
        <v>1.3351762282159951</v>
      </c>
      <c r="O843" s="1639">
        <v>1.3475026041919753</v>
      </c>
    </row>
    <row r="844" spans="11:15">
      <c r="K844" s="1636">
        <v>42901</v>
      </c>
      <c r="L844" s="1637"/>
      <c r="M844" s="1638">
        <v>0</v>
      </c>
      <c r="N844" s="1639">
        <v>1.3351762282159951</v>
      </c>
      <c r="O844" s="1639">
        <v>1.3475026041919753</v>
      </c>
    </row>
    <row r="845" spans="11:15">
      <c r="K845" s="1636">
        <v>42902</v>
      </c>
      <c r="L845" s="1637" t="s">
        <v>1650</v>
      </c>
      <c r="M845" s="1638">
        <v>3.8370000000000001E-2</v>
      </c>
      <c r="N845" s="1639">
        <v>1.3356885353347616</v>
      </c>
      <c r="O845" s="1639">
        <v>1.3482104607849834</v>
      </c>
    </row>
    <row r="846" spans="11:15">
      <c r="K846" s="1636">
        <v>42903</v>
      </c>
      <c r="L846" s="1637"/>
      <c r="M846" s="1638">
        <v>0</v>
      </c>
      <c r="N846" s="1639">
        <v>1.3356885353347616</v>
      </c>
      <c r="O846" s="1639">
        <v>1.3482104607849834</v>
      </c>
    </row>
    <row r="847" spans="11:15">
      <c r="K847" s="1636">
        <v>42904</v>
      </c>
      <c r="L847" s="1637"/>
      <c r="M847" s="1638">
        <v>0</v>
      </c>
      <c r="N847" s="1639">
        <v>1.3356885353347616</v>
      </c>
      <c r="O847" s="1639">
        <v>1.3482104607849834</v>
      </c>
    </row>
    <row r="848" spans="11:15">
      <c r="K848" s="1636">
        <v>42905</v>
      </c>
      <c r="L848" s="1637" t="s">
        <v>1650</v>
      </c>
      <c r="M848" s="1638">
        <v>3.8370000000000001E-2</v>
      </c>
      <c r="N848" s="1639">
        <v>1.3362010390257695</v>
      </c>
      <c r="O848" s="1639">
        <v>1.3489186892221383</v>
      </c>
    </row>
    <row r="849" spans="11:15">
      <c r="K849" s="1636">
        <v>42906</v>
      </c>
      <c r="L849" s="1637" t="s">
        <v>1650</v>
      </c>
      <c r="M849" s="1638">
        <v>3.8370000000000001E-2</v>
      </c>
      <c r="N849" s="1639">
        <v>1.3367137393644437</v>
      </c>
      <c r="O849" s="1639">
        <v>1.3496272896987735</v>
      </c>
    </row>
    <row r="850" spans="11:15">
      <c r="K850" s="1636">
        <v>42907</v>
      </c>
      <c r="L850" s="1637" t="s">
        <v>1650</v>
      </c>
      <c r="M850" s="1638">
        <v>3.8370000000000001E-2</v>
      </c>
      <c r="N850" s="1639">
        <v>1.3372266364262377</v>
      </c>
      <c r="O850" s="1639">
        <v>1.3503362624103252</v>
      </c>
    </row>
    <row r="851" spans="11:15">
      <c r="K851" s="1636">
        <v>42908</v>
      </c>
      <c r="L851" s="1637" t="s">
        <v>1650</v>
      </c>
      <c r="M851" s="1638">
        <v>3.8370000000000001E-2</v>
      </c>
      <c r="N851" s="1639">
        <v>1.3377397302866345</v>
      </c>
      <c r="O851" s="1639">
        <v>1.3510456075523321</v>
      </c>
    </row>
    <row r="852" spans="11:15">
      <c r="K852" s="1636">
        <v>42909</v>
      </c>
      <c r="L852" s="1637" t="s">
        <v>1650</v>
      </c>
      <c r="M852" s="1638">
        <v>3.8370000000000001E-2</v>
      </c>
      <c r="N852" s="1639">
        <v>1.3382530210211454</v>
      </c>
      <c r="O852" s="1639">
        <v>1.3517553253204353</v>
      </c>
    </row>
    <row r="853" spans="11:15">
      <c r="K853" s="1636">
        <v>42910</v>
      </c>
      <c r="L853" s="1637"/>
      <c r="M853" s="1638">
        <v>0</v>
      </c>
      <c r="N853" s="1639">
        <v>1.3382530210211454</v>
      </c>
      <c r="O853" s="1639">
        <v>1.3517553253204353</v>
      </c>
    </row>
    <row r="854" spans="11:15">
      <c r="K854" s="1636">
        <v>42911</v>
      </c>
      <c r="L854" s="1637"/>
      <c r="M854" s="1638">
        <v>0</v>
      </c>
      <c r="N854" s="1639">
        <v>1.3382530210211454</v>
      </c>
      <c r="O854" s="1639">
        <v>1.3517553253204353</v>
      </c>
    </row>
    <row r="855" spans="11:15">
      <c r="K855" s="1636">
        <v>42912</v>
      </c>
      <c r="L855" s="1637" t="s">
        <v>1650</v>
      </c>
      <c r="M855" s="1638">
        <v>3.8370000000000001E-2</v>
      </c>
      <c r="N855" s="1639">
        <v>1.3387665087053111</v>
      </c>
      <c r="O855" s="1639">
        <v>1.3524654159103793</v>
      </c>
    </row>
    <row r="856" spans="11:15">
      <c r="K856" s="1636">
        <v>42913</v>
      </c>
      <c r="L856" s="1637" t="s">
        <v>1650</v>
      </c>
      <c r="M856" s="1638">
        <v>3.8370000000000001E-2</v>
      </c>
      <c r="N856" s="1639">
        <v>1.3392801934147014</v>
      </c>
      <c r="O856" s="1639">
        <v>1.3531758795180111</v>
      </c>
    </row>
    <row r="857" spans="11:15">
      <c r="K857" s="1636">
        <v>42914</v>
      </c>
      <c r="L857" s="1637" t="s">
        <v>1650</v>
      </c>
      <c r="M857" s="1638">
        <v>3.8370000000000001E-2</v>
      </c>
      <c r="N857" s="1639">
        <v>1.3397940752249147</v>
      </c>
      <c r="O857" s="1639">
        <v>1.3538867163392807</v>
      </c>
    </row>
    <row r="858" spans="11:15">
      <c r="K858" s="1636">
        <v>42915</v>
      </c>
      <c r="L858" s="1637" t="s">
        <v>1650</v>
      </c>
      <c r="M858" s="1638">
        <v>3.8370000000000001E-2</v>
      </c>
      <c r="N858" s="1639">
        <v>1.3403081542115785</v>
      </c>
      <c r="O858" s="1639">
        <v>1.3545979265702408</v>
      </c>
    </row>
    <row r="859" spans="11:15">
      <c r="K859" s="1636">
        <v>42916</v>
      </c>
      <c r="L859" s="1637" t="s">
        <v>1650</v>
      </c>
      <c r="M859" s="1638">
        <v>3.8370000000000001E-2</v>
      </c>
      <c r="N859" s="1639">
        <v>1.3408224304503493</v>
      </c>
      <c r="O859" s="1639">
        <v>1.3553095104070474</v>
      </c>
    </row>
    <row r="860" spans="11:15">
      <c r="K860" s="1636">
        <v>42917</v>
      </c>
      <c r="L860" s="1637"/>
      <c r="M860" s="1638">
        <v>0</v>
      </c>
      <c r="N860" s="1639">
        <v>1.3408224304503493</v>
      </c>
      <c r="O860" s="1639">
        <v>1.3553095104070474</v>
      </c>
    </row>
    <row r="861" spans="11:15">
      <c r="K861" s="1636">
        <v>42918</v>
      </c>
      <c r="L861" s="1637"/>
      <c r="M861" s="1638">
        <v>0</v>
      </c>
      <c r="N861" s="1639">
        <v>1.3408224304503493</v>
      </c>
      <c r="O861" s="1639">
        <v>1.3553095104070474</v>
      </c>
    </row>
    <row r="862" spans="11:15">
      <c r="K862" s="1636">
        <v>42919</v>
      </c>
      <c r="L862" s="1637" t="s">
        <v>1650</v>
      </c>
      <c r="M862" s="1638">
        <v>3.8370000000000001E-2</v>
      </c>
      <c r="N862" s="1639">
        <v>1.3413369040169132</v>
      </c>
      <c r="O862" s="1639">
        <v>1.3560214680459592</v>
      </c>
    </row>
    <row r="863" spans="11:15">
      <c r="K863" s="1636">
        <v>42920</v>
      </c>
      <c r="L863" s="1637" t="s">
        <v>1650</v>
      </c>
      <c r="M863" s="1638">
        <v>3.8370000000000001E-2</v>
      </c>
      <c r="N863" s="1639">
        <v>1.3418515749869844</v>
      </c>
      <c r="O863" s="1639">
        <v>1.3567337996833384</v>
      </c>
    </row>
    <row r="864" spans="11:15">
      <c r="K864" s="1636">
        <v>42921</v>
      </c>
      <c r="L864" s="1637" t="s">
        <v>1650</v>
      </c>
      <c r="M864" s="1638">
        <v>3.8370000000000001E-2</v>
      </c>
      <c r="N864" s="1639">
        <v>1.342366443436307</v>
      </c>
      <c r="O864" s="1639">
        <v>1.3574465055156502</v>
      </c>
    </row>
    <row r="865" spans="11:15">
      <c r="K865" s="1636">
        <v>42922</v>
      </c>
      <c r="L865" s="1637" t="s">
        <v>1650</v>
      </c>
      <c r="M865" s="1638">
        <v>3.8370000000000001E-2</v>
      </c>
      <c r="N865" s="1639">
        <v>1.3428815094406534</v>
      </c>
      <c r="O865" s="1639">
        <v>1.3581595857394626</v>
      </c>
    </row>
    <row r="866" spans="11:15">
      <c r="K866" s="1636">
        <v>42923</v>
      </c>
      <c r="L866" s="1637" t="s">
        <v>1650</v>
      </c>
      <c r="M866" s="1638">
        <v>3.8370000000000001E-2</v>
      </c>
      <c r="N866" s="1639">
        <v>1.3433967730758258</v>
      </c>
      <c r="O866" s="1639">
        <v>1.3588730405514473</v>
      </c>
    </row>
    <row r="867" spans="11:15">
      <c r="K867" s="1636">
        <v>42924</v>
      </c>
      <c r="L867" s="1637"/>
      <c r="M867" s="1638">
        <v>0</v>
      </c>
      <c r="N867" s="1639">
        <v>1.3433967730758258</v>
      </c>
      <c r="O867" s="1639">
        <v>1.3588730405514473</v>
      </c>
    </row>
    <row r="868" spans="11:15">
      <c r="K868" s="1636">
        <v>42925</v>
      </c>
      <c r="L868" s="1637"/>
      <c r="M868" s="1638">
        <v>0</v>
      </c>
      <c r="N868" s="1639">
        <v>1.3433967730758258</v>
      </c>
      <c r="O868" s="1639">
        <v>1.3588730405514473</v>
      </c>
    </row>
    <row r="869" spans="11:15">
      <c r="K869" s="1636">
        <v>42926</v>
      </c>
      <c r="L869" s="1637" t="s">
        <v>1650</v>
      </c>
      <c r="M869" s="1638">
        <v>3.8370000000000001E-2</v>
      </c>
      <c r="N869" s="1639">
        <v>1.3439122344176551</v>
      </c>
      <c r="O869" s="1639">
        <v>1.3595868701483793</v>
      </c>
    </row>
    <row r="870" spans="11:15">
      <c r="K870" s="1636">
        <v>42927</v>
      </c>
      <c r="L870" s="1637" t="s">
        <v>1650</v>
      </c>
      <c r="M870" s="1638">
        <v>3.8370000000000001E-2</v>
      </c>
      <c r="N870" s="1639">
        <v>1.3444278935420011</v>
      </c>
      <c r="O870" s="1639">
        <v>1.3603010747271369</v>
      </c>
    </row>
    <row r="871" spans="11:15">
      <c r="K871" s="1636">
        <v>42928</v>
      </c>
      <c r="L871" s="1637" t="s">
        <v>1650</v>
      </c>
      <c r="M871" s="1638">
        <v>3.8370000000000001E-2</v>
      </c>
      <c r="N871" s="1639">
        <v>1.3449437505247532</v>
      </c>
      <c r="O871" s="1639">
        <v>1.3610156544847019</v>
      </c>
    </row>
    <row r="872" spans="11:15">
      <c r="K872" s="1636">
        <v>42929</v>
      </c>
      <c r="L872" s="1637" t="s">
        <v>1650</v>
      </c>
      <c r="M872" s="1638">
        <v>3.8370000000000001E-2</v>
      </c>
      <c r="N872" s="1639">
        <v>1.3454598054418296</v>
      </c>
      <c r="O872" s="1639">
        <v>1.3617306096181592</v>
      </c>
    </row>
    <row r="873" spans="11:15">
      <c r="K873" s="1636">
        <v>42930</v>
      </c>
      <c r="L873" s="1637" t="s">
        <v>1650</v>
      </c>
      <c r="M873" s="1638">
        <v>3.8370000000000001E-2</v>
      </c>
      <c r="N873" s="1639">
        <v>1.3459760583691776</v>
      </c>
      <c r="O873" s="1639">
        <v>1.3624459403246978</v>
      </c>
    </row>
    <row r="874" spans="11:15">
      <c r="K874" s="1636">
        <v>42931</v>
      </c>
      <c r="L874" s="1637"/>
      <c r="M874" s="1638">
        <v>0</v>
      </c>
      <c r="N874" s="1639">
        <v>1.3459760583691776</v>
      </c>
      <c r="O874" s="1639">
        <v>1.3624459403246978</v>
      </c>
    </row>
    <row r="875" spans="11:15">
      <c r="K875" s="1636">
        <v>42932</v>
      </c>
      <c r="L875" s="1637"/>
      <c r="M875" s="1638">
        <v>0</v>
      </c>
      <c r="N875" s="1639">
        <v>1.3459760583691776</v>
      </c>
      <c r="O875" s="1639">
        <v>1.3624459403246978</v>
      </c>
    </row>
    <row r="876" spans="11:15">
      <c r="K876" s="1636">
        <v>42933</v>
      </c>
      <c r="L876" s="1637" t="s">
        <v>1650</v>
      </c>
      <c r="M876" s="1638">
        <v>3.8370000000000001E-2</v>
      </c>
      <c r="N876" s="1639">
        <v>1.3464925093827738</v>
      </c>
      <c r="O876" s="1639">
        <v>1.3631616468016097</v>
      </c>
    </row>
    <row r="877" spans="11:15">
      <c r="K877" s="1636">
        <v>42934</v>
      </c>
      <c r="L877" s="1637" t="s">
        <v>1650</v>
      </c>
      <c r="M877" s="1638">
        <v>3.8370000000000001E-2</v>
      </c>
      <c r="N877" s="1639">
        <v>1.3470091585586239</v>
      </c>
      <c r="O877" s="1639">
        <v>1.3638777292462911</v>
      </c>
    </row>
    <row r="878" spans="11:15">
      <c r="K878" s="1636">
        <v>42935</v>
      </c>
      <c r="L878" s="1637" t="s">
        <v>1650</v>
      </c>
      <c r="M878" s="1638">
        <v>3.8370000000000001E-2</v>
      </c>
      <c r="N878" s="1639">
        <v>1.3475260059727627</v>
      </c>
      <c r="O878" s="1639">
        <v>1.3645941878562415</v>
      </c>
    </row>
    <row r="879" spans="11:15">
      <c r="K879" s="1636">
        <v>42936</v>
      </c>
      <c r="L879" s="1637" t="s">
        <v>1650</v>
      </c>
      <c r="M879" s="1638">
        <v>3.8370000000000001E-2</v>
      </c>
      <c r="N879" s="1639">
        <v>1.3480430517012545</v>
      </c>
      <c r="O879" s="1639">
        <v>1.3653110228290644</v>
      </c>
    </row>
    <row r="880" spans="11:15">
      <c r="K880" s="1636">
        <v>42937</v>
      </c>
      <c r="L880" s="1637" t="s">
        <v>1650</v>
      </c>
      <c r="M880" s="1638">
        <v>3.8370000000000001E-2</v>
      </c>
      <c r="N880" s="1639">
        <v>1.3485602958201923</v>
      </c>
      <c r="O880" s="1639">
        <v>1.3660282343624668</v>
      </c>
    </row>
    <row r="881" spans="11:15">
      <c r="K881" s="1636">
        <v>42938</v>
      </c>
      <c r="L881" s="1637"/>
      <c r="M881" s="1638">
        <v>0</v>
      </c>
      <c r="N881" s="1639">
        <v>1.3485602958201923</v>
      </c>
      <c r="O881" s="1639">
        <v>1.3660282343624668</v>
      </c>
    </row>
    <row r="882" spans="11:15">
      <c r="K882" s="1636">
        <v>42939</v>
      </c>
      <c r="L882" s="1637"/>
      <c r="M882" s="1638">
        <v>0</v>
      </c>
      <c r="N882" s="1639">
        <v>1.3485602958201923</v>
      </c>
      <c r="O882" s="1639">
        <v>1.3660282343624668</v>
      </c>
    </row>
    <row r="883" spans="11:15">
      <c r="K883" s="1636">
        <v>42940</v>
      </c>
      <c r="L883" s="1637" t="s">
        <v>1650</v>
      </c>
      <c r="M883" s="1638">
        <v>3.8370000000000001E-2</v>
      </c>
      <c r="N883" s="1639">
        <v>1.3490777384056984</v>
      </c>
      <c r="O883" s="1639">
        <v>1.3667458226542597</v>
      </c>
    </row>
    <row r="884" spans="11:15">
      <c r="K884" s="1636">
        <v>42941</v>
      </c>
      <c r="L884" s="1637" t="s">
        <v>1650</v>
      </c>
      <c r="M884" s="1638">
        <v>3.8370000000000001E-2</v>
      </c>
      <c r="N884" s="1639">
        <v>1.3495953795339246</v>
      </c>
      <c r="O884" s="1639">
        <v>1.3674637879023581</v>
      </c>
    </row>
    <row r="885" spans="11:15">
      <c r="K885" s="1636">
        <v>42942</v>
      </c>
      <c r="L885" s="1637" t="s">
        <v>1650</v>
      </c>
      <c r="M885" s="1638">
        <v>3.8370000000000001E-2</v>
      </c>
      <c r="N885" s="1639">
        <v>1.3501132192810517</v>
      </c>
      <c r="O885" s="1639">
        <v>1.3681821303047812</v>
      </c>
    </row>
    <row r="886" spans="11:15">
      <c r="K886" s="1636">
        <v>42943</v>
      </c>
      <c r="L886" s="1637" t="s">
        <v>1650</v>
      </c>
      <c r="M886" s="1638">
        <v>3.4749000000000002E-2</v>
      </c>
      <c r="N886" s="1639">
        <v>1.3505823701236197</v>
      </c>
      <c r="O886" s="1639">
        <v>1.3689008500596516</v>
      </c>
    </row>
    <row r="887" spans="11:15">
      <c r="K887" s="1636">
        <v>42944</v>
      </c>
      <c r="L887" s="1637" t="s">
        <v>1650</v>
      </c>
      <c r="M887" s="1638">
        <v>3.4749000000000002E-2</v>
      </c>
      <c r="N887" s="1639">
        <v>1.351051683991414</v>
      </c>
      <c r="O887" s="1639">
        <v>1.3696199473651964</v>
      </c>
    </row>
    <row r="888" spans="11:15">
      <c r="K888" s="1636">
        <v>42945</v>
      </c>
      <c r="L888" s="1637"/>
      <c r="M888" s="1638">
        <v>0</v>
      </c>
      <c r="N888" s="1639">
        <v>1.351051683991414</v>
      </c>
      <c r="O888" s="1639">
        <v>1.3696199473651964</v>
      </c>
    </row>
    <row r="889" spans="11:15">
      <c r="K889" s="1636">
        <v>42946</v>
      </c>
      <c r="L889" s="1637"/>
      <c r="M889" s="1638">
        <v>0</v>
      </c>
      <c r="N889" s="1639">
        <v>1.351051683991414</v>
      </c>
      <c r="O889" s="1639">
        <v>1.3696199473651964</v>
      </c>
    </row>
    <row r="890" spans="11:15">
      <c r="K890" s="1636">
        <v>42947</v>
      </c>
      <c r="L890" s="1637" t="s">
        <v>1650</v>
      </c>
      <c r="M890" s="1638">
        <v>3.4749000000000002E-2</v>
      </c>
      <c r="N890" s="1639">
        <v>1.3515211609410842</v>
      </c>
      <c r="O890" s="1639">
        <v>1.3703394224197469</v>
      </c>
    </row>
    <row r="891" spans="11:15">
      <c r="K891" s="1636">
        <v>42948</v>
      </c>
      <c r="L891" s="1637" t="s">
        <v>1650</v>
      </c>
      <c r="M891" s="1638">
        <v>3.4749000000000002E-2</v>
      </c>
      <c r="N891" s="1639">
        <v>1.3519908010292996</v>
      </c>
      <c r="O891" s="1639">
        <v>1.3710592754217383</v>
      </c>
    </row>
    <row r="892" spans="11:15">
      <c r="K892" s="1636">
        <v>42949</v>
      </c>
      <c r="L892" s="1637" t="s">
        <v>1650</v>
      </c>
      <c r="M892" s="1638">
        <v>3.4749000000000002E-2</v>
      </c>
      <c r="N892" s="1639">
        <v>1.3524606043127492</v>
      </c>
      <c r="O892" s="1639">
        <v>1.37177950656971</v>
      </c>
    </row>
    <row r="893" spans="11:15">
      <c r="K893" s="1636">
        <v>42950</v>
      </c>
      <c r="L893" s="1637" t="s">
        <v>1650</v>
      </c>
      <c r="M893" s="1638">
        <v>3.4749000000000002E-2</v>
      </c>
      <c r="N893" s="1639">
        <v>1.3529305708481418</v>
      </c>
      <c r="O893" s="1639">
        <v>1.3725001160623063</v>
      </c>
    </row>
    <row r="894" spans="11:15">
      <c r="K894" s="1636">
        <v>42951</v>
      </c>
      <c r="L894" s="1637" t="s">
        <v>1650</v>
      </c>
      <c r="M894" s="1638">
        <v>3.4749000000000002E-2</v>
      </c>
      <c r="N894" s="1639">
        <v>1.353400700692206</v>
      </c>
      <c r="O894" s="1639">
        <v>1.3732211040982749</v>
      </c>
    </row>
    <row r="895" spans="11:15">
      <c r="K895" s="1636">
        <v>42952</v>
      </c>
      <c r="L895" s="1637"/>
      <c r="M895" s="1638">
        <v>0</v>
      </c>
      <c r="N895" s="1639">
        <v>1.353400700692206</v>
      </c>
      <c r="O895" s="1639">
        <v>1.3732211040982749</v>
      </c>
    </row>
    <row r="896" spans="11:15">
      <c r="K896" s="1636">
        <v>42953</v>
      </c>
      <c r="L896" s="1637"/>
      <c r="M896" s="1638">
        <v>0</v>
      </c>
      <c r="N896" s="1639">
        <v>1.353400700692206</v>
      </c>
      <c r="O896" s="1639">
        <v>1.3732211040982749</v>
      </c>
    </row>
    <row r="897" spans="11:15">
      <c r="K897" s="1636">
        <v>42954</v>
      </c>
      <c r="L897" s="1637" t="s">
        <v>1650</v>
      </c>
      <c r="M897" s="1638">
        <v>3.4749000000000002E-2</v>
      </c>
      <c r="N897" s="1639">
        <v>1.3538709939016895</v>
      </c>
      <c r="O897" s="1639">
        <v>1.3739424708764687</v>
      </c>
    </row>
    <row r="898" spans="11:15">
      <c r="K898" s="1636">
        <v>42955</v>
      </c>
      <c r="L898" s="1637" t="s">
        <v>1650</v>
      </c>
      <c r="M898" s="1638">
        <v>3.4749000000000002E-2</v>
      </c>
      <c r="N898" s="1639">
        <v>1.3543414505333604</v>
      </c>
      <c r="O898" s="1639">
        <v>1.3746642165958449</v>
      </c>
    </row>
    <row r="899" spans="11:15">
      <c r="K899" s="1636">
        <v>42956</v>
      </c>
      <c r="L899" s="1637" t="s">
        <v>1650</v>
      </c>
      <c r="M899" s="1638">
        <v>3.4749000000000002E-2</v>
      </c>
      <c r="N899" s="1639">
        <v>1.3548120706440063</v>
      </c>
      <c r="O899" s="1639">
        <v>1.3753863414554648</v>
      </c>
    </row>
    <row r="900" spans="11:15">
      <c r="K900" s="1636">
        <v>42957</v>
      </c>
      <c r="L900" s="1637" t="s">
        <v>1650</v>
      </c>
      <c r="M900" s="1638">
        <v>3.4749000000000002E-2</v>
      </c>
      <c r="N900" s="1639">
        <v>1.3552828542904345</v>
      </c>
      <c r="O900" s="1639">
        <v>1.3761088456544948</v>
      </c>
    </row>
    <row r="901" spans="11:15">
      <c r="K901" s="1636">
        <v>42958</v>
      </c>
      <c r="L901" s="1637" t="s">
        <v>1650</v>
      </c>
      <c r="M901" s="1638">
        <v>3.4749000000000002E-2</v>
      </c>
      <c r="N901" s="1639">
        <v>1.3557538015294719</v>
      </c>
      <c r="O901" s="1639">
        <v>1.3768317293922054</v>
      </c>
    </row>
    <row r="902" spans="11:15">
      <c r="K902" s="1636">
        <v>42959</v>
      </c>
      <c r="L902" s="1637"/>
      <c r="M902" s="1638">
        <v>0</v>
      </c>
      <c r="N902" s="1639">
        <v>1.3557538015294719</v>
      </c>
      <c r="O902" s="1639">
        <v>1.3768317293922054</v>
      </c>
    </row>
    <row r="903" spans="11:15">
      <c r="K903" s="1636">
        <v>42960</v>
      </c>
      <c r="L903" s="1637"/>
      <c r="M903" s="1638">
        <v>0</v>
      </c>
      <c r="N903" s="1639">
        <v>1.3557538015294719</v>
      </c>
      <c r="O903" s="1639">
        <v>1.3768317293922054</v>
      </c>
    </row>
    <row r="904" spans="11:15">
      <c r="K904" s="1636">
        <v>42961</v>
      </c>
      <c r="L904" s="1637" t="s">
        <v>1650</v>
      </c>
      <c r="M904" s="1638">
        <v>3.4749000000000002E-2</v>
      </c>
      <c r="N904" s="1639">
        <v>1.3562249124179653</v>
      </c>
      <c r="O904" s="1639">
        <v>1.3775549928679724</v>
      </c>
    </row>
    <row r="905" spans="11:15">
      <c r="K905" s="1636">
        <v>42962</v>
      </c>
      <c r="L905" s="1637" t="s">
        <v>1650</v>
      </c>
      <c r="M905" s="1638">
        <v>3.4749000000000002E-2</v>
      </c>
      <c r="N905" s="1639">
        <v>1.3566961870127814</v>
      </c>
      <c r="O905" s="1639">
        <v>1.378278636281276</v>
      </c>
    </row>
    <row r="906" spans="11:15">
      <c r="K906" s="1636">
        <v>42963</v>
      </c>
      <c r="L906" s="1637" t="s">
        <v>1650</v>
      </c>
      <c r="M906" s="1638">
        <v>3.4749000000000002E-2</v>
      </c>
      <c r="N906" s="1639">
        <v>1.3571676253708065</v>
      </c>
      <c r="O906" s="1639">
        <v>1.3790026598317009</v>
      </c>
    </row>
    <row r="907" spans="11:15">
      <c r="K907" s="1636">
        <v>42964</v>
      </c>
      <c r="L907" s="1637" t="s">
        <v>1650</v>
      </c>
      <c r="M907" s="1638">
        <v>3.4749000000000002E-2</v>
      </c>
      <c r="N907" s="1639">
        <v>1.3576392275489466</v>
      </c>
      <c r="O907" s="1639">
        <v>1.3797270637189372</v>
      </c>
    </row>
    <row r="908" spans="11:15">
      <c r="K908" s="1636">
        <v>42965</v>
      </c>
      <c r="L908" s="1637" t="s">
        <v>1650</v>
      </c>
      <c r="M908" s="1638">
        <v>3.4749000000000002E-2</v>
      </c>
      <c r="N908" s="1639">
        <v>1.3581109936041276</v>
      </c>
      <c r="O908" s="1639">
        <v>1.3804518481427794</v>
      </c>
    </row>
    <row r="909" spans="11:15">
      <c r="K909" s="1636">
        <v>42966</v>
      </c>
      <c r="L909" s="1637"/>
      <c r="M909" s="1638">
        <v>0</v>
      </c>
      <c r="N909" s="1639">
        <v>1.3581109936041276</v>
      </c>
      <c r="O909" s="1639">
        <v>1.3804518481427794</v>
      </c>
    </row>
    <row r="910" spans="11:15">
      <c r="K910" s="1636">
        <v>42967</v>
      </c>
      <c r="L910" s="1637"/>
      <c r="M910" s="1638">
        <v>0</v>
      </c>
      <c r="N910" s="1639">
        <v>1.3581109936041276</v>
      </c>
      <c r="O910" s="1639">
        <v>1.3804518481427794</v>
      </c>
    </row>
    <row r="911" spans="11:15">
      <c r="K911" s="1636">
        <v>42968</v>
      </c>
      <c r="L911" s="1637" t="s">
        <v>1650</v>
      </c>
      <c r="M911" s="1638">
        <v>3.4749000000000002E-2</v>
      </c>
      <c r="N911" s="1639">
        <v>1.3585829235932951</v>
      </c>
      <c r="O911" s="1639">
        <v>1.3811770133031274</v>
      </c>
    </row>
    <row r="912" spans="11:15">
      <c r="K912" s="1636">
        <v>42969</v>
      </c>
      <c r="L912" s="1637" t="s">
        <v>1650</v>
      </c>
      <c r="M912" s="1638">
        <v>3.4749000000000002E-2</v>
      </c>
      <c r="N912" s="1639">
        <v>1.3590550175734146</v>
      </c>
      <c r="O912" s="1639">
        <v>1.3819025593999856</v>
      </c>
    </row>
    <row r="913" spans="11:15">
      <c r="K913" s="1636">
        <v>42970</v>
      </c>
      <c r="L913" s="1637" t="s">
        <v>1650</v>
      </c>
      <c r="M913" s="1638">
        <v>3.4749000000000002E-2</v>
      </c>
      <c r="N913" s="1639">
        <v>1.3595272756014711</v>
      </c>
      <c r="O913" s="1639">
        <v>1.3826284866334639</v>
      </c>
    </row>
    <row r="914" spans="11:15">
      <c r="K914" s="1636">
        <v>42971</v>
      </c>
      <c r="L914" s="1637" t="s">
        <v>1650</v>
      </c>
      <c r="M914" s="1638">
        <v>3.4749000000000002E-2</v>
      </c>
      <c r="N914" s="1639">
        <v>1.3599996977344699</v>
      </c>
      <c r="O914" s="1639">
        <v>1.3833547952037775</v>
      </c>
    </row>
    <row r="915" spans="11:15">
      <c r="K915" s="1636">
        <v>42972</v>
      </c>
      <c r="L915" s="1637" t="s">
        <v>1650</v>
      </c>
      <c r="M915" s="1638">
        <v>3.4749000000000002E-2</v>
      </c>
      <c r="N915" s="1639">
        <v>1.3604722840294357</v>
      </c>
      <c r="O915" s="1639">
        <v>1.384081485311246</v>
      </c>
    </row>
    <row r="916" spans="11:15">
      <c r="K916" s="1636">
        <v>42973</v>
      </c>
      <c r="L916" s="1637"/>
      <c r="M916" s="1638">
        <v>0</v>
      </c>
      <c r="N916" s="1639">
        <v>1.3604722840294357</v>
      </c>
      <c r="O916" s="1639">
        <v>1.384081485311246</v>
      </c>
    </row>
    <row r="917" spans="11:15">
      <c r="K917" s="1636">
        <v>42974</v>
      </c>
      <c r="L917" s="1637"/>
      <c r="M917" s="1638">
        <v>0</v>
      </c>
      <c r="N917" s="1639">
        <v>1.3604722840294357</v>
      </c>
      <c r="O917" s="1639">
        <v>1.384081485311246</v>
      </c>
    </row>
    <row r="918" spans="11:15">
      <c r="K918" s="1636">
        <v>42975</v>
      </c>
      <c r="L918" s="1637" t="s">
        <v>1650</v>
      </c>
      <c r="M918" s="1638">
        <v>3.4749000000000002E-2</v>
      </c>
      <c r="N918" s="1639">
        <v>1.3609450345434131</v>
      </c>
      <c r="O918" s="1639">
        <v>1.3848085571562949</v>
      </c>
    </row>
    <row r="919" spans="11:15">
      <c r="K919" s="1636">
        <v>42976</v>
      </c>
      <c r="L919" s="1637" t="s">
        <v>1650</v>
      </c>
      <c r="M919" s="1638">
        <v>3.4749000000000002E-2</v>
      </c>
      <c r="N919" s="1639">
        <v>1.3614179493334666</v>
      </c>
      <c r="O919" s="1639">
        <v>1.3855360109394548</v>
      </c>
    </row>
    <row r="920" spans="11:15">
      <c r="K920" s="1636">
        <v>42977</v>
      </c>
      <c r="L920" s="1637" t="s">
        <v>1650</v>
      </c>
      <c r="M920" s="1638">
        <v>3.4749000000000002E-2</v>
      </c>
      <c r="N920" s="1639">
        <v>1.3618910284566805</v>
      </c>
      <c r="O920" s="1639">
        <v>1.3862638468613613</v>
      </c>
    </row>
    <row r="921" spans="11:15">
      <c r="K921" s="1636">
        <v>42978</v>
      </c>
      <c r="L921" s="1637" t="s">
        <v>1650</v>
      </c>
      <c r="M921" s="1638">
        <v>3.4749000000000002E-2</v>
      </c>
      <c r="N921" s="1639">
        <v>1.362364271970159</v>
      </c>
      <c r="O921" s="1639">
        <v>1.3869920651227561</v>
      </c>
    </row>
    <row r="922" spans="11:15">
      <c r="K922" s="1636">
        <v>42979</v>
      </c>
      <c r="L922" s="1637" t="s">
        <v>1650</v>
      </c>
      <c r="M922" s="1638">
        <v>3.4749000000000002E-2</v>
      </c>
      <c r="N922" s="1639">
        <v>1.3628376799310258</v>
      </c>
      <c r="O922" s="1639">
        <v>1.3877206659244856</v>
      </c>
    </row>
    <row r="923" spans="11:15">
      <c r="K923" s="1636">
        <v>42980</v>
      </c>
      <c r="L923" s="1637"/>
      <c r="M923" s="1638">
        <v>0</v>
      </c>
      <c r="N923" s="1639">
        <v>1.3628376799310258</v>
      </c>
      <c r="O923" s="1639">
        <v>1.3877206659244856</v>
      </c>
    </row>
    <row r="924" spans="11:15">
      <c r="K924" s="1636">
        <v>42981</v>
      </c>
      <c r="L924" s="1637"/>
      <c r="M924" s="1638">
        <v>0</v>
      </c>
      <c r="N924" s="1639">
        <v>1.3628376799310258</v>
      </c>
      <c r="O924" s="1639">
        <v>1.3877206659244856</v>
      </c>
    </row>
    <row r="925" spans="11:15">
      <c r="K925" s="1636">
        <v>42982</v>
      </c>
      <c r="L925" s="1637" t="s">
        <v>1650</v>
      </c>
      <c r="M925" s="1638">
        <v>3.4749000000000002E-2</v>
      </c>
      <c r="N925" s="1639">
        <v>1.363311252396425</v>
      </c>
      <c r="O925" s="1639">
        <v>1.3884496494675025</v>
      </c>
    </row>
    <row r="926" spans="11:15">
      <c r="K926" s="1636">
        <v>42983</v>
      </c>
      <c r="L926" s="1637" t="s">
        <v>1650</v>
      </c>
      <c r="M926" s="1638">
        <v>3.4749000000000002E-2</v>
      </c>
      <c r="N926" s="1639">
        <v>1.3637849894235203</v>
      </c>
      <c r="O926" s="1639">
        <v>1.3891790159528643</v>
      </c>
    </row>
    <row r="927" spans="11:15">
      <c r="K927" s="1636">
        <v>42984</v>
      </c>
      <c r="L927" s="1637" t="s">
        <v>1650</v>
      </c>
      <c r="M927" s="1638">
        <v>3.4749000000000002E-2</v>
      </c>
      <c r="N927" s="1639">
        <v>1.364258891069495</v>
      </c>
      <c r="O927" s="1639">
        <v>1.3899087655817346</v>
      </c>
    </row>
    <row r="928" spans="11:15">
      <c r="K928" s="1636">
        <v>42985</v>
      </c>
      <c r="L928" s="1637"/>
      <c r="M928" s="1638">
        <v>0</v>
      </c>
      <c r="N928" s="1639">
        <v>1.364258891069495</v>
      </c>
      <c r="O928" s="1639">
        <v>1.3899087655817346</v>
      </c>
    </row>
    <row r="929" spans="11:15">
      <c r="K929" s="1636">
        <v>42986</v>
      </c>
      <c r="L929" s="1637" t="s">
        <v>1650</v>
      </c>
      <c r="M929" s="1638">
        <v>3.1095999999999999E-2</v>
      </c>
      <c r="N929" s="1639">
        <v>1.364683121014262</v>
      </c>
      <c r="O929" s="1639">
        <v>1.3906388985553824</v>
      </c>
    </row>
    <row r="930" spans="11:15">
      <c r="K930" s="1636">
        <v>42987</v>
      </c>
      <c r="L930" s="1637"/>
      <c r="M930" s="1638">
        <v>0</v>
      </c>
      <c r="N930" s="1639">
        <v>1.364683121014262</v>
      </c>
      <c r="O930" s="1639">
        <v>1.3906388985553824</v>
      </c>
    </row>
    <row r="931" spans="11:15">
      <c r="K931" s="1636">
        <v>42988</v>
      </c>
      <c r="L931" s="1637"/>
      <c r="M931" s="1638">
        <v>0</v>
      </c>
      <c r="N931" s="1639">
        <v>1.364683121014262</v>
      </c>
      <c r="O931" s="1639">
        <v>1.3906388985553824</v>
      </c>
    </row>
    <row r="932" spans="11:15">
      <c r="K932" s="1636">
        <v>42989</v>
      </c>
      <c r="L932" s="1637" t="s">
        <v>1650</v>
      </c>
      <c r="M932" s="1638">
        <v>3.1095999999999999E-2</v>
      </c>
      <c r="N932" s="1639">
        <v>1.3651074828775727</v>
      </c>
      <c r="O932" s="1639">
        <v>1.3913694150751825</v>
      </c>
    </row>
    <row r="933" spans="11:15">
      <c r="K933" s="1636">
        <v>42990</v>
      </c>
      <c r="L933" s="1637" t="s">
        <v>1650</v>
      </c>
      <c r="M933" s="1638">
        <v>3.1095999999999999E-2</v>
      </c>
      <c r="N933" s="1639">
        <v>1.3655319767004481</v>
      </c>
      <c r="O933" s="1639">
        <v>1.3921003153426157</v>
      </c>
    </row>
    <row r="934" spans="11:15">
      <c r="K934" s="1636">
        <v>42991</v>
      </c>
      <c r="L934" s="1637" t="s">
        <v>1650</v>
      </c>
      <c r="M934" s="1638">
        <v>3.1095999999999999E-2</v>
      </c>
      <c r="N934" s="1639">
        <v>1.3659566025239229</v>
      </c>
      <c r="O934" s="1639">
        <v>1.3928315995592684</v>
      </c>
    </row>
    <row r="935" spans="11:15">
      <c r="K935" s="1636">
        <v>42992</v>
      </c>
      <c r="L935" s="1637" t="s">
        <v>1650</v>
      </c>
      <c r="M935" s="1638">
        <v>3.1095999999999999E-2</v>
      </c>
      <c r="N935" s="1639">
        <v>1.3663813603890438</v>
      </c>
      <c r="O935" s="1639">
        <v>1.3935632679268328</v>
      </c>
    </row>
    <row r="936" spans="11:15">
      <c r="K936" s="1636">
        <v>42993</v>
      </c>
      <c r="L936" s="1637" t="s">
        <v>1650</v>
      </c>
      <c r="M936" s="1638">
        <v>3.1095999999999999E-2</v>
      </c>
      <c r="N936" s="1639">
        <v>1.3668062503368703</v>
      </c>
      <c r="O936" s="1639">
        <v>1.3942953206471074</v>
      </c>
    </row>
    <row r="937" spans="11:15">
      <c r="K937" s="1636">
        <v>42994</v>
      </c>
      <c r="L937" s="1637"/>
      <c r="M937" s="1638">
        <v>0</v>
      </c>
      <c r="N937" s="1639">
        <v>1.3668062503368703</v>
      </c>
      <c r="O937" s="1639">
        <v>1.3942953206471074</v>
      </c>
    </row>
    <row r="938" spans="11:15">
      <c r="K938" s="1636">
        <v>42995</v>
      </c>
      <c r="L938" s="1637"/>
      <c r="M938" s="1638">
        <v>0</v>
      </c>
      <c r="N938" s="1639">
        <v>1.3668062503368703</v>
      </c>
      <c r="O938" s="1639">
        <v>1.3942953206471074</v>
      </c>
    </row>
    <row r="939" spans="11:15">
      <c r="K939" s="1636">
        <v>42996</v>
      </c>
      <c r="L939" s="1637" t="s">
        <v>1650</v>
      </c>
      <c r="M939" s="1638">
        <v>3.1095999999999999E-2</v>
      </c>
      <c r="N939" s="1639">
        <v>1.367231272408475</v>
      </c>
      <c r="O939" s="1639">
        <v>1.3950277579219965</v>
      </c>
    </row>
    <row r="940" spans="11:15">
      <c r="K940" s="1636">
        <v>42997</v>
      </c>
      <c r="L940" s="1637" t="s">
        <v>1650</v>
      </c>
      <c r="M940" s="1638">
        <v>3.1095999999999999E-2</v>
      </c>
      <c r="N940" s="1639">
        <v>1.3676564266449431</v>
      </c>
      <c r="O940" s="1639">
        <v>1.3957605799535104</v>
      </c>
    </row>
    <row r="941" spans="11:15">
      <c r="K941" s="1636">
        <v>42998</v>
      </c>
      <c r="L941" s="1637" t="s">
        <v>1650</v>
      </c>
      <c r="M941" s="1638">
        <v>3.1095999999999999E-2</v>
      </c>
      <c r="N941" s="1639">
        <v>1.3680817130873726</v>
      </c>
      <c r="O941" s="1639">
        <v>1.3964937869437659</v>
      </c>
    </row>
    <row r="942" spans="11:15">
      <c r="K942" s="1636">
        <v>42999</v>
      </c>
      <c r="L942" s="1637" t="s">
        <v>1650</v>
      </c>
      <c r="M942" s="1638">
        <v>3.1095999999999999E-2</v>
      </c>
      <c r="N942" s="1639">
        <v>1.3685071317768742</v>
      </c>
      <c r="O942" s="1639">
        <v>1.3972273790949854</v>
      </c>
    </row>
    <row r="943" spans="11:15">
      <c r="K943" s="1636">
        <v>43000</v>
      </c>
      <c r="L943" s="1637" t="s">
        <v>1650</v>
      </c>
      <c r="M943" s="1638">
        <v>3.1095999999999999E-2</v>
      </c>
      <c r="N943" s="1639">
        <v>1.3689326827545716</v>
      </c>
      <c r="O943" s="1639">
        <v>1.3979613566094977</v>
      </c>
    </row>
    <row r="944" spans="11:15">
      <c r="K944" s="1636">
        <v>43001</v>
      </c>
      <c r="L944" s="1637"/>
      <c r="M944" s="1638">
        <v>0</v>
      </c>
      <c r="N944" s="1639">
        <v>1.3689326827545716</v>
      </c>
      <c r="O944" s="1639">
        <v>1.3979613566094977</v>
      </c>
    </row>
    <row r="945" spans="11:15">
      <c r="K945" s="1636">
        <v>43002</v>
      </c>
      <c r="L945" s="1637"/>
      <c r="M945" s="1638">
        <v>0</v>
      </c>
      <c r="N945" s="1639">
        <v>1.3689326827545716</v>
      </c>
      <c r="O945" s="1639">
        <v>1.3979613566094977</v>
      </c>
    </row>
    <row r="946" spans="11:15">
      <c r="K946" s="1636">
        <v>43003</v>
      </c>
      <c r="L946" s="1637" t="s">
        <v>1650</v>
      </c>
      <c r="M946" s="1638">
        <v>3.1095999999999999E-2</v>
      </c>
      <c r="N946" s="1639">
        <v>1.3693583660616009</v>
      </c>
      <c r="O946" s="1639">
        <v>1.3986957196897383</v>
      </c>
    </row>
    <row r="947" spans="11:15">
      <c r="K947" s="1636">
        <v>43004</v>
      </c>
      <c r="L947" s="1637" t="s">
        <v>1650</v>
      </c>
      <c r="M947" s="1638">
        <v>3.1095999999999999E-2</v>
      </c>
      <c r="N947" s="1639">
        <v>1.3697841817391114</v>
      </c>
      <c r="O947" s="1639">
        <v>1.3994304685382486</v>
      </c>
    </row>
    <row r="948" spans="11:15">
      <c r="K948" s="1636">
        <v>43005</v>
      </c>
      <c r="L948" s="1637" t="s">
        <v>1650</v>
      </c>
      <c r="M948" s="1638">
        <v>3.1095999999999999E-2</v>
      </c>
      <c r="N948" s="1639">
        <v>1.370210129828265</v>
      </c>
      <c r="O948" s="1639">
        <v>1.4001656033576764</v>
      </c>
    </row>
    <row r="949" spans="11:15">
      <c r="K949" s="1636">
        <v>43006</v>
      </c>
      <c r="L949" s="1637" t="s">
        <v>1650</v>
      </c>
      <c r="M949" s="1638">
        <v>3.1095999999999999E-2</v>
      </c>
      <c r="N949" s="1639">
        <v>1.3706362103702363</v>
      </c>
      <c r="O949" s="1639">
        <v>1.4009011243507763</v>
      </c>
    </row>
    <row r="950" spans="11:15">
      <c r="K950" s="1636">
        <v>43007</v>
      </c>
      <c r="L950" s="1637" t="s">
        <v>1650</v>
      </c>
      <c r="M950" s="1638">
        <v>3.1095999999999999E-2</v>
      </c>
      <c r="N950" s="1639">
        <v>1.371062423406213</v>
      </c>
      <c r="O950" s="1639">
        <v>1.401637031720409</v>
      </c>
    </row>
    <row r="951" spans="11:15">
      <c r="K951" s="1636">
        <v>43008</v>
      </c>
      <c r="L951" s="1637"/>
      <c r="M951" s="1638">
        <v>0</v>
      </c>
      <c r="N951" s="1639">
        <v>1.371062423406213</v>
      </c>
      <c r="O951" s="1639">
        <v>1.401637031720409</v>
      </c>
    </row>
    <row r="952" spans="11:15">
      <c r="K952" s="1636">
        <v>43009</v>
      </c>
      <c r="L952" s="1637"/>
      <c r="M952" s="1638">
        <v>0</v>
      </c>
      <c r="N952" s="1639">
        <v>1.371062423406213</v>
      </c>
      <c r="O952" s="1639">
        <v>1.401637031720409</v>
      </c>
    </row>
    <row r="953" spans="11:15">
      <c r="K953" s="1636">
        <v>43010</v>
      </c>
      <c r="L953" s="1637" t="s">
        <v>1650</v>
      </c>
      <c r="M953" s="1638">
        <v>3.1095999999999999E-2</v>
      </c>
      <c r="N953" s="1639">
        <v>1.3714887689773954</v>
      </c>
      <c r="O953" s="1639">
        <v>1.4023733256695421</v>
      </c>
    </row>
    <row r="954" spans="11:15">
      <c r="K954" s="1636">
        <v>43011</v>
      </c>
      <c r="L954" s="1637" t="s">
        <v>1650</v>
      </c>
      <c r="M954" s="1638">
        <v>3.1095999999999999E-2</v>
      </c>
      <c r="N954" s="1639">
        <v>1.3719152471249965</v>
      </c>
      <c r="O954" s="1639">
        <v>1.4031100064012496</v>
      </c>
    </row>
    <row r="955" spans="11:15">
      <c r="K955" s="1636">
        <v>43012</v>
      </c>
      <c r="L955" s="1637" t="s">
        <v>1650</v>
      </c>
      <c r="M955" s="1638">
        <v>3.1095999999999999E-2</v>
      </c>
      <c r="N955" s="1639">
        <v>1.3723418578902424</v>
      </c>
      <c r="O955" s="1639">
        <v>1.4038470741187123</v>
      </c>
    </row>
    <row r="956" spans="11:15">
      <c r="K956" s="1636">
        <v>43013</v>
      </c>
      <c r="L956" s="1637" t="s">
        <v>1650</v>
      </c>
      <c r="M956" s="1638">
        <v>3.1095999999999999E-2</v>
      </c>
      <c r="N956" s="1639">
        <v>1.3727686013143718</v>
      </c>
      <c r="O956" s="1639">
        <v>1.4045845290252177</v>
      </c>
    </row>
    <row r="957" spans="11:15">
      <c r="K957" s="1636">
        <v>43014</v>
      </c>
      <c r="L957" s="1637" t="s">
        <v>1650</v>
      </c>
      <c r="M957" s="1638">
        <v>3.1095999999999999E-2</v>
      </c>
      <c r="N957" s="1639">
        <v>1.3731954774386366</v>
      </c>
      <c r="O957" s="1639">
        <v>1.4053223713241598</v>
      </c>
    </row>
    <row r="958" spans="11:15">
      <c r="K958" s="1636">
        <v>43015</v>
      </c>
      <c r="L958" s="1637"/>
      <c r="M958" s="1638">
        <v>0</v>
      </c>
      <c r="N958" s="1639">
        <v>1.3731954774386366</v>
      </c>
      <c r="O958" s="1639">
        <v>1.4053223713241598</v>
      </c>
    </row>
    <row r="959" spans="11:15">
      <c r="K959" s="1636">
        <v>43016</v>
      </c>
      <c r="L959" s="1637"/>
      <c r="M959" s="1638">
        <v>0</v>
      </c>
      <c r="N959" s="1639">
        <v>1.3731954774386366</v>
      </c>
      <c r="O959" s="1639">
        <v>1.4053223713241598</v>
      </c>
    </row>
    <row r="960" spans="11:15">
      <c r="K960" s="1636">
        <v>43017</v>
      </c>
      <c r="L960" s="1637" t="s">
        <v>1650</v>
      </c>
      <c r="M960" s="1638">
        <v>3.1095999999999999E-2</v>
      </c>
      <c r="N960" s="1639">
        <v>1.3736224863043009</v>
      </c>
      <c r="O960" s="1639">
        <v>1.4060606012190402</v>
      </c>
    </row>
    <row r="961" spans="11:15">
      <c r="K961" s="1636">
        <v>43018</v>
      </c>
      <c r="L961" s="1637" t="s">
        <v>1650</v>
      </c>
      <c r="M961" s="1638">
        <v>3.1095999999999999E-2</v>
      </c>
      <c r="N961" s="1639">
        <v>1.3740496279526422</v>
      </c>
      <c r="O961" s="1639">
        <v>1.4067992189134666</v>
      </c>
    </row>
    <row r="962" spans="11:15">
      <c r="K962" s="1636">
        <v>43019</v>
      </c>
      <c r="L962" s="1637" t="s">
        <v>1650</v>
      </c>
      <c r="M962" s="1638">
        <v>3.1095999999999999E-2</v>
      </c>
      <c r="N962" s="1639">
        <v>1.3744769024249504</v>
      </c>
      <c r="O962" s="1639">
        <v>1.4075382246111541</v>
      </c>
    </row>
    <row r="963" spans="11:15">
      <c r="K963" s="1636">
        <v>43020</v>
      </c>
      <c r="L963" s="1637"/>
      <c r="M963" s="1638">
        <v>0</v>
      </c>
      <c r="N963" s="1639">
        <v>1.3744769024249504</v>
      </c>
      <c r="O963" s="1639">
        <v>1.4075382246111541</v>
      </c>
    </row>
    <row r="964" spans="11:15">
      <c r="K964" s="1636">
        <v>43021</v>
      </c>
      <c r="L964" s="1637" t="s">
        <v>1650</v>
      </c>
      <c r="M964" s="1638">
        <v>3.1095999999999999E-2</v>
      </c>
      <c r="N964" s="1639">
        <v>1.3749043097625284</v>
      </c>
      <c r="O964" s="1639">
        <v>1.4082776185159245</v>
      </c>
    </row>
    <row r="965" spans="11:15">
      <c r="K965" s="1636">
        <v>43022</v>
      </c>
      <c r="L965" s="1637"/>
      <c r="M965" s="1638">
        <v>0</v>
      </c>
      <c r="N965" s="1639">
        <v>1.3749043097625284</v>
      </c>
      <c r="O965" s="1639">
        <v>1.4082776185159245</v>
      </c>
    </row>
    <row r="966" spans="11:15">
      <c r="K966" s="1636">
        <v>43023</v>
      </c>
      <c r="L966" s="1637"/>
      <c r="M966" s="1638">
        <v>0</v>
      </c>
      <c r="N966" s="1639">
        <v>1.3749043097625284</v>
      </c>
      <c r="O966" s="1639">
        <v>1.4082776185159245</v>
      </c>
    </row>
    <row r="967" spans="11:15">
      <c r="K967" s="1636">
        <v>43024</v>
      </c>
      <c r="L967" s="1637" t="s">
        <v>1650</v>
      </c>
      <c r="M967" s="1638">
        <v>3.1095999999999999E-2</v>
      </c>
      <c r="N967" s="1639">
        <v>1.3753318500066922</v>
      </c>
      <c r="O967" s="1639">
        <v>1.4090174008317071</v>
      </c>
    </row>
    <row r="968" spans="11:15">
      <c r="K968" s="1636">
        <v>43025</v>
      </c>
      <c r="L968" s="1637" t="s">
        <v>1650</v>
      </c>
      <c r="M968" s="1638">
        <v>3.1095999999999999E-2</v>
      </c>
      <c r="N968" s="1639">
        <v>1.3757595231987703</v>
      </c>
      <c r="O968" s="1639">
        <v>1.4097575717625381</v>
      </c>
    </row>
    <row r="969" spans="11:15">
      <c r="K969" s="1636">
        <v>43026</v>
      </c>
      <c r="L969" s="1637" t="s">
        <v>1650</v>
      </c>
      <c r="M969" s="1638">
        <v>3.1095999999999999E-2</v>
      </c>
      <c r="N969" s="1639">
        <v>1.3761873293801041</v>
      </c>
      <c r="O969" s="1639">
        <v>1.4104981315125606</v>
      </c>
    </row>
    <row r="970" spans="11:15">
      <c r="K970" s="1636">
        <v>43027</v>
      </c>
      <c r="L970" s="1637" t="s">
        <v>1650</v>
      </c>
      <c r="M970" s="1638">
        <v>3.1095999999999999E-2</v>
      </c>
      <c r="N970" s="1639">
        <v>1.3766152685920481</v>
      </c>
      <c r="O970" s="1639">
        <v>1.4112390802860255</v>
      </c>
    </row>
    <row r="971" spans="11:15">
      <c r="K971" s="1636">
        <v>43028</v>
      </c>
      <c r="L971" s="1637" t="s">
        <v>1650</v>
      </c>
      <c r="M971" s="1638">
        <v>3.1095999999999999E-2</v>
      </c>
      <c r="N971" s="1639">
        <v>1.3770433408759695</v>
      </c>
      <c r="O971" s="1639">
        <v>1.4119804182872906</v>
      </c>
    </row>
    <row r="972" spans="11:15">
      <c r="K972" s="1636">
        <v>43029</v>
      </c>
      <c r="L972" s="1637"/>
      <c r="M972" s="1638">
        <v>0</v>
      </c>
      <c r="N972" s="1639">
        <v>1.3770433408759695</v>
      </c>
      <c r="O972" s="1639">
        <v>1.4119804182872906</v>
      </c>
    </row>
    <row r="973" spans="11:15">
      <c r="K973" s="1636">
        <v>43030</v>
      </c>
      <c r="L973" s="1637"/>
      <c r="M973" s="1638">
        <v>0</v>
      </c>
      <c r="N973" s="1639">
        <v>1.3770433408759695</v>
      </c>
      <c r="O973" s="1639">
        <v>1.4119804182872906</v>
      </c>
    </row>
    <row r="974" spans="11:15">
      <c r="K974" s="1636">
        <v>43031</v>
      </c>
      <c r="L974" s="1637" t="s">
        <v>1650</v>
      </c>
      <c r="M974" s="1638">
        <v>3.1095999999999999E-2</v>
      </c>
      <c r="N974" s="1639">
        <v>1.3774715462732483</v>
      </c>
      <c r="O974" s="1639">
        <v>1.412722145720821</v>
      </c>
    </row>
    <row r="975" spans="11:15">
      <c r="K975" s="1636">
        <v>43032</v>
      </c>
      <c r="L975" s="1637" t="s">
        <v>1650</v>
      </c>
      <c r="M975" s="1638">
        <v>3.1095999999999999E-2</v>
      </c>
      <c r="N975" s="1639">
        <v>1.3778998848252775</v>
      </c>
      <c r="O975" s="1639">
        <v>1.4134642627911895</v>
      </c>
    </row>
    <row r="976" spans="11:15">
      <c r="K976" s="1636">
        <v>43033</v>
      </c>
      <c r="L976" s="1637" t="s">
        <v>1650</v>
      </c>
      <c r="M976" s="1638">
        <v>3.1095999999999999E-2</v>
      </c>
      <c r="N976" s="1639">
        <v>1.3783283565734628</v>
      </c>
      <c r="O976" s="1639">
        <v>1.4142067697030765</v>
      </c>
    </row>
    <row r="977" spans="11:15">
      <c r="K977" s="1636">
        <v>43034</v>
      </c>
      <c r="L977" s="1637" t="s">
        <v>1650</v>
      </c>
      <c r="M977" s="1638">
        <v>2.8333000000000001E-2</v>
      </c>
      <c r="N977" s="1639">
        <v>1.3787188783467308</v>
      </c>
      <c r="O977" s="1639">
        <v>1.4149496666612691</v>
      </c>
    </row>
    <row r="978" spans="11:15">
      <c r="K978" s="1636">
        <v>43035</v>
      </c>
      <c r="L978" s="1637" t="s">
        <v>1650</v>
      </c>
      <c r="M978" s="1638">
        <v>2.8333000000000001E-2</v>
      </c>
      <c r="N978" s="1639">
        <v>1.3791095107665328</v>
      </c>
      <c r="O978" s="1639">
        <v>1.4156929538706629</v>
      </c>
    </row>
    <row r="979" spans="11:15">
      <c r="K979" s="1636">
        <v>43036</v>
      </c>
      <c r="L979" s="1637"/>
      <c r="M979" s="1638">
        <v>0</v>
      </c>
      <c r="N979" s="1639">
        <v>1.3791095107665328</v>
      </c>
      <c r="O979" s="1639">
        <v>1.4156929538706629</v>
      </c>
    </row>
    <row r="980" spans="11:15">
      <c r="K980" s="1636">
        <v>43037</v>
      </c>
      <c r="L980" s="1637"/>
      <c r="M980" s="1638">
        <v>0</v>
      </c>
      <c r="N980" s="1639">
        <v>1.3791095107665328</v>
      </c>
      <c r="O980" s="1639">
        <v>1.4156929538706629</v>
      </c>
    </row>
    <row r="981" spans="11:15">
      <c r="K981" s="1636">
        <v>43038</v>
      </c>
      <c r="L981" s="1637" t="s">
        <v>1650</v>
      </c>
      <c r="M981" s="1638">
        <v>2.8333000000000001E-2</v>
      </c>
      <c r="N981" s="1639">
        <v>1.3795002538642183</v>
      </c>
      <c r="O981" s="1639">
        <v>1.4164366315362606</v>
      </c>
    </row>
    <row r="982" spans="11:15">
      <c r="K982" s="1636">
        <v>43039</v>
      </c>
      <c r="L982" s="1637" t="s">
        <v>1650</v>
      </c>
      <c r="M982" s="1638">
        <v>2.8333000000000001E-2</v>
      </c>
      <c r="N982" s="1639">
        <v>1.3798911076711458</v>
      </c>
      <c r="O982" s="1639">
        <v>1.4171806998631729</v>
      </c>
    </row>
    <row r="983" spans="11:15">
      <c r="K983" s="1636">
        <v>43040</v>
      </c>
      <c r="L983" s="1637" t="s">
        <v>1650</v>
      </c>
      <c r="M983" s="1638">
        <v>2.8333000000000001E-2</v>
      </c>
      <c r="N983" s="1639">
        <v>1.3802820722186822</v>
      </c>
      <c r="O983" s="1639">
        <v>1.417925159056618</v>
      </c>
    </row>
    <row r="984" spans="11:15">
      <c r="K984" s="1636">
        <v>43041</v>
      </c>
      <c r="L984" s="1637"/>
      <c r="M984" s="1638">
        <v>0</v>
      </c>
      <c r="N984" s="1639">
        <v>1.3802820722186822</v>
      </c>
      <c r="O984" s="1639">
        <v>1.417925159056618</v>
      </c>
    </row>
    <row r="985" spans="11:15">
      <c r="K985" s="1636">
        <v>43042</v>
      </c>
      <c r="L985" s="1637" t="s">
        <v>1650</v>
      </c>
      <c r="M985" s="1638">
        <v>2.8333000000000001E-2</v>
      </c>
      <c r="N985" s="1639">
        <v>1.3806731475382039</v>
      </c>
      <c r="O985" s="1639">
        <v>1.418670009321922</v>
      </c>
    </row>
    <row r="986" spans="11:15">
      <c r="K986" s="1636">
        <v>43043</v>
      </c>
      <c r="L986" s="1637"/>
      <c r="M986" s="1638">
        <v>0</v>
      </c>
      <c r="N986" s="1639">
        <v>1.3806731475382039</v>
      </c>
      <c r="O986" s="1639">
        <v>1.418670009321922</v>
      </c>
    </row>
    <row r="987" spans="11:15">
      <c r="K987" s="1636">
        <v>43044</v>
      </c>
      <c r="L987" s="1637"/>
      <c r="M987" s="1638">
        <v>0</v>
      </c>
      <c r="N987" s="1639">
        <v>1.3806731475382039</v>
      </c>
      <c r="O987" s="1639">
        <v>1.418670009321922</v>
      </c>
    </row>
    <row r="988" spans="11:15">
      <c r="K988" s="1636">
        <v>43045</v>
      </c>
      <c r="L988" s="1637" t="s">
        <v>1650</v>
      </c>
      <c r="M988" s="1638">
        <v>2.8333000000000001E-2</v>
      </c>
      <c r="N988" s="1639">
        <v>1.3810643336610959</v>
      </c>
      <c r="O988" s="1639">
        <v>1.4194152508645188</v>
      </c>
    </row>
    <row r="989" spans="11:15">
      <c r="K989" s="1636">
        <v>43046</v>
      </c>
      <c r="L989" s="1637" t="s">
        <v>1650</v>
      </c>
      <c r="M989" s="1638">
        <v>2.8333000000000001E-2</v>
      </c>
      <c r="N989" s="1639">
        <v>1.3814556306187522</v>
      </c>
      <c r="O989" s="1639">
        <v>1.4201608838899504</v>
      </c>
    </row>
    <row r="990" spans="11:15">
      <c r="K990" s="1636">
        <v>43047</v>
      </c>
      <c r="L990" s="1637" t="s">
        <v>1650</v>
      </c>
      <c r="M990" s="1638">
        <v>2.8333000000000001E-2</v>
      </c>
      <c r="N990" s="1639">
        <v>1.3818470384425754</v>
      </c>
      <c r="O990" s="1639">
        <v>1.4209069086038666</v>
      </c>
    </row>
    <row r="991" spans="11:15">
      <c r="K991" s="1636">
        <v>43048</v>
      </c>
      <c r="L991" s="1637" t="s">
        <v>1650</v>
      </c>
      <c r="M991" s="1638">
        <v>2.8333000000000001E-2</v>
      </c>
      <c r="N991" s="1639">
        <v>1.3822385571639773</v>
      </c>
      <c r="O991" s="1639">
        <v>1.4216533252120254</v>
      </c>
    </row>
    <row r="992" spans="11:15">
      <c r="K992" s="1636">
        <v>43049</v>
      </c>
      <c r="L992" s="1637" t="s">
        <v>1650</v>
      </c>
      <c r="M992" s="1638">
        <v>2.8333000000000001E-2</v>
      </c>
      <c r="N992" s="1639">
        <v>1.3826301868143787</v>
      </c>
      <c r="O992" s="1639">
        <v>1.4224001339202925</v>
      </c>
    </row>
    <row r="993" spans="11:15">
      <c r="K993" s="1636">
        <v>43050</v>
      </c>
      <c r="L993" s="1637"/>
      <c r="M993" s="1638">
        <v>0</v>
      </c>
      <c r="N993" s="1639">
        <v>1.3826301868143787</v>
      </c>
      <c r="O993" s="1639">
        <v>1.4224001339202925</v>
      </c>
    </row>
    <row r="994" spans="11:15">
      <c r="K994" s="1636">
        <v>43051</v>
      </c>
      <c r="L994" s="1637"/>
      <c r="M994" s="1638">
        <v>0</v>
      </c>
      <c r="N994" s="1639">
        <v>1.3826301868143787</v>
      </c>
      <c r="O994" s="1639">
        <v>1.4224001339202925</v>
      </c>
    </row>
    <row r="995" spans="11:15">
      <c r="K995" s="1636">
        <v>43052</v>
      </c>
      <c r="L995" s="1637" t="s">
        <v>1650</v>
      </c>
      <c r="M995" s="1638">
        <v>2.8333000000000001E-2</v>
      </c>
      <c r="N995" s="1639">
        <v>1.3830219274252089</v>
      </c>
      <c r="O995" s="1639">
        <v>1.4231473349346422</v>
      </c>
    </row>
    <row r="996" spans="11:15">
      <c r="K996" s="1636">
        <v>43053</v>
      </c>
      <c r="L996" s="1637" t="s">
        <v>1650</v>
      </c>
      <c r="M996" s="1638">
        <v>2.8333000000000001E-2</v>
      </c>
      <c r="N996" s="1639">
        <v>1.3834137790279064</v>
      </c>
      <c r="O996" s="1639">
        <v>1.4238949284611566</v>
      </c>
    </row>
    <row r="997" spans="11:15">
      <c r="K997" s="1636">
        <v>43054</v>
      </c>
      <c r="L997" s="1637"/>
      <c r="M997" s="1638">
        <v>0</v>
      </c>
      <c r="N997" s="1639">
        <v>1.3834137790279064</v>
      </c>
      <c r="O997" s="1639">
        <v>1.4238949284611566</v>
      </c>
    </row>
    <row r="998" spans="11:15">
      <c r="K998" s="1636">
        <v>43055</v>
      </c>
      <c r="L998" s="1637" t="s">
        <v>1650</v>
      </c>
      <c r="M998" s="1638">
        <v>2.8333000000000001E-2</v>
      </c>
      <c r="N998" s="1639">
        <v>1.3838057416539185</v>
      </c>
      <c r="O998" s="1639">
        <v>1.4246429147060264</v>
      </c>
    </row>
    <row r="999" spans="11:15">
      <c r="K999" s="1636">
        <v>43056</v>
      </c>
      <c r="L999" s="1637" t="s">
        <v>1650</v>
      </c>
      <c r="M999" s="1638">
        <v>2.8333000000000001E-2</v>
      </c>
      <c r="N999" s="1639">
        <v>1.3841978153347012</v>
      </c>
      <c r="O999" s="1639">
        <v>1.4253912938755506</v>
      </c>
    </row>
    <row r="1000" spans="11:15">
      <c r="K1000" s="1636">
        <v>43057</v>
      </c>
      <c r="L1000" s="1637"/>
      <c r="M1000" s="1638">
        <v>0</v>
      </c>
      <c r="N1000" s="1639">
        <v>1.3841978153347012</v>
      </c>
      <c r="O1000" s="1639">
        <v>1.4253912938755506</v>
      </c>
    </row>
    <row r="1001" spans="11:15">
      <c r="K1001" s="1636">
        <v>43058</v>
      </c>
      <c r="L1001" s="1637"/>
      <c r="M1001" s="1638">
        <v>0</v>
      </c>
      <c r="N1001" s="1639">
        <v>1.3841978153347012</v>
      </c>
      <c r="O1001" s="1639">
        <v>1.4253912938755506</v>
      </c>
    </row>
    <row r="1002" spans="11:15">
      <c r="K1002" s="1636">
        <v>43059</v>
      </c>
      <c r="L1002" s="1637" t="s">
        <v>1650</v>
      </c>
      <c r="M1002" s="1638">
        <v>2.8333000000000001E-2</v>
      </c>
      <c r="N1002" s="1639">
        <v>1.38459000010172</v>
      </c>
      <c r="O1002" s="1639">
        <v>1.4261400661761363</v>
      </c>
    </row>
    <row r="1003" spans="11:15">
      <c r="K1003" s="1636">
        <v>43060</v>
      </c>
      <c r="L1003" s="1637" t="s">
        <v>1650</v>
      </c>
      <c r="M1003" s="1638">
        <v>2.8333000000000001E-2</v>
      </c>
      <c r="N1003" s="1639">
        <v>1.3849822959864488</v>
      </c>
      <c r="O1003" s="1639">
        <v>1.4268892318142994</v>
      </c>
    </row>
    <row r="1004" spans="11:15">
      <c r="K1004" s="1636">
        <v>43061</v>
      </c>
      <c r="L1004" s="1637" t="s">
        <v>1650</v>
      </c>
      <c r="M1004" s="1638">
        <v>2.8333000000000001E-2</v>
      </c>
      <c r="N1004" s="1639">
        <v>1.3853747030203707</v>
      </c>
      <c r="O1004" s="1639">
        <v>1.4276387909966637</v>
      </c>
    </row>
    <row r="1005" spans="11:15">
      <c r="K1005" s="1636">
        <v>43062</v>
      </c>
      <c r="L1005" s="1637" t="s">
        <v>1650</v>
      </c>
      <c r="M1005" s="1638">
        <v>2.8333000000000001E-2</v>
      </c>
      <c r="N1005" s="1639">
        <v>1.3857672212349774</v>
      </c>
      <c r="O1005" s="1639">
        <v>1.4283887439299621</v>
      </c>
    </row>
    <row r="1006" spans="11:15">
      <c r="K1006" s="1636">
        <v>43063</v>
      </c>
      <c r="L1006" s="1637" t="s">
        <v>1650</v>
      </c>
      <c r="M1006" s="1638">
        <v>2.8333000000000001E-2</v>
      </c>
      <c r="N1006" s="1639">
        <v>1.3861598506617701</v>
      </c>
      <c r="O1006" s="1639">
        <v>1.429139090821036</v>
      </c>
    </row>
    <row r="1007" spans="11:15">
      <c r="K1007" s="1636">
        <v>43064</v>
      </c>
      <c r="L1007" s="1637"/>
      <c r="M1007" s="1638">
        <v>0</v>
      </c>
      <c r="N1007" s="1639">
        <v>1.3861598506617701</v>
      </c>
      <c r="O1007" s="1639">
        <v>1.429139090821036</v>
      </c>
    </row>
    <row r="1008" spans="11:15">
      <c r="K1008" s="1636">
        <v>43065</v>
      </c>
      <c r="L1008" s="1637"/>
      <c r="M1008" s="1638">
        <v>0</v>
      </c>
      <c r="N1008" s="1639">
        <v>1.3861598506617701</v>
      </c>
      <c r="O1008" s="1639">
        <v>1.429139090821036</v>
      </c>
    </row>
    <row r="1009" spans="11:15">
      <c r="K1009" s="1636">
        <v>43066</v>
      </c>
      <c r="L1009" s="1637" t="s">
        <v>1650</v>
      </c>
      <c r="M1009" s="1638">
        <v>2.8333000000000001E-2</v>
      </c>
      <c r="N1009" s="1639">
        <v>1.3865525913322581</v>
      </c>
      <c r="O1009" s="1639">
        <v>1.4298898318768352</v>
      </c>
    </row>
    <row r="1010" spans="11:15">
      <c r="K1010" s="1636">
        <v>43067</v>
      </c>
      <c r="L1010" s="1637" t="s">
        <v>1650</v>
      </c>
      <c r="M1010" s="1638">
        <v>2.8333000000000001E-2</v>
      </c>
      <c r="N1010" s="1639">
        <v>1.3869454432779602</v>
      </c>
      <c r="O1010" s="1639">
        <v>1.4306409673044185</v>
      </c>
    </row>
    <row r="1011" spans="11:15">
      <c r="K1011" s="1636">
        <v>43068</v>
      </c>
      <c r="L1011" s="1637" t="s">
        <v>1650</v>
      </c>
      <c r="M1011" s="1638">
        <v>2.8333000000000001E-2</v>
      </c>
      <c r="N1011" s="1639">
        <v>1.3873384065304042</v>
      </c>
      <c r="O1011" s="1639">
        <v>1.4313924973109531</v>
      </c>
    </row>
    <row r="1012" spans="11:15">
      <c r="K1012" s="1636">
        <v>43069</v>
      </c>
      <c r="L1012" s="1637" t="s">
        <v>1650</v>
      </c>
      <c r="M1012" s="1638">
        <v>2.8333000000000001E-2</v>
      </c>
      <c r="N1012" s="1639">
        <v>1.3877314811211265</v>
      </c>
      <c r="O1012" s="1639">
        <v>1.4321444221037154</v>
      </c>
    </row>
    <row r="1013" spans="11:15">
      <c r="K1013" s="1636">
        <v>43070</v>
      </c>
      <c r="L1013" s="1637" t="s">
        <v>1650</v>
      </c>
      <c r="M1013" s="1638">
        <v>2.8333000000000001E-2</v>
      </c>
      <c r="N1013" s="1639">
        <v>1.3881246670816727</v>
      </c>
      <c r="O1013" s="1639">
        <v>1.4328967418900906</v>
      </c>
    </row>
    <row r="1014" spans="11:15">
      <c r="K1014" s="1636">
        <v>43071</v>
      </c>
      <c r="L1014" s="1637"/>
      <c r="M1014" s="1638">
        <v>0</v>
      </c>
      <c r="N1014" s="1639">
        <v>1.3881246670816727</v>
      </c>
      <c r="O1014" s="1639">
        <v>1.4328967418900906</v>
      </c>
    </row>
    <row r="1015" spans="11:15">
      <c r="K1015" s="1636">
        <v>43072</v>
      </c>
      <c r="L1015" s="1637"/>
      <c r="M1015" s="1638">
        <v>0</v>
      </c>
      <c r="N1015" s="1639">
        <v>1.3881246670816727</v>
      </c>
      <c r="O1015" s="1639">
        <v>1.4328967418900906</v>
      </c>
    </row>
    <row r="1016" spans="11:15">
      <c r="K1016" s="1636">
        <v>43073</v>
      </c>
      <c r="L1016" s="1637" t="s">
        <v>1650</v>
      </c>
      <c r="M1016" s="1638">
        <v>2.8333000000000001E-2</v>
      </c>
      <c r="N1016" s="1639">
        <v>1.388517964443597</v>
      </c>
      <c r="O1016" s="1639">
        <v>1.4336494568775728</v>
      </c>
    </row>
    <row r="1017" spans="11:15">
      <c r="K1017" s="1636">
        <v>43074</v>
      </c>
      <c r="L1017" s="1637" t="s">
        <v>1650</v>
      </c>
      <c r="M1017" s="1638">
        <v>2.8333000000000001E-2</v>
      </c>
      <c r="N1017" s="1639">
        <v>1.3889113732384628</v>
      </c>
      <c r="O1017" s="1639">
        <v>1.4344025672737652</v>
      </c>
    </row>
    <row r="1018" spans="11:15">
      <c r="K1018" s="1636">
        <v>43075</v>
      </c>
      <c r="L1018" s="1637" t="s">
        <v>1650</v>
      </c>
      <c r="M1018" s="1638">
        <v>2.8333000000000001E-2</v>
      </c>
      <c r="N1018" s="1639">
        <v>1.3893048934978425</v>
      </c>
      <c r="O1018" s="1639">
        <v>1.4351560732863797</v>
      </c>
    </row>
    <row r="1019" spans="11:15">
      <c r="K1019" s="1636">
        <v>43076</v>
      </c>
      <c r="L1019" s="1637" t="s">
        <v>1650</v>
      </c>
      <c r="M1019" s="1638">
        <v>2.6481000000000001E-2</v>
      </c>
      <c r="N1019" s="1639">
        <v>1.3896727953266896</v>
      </c>
      <c r="O1019" s="1639">
        <v>1.4359099751232378</v>
      </c>
    </row>
    <row r="1020" spans="11:15">
      <c r="K1020" s="1636">
        <v>43077</v>
      </c>
      <c r="L1020" s="1637" t="s">
        <v>1650</v>
      </c>
      <c r="M1020" s="1638">
        <v>2.6481000000000001E-2</v>
      </c>
      <c r="N1020" s="1639">
        <v>1.39004079457962</v>
      </c>
      <c r="O1020" s="1639">
        <v>1.4366642729922698</v>
      </c>
    </row>
    <row r="1021" spans="11:15">
      <c r="K1021" s="1636">
        <v>43078</v>
      </c>
      <c r="L1021" s="1637"/>
      <c r="M1021" s="1638">
        <v>0</v>
      </c>
      <c r="N1021" s="1639">
        <v>1.39004079457962</v>
      </c>
      <c r="O1021" s="1639">
        <v>1.4366642729922698</v>
      </c>
    </row>
    <row r="1022" spans="11:15">
      <c r="K1022" s="1636">
        <v>43079</v>
      </c>
      <c r="L1022" s="1637"/>
      <c r="M1022" s="1638">
        <v>0</v>
      </c>
      <c r="N1022" s="1639">
        <v>1.39004079457962</v>
      </c>
      <c r="O1022" s="1639">
        <v>1.4366642729922698</v>
      </c>
    </row>
    <row r="1023" spans="11:15">
      <c r="K1023" s="1636">
        <v>43080</v>
      </c>
      <c r="L1023" s="1637" t="s">
        <v>1650</v>
      </c>
      <c r="M1023" s="1638">
        <v>2.6481000000000001E-2</v>
      </c>
      <c r="N1023" s="1639">
        <v>1.3904088912824326</v>
      </c>
      <c r="O1023" s="1639">
        <v>1.4374189671015154</v>
      </c>
    </row>
    <row r="1024" spans="11:15">
      <c r="K1024" s="1636">
        <v>43081</v>
      </c>
      <c r="L1024" s="1637" t="s">
        <v>1650</v>
      </c>
      <c r="M1024" s="1638">
        <v>2.6481000000000001E-2</v>
      </c>
      <c r="N1024" s="1639">
        <v>1.3907770854609331</v>
      </c>
      <c r="O1024" s="1639">
        <v>1.4381740576591235</v>
      </c>
    </row>
    <row r="1025" spans="11:15">
      <c r="K1025" s="1636">
        <v>43082</v>
      </c>
      <c r="L1025" s="1637" t="s">
        <v>1650</v>
      </c>
      <c r="M1025" s="1638">
        <v>2.6481000000000001E-2</v>
      </c>
      <c r="N1025" s="1639">
        <v>1.3911453771409341</v>
      </c>
      <c r="O1025" s="1639">
        <v>1.4389295448733526</v>
      </c>
    </row>
    <row r="1026" spans="11:15">
      <c r="K1026" s="1636">
        <v>43083</v>
      </c>
      <c r="L1026" s="1637" t="s">
        <v>1650</v>
      </c>
      <c r="M1026" s="1638">
        <v>2.6481000000000001E-2</v>
      </c>
      <c r="N1026" s="1639">
        <v>1.3915137663482549</v>
      </c>
      <c r="O1026" s="1639">
        <v>1.43968542895257</v>
      </c>
    </row>
    <row r="1027" spans="11:15">
      <c r="K1027" s="1636">
        <v>43084</v>
      </c>
      <c r="L1027" s="1637" t="s">
        <v>1650</v>
      </c>
      <c r="M1027" s="1638">
        <v>2.6481000000000001E-2</v>
      </c>
      <c r="N1027" s="1639">
        <v>1.3918822531087216</v>
      </c>
      <c r="O1027" s="1639">
        <v>1.4404417101052531</v>
      </c>
    </row>
    <row r="1028" spans="11:15">
      <c r="K1028" s="1636">
        <v>43085</v>
      </c>
      <c r="L1028" s="1637"/>
      <c r="M1028" s="1638">
        <v>0</v>
      </c>
      <c r="N1028" s="1639">
        <v>1.3918822531087216</v>
      </c>
      <c r="O1028" s="1639">
        <v>1.4404417101052531</v>
      </c>
    </row>
    <row r="1029" spans="11:15">
      <c r="K1029" s="1636">
        <v>43086</v>
      </c>
      <c r="L1029" s="1637"/>
      <c r="M1029" s="1638">
        <v>0</v>
      </c>
      <c r="N1029" s="1639">
        <v>1.3918822531087216</v>
      </c>
      <c r="O1029" s="1639">
        <v>1.4404417101052531</v>
      </c>
    </row>
    <row r="1030" spans="11:15">
      <c r="K1030" s="1636">
        <v>43087</v>
      </c>
      <c r="L1030" s="1637" t="s">
        <v>1650</v>
      </c>
      <c r="M1030" s="1638">
        <v>2.6481000000000001E-2</v>
      </c>
      <c r="N1030" s="1639">
        <v>1.3922508374481672</v>
      </c>
      <c r="O1030" s="1639">
        <v>1.4411983885399886</v>
      </c>
    </row>
    <row r="1031" spans="11:15">
      <c r="K1031" s="1636">
        <v>43088</v>
      </c>
      <c r="L1031" s="1637" t="s">
        <v>1650</v>
      </c>
      <c r="M1031" s="1638">
        <v>2.6481000000000001E-2</v>
      </c>
      <c r="N1031" s="1639">
        <v>1.392619519392432</v>
      </c>
      <c r="O1031" s="1639">
        <v>1.4419554644654726</v>
      </c>
    </row>
    <row r="1032" spans="11:15">
      <c r="K1032" s="1636">
        <v>43089</v>
      </c>
      <c r="L1032" s="1637" t="s">
        <v>1650</v>
      </c>
      <c r="M1032" s="1638">
        <v>2.6481000000000001E-2</v>
      </c>
      <c r="N1032" s="1639">
        <v>1.3929882989673623</v>
      </c>
      <c r="O1032" s="1639">
        <v>1.442712938090511</v>
      </c>
    </row>
    <row r="1033" spans="11:15">
      <c r="K1033" s="1636">
        <v>43090</v>
      </c>
      <c r="L1033" s="1637" t="s">
        <v>1650</v>
      </c>
      <c r="M1033" s="1638">
        <v>2.6481000000000001E-2</v>
      </c>
      <c r="N1033" s="1639">
        <v>1.3933571761988119</v>
      </c>
      <c r="O1033" s="1639">
        <v>1.4434708096240194</v>
      </c>
    </row>
    <row r="1034" spans="11:15">
      <c r="K1034" s="1636">
        <v>43091</v>
      </c>
      <c r="L1034" s="1637" t="s">
        <v>1650</v>
      </c>
      <c r="M1034" s="1638">
        <v>2.6481000000000001E-2</v>
      </c>
      <c r="N1034" s="1639">
        <v>1.3937261511126411</v>
      </c>
      <c r="O1034" s="1639">
        <v>1.444229079275023</v>
      </c>
    </row>
    <row r="1035" spans="11:15">
      <c r="K1035" s="1636">
        <v>43092</v>
      </c>
      <c r="L1035" s="1637"/>
      <c r="M1035" s="1638">
        <v>0</v>
      </c>
      <c r="N1035" s="1639">
        <v>1.3937261511126411</v>
      </c>
      <c r="O1035" s="1639">
        <v>1.444229079275023</v>
      </c>
    </row>
    <row r="1036" spans="11:15">
      <c r="K1036" s="1636">
        <v>43093</v>
      </c>
      <c r="L1036" s="1637"/>
      <c r="M1036" s="1638">
        <v>0</v>
      </c>
      <c r="N1036" s="1639">
        <v>1.3937261511126411</v>
      </c>
      <c r="O1036" s="1639">
        <v>1.444229079275023</v>
      </c>
    </row>
    <row r="1037" spans="11:15">
      <c r="K1037" s="1636">
        <v>43094</v>
      </c>
      <c r="L1037" s="1637"/>
      <c r="M1037" s="1638">
        <v>0</v>
      </c>
      <c r="N1037" s="1639">
        <v>1.3937261511126411</v>
      </c>
      <c r="O1037" s="1639">
        <v>1.444229079275023</v>
      </c>
    </row>
    <row r="1038" spans="11:15">
      <c r="K1038" s="1636">
        <v>43095</v>
      </c>
      <c r="L1038" s="1637" t="s">
        <v>1650</v>
      </c>
      <c r="M1038" s="1638">
        <v>2.6481000000000001E-2</v>
      </c>
      <c r="N1038" s="1639">
        <v>1.3940952237347173</v>
      </c>
      <c r="O1038" s="1639">
        <v>1.4449877472526569</v>
      </c>
    </row>
    <row r="1039" spans="11:15">
      <c r="K1039" s="1636">
        <v>43096</v>
      </c>
      <c r="L1039" s="1637" t="s">
        <v>1650</v>
      </c>
      <c r="M1039" s="1638">
        <v>2.6481000000000001E-2</v>
      </c>
      <c r="N1039" s="1639">
        <v>1.3944643940909145</v>
      </c>
      <c r="O1039" s="1639">
        <v>1.4457468137661662</v>
      </c>
    </row>
    <row r="1040" spans="11:15">
      <c r="K1040" s="1636">
        <v>43097</v>
      </c>
      <c r="L1040" s="1637" t="s">
        <v>1650</v>
      </c>
      <c r="M1040" s="1638">
        <v>2.6481000000000001E-2</v>
      </c>
      <c r="N1040" s="1639">
        <v>1.3948336622071138</v>
      </c>
      <c r="O1040" s="1639">
        <v>1.4465062790249057</v>
      </c>
    </row>
    <row r="1041" spans="11:15">
      <c r="K1041" s="1636">
        <v>43098</v>
      </c>
      <c r="L1041" s="1637" t="s">
        <v>1650</v>
      </c>
      <c r="M1041" s="1638">
        <v>2.6481000000000001E-2</v>
      </c>
      <c r="N1041" s="1639">
        <v>1.3952030281092029</v>
      </c>
      <c r="O1041" s="1639">
        <v>1.4472661432383402</v>
      </c>
    </row>
    <row r="1042" spans="11:15">
      <c r="K1042" s="1636">
        <v>43099</v>
      </c>
      <c r="L1042" s="1637"/>
      <c r="M1042" s="1638">
        <v>0</v>
      </c>
      <c r="N1042" s="1639">
        <v>1.3952030281092029</v>
      </c>
      <c r="O1042" s="1639">
        <v>1.4472661432383402</v>
      </c>
    </row>
    <row r="1043" spans="11:15">
      <c r="K1043" s="1636">
        <v>43100</v>
      </c>
      <c r="L1043" s="1637"/>
      <c r="M1043" s="1638">
        <v>0</v>
      </c>
      <c r="N1043" s="1639">
        <v>1.3952030281092029</v>
      </c>
      <c r="O1043" s="1639">
        <v>1.4472661432383402</v>
      </c>
    </row>
    <row r="1044" spans="11:15">
      <c r="K1044" s="1636">
        <v>43101</v>
      </c>
      <c r="L1044" s="1637"/>
      <c r="M1044" s="1638">
        <v>0</v>
      </c>
      <c r="N1044" s="1639">
        <v>1.3952030281092029</v>
      </c>
      <c r="O1044" s="1639">
        <v>1.4472661432383402</v>
      </c>
    </row>
    <row r="1045" spans="11:15">
      <c r="K1045" s="1636">
        <v>43102</v>
      </c>
      <c r="L1045" s="1637" t="s">
        <v>1650</v>
      </c>
      <c r="M1045" s="1638">
        <v>2.6481000000000001E-2</v>
      </c>
      <c r="N1045" s="1639">
        <v>1.3955724918230765</v>
      </c>
      <c r="O1045" s="1639"/>
    </row>
    <row r="1046" spans="11:15">
      <c r="K1046" s="1636">
        <v>43103</v>
      </c>
      <c r="L1046" s="1637" t="s">
        <v>1650</v>
      </c>
      <c r="M1046" s="1638">
        <v>2.6481000000000001E-2</v>
      </c>
      <c r="N1046" s="1639">
        <v>1.3959420533746363</v>
      </c>
      <c r="O1046" s="1639"/>
    </row>
    <row r="1047" spans="11:15">
      <c r="K1047" s="1636">
        <v>43104</v>
      </c>
      <c r="L1047" s="1637" t="s">
        <v>1650</v>
      </c>
      <c r="M1047" s="1638">
        <v>2.6481000000000001E-2</v>
      </c>
      <c r="N1047" s="1639">
        <v>1.3963117127897904</v>
      </c>
      <c r="O1047" s="1639"/>
    </row>
    <row r="1048" spans="11:15">
      <c r="K1048" s="1636">
        <v>43105</v>
      </c>
      <c r="L1048" s="1637" t="s">
        <v>1650</v>
      </c>
      <c r="M1048" s="1638">
        <v>2.6481000000000001E-2</v>
      </c>
      <c r="N1048" s="1639">
        <v>1.3966814700944543</v>
      </c>
      <c r="O1048" s="1639"/>
    </row>
    <row r="1049" spans="11:15">
      <c r="K1049" s="1636">
        <v>43106</v>
      </c>
      <c r="L1049" s="1637"/>
      <c r="M1049" s="1638">
        <v>0</v>
      </c>
      <c r="N1049" s="1639">
        <v>1.3966814700944543</v>
      </c>
      <c r="O1049" s="1639"/>
    </row>
    <row r="1050" spans="11:15">
      <c r="K1050" s="1636">
        <v>43107</v>
      </c>
      <c r="L1050" s="1637"/>
      <c r="M1050" s="1638">
        <v>0</v>
      </c>
      <c r="N1050" s="1639">
        <v>1.3966814700944543</v>
      </c>
      <c r="O1050" s="1639"/>
    </row>
    <row r="1051" spans="11:15">
      <c r="K1051" s="1636">
        <v>43108</v>
      </c>
      <c r="L1051" s="1637" t="s">
        <v>1650</v>
      </c>
      <c r="M1051" s="1638">
        <v>2.6481000000000001E-2</v>
      </c>
      <c r="N1051" s="1639">
        <v>1.39705132531455</v>
      </c>
      <c r="O1051" s="1639"/>
    </row>
    <row r="1052" spans="11:15">
      <c r="K1052" s="1636">
        <v>43109</v>
      </c>
      <c r="L1052" s="1637" t="s">
        <v>1650</v>
      </c>
      <c r="M1052" s="1638">
        <v>2.6481000000000001E-2</v>
      </c>
      <c r="N1052" s="1639">
        <v>1.3974212784760065</v>
      </c>
      <c r="O1052" s="1639"/>
    </row>
    <row r="1053" spans="11:15">
      <c r="K1053" s="1636">
        <v>43110</v>
      </c>
      <c r="L1053" s="1637" t="s">
        <v>1650</v>
      </c>
      <c r="M1053" s="1638">
        <v>2.6481000000000001E-2</v>
      </c>
      <c r="N1053" s="1639">
        <v>1.3977913296047597</v>
      </c>
      <c r="O1053" s="1639"/>
    </row>
    <row r="1054" spans="11:15">
      <c r="K1054" s="1636">
        <v>43111</v>
      </c>
      <c r="L1054" s="1637" t="s">
        <v>1650</v>
      </c>
      <c r="M1054" s="1638">
        <v>2.6481000000000001E-2</v>
      </c>
      <c r="N1054" s="1639">
        <v>1.3981614787267524</v>
      </c>
      <c r="O1054" s="1639"/>
    </row>
    <row r="1055" spans="11:15">
      <c r="K1055" s="1636">
        <v>43112</v>
      </c>
      <c r="L1055" s="1637" t="s">
        <v>1650</v>
      </c>
      <c r="M1055" s="1638">
        <v>2.6481000000000001E-2</v>
      </c>
      <c r="N1055" s="1639">
        <v>1.3985317258679342</v>
      </c>
      <c r="O1055" s="1639"/>
    </row>
    <row r="1056" spans="11:15">
      <c r="K1056" s="1636">
        <v>43113</v>
      </c>
      <c r="L1056" s="1637"/>
      <c r="M1056" s="1638">
        <v>0</v>
      </c>
      <c r="N1056" s="1639">
        <v>1.3985317258679342</v>
      </c>
      <c r="O1056" s="1639"/>
    </row>
    <row r="1057" spans="11:15">
      <c r="K1057" s="1636">
        <v>43114</v>
      </c>
      <c r="L1057" s="1637"/>
      <c r="M1057" s="1638">
        <v>0</v>
      </c>
      <c r="N1057" s="1639">
        <v>1.3985317258679342</v>
      </c>
      <c r="O1057" s="1639"/>
    </row>
    <row r="1058" spans="11:15">
      <c r="K1058" s="1636">
        <v>43115</v>
      </c>
      <c r="L1058" s="1637" t="s">
        <v>1650</v>
      </c>
      <c r="M1058" s="1638">
        <v>2.6481000000000001E-2</v>
      </c>
      <c r="N1058" s="1639">
        <v>1.3989020710542612</v>
      </c>
      <c r="O1058" s="1639"/>
    </row>
    <row r="1059" spans="11:15">
      <c r="K1059" s="1636">
        <v>43116</v>
      </c>
      <c r="L1059" s="1637" t="s">
        <v>1650</v>
      </c>
      <c r="M1059" s="1638">
        <v>2.6481000000000001E-2</v>
      </c>
      <c r="N1059" s="1639">
        <v>1.3992725143116971</v>
      </c>
      <c r="O1059" s="1639"/>
    </row>
    <row r="1060" spans="11:15">
      <c r="K1060" s="1636">
        <v>43117</v>
      </c>
      <c r="L1060" s="1637" t="s">
        <v>1650</v>
      </c>
      <c r="M1060" s="1638">
        <v>2.6481000000000001E-2</v>
      </c>
      <c r="N1060" s="1639">
        <v>1.3996430556662121</v>
      </c>
      <c r="O1060" s="1639"/>
    </row>
    <row r="1061" spans="11:15">
      <c r="K1061" s="1636">
        <v>43118</v>
      </c>
      <c r="L1061" s="1637" t="s">
        <v>1650</v>
      </c>
      <c r="M1061" s="1638">
        <v>2.6481000000000001E-2</v>
      </c>
      <c r="N1061" s="1639">
        <v>1.4000136951437829</v>
      </c>
      <c r="O1061" s="1639"/>
    </row>
    <row r="1062" spans="11:15">
      <c r="K1062" s="1636">
        <v>43119</v>
      </c>
      <c r="L1062" s="1637" t="s">
        <v>1650</v>
      </c>
      <c r="M1062" s="1638">
        <v>2.6481000000000001E-2</v>
      </c>
      <c r="N1062" s="1639">
        <v>1.400384432770394</v>
      </c>
      <c r="O1062" s="1639"/>
    </row>
    <row r="1063" spans="11:15">
      <c r="K1063" s="1636">
        <v>43120</v>
      </c>
      <c r="L1063" s="1637"/>
      <c r="M1063" s="1638">
        <v>0</v>
      </c>
      <c r="N1063" s="1639">
        <v>1.400384432770394</v>
      </c>
      <c r="O1063" s="1639"/>
    </row>
    <row r="1064" spans="11:15">
      <c r="K1064" s="1636">
        <v>43121</v>
      </c>
      <c r="L1064" s="1637"/>
      <c r="M1064" s="1638">
        <v>0</v>
      </c>
      <c r="N1064" s="1639">
        <v>1.400384432770394</v>
      </c>
      <c r="O1064" s="1639"/>
    </row>
    <row r="1065" spans="11:15">
      <c r="K1065" s="1636">
        <v>43122</v>
      </c>
      <c r="L1065" s="1637" t="s">
        <v>1650</v>
      </c>
      <c r="M1065" s="1638">
        <v>2.6481000000000001E-2</v>
      </c>
      <c r="N1065" s="1639">
        <v>1.4007552685720359</v>
      </c>
      <c r="O1065" s="1639"/>
    </row>
    <row r="1066" spans="11:15">
      <c r="K1066" s="1636">
        <v>43123</v>
      </c>
      <c r="L1066" s="1637" t="s">
        <v>1650</v>
      </c>
      <c r="M1066" s="1638">
        <v>2.6481000000000001E-2</v>
      </c>
      <c r="N1066" s="1639">
        <v>1.4011262025747064</v>
      </c>
      <c r="O1066" s="1639"/>
    </row>
    <row r="1067" spans="11:15">
      <c r="K1067" s="1636">
        <v>43124</v>
      </c>
      <c r="L1067" s="1637" t="s">
        <v>1650</v>
      </c>
      <c r="M1067" s="1638">
        <v>2.6481000000000001E-2</v>
      </c>
      <c r="N1067" s="1639">
        <v>1.4014972348044104</v>
      </c>
      <c r="O1067" s="1639"/>
    </row>
    <row r="1068" spans="11:15">
      <c r="K1068" s="1636">
        <v>43125</v>
      </c>
      <c r="L1068" s="1637" t="s">
        <v>1650</v>
      </c>
      <c r="M1068" s="1638">
        <v>2.6481000000000001E-2</v>
      </c>
      <c r="N1068" s="1639">
        <v>1.4018683652871589</v>
      </c>
      <c r="O1068" s="1639"/>
    </row>
    <row r="1069" spans="11:15">
      <c r="K1069" s="1636">
        <v>43126</v>
      </c>
      <c r="L1069" s="1637" t="s">
        <v>1650</v>
      </c>
      <c r="M1069" s="1638">
        <v>2.6481000000000001E-2</v>
      </c>
      <c r="N1069" s="1639">
        <v>1.4022395940489705</v>
      </c>
      <c r="O1069" s="1639"/>
    </row>
    <row r="1070" spans="11:15">
      <c r="K1070" s="1636">
        <v>43127</v>
      </c>
      <c r="L1070" s="1637"/>
      <c r="M1070" s="1638">
        <v>0</v>
      </c>
      <c r="N1070" s="1639">
        <v>1.4022395940489705</v>
      </c>
      <c r="O1070" s="1639"/>
    </row>
    <row r="1071" spans="11:15">
      <c r="K1071" s="1636">
        <v>43128</v>
      </c>
      <c r="L1071" s="1637"/>
      <c r="M1071" s="1638">
        <v>0</v>
      </c>
      <c r="N1071" s="1639">
        <v>1.4022395940489705</v>
      </c>
      <c r="O1071" s="1639"/>
    </row>
    <row r="1072" spans="11:15">
      <c r="K1072" s="1636">
        <v>43129</v>
      </c>
      <c r="L1072" s="1637" t="s">
        <v>1650</v>
      </c>
      <c r="M1072" s="1638">
        <v>2.6481000000000001E-2</v>
      </c>
      <c r="N1072" s="1639">
        <v>1.4026109211158706</v>
      </c>
      <c r="O1072" s="1639"/>
    </row>
    <row r="1073" spans="11:15">
      <c r="K1073" s="1636">
        <v>43130</v>
      </c>
      <c r="L1073" s="1637" t="s">
        <v>1650</v>
      </c>
      <c r="M1073" s="1638">
        <v>2.6481000000000001E-2</v>
      </c>
      <c r="N1073" s="1639">
        <v>1.4029823465138913</v>
      </c>
      <c r="O1073" s="1639"/>
    </row>
    <row r="1074" spans="11:15">
      <c r="K1074" s="1636">
        <v>43131</v>
      </c>
      <c r="L1074" s="1637" t="s">
        <v>1650</v>
      </c>
      <c r="M1074" s="1638">
        <v>2.6481000000000001E-2</v>
      </c>
      <c r="N1074" s="1639">
        <v>1.4033538702690718</v>
      </c>
      <c r="O1074" s="1639"/>
    </row>
    <row r="1075" spans="11:15">
      <c r="K1075" s="1636">
        <v>43132</v>
      </c>
      <c r="L1075" s="1637" t="s">
        <v>1650</v>
      </c>
      <c r="M1075" s="1638">
        <v>2.6481000000000001E-2</v>
      </c>
      <c r="N1075" s="1639">
        <v>1.4037254924074578</v>
      </c>
      <c r="O1075" s="1639"/>
    </row>
    <row r="1076" spans="11:15">
      <c r="K1076" s="1636">
        <v>43133</v>
      </c>
      <c r="L1076" s="1637" t="s">
        <v>1650</v>
      </c>
      <c r="M1076" s="1638">
        <v>2.6481000000000001E-2</v>
      </c>
      <c r="N1076" s="1639">
        <v>1.4040972129551021</v>
      </c>
      <c r="O1076" s="1639"/>
    </row>
    <row r="1077" spans="11:15">
      <c r="K1077" s="1636">
        <v>43134</v>
      </c>
      <c r="L1077" s="1637"/>
      <c r="M1077" s="1638">
        <v>0</v>
      </c>
      <c r="N1077" s="1639">
        <v>1.4040972129551021</v>
      </c>
      <c r="O1077" s="1639"/>
    </row>
    <row r="1078" spans="11:15">
      <c r="K1078" s="1636">
        <v>43135</v>
      </c>
      <c r="L1078" s="1637"/>
      <c r="M1078" s="1638">
        <v>0</v>
      </c>
      <c r="N1078" s="1639">
        <v>1.4040972129551021</v>
      </c>
      <c r="O1078" s="1639"/>
    </row>
    <row r="1079" spans="11:15">
      <c r="K1079" s="1636">
        <v>43136</v>
      </c>
      <c r="L1079" s="1637" t="s">
        <v>1650</v>
      </c>
      <c r="M1079" s="1638">
        <v>2.6481000000000001E-2</v>
      </c>
      <c r="N1079" s="1639">
        <v>1.4044690319380648</v>
      </c>
      <c r="O1079" s="1639"/>
    </row>
    <row r="1080" spans="11:15">
      <c r="K1080" s="1636">
        <v>43137</v>
      </c>
      <c r="L1080" s="1637" t="s">
        <v>1650</v>
      </c>
      <c r="M1080" s="1638">
        <v>2.6481000000000001E-2</v>
      </c>
      <c r="N1080" s="1639">
        <v>1.4048409493824123</v>
      </c>
      <c r="O1080" s="1639"/>
    </row>
    <row r="1081" spans="11:15">
      <c r="K1081" s="1636">
        <v>43138</v>
      </c>
      <c r="L1081" s="1637" t="s">
        <v>1650</v>
      </c>
      <c r="M1081" s="1638">
        <v>2.6481000000000001E-2</v>
      </c>
      <c r="N1081" s="1639">
        <v>1.4052129653142182</v>
      </c>
      <c r="O1081" s="1639"/>
    </row>
    <row r="1082" spans="11:15">
      <c r="K1082" s="1636">
        <v>43139</v>
      </c>
      <c r="L1082" s="1637" t="s">
        <v>1650</v>
      </c>
      <c r="M1082" s="1638">
        <v>2.5551999999999998E-2</v>
      </c>
      <c r="N1082" s="1639">
        <v>1.4055720253311155</v>
      </c>
      <c r="O1082" s="1639"/>
    </row>
    <row r="1083" spans="11:15">
      <c r="K1083" s="1636">
        <v>43140</v>
      </c>
      <c r="L1083" s="1637" t="s">
        <v>1650</v>
      </c>
      <c r="M1083" s="1638">
        <v>2.5551999999999998E-2</v>
      </c>
      <c r="N1083" s="1639">
        <v>1.4059311770950282</v>
      </c>
      <c r="O1083" s="1639"/>
    </row>
    <row r="1084" spans="11:15">
      <c r="K1084" s="1636">
        <v>43141</v>
      </c>
      <c r="L1084" s="1637"/>
      <c r="M1084" s="1638">
        <v>0</v>
      </c>
      <c r="N1084" s="1639">
        <v>1.4059311770950282</v>
      </c>
      <c r="O1084" s="1639"/>
    </row>
    <row r="1085" spans="11:15">
      <c r="K1085" s="1636">
        <v>43142</v>
      </c>
      <c r="L1085" s="1637"/>
      <c r="M1085" s="1638">
        <v>0</v>
      </c>
      <c r="N1085" s="1639">
        <v>1.4059311770950282</v>
      </c>
      <c r="O1085" s="1639"/>
    </row>
    <row r="1086" spans="11:15">
      <c r="K1086" s="1636">
        <v>43143</v>
      </c>
      <c r="L1086" s="1637"/>
      <c r="M1086" s="1638">
        <v>0</v>
      </c>
      <c r="N1086" s="1639">
        <v>1.4059311770950282</v>
      </c>
      <c r="O1086" s="1639"/>
    </row>
    <row r="1087" spans="11:15">
      <c r="K1087" s="1636">
        <v>43144</v>
      </c>
      <c r="L1087" s="1637"/>
      <c r="M1087" s="1638">
        <v>0</v>
      </c>
      <c r="N1087" s="1639">
        <v>1.4059311770950282</v>
      </c>
      <c r="O1087" s="1639"/>
    </row>
    <row r="1088" spans="11:15">
      <c r="K1088" s="1636">
        <v>43145</v>
      </c>
      <c r="L1088" s="1637" t="s">
        <v>1650</v>
      </c>
      <c r="M1088" s="1638">
        <v>2.5551999999999998E-2</v>
      </c>
      <c r="N1088" s="1639">
        <v>1.4062904206293996</v>
      </c>
      <c r="O1088" s="1639"/>
    </row>
    <row r="1089" spans="11:15">
      <c r="K1089" s="1636">
        <v>43146</v>
      </c>
      <c r="L1089" s="1637" t="s">
        <v>1650</v>
      </c>
      <c r="M1089" s="1638">
        <v>2.5551999999999998E-2</v>
      </c>
      <c r="N1089" s="1639">
        <v>1.4066497559576789</v>
      </c>
      <c r="O1089" s="1639"/>
    </row>
    <row r="1090" spans="11:15">
      <c r="K1090" s="1636">
        <v>43147</v>
      </c>
      <c r="L1090" s="1637" t="s">
        <v>1650</v>
      </c>
      <c r="M1090" s="1638">
        <v>2.5551999999999998E-2</v>
      </c>
      <c r="N1090" s="1639">
        <v>1.4070091831033213</v>
      </c>
      <c r="O1090" s="1639"/>
    </row>
    <row r="1091" spans="11:15">
      <c r="K1091" s="1636">
        <v>43148</v>
      </c>
      <c r="L1091" s="1637"/>
      <c r="M1091" s="1638">
        <v>0</v>
      </c>
      <c r="N1091" s="1639">
        <v>1.4070091831033213</v>
      </c>
      <c r="O1091" s="1639"/>
    </row>
    <row r="1092" spans="11:15">
      <c r="K1092" s="1636">
        <v>43149</v>
      </c>
      <c r="L1092" s="1637"/>
      <c r="M1092" s="1638">
        <v>0</v>
      </c>
      <c r="N1092" s="1639">
        <v>1.4070091831033213</v>
      </c>
      <c r="O1092" s="1639"/>
    </row>
    <row r="1093" spans="11:15">
      <c r="K1093" s="1636">
        <v>43150</v>
      </c>
      <c r="L1093" s="1637" t="s">
        <v>1650</v>
      </c>
      <c r="M1093" s="1638">
        <v>2.5551999999999998E-2</v>
      </c>
      <c r="N1093" s="1639">
        <v>1.407368702089788</v>
      </c>
      <c r="O1093" s="1639"/>
    </row>
    <row r="1094" spans="11:15">
      <c r="K1094" s="1636">
        <v>43151</v>
      </c>
      <c r="L1094" s="1637" t="s">
        <v>1650</v>
      </c>
      <c r="M1094" s="1638">
        <v>2.5551999999999998E-2</v>
      </c>
      <c r="N1094" s="1639">
        <v>1.407728312940546</v>
      </c>
      <c r="O1094" s="1639"/>
    </row>
    <row r="1095" spans="11:15">
      <c r="K1095" s="1636">
        <v>43152</v>
      </c>
      <c r="L1095" s="1637" t="s">
        <v>1650</v>
      </c>
      <c r="M1095" s="1638">
        <v>2.5551999999999998E-2</v>
      </c>
      <c r="N1095" s="1639">
        <v>1.4080880156790687</v>
      </c>
      <c r="O1095" s="1639"/>
    </row>
    <row r="1096" spans="11:15">
      <c r="K1096" s="1636">
        <v>43153</v>
      </c>
      <c r="L1096" s="1637" t="s">
        <v>1650</v>
      </c>
      <c r="M1096" s="1638">
        <v>2.5551999999999998E-2</v>
      </c>
      <c r="N1096" s="1639">
        <v>1.4084478103288351</v>
      </c>
      <c r="O1096" s="1639"/>
    </row>
    <row r="1097" spans="11:15">
      <c r="K1097" s="1636">
        <v>43154</v>
      </c>
      <c r="L1097" s="1637" t="s">
        <v>1650</v>
      </c>
      <c r="M1097" s="1638">
        <v>2.5551999999999998E-2</v>
      </c>
      <c r="N1097" s="1639">
        <v>1.4088076969133305</v>
      </c>
      <c r="O1097" s="1639"/>
    </row>
    <row r="1098" spans="11:15">
      <c r="K1098" s="1636">
        <v>43155</v>
      </c>
      <c r="L1098" s="1637"/>
      <c r="M1098" s="1638">
        <v>0</v>
      </c>
      <c r="N1098" s="1639">
        <v>1.4088076969133305</v>
      </c>
      <c r="O1098" s="1639"/>
    </row>
    <row r="1099" spans="11:15">
      <c r="K1099" s="1636">
        <v>43156</v>
      </c>
      <c r="L1099" s="1637"/>
      <c r="M1099" s="1638">
        <v>0</v>
      </c>
      <c r="N1099" s="1639">
        <v>1.4088076969133305</v>
      </c>
      <c r="O1099" s="1639"/>
    </row>
    <row r="1100" spans="11:15">
      <c r="K1100" s="1636">
        <v>43157</v>
      </c>
      <c r="L1100" s="1637" t="s">
        <v>1650</v>
      </c>
      <c r="M1100" s="1638">
        <v>2.5551999999999998E-2</v>
      </c>
      <c r="N1100" s="1639">
        <v>1.4091676754560458</v>
      </c>
      <c r="O1100" s="1639"/>
    </row>
    <row r="1101" spans="11:15">
      <c r="K1101" s="1636">
        <v>43158</v>
      </c>
      <c r="L1101" s="1637" t="s">
        <v>1650</v>
      </c>
      <c r="M1101" s="1638">
        <v>2.5551999999999998E-2</v>
      </c>
      <c r="N1101" s="1639">
        <v>1.4095277459804785</v>
      </c>
      <c r="O1101" s="1639"/>
    </row>
    <row r="1102" spans="11:15">
      <c r="K1102" s="1636">
        <v>43159</v>
      </c>
      <c r="L1102" s="1637" t="s">
        <v>1650</v>
      </c>
      <c r="M1102" s="1638">
        <v>2.5551999999999998E-2</v>
      </c>
      <c r="N1102" s="1639">
        <v>1.4098879085101315</v>
      </c>
      <c r="O1102" s="1639"/>
    </row>
    <row r="1103" spans="11:15">
      <c r="K1103" s="1636">
        <v>43160</v>
      </c>
      <c r="L1103" s="1637" t="s">
        <v>1650</v>
      </c>
      <c r="M1103" s="1638">
        <v>2.5551999999999998E-2</v>
      </c>
      <c r="N1103" s="1639">
        <v>1.410248163068514</v>
      </c>
      <c r="O1103" s="1639"/>
    </row>
    <row r="1104" spans="11:15">
      <c r="K1104" s="1636">
        <v>43161</v>
      </c>
      <c r="L1104" s="1637" t="s">
        <v>1650</v>
      </c>
      <c r="M1104" s="1638">
        <v>2.5551999999999998E-2</v>
      </c>
      <c r="N1104" s="1639">
        <v>1.4106085096791414</v>
      </c>
      <c r="O1104" s="1639"/>
    </row>
    <row r="1105" spans="11:15">
      <c r="K1105" s="1636">
        <v>43162</v>
      </c>
      <c r="L1105" s="1637"/>
      <c r="M1105" s="1638">
        <v>0</v>
      </c>
      <c r="N1105" s="1639">
        <v>1.4106085096791414</v>
      </c>
      <c r="O1105" s="1639"/>
    </row>
    <row r="1106" spans="11:15">
      <c r="K1106" s="1636">
        <v>43163</v>
      </c>
      <c r="L1106" s="1637"/>
      <c r="M1106" s="1638">
        <v>0</v>
      </c>
      <c r="N1106" s="1639">
        <v>1.4106085096791414</v>
      </c>
      <c r="O1106" s="1639"/>
    </row>
    <row r="1107" spans="11:15">
      <c r="K1107" s="1636">
        <v>43164</v>
      </c>
      <c r="L1107" s="1637" t="s">
        <v>1650</v>
      </c>
      <c r="M1107" s="1638">
        <v>2.5551999999999998E-2</v>
      </c>
      <c r="N1107" s="1639">
        <v>1.4109689483655348</v>
      </c>
      <c r="O1107" s="1639"/>
    </row>
    <row r="1108" spans="11:15">
      <c r="K1108" s="1636">
        <v>43165</v>
      </c>
      <c r="L1108" s="1637" t="s">
        <v>1650</v>
      </c>
      <c r="M1108" s="1638">
        <v>2.5551999999999998E-2</v>
      </c>
      <c r="N1108" s="1639">
        <v>1.4113294791512212</v>
      </c>
      <c r="O1108" s="1639"/>
    </row>
    <row r="1109" spans="11:15">
      <c r="K1109" s="1636">
        <v>43166</v>
      </c>
      <c r="L1109" s="1637" t="s">
        <v>1650</v>
      </c>
      <c r="M1109" s="1638">
        <v>2.5551999999999998E-2</v>
      </c>
      <c r="N1109" s="1639">
        <v>1.4116901020597341</v>
      </c>
      <c r="O1109" s="1639"/>
    </row>
    <row r="1110" spans="11:15">
      <c r="K1110" s="1636">
        <v>43167</v>
      </c>
      <c r="L1110" s="1637" t="s">
        <v>1650</v>
      </c>
      <c r="M1110" s="1638">
        <v>2.5551999999999998E-2</v>
      </c>
      <c r="N1110" s="1639">
        <v>1.4120508171146124</v>
      </c>
      <c r="O1110" s="1639"/>
    </row>
    <row r="1111" spans="11:15">
      <c r="K1111" s="1636">
        <v>43168</v>
      </c>
      <c r="L1111" s="1637" t="s">
        <v>1650</v>
      </c>
      <c r="M1111" s="1638">
        <v>2.5551999999999998E-2</v>
      </c>
      <c r="N1111" s="1639">
        <v>1.4124116243394016</v>
      </c>
      <c r="O1111" s="1639"/>
    </row>
    <row r="1112" spans="11:15">
      <c r="K1112" s="1636">
        <v>43169</v>
      </c>
      <c r="L1112" s="1637"/>
      <c r="M1112" s="1638">
        <v>0</v>
      </c>
      <c r="N1112" s="1639">
        <v>1.4124116243394016</v>
      </c>
      <c r="O1112" s="1639"/>
    </row>
    <row r="1113" spans="11:15">
      <c r="K1113" s="1636">
        <v>43170</v>
      </c>
      <c r="L1113" s="1637"/>
      <c r="M1113" s="1638">
        <v>0</v>
      </c>
      <c r="N1113" s="1639">
        <v>1.4124116243394016</v>
      </c>
      <c r="O1113" s="1639"/>
    </row>
    <row r="1114" spans="11:15">
      <c r="K1114" s="1636">
        <v>43171</v>
      </c>
      <c r="L1114" s="1637" t="s">
        <v>1650</v>
      </c>
      <c r="M1114" s="1638">
        <v>2.5551999999999998E-2</v>
      </c>
      <c r="N1114" s="1639">
        <v>1.4127725237576529</v>
      </c>
      <c r="O1114" s="1639"/>
    </row>
    <row r="1115" spans="11:15">
      <c r="K1115" s="1636">
        <v>43172</v>
      </c>
      <c r="L1115" s="1637" t="s">
        <v>1650</v>
      </c>
      <c r="M1115" s="1638">
        <v>2.5551999999999998E-2</v>
      </c>
      <c r="N1115" s="1639">
        <v>1.4131335153929236</v>
      </c>
      <c r="O1115" s="1639"/>
    </row>
    <row r="1116" spans="11:15">
      <c r="K1116" s="1636">
        <v>43173</v>
      </c>
      <c r="L1116" s="1637" t="s">
        <v>1650</v>
      </c>
      <c r="M1116" s="1638">
        <v>2.5551999999999998E-2</v>
      </c>
      <c r="N1116" s="1639">
        <v>1.4134945992687769</v>
      </c>
      <c r="O1116" s="1639"/>
    </row>
    <row r="1117" spans="11:15">
      <c r="K1117" s="1636">
        <v>43174</v>
      </c>
      <c r="L1117" s="1637" t="s">
        <v>1650</v>
      </c>
      <c r="M1117" s="1638">
        <v>2.5551999999999998E-2</v>
      </c>
      <c r="N1117" s="1639">
        <v>1.4138557754087822</v>
      </c>
      <c r="O1117" s="1639"/>
    </row>
    <row r="1118" spans="11:15">
      <c r="K1118" s="1636">
        <v>43175</v>
      </c>
      <c r="L1118" s="1637" t="s">
        <v>1650</v>
      </c>
      <c r="M1118" s="1638">
        <v>2.5551999999999998E-2</v>
      </c>
      <c r="N1118" s="1639">
        <v>1.4142170438365147</v>
      </c>
      <c r="O1118" s="1639"/>
    </row>
    <row r="1119" spans="11:15">
      <c r="K1119" s="1636">
        <v>43176</v>
      </c>
      <c r="L1119" s="1637"/>
      <c r="M1119" s="1638">
        <v>0</v>
      </c>
      <c r="N1119" s="1639">
        <v>1.4142170438365147</v>
      </c>
      <c r="O1119" s="1639"/>
    </row>
    <row r="1120" spans="11:15">
      <c r="K1120" s="1636">
        <v>43177</v>
      </c>
      <c r="L1120" s="1637"/>
      <c r="M1120" s="1638">
        <v>0</v>
      </c>
      <c r="N1120" s="1639">
        <v>1.4142170438365147</v>
      </c>
      <c r="O1120" s="1639"/>
    </row>
    <row r="1121" spans="11:15">
      <c r="K1121" s="1636">
        <v>43178</v>
      </c>
      <c r="L1121" s="1637" t="s">
        <v>1650</v>
      </c>
      <c r="M1121" s="1638">
        <v>2.5551999999999998E-2</v>
      </c>
      <c r="N1121" s="1639">
        <v>1.4145784045755558</v>
      </c>
      <c r="O1121" s="1639"/>
    </row>
    <row r="1122" spans="11:15">
      <c r="K1122" s="1636">
        <v>43179</v>
      </c>
      <c r="L1122" s="1637" t="s">
        <v>1650</v>
      </c>
      <c r="M1122" s="1638">
        <v>2.5551999999999998E-2</v>
      </c>
      <c r="N1122" s="1639">
        <v>1.4149398576494931</v>
      </c>
      <c r="O1122" s="1639"/>
    </row>
    <row r="1123" spans="11:15">
      <c r="K1123" s="1636">
        <v>43180</v>
      </c>
      <c r="L1123" s="1637" t="s">
        <v>1650</v>
      </c>
      <c r="M1123" s="1638">
        <v>2.5551999999999998E-2</v>
      </c>
      <c r="N1123" s="1639">
        <v>1.4153014030819198</v>
      </c>
      <c r="O1123" s="1639"/>
    </row>
    <row r="1124" spans="11:15">
      <c r="K1124" s="1636">
        <v>43181</v>
      </c>
      <c r="L1124" s="1637" t="s">
        <v>1650</v>
      </c>
      <c r="M1124" s="1638">
        <v>2.462E-2</v>
      </c>
      <c r="N1124" s="1639">
        <v>1.4156498502873587</v>
      </c>
      <c r="O1124" s="1639"/>
    </row>
    <row r="1125" spans="11:15">
      <c r="K1125" s="1636">
        <v>43182</v>
      </c>
      <c r="L1125" s="1637" t="s">
        <v>1650</v>
      </c>
      <c r="M1125" s="1638">
        <v>2.462E-2</v>
      </c>
      <c r="N1125" s="1639">
        <v>1.4159983832804997</v>
      </c>
      <c r="O1125" s="1639"/>
    </row>
    <row r="1126" spans="11:15">
      <c r="K1126" s="1636">
        <v>43183</v>
      </c>
      <c r="L1126" s="1637"/>
      <c r="M1126" s="1638">
        <v>0</v>
      </c>
      <c r="N1126" s="1639">
        <v>1.4159983832804997</v>
      </c>
      <c r="O1126" s="1639"/>
    </row>
    <row r="1127" spans="11:15">
      <c r="K1127" s="1636">
        <v>43184</v>
      </c>
      <c r="L1127" s="1637"/>
      <c r="M1127" s="1638">
        <v>0</v>
      </c>
      <c r="N1127" s="1639">
        <v>1.4159983832804997</v>
      </c>
      <c r="O1127" s="1639"/>
    </row>
    <row r="1128" spans="11:15">
      <c r="K1128" s="1636">
        <v>43185</v>
      </c>
      <c r="L1128" s="1637" t="s">
        <v>1650</v>
      </c>
      <c r="M1128" s="1638">
        <v>2.462E-2</v>
      </c>
      <c r="N1128" s="1639">
        <v>1.4163470020824633</v>
      </c>
      <c r="O1128" s="1639"/>
    </row>
    <row r="1129" spans="11:15">
      <c r="K1129" s="1636">
        <v>43186</v>
      </c>
      <c r="L1129" s="1637" t="s">
        <v>1650</v>
      </c>
      <c r="M1129" s="1638">
        <v>2.462E-2</v>
      </c>
      <c r="N1129" s="1639">
        <v>1.4166957067143762</v>
      </c>
      <c r="O1129" s="1639"/>
    </row>
    <row r="1130" spans="11:15">
      <c r="K1130" s="1636">
        <v>43187</v>
      </c>
      <c r="L1130" s="1637" t="s">
        <v>1650</v>
      </c>
      <c r="M1130" s="1638">
        <v>2.462E-2</v>
      </c>
      <c r="N1130" s="1639">
        <v>1.4170444971973695</v>
      </c>
      <c r="O1130" s="1639"/>
    </row>
    <row r="1131" spans="11:15">
      <c r="K1131" s="1636">
        <v>43188</v>
      </c>
      <c r="L1131" s="1637" t="s">
        <v>1650</v>
      </c>
      <c r="M1131" s="1638">
        <v>2.462E-2</v>
      </c>
      <c r="N1131" s="1639">
        <v>1.4173933735525797</v>
      </c>
      <c r="O1131" s="1639"/>
    </row>
    <row r="1132" spans="11:15">
      <c r="K1132" s="1636">
        <v>43189</v>
      </c>
      <c r="L1132" s="1637"/>
      <c r="M1132" s="1638">
        <v>0</v>
      </c>
      <c r="N1132" s="1639">
        <v>1.4173933735525797</v>
      </c>
      <c r="O1132" s="1639"/>
    </row>
    <row r="1133" spans="11:15">
      <c r="K1133" s="1636">
        <v>43190</v>
      </c>
      <c r="L1133" s="1637"/>
      <c r="M1133" s="1638">
        <v>0</v>
      </c>
      <c r="N1133" s="1639">
        <v>1.4173933735525797</v>
      </c>
      <c r="O1133" s="1639"/>
    </row>
    <row r="1134" spans="11:15">
      <c r="K1134" s="1636">
        <v>43191</v>
      </c>
      <c r="L1134" s="1637"/>
      <c r="M1134" s="1638">
        <v>0</v>
      </c>
      <c r="N1134" s="1639">
        <v>1.4173933735525797</v>
      </c>
      <c r="O1134" s="1639"/>
    </row>
    <row r="1135" spans="11:15">
      <c r="K1135" s="1636">
        <v>43192</v>
      </c>
      <c r="L1135" s="1637" t="s">
        <v>1650</v>
      </c>
      <c r="M1135" s="1638">
        <v>2.462E-2</v>
      </c>
      <c r="N1135" s="1639">
        <v>1.4177423358011485</v>
      </c>
      <c r="O1135" s="1639"/>
    </row>
    <row r="1136" spans="11:15">
      <c r="K1136" s="1636">
        <v>43193</v>
      </c>
      <c r="L1136" s="1637" t="s">
        <v>1650</v>
      </c>
      <c r="M1136" s="1638">
        <v>2.462E-2</v>
      </c>
      <c r="N1136" s="1639">
        <v>1.4180913839642229</v>
      </c>
      <c r="O1136" s="1639"/>
    </row>
    <row r="1137" spans="11:15">
      <c r="K1137" s="1636">
        <v>43194</v>
      </c>
      <c r="L1137" s="1637" t="s">
        <v>1650</v>
      </c>
      <c r="M1137" s="1638">
        <v>2.462E-2</v>
      </c>
      <c r="N1137" s="1639">
        <v>1.4184405180629549</v>
      </c>
      <c r="O1137" s="1639"/>
    </row>
    <row r="1138" spans="11:15">
      <c r="K1138" s="1636">
        <v>43195</v>
      </c>
      <c r="L1138" s="1637" t="s">
        <v>1650</v>
      </c>
      <c r="M1138" s="1638">
        <v>2.462E-2</v>
      </c>
      <c r="N1138" s="1639">
        <v>1.4187897381185022</v>
      </c>
      <c r="O1138" s="1639"/>
    </row>
    <row r="1139" spans="11:15">
      <c r="K1139" s="1636">
        <v>43196</v>
      </c>
      <c r="L1139" s="1637" t="s">
        <v>1650</v>
      </c>
      <c r="M1139" s="1638">
        <v>2.462E-2</v>
      </c>
      <c r="N1139" s="1639">
        <v>1.4191390441520271</v>
      </c>
      <c r="O1139" s="1639"/>
    </row>
    <row r="1140" spans="11:15">
      <c r="K1140" s="1636">
        <v>43197</v>
      </c>
      <c r="L1140" s="1637"/>
      <c r="M1140" s="1638">
        <v>0</v>
      </c>
      <c r="N1140" s="1639">
        <v>1.4191390441520271</v>
      </c>
      <c r="O1140" s="1639"/>
    </row>
    <row r="1141" spans="11:15">
      <c r="K1141" s="1636">
        <v>43198</v>
      </c>
      <c r="L1141" s="1637"/>
      <c r="M1141" s="1638">
        <v>0</v>
      </c>
      <c r="N1141" s="1639">
        <v>1.4191390441520271</v>
      </c>
      <c r="O1141" s="1639"/>
    </row>
    <row r="1142" spans="11:15">
      <c r="K1142" s="1636">
        <v>43199</v>
      </c>
      <c r="L1142" s="1637" t="s">
        <v>1650</v>
      </c>
      <c r="M1142" s="1638">
        <v>2.462E-2</v>
      </c>
      <c r="N1142" s="1639">
        <v>1.4194884361846973</v>
      </c>
      <c r="O1142" s="1639"/>
    </row>
    <row r="1143" spans="11:15">
      <c r="K1143" s="1636">
        <v>43200</v>
      </c>
      <c r="L1143" s="1637" t="s">
        <v>1650</v>
      </c>
      <c r="M1143" s="1638">
        <v>2.462E-2</v>
      </c>
      <c r="N1143" s="1639">
        <v>1.419837914237686</v>
      </c>
      <c r="O1143" s="1639"/>
    </row>
    <row r="1144" spans="11:15">
      <c r="K1144" s="1636">
        <v>43201</v>
      </c>
      <c r="L1144" s="1637" t="s">
        <v>1650</v>
      </c>
      <c r="M1144" s="1638">
        <v>2.462E-2</v>
      </c>
      <c r="N1144" s="1639">
        <v>1.4201874783321715</v>
      </c>
      <c r="O1144" s="1639"/>
    </row>
    <row r="1145" spans="11:15">
      <c r="K1145" s="1636">
        <v>43202</v>
      </c>
      <c r="L1145" s="1637" t="s">
        <v>1650</v>
      </c>
      <c r="M1145" s="1638">
        <v>2.462E-2</v>
      </c>
      <c r="N1145" s="1639">
        <v>1.4205371284893371</v>
      </c>
      <c r="O1145" s="1639"/>
    </row>
    <row r="1146" spans="11:15">
      <c r="K1146" s="1636">
        <v>43203</v>
      </c>
      <c r="L1146" s="1637" t="s">
        <v>1650</v>
      </c>
      <c r="M1146" s="1638">
        <v>2.462E-2</v>
      </c>
      <c r="N1146" s="1639">
        <v>1.4208868647303714</v>
      </c>
      <c r="O1146" s="1639"/>
    </row>
    <row r="1147" spans="11:15">
      <c r="K1147" s="1636">
        <v>43204</v>
      </c>
      <c r="L1147" s="1637"/>
      <c r="M1147" s="1638">
        <v>0</v>
      </c>
      <c r="N1147" s="1639">
        <v>1.4208868647303714</v>
      </c>
      <c r="O1147" s="1639"/>
    </row>
    <row r="1148" spans="11:15">
      <c r="K1148" s="1636">
        <v>43205</v>
      </c>
      <c r="L1148" s="1637"/>
      <c r="M1148" s="1638">
        <v>0</v>
      </c>
      <c r="N1148" s="1639">
        <v>1.4208868647303714</v>
      </c>
      <c r="O1148" s="1639"/>
    </row>
    <row r="1149" spans="11:15">
      <c r="K1149" s="1636">
        <v>43206</v>
      </c>
      <c r="L1149" s="1637" t="s">
        <v>1650</v>
      </c>
      <c r="M1149" s="1638">
        <v>2.462E-2</v>
      </c>
      <c r="N1149" s="1639">
        <v>1.4212366870764681</v>
      </c>
      <c r="O1149" s="1639"/>
    </row>
    <row r="1150" spans="11:15">
      <c r="K1150" s="1636">
        <v>43207</v>
      </c>
      <c r="L1150" s="1637" t="s">
        <v>1650</v>
      </c>
      <c r="M1150" s="1638">
        <v>2.462E-2</v>
      </c>
      <c r="N1150" s="1639">
        <v>1.4215865955488265</v>
      </c>
      <c r="O1150" s="1639"/>
    </row>
    <row r="1151" spans="11:15">
      <c r="K1151" s="1636">
        <v>43208</v>
      </c>
      <c r="L1151" s="1637" t="s">
        <v>1650</v>
      </c>
      <c r="M1151" s="1638">
        <v>2.462E-2</v>
      </c>
      <c r="N1151" s="1639">
        <v>1.4219365901686507</v>
      </c>
      <c r="O1151" s="1639"/>
    </row>
    <row r="1152" spans="11:15">
      <c r="K1152" s="1636">
        <v>43209</v>
      </c>
      <c r="L1152" s="1637" t="s">
        <v>1650</v>
      </c>
      <c r="M1152" s="1638">
        <v>2.462E-2</v>
      </c>
      <c r="N1152" s="1639">
        <v>1.4222866709571504</v>
      </c>
      <c r="O1152" s="1639"/>
    </row>
    <row r="1153" spans="11:15">
      <c r="K1153" s="1636">
        <v>43210</v>
      </c>
      <c r="L1153" s="1637" t="s">
        <v>1650</v>
      </c>
      <c r="M1153" s="1638">
        <v>2.462E-2</v>
      </c>
      <c r="N1153" s="1639">
        <v>1.4226368379355403</v>
      </c>
      <c r="O1153" s="1639"/>
    </row>
    <row r="1154" spans="11:15">
      <c r="K1154" s="1636">
        <v>43211</v>
      </c>
      <c r="L1154" s="1637"/>
      <c r="M1154" s="1638">
        <v>0</v>
      </c>
      <c r="N1154" s="1639">
        <v>1.4226368379355403</v>
      </c>
      <c r="O1154" s="1639"/>
    </row>
    <row r="1155" spans="11:15">
      <c r="K1155" s="1636">
        <v>43212</v>
      </c>
      <c r="L1155" s="1637"/>
      <c r="M1155" s="1638">
        <v>0</v>
      </c>
      <c r="N1155" s="1639">
        <v>1.4226368379355403</v>
      </c>
      <c r="O1155" s="1639"/>
    </row>
    <row r="1156" spans="11:15">
      <c r="K1156" s="1636">
        <v>43213</v>
      </c>
      <c r="L1156" s="1637" t="s">
        <v>1650</v>
      </c>
      <c r="M1156" s="1638">
        <v>2.462E-2</v>
      </c>
      <c r="N1156" s="1639">
        <v>1.4229870911250402</v>
      </c>
      <c r="O1156" s="1639"/>
    </row>
    <row r="1157" spans="11:15">
      <c r="K1157" s="1636">
        <v>43214</v>
      </c>
      <c r="L1157" s="1637" t="s">
        <v>1650</v>
      </c>
      <c r="M1157" s="1638">
        <v>2.462E-2</v>
      </c>
      <c r="N1157" s="1639">
        <v>1.4233374305468753</v>
      </c>
      <c r="O1157" s="1639"/>
    </row>
    <row r="1158" spans="11:15">
      <c r="K1158" s="1636">
        <v>43215</v>
      </c>
      <c r="L1158" s="1637" t="s">
        <v>1650</v>
      </c>
      <c r="M1158" s="1638">
        <v>2.462E-2</v>
      </c>
      <c r="N1158" s="1639">
        <v>1.4236878562222761</v>
      </c>
      <c r="O1158" s="1639"/>
    </row>
    <row r="1159" spans="11:15">
      <c r="K1159" s="1636">
        <v>43216</v>
      </c>
      <c r="L1159" s="1637" t="s">
        <v>1650</v>
      </c>
      <c r="M1159" s="1638">
        <v>2.462E-2</v>
      </c>
      <c r="N1159" s="1639">
        <v>1.4240383681724782</v>
      </c>
      <c r="O1159" s="1639"/>
    </row>
    <row r="1160" spans="11:15">
      <c r="K1160" s="1636">
        <v>43217</v>
      </c>
      <c r="L1160" s="1637" t="s">
        <v>1650</v>
      </c>
      <c r="M1160" s="1638">
        <v>2.462E-2</v>
      </c>
      <c r="N1160" s="1639">
        <v>1.4243889664187224</v>
      </c>
      <c r="O1160" s="1639"/>
    </row>
    <row r="1161" spans="11:15">
      <c r="K1161" s="1636">
        <v>43218</v>
      </c>
      <c r="L1161" s="1637"/>
      <c r="M1161" s="1638">
        <v>0</v>
      </c>
      <c r="N1161" s="1639">
        <v>1.4243889664187224</v>
      </c>
      <c r="O1161" s="1639"/>
    </row>
    <row r="1162" spans="11:15">
      <c r="K1162" s="1636">
        <v>43219</v>
      </c>
      <c r="L1162" s="1637"/>
      <c r="M1162" s="1638">
        <v>0</v>
      </c>
      <c r="N1162" s="1639">
        <v>1.4243889664187224</v>
      </c>
      <c r="O1162" s="1639"/>
    </row>
    <row r="1163" spans="11:15">
      <c r="K1163" s="1636">
        <v>43220</v>
      </c>
      <c r="L1163" s="1637" t="s">
        <v>1650</v>
      </c>
      <c r="M1163" s="1638">
        <v>2.462E-2</v>
      </c>
      <c r="N1163" s="1639">
        <v>1.4247396509822547</v>
      </c>
      <c r="O1163" s="1639"/>
    </row>
    <row r="1164" spans="11:15">
      <c r="K1164" s="1636">
        <v>43221</v>
      </c>
      <c r="L1164" s="1637"/>
      <c r="M1164" s="1638">
        <v>0</v>
      </c>
      <c r="N1164" s="1639">
        <v>1.4247396509822547</v>
      </c>
      <c r="O1164" s="1639"/>
    </row>
    <row r="1165" spans="11:15">
      <c r="K1165" s="1636">
        <v>43222</v>
      </c>
      <c r="L1165" s="1637" t="s">
        <v>1650</v>
      </c>
      <c r="M1165" s="1638">
        <v>2.462E-2</v>
      </c>
      <c r="N1165" s="1639">
        <v>1.4250904218843268</v>
      </c>
      <c r="O1165" s="1639"/>
    </row>
    <row r="1166" spans="11:15">
      <c r="K1166" s="1636">
        <v>43223</v>
      </c>
      <c r="L1166" s="1637" t="s">
        <v>1650</v>
      </c>
      <c r="M1166" s="1638">
        <v>2.462E-2</v>
      </c>
      <c r="N1166" s="1639">
        <v>1.4254412791461948</v>
      </c>
      <c r="O1166" s="1639"/>
    </row>
    <row r="1167" spans="11:15">
      <c r="K1167" s="1636">
        <v>43224</v>
      </c>
      <c r="L1167" s="1637" t="s">
        <v>1650</v>
      </c>
      <c r="M1167" s="1638">
        <v>2.462E-2</v>
      </c>
      <c r="N1167" s="1639">
        <v>1.4257922227891207</v>
      </c>
      <c r="O1167" s="1639"/>
    </row>
    <row r="1168" spans="11:15">
      <c r="K1168" s="1636">
        <v>43225</v>
      </c>
      <c r="L1168" s="1637"/>
      <c r="M1168" s="1638">
        <v>0</v>
      </c>
      <c r="N1168" s="1639">
        <v>1.4257922227891207</v>
      </c>
      <c r="O1168" s="1639"/>
    </row>
    <row r="1169" spans="11:15">
      <c r="K1169" s="1636">
        <v>43226</v>
      </c>
      <c r="L1169" s="1637"/>
      <c r="M1169" s="1638">
        <v>0</v>
      </c>
      <c r="N1169" s="1639">
        <v>1.4257922227891207</v>
      </c>
      <c r="O1169" s="1639"/>
    </row>
    <row r="1170" spans="11:15">
      <c r="K1170" s="1636">
        <v>43227</v>
      </c>
      <c r="L1170" s="1637" t="s">
        <v>1650</v>
      </c>
      <c r="M1170" s="1638">
        <v>2.462E-2</v>
      </c>
      <c r="N1170" s="1639">
        <v>1.4261432528343714</v>
      </c>
      <c r="O1170" s="1639"/>
    </row>
    <row r="1171" spans="11:15">
      <c r="K1171" s="1636">
        <v>43228</v>
      </c>
      <c r="L1171" s="1637" t="s">
        <v>1650</v>
      </c>
      <c r="M1171" s="1638">
        <v>2.462E-2</v>
      </c>
      <c r="N1171" s="1639">
        <v>1.4264943693032193</v>
      </c>
      <c r="O1171" s="1639"/>
    </row>
    <row r="1172" spans="11:15">
      <c r="K1172" s="1636">
        <v>43229</v>
      </c>
      <c r="L1172" s="1637" t="s">
        <v>1650</v>
      </c>
      <c r="M1172" s="1638">
        <v>2.462E-2</v>
      </c>
      <c r="N1172" s="1639">
        <v>1.4268455722169417</v>
      </c>
      <c r="O1172" s="1639"/>
    </row>
    <row r="1173" spans="11:15">
      <c r="K1173" s="1636">
        <v>43230</v>
      </c>
      <c r="L1173" s="1637" t="s">
        <v>1650</v>
      </c>
      <c r="M1173" s="1638">
        <v>2.462E-2</v>
      </c>
      <c r="N1173" s="1639">
        <v>1.4271968615968216</v>
      </c>
      <c r="O1173" s="1639"/>
    </row>
    <row r="1174" spans="11:15">
      <c r="K1174" s="1636">
        <v>43231</v>
      </c>
      <c r="L1174" s="1637" t="s">
        <v>1650</v>
      </c>
      <c r="M1174" s="1638">
        <v>2.462E-2</v>
      </c>
      <c r="N1174" s="1639">
        <v>1.4275482374641468</v>
      </c>
      <c r="O1174" s="1639"/>
    </row>
    <row r="1175" spans="11:15">
      <c r="K1175" s="1636">
        <v>43232</v>
      </c>
      <c r="L1175" s="1637"/>
      <c r="M1175" s="1638">
        <v>0</v>
      </c>
      <c r="N1175" s="1639">
        <v>1.4275482374641468</v>
      </c>
      <c r="O1175" s="1639"/>
    </row>
    <row r="1176" spans="11:15">
      <c r="K1176" s="1636">
        <v>43233</v>
      </c>
      <c r="L1176" s="1637"/>
      <c r="M1176" s="1638">
        <v>0</v>
      </c>
      <c r="N1176" s="1639">
        <v>1.4275482374641468</v>
      </c>
      <c r="O1176" s="1639"/>
    </row>
    <row r="1177" spans="11:15">
      <c r="K1177" s="1636">
        <v>43234</v>
      </c>
      <c r="L1177" s="1637" t="s">
        <v>1650</v>
      </c>
      <c r="M1177" s="1638">
        <v>2.462E-2</v>
      </c>
      <c r="N1177" s="1639">
        <v>1.4278996998402107</v>
      </c>
      <c r="O1177" s="1639"/>
    </row>
    <row r="1178" spans="11:15">
      <c r="K1178" s="1636">
        <v>43235</v>
      </c>
      <c r="L1178" s="1637" t="s">
        <v>1650</v>
      </c>
      <c r="M1178" s="1638">
        <v>2.462E-2</v>
      </c>
      <c r="N1178" s="1639">
        <v>1.4282512487463115</v>
      </c>
      <c r="O1178" s="1639"/>
    </row>
    <row r="1179" spans="11:15">
      <c r="K1179" s="1636">
        <v>43236</v>
      </c>
      <c r="L1179" s="1637" t="s">
        <v>1650</v>
      </c>
      <c r="M1179" s="1638">
        <v>2.462E-2</v>
      </c>
      <c r="N1179" s="1639">
        <v>1.428602884203753</v>
      </c>
      <c r="O1179" s="1639"/>
    </row>
    <row r="1180" spans="11:15">
      <c r="K1180" s="1636">
        <v>43237</v>
      </c>
      <c r="L1180" s="1637" t="s">
        <v>1650</v>
      </c>
      <c r="M1180" s="1638">
        <v>2.462E-2</v>
      </c>
      <c r="N1180" s="1639">
        <v>1.4289546062338441</v>
      </c>
      <c r="O1180" s="1639"/>
    </row>
    <row r="1181" spans="11:15">
      <c r="K1181" s="1636">
        <v>43238</v>
      </c>
      <c r="L1181" s="1637" t="s">
        <v>1650</v>
      </c>
      <c r="M1181" s="1638">
        <v>2.462E-2</v>
      </c>
      <c r="N1181" s="1639">
        <v>1.4293064148578989</v>
      </c>
      <c r="O1181" s="1639"/>
    </row>
    <row r="1182" spans="11:15">
      <c r="K1182" s="1636">
        <v>43239</v>
      </c>
      <c r="L1182" s="1637"/>
      <c r="M1182" s="1638">
        <v>0</v>
      </c>
      <c r="N1182" s="1639">
        <v>1.4293064148578989</v>
      </c>
      <c r="O1182" s="1639"/>
    </row>
    <row r="1183" spans="11:15">
      <c r="K1183" s="1636">
        <v>43240</v>
      </c>
      <c r="L1183" s="1637"/>
      <c r="M1183" s="1638">
        <v>0</v>
      </c>
      <c r="N1183" s="1639">
        <v>1.4293064148578989</v>
      </c>
      <c r="O1183" s="1639"/>
    </row>
    <row r="1184" spans="11:15">
      <c r="K1184" s="1636">
        <v>43241</v>
      </c>
      <c r="L1184" s="1637" t="s">
        <v>1650</v>
      </c>
      <c r="M1184" s="1638">
        <v>2.462E-2</v>
      </c>
      <c r="N1184" s="1639">
        <v>1.4296583100972371</v>
      </c>
      <c r="O1184" s="1639"/>
    </row>
    <row r="1185" spans="11:15">
      <c r="K1185" s="1636">
        <v>43242</v>
      </c>
      <c r="L1185" s="1637" t="s">
        <v>1650</v>
      </c>
      <c r="M1185" s="1638">
        <v>2.462E-2</v>
      </c>
      <c r="N1185" s="1639">
        <v>1.4300102919731832</v>
      </c>
      <c r="O1185" s="1639"/>
    </row>
    <row r="1186" spans="11:15">
      <c r="K1186" s="1636">
        <v>43243</v>
      </c>
      <c r="L1186" s="1637" t="s">
        <v>1650</v>
      </c>
      <c r="M1186" s="1638">
        <v>2.462E-2</v>
      </c>
      <c r="N1186" s="1639">
        <v>1.430362360507067</v>
      </c>
      <c r="O1186" s="1639"/>
    </row>
    <row r="1187" spans="11:15">
      <c r="K1187" s="1636">
        <v>43244</v>
      </c>
      <c r="L1187" s="1637" t="s">
        <v>1650</v>
      </c>
      <c r="M1187" s="1638">
        <v>2.462E-2</v>
      </c>
      <c r="N1187" s="1639">
        <v>1.4307145157202239</v>
      </c>
      <c r="O1187" s="1639"/>
    </row>
    <row r="1188" spans="11:15">
      <c r="K1188" s="1636">
        <v>43245</v>
      </c>
      <c r="L1188" s="1637" t="s">
        <v>1650</v>
      </c>
      <c r="M1188" s="1638">
        <v>2.462E-2</v>
      </c>
      <c r="N1188" s="1639">
        <v>1.4310667576339944</v>
      </c>
      <c r="O1188" s="1639"/>
    </row>
    <row r="1189" spans="11:15">
      <c r="K1189" s="1636">
        <v>43246</v>
      </c>
      <c r="L1189" s="1637"/>
      <c r="M1189" s="1638">
        <v>0</v>
      </c>
      <c r="N1189" s="1639">
        <v>1.4310667576339944</v>
      </c>
      <c r="O1189" s="1639"/>
    </row>
    <row r="1190" spans="11:15">
      <c r="K1190" s="1636">
        <v>43247</v>
      </c>
      <c r="L1190" s="1637"/>
      <c r="M1190" s="1638">
        <v>0</v>
      </c>
      <c r="N1190" s="1639">
        <v>1.4310667576339944</v>
      </c>
      <c r="O1190" s="1639"/>
    </row>
    <row r="1191" spans="11:15">
      <c r="K1191" s="1636">
        <v>43248</v>
      </c>
      <c r="L1191" s="1637" t="s">
        <v>1650</v>
      </c>
      <c r="M1191" s="1638">
        <v>2.462E-2</v>
      </c>
      <c r="N1191" s="1639">
        <v>1.431419086269724</v>
      </c>
      <c r="O1191" s="1639"/>
    </row>
    <row r="1192" spans="11:15">
      <c r="K1192" s="1636">
        <v>43249</v>
      </c>
      <c r="L1192" s="1637" t="s">
        <v>1650</v>
      </c>
      <c r="M1192" s="1638">
        <v>2.462E-2</v>
      </c>
      <c r="N1192" s="1639">
        <v>1.4317715016487638</v>
      </c>
      <c r="O1192" s="1639"/>
    </row>
    <row r="1193" spans="11:15">
      <c r="K1193" s="1636">
        <v>43250</v>
      </c>
      <c r="L1193" s="1637" t="s">
        <v>1650</v>
      </c>
      <c r="M1193" s="1638">
        <v>2.462E-2</v>
      </c>
      <c r="N1193" s="1639">
        <v>1.4321240037924698</v>
      </c>
      <c r="O1193" s="1639"/>
    </row>
    <row r="1194" spans="11:15">
      <c r="K1194" s="1636">
        <v>43251</v>
      </c>
      <c r="L1194" s="1637"/>
      <c r="M1194" s="1638">
        <v>0</v>
      </c>
      <c r="N1194" s="1639">
        <v>1.4321240037924698</v>
      </c>
      <c r="O1194" s="1639"/>
    </row>
    <row r="1195" spans="11:15">
      <c r="K1195" s="1636">
        <v>43252</v>
      </c>
      <c r="L1195" s="1637" t="s">
        <v>1650</v>
      </c>
      <c r="M1195" s="1638">
        <v>2.462E-2</v>
      </c>
      <c r="N1195" s="1639">
        <v>1.4324765927222036</v>
      </c>
      <c r="O1195" s="1639"/>
    </row>
    <row r="1196" spans="11:15">
      <c r="K1196" s="1636">
        <v>43253</v>
      </c>
      <c r="L1196" s="1637"/>
      <c r="M1196" s="1638">
        <v>0</v>
      </c>
      <c r="N1196" s="1639">
        <v>1.4324765927222036</v>
      </c>
      <c r="O1196" s="1639"/>
    </row>
    <row r="1197" spans="11:15">
      <c r="K1197" s="1636">
        <v>43254</v>
      </c>
      <c r="L1197" s="1637"/>
      <c r="M1197" s="1638">
        <v>0</v>
      </c>
      <c r="N1197" s="1639">
        <v>1.4324765927222036</v>
      </c>
      <c r="O1197" s="1639"/>
    </row>
    <row r="1198" spans="11:15">
      <c r="K1198" s="1636">
        <v>43255</v>
      </c>
      <c r="L1198" s="1637" t="s">
        <v>1650</v>
      </c>
      <c r="M1198" s="1638">
        <v>2.462E-2</v>
      </c>
      <c r="N1198" s="1639">
        <v>1.432829268459332</v>
      </c>
      <c r="O1198" s="1639"/>
    </row>
    <row r="1199" spans="11:15">
      <c r="K1199" s="1636">
        <v>43256</v>
      </c>
      <c r="L1199" s="1637" t="s">
        <v>1650</v>
      </c>
      <c r="M1199" s="1638">
        <v>2.462E-2</v>
      </c>
      <c r="N1199" s="1639">
        <v>1.4331820310252268</v>
      </c>
      <c r="O1199" s="1639"/>
    </row>
    <row r="1200" spans="11:15">
      <c r="K1200" s="1636">
        <v>43257</v>
      </c>
      <c r="L1200" s="1637" t="s">
        <v>1650</v>
      </c>
      <c r="M1200" s="1638">
        <v>2.462E-2</v>
      </c>
      <c r="N1200" s="1639">
        <v>1.4335348804412653</v>
      </c>
      <c r="O1200" s="1639"/>
    </row>
    <row r="1201" spans="11:15">
      <c r="K1201" s="1636">
        <v>43258</v>
      </c>
      <c r="L1201" s="1637" t="s">
        <v>1650</v>
      </c>
      <c r="M1201" s="1638">
        <v>2.462E-2</v>
      </c>
      <c r="N1201" s="1639">
        <v>1.43388781672883</v>
      </c>
      <c r="O1201" s="1639"/>
    </row>
    <row r="1202" spans="11:15">
      <c r="K1202" s="1636">
        <v>43259</v>
      </c>
      <c r="L1202" s="1637" t="s">
        <v>1650</v>
      </c>
      <c r="M1202" s="1638">
        <v>2.462E-2</v>
      </c>
      <c r="N1202" s="1639">
        <v>1.4342408399093087</v>
      </c>
      <c r="O1202" s="1639"/>
    </row>
    <row r="1203" spans="11:15">
      <c r="K1203" s="1636">
        <v>43260</v>
      </c>
      <c r="L1203" s="1637"/>
      <c r="M1203" s="1638">
        <v>0</v>
      </c>
      <c r="N1203" s="1639">
        <v>1.4342408399093087</v>
      </c>
      <c r="O1203" s="1639"/>
    </row>
    <row r="1204" spans="11:15">
      <c r="K1204" s="1636">
        <v>43261</v>
      </c>
      <c r="L1204" s="1637"/>
      <c r="M1204" s="1638">
        <v>0</v>
      </c>
      <c r="N1204" s="1639">
        <v>1.4342408399093087</v>
      </c>
      <c r="O1204" s="1639"/>
    </row>
    <row r="1205" spans="11:15">
      <c r="K1205" s="1636">
        <v>43262</v>
      </c>
      <c r="L1205" s="1637" t="s">
        <v>1650</v>
      </c>
      <c r="M1205" s="1638">
        <v>2.462E-2</v>
      </c>
      <c r="N1205" s="1639">
        <v>1.4345939500040945</v>
      </c>
      <c r="O1205" s="1639"/>
    </row>
    <row r="1206" spans="11:15">
      <c r="K1206" s="1636">
        <v>43263</v>
      </c>
      <c r="L1206" s="1637" t="s">
        <v>1650</v>
      </c>
      <c r="M1206" s="1638">
        <v>2.462E-2</v>
      </c>
      <c r="N1206" s="1639">
        <v>1.4349471470345856</v>
      </c>
      <c r="O1206" s="1639"/>
    </row>
    <row r="1207" spans="11:15">
      <c r="K1207" s="1636">
        <v>43264</v>
      </c>
      <c r="L1207" s="1637" t="s">
        <v>1650</v>
      </c>
      <c r="M1207" s="1638">
        <v>2.462E-2</v>
      </c>
      <c r="N1207" s="1639">
        <v>1.4353004310221855</v>
      </c>
      <c r="O1207" s="1639"/>
    </row>
    <row r="1208" spans="11:15">
      <c r="K1208" s="1636">
        <v>43265</v>
      </c>
      <c r="L1208" s="1637" t="s">
        <v>1650</v>
      </c>
      <c r="M1208" s="1638">
        <v>2.462E-2</v>
      </c>
      <c r="N1208" s="1639">
        <v>1.4356538019883034</v>
      </c>
      <c r="O1208" s="1639"/>
    </row>
    <row r="1209" spans="11:15">
      <c r="K1209" s="1636">
        <v>43266</v>
      </c>
      <c r="L1209" s="1637" t="s">
        <v>1650</v>
      </c>
      <c r="M1209" s="1638">
        <v>2.462E-2</v>
      </c>
      <c r="N1209" s="1639">
        <v>1.436007259954353</v>
      </c>
      <c r="O1209" s="1639"/>
    </row>
    <row r="1210" spans="11:15">
      <c r="K1210" s="1636">
        <v>43267</v>
      </c>
      <c r="L1210" s="1637"/>
      <c r="M1210" s="1638">
        <v>0</v>
      </c>
      <c r="N1210" s="1639">
        <v>1.436007259954353</v>
      </c>
      <c r="O1210" s="1639"/>
    </row>
    <row r="1211" spans="11:15">
      <c r="K1211" s="1636">
        <v>43268</v>
      </c>
      <c r="L1211" s="1637"/>
      <c r="M1211" s="1638">
        <v>0</v>
      </c>
      <c r="N1211" s="1639">
        <v>1.436007259954353</v>
      </c>
      <c r="O1211" s="1639"/>
    </row>
    <row r="1212" spans="11:15">
      <c r="K1212" s="1636">
        <v>43269</v>
      </c>
      <c r="L1212" s="1637" t="s">
        <v>1650</v>
      </c>
      <c r="M1212" s="1638">
        <v>2.462E-2</v>
      </c>
      <c r="N1212" s="1639">
        <v>1.4363608049417538</v>
      </c>
      <c r="O1212" s="1639"/>
    </row>
    <row r="1213" spans="11:15">
      <c r="K1213" s="1636">
        <v>43270</v>
      </c>
      <c r="L1213" s="1637" t="s">
        <v>1650</v>
      </c>
      <c r="M1213" s="1638">
        <v>2.462E-2</v>
      </c>
      <c r="N1213" s="1639">
        <v>1.4367144369719305</v>
      </c>
      <c r="O1213" s="1639"/>
    </row>
    <row r="1214" spans="11:15">
      <c r="K1214" s="1636">
        <v>43271</v>
      </c>
      <c r="L1214" s="1637" t="s">
        <v>1650</v>
      </c>
      <c r="M1214" s="1638">
        <v>2.462E-2</v>
      </c>
      <c r="N1214" s="1639">
        <v>1.437068156066313</v>
      </c>
      <c r="O1214" s="1639"/>
    </row>
    <row r="1215" spans="11:15">
      <c r="K1215" s="1636">
        <v>43272</v>
      </c>
      <c r="L1215" s="1637" t="s">
        <v>1650</v>
      </c>
      <c r="M1215" s="1638">
        <v>2.462E-2</v>
      </c>
      <c r="N1215" s="1639">
        <v>1.4374219622463367</v>
      </c>
      <c r="O1215" s="1639"/>
    </row>
    <row r="1216" spans="11:15">
      <c r="K1216" s="1636">
        <v>43273</v>
      </c>
      <c r="L1216" s="1637" t="s">
        <v>1650</v>
      </c>
      <c r="M1216" s="1638">
        <v>2.462E-2</v>
      </c>
      <c r="N1216" s="1639">
        <v>1.4377758555334419</v>
      </c>
      <c r="O1216" s="1639"/>
    </row>
    <row r="1217" spans="11:15">
      <c r="K1217" s="1636">
        <v>43274</v>
      </c>
      <c r="L1217" s="1637"/>
      <c r="M1217" s="1638">
        <v>0</v>
      </c>
      <c r="N1217" s="1639">
        <v>1.4377758555334419</v>
      </c>
      <c r="O1217" s="1639"/>
    </row>
    <row r="1218" spans="11:15">
      <c r="K1218" s="1636">
        <v>43275</v>
      </c>
      <c r="L1218" s="1637"/>
      <c r="M1218" s="1638">
        <v>0</v>
      </c>
      <c r="N1218" s="1639">
        <v>1.4377758555334419</v>
      </c>
      <c r="O1218" s="1639"/>
    </row>
    <row r="1219" spans="11:15">
      <c r="K1219" s="1636">
        <v>43276</v>
      </c>
      <c r="L1219" s="1637" t="s">
        <v>1650</v>
      </c>
      <c r="M1219" s="1638">
        <v>2.462E-2</v>
      </c>
      <c r="N1219" s="1639">
        <v>1.4381298359490744</v>
      </c>
      <c r="O1219" s="1639"/>
    </row>
    <row r="1220" spans="11:15">
      <c r="K1220" s="1636">
        <v>43277</v>
      </c>
      <c r="L1220" s="1637" t="s">
        <v>1650</v>
      </c>
      <c r="M1220" s="1638">
        <v>2.462E-2</v>
      </c>
      <c r="N1220" s="1639">
        <v>1.4384839035146852</v>
      </c>
      <c r="O1220" s="1639"/>
    </row>
    <row r="1221" spans="11:15">
      <c r="K1221" s="1636">
        <v>43278</v>
      </c>
      <c r="L1221" s="1637" t="s">
        <v>1650</v>
      </c>
      <c r="M1221" s="1638">
        <v>2.462E-2</v>
      </c>
      <c r="N1221" s="1639">
        <v>1.4388380582517306</v>
      </c>
      <c r="O1221" s="1639"/>
    </row>
    <row r="1222" spans="11:15">
      <c r="K1222" s="1636">
        <v>43279</v>
      </c>
      <c r="L1222" s="1637" t="s">
        <v>1650</v>
      </c>
      <c r="M1222" s="1638">
        <v>2.462E-2</v>
      </c>
      <c r="N1222" s="1639">
        <v>1.4391923001816722</v>
      </c>
      <c r="O1222" s="1639"/>
    </row>
    <row r="1223" spans="11:15">
      <c r="K1223" s="1636">
        <v>43280</v>
      </c>
      <c r="L1223" s="1637" t="s">
        <v>1650</v>
      </c>
      <c r="M1223" s="1638">
        <v>2.462E-2</v>
      </c>
      <c r="N1223" s="1639">
        <v>1.4395466293259771</v>
      </c>
      <c r="O1223" s="1639"/>
    </row>
    <row r="1224" spans="11:15">
      <c r="K1224" s="1636">
        <v>43281</v>
      </c>
      <c r="L1224" s="1637"/>
      <c r="M1224" s="1638">
        <v>0</v>
      </c>
      <c r="N1224" s="1639">
        <v>1.4395466293259771</v>
      </c>
      <c r="O1224" s="1639"/>
    </row>
    <row r="1225" spans="11:15">
      <c r="K1225" s="1636">
        <v>43282</v>
      </c>
      <c r="L1225" s="1637"/>
      <c r="M1225" s="1638">
        <v>0</v>
      </c>
      <c r="N1225" s="1639">
        <v>1.4395466293259771</v>
      </c>
      <c r="O1225" s="1639"/>
    </row>
    <row r="1226" spans="11:15">
      <c r="K1226" s="1636">
        <v>43283</v>
      </c>
      <c r="L1226" s="1637" t="s">
        <v>1650</v>
      </c>
      <c r="M1226" s="1638">
        <v>2.462E-2</v>
      </c>
      <c r="N1226" s="1639">
        <v>1.4399010457061172</v>
      </c>
      <c r="O1226" s="1639"/>
    </row>
    <row r="1227" spans="11:15">
      <c r="K1227" s="1636">
        <v>43284</v>
      </c>
      <c r="L1227" s="1637" t="s">
        <v>1650</v>
      </c>
      <c r="M1227" s="1638">
        <v>2.462E-2</v>
      </c>
      <c r="N1227" s="1639">
        <v>1.4402555493435703</v>
      </c>
      <c r="O1227" s="1639"/>
    </row>
    <row r="1228" spans="11:15">
      <c r="K1228" s="1636">
        <v>43285</v>
      </c>
      <c r="L1228" s="1637" t="s">
        <v>1650</v>
      </c>
      <c r="M1228" s="1638">
        <v>2.462E-2</v>
      </c>
      <c r="N1228" s="1639">
        <v>1.4406101402598188</v>
      </c>
      <c r="O1228" s="1639"/>
    </row>
    <row r="1229" spans="11:15">
      <c r="K1229" s="1636">
        <v>43286</v>
      </c>
      <c r="L1229" s="1637" t="s">
        <v>1650</v>
      </c>
      <c r="M1229" s="1638">
        <v>2.462E-2</v>
      </c>
      <c r="N1229" s="1639">
        <v>1.4409648184763508</v>
      </c>
      <c r="O1229" s="1639"/>
    </row>
    <row r="1230" spans="11:15">
      <c r="K1230" s="1636">
        <v>43287</v>
      </c>
      <c r="L1230" s="1637" t="s">
        <v>1650</v>
      </c>
      <c r="M1230" s="1638">
        <v>2.462E-2</v>
      </c>
      <c r="N1230" s="1639">
        <v>1.4413195840146598</v>
      </c>
      <c r="O1230" s="1639"/>
    </row>
    <row r="1231" spans="11:15">
      <c r="K1231" s="1636">
        <v>43288</v>
      </c>
      <c r="L1231" s="1637"/>
      <c r="M1231" s="1638">
        <v>0</v>
      </c>
      <c r="N1231" s="1639">
        <v>1.4413195840146598</v>
      </c>
      <c r="O1231" s="1639"/>
    </row>
    <row r="1232" spans="11:15">
      <c r="K1232" s="1636">
        <v>43289</v>
      </c>
      <c r="L1232" s="1637"/>
      <c r="M1232" s="1638">
        <v>0</v>
      </c>
      <c r="N1232" s="1639">
        <v>1.4413195840146598</v>
      </c>
      <c r="O1232" s="1639"/>
    </row>
    <row r="1233" spans="11:15">
      <c r="K1233" s="1636">
        <v>43290</v>
      </c>
      <c r="L1233" s="1637" t="s">
        <v>1650</v>
      </c>
      <c r="M1233" s="1638">
        <v>2.462E-2</v>
      </c>
      <c r="N1233" s="1639">
        <v>1.4416744368962442</v>
      </c>
      <c r="O1233" s="1639"/>
    </row>
    <row r="1234" spans="11:15">
      <c r="K1234" s="1636">
        <v>43291</v>
      </c>
      <c r="L1234" s="1637" t="s">
        <v>1650</v>
      </c>
      <c r="M1234" s="1638">
        <v>2.462E-2</v>
      </c>
      <c r="N1234" s="1639">
        <v>1.4420293771426083</v>
      </c>
      <c r="O1234" s="1639"/>
    </row>
    <row r="1235" spans="11:15">
      <c r="K1235" s="1636">
        <v>43292</v>
      </c>
      <c r="L1235" s="1637" t="s">
        <v>1650</v>
      </c>
      <c r="M1235" s="1638">
        <v>2.462E-2</v>
      </c>
      <c r="N1235" s="1639">
        <v>1.442384404775261</v>
      </c>
      <c r="O1235" s="1639"/>
    </row>
    <row r="1236" spans="11:15">
      <c r="K1236" s="1636">
        <v>43293</v>
      </c>
      <c r="L1236" s="1637" t="s">
        <v>1650</v>
      </c>
      <c r="M1236" s="1638">
        <v>2.462E-2</v>
      </c>
      <c r="N1236" s="1639">
        <v>1.4427395198157167</v>
      </c>
      <c r="O1236" s="1639"/>
    </row>
    <row r="1237" spans="11:15">
      <c r="K1237" s="1636">
        <v>43294</v>
      </c>
      <c r="L1237" s="1637" t="s">
        <v>1650</v>
      </c>
      <c r="M1237" s="1638">
        <v>2.462E-2</v>
      </c>
      <c r="N1237" s="1639">
        <v>1.4430947222854955</v>
      </c>
      <c r="O1237" s="1639"/>
    </row>
    <row r="1238" spans="11:15">
      <c r="K1238" s="1636">
        <v>43295</v>
      </c>
      <c r="L1238" s="1637"/>
      <c r="M1238" s="1638">
        <v>0</v>
      </c>
      <c r="N1238" s="1639">
        <v>1.4430947222854955</v>
      </c>
      <c r="O1238" s="1639"/>
    </row>
    <row r="1239" spans="11:15">
      <c r="K1239" s="1636">
        <v>43296</v>
      </c>
      <c r="L1239" s="1637"/>
      <c r="M1239" s="1638">
        <v>0</v>
      </c>
      <c r="N1239" s="1639">
        <v>1.4430947222854955</v>
      </c>
      <c r="O1239" s="1639"/>
    </row>
    <row r="1240" spans="11:15">
      <c r="K1240" s="1636">
        <v>43297</v>
      </c>
      <c r="L1240" s="1637" t="s">
        <v>1650</v>
      </c>
      <c r="M1240" s="1638">
        <v>2.462E-2</v>
      </c>
      <c r="N1240" s="1639">
        <v>1.4434500122061222</v>
      </c>
      <c r="O1240" s="1639"/>
    </row>
    <row r="1241" spans="11:15">
      <c r="K1241" s="1636">
        <v>43298</v>
      </c>
      <c r="L1241" s="1637" t="s">
        <v>1650</v>
      </c>
      <c r="M1241" s="1638">
        <v>2.462E-2</v>
      </c>
      <c r="N1241" s="1639">
        <v>1.4438053895991274</v>
      </c>
      <c r="O1241" s="1639"/>
    </row>
    <row r="1242" spans="11:15">
      <c r="K1242" s="1636">
        <v>43299</v>
      </c>
      <c r="L1242" s="1637" t="s">
        <v>1650</v>
      </c>
      <c r="M1242" s="1638">
        <v>2.462E-2</v>
      </c>
      <c r="N1242" s="1639">
        <v>1.4441608544860469</v>
      </c>
      <c r="O1242" s="1639"/>
    </row>
    <row r="1243" spans="11:15">
      <c r="K1243" s="1636">
        <v>43300</v>
      </c>
      <c r="L1243" s="1637" t="s">
        <v>1650</v>
      </c>
      <c r="M1243" s="1638">
        <v>2.462E-2</v>
      </c>
      <c r="N1243" s="1639">
        <v>1.4445164068884215</v>
      </c>
      <c r="O1243" s="1639"/>
    </row>
    <row r="1244" spans="11:15">
      <c r="K1244" s="1636">
        <v>43301</v>
      </c>
      <c r="L1244" s="1637" t="s">
        <v>1650</v>
      </c>
      <c r="M1244" s="1638">
        <v>2.462E-2</v>
      </c>
      <c r="N1244" s="1639">
        <v>1.4448720468277976</v>
      </c>
      <c r="O1244" s="1639"/>
    </row>
    <row r="1245" spans="11:15">
      <c r="K1245" s="1636">
        <v>43302</v>
      </c>
      <c r="L1245" s="1637"/>
      <c r="M1245" s="1638">
        <v>0</v>
      </c>
      <c r="N1245" s="1639">
        <v>1.4448720468277976</v>
      </c>
      <c r="O1245" s="1639"/>
    </row>
    <row r="1246" spans="11:15">
      <c r="K1246" s="1636">
        <v>43303</v>
      </c>
      <c r="L1246" s="1637"/>
      <c r="M1246" s="1638">
        <v>0</v>
      </c>
      <c r="N1246" s="1639">
        <v>1.4448720468277976</v>
      </c>
      <c r="O1246" s="1639"/>
    </row>
    <row r="1247" spans="11:15">
      <c r="K1247" s="1636">
        <v>43304</v>
      </c>
      <c r="L1247" s="1637" t="s">
        <v>1650</v>
      </c>
      <c r="M1247" s="1638">
        <v>2.462E-2</v>
      </c>
      <c r="N1247" s="1639">
        <v>1.4452277743257267</v>
      </c>
      <c r="O1247" s="1639"/>
    </row>
    <row r="1248" spans="11:15">
      <c r="K1248" s="1636">
        <v>43305</v>
      </c>
      <c r="L1248" s="1637" t="s">
        <v>1650</v>
      </c>
      <c r="M1248" s="1638">
        <v>2.462E-2</v>
      </c>
      <c r="N1248" s="1639">
        <v>1.4455835894037659</v>
      </c>
      <c r="O1248" s="1639"/>
    </row>
    <row r="1249" spans="11:15">
      <c r="K1249" s="1636">
        <v>43306</v>
      </c>
      <c r="L1249" s="1637" t="s">
        <v>1650</v>
      </c>
      <c r="M1249" s="1638">
        <v>2.462E-2</v>
      </c>
      <c r="N1249" s="1639">
        <v>1.4459394920834772</v>
      </c>
      <c r="O1249" s="1639"/>
    </row>
    <row r="1250" spans="11:15">
      <c r="K1250" s="1636">
        <v>43307</v>
      </c>
      <c r="L1250" s="1637" t="s">
        <v>1650</v>
      </c>
      <c r="M1250" s="1638">
        <v>2.462E-2</v>
      </c>
      <c r="N1250" s="1639">
        <v>1.4462954823864282</v>
      </c>
      <c r="O1250" s="1639"/>
    </row>
    <row r="1251" spans="11:15">
      <c r="K1251" s="1636">
        <v>43308</v>
      </c>
      <c r="L1251" s="1637" t="s">
        <v>1650</v>
      </c>
      <c r="M1251" s="1638">
        <v>2.462E-2</v>
      </c>
      <c r="N1251" s="1639">
        <v>1.4466515603341918</v>
      </c>
      <c r="O1251" s="1639"/>
    </row>
    <row r="1252" spans="11:15">
      <c r="K1252" s="1636">
        <v>43309</v>
      </c>
      <c r="L1252" s="1637"/>
      <c r="M1252" s="1638">
        <v>0</v>
      </c>
      <c r="N1252" s="1639">
        <v>1.4466515603341918</v>
      </c>
      <c r="O1252" s="1639"/>
    </row>
    <row r="1253" spans="11:15">
      <c r="K1253" s="1636">
        <v>43310</v>
      </c>
      <c r="L1253" s="1637"/>
      <c r="M1253" s="1638">
        <v>0</v>
      </c>
      <c r="N1253" s="1639">
        <v>1.4466515603341918</v>
      </c>
      <c r="O1253" s="1639"/>
    </row>
    <row r="1254" spans="11:15">
      <c r="K1254" s="1636">
        <v>43311</v>
      </c>
      <c r="L1254" s="1637" t="s">
        <v>1650</v>
      </c>
      <c r="M1254" s="1638">
        <v>2.462E-2</v>
      </c>
      <c r="N1254" s="1639">
        <v>1.4470077259483463</v>
      </c>
      <c r="O1254" s="1639"/>
    </row>
    <row r="1255" spans="11:15">
      <c r="K1255" s="1636">
        <v>43312</v>
      </c>
      <c r="L1255" s="1637" t="s">
        <v>1650</v>
      </c>
      <c r="M1255" s="1638">
        <v>2.462E-2</v>
      </c>
      <c r="N1255" s="1639">
        <v>1.4473639792504749</v>
      </c>
      <c r="O1255" s="1639"/>
    </row>
    <row r="1256" spans="11:15">
      <c r="K1256" s="1636">
        <v>43313</v>
      </c>
      <c r="L1256" s="1637" t="s">
        <v>1650</v>
      </c>
      <c r="M1256" s="1638">
        <v>2.462E-2</v>
      </c>
      <c r="N1256" s="1639">
        <v>1.4477203202621665</v>
      </c>
      <c r="O1256" s="1639"/>
    </row>
    <row r="1257" spans="11:15">
      <c r="K1257" s="1636">
        <v>43314</v>
      </c>
      <c r="L1257" s="1637" t="s">
        <v>1650</v>
      </c>
      <c r="M1257" s="1638">
        <v>2.462E-2</v>
      </c>
      <c r="N1257" s="1639">
        <v>1.448076749005015</v>
      </c>
      <c r="O1257" s="1639"/>
    </row>
    <row r="1258" spans="11:15">
      <c r="K1258" s="1636">
        <v>43315</v>
      </c>
      <c r="L1258" s="1637" t="s">
        <v>1650</v>
      </c>
      <c r="M1258" s="1638">
        <v>2.462E-2</v>
      </c>
      <c r="N1258" s="1639">
        <v>1.4484332655006202</v>
      </c>
      <c r="O1258" s="1639"/>
    </row>
    <row r="1259" spans="11:15">
      <c r="K1259" s="1636">
        <v>43316</v>
      </c>
      <c r="L1259" s="1637"/>
      <c r="M1259" s="1638">
        <v>0</v>
      </c>
      <c r="N1259" s="1639">
        <v>1.4484332655006202</v>
      </c>
      <c r="O1259" s="1639"/>
    </row>
    <row r="1260" spans="11:15">
      <c r="K1260" s="1636">
        <v>43317</v>
      </c>
      <c r="L1260" s="1637"/>
      <c r="M1260" s="1638">
        <v>0</v>
      </c>
      <c r="N1260" s="1639">
        <v>1.4484332655006202</v>
      </c>
      <c r="O1260" s="1639"/>
    </row>
    <row r="1261" spans="11:15">
      <c r="K1261" s="1636">
        <v>43318</v>
      </c>
      <c r="L1261" s="1637" t="s">
        <v>1650</v>
      </c>
      <c r="M1261" s="1638">
        <v>2.462E-2</v>
      </c>
      <c r="N1261" s="1639">
        <v>1.4487898697705865</v>
      </c>
      <c r="O1261" s="1639"/>
    </row>
    <row r="1262" spans="11:15">
      <c r="K1262" s="1636">
        <v>43319</v>
      </c>
      <c r="L1262" s="1637" t="s">
        <v>1650</v>
      </c>
      <c r="M1262" s="1638">
        <v>2.462E-2</v>
      </c>
      <c r="N1262" s="1639">
        <v>1.4491465618365242</v>
      </c>
      <c r="O1262" s="1639"/>
    </row>
    <row r="1263" spans="11:15">
      <c r="K1263" s="1636">
        <v>43320</v>
      </c>
      <c r="L1263" s="1637" t="s">
        <v>1650</v>
      </c>
      <c r="M1263" s="1638">
        <v>2.462E-2</v>
      </c>
      <c r="N1263" s="1639">
        <v>1.4495033417200485</v>
      </c>
      <c r="O1263" s="1639"/>
    </row>
    <row r="1264" spans="11:15">
      <c r="K1264" s="1636">
        <v>43321</v>
      </c>
      <c r="L1264" s="1637" t="s">
        <v>1650</v>
      </c>
      <c r="M1264" s="1638">
        <v>2.462E-2</v>
      </c>
      <c r="N1264" s="1639">
        <v>1.4498602094427802</v>
      </c>
      <c r="O1264" s="1639"/>
    </row>
    <row r="1265" spans="11:15">
      <c r="K1265" s="1636">
        <v>43322</v>
      </c>
      <c r="L1265" s="1637" t="s">
        <v>1650</v>
      </c>
      <c r="M1265" s="1638">
        <v>2.462E-2</v>
      </c>
      <c r="N1265" s="1639">
        <v>1.4502171650263451</v>
      </c>
      <c r="O1265" s="1639"/>
    </row>
    <row r="1266" spans="11:15">
      <c r="K1266" s="1636">
        <v>43323</v>
      </c>
      <c r="L1266" s="1637"/>
      <c r="M1266" s="1638">
        <v>0</v>
      </c>
      <c r="N1266" s="1639">
        <v>1.4502171650263451</v>
      </c>
      <c r="O1266" s="1639"/>
    </row>
    <row r="1267" spans="11:15">
      <c r="K1267" s="1636">
        <v>43324</v>
      </c>
      <c r="L1267" s="1637"/>
      <c r="M1267" s="1638">
        <v>0</v>
      </c>
      <c r="N1267" s="1639">
        <v>1.4502171650263451</v>
      </c>
      <c r="O1267" s="1639"/>
    </row>
    <row r="1268" spans="11:15">
      <c r="K1268" s="1636">
        <v>43325</v>
      </c>
      <c r="L1268" s="1637" t="s">
        <v>1650</v>
      </c>
      <c r="M1268" s="1638">
        <v>2.462E-2</v>
      </c>
      <c r="N1268" s="1639">
        <v>1.4505742084923747</v>
      </c>
      <c r="O1268" s="1639"/>
    </row>
    <row r="1269" spans="11:15">
      <c r="K1269" s="1636">
        <v>43326</v>
      </c>
      <c r="L1269" s="1637" t="s">
        <v>1650</v>
      </c>
      <c r="M1269" s="1638">
        <v>2.462E-2</v>
      </c>
      <c r="N1269" s="1639">
        <v>1.4509313398625057</v>
      </c>
      <c r="O1269" s="1639"/>
    </row>
    <row r="1270" spans="11:15">
      <c r="K1270" s="1636">
        <v>43327</v>
      </c>
      <c r="L1270" s="1637" t="s">
        <v>1650</v>
      </c>
      <c r="M1270" s="1638">
        <v>2.462E-2</v>
      </c>
      <c r="N1270" s="1639">
        <v>1.45128855915838</v>
      </c>
      <c r="O1270" s="1639"/>
    </row>
    <row r="1271" spans="11:15">
      <c r="K1271" s="1636">
        <v>43328</v>
      </c>
      <c r="L1271" s="1637" t="s">
        <v>1650</v>
      </c>
      <c r="M1271" s="1638">
        <v>2.462E-2</v>
      </c>
      <c r="N1271" s="1639">
        <v>1.4516458664016449</v>
      </c>
      <c r="O1271" s="1639"/>
    </row>
    <row r="1272" spans="11:15">
      <c r="K1272" s="1636">
        <v>43329</v>
      </c>
      <c r="L1272" s="1637" t="s">
        <v>1650</v>
      </c>
      <c r="M1272" s="1638">
        <v>2.462E-2</v>
      </c>
      <c r="N1272" s="1639">
        <v>1.4520032616139531</v>
      </c>
      <c r="O1272" s="1639"/>
    </row>
    <row r="1273" spans="11:15">
      <c r="K1273" s="1636">
        <v>43330</v>
      </c>
      <c r="L1273" s="1637"/>
      <c r="M1273" s="1638">
        <v>0</v>
      </c>
      <c r="N1273" s="1639">
        <v>1.4520032616139531</v>
      </c>
      <c r="O1273" s="1639"/>
    </row>
    <row r="1274" spans="11:15">
      <c r="K1274" s="1636">
        <v>43331</v>
      </c>
      <c r="L1274" s="1637"/>
      <c r="M1274" s="1638">
        <v>0</v>
      </c>
      <c r="N1274" s="1639">
        <v>1.4520032616139531</v>
      </c>
      <c r="O1274" s="1639"/>
    </row>
    <row r="1275" spans="11:15">
      <c r="K1275" s="1636">
        <v>43332</v>
      </c>
      <c r="L1275" s="1637" t="s">
        <v>1650</v>
      </c>
      <c r="M1275" s="1638">
        <v>2.462E-2</v>
      </c>
      <c r="N1275" s="1639">
        <v>1.4523607448169626</v>
      </c>
      <c r="O1275" s="1639"/>
    </row>
    <row r="1276" spans="11:15">
      <c r="K1276" s="1636">
        <v>43333</v>
      </c>
      <c r="L1276" s="1637" t="s">
        <v>1650</v>
      </c>
      <c r="M1276" s="1638">
        <v>2.462E-2</v>
      </c>
      <c r="N1276" s="1639">
        <v>1.4527183160323367</v>
      </c>
      <c r="O1276" s="1639"/>
    </row>
    <row r="1277" spans="11:15">
      <c r="K1277" s="1636">
        <v>43334</v>
      </c>
      <c r="L1277" s="1637" t="s">
        <v>1650</v>
      </c>
      <c r="M1277" s="1638">
        <v>2.462E-2</v>
      </c>
      <c r="N1277" s="1639">
        <v>1.4530759752817439</v>
      </c>
      <c r="O1277" s="1639"/>
    </row>
    <row r="1278" spans="11:15">
      <c r="K1278" s="1636">
        <v>43335</v>
      </c>
      <c r="L1278" s="1637" t="s">
        <v>1650</v>
      </c>
      <c r="M1278" s="1638">
        <v>2.462E-2</v>
      </c>
      <c r="N1278" s="1639">
        <v>1.4534337225868583</v>
      </c>
      <c r="O1278" s="1639"/>
    </row>
    <row r="1279" spans="11:15">
      <c r="K1279" s="1636">
        <v>43336</v>
      </c>
      <c r="L1279" s="1637" t="s">
        <v>1650</v>
      </c>
      <c r="M1279" s="1638">
        <v>2.462E-2</v>
      </c>
      <c r="N1279" s="1639">
        <v>1.4537915579693594</v>
      </c>
      <c r="O1279" s="1639"/>
    </row>
    <row r="1280" spans="11:15">
      <c r="K1280" s="1636">
        <v>43337</v>
      </c>
      <c r="L1280" s="1637"/>
      <c r="M1280" s="1638">
        <v>0</v>
      </c>
      <c r="N1280" s="1639">
        <v>1.4537915579693594</v>
      </c>
      <c r="O1280" s="1639"/>
    </row>
    <row r="1281" spans="11:15">
      <c r="K1281" s="1636">
        <v>43338</v>
      </c>
      <c r="L1281" s="1637"/>
      <c r="M1281" s="1638">
        <v>0</v>
      </c>
      <c r="N1281" s="1639">
        <v>1.4537915579693594</v>
      </c>
      <c r="O1281" s="1639"/>
    </row>
    <row r="1282" spans="11:15">
      <c r="K1282" s="1636">
        <v>43339</v>
      </c>
      <c r="L1282" s="1637" t="s">
        <v>1650</v>
      </c>
      <c r="M1282" s="1638">
        <v>2.462E-2</v>
      </c>
      <c r="N1282" s="1639">
        <v>1.4541494814509317</v>
      </c>
      <c r="O1282" s="1639"/>
    </row>
    <row r="1283" spans="11:15">
      <c r="K1283" s="1636">
        <v>43340</v>
      </c>
      <c r="L1283" s="1637" t="s">
        <v>1650</v>
      </c>
      <c r="M1283" s="1638">
        <v>2.462E-2</v>
      </c>
      <c r="N1283" s="1639">
        <v>1.4545074930532651</v>
      </c>
      <c r="O1283" s="1639"/>
    </row>
    <row r="1284" spans="11:15">
      <c r="K1284" s="1636">
        <v>43341</v>
      </c>
      <c r="L1284" s="1637" t="s">
        <v>1650</v>
      </c>
      <c r="M1284" s="1638">
        <v>2.462E-2</v>
      </c>
      <c r="N1284" s="1639">
        <v>1.4548655927980549</v>
      </c>
      <c r="O1284" s="1639"/>
    </row>
    <row r="1285" spans="11:15">
      <c r="K1285" s="1636">
        <v>43342</v>
      </c>
      <c r="L1285" s="1637" t="s">
        <v>1650</v>
      </c>
      <c r="M1285" s="1638">
        <v>2.462E-2</v>
      </c>
      <c r="N1285" s="1639">
        <v>1.4552237807070019</v>
      </c>
      <c r="O1285" s="1639"/>
    </row>
    <row r="1286" spans="11:15">
      <c r="K1286" s="1636">
        <v>43343</v>
      </c>
      <c r="L1286" s="1637" t="s">
        <v>1650</v>
      </c>
      <c r="M1286" s="1638">
        <v>2.462E-2</v>
      </c>
      <c r="N1286" s="1639">
        <v>1.4555820568018121</v>
      </c>
      <c r="O1286" s="1639"/>
    </row>
    <row r="1287" spans="11:15">
      <c r="K1287" s="1636">
        <v>43344</v>
      </c>
      <c r="L1287" s="1637"/>
      <c r="M1287" s="1638">
        <v>0</v>
      </c>
      <c r="N1287" s="1639">
        <v>1.4555820568018121</v>
      </c>
      <c r="O1287" s="1639"/>
    </row>
    <row r="1288" spans="11:15">
      <c r="K1288" s="1636">
        <v>43345</v>
      </c>
      <c r="L1288" s="1637"/>
      <c r="M1288" s="1638">
        <v>0</v>
      </c>
      <c r="N1288" s="1639">
        <v>1.4555820568018121</v>
      </c>
      <c r="O1288" s="1639"/>
    </row>
    <row r="1289" spans="11:15">
      <c r="K1289" s="1636">
        <v>43346</v>
      </c>
      <c r="L1289" s="1637" t="s">
        <v>1650</v>
      </c>
      <c r="M1289" s="1638">
        <v>2.462E-2</v>
      </c>
      <c r="N1289" s="1639">
        <v>1.4559404211041969</v>
      </c>
      <c r="O1289" s="1639"/>
    </row>
    <row r="1290" spans="11:15">
      <c r="K1290" s="1636">
        <v>43347</v>
      </c>
      <c r="L1290" s="1637" t="s">
        <v>1650</v>
      </c>
      <c r="M1290" s="1638">
        <v>2.462E-2</v>
      </c>
      <c r="N1290" s="1639">
        <v>1.4562988736358728</v>
      </c>
      <c r="O1290" s="1639"/>
    </row>
    <row r="1291" spans="11:15">
      <c r="K1291" s="1636">
        <v>43348</v>
      </c>
      <c r="L1291" s="1637" t="s">
        <v>1650</v>
      </c>
      <c r="M1291" s="1638">
        <v>2.462E-2</v>
      </c>
      <c r="N1291" s="1639">
        <v>1.4566574144185622</v>
      </c>
      <c r="O1291" s="1639"/>
    </row>
    <row r="1292" spans="11:15">
      <c r="K1292" s="1636">
        <v>43349</v>
      </c>
      <c r="L1292" s="1637" t="s">
        <v>1650</v>
      </c>
      <c r="M1292" s="1638">
        <v>2.462E-2</v>
      </c>
      <c r="N1292" s="1639">
        <v>1.4570160434739923</v>
      </c>
      <c r="O1292" s="1639"/>
    </row>
    <row r="1293" spans="11:15">
      <c r="K1293" s="1636">
        <v>43350</v>
      </c>
      <c r="L1293" s="1637"/>
      <c r="M1293" s="1638">
        <v>0</v>
      </c>
      <c r="N1293" s="1639">
        <v>1.4570160434739923</v>
      </c>
      <c r="O1293" s="1639"/>
    </row>
    <row r="1294" spans="11:15">
      <c r="K1294" s="1636">
        <v>43351</v>
      </c>
      <c r="L1294" s="1637"/>
      <c r="M1294" s="1638">
        <v>0</v>
      </c>
      <c r="N1294" s="1639">
        <v>1.4570160434739923</v>
      </c>
      <c r="O1294" s="1639"/>
    </row>
    <row r="1295" spans="11:15">
      <c r="K1295" s="1636">
        <v>43352</v>
      </c>
      <c r="L1295" s="1637"/>
      <c r="M1295" s="1638">
        <v>0</v>
      </c>
      <c r="N1295" s="1639">
        <v>1.4570160434739923</v>
      </c>
      <c r="O1295" s="1639"/>
    </row>
    <row r="1296" spans="11:15">
      <c r="K1296" s="1636">
        <v>43353</v>
      </c>
      <c r="L1296" s="1637" t="s">
        <v>1650</v>
      </c>
      <c r="M1296" s="1638">
        <v>2.462E-2</v>
      </c>
      <c r="N1296" s="1639">
        <v>1.4573747608238956</v>
      </c>
      <c r="O1296" s="1639"/>
    </row>
    <row r="1297" spans="11:15">
      <c r="K1297" s="1636">
        <v>43354</v>
      </c>
      <c r="L1297" s="1637" t="s">
        <v>1650</v>
      </c>
      <c r="M1297" s="1638">
        <v>2.462E-2</v>
      </c>
      <c r="N1297" s="1639">
        <v>1.4577335664900106</v>
      </c>
      <c r="O1297" s="1639"/>
    </row>
    <row r="1298" spans="11:15">
      <c r="K1298" s="1636">
        <v>43355</v>
      </c>
      <c r="L1298" s="1637" t="s">
        <v>1650</v>
      </c>
      <c r="M1298" s="1638">
        <v>2.462E-2</v>
      </c>
      <c r="N1298" s="1639">
        <v>1.4580924604940806</v>
      </c>
      <c r="O1298" s="1639"/>
    </row>
    <row r="1299" spans="11:15">
      <c r="K1299" s="1636">
        <v>43356</v>
      </c>
      <c r="L1299" s="1637" t="s">
        <v>1650</v>
      </c>
      <c r="M1299" s="1638">
        <v>2.462E-2</v>
      </c>
      <c r="N1299" s="1639">
        <v>1.4584514428578543</v>
      </c>
      <c r="O1299" s="1639"/>
    </row>
    <row r="1300" spans="11:15">
      <c r="K1300" s="1636">
        <v>43357</v>
      </c>
      <c r="L1300" s="1637" t="s">
        <v>1650</v>
      </c>
      <c r="M1300" s="1638">
        <v>2.462E-2</v>
      </c>
      <c r="N1300" s="1639">
        <v>1.458810513603086</v>
      </c>
      <c r="O1300" s="1639"/>
    </row>
    <row r="1301" spans="11:15">
      <c r="K1301" s="1636">
        <v>43358</v>
      </c>
      <c r="L1301" s="1637"/>
      <c r="M1301" s="1638">
        <v>0</v>
      </c>
      <c r="N1301" s="1639">
        <v>1.458810513603086</v>
      </c>
      <c r="O1301" s="1639"/>
    </row>
    <row r="1302" spans="11:15">
      <c r="K1302" s="1636">
        <v>43359</v>
      </c>
      <c r="L1302" s="1637"/>
      <c r="M1302" s="1638">
        <v>0</v>
      </c>
      <c r="N1302" s="1639">
        <v>1.458810513603086</v>
      </c>
      <c r="O1302" s="1639"/>
    </row>
    <row r="1303" spans="11:15">
      <c r="K1303" s="1636">
        <v>43360</v>
      </c>
      <c r="L1303" s="1637" t="s">
        <v>1650</v>
      </c>
      <c r="M1303" s="1638">
        <v>2.462E-2</v>
      </c>
      <c r="N1303" s="1639">
        <v>1.4591696727515353</v>
      </c>
      <c r="O1303" s="1639"/>
    </row>
    <row r="1304" spans="11:15">
      <c r="K1304" s="1636">
        <v>43361</v>
      </c>
      <c r="L1304" s="1637" t="s">
        <v>1650</v>
      </c>
      <c r="M1304" s="1638">
        <v>2.462E-2</v>
      </c>
      <c r="N1304" s="1639">
        <v>1.4595289203249668</v>
      </c>
      <c r="O1304" s="1639"/>
    </row>
    <row r="1305" spans="11:15">
      <c r="K1305" s="1636">
        <v>43362</v>
      </c>
      <c r="L1305" s="1637" t="s">
        <v>1650</v>
      </c>
      <c r="M1305" s="1638">
        <v>2.462E-2</v>
      </c>
      <c r="N1305" s="1639">
        <v>1.459888256345151</v>
      </c>
      <c r="O1305" s="1639"/>
    </row>
    <row r="1306" spans="11:15">
      <c r="K1306" s="1636">
        <v>43363</v>
      </c>
      <c r="L1306" s="1637" t="s">
        <v>1650</v>
      </c>
      <c r="M1306" s="1638">
        <v>2.462E-2</v>
      </c>
      <c r="N1306" s="1639">
        <v>1.4602476808338634</v>
      </c>
      <c r="O1306" s="1639"/>
    </row>
    <row r="1307" spans="11:15">
      <c r="K1307" s="1636">
        <v>43364</v>
      </c>
      <c r="L1307" s="1637" t="s">
        <v>1650</v>
      </c>
      <c r="M1307" s="1638">
        <v>2.462E-2</v>
      </c>
      <c r="N1307" s="1639">
        <v>1.4606071938128848</v>
      </c>
      <c r="O1307" s="1639"/>
    </row>
    <row r="1308" spans="11:15">
      <c r="K1308" s="1636">
        <v>43365</v>
      </c>
      <c r="L1308" s="1637"/>
      <c r="M1308" s="1638">
        <v>0</v>
      </c>
      <c r="N1308" s="1639">
        <v>1.4606071938128848</v>
      </c>
      <c r="O1308" s="1639"/>
    </row>
    <row r="1309" spans="11:15">
      <c r="K1309" s="1636">
        <v>43366</v>
      </c>
      <c r="L1309" s="1637"/>
      <c r="M1309" s="1638">
        <v>0</v>
      </c>
      <c r="N1309" s="1639">
        <v>1.4606071938128848</v>
      </c>
      <c r="O1309" s="1639"/>
    </row>
    <row r="1310" spans="11:15">
      <c r="K1310" s="1636">
        <v>43367</v>
      </c>
      <c r="L1310" s="1637" t="s">
        <v>1650</v>
      </c>
      <c r="M1310" s="1638">
        <v>2.462E-2</v>
      </c>
      <c r="N1310" s="1639">
        <v>1.4609667953040018</v>
      </c>
      <c r="O1310" s="1639"/>
    </row>
    <row r="1311" spans="11:15">
      <c r="K1311" s="1636">
        <v>43368</v>
      </c>
      <c r="L1311" s="1637" t="s">
        <v>1650</v>
      </c>
      <c r="M1311" s="1638">
        <v>2.462E-2</v>
      </c>
      <c r="N1311" s="1639">
        <v>1.4613264853290058</v>
      </c>
      <c r="O1311" s="1639"/>
    </row>
    <row r="1312" spans="11:15">
      <c r="K1312" s="1636">
        <v>43369</v>
      </c>
      <c r="L1312" s="1637" t="s">
        <v>1650</v>
      </c>
      <c r="M1312" s="1638">
        <v>2.462E-2</v>
      </c>
      <c r="N1312" s="1639">
        <v>1.4616862639096939</v>
      </c>
      <c r="O1312" s="1639"/>
    </row>
    <row r="1313" spans="11:15">
      <c r="K1313" s="1636">
        <v>43370</v>
      </c>
      <c r="L1313" s="1637" t="s">
        <v>1650</v>
      </c>
      <c r="M1313" s="1638">
        <v>2.462E-2</v>
      </c>
      <c r="N1313" s="1639">
        <v>1.4620461310678685</v>
      </c>
      <c r="O1313" s="1639"/>
    </row>
    <row r="1314" spans="11:15">
      <c r="K1314" s="1636">
        <v>43371</v>
      </c>
      <c r="L1314" s="1637" t="s">
        <v>1650</v>
      </c>
      <c r="M1314" s="1638">
        <v>2.462E-2</v>
      </c>
      <c r="N1314" s="1639">
        <v>1.4624060868253375</v>
      </c>
      <c r="O1314" s="1639"/>
    </row>
    <row r="1315" spans="11:15">
      <c r="K1315" s="1636">
        <v>43372</v>
      </c>
      <c r="L1315" s="1637"/>
      <c r="M1315" s="1638">
        <v>0</v>
      </c>
      <c r="N1315" s="1639">
        <v>1.4624060868253375</v>
      </c>
      <c r="O1315" s="1639"/>
    </row>
    <row r="1316" spans="11:15">
      <c r="K1316" s="1636">
        <v>43373</v>
      </c>
      <c r="L1316" s="1637"/>
      <c r="M1316" s="1638">
        <v>0</v>
      </c>
      <c r="N1316" s="1639">
        <v>1.4624060868253375</v>
      </c>
      <c r="O1316" s="1639"/>
    </row>
    <row r="1317" spans="11:15">
      <c r="K1317" s="1636">
        <v>43374</v>
      </c>
      <c r="L1317" s="1637" t="s">
        <v>1650</v>
      </c>
      <c r="M1317" s="1638">
        <v>2.462E-2</v>
      </c>
      <c r="N1317" s="1639">
        <v>1.462766131203914</v>
      </c>
      <c r="O1317" s="1639"/>
    </row>
    <row r="1318" spans="11:15">
      <c r="K1318" s="1636">
        <v>43375</v>
      </c>
      <c r="L1318" s="1637" t="s">
        <v>1650</v>
      </c>
      <c r="M1318" s="1638">
        <v>2.462E-2</v>
      </c>
      <c r="N1318" s="1639">
        <v>1.4631262642254166</v>
      </c>
      <c r="O1318" s="1639"/>
    </row>
    <row r="1319" spans="11:15">
      <c r="K1319" s="1636">
        <v>43376</v>
      </c>
      <c r="L1319" s="1637" t="s">
        <v>1650</v>
      </c>
      <c r="M1319" s="1638">
        <v>2.462E-2</v>
      </c>
      <c r="N1319" s="1639">
        <v>1.463486485911669</v>
      </c>
      <c r="O1319" s="1639"/>
    </row>
    <row r="1320" spans="11:15">
      <c r="K1320" s="1636">
        <v>43377</v>
      </c>
      <c r="L1320" s="1637" t="s">
        <v>1650</v>
      </c>
      <c r="M1320" s="1638">
        <v>2.462E-2</v>
      </c>
      <c r="N1320" s="1639">
        <v>1.4638467962845005</v>
      </c>
      <c r="O1320" s="1639"/>
    </row>
    <row r="1321" spans="11:15">
      <c r="K1321" s="1636">
        <v>43378</v>
      </c>
      <c r="L1321" s="1637" t="s">
        <v>1650</v>
      </c>
      <c r="M1321" s="1638">
        <v>2.462E-2</v>
      </c>
      <c r="N1321" s="1639">
        <v>1.4642071953657458</v>
      </c>
      <c r="O1321" s="1639"/>
    </row>
    <row r="1322" spans="11:15">
      <c r="K1322" s="1636">
        <v>43379</v>
      </c>
      <c r="L1322" s="1637"/>
      <c r="M1322" s="1638">
        <v>0</v>
      </c>
      <c r="N1322" s="1639">
        <v>1.4642071953657458</v>
      </c>
      <c r="O1322" s="1639"/>
    </row>
    <row r="1323" spans="11:15">
      <c r="K1323" s="1636">
        <v>43380</v>
      </c>
      <c r="L1323" s="1637"/>
      <c r="M1323" s="1638">
        <v>0</v>
      </c>
      <c r="N1323" s="1639">
        <v>1.4642071953657458</v>
      </c>
      <c r="O1323" s="1639"/>
    </row>
    <row r="1324" spans="11:15">
      <c r="K1324" s="1636">
        <v>43381</v>
      </c>
      <c r="L1324" s="1637" t="s">
        <v>1650</v>
      </c>
      <c r="M1324" s="1638">
        <v>2.462E-2</v>
      </c>
      <c r="N1324" s="1639">
        <v>1.4645676831772449</v>
      </c>
      <c r="O1324" s="1639"/>
    </row>
    <row r="1325" spans="11:15">
      <c r="K1325" s="1636">
        <v>43382</v>
      </c>
      <c r="L1325" s="1637" t="s">
        <v>1650</v>
      </c>
      <c r="M1325" s="1638">
        <v>2.462E-2</v>
      </c>
      <c r="N1325" s="1639">
        <v>1.4649282597408433</v>
      </c>
      <c r="O1325" s="1639"/>
    </row>
    <row r="1326" spans="11:15">
      <c r="K1326" s="1636">
        <v>43383</v>
      </c>
      <c r="L1326" s="1637" t="s">
        <v>1650</v>
      </c>
      <c r="M1326" s="1638">
        <v>2.462E-2</v>
      </c>
      <c r="N1326" s="1639">
        <v>1.4652889250783916</v>
      </c>
      <c r="O1326" s="1639"/>
    </row>
    <row r="1327" spans="11:15">
      <c r="K1327" s="1636">
        <v>43384</v>
      </c>
      <c r="L1327" s="1637" t="s">
        <v>1650</v>
      </c>
      <c r="M1327" s="1638">
        <v>2.462E-2</v>
      </c>
      <c r="N1327" s="1639">
        <v>1.4656496792117459</v>
      </c>
      <c r="O1327" s="1639"/>
    </row>
    <row r="1328" spans="11:15">
      <c r="K1328" s="1636">
        <v>43385</v>
      </c>
      <c r="L1328" s="1637"/>
      <c r="M1328" s="1638">
        <v>0</v>
      </c>
      <c r="N1328" s="1639">
        <v>1.4656496792117459</v>
      </c>
      <c r="O1328" s="1639"/>
    </row>
    <row r="1329" spans="11:15">
      <c r="K1329" s="1636">
        <v>43386</v>
      </c>
      <c r="L1329" s="1637"/>
      <c r="M1329" s="1638">
        <v>0</v>
      </c>
      <c r="N1329" s="1639">
        <v>1.4656496792117459</v>
      </c>
      <c r="O1329" s="1639"/>
    </row>
    <row r="1330" spans="11:15">
      <c r="K1330" s="1636">
        <v>43387</v>
      </c>
      <c r="L1330" s="1637"/>
      <c r="M1330" s="1638">
        <v>0</v>
      </c>
      <c r="N1330" s="1639">
        <v>1.4656496792117459</v>
      </c>
      <c r="O1330" s="1639"/>
    </row>
    <row r="1331" spans="11:15">
      <c r="K1331" s="1636">
        <v>43388</v>
      </c>
      <c r="L1331" s="1637" t="s">
        <v>1650</v>
      </c>
      <c r="M1331" s="1638">
        <v>2.462E-2</v>
      </c>
      <c r="N1331" s="1639">
        <v>1.4660105221627679</v>
      </c>
      <c r="O1331" s="1639"/>
    </row>
    <row r="1332" spans="11:15">
      <c r="K1332" s="1636">
        <v>43389</v>
      </c>
      <c r="L1332" s="1637" t="s">
        <v>1650</v>
      </c>
      <c r="M1332" s="1638">
        <v>2.462E-2</v>
      </c>
      <c r="N1332" s="1639">
        <v>1.4663714539533246</v>
      </c>
      <c r="O1332" s="1639"/>
    </row>
    <row r="1333" spans="11:15">
      <c r="K1333" s="1636">
        <v>43390</v>
      </c>
      <c r="L1333" s="1637" t="s">
        <v>1650</v>
      </c>
      <c r="M1333" s="1638">
        <v>2.462E-2</v>
      </c>
      <c r="N1333" s="1639">
        <v>1.4667324746052881</v>
      </c>
      <c r="O1333" s="1639"/>
    </row>
    <row r="1334" spans="11:15">
      <c r="K1334" s="1636">
        <v>43391</v>
      </c>
      <c r="L1334" s="1637" t="s">
        <v>1650</v>
      </c>
      <c r="M1334" s="1638">
        <v>2.462E-2</v>
      </c>
      <c r="N1334" s="1639">
        <v>1.4670935841405361</v>
      </c>
      <c r="O1334" s="1639"/>
    </row>
    <row r="1335" spans="11:15">
      <c r="K1335" s="1636">
        <v>43392</v>
      </c>
      <c r="L1335" s="1637" t="s">
        <v>1650</v>
      </c>
      <c r="M1335" s="1638">
        <v>2.462E-2</v>
      </c>
      <c r="N1335" s="1639">
        <v>1.4674547825809516</v>
      </c>
      <c r="O1335" s="1639"/>
    </row>
    <row r="1336" spans="11:15">
      <c r="K1336" s="1636">
        <v>43393</v>
      </c>
      <c r="L1336" s="1637"/>
      <c r="M1336" s="1638">
        <v>0</v>
      </c>
      <c r="N1336" s="1639">
        <v>1.4674547825809516</v>
      </c>
      <c r="O1336" s="1639"/>
    </row>
    <row r="1337" spans="11:15">
      <c r="K1337" s="1636">
        <v>43394</v>
      </c>
      <c r="L1337" s="1637"/>
      <c r="M1337" s="1638">
        <v>0</v>
      </c>
      <c r="N1337" s="1639">
        <v>1.4674547825809516</v>
      </c>
      <c r="O1337" s="1639"/>
    </row>
    <row r="1338" spans="11:15">
      <c r="K1338" s="1636">
        <v>43395</v>
      </c>
      <c r="L1338" s="1637" t="s">
        <v>1650</v>
      </c>
      <c r="M1338" s="1638">
        <v>2.462E-2</v>
      </c>
      <c r="N1338" s="1639">
        <v>1.4678160699484233</v>
      </c>
      <c r="O1338" s="1639"/>
    </row>
    <row r="1339" spans="11:15">
      <c r="K1339" s="1636">
        <v>43396</v>
      </c>
      <c r="L1339" s="1637" t="s">
        <v>1650</v>
      </c>
      <c r="M1339" s="1638">
        <v>2.462E-2</v>
      </c>
      <c r="N1339" s="1639">
        <v>1.4681774462648447</v>
      </c>
      <c r="O1339" s="1639"/>
    </row>
    <row r="1340" spans="11:15">
      <c r="K1340" s="1636">
        <v>43397</v>
      </c>
      <c r="L1340" s="1637" t="s">
        <v>1650</v>
      </c>
      <c r="M1340" s="1638">
        <v>2.462E-2</v>
      </c>
      <c r="N1340" s="1639">
        <v>1.4685389115521152</v>
      </c>
      <c r="O1340" s="1639"/>
    </row>
    <row r="1341" spans="11:15">
      <c r="K1341" s="1636">
        <v>43398</v>
      </c>
      <c r="L1341" s="1637" t="s">
        <v>1650</v>
      </c>
      <c r="M1341" s="1638">
        <v>2.462E-2</v>
      </c>
      <c r="N1341" s="1639">
        <v>1.4689004658321394</v>
      </c>
      <c r="O1341" s="1639"/>
    </row>
    <row r="1342" spans="11:15">
      <c r="K1342" s="1636">
        <v>43399</v>
      </c>
      <c r="L1342" s="1637" t="s">
        <v>1650</v>
      </c>
      <c r="M1342" s="1638">
        <v>2.462E-2</v>
      </c>
      <c r="N1342" s="1639">
        <v>1.4692621091268274</v>
      </c>
      <c r="O1342" s="1639"/>
    </row>
    <row r="1343" spans="11:15">
      <c r="K1343" s="1636">
        <v>43400</v>
      </c>
      <c r="L1343" s="1637"/>
      <c r="M1343" s="1638">
        <v>0</v>
      </c>
      <c r="N1343" s="1639">
        <v>1.4692621091268274</v>
      </c>
      <c r="O1343" s="1639"/>
    </row>
    <row r="1344" spans="11:15">
      <c r="K1344" s="1636">
        <v>43401</v>
      </c>
      <c r="L1344" s="1637"/>
      <c r="M1344" s="1638">
        <v>0</v>
      </c>
      <c r="N1344" s="1639">
        <v>1.4692621091268274</v>
      </c>
      <c r="O1344" s="1639"/>
    </row>
    <row r="1345" spans="11:15">
      <c r="K1345" s="1636">
        <v>43402</v>
      </c>
      <c r="L1345" s="1637" t="s">
        <v>1650</v>
      </c>
      <c r="M1345" s="1638">
        <v>2.462E-2</v>
      </c>
      <c r="N1345" s="1639">
        <v>1.4696238414580947</v>
      </c>
      <c r="O1345" s="1639"/>
    </row>
    <row r="1346" spans="11:15">
      <c r="K1346" s="1636">
        <v>43403</v>
      </c>
      <c r="L1346" s="1637" t="s">
        <v>1650</v>
      </c>
      <c r="M1346" s="1638">
        <v>2.462E-2</v>
      </c>
      <c r="N1346" s="1639">
        <v>1.4699856628478618</v>
      </c>
      <c r="O1346" s="1639"/>
    </row>
    <row r="1347" spans="11:15">
      <c r="K1347" s="1636">
        <v>43404</v>
      </c>
      <c r="L1347" s="1637" t="s">
        <v>1650</v>
      </c>
      <c r="M1347" s="1638">
        <v>2.462E-2</v>
      </c>
      <c r="N1347" s="1639">
        <v>1.4703475733180551</v>
      </c>
      <c r="O1347" s="1639"/>
    </row>
    <row r="1348" spans="11:15">
      <c r="K1348" s="1636">
        <v>43405</v>
      </c>
      <c r="L1348" s="1637" t="s">
        <v>1650</v>
      </c>
      <c r="M1348" s="1638">
        <v>2.462E-2</v>
      </c>
      <c r="N1348" s="1639">
        <v>1.4707095728906061</v>
      </c>
      <c r="O1348" s="1639"/>
    </row>
    <row r="1349" spans="11:15">
      <c r="K1349" s="1636">
        <v>43406</v>
      </c>
      <c r="L1349" s="1637"/>
      <c r="M1349" s="1638">
        <v>0</v>
      </c>
      <c r="N1349" s="1639">
        <v>1.4707095728906061</v>
      </c>
      <c r="O1349" s="1639"/>
    </row>
    <row r="1350" spans="11:15">
      <c r="K1350" s="1636">
        <v>43407</v>
      </c>
      <c r="L1350" s="1637"/>
      <c r="M1350" s="1638">
        <v>0</v>
      </c>
      <c r="N1350" s="1639">
        <v>1.4707095728906061</v>
      </c>
      <c r="O1350" s="1639"/>
    </row>
    <row r="1351" spans="11:15">
      <c r="K1351" s="1636">
        <v>43408</v>
      </c>
      <c r="L1351" s="1637"/>
      <c r="M1351" s="1638">
        <v>0</v>
      </c>
      <c r="N1351" s="1639">
        <v>1.4707095728906061</v>
      </c>
      <c r="O1351" s="1639"/>
    </row>
    <row r="1352" spans="11:15">
      <c r="K1352" s="1636">
        <v>43409</v>
      </c>
      <c r="L1352" s="1637" t="s">
        <v>1650</v>
      </c>
      <c r="M1352" s="1638">
        <v>2.462E-2</v>
      </c>
      <c r="N1352" s="1639">
        <v>1.471071661587452</v>
      </c>
      <c r="O1352" s="1639"/>
    </row>
    <row r="1353" spans="11:15">
      <c r="K1353" s="1636">
        <v>43410</v>
      </c>
      <c r="L1353" s="1637" t="s">
        <v>1650</v>
      </c>
      <c r="M1353" s="1638">
        <v>2.462E-2</v>
      </c>
      <c r="N1353" s="1639">
        <v>1.4714338394305349</v>
      </c>
      <c r="O1353" s="1639"/>
    </row>
    <row r="1354" spans="11:15">
      <c r="K1354" s="1636">
        <v>43411</v>
      </c>
      <c r="L1354" s="1637" t="s">
        <v>1650</v>
      </c>
      <c r="M1354" s="1638">
        <v>2.462E-2</v>
      </c>
      <c r="N1354" s="1639">
        <v>1.4717961064418028</v>
      </c>
      <c r="O1354" s="1639"/>
    </row>
    <row r="1355" spans="11:15">
      <c r="K1355" s="1636">
        <v>43412</v>
      </c>
      <c r="L1355" s="1637" t="s">
        <v>1650</v>
      </c>
      <c r="M1355" s="1638">
        <v>2.462E-2</v>
      </c>
      <c r="N1355" s="1639">
        <v>1.4721584626432089</v>
      </c>
      <c r="O1355" s="1639"/>
    </row>
    <row r="1356" spans="11:15">
      <c r="K1356" s="1636">
        <v>43413</v>
      </c>
      <c r="L1356" s="1637" t="s">
        <v>1650</v>
      </c>
      <c r="M1356" s="1638">
        <v>2.462E-2</v>
      </c>
      <c r="N1356" s="1639">
        <v>1.4725209080567119</v>
      </c>
      <c r="O1356" s="1639"/>
    </row>
    <row r="1357" spans="11:15">
      <c r="K1357" s="1636">
        <v>43414</v>
      </c>
      <c r="L1357" s="1637"/>
      <c r="M1357" s="1638">
        <v>0</v>
      </c>
      <c r="N1357" s="1639">
        <v>1.4725209080567119</v>
      </c>
      <c r="O1357" s="1639"/>
    </row>
    <row r="1358" spans="11:15">
      <c r="K1358" s="1636">
        <v>43415</v>
      </c>
      <c r="L1358" s="1637"/>
      <c r="M1358" s="1638">
        <v>0</v>
      </c>
      <c r="N1358" s="1639">
        <v>1.4725209080567119</v>
      </c>
      <c r="O1358" s="1639"/>
    </row>
    <row r="1359" spans="11:15">
      <c r="K1359" s="1636">
        <v>43416</v>
      </c>
      <c r="L1359" s="1637" t="s">
        <v>1650</v>
      </c>
      <c r="M1359" s="1638">
        <v>2.462E-2</v>
      </c>
      <c r="N1359" s="1639">
        <v>1.4728834427042756</v>
      </c>
      <c r="O1359" s="1639"/>
    </row>
    <row r="1360" spans="11:15">
      <c r="K1360" s="1636">
        <v>43417</v>
      </c>
      <c r="L1360" s="1637" t="s">
        <v>1650</v>
      </c>
      <c r="M1360" s="1638">
        <v>2.462E-2</v>
      </c>
      <c r="N1360" s="1639">
        <v>1.4732460666078695</v>
      </c>
      <c r="O1360" s="1639"/>
    </row>
    <row r="1361" spans="11:15">
      <c r="K1361" s="1636">
        <v>43418</v>
      </c>
      <c r="L1361" s="1637" t="s">
        <v>1650</v>
      </c>
      <c r="M1361" s="1638">
        <v>2.462E-2</v>
      </c>
      <c r="N1361" s="1639">
        <v>1.4736087797894686</v>
      </c>
      <c r="O1361" s="1639"/>
    </row>
    <row r="1362" spans="11:15">
      <c r="K1362" s="1636">
        <v>43419</v>
      </c>
      <c r="L1362" s="1637"/>
      <c r="M1362" s="1638">
        <v>0</v>
      </c>
      <c r="N1362" s="1639">
        <v>1.4736087797894686</v>
      </c>
      <c r="O1362" s="1639"/>
    </row>
    <row r="1363" spans="11:15">
      <c r="K1363" s="1636">
        <v>43420</v>
      </c>
      <c r="L1363" s="1637" t="s">
        <v>1650</v>
      </c>
      <c r="M1363" s="1638">
        <v>2.462E-2</v>
      </c>
      <c r="N1363" s="1639">
        <v>1.4739715822710528</v>
      </c>
      <c r="O1363" s="1639"/>
    </row>
    <row r="1364" spans="11:15">
      <c r="K1364" s="1636">
        <v>43421</v>
      </c>
      <c r="L1364" s="1637"/>
      <c r="M1364" s="1638">
        <v>0</v>
      </c>
      <c r="N1364" s="1639">
        <v>1.4739715822710528</v>
      </c>
      <c r="O1364" s="1639"/>
    </row>
    <row r="1365" spans="11:15">
      <c r="K1365" s="1636">
        <v>43422</v>
      </c>
      <c r="L1365" s="1637"/>
      <c r="M1365" s="1638">
        <v>0</v>
      </c>
      <c r="N1365" s="1639">
        <v>1.4739715822710528</v>
      </c>
      <c r="O1365" s="1639"/>
    </row>
    <row r="1366" spans="11:15">
      <c r="K1366" s="1636">
        <v>43423</v>
      </c>
      <c r="L1366" s="1637" t="s">
        <v>1650</v>
      </c>
      <c r="M1366" s="1638">
        <v>2.462E-2</v>
      </c>
      <c r="N1366" s="1639">
        <v>1.474334474074608</v>
      </c>
      <c r="O1366" s="1639"/>
    </row>
    <row r="1367" spans="11:15">
      <c r="K1367" s="1636">
        <v>43424</v>
      </c>
      <c r="L1367" s="1637" t="s">
        <v>1650</v>
      </c>
      <c r="M1367" s="1638">
        <v>2.462E-2</v>
      </c>
      <c r="N1367" s="1639">
        <v>1.4746974552221253</v>
      </c>
      <c r="O1367" s="1639"/>
    </row>
    <row r="1368" spans="11:15">
      <c r="K1368" s="1636">
        <v>43425</v>
      </c>
      <c r="L1368" s="1637" t="s">
        <v>1650</v>
      </c>
      <c r="M1368" s="1638">
        <v>2.462E-2</v>
      </c>
      <c r="N1368" s="1639">
        <v>1.4750605257356011</v>
      </c>
      <c r="O1368" s="1639"/>
    </row>
    <row r="1369" spans="11:15">
      <c r="K1369" s="1636">
        <v>43426</v>
      </c>
      <c r="L1369" s="1637" t="s">
        <v>1650</v>
      </c>
      <c r="M1369" s="1638">
        <v>2.462E-2</v>
      </c>
      <c r="N1369" s="1639">
        <v>1.4754236856370373</v>
      </c>
      <c r="O1369" s="1639"/>
    </row>
    <row r="1370" spans="11:15">
      <c r="K1370" s="1636">
        <v>43427</v>
      </c>
      <c r="L1370" s="1637" t="s">
        <v>1650</v>
      </c>
      <c r="M1370" s="1638">
        <v>2.462E-2</v>
      </c>
      <c r="N1370" s="1639">
        <v>1.4757869349484412</v>
      </c>
      <c r="O1370" s="1639"/>
    </row>
    <row r="1371" spans="11:15">
      <c r="K1371" s="1636">
        <v>43428</v>
      </c>
      <c r="L1371" s="1637"/>
      <c r="M1371" s="1638">
        <v>0</v>
      </c>
      <c r="N1371" s="1639">
        <v>1.4757869349484412</v>
      </c>
      <c r="O1371" s="1639"/>
    </row>
    <row r="1372" spans="11:15">
      <c r="K1372" s="1636">
        <v>43429</v>
      </c>
      <c r="L1372" s="1637"/>
      <c r="M1372" s="1638">
        <v>0</v>
      </c>
      <c r="N1372" s="1639">
        <v>1.4757869349484412</v>
      </c>
      <c r="O1372" s="1639"/>
    </row>
    <row r="1373" spans="11:15">
      <c r="K1373" s="1636">
        <v>43430</v>
      </c>
      <c r="L1373" s="1637" t="s">
        <v>1650</v>
      </c>
      <c r="M1373" s="1638">
        <v>2.462E-2</v>
      </c>
      <c r="N1373" s="1639">
        <v>1.4761502736918255</v>
      </c>
      <c r="O1373" s="1639"/>
    </row>
    <row r="1374" spans="11:15">
      <c r="K1374" s="1636">
        <v>43431</v>
      </c>
      <c r="L1374" s="1637" t="s">
        <v>1650</v>
      </c>
      <c r="M1374" s="1638">
        <v>2.462E-2</v>
      </c>
      <c r="N1374" s="1639">
        <v>1.4765137018892085</v>
      </c>
      <c r="O1374" s="1639"/>
    </row>
    <row r="1375" spans="11:15">
      <c r="K1375" s="1636">
        <v>43432</v>
      </c>
      <c r="L1375" s="1637" t="s">
        <v>1650</v>
      </c>
      <c r="M1375" s="1638">
        <v>2.462E-2</v>
      </c>
      <c r="N1375" s="1639">
        <v>1.4768772195626136</v>
      </c>
      <c r="O1375" s="1639"/>
    </row>
    <row r="1376" spans="11:15">
      <c r="K1376" s="1636">
        <v>43433</v>
      </c>
      <c r="L1376" s="1637" t="s">
        <v>1650</v>
      </c>
      <c r="M1376" s="1638">
        <v>2.462E-2</v>
      </c>
      <c r="N1376" s="1639">
        <v>1.47724082673407</v>
      </c>
      <c r="O1376" s="1639"/>
    </row>
    <row r="1377" spans="11:15">
      <c r="K1377" s="1636">
        <v>43434</v>
      </c>
      <c r="L1377" s="1637" t="s">
        <v>1650</v>
      </c>
      <c r="M1377" s="1638">
        <v>2.462E-2</v>
      </c>
      <c r="N1377" s="1639">
        <v>1.4776045234256121</v>
      </c>
      <c r="O1377" s="1639"/>
    </row>
    <row r="1378" spans="11:15">
      <c r="K1378" s="1636">
        <v>43435</v>
      </c>
      <c r="L1378" s="1637"/>
      <c r="M1378" s="1638">
        <v>0</v>
      </c>
      <c r="N1378" s="1639">
        <v>1.4776045234256121</v>
      </c>
      <c r="O1378" s="1639"/>
    </row>
    <row r="1379" spans="11:15">
      <c r="K1379" s="1636">
        <v>43436</v>
      </c>
      <c r="L1379" s="1637"/>
      <c r="M1379" s="1638">
        <v>0</v>
      </c>
      <c r="N1379" s="1639">
        <v>1.4776045234256121</v>
      </c>
      <c r="O1379" s="1639"/>
    </row>
    <row r="1380" spans="11:15">
      <c r="K1380" s="1636">
        <v>43437</v>
      </c>
      <c r="L1380" s="1637" t="s">
        <v>1650</v>
      </c>
      <c r="M1380" s="1638">
        <v>2.462E-2</v>
      </c>
      <c r="N1380" s="1639">
        <v>1.4779683096592797</v>
      </c>
      <c r="O1380" s="1639"/>
    </row>
    <row r="1381" spans="11:15">
      <c r="K1381" s="1636">
        <v>43438</v>
      </c>
      <c r="L1381" s="1637" t="s">
        <v>1650</v>
      </c>
      <c r="M1381" s="1638">
        <v>2.462E-2</v>
      </c>
      <c r="N1381" s="1639">
        <v>1.4783321854571179</v>
      </c>
      <c r="O1381" s="1639"/>
    </row>
    <row r="1382" spans="11:15">
      <c r="K1382" s="1636">
        <v>43439</v>
      </c>
      <c r="L1382" s="1637" t="s">
        <v>1650</v>
      </c>
      <c r="M1382" s="1638">
        <v>2.462E-2</v>
      </c>
      <c r="N1382" s="1639">
        <v>1.4786961508411776</v>
      </c>
      <c r="O1382" s="1639"/>
    </row>
    <row r="1383" spans="11:15">
      <c r="K1383" s="1636">
        <v>43440</v>
      </c>
      <c r="L1383" s="1637" t="s">
        <v>1650</v>
      </c>
      <c r="M1383" s="1638">
        <v>2.462E-2</v>
      </c>
      <c r="N1383" s="1639">
        <v>1.4790602058335147</v>
      </c>
      <c r="O1383" s="1639"/>
    </row>
    <row r="1384" spans="11:15">
      <c r="K1384" s="1636">
        <v>43441</v>
      </c>
      <c r="L1384" s="1637" t="s">
        <v>1650</v>
      </c>
      <c r="M1384" s="1638">
        <v>2.462E-2</v>
      </c>
      <c r="N1384" s="1639">
        <v>1.479424350456191</v>
      </c>
      <c r="O1384" s="1639"/>
    </row>
    <row r="1385" spans="11:15">
      <c r="K1385" s="1636">
        <v>43442</v>
      </c>
      <c r="L1385" s="1637"/>
      <c r="M1385" s="1638">
        <v>0</v>
      </c>
      <c r="N1385" s="1639">
        <v>1.479424350456191</v>
      </c>
      <c r="O1385" s="1639"/>
    </row>
    <row r="1386" spans="11:15">
      <c r="K1386" s="1636">
        <v>43443</v>
      </c>
      <c r="L1386" s="1637"/>
      <c r="M1386" s="1638">
        <v>0</v>
      </c>
      <c r="N1386" s="1639">
        <v>1.479424350456191</v>
      </c>
      <c r="O1386" s="1639"/>
    </row>
    <row r="1387" spans="11:15">
      <c r="K1387" s="1636">
        <v>43444</v>
      </c>
      <c r="L1387" s="1637" t="s">
        <v>1650</v>
      </c>
      <c r="M1387" s="1638">
        <v>2.462E-2</v>
      </c>
      <c r="N1387" s="1639">
        <v>1.4797885847312735</v>
      </c>
      <c r="O1387" s="1639"/>
    </row>
    <row r="1388" spans="11:15">
      <c r="K1388" s="1636">
        <v>43445</v>
      </c>
      <c r="L1388" s="1637" t="s">
        <v>1650</v>
      </c>
      <c r="M1388" s="1638">
        <v>2.462E-2</v>
      </c>
      <c r="N1388" s="1639">
        <v>1.4801529086808345</v>
      </c>
      <c r="O1388" s="1639"/>
    </row>
    <row r="1389" spans="11:15">
      <c r="K1389" s="1636">
        <v>43446</v>
      </c>
      <c r="L1389" s="1637" t="s">
        <v>1650</v>
      </c>
      <c r="M1389" s="1638">
        <v>2.462E-2</v>
      </c>
      <c r="N1389" s="1639">
        <v>1.4805173223269519</v>
      </c>
      <c r="O1389" s="1639"/>
    </row>
    <row r="1390" spans="11:15">
      <c r="K1390" s="1636">
        <v>43447</v>
      </c>
      <c r="L1390" s="1637" t="s">
        <v>1650</v>
      </c>
      <c r="M1390" s="1638">
        <v>2.462E-2</v>
      </c>
      <c r="N1390" s="1639">
        <v>1.4808818256917089</v>
      </c>
      <c r="O1390" s="1639"/>
    </row>
    <row r="1391" spans="11:15">
      <c r="K1391" s="1636">
        <v>43448</v>
      </c>
      <c r="L1391" s="1637" t="s">
        <v>1650</v>
      </c>
      <c r="M1391" s="1638">
        <v>2.462E-2</v>
      </c>
      <c r="N1391" s="1639">
        <v>1.4812464187971943</v>
      </c>
      <c r="O1391" s="1639"/>
    </row>
    <row r="1392" spans="11:15">
      <c r="K1392" s="1636">
        <v>43449</v>
      </c>
      <c r="L1392" s="1637"/>
      <c r="M1392" s="1638">
        <v>0</v>
      </c>
      <c r="N1392" s="1639">
        <v>1.4812464187971943</v>
      </c>
      <c r="O1392" s="1639"/>
    </row>
    <row r="1393" spans="11:15">
      <c r="K1393" s="1636">
        <v>43450</v>
      </c>
      <c r="L1393" s="1637"/>
      <c r="M1393" s="1638">
        <v>0</v>
      </c>
      <c r="N1393" s="1639">
        <v>1.4812464187971943</v>
      </c>
      <c r="O1393" s="1639"/>
    </row>
    <row r="1394" spans="11:15">
      <c r="K1394" s="1636">
        <v>43451</v>
      </c>
      <c r="L1394" s="1637" t="s">
        <v>1650</v>
      </c>
      <c r="M1394" s="1638">
        <v>2.462E-2</v>
      </c>
      <c r="N1394" s="1639">
        <v>1.4816111016655023</v>
      </c>
      <c r="O1394" s="1639"/>
    </row>
    <row r="1395" spans="11:15">
      <c r="K1395" s="1636">
        <v>43452</v>
      </c>
      <c r="L1395" s="1637" t="s">
        <v>1650</v>
      </c>
      <c r="M1395" s="1638">
        <v>2.462E-2</v>
      </c>
      <c r="N1395" s="1639">
        <v>1.4819758743187323</v>
      </c>
      <c r="O1395" s="1639"/>
    </row>
    <row r="1396" spans="11:15">
      <c r="K1396" s="1636">
        <v>43453</v>
      </c>
      <c r="L1396" s="1637" t="s">
        <v>1650</v>
      </c>
      <c r="M1396" s="1638">
        <v>2.462E-2</v>
      </c>
      <c r="N1396" s="1639">
        <v>1.4823407367789898</v>
      </c>
      <c r="O1396" s="1639"/>
    </row>
    <row r="1397" spans="11:15">
      <c r="K1397" s="1636">
        <v>43454</v>
      </c>
      <c r="L1397" s="1637" t="s">
        <v>1650</v>
      </c>
      <c r="M1397" s="1638">
        <v>2.462E-2</v>
      </c>
      <c r="N1397" s="1639">
        <v>1.482705689068385</v>
      </c>
      <c r="O1397" s="1639"/>
    </row>
    <row r="1398" spans="11:15">
      <c r="K1398" s="1636">
        <v>43455</v>
      </c>
      <c r="L1398" s="1637" t="s">
        <v>1650</v>
      </c>
      <c r="M1398" s="1638">
        <v>2.462E-2</v>
      </c>
      <c r="N1398" s="1639">
        <v>1.4830707312090337</v>
      </c>
      <c r="O1398" s="1639"/>
    </row>
    <row r="1399" spans="11:15">
      <c r="K1399" s="1636">
        <v>43456</v>
      </c>
      <c r="L1399" s="1637"/>
      <c r="M1399" s="1638">
        <v>0</v>
      </c>
      <c r="N1399" s="1639">
        <v>1.4830707312090337</v>
      </c>
      <c r="O1399" s="1639"/>
    </row>
    <row r="1400" spans="11:15">
      <c r="K1400" s="1636">
        <v>43457</v>
      </c>
      <c r="L1400" s="1637"/>
      <c r="M1400" s="1638">
        <v>0</v>
      </c>
      <c r="N1400" s="1639">
        <v>1.4830707312090337</v>
      </c>
      <c r="O1400" s="1639"/>
    </row>
    <row r="1401" spans="11:15">
      <c r="K1401" s="1636">
        <v>43458</v>
      </c>
      <c r="L1401" s="1637" t="s">
        <v>1650</v>
      </c>
      <c r="M1401" s="1638">
        <v>2.462E-2</v>
      </c>
      <c r="N1401" s="1639">
        <v>1.4834358632230575</v>
      </c>
      <c r="O1401" s="1639"/>
    </row>
    <row r="1402" spans="11:15">
      <c r="K1402" s="1636">
        <v>43459</v>
      </c>
      <c r="L1402" s="1637"/>
      <c r="M1402" s="1638">
        <v>0</v>
      </c>
      <c r="N1402" s="1639">
        <v>1.4834358632230575</v>
      </c>
      <c r="O1402" s="1639"/>
    </row>
    <row r="1403" spans="11:15">
      <c r="K1403" s="1636">
        <v>43460</v>
      </c>
      <c r="L1403" s="1637" t="s">
        <v>1650</v>
      </c>
      <c r="M1403" s="1638">
        <v>2.462E-2</v>
      </c>
      <c r="N1403" s="1639">
        <v>1.4838010851325831</v>
      </c>
      <c r="O1403" s="1639"/>
    </row>
    <row r="1404" spans="11:15">
      <c r="K1404" s="1636">
        <v>43461</v>
      </c>
      <c r="L1404" s="1637" t="s">
        <v>1650</v>
      </c>
      <c r="M1404" s="1638">
        <v>2.462E-2</v>
      </c>
      <c r="N1404" s="1639">
        <v>1.484166396959743</v>
      </c>
      <c r="O1404" s="1639"/>
    </row>
    <row r="1405" spans="11:15">
      <c r="K1405" s="1636">
        <v>43462</v>
      </c>
      <c r="L1405" s="1637" t="s">
        <v>1650</v>
      </c>
      <c r="M1405" s="1638">
        <v>2.462E-2</v>
      </c>
      <c r="N1405" s="1639">
        <v>1.4845317987266746</v>
      </c>
      <c r="O1405" s="1639"/>
    </row>
    <row r="1406" spans="11:15">
      <c r="K1406" s="1636">
        <v>43463</v>
      </c>
      <c r="L1406" s="1637"/>
      <c r="M1406" s="1638">
        <v>0</v>
      </c>
      <c r="N1406" s="1639">
        <v>1.4845317987266746</v>
      </c>
      <c r="O1406" s="1639"/>
    </row>
    <row r="1407" spans="11:15">
      <c r="K1407" s="1636">
        <v>43464</v>
      </c>
      <c r="L1407" s="1637"/>
      <c r="M1407" s="1638">
        <v>0</v>
      </c>
      <c r="N1407" s="1639">
        <v>1.4845317987266746</v>
      </c>
      <c r="O1407" s="1639"/>
    </row>
    <row r="1408" spans="11:15">
      <c r="K1408" s="1636">
        <v>43465</v>
      </c>
      <c r="L1408" s="1637" t="s">
        <v>1650</v>
      </c>
      <c r="M1408" s="1638">
        <v>2.462E-2</v>
      </c>
      <c r="N1408" s="1639">
        <v>1.4848972904555213</v>
      </c>
      <c r="O1408" s="1639"/>
    </row>
    <row r="1409" spans="11:15">
      <c r="K1409" s="1636">
        <v>43466</v>
      </c>
      <c r="L1409" s="1637"/>
      <c r="M1409" s="1638">
        <v>0</v>
      </c>
      <c r="N1409" s="1639">
        <v>1.4848972904555213</v>
      </c>
      <c r="O1409" s="1639"/>
    </row>
    <row r="1410" spans="11:15">
      <c r="K1410" s="1636">
        <v>43467</v>
      </c>
      <c r="L1410" s="1637" t="s">
        <v>1650</v>
      </c>
      <c r="M1410" s="1638">
        <v>2.462E-2</v>
      </c>
      <c r="N1410" s="1639">
        <v>1.4852628721684316</v>
      </c>
      <c r="O1410" s="1639"/>
    </row>
    <row r="1411" spans="11:15">
      <c r="K1411" s="1636">
        <v>43468</v>
      </c>
      <c r="L1411" s="1637" t="s">
        <v>1650</v>
      </c>
      <c r="M1411" s="1638">
        <v>2.462E-2</v>
      </c>
      <c r="N1411" s="1639">
        <v>1.4856285438875596</v>
      </c>
      <c r="O1411" s="1639"/>
    </row>
    <row r="1412" spans="11:15">
      <c r="K1412" s="1636">
        <v>43469</v>
      </c>
      <c r="L1412" s="1637" t="s">
        <v>1650</v>
      </c>
      <c r="M1412" s="1638">
        <v>2.462E-2</v>
      </c>
      <c r="N1412" s="1639">
        <v>1.4859943056350648</v>
      </c>
      <c r="O1412" s="1639"/>
    </row>
    <row r="1413" spans="11:15">
      <c r="K1413" s="1636">
        <v>43470</v>
      </c>
      <c r="L1413" s="1637"/>
      <c r="M1413" s="1638">
        <v>0</v>
      </c>
      <c r="N1413" s="1639">
        <v>1.4859943056350648</v>
      </c>
      <c r="O1413" s="1639"/>
    </row>
    <row r="1414" spans="11:15">
      <c r="K1414" s="1636">
        <v>43471</v>
      </c>
      <c r="L1414" s="1637"/>
      <c r="M1414" s="1638">
        <v>0</v>
      </c>
      <c r="N1414" s="1639">
        <v>1.4859943056350648</v>
      </c>
      <c r="O1414" s="1639"/>
    </row>
    <row r="1415" spans="11:15">
      <c r="K1415" s="1636">
        <v>43472</v>
      </c>
      <c r="L1415" s="1637" t="s">
        <v>1650</v>
      </c>
      <c r="M1415" s="1638">
        <v>2.462E-2</v>
      </c>
      <c r="N1415" s="1639">
        <v>1.4863601574331122</v>
      </c>
      <c r="O1415" s="1639"/>
    </row>
    <row r="1416" spans="11:15">
      <c r="K1416" s="1636">
        <v>43473</v>
      </c>
      <c r="L1416" s="1637" t="s">
        <v>1650</v>
      </c>
      <c r="M1416" s="1638">
        <v>2.462E-2</v>
      </c>
      <c r="N1416" s="1639">
        <v>1.4867260993038725</v>
      </c>
      <c r="O1416" s="1639"/>
    </row>
    <row r="1417" spans="11:15">
      <c r="K1417" s="1636">
        <v>43474</v>
      </c>
      <c r="L1417" s="1637" t="s">
        <v>1650</v>
      </c>
      <c r="M1417" s="1638">
        <v>2.462E-2</v>
      </c>
      <c r="N1417" s="1639">
        <v>1.4870921312695211</v>
      </c>
      <c r="O1417" s="1639"/>
    </row>
    <row r="1418" spans="11:15">
      <c r="K1418" s="1636">
        <v>43475</v>
      </c>
      <c r="L1418" s="1637" t="s">
        <v>1650</v>
      </c>
      <c r="M1418" s="1638">
        <v>2.462E-2</v>
      </c>
      <c r="N1418" s="1639">
        <v>1.4874582533522398</v>
      </c>
      <c r="O1418" s="1639"/>
    </row>
    <row r="1419" spans="11:15">
      <c r="K1419" s="1636">
        <v>43476</v>
      </c>
      <c r="L1419" s="1637" t="s">
        <v>1650</v>
      </c>
      <c r="M1419" s="1638">
        <v>2.462E-2</v>
      </c>
      <c r="N1419" s="1639">
        <v>1.4878244655742152</v>
      </c>
      <c r="O1419" s="1639"/>
    </row>
    <row r="1420" spans="11:15">
      <c r="K1420" s="1636">
        <v>43477</v>
      </c>
      <c r="L1420" s="1637"/>
      <c r="M1420" s="1638">
        <v>0</v>
      </c>
      <c r="N1420" s="1639">
        <v>1.4878244655742152</v>
      </c>
      <c r="O1420" s="1639"/>
    </row>
    <row r="1421" spans="11:15">
      <c r="K1421" s="1636">
        <v>43478</v>
      </c>
      <c r="L1421" s="1637"/>
      <c r="M1421" s="1638">
        <v>0</v>
      </c>
      <c r="N1421" s="1639">
        <v>1.4878244655742152</v>
      </c>
      <c r="O1421" s="1639"/>
    </row>
    <row r="1422" spans="11:15">
      <c r="K1422" s="1636">
        <v>43479</v>
      </c>
      <c r="L1422" s="1637" t="s">
        <v>1650</v>
      </c>
      <c r="M1422" s="1638">
        <v>2.462E-2</v>
      </c>
      <c r="N1422" s="1639">
        <v>1.4881907679576396</v>
      </c>
      <c r="O1422" s="1639"/>
    </row>
    <row r="1423" spans="11:15">
      <c r="K1423" s="1636">
        <v>43480</v>
      </c>
      <c r="L1423" s="1637" t="s">
        <v>1650</v>
      </c>
      <c r="M1423" s="1638">
        <v>2.462E-2</v>
      </c>
      <c r="N1423" s="1639">
        <v>1.488557160524711</v>
      </c>
      <c r="O1423" s="1639"/>
    </row>
    <row r="1424" spans="11:15">
      <c r="K1424" s="1636">
        <v>43481</v>
      </c>
      <c r="L1424" s="1637" t="s">
        <v>1650</v>
      </c>
      <c r="M1424" s="1638">
        <v>2.462E-2</v>
      </c>
      <c r="N1424" s="1639">
        <v>1.4889236432976323</v>
      </c>
      <c r="O1424" s="1639"/>
    </row>
    <row r="1425" spans="11:15">
      <c r="K1425" s="1636">
        <v>43482</v>
      </c>
      <c r="L1425" s="1637" t="s">
        <v>1650</v>
      </c>
      <c r="M1425" s="1638">
        <v>2.462E-2</v>
      </c>
      <c r="N1425" s="1639">
        <v>1.4892902162986124</v>
      </c>
      <c r="O1425" s="1639"/>
    </row>
    <row r="1426" spans="11:15">
      <c r="K1426" s="1636">
        <v>43483</v>
      </c>
      <c r="L1426" s="1637" t="s">
        <v>1650</v>
      </c>
      <c r="M1426" s="1638">
        <v>2.462E-2</v>
      </c>
      <c r="N1426" s="1639">
        <v>1.4896568795498653</v>
      </c>
      <c r="O1426" s="1639"/>
    </row>
    <row r="1427" spans="11:15">
      <c r="K1427" s="1636">
        <v>43484</v>
      </c>
      <c r="L1427" s="1637"/>
      <c r="M1427" s="1638">
        <v>0</v>
      </c>
      <c r="N1427" s="1639">
        <v>1.4896568795498653</v>
      </c>
      <c r="O1427" s="1639"/>
    </row>
    <row r="1428" spans="11:15">
      <c r="K1428" s="1636">
        <v>43485</v>
      </c>
      <c r="L1428" s="1637"/>
      <c r="M1428" s="1638">
        <v>0</v>
      </c>
      <c r="N1428" s="1639">
        <v>1.4896568795498653</v>
      </c>
      <c r="O1428" s="1639"/>
    </row>
    <row r="1429" spans="11:15">
      <c r="K1429" s="1636">
        <v>43486</v>
      </c>
      <c r="L1429" s="1637" t="s">
        <v>1650</v>
      </c>
      <c r="M1429" s="1638">
        <v>2.462E-2</v>
      </c>
      <c r="N1429" s="1639">
        <v>1.4900236330736105</v>
      </c>
      <c r="O1429" s="1639"/>
    </row>
    <row r="1430" spans="11:15">
      <c r="K1430" s="1636">
        <v>43487</v>
      </c>
      <c r="L1430" s="1637" t="s">
        <v>1650</v>
      </c>
      <c r="M1430" s="1638">
        <v>2.462E-2</v>
      </c>
      <c r="N1430" s="1639">
        <v>1.4903904768920733</v>
      </c>
      <c r="O1430" s="1639"/>
    </row>
    <row r="1431" spans="11:15">
      <c r="K1431" s="1636">
        <v>43488</v>
      </c>
      <c r="L1431" s="1637" t="s">
        <v>1650</v>
      </c>
      <c r="M1431" s="1638">
        <v>2.462E-2</v>
      </c>
      <c r="N1431" s="1639">
        <v>1.4907574110274842</v>
      </c>
      <c r="O1431" s="1639"/>
    </row>
    <row r="1432" spans="11:15">
      <c r="K1432" s="1636">
        <v>43489</v>
      </c>
      <c r="L1432" s="1637" t="s">
        <v>1650</v>
      </c>
      <c r="M1432" s="1638">
        <v>2.462E-2</v>
      </c>
      <c r="N1432" s="1639">
        <v>1.4911244355020792</v>
      </c>
      <c r="O1432" s="1639"/>
    </row>
    <row r="1433" spans="11:15">
      <c r="K1433" s="1636">
        <v>43490</v>
      </c>
      <c r="L1433" s="1637" t="s">
        <v>1650</v>
      </c>
      <c r="M1433" s="1638">
        <v>2.462E-2</v>
      </c>
      <c r="N1433" s="1639">
        <v>1.4914915503380999</v>
      </c>
      <c r="O1433" s="1639"/>
    </row>
    <row r="1434" spans="11:15">
      <c r="K1434" s="1636">
        <v>43491</v>
      </c>
      <c r="L1434" s="1637"/>
      <c r="M1434" s="1638">
        <v>0</v>
      </c>
      <c r="N1434" s="1639">
        <v>1.4914915503380999</v>
      </c>
      <c r="O1434" s="1639"/>
    </row>
    <row r="1435" spans="11:15">
      <c r="K1435" s="1636">
        <v>43492</v>
      </c>
      <c r="L1435" s="1637"/>
      <c r="M1435" s="1638">
        <v>0</v>
      </c>
      <c r="N1435" s="1639">
        <v>1.4914915503380999</v>
      </c>
      <c r="O1435" s="1639"/>
    </row>
    <row r="1436" spans="11:15">
      <c r="K1436" s="1636">
        <v>43493</v>
      </c>
      <c r="L1436" s="1637" t="s">
        <v>1650</v>
      </c>
      <c r="M1436" s="1638">
        <v>2.462E-2</v>
      </c>
      <c r="N1436" s="1639">
        <v>1.4918587555577933</v>
      </c>
      <c r="O1436" s="1639"/>
    </row>
    <row r="1437" spans="11:15">
      <c r="K1437" s="1636">
        <v>43494</v>
      </c>
      <c r="L1437" s="1637" t="s">
        <v>1650</v>
      </c>
      <c r="M1437" s="1638">
        <v>2.462E-2</v>
      </c>
      <c r="N1437" s="1639">
        <v>1.4922260511834118</v>
      </c>
      <c r="O1437" s="1639"/>
    </row>
    <row r="1438" spans="11:15">
      <c r="K1438" s="1636">
        <v>43495</v>
      </c>
      <c r="L1438" s="1637" t="s">
        <v>1650</v>
      </c>
      <c r="M1438" s="1638">
        <v>2.462E-2</v>
      </c>
      <c r="N1438" s="1639">
        <v>1.4925934372372132</v>
      </c>
      <c r="O1438" s="1639"/>
    </row>
    <row r="1439" spans="11:15">
      <c r="K1439" s="1636">
        <v>43496</v>
      </c>
      <c r="L1439" s="1637" t="s">
        <v>1650</v>
      </c>
      <c r="M1439" s="1638">
        <v>2.462E-2</v>
      </c>
      <c r="N1439" s="1639">
        <v>1.492960913741461</v>
      </c>
      <c r="O1439" s="1639"/>
    </row>
    <row r="1440" spans="11:15">
      <c r="K1440" s="1636">
        <v>43497</v>
      </c>
      <c r="L1440" s="1637" t="s">
        <v>1650</v>
      </c>
      <c r="M1440" s="1638">
        <v>2.462E-2</v>
      </c>
      <c r="N1440" s="1639">
        <v>1.4933284807184244</v>
      </c>
      <c r="O1440" s="1639"/>
    </row>
    <row r="1441" spans="11:15">
      <c r="K1441" s="1636">
        <v>43498</v>
      </c>
      <c r="L1441" s="1637"/>
      <c r="M1441" s="1638">
        <v>0</v>
      </c>
      <c r="N1441" s="1639">
        <v>1.4933284807184244</v>
      </c>
      <c r="O1441" s="1639"/>
    </row>
    <row r="1442" spans="11:15">
      <c r="K1442" s="1636">
        <v>43499</v>
      </c>
      <c r="L1442" s="1637"/>
      <c r="M1442" s="1638">
        <v>0</v>
      </c>
      <c r="N1442" s="1639">
        <v>1.4933284807184244</v>
      </c>
      <c r="O1442" s="1639"/>
    </row>
    <row r="1443" spans="11:15">
      <c r="K1443" s="1636">
        <v>43500</v>
      </c>
      <c r="L1443" s="1637" t="s">
        <v>1650</v>
      </c>
      <c r="M1443" s="1638">
        <v>2.462E-2</v>
      </c>
      <c r="N1443" s="1639">
        <v>1.4936961381903775</v>
      </c>
      <c r="O1443" s="1639"/>
    </row>
    <row r="1444" spans="11:15">
      <c r="K1444" s="1636">
        <v>43501</v>
      </c>
      <c r="L1444" s="1637" t="s">
        <v>1650</v>
      </c>
      <c r="M1444" s="1638">
        <v>2.462E-2</v>
      </c>
      <c r="N1444" s="1639">
        <v>1.4940638861796001</v>
      </c>
      <c r="O1444" s="1639"/>
    </row>
    <row r="1445" spans="11:15">
      <c r="K1445" s="1636">
        <v>43502</v>
      </c>
      <c r="L1445" s="1637" t="s">
        <v>1650</v>
      </c>
      <c r="M1445" s="1638">
        <v>2.462E-2</v>
      </c>
      <c r="N1445" s="1639">
        <v>1.4944317247083776</v>
      </c>
      <c r="O1445" s="1639"/>
    </row>
    <row r="1446" spans="11:15">
      <c r="K1446" s="1636">
        <v>43503</v>
      </c>
      <c r="L1446" s="1637" t="s">
        <v>1650</v>
      </c>
      <c r="M1446" s="1638">
        <v>2.462E-2</v>
      </c>
      <c r="N1446" s="1639">
        <v>1.4947996537990009</v>
      </c>
      <c r="O1446" s="1639"/>
    </row>
    <row r="1447" spans="11:15">
      <c r="K1447" s="1636">
        <v>43504</v>
      </c>
      <c r="L1447" s="1637" t="s">
        <v>1650</v>
      </c>
      <c r="M1447" s="1638">
        <v>2.462E-2</v>
      </c>
      <c r="N1447" s="1639">
        <v>1.4951676734737664</v>
      </c>
      <c r="O1447" s="1639"/>
    </row>
    <row r="1448" spans="11:15">
      <c r="K1448" s="1636">
        <v>43505</v>
      </c>
      <c r="L1448" s="1637"/>
      <c r="M1448" s="1638">
        <v>0</v>
      </c>
      <c r="N1448" s="1639">
        <v>1.4951676734737664</v>
      </c>
      <c r="O1448" s="1639"/>
    </row>
    <row r="1449" spans="11:15">
      <c r="K1449" s="1636">
        <v>43506</v>
      </c>
      <c r="L1449" s="1637"/>
      <c r="M1449" s="1638">
        <v>0</v>
      </c>
      <c r="N1449" s="1639">
        <v>1.4951676734737664</v>
      </c>
      <c r="O1449" s="1639"/>
    </row>
    <row r="1450" spans="11:15">
      <c r="K1450" s="1636">
        <v>43507</v>
      </c>
      <c r="L1450" s="1637" t="s">
        <v>1650</v>
      </c>
      <c r="M1450" s="1638">
        <v>2.462E-2</v>
      </c>
      <c r="N1450" s="1639">
        <v>1.4955357837549759</v>
      </c>
      <c r="O1450" s="1639"/>
    </row>
    <row r="1451" spans="11:15">
      <c r="K1451" s="1636">
        <v>43508</v>
      </c>
      <c r="L1451" s="1637" t="s">
        <v>1650</v>
      </c>
      <c r="M1451" s="1638">
        <v>2.462E-2</v>
      </c>
      <c r="N1451" s="1639">
        <v>1.4959039846649365</v>
      </c>
      <c r="O1451" s="1639"/>
    </row>
    <row r="1452" spans="11:15">
      <c r="K1452" s="1636">
        <v>43509</v>
      </c>
      <c r="L1452" s="1637" t="s">
        <v>1650</v>
      </c>
      <c r="M1452" s="1638">
        <v>2.462E-2</v>
      </c>
      <c r="N1452" s="1639">
        <v>1.496272276225961</v>
      </c>
      <c r="O1452" s="1639"/>
    </row>
    <row r="1453" spans="11:15">
      <c r="K1453" s="1636">
        <v>43510</v>
      </c>
      <c r="L1453" s="1637" t="s">
        <v>1650</v>
      </c>
      <c r="M1453" s="1638">
        <v>2.462E-2</v>
      </c>
      <c r="N1453" s="1639">
        <v>1.496640658460368</v>
      </c>
      <c r="O1453" s="1639"/>
    </row>
    <row r="1454" spans="11:15">
      <c r="K1454" s="1636">
        <v>43511</v>
      </c>
      <c r="L1454" s="1637" t="s">
        <v>1650</v>
      </c>
      <c r="M1454" s="1638">
        <v>2.462E-2</v>
      </c>
      <c r="N1454" s="1639">
        <v>1.497009131390481</v>
      </c>
      <c r="O1454" s="1639"/>
    </row>
    <row r="1455" spans="11:15">
      <c r="K1455" s="1636">
        <v>43512</v>
      </c>
      <c r="L1455" s="1637"/>
      <c r="M1455" s="1638">
        <v>0</v>
      </c>
      <c r="N1455" s="1639">
        <v>1.497009131390481</v>
      </c>
      <c r="O1455" s="1639"/>
    </row>
    <row r="1456" spans="11:15">
      <c r="K1456" s="1636">
        <v>43513</v>
      </c>
      <c r="L1456" s="1637"/>
      <c r="M1456" s="1638">
        <v>0</v>
      </c>
      <c r="N1456" s="1639">
        <v>1.497009131390481</v>
      </c>
      <c r="O1456" s="1639"/>
    </row>
    <row r="1457" spans="11:15">
      <c r="K1457" s="1636">
        <v>43514</v>
      </c>
      <c r="L1457" s="1637" t="s">
        <v>1650</v>
      </c>
      <c r="M1457" s="1638">
        <v>2.462E-2</v>
      </c>
      <c r="N1457" s="1639">
        <v>1.4973776950386295</v>
      </c>
      <c r="O1457" s="1639"/>
    </row>
    <row r="1458" spans="11:15">
      <c r="K1458" s="1636">
        <v>43515</v>
      </c>
      <c r="L1458" s="1637" t="s">
        <v>1650</v>
      </c>
      <c r="M1458" s="1638">
        <v>2.462E-2</v>
      </c>
      <c r="N1458" s="1639">
        <v>1.4977463494271481</v>
      </c>
      <c r="O1458" s="1639"/>
    </row>
    <row r="1459" spans="11:15">
      <c r="K1459" s="1636">
        <v>43516</v>
      </c>
      <c r="L1459" s="1637" t="s">
        <v>1650</v>
      </c>
      <c r="M1459" s="1638">
        <v>2.462E-2</v>
      </c>
      <c r="N1459" s="1639">
        <v>1.4981150945783772</v>
      </c>
      <c r="O1459" s="1639"/>
    </row>
    <row r="1460" spans="11:15">
      <c r="K1460" s="1636">
        <v>43517</v>
      </c>
      <c r="L1460" s="1637" t="s">
        <v>1650</v>
      </c>
      <c r="M1460" s="1638">
        <v>2.462E-2</v>
      </c>
      <c r="N1460" s="1639">
        <v>1.4984839305146624</v>
      </c>
      <c r="O1460" s="1639"/>
    </row>
    <row r="1461" spans="11:15">
      <c r="K1461" s="1636">
        <v>43518</v>
      </c>
      <c r="L1461" s="1637" t="s">
        <v>1650</v>
      </c>
      <c r="M1461" s="1638">
        <v>2.462E-2</v>
      </c>
      <c r="N1461" s="1639">
        <v>1.4988528572583553</v>
      </c>
      <c r="O1461" s="1639"/>
    </row>
    <row r="1462" spans="11:15">
      <c r="K1462" s="1636">
        <v>43519</v>
      </c>
      <c r="L1462" s="1637"/>
      <c r="M1462" s="1638">
        <v>0</v>
      </c>
      <c r="N1462" s="1639">
        <v>1.4988528572583553</v>
      </c>
      <c r="O1462" s="1639"/>
    </row>
    <row r="1463" spans="11:15">
      <c r="K1463" s="1636">
        <v>43520</v>
      </c>
      <c r="L1463" s="1637"/>
      <c r="M1463" s="1638">
        <v>0</v>
      </c>
      <c r="N1463" s="1639">
        <v>1.4988528572583553</v>
      </c>
      <c r="O1463" s="1639"/>
    </row>
    <row r="1464" spans="11:15">
      <c r="K1464" s="1636">
        <v>43521</v>
      </c>
      <c r="L1464" s="1637" t="s">
        <v>1650</v>
      </c>
      <c r="M1464" s="1638">
        <v>2.462E-2</v>
      </c>
      <c r="N1464" s="1639">
        <v>1.4992218748318125</v>
      </c>
      <c r="O1464" s="1639"/>
    </row>
    <row r="1465" spans="11:15">
      <c r="K1465" s="1636">
        <v>43522</v>
      </c>
      <c r="L1465" s="1637" t="s">
        <v>1650</v>
      </c>
      <c r="M1465" s="1638">
        <v>2.462E-2</v>
      </c>
      <c r="N1465" s="1639">
        <v>1.4995909832573961</v>
      </c>
      <c r="O1465" s="1639"/>
    </row>
    <row r="1466" spans="11:15">
      <c r="K1466" s="1636">
        <v>43523</v>
      </c>
      <c r="L1466" s="1637" t="s">
        <v>1650</v>
      </c>
      <c r="M1466" s="1638">
        <v>2.462E-2</v>
      </c>
      <c r="N1466" s="1639">
        <v>1.4999601825574742</v>
      </c>
      <c r="O1466" s="1639"/>
    </row>
    <row r="1467" spans="11:15">
      <c r="K1467" s="1636">
        <v>43524</v>
      </c>
      <c r="L1467" s="1637" t="s">
        <v>1650</v>
      </c>
      <c r="M1467" s="1638">
        <v>2.462E-2</v>
      </c>
      <c r="N1467" s="1639">
        <v>1.5003294727544201</v>
      </c>
      <c r="O1467" s="1639"/>
    </row>
    <row r="1468" spans="11:15">
      <c r="K1468" s="1636">
        <v>43525</v>
      </c>
      <c r="L1468" s="1637" t="s">
        <v>1650</v>
      </c>
      <c r="M1468" s="1638">
        <v>2.462E-2</v>
      </c>
      <c r="N1468" s="1639">
        <v>1.5006988538706123</v>
      </c>
      <c r="O1468" s="1639"/>
    </row>
    <row r="1469" spans="11:15">
      <c r="K1469" s="1636">
        <v>43526</v>
      </c>
      <c r="L1469" s="1637"/>
      <c r="M1469" s="1638">
        <v>0</v>
      </c>
      <c r="N1469" s="1639">
        <v>1.5006988538706123</v>
      </c>
      <c r="O1469" s="1639"/>
    </row>
    <row r="1470" spans="11:15">
      <c r="K1470" s="1636">
        <v>43527</v>
      </c>
      <c r="L1470" s="1637"/>
      <c r="M1470" s="1638">
        <v>0</v>
      </c>
      <c r="N1470" s="1639">
        <v>1.5006988538706123</v>
      </c>
      <c r="O1470" s="1639"/>
    </row>
    <row r="1471" spans="11:15">
      <c r="K1471" s="1636">
        <v>43528</v>
      </c>
      <c r="L1471" s="1637"/>
      <c r="M1471" s="1638">
        <v>0</v>
      </c>
      <c r="N1471" s="1639">
        <v>1.5006988538706123</v>
      </c>
      <c r="O1471" s="1639"/>
    </row>
    <row r="1472" spans="11:15">
      <c r="K1472" s="1636">
        <v>43529</v>
      </c>
      <c r="L1472" s="1637"/>
      <c r="M1472" s="1638">
        <v>0</v>
      </c>
      <c r="N1472" s="1639">
        <v>1.5006988538706123</v>
      </c>
      <c r="O1472" s="1639"/>
    </row>
    <row r="1473" spans="11:15">
      <c r="K1473" s="1636">
        <v>43530</v>
      </c>
      <c r="L1473" s="1637" t="s">
        <v>1650</v>
      </c>
      <c r="M1473" s="1638">
        <v>2.462E-2</v>
      </c>
      <c r="N1473" s="1639">
        <v>1.5010683259284354</v>
      </c>
      <c r="O1473" s="1639"/>
    </row>
    <row r="1474" spans="11:15">
      <c r="K1474" s="1636">
        <v>43531</v>
      </c>
      <c r="L1474" s="1637" t="s">
        <v>1650</v>
      </c>
      <c r="M1474" s="1638">
        <v>2.462E-2</v>
      </c>
      <c r="N1474" s="1639">
        <v>1.5014378889502791</v>
      </c>
      <c r="O1474" s="1639"/>
    </row>
    <row r="1475" spans="11:15">
      <c r="K1475" s="1636">
        <v>43532</v>
      </c>
      <c r="L1475" s="1637" t="s">
        <v>1650</v>
      </c>
      <c r="M1475" s="1638">
        <v>2.462E-2</v>
      </c>
      <c r="N1475" s="1639">
        <v>1.5018075429585387</v>
      </c>
      <c r="O1475" s="1639"/>
    </row>
    <row r="1476" spans="11:15">
      <c r="K1476" s="1636">
        <v>43533</v>
      </c>
      <c r="L1476" s="1637"/>
      <c r="M1476" s="1638">
        <v>0</v>
      </c>
      <c r="N1476" s="1639">
        <v>1.5018075429585387</v>
      </c>
      <c r="O1476" s="1639"/>
    </row>
    <row r="1477" spans="11:15">
      <c r="K1477" s="1636">
        <v>43534</v>
      </c>
      <c r="L1477" s="1637"/>
      <c r="M1477" s="1638">
        <v>0</v>
      </c>
      <c r="N1477" s="1639">
        <v>1.5018075429585387</v>
      </c>
      <c r="O1477" s="1639"/>
    </row>
    <row r="1478" spans="11:15">
      <c r="K1478" s="1636">
        <v>43535</v>
      </c>
      <c r="L1478" s="1637" t="s">
        <v>1650</v>
      </c>
      <c r="M1478" s="1638">
        <v>2.462E-2</v>
      </c>
      <c r="N1478" s="1639">
        <v>1.5021772879756152</v>
      </c>
      <c r="O1478" s="1639"/>
    </row>
    <row r="1479" spans="11:15">
      <c r="K1479" s="1636">
        <v>43536</v>
      </c>
      <c r="L1479" s="1637" t="s">
        <v>1650</v>
      </c>
      <c r="M1479" s="1638">
        <v>2.462E-2</v>
      </c>
      <c r="N1479" s="1639">
        <v>1.502547124023915</v>
      </c>
      <c r="O1479" s="1639"/>
    </row>
    <row r="1480" spans="11:15">
      <c r="K1480" s="1636">
        <v>43537</v>
      </c>
      <c r="L1480" s="1637" t="s">
        <v>1650</v>
      </c>
      <c r="M1480" s="1638">
        <v>2.462E-2</v>
      </c>
      <c r="N1480" s="1639">
        <v>1.5029170511258498</v>
      </c>
      <c r="O1480" s="1639"/>
    </row>
    <row r="1481" spans="11:15">
      <c r="K1481" s="1636">
        <v>43538</v>
      </c>
      <c r="L1481" s="1637" t="s">
        <v>1650</v>
      </c>
      <c r="M1481" s="1638">
        <v>2.462E-2</v>
      </c>
      <c r="N1481" s="1639">
        <v>1.5032870693038372</v>
      </c>
      <c r="O1481" s="1639"/>
    </row>
    <row r="1482" spans="11:15">
      <c r="K1482" s="1636">
        <v>43539</v>
      </c>
      <c r="L1482" s="1637" t="s">
        <v>1650</v>
      </c>
      <c r="M1482" s="1638">
        <v>2.462E-2</v>
      </c>
      <c r="N1482" s="1639">
        <v>1.5036571785802999</v>
      </c>
      <c r="O1482" s="1639"/>
    </row>
    <row r="1483" spans="11:15">
      <c r="K1483" s="1636">
        <v>43540</v>
      </c>
      <c r="L1483" s="1637"/>
      <c r="M1483" s="1638">
        <v>0</v>
      </c>
      <c r="N1483" s="1639">
        <v>1.5036571785802999</v>
      </c>
      <c r="O1483" s="1639"/>
    </row>
    <row r="1484" spans="11:15">
      <c r="K1484" s="1636">
        <v>43541</v>
      </c>
      <c r="L1484" s="1637"/>
      <c r="M1484" s="1638">
        <v>0</v>
      </c>
      <c r="N1484" s="1639">
        <v>1.5036571785802999</v>
      </c>
      <c r="O1484" s="1639"/>
    </row>
    <row r="1485" spans="11:15">
      <c r="K1485" s="1636">
        <v>43542</v>
      </c>
      <c r="L1485" s="1637" t="s">
        <v>1650</v>
      </c>
      <c r="M1485" s="1638">
        <v>2.462E-2</v>
      </c>
      <c r="N1485" s="1639">
        <v>1.5040273789776666</v>
      </c>
      <c r="O1485" s="1639"/>
    </row>
    <row r="1486" spans="11:15">
      <c r="K1486" s="1636">
        <v>43543</v>
      </c>
      <c r="L1486" s="1637" t="s">
        <v>1650</v>
      </c>
      <c r="M1486" s="1638">
        <v>2.462E-2</v>
      </c>
      <c r="N1486" s="1639">
        <v>1.504397670518371</v>
      </c>
      <c r="O1486" s="1639"/>
    </row>
    <row r="1487" spans="11:15">
      <c r="K1487" s="1636">
        <v>43544</v>
      </c>
      <c r="L1487" s="1637" t="s">
        <v>1650</v>
      </c>
      <c r="M1487" s="1638">
        <v>2.462E-2</v>
      </c>
      <c r="N1487" s="1639">
        <v>1.5047680532248529</v>
      </c>
      <c r="O1487" s="1639"/>
    </row>
    <row r="1488" spans="11:15">
      <c r="K1488" s="1636">
        <v>43545</v>
      </c>
      <c r="L1488" s="1637" t="s">
        <v>1650</v>
      </c>
      <c r="M1488" s="1638">
        <v>2.462E-2</v>
      </c>
      <c r="N1488" s="1639">
        <v>1.505138527119557</v>
      </c>
      <c r="O1488" s="1639"/>
    </row>
    <row r="1489" spans="11:15">
      <c r="K1489" s="1636">
        <v>43546</v>
      </c>
      <c r="L1489" s="1637" t="s">
        <v>1650</v>
      </c>
      <c r="M1489" s="1638">
        <v>2.462E-2</v>
      </c>
      <c r="N1489" s="1639">
        <v>1.5055090922249339</v>
      </c>
      <c r="O1489" s="1639"/>
    </row>
    <row r="1490" spans="11:15">
      <c r="K1490" s="1636">
        <v>43547</v>
      </c>
      <c r="L1490" s="1637"/>
      <c r="M1490" s="1638">
        <v>0</v>
      </c>
      <c r="N1490" s="1639">
        <v>1.5055090922249339</v>
      </c>
      <c r="O1490" s="1639"/>
    </row>
    <row r="1491" spans="11:15">
      <c r="K1491" s="1636">
        <v>43548</v>
      </c>
      <c r="L1491" s="1637"/>
      <c r="M1491" s="1638">
        <v>0</v>
      </c>
      <c r="N1491" s="1639">
        <v>1.5055090922249339</v>
      </c>
      <c r="O1491" s="1639"/>
    </row>
    <row r="1492" spans="11:15">
      <c r="K1492" s="1636">
        <v>43549</v>
      </c>
      <c r="L1492" s="1637" t="s">
        <v>1650</v>
      </c>
      <c r="M1492" s="1638">
        <v>2.462E-2</v>
      </c>
      <c r="N1492" s="1639">
        <v>1.5058797485634399</v>
      </c>
      <c r="O1492" s="1639"/>
    </row>
    <row r="1493" spans="11:15">
      <c r="K1493" s="1636">
        <v>43550</v>
      </c>
      <c r="L1493" s="1637" t="s">
        <v>1650</v>
      </c>
      <c r="M1493" s="1638">
        <v>2.462E-2</v>
      </c>
      <c r="N1493" s="1639">
        <v>1.5062504961575363</v>
      </c>
      <c r="O1493" s="1639"/>
    </row>
    <row r="1494" spans="11:15">
      <c r="K1494" s="1636">
        <v>43551</v>
      </c>
      <c r="L1494" s="1637" t="s">
        <v>1650</v>
      </c>
      <c r="M1494" s="1638">
        <v>2.462E-2</v>
      </c>
      <c r="N1494" s="1639">
        <v>1.5066213350296904</v>
      </c>
      <c r="O1494" s="1639"/>
    </row>
    <row r="1495" spans="11:15">
      <c r="K1495" s="1636">
        <v>43552</v>
      </c>
      <c r="L1495" s="1637" t="s">
        <v>1650</v>
      </c>
      <c r="M1495" s="1638">
        <v>2.462E-2</v>
      </c>
      <c r="N1495" s="1639">
        <v>1.5069922652023748</v>
      </c>
      <c r="O1495" s="1639"/>
    </row>
    <row r="1496" spans="11:15">
      <c r="K1496" s="1636">
        <v>43553</v>
      </c>
      <c r="L1496" s="1637" t="s">
        <v>1650</v>
      </c>
      <c r="M1496" s="1638">
        <v>2.462E-2</v>
      </c>
      <c r="N1496" s="1639">
        <v>1.5073632866980677</v>
      </c>
      <c r="O1496" s="1639"/>
    </row>
    <row r="1497" spans="11:15">
      <c r="K1497" s="1636">
        <v>43554</v>
      </c>
      <c r="L1497" s="1637"/>
      <c r="M1497" s="1638">
        <v>0</v>
      </c>
      <c r="N1497" s="1639">
        <v>1.5073632866980677</v>
      </c>
      <c r="O1497" s="1639"/>
    </row>
    <row r="1498" spans="11:15">
      <c r="K1498" s="1636">
        <v>43555</v>
      </c>
      <c r="L1498" s="1637"/>
      <c r="M1498" s="1638">
        <v>0</v>
      </c>
      <c r="N1498" s="1639">
        <v>1.5073632866980677</v>
      </c>
      <c r="O1498" s="1639"/>
    </row>
    <row r="1499" spans="11:15">
      <c r="K1499" s="1636">
        <v>43556</v>
      </c>
      <c r="L1499" s="1637" t="s">
        <v>1650</v>
      </c>
      <c r="M1499" s="1638">
        <v>2.462E-2</v>
      </c>
      <c r="N1499" s="1639">
        <v>1.5077343995392529</v>
      </c>
      <c r="O1499" s="1639"/>
    </row>
    <row r="1500" spans="11:15">
      <c r="K1500" s="1636">
        <v>43557</v>
      </c>
      <c r="L1500" s="1637" t="s">
        <v>1650</v>
      </c>
      <c r="M1500" s="1638">
        <v>2.462E-2</v>
      </c>
      <c r="N1500" s="1639">
        <v>1.5081056037484195</v>
      </c>
      <c r="O1500" s="1639"/>
    </row>
    <row r="1501" spans="11:15">
      <c r="K1501" s="1636">
        <v>43558</v>
      </c>
      <c r="L1501" s="1637" t="s">
        <v>1650</v>
      </c>
      <c r="M1501" s="1638">
        <v>2.462E-2</v>
      </c>
      <c r="N1501" s="1639">
        <v>1.5084768993480624</v>
      </c>
      <c r="O1501" s="1639"/>
    </row>
    <row r="1502" spans="11:15">
      <c r="K1502" s="1636">
        <v>43559</v>
      </c>
      <c r="L1502" s="1637" t="s">
        <v>1650</v>
      </c>
      <c r="M1502" s="1638">
        <v>2.462E-2</v>
      </c>
      <c r="N1502" s="1639">
        <v>1.508848286360682</v>
      </c>
      <c r="O1502" s="1639"/>
    </row>
    <row r="1503" spans="11:15">
      <c r="K1503" s="1636">
        <v>43560</v>
      </c>
      <c r="L1503" s="1637" t="s">
        <v>1650</v>
      </c>
      <c r="M1503" s="1638">
        <v>2.462E-2</v>
      </c>
      <c r="N1503" s="1639">
        <v>1.5092197648087842</v>
      </c>
      <c r="O1503" s="1639"/>
    </row>
    <row r="1504" spans="11:15">
      <c r="K1504" s="1636">
        <v>43561</v>
      </c>
      <c r="L1504" s="1637"/>
      <c r="M1504" s="1638">
        <v>0</v>
      </c>
      <c r="N1504" s="1639">
        <v>1.5092197648087842</v>
      </c>
      <c r="O1504" s="1639"/>
    </row>
    <row r="1505" spans="11:15">
      <c r="K1505" s="1636">
        <v>43562</v>
      </c>
      <c r="L1505" s="1637"/>
      <c r="M1505" s="1638">
        <v>0</v>
      </c>
      <c r="N1505" s="1639">
        <v>1.5092197648087842</v>
      </c>
      <c r="O1505" s="1639"/>
    </row>
    <row r="1506" spans="11:15">
      <c r="K1506" s="1636">
        <v>43563</v>
      </c>
      <c r="L1506" s="1637" t="s">
        <v>1650</v>
      </c>
      <c r="M1506" s="1638">
        <v>2.462E-2</v>
      </c>
      <c r="N1506" s="1639">
        <v>1.5095913347148802</v>
      </c>
      <c r="O1506" s="1639"/>
    </row>
    <row r="1507" spans="11:15">
      <c r="K1507" s="1636">
        <v>43564</v>
      </c>
      <c r="L1507" s="1637" t="s">
        <v>1650</v>
      </c>
      <c r="M1507" s="1638">
        <v>2.462E-2</v>
      </c>
      <c r="N1507" s="1639">
        <v>1.5099629961014871</v>
      </c>
      <c r="O1507" s="1639"/>
    </row>
    <row r="1508" spans="11:15">
      <c r="K1508" s="1636">
        <v>43565</v>
      </c>
      <c r="L1508" s="1637" t="s">
        <v>1650</v>
      </c>
      <c r="M1508" s="1638">
        <v>2.462E-2</v>
      </c>
      <c r="N1508" s="1639">
        <v>1.5103347489911274</v>
      </c>
      <c r="O1508" s="1639"/>
    </row>
    <row r="1509" spans="11:15">
      <c r="K1509" s="1636">
        <v>43566</v>
      </c>
      <c r="L1509" s="1637" t="s">
        <v>1650</v>
      </c>
      <c r="M1509" s="1638">
        <v>2.462E-2</v>
      </c>
      <c r="N1509" s="1639">
        <v>1.5107065934063291</v>
      </c>
      <c r="O1509" s="1639"/>
    </row>
    <row r="1510" spans="11:15">
      <c r="K1510" s="1636">
        <v>43567</v>
      </c>
      <c r="L1510" s="1637" t="s">
        <v>1650</v>
      </c>
      <c r="M1510" s="1638">
        <v>2.462E-2</v>
      </c>
      <c r="N1510" s="1639">
        <v>1.5110785293696258</v>
      </c>
      <c r="O1510" s="1639"/>
    </row>
    <row r="1511" spans="11:15">
      <c r="K1511" s="1636">
        <v>43568</v>
      </c>
      <c r="L1511" s="1637"/>
      <c r="M1511" s="1638">
        <v>0</v>
      </c>
      <c r="N1511" s="1639">
        <v>1.5110785293696258</v>
      </c>
      <c r="O1511" s="1639"/>
    </row>
    <row r="1512" spans="11:15">
      <c r="K1512" s="1636">
        <v>43569</v>
      </c>
      <c r="L1512" s="1637"/>
      <c r="M1512" s="1638">
        <v>0</v>
      </c>
      <c r="N1512" s="1639">
        <v>1.5110785293696258</v>
      </c>
      <c r="O1512" s="1639"/>
    </row>
    <row r="1513" spans="11:15">
      <c r="K1513" s="1636">
        <v>43570</v>
      </c>
      <c r="L1513" s="1637" t="s">
        <v>1650</v>
      </c>
      <c r="M1513" s="1638">
        <v>2.462E-2</v>
      </c>
      <c r="N1513" s="1639">
        <v>1.5114505569035568</v>
      </c>
      <c r="O1513" s="1639"/>
    </row>
    <row r="1514" spans="11:15">
      <c r="K1514" s="1636">
        <v>43571</v>
      </c>
      <c r="L1514" s="1637" t="s">
        <v>1650</v>
      </c>
      <c r="M1514" s="1638">
        <v>2.462E-2</v>
      </c>
      <c r="N1514" s="1639">
        <v>1.5118226760306666</v>
      </c>
      <c r="O1514" s="1639"/>
    </row>
    <row r="1515" spans="11:15">
      <c r="K1515" s="1636">
        <v>43572</v>
      </c>
      <c r="L1515" s="1637" t="s">
        <v>1650</v>
      </c>
      <c r="M1515" s="1638">
        <v>2.462E-2</v>
      </c>
      <c r="N1515" s="1639">
        <v>1.5121948867735053</v>
      </c>
      <c r="O1515" s="1639"/>
    </row>
    <row r="1516" spans="11:15">
      <c r="K1516" s="1636">
        <v>43573</v>
      </c>
      <c r="L1516" s="1637" t="s">
        <v>1650</v>
      </c>
      <c r="M1516" s="1638">
        <v>2.462E-2</v>
      </c>
      <c r="N1516" s="1639">
        <v>1.5125671891546291</v>
      </c>
      <c r="O1516" s="1639"/>
    </row>
    <row r="1517" spans="11:15">
      <c r="K1517" s="1636">
        <v>43574</v>
      </c>
      <c r="L1517" s="1637"/>
      <c r="M1517" s="1638">
        <v>0</v>
      </c>
      <c r="N1517" s="1639">
        <v>1.5125671891546291</v>
      </c>
      <c r="O1517" s="1639"/>
    </row>
    <row r="1518" spans="11:15">
      <c r="K1518" s="1636">
        <v>43575</v>
      </c>
      <c r="L1518" s="1637"/>
      <c r="M1518" s="1638">
        <v>0</v>
      </c>
      <c r="N1518" s="1639">
        <v>1.5125671891546291</v>
      </c>
      <c r="O1518" s="1639"/>
    </row>
    <row r="1519" spans="11:15">
      <c r="K1519" s="1636">
        <v>43576</v>
      </c>
      <c r="L1519" s="1637"/>
      <c r="M1519" s="1638">
        <v>0</v>
      </c>
      <c r="N1519" s="1639">
        <v>1.5125671891546291</v>
      </c>
      <c r="O1519" s="1639"/>
    </row>
    <row r="1520" spans="11:15">
      <c r="K1520" s="1636">
        <v>43577</v>
      </c>
      <c r="L1520" s="1637" t="s">
        <v>1650</v>
      </c>
      <c r="M1520" s="1638">
        <v>2.462E-2</v>
      </c>
      <c r="N1520" s="1639">
        <v>1.512939583196599</v>
      </c>
      <c r="O1520" s="1639"/>
    </row>
    <row r="1521" spans="11:15">
      <c r="K1521" s="1636">
        <v>43578</v>
      </c>
      <c r="L1521" s="1637" t="s">
        <v>1650</v>
      </c>
      <c r="M1521" s="1638">
        <v>2.462E-2</v>
      </c>
      <c r="N1521" s="1639">
        <v>1.5133120689219821</v>
      </c>
      <c r="O1521" s="1639"/>
    </row>
    <row r="1522" spans="11:15">
      <c r="K1522" s="1636">
        <v>43579</v>
      </c>
      <c r="L1522" s="1637" t="s">
        <v>1650</v>
      </c>
      <c r="M1522" s="1638">
        <v>2.462E-2</v>
      </c>
      <c r="N1522" s="1639">
        <v>1.5136846463533509</v>
      </c>
      <c r="O1522" s="1639"/>
    </row>
    <row r="1523" spans="11:15">
      <c r="K1523" s="1636">
        <v>43580</v>
      </c>
      <c r="L1523" s="1637" t="s">
        <v>1650</v>
      </c>
      <c r="M1523" s="1638">
        <v>2.462E-2</v>
      </c>
      <c r="N1523" s="1639">
        <v>1.5140573155132833</v>
      </c>
      <c r="O1523" s="1639"/>
    </row>
    <row r="1524" spans="11:15">
      <c r="K1524" s="1636">
        <v>43581</v>
      </c>
      <c r="L1524" s="1637" t="s">
        <v>1650</v>
      </c>
      <c r="M1524" s="1638">
        <v>2.462E-2</v>
      </c>
      <c r="N1524" s="1639">
        <v>1.5144300764243628</v>
      </c>
      <c r="O1524" s="1639"/>
    </row>
    <row r="1525" spans="11:15">
      <c r="K1525" s="1636">
        <v>43582</v>
      </c>
      <c r="L1525" s="1637"/>
      <c r="M1525" s="1638">
        <v>0</v>
      </c>
      <c r="N1525" s="1639">
        <v>1.5144300764243628</v>
      </c>
      <c r="O1525" s="1639"/>
    </row>
    <row r="1526" spans="11:15">
      <c r="K1526" s="1636">
        <v>43583</v>
      </c>
      <c r="L1526" s="1637"/>
      <c r="M1526" s="1638">
        <v>0</v>
      </c>
      <c r="N1526" s="1639">
        <v>1.5144300764243628</v>
      </c>
      <c r="O1526" s="1639"/>
    </row>
    <row r="1527" spans="11:15">
      <c r="K1527" s="1636">
        <v>43584</v>
      </c>
      <c r="L1527" s="1637" t="s">
        <v>1650</v>
      </c>
      <c r="M1527" s="1638">
        <v>2.462E-2</v>
      </c>
      <c r="N1527" s="1639">
        <v>1.5148029291091787</v>
      </c>
      <c r="O1527" s="1639"/>
    </row>
    <row r="1528" spans="11:15">
      <c r="K1528" s="1636">
        <v>43585</v>
      </c>
      <c r="L1528" s="1637" t="s">
        <v>1650</v>
      </c>
      <c r="M1528" s="1638">
        <v>2.462E-2</v>
      </c>
      <c r="N1528" s="1639">
        <v>1.5151758735903256</v>
      </c>
      <c r="O1528" s="1639"/>
    </row>
    <row r="1529" spans="11:15">
      <c r="K1529" s="1636">
        <v>43586</v>
      </c>
      <c r="L1529" s="1637"/>
      <c r="M1529" s="1638">
        <v>0</v>
      </c>
      <c r="N1529" s="1639">
        <v>1.5151758735903256</v>
      </c>
      <c r="O1529" s="1639"/>
    </row>
    <row r="1530" spans="11:15">
      <c r="K1530" s="1636">
        <v>43587</v>
      </c>
      <c r="L1530" s="1637" t="s">
        <v>1650</v>
      </c>
      <c r="M1530" s="1638">
        <v>2.462E-2</v>
      </c>
      <c r="N1530" s="1639">
        <v>1.5155489098904036</v>
      </c>
      <c r="O1530" s="1639"/>
    </row>
    <row r="1531" spans="11:15">
      <c r="K1531" s="1636">
        <v>43588</v>
      </c>
      <c r="L1531" s="1637" t="s">
        <v>1650</v>
      </c>
      <c r="M1531" s="1638">
        <v>2.462E-2</v>
      </c>
      <c r="N1531" s="1639">
        <v>1.5159220380320186</v>
      </c>
      <c r="O1531" s="1639"/>
    </row>
    <row r="1532" spans="11:15">
      <c r="K1532" s="1636">
        <v>43589</v>
      </c>
      <c r="L1532" s="1637"/>
      <c r="M1532" s="1638">
        <v>0</v>
      </c>
      <c r="N1532" s="1639">
        <v>1.5159220380320186</v>
      </c>
      <c r="O1532" s="1639"/>
    </row>
    <row r="1533" spans="11:15">
      <c r="K1533" s="1636">
        <v>43590</v>
      </c>
      <c r="L1533" s="1637"/>
      <c r="M1533" s="1638">
        <v>0</v>
      </c>
      <c r="N1533" s="1639">
        <v>1.5159220380320186</v>
      </c>
      <c r="O1533" s="1639"/>
    </row>
    <row r="1534" spans="11:15">
      <c r="K1534" s="1636">
        <v>43591</v>
      </c>
      <c r="L1534" s="1637" t="s">
        <v>1650</v>
      </c>
      <c r="M1534" s="1638">
        <v>2.462E-2</v>
      </c>
      <c r="N1534" s="1639">
        <v>1.5162952580377822</v>
      </c>
      <c r="O1534" s="1639"/>
    </row>
    <row r="1535" spans="11:15">
      <c r="K1535" s="1636">
        <v>43592</v>
      </c>
      <c r="L1535" s="1637" t="s">
        <v>1650</v>
      </c>
      <c r="M1535" s="1638">
        <v>2.462E-2</v>
      </c>
      <c r="N1535" s="1639">
        <v>1.5166685699303113</v>
      </c>
      <c r="O1535" s="1639"/>
    </row>
    <row r="1536" spans="11:15">
      <c r="K1536" s="1636">
        <v>43593</v>
      </c>
      <c r="L1536" s="1637" t="s">
        <v>1650</v>
      </c>
      <c r="M1536" s="1638">
        <v>2.462E-2</v>
      </c>
      <c r="N1536" s="1639">
        <v>1.5170419737322283</v>
      </c>
      <c r="O1536" s="1639"/>
    </row>
    <row r="1537" spans="11:15">
      <c r="K1537" s="1636">
        <v>43594</v>
      </c>
      <c r="L1537" s="1637" t="s">
        <v>1650</v>
      </c>
      <c r="M1537" s="1638">
        <v>2.462E-2</v>
      </c>
      <c r="N1537" s="1639">
        <v>1.5174154694661612</v>
      </c>
      <c r="O1537" s="1639"/>
    </row>
    <row r="1538" spans="11:15">
      <c r="K1538" s="1636">
        <v>43595</v>
      </c>
      <c r="L1538" s="1637" t="s">
        <v>1650</v>
      </c>
      <c r="M1538" s="1638">
        <v>2.462E-2</v>
      </c>
      <c r="N1538" s="1639">
        <v>1.5177890571547439</v>
      </c>
      <c r="O1538" s="1639"/>
    </row>
    <row r="1539" spans="11:15">
      <c r="K1539" s="1636">
        <v>43596</v>
      </c>
      <c r="L1539" s="1637"/>
      <c r="M1539" s="1638">
        <v>0</v>
      </c>
      <c r="N1539" s="1639">
        <v>1.5177890571547439</v>
      </c>
      <c r="O1539" s="1639"/>
    </row>
    <row r="1540" spans="11:15">
      <c r="K1540" s="1636">
        <v>43597</v>
      </c>
      <c r="L1540" s="1637"/>
      <c r="M1540" s="1638">
        <v>0</v>
      </c>
      <c r="N1540" s="1639">
        <v>1.5177890571547439</v>
      </c>
      <c r="O1540" s="1639"/>
    </row>
    <row r="1541" spans="11:15">
      <c r="K1541" s="1636">
        <v>43598</v>
      </c>
      <c r="L1541" s="1637" t="s">
        <v>1650</v>
      </c>
      <c r="M1541" s="1638">
        <v>2.462E-2</v>
      </c>
      <c r="N1541" s="1639">
        <v>1.5181627368206154</v>
      </c>
      <c r="O1541" s="1639"/>
    </row>
    <row r="1542" spans="11:15">
      <c r="K1542" s="1636">
        <v>43599</v>
      </c>
      <c r="L1542" s="1637" t="s">
        <v>1650</v>
      </c>
      <c r="M1542" s="1638">
        <v>2.462E-2</v>
      </c>
      <c r="N1542" s="1639">
        <v>1.5185365084864209</v>
      </c>
      <c r="O1542" s="1639"/>
    </row>
    <row r="1543" spans="11:15">
      <c r="K1543" s="1636">
        <v>43600</v>
      </c>
      <c r="L1543" s="1637" t="s">
        <v>1650</v>
      </c>
      <c r="M1543" s="1638">
        <v>2.462E-2</v>
      </c>
      <c r="N1543" s="1639">
        <v>1.5189103721748103</v>
      </c>
      <c r="O1543" s="1639"/>
    </row>
    <row r="1544" spans="11:15">
      <c r="K1544" s="1636">
        <v>43601</v>
      </c>
      <c r="L1544" s="1637" t="s">
        <v>1650</v>
      </c>
      <c r="M1544" s="1638">
        <v>2.462E-2</v>
      </c>
      <c r="N1544" s="1639">
        <v>1.5192843279084398</v>
      </c>
      <c r="O1544" s="1639"/>
    </row>
    <row r="1545" spans="11:15">
      <c r="K1545" s="1636">
        <v>43602</v>
      </c>
      <c r="L1545" s="1637" t="s">
        <v>1650</v>
      </c>
      <c r="M1545" s="1638">
        <v>2.462E-2</v>
      </c>
      <c r="N1545" s="1639">
        <v>1.5196583757099711</v>
      </c>
      <c r="O1545" s="1639"/>
    </row>
    <row r="1546" spans="11:15">
      <c r="K1546" s="1636">
        <v>43603</v>
      </c>
      <c r="L1546" s="1637"/>
      <c r="M1546" s="1638">
        <v>0</v>
      </c>
      <c r="N1546" s="1639">
        <v>1.5196583757099711</v>
      </c>
      <c r="O1546" s="1639"/>
    </row>
    <row r="1547" spans="11:15">
      <c r="K1547" s="1636">
        <v>43604</v>
      </c>
      <c r="L1547" s="1637"/>
      <c r="M1547" s="1638">
        <v>0</v>
      </c>
      <c r="N1547" s="1639">
        <v>1.5196583757099711</v>
      </c>
      <c r="O1547" s="1639"/>
    </row>
    <row r="1548" spans="11:15">
      <c r="K1548" s="1636">
        <v>43605</v>
      </c>
      <c r="L1548" s="1637" t="s">
        <v>1650</v>
      </c>
      <c r="M1548" s="1638">
        <v>2.462E-2</v>
      </c>
      <c r="N1548" s="1639">
        <v>1.5200325156020711</v>
      </c>
      <c r="O1548" s="1639"/>
    </row>
    <row r="1549" spans="11:15">
      <c r="K1549" s="1636">
        <v>43606</v>
      </c>
      <c r="L1549" s="1637" t="s">
        <v>1650</v>
      </c>
      <c r="M1549" s="1638">
        <v>2.462E-2</v>
      </c>
      <c r="N1549" s="1639">
        <v>1.5204067476074123</v>
      </c>
      <c r="O1549" s="1639"/>
    </row>
    <row r="1550" spans="11:15">
      <c r="K1550" s="1636">
        <v>43607</v>
      </c>
      <c r="L1550" s="1637" t="s">
        <v>1650</v>
      </c>
      <c r="M1550" s="1638">
        <v>2.462E-2</v>
      </c>
      <c r="N1550" s="1639">
        <v>1.5207810717486734</v>
      </c>
      <c r="O1550" s="1639"/>
    </row>
    <row r="1551" spans="11:15">
      <c r="K1551" s="1636">
        <v>43608</v>
      </c>
      <c r="L1551" s="1637" t="s">
        <v>1650</v>
      </c>
      <c r="M1551" s="1638">
        <v>2.462E-2</v>
      </c>
      <c r="N1551" s="1639">
        <v>1.5211554880485381</v>
      </c>
      <c r="O1551" s="1639"/>
    </row>
    <row r="1552" spans="11:15">
      <c r="K1552" s="1636">
        <v>43609</v>
      </c>
      <c r="L1552" s="1637" t="s">
        <v>1650</v>
      </c>
      <c r="M1552" s="1638">
        <v>2.462E-2</v>
      </c>
      <c r="N1552" s="1639">
        <v>1.5215299965296958</v>
      </c>
      <c r="O1552" s="1639"/>
    </row>
    <row r="1553" spans="11:15">
      <c r="K1553" s="1636">
        <v>43610</v>
      </c>
      <c r="L1553" s="1637"/>
      <c r="M1553" s="1638">
        <v>0</v>
      </c>
      <c r="N1553" s="1639">
        <v>1.5215299965296958</v>
      </c>
      <c r="O1553" s="1639"/>
    </row>
    <row r="1554" spans="11:15">
      <c r="K1554" s="1636">
        <v>43611</v>
      </c>
      <c r="L1554" s="1637"/>
      <c r="M1554" s="1638">
        <v>0</v>
      </c>
      <c r="N1554" s="1639">
        <v>1.5215299965296958</v>
      </c>
      <c r="O1554" s="1639"/>
    </row>
    <row r="1555" spans="11:15">
      <c r="K1555" s="1636">
        <v>43612</v>
      </c>
      <c r="L1555" s="1637" t="s">
        <v>1650</v>
      </c>
      <c r="M1555" s="1638">
        <v>2.462E-2</v>
      </c>
      <c r="N1555" s="1639">
        <v>1.5219045972148415</v>
      </c>
      <c r="O1555" s="1639"/>
    </row>
    <row r="1556" spans="11:15">
      <c r="K1556" s="1636">
        <v>43613</v>
      </c>
      <c r="L1556" s="1637" t="s">
        <v>1650</v>
      </c>
      <c r="M1556" s="1638">
        <v>2.462E-2</v>
      </c>
      <c r="N1556" s="1639">
        <v>1.522279290126676</v>
      </c>
      <c r="O1556" s="1639"/>
    </row>
    <row r="1557" spans="11:15">
      <c r="K1557" s="1636">
        <v>43614</v>
      </c>
      <c r="L1557" s="1637" t="s">
        <v>1650</v>
      </c>
      <c r="M1557" s="1638">
        <v>2.462E-2</v>
      </c>
      <c r="N1557" s="1639">
        <v>1.5226540752879052</v>
      </c>
      <c r="O1557" s="1639"/>
    </row>
    <row r="1558" spans="11:15">
      <c r="K1558" s="1636">
        <v>43615</v>
      </c>
      <c r="L1558" s="1637" t="s">
        <v>1650</v>
      </c>
      <c r="M1558" s="1638">
        <v>2.462E-2</v>
      </c>
      <c r="N1558" s="1639">
        <v>1.5230289527212413</v>
      </c>
      <c r="O1558" s="1639"/>
    </row>
    <row r="1559" spans="11:15">
      <c r="K1559" s="1636">
        <v>43616</v>
      </c>
      <c r="L1559" s="1637" t="s">
        <v>1650</v>
      </c>
      <c r="M1559" s="1638">
        <v>2.462E-2</v>
      </c>
      <c r="N1559" s="1639">
        <v>1.5234039224494014</v>
      </c>
      <c r="O1559" s="1639"/>
    </row>
    <row r="1560" spans="11:15">
      <c r="K1560" s="1636">
        <v>43617</v>
      </c>
      <c r="L1560" s="1637"/>
      <c r="M1560" s="1638">
        <v>0</v>
      </c>
      <c r="N1560" s="1639">
        <v>1.5234039224494014</v>
      </c>
      <c r="O1560" s="1639"/>
    </row>
    <row r="1561" spans="11:15">
      <c r="K1561" s="1636">
        <v>43618</v>
      </c>
      <c r="L1561" s="1637"/>
      <c r="M1561" s="1638">
        <v>0</v>
      </c>
      <c r="N1561" s="1639">
        <v>1.5234039224494014</v>
      </c>
      <c r="O1561" s="1639"/>
    </row>
    <row r="1562" spans="11:15">
      <c r="K1562" s="1636">
        <v>43619</v>
      </c>
      <c r="L1562" s="1637" t="s">
        <v>1650</v>
      </c>
      <c r="M1562" s="1638">
        <v>2.462E-2</v>
      </c>
      <c r="N1562" s="1639">
        <v>1.5237789844951086</v>
      </c>
      <c r="O1562" s="1639"/>
    </row>
    <row r="1563" spans="11:15">
      <c r="K1563" s="1636">
        <v>43620</v>
      </c>
      <c r="L1563" s="1637" t="s">
        <v>1650</v>
      </c>
      <c r="M1563" s="1638">
        <v>2.462E-2</v>
      </c>
      <c r="N1563" s="1639">
        <v>1.5241541388810915</v>
      </c>
      <c r="O1563" s="1639"/>
    </row>
    <row r="1564" spans="11:15">
      <c r="K1564" s="1636">
        <v>43621</v>
      </c>
      <c r="L1564" s="1637" t="s">
        <v>1650</v>
      </c>
      <c r="M1564" s="1638">
        <v>2.462E-2</v>
      </c>
      <c r="N1564" s="1639">
        <v>1.5245293856300841</v>
      </c>
      <c r="O1564" s="1639"/>
    </row>
    <row r="1565" spans="11:15">
      <c r="K1565" s="1636">
        <v>43622</v>
      </c>
      <c r="L1565" s="1637" t="s">
        <v>1650</v>
      </c>
      <c r="M1565" s="1638">
        <v>2.462E-2</v>
      </c>
      <c r="N1565" s="1639">
        <v>1.5249047247648264</v>
      </c>
      <c r="O1565" s="1639"/>
    </row>
    <row r="1566" spans="11:15">
      <c r="K1566" s="1636">
        <v>43623</v>
      </c>
      <c r="L1566" s="1637" t="s">
        <v>1650</v>
      </c>
      <c r="M1566" s="1638">
        <v>2.462E-2</v>
      </c>
      <c r="N1566" s="1639">
        <v>1.5252801563080636</v>
      </c>
      <c r="O1566" s="1639"/>
    </row>
    <row r="1567" spans="11:15">
      <c r="K1567" s="1636">
        <v>43624</v>
      </c>
      <c r="L1567" s="1637"/>
      <c r="M1567" s="1638">
        <v>0</v>
      </c>
      <c r="N1567" s="1639">
        <v>1.5252801563080636</v>
      </c>
      <c r="O1567" s="1639"/>
    </row>
    <row r="1568" spans="11:15">
      <c r="K1568" s="1636">
        <v>43625</v>
      </c>
      <c r="L1568" s="1637"/>
      <c r="M1568" s="1638">
        <v>0</v>
      </c>
      <c r="N1568" s="1639">
        <v>1.5252801563080636</v>
      </c>
      <c r="O1568" s="1639"/>
    </row>
    <row r="1569" spans="11:15">
      <c r="K1569" s="1636">
        <v>43626</v>
      </c>
      <c r="L1569" s="1637" t="s">
        <v>1650</v>
      </c>
      <c r="M1569" s="1638">
        <v>2.462E-2</v>
      </c>
      <c r="N1569" s="1639">
        <v>1.5256556802825467</v>
      </c>
      <c r="O1569" s="1639"/>
    </row>
    <row r="1570" spans="11:15">
      <c r="K1570" s="1636">
        <v>43627</v>
      </c>
      <c r="L1570" s="1637" t="s">
        <v>1650</v>
      </c>
      <c r="M1570" s="1638">
        <v>2.462E-2</v>
      </c>
      <c r="N1570" s="1639">
        <v>1.5260312967110323</v>
      </c>
      <c r="O1570" s="1639"/>
    </row>
    <row r="1571" spans="11:15">
      <c r="K1571" s="1636">
        <v>43628</v>
      </c>
      <c r="L1571" s="1637" t="s">
        <v>1650</v>
      </c>
      <c r="M1571" s="1638">
        <v>2.462E-2</v>
      </c>
      <c r="N1571" s="1639">
        <v>1.5264070056162826</v>
      </c>
      <c r="O1571" s="1639"/>
    </row>
    <row r="1572" spans="11:15">
      <c r="K1572" s="1636">
        <v>43629</v>
      </c>
      <c r="L1572" s="1637" t="s">
        <v>1650</v>
      </c>
      <c r="M1572" s="1638">
        <v>2.462E-2</v>
      </c>
      <c r="N1572" s="1639">
        <v>1.5267828070210654</v>
      </c>
      <c r="O1572" s="1639"/>
    </row>
    <row r="1573" spans="11:15">
      <c r="K1573" s="1636">
        <v>43630</v>
      </c>
      <c r="L1573" s="1637" t="s">
        <v>1650</v>
      </c>
      <c r="M1573" s="1638">
        <v>2.462E-2</v>
      </c>
      <c r="N1573" s="1639">
        <v>1.5271587009481542</v>
      </c>
      <c r="O1573" s="1639"/>
    </row>
    <row r="1574" spans="11:15">
      <c r="K1574" s="1636">
        <v>43631</v>
      </c>
      <c r="L1574" s="1637"/>
      <c r="M1574" s="1638">
        <v>0</v>
      </c>
      <c r="N1574" s="1639">
        <v>1.5271587009481542</v>
      </c>
      <c r="O1574" s="1639"/>
    </row>
    <row r="1575" spans="11:15">
      <c r="K1575" s="1636">
        <v>43632</v>
      </c>
      <c r="L1575" s="1637"/>
      <c r="M1575" s="1638">
        <v>0</v>
      </c>
      <c r="N1575" s="1639">
        <v>1.5271587009481542</v>
      </c>
      <c r="O1575" s="1639"/>
    </row>
    <row r="1576" spans="11:15">
      <c r="K1576" s="1636">
        <v>43633</v>
      </c>
      <c r="L1576" s="1637" t="s">
        <v>1650</v>
      </c>
      <c r="M1576" s="1638">
        <v>2.462E-2</v>
      </c>
      <c r="N1576" s="1639">
        <v>1.5275346874203277</v>
      </c>
      <c r="O1576" s="1639"/>
    </row>
    <row r="1577" spans="11:15">
      <c r="K1577" s="1636">
        <v>43634</v>
      </c>
      <c r="L1577" s="1637" t="s">
        <v>1650</v>
      </c>
      <c r="M1577" s="1638">
        <v>2.462E-2</v>
      </c>
      <c r="N1577" s="1639">
        <v>1.5279107664603708</v>
      </c>
      <c r="O1577" s="1639"/>
    </row>
    <row r="1578" spans="11:15">
      <c r="K1578" s="1636">
        <v>43635</v>
      </c>
      <c r="L1578" s="1637" t="s">
        <v>1650</v>
      </c>
      <c r="M1578" s="1638">
        <v>2.462E-2</v>
      </c>
      <c r="N1578" s="1639">
        <v>1.5282869380910735</v>
      </c>
      <c r="O1578" s="1639"/>
    </row>
    <row r="1579" spans="11:15">
      <c r="K1579" s="1636">
        <v>43636</v>
      </c>
      <c r="L1579" s="1637"/>
      <c r="M1579" s="1638">
        <v>0</v>
      </c>
      <c r="N1579" s="1639">
        <v>1.5282869380910735</v>
      </c>
      <c r="O1579" s="1639"/>
    </row>
    <row r="1580" spans="11:15">
      <c r="K1580" s="1636">
        <v>43637</v>
      </c>
      <c r="L1580" s="1637" t="s">
        <v>1650</v>
      </c>
      <c r="M1580" s="1638">
        <v>2.462E-2</v>
      </c>
      <c r="N1580" s="1639">
        <v>1.5286632023352316</v>
      </c>
      <c r="O1580" s="1639"/>
    </row>
    <row r="1581" spans="11:15">
      <c r="K1581" s="1636">
        <v>43638</v>
      </c>
      <c r="L1581" s="1637"/>
      <c r="M1581" s="1638">
        <v>0</v>
      </c>
      <c r="N1581" s="1639">
        <v>1.5286632023352316</v>
      </c>
      <c r="O1581" s="1639"/>
    </row>
    <row r="1582" spans="11:15">
      <c r="K1582" s="1636">
        <v>43639</v>
      </c>
      <c r="L1582" s="1637"/>
      <c r="M1582" s="1638">
        <v>0</v>
      </c>
      <c r="N1582" s="1639">
        <v>1.5286632023352316</v>
      </c>
      <c r="O1582" s="1639"/>
    </row>
    <row r="1583" spans="11:15">
      <c r="K1583" s="1636">
        <v>43640</v>
      </c>
      <c r="L1583" s="1637" t="s">
        <v>1650</v>
      </c>
      <c r="M1583" s="1638">
        <v>2.462E-2</v>
      </c>
      <c r="N1583" s="1639">
        <v>1.5290395592156467</v>
      </c>
      <c r="O1583" s="1639"/>
    </row>
    <row r="1584" spans="11:15">
      <c r="K1584" s="1636">
        <v>43641</v>
      </c>
      <c r="L1584" s="1637" t="s">
        <v>1650</v>
      </c>
      <c r="M1584" s="1638">
        <v>2.462E-2</v>
      </c>
      <c r="N1584" s="1639">
        <v>1.5294160087551258</v>
      </c>
      <c r="O1584" s="1639"/>
    </row>
    <row r="1585" spans="11:15">
      <c r="K1585" s="1636">
        <v>43642</v>
      </c>
      <c r="L1585" s="1637" t="s">
        <v>1650</v>
      </c>
      <c r="M1585" s="1638">
        <v>2.462E-2</v>
      </c>
      <c r="N1585" s="1639">
        <v>1.5297925509764816</v>
      </c>
      <c r="O1585" s="1639"/>
    </row>
    <row r="1586" spans="11:15">
      <c r="K1586" s="1636">
        <v>43643</v>
      </c>
      <c r="L1586" s="1637" t="s">
        <v>1650</v>
      </c>
      <c r="M1586" s="1638">
        <v>2.462E-2</v>
      </c>
      <c r="N1586" s="1639">
        <v>1.5301691859025321</v>
      </c>
      <c r="O1586" s="1639"/>
    </row>
    <row r="1587" spans="11:15">
      <c r="K1587" s="1636">
        <v>43644</v>
      </c>
      <c r="L1587" s="1637" t="s">
        <v>1650</v>
      </c>
      <c r="M1587" s="1638">
        <v>2.462E-2</v>
      </c>
      <c r="N1587" s="1639">
        <v>1.5305459135561015</v>
      </c>
      <c r="O1587" s="1639"/>
    </row>
    <row r="1588" spans="11:15">
      <c r="K1588" s="1636">
        <v>43645</v>
      </c>
      <c r="L1588" s="1637"/>
      <c r="M1588" s="1638">
        <v>0</v>
      </c>
      <c r="N1588" s="1639">
        <v>1.5305459135561015</v>
      </c>
      <c r="O1588" s="1639"/>
    </row>
    <row r="1589" spans="11:15">
      <c r="K1589" s="1636">
        <v>43646</v>
      </c>
      <c r="L1589" s="1637"/>
      <c r="M1589" s="1638">
        <v>0</v>
      </c>
      <c r="N1589" s="1639">
        <v>1.5305459135561015</v>
      </c>
      <c r="O1589" s="1639"/>
    </row>
    <row r="1590" spans="11:15">
      <c r="K1590" s="1636">
        <v>43647</v>
      </c>
      <c r="L1590" s="1637" t="s">
        <v>1650</v>
      </c>
      <c r="M1590" s="1638">
        <v>2.462E-2</v>
      </c>
      <c r="N1590" s="1639">
        <v>1.5309227339600191</v>
      </c>
      <c r="O1590" s="1639"/>
    </row>
    <row r="1591" spans="11:15">
      <c r="K1591" s="1636">
        <v>43648</v>
      </c>
      <c r="L1591" s="1637" t="s">
        <v>1650</v>
      </c>
      <c r="M1591" s="1638">
        <v>2.462E-2</v>
      </c>
      <c r="N1591" s="1639">
        <v>1.5312996471371201</v>
      </c>
      <c r="O1591" s="1639"/>
    </row>
    <row r="1592" spans="11:15">
      <c r="K1592" s="1636">
        <v>43649</v>
      </c>
      <c r="L1592" s="1637" t="s">
        <v>1650</v>
      </c>
      <c r="M1592" s="1638">
        <v>2.462E-2</v>
      </c>
      <c r="N1592" s="1639">
        <v>1.5316766531102455</v>
      </c>
      <c r="O1592" s="1639"/>
    </row>
    <row r="1593" spans="11:15">
      <c r="K1593" s="1636">
        <v>43650</v>
      </c>
      <c r="L1593" s="1637" t="s">
        <v>1650</v>
      </c>
      <c r="M1593" s="1638">
        <v>2.462E-2</v>
      </c>
      <c r="N1593" s="1639">
        <v>1.5320537519022412</v>
      </c>
      <c r="O1593" s="1639"/>
    </row>
    <row r="1594" spans="11:15">
      <c r="K1594" s="1636">
        <v>43651</v>
      </c>
      <c r="L1594" s="1637" t="s">
        <v>1650</v>
      </c>
      <c r="M1594" s="1638">
        <v>2.462E-2</v>
      </c>
      <c r="N1594" s="1639">
        <v>1.5324309435359598</v>
      </c>
      <c r="O1594" s="1639"/>
    </row>
    <row r="1595" spans="11:15">
      <c r="K1595" s="1636">
        <v>43652</v>
      </c>
      <c r="L1595" s="1637"/>
      <c r="M1595" s="1638">
        <v>0</v>
      </c>
      <c r="N1595" s="1639">
        <v>1.5324309435359598</v>
      </c>
      <c r="O1595" s="1639"/>
    </row>
    <row r="1596" spans="11:15">
      <c r="K1596" s="1636">
        <v>43653</v>
      </c>
      <c r="L1596" s="1637"/>
      <c r="M1596" s="1638">
        <v>0</v>
      </c>
      <c r="N1596" s="1639">
        <v>1.5324309435359598</v>
      </c>
      <c r="O1596" s="1639"/>
    </row>
    <row r="1597" spans="11:15">
      <c r="K1597" s="1636">
        <v>43654</v>
      </c>
      <c r="L1597" s="1637" t="s">
        <v>1650</v>
      </c>
      <c r="M1597" s="1638">
        <v>2.462E-2</v>
      </c>
      <c r="N1597" s="1639">
        <v>1.5328082280342585</v>
      </c>
      <c r="O1597" s="1639"/>
    </row>
    <row r="1598" spans="11:15">
      <c r="K1598" s="1636">
        <v>43655</v>
      </c>
      <c r="L1598" s="1637" t="s">
        <v>1650</v>
      </c>
      <c r="M1598" s="1638">
        <v>2.462E-2</v>
      </c>
      <c r="N1598" s="1639">
        <v>1.5331856054200006</v>
      </c>
      <c r="O1598" s="1639"/>
    </row>
    <row r="1599" spans="11:15">
      <c r="K1599" s="1636">
        <v>43656</v>
      </c>
      <c r="L1599" s="1637" t="s">
        <v>1650</v>
      </c>
      <c r="M1599" s="1638">
        <v>2.462E-2</v>
      </c>
      <c r="N1599" s="1639">
        <v>1.5335630757160552</v>
      </c>
      <c r="O1599" s="1639"/>
    </row>
    <row r="1600" spans="11:15">
      <c r="K1600" s="1636">
        <v>43657</v>
      </c>
      <c r="L1600" s="1637" t="s">
        <v>1650</v>
      </c>
      <c r="M1600" s="1638">
        <v>2.462E-2</v>
      </c>
      <c r="N1600" s="1639">
        <v>1.5339406389452965</v>
      </c>
      <c r="O1600" s="1639"/>
    </row>
    <row r="1601" spans="11:15">
      <c r="K1601" s="1636">
        <v>43658</v>
      </c>
      <c r="L1601" s="1637" t="s">
        <v>1650</v>
      </c>
      <c r="M1601" s="1638">
        <v>2.462E-2</v>
      </c>
      <c r="N1601" s="1639">
        <v>1.5343182951306049</v>
      </c>
      <c r="O1601" s="1639"/>
    </row>
    <row r="1602" spans="11:15">
      <c r="K1602" s="1636">
        <v>43659</v>
      </c>
      <c r="L1602" s="1637"/>
      <c r="M1602" s="1638">
        <v>0</v>
      </c>
      <c r="N1602" s="1639">
        <v>1.5343182951306049</v>
      </c>
      <c r="O1602" s="1639"/>
    </row>
    <row r="1603" spans="11:15">
      <c r="K1603" s="1636">
        <v>43660</v>
      </c>
      <c r="L1603" s="1637"/>
      <c r="M1603" s="1638">
        <v>0</v>
      </c>
      <c r="N1603" s="1639">
        <v>1.5343182951306049</v>
      </c>
      <c r="O1603" s="1639"/>
    </row>
    <row r="1604" spans="11:15">
      <c r="K1604" s="1636">
        <v>43661</v>
      </c>
      <c r="L1604" s="1637" t="s">
        <v>1650</v>
      </c>
      <c r="M1604" s="1638">
        <v>2.462E-2</v>
      </c>
      <c r="N1604" s="1639">
        <v>1.5346960442948663</v>
      </c>
      <c r="O1604" s="1639"/>
    </row>
    <row r="1605" spans="11:15">
      <c r="K1605" s="1636">
        <v>43662</v>
      </c>
      <c r="L1605" s="1637" t="s">
        <v>1650</v>
      </c>
      <c r="M1605" s="1638">
        <v>2.462E-2</v>
      </c>
      <c r="N1605" s="1639">
        <v>1.5350738864609719</v>
      </c>
      <c r="O1605" s="1639"/>
    </row>
    <row r="1606" spans="11:15">
      <c r="K1606" s="1636">
        <v>43663</v>
      </c>
      <c r="L1606" s="1637" t="s">
        <v>1650</v>
      </c>
      <c r="M1606" s="1638">
        <v>2.462E-2</v>
      </c>
      <c r="N1606" s="1639">
        <v>1.5354518216518187</v>
      </c>
      <c r="O1606" s="1639"/>
    </row>
    <row r="1607" spans="11:15">
      <c r="K1607" s="1636">
        <v>43664</v>
      </c>
      <c r="L1607" s="1637" t="s">
        <v>1650</v>
      </c>
      <c r="M1607" s="1638">
        <v>2.462E-2</v>
      </c>
      <c r="N1607" s="1639">
        <v>1.5358298498903096</v>
      </c>
      <c r="O1607" s="1639"/>
    </row>
    <row r="1608" spans="11:15">
      <c r="K1608" s="1636">
        <v>43665</v>
      </c>
      <c r="L1608" s="1637" t="s">
        <v>1650</v>
      </c>
      <c r="M1608" s="1638">
        <v>2.462E-2</v>
      </c>
      <c r="N1608" s="1639">
        <v>1.5362079711993526</v>
      </c>
      <c r="O1608" s="1639"/>
    </row>
    <row r="1609" spans="11:15">
      <c r="K1609" s="1636">
        <v>43666</v>
      </c>
      <c r="L1609" s="1637"/>
      <c r="M1609" s="1638">
        <v>0</v>
      </c>
      <c r="N1609" s="1639">
        <v>1.5362079711993526</v>
      </c>
      <c r="O1609" s="1639"/>
    </row>
    <row r="1610" spans="11:15">
      <c r="K1610" s="1636">
        <v>43667</v>
      </c>
      <c r="L1610" s="1637"/>
      <c r="M1610" s="1638">
        <v>0</v>
      </c>
      <c r="N1610" s="1639">
        <v>1.5362079711993526</v>
      </c>
      <c r="O1610" s="1639"/>
    </row>
    <row r="1611" spans="11:15">
      <c r="K1611" s="1636">
        <v>43668</v>
      </c>
      <c r="L1611" s="1637" t="s">
        <v>1650</v>
      </c>
      <c r="M1611" s="1638">
        <v>2.462E-2</v>
      </c>
      <c r="N1611" s="1639">
        <v>1.5365861856018621</v>
      </c>
      <c r="O1611" s="1639"/>
    </row>
    <row r="1612" spans="11:15">
      <c r="K1612" s="1636">
        <v>43669</v>
      </c>
      <c r="L1612" s="1637" t="s">
        <v>1650</v>
      </c>
      <c r="M1612" s="1638">
        <v>2.462E-2</v>
      </c>
      <c r="N1612" s="1639">
        <v>1.5369644931207573</v>
      </c>
      <c r="O1612" s="1639"/>
    </row>
    <row r="1613" spans="11:15">
      <c r="K1613" s="1636">
        <v>43670</v>
      </c>
      <c r="L1613" s="1637" t="s">
        <v>1650</v>
      </c>
      <c r="M1613" s="1638">
        <v>2.462E-2</v>
      </c>
      <c r="N1613" s="1639">
        <v>1.5373428937789637</v>
      </c>
      <c r="O1613" s="1639"/>
    </row>
    <row r="1614" spans="11:15">
      <c r="K1614" s="1636">
        <v>43671</v>
      </c>
      <c r="L1614" s="1637" t="s">
        <v>1650</v>
      </c>
      <c r="M1614" s="1638">
        <v>2.462E-2</v>
      </c>
      <c r="N1614" s="1639">
        <v>1.5377213875994122</v>
      </c>
      <c r="O1614" s="1639"/>
    </row>
    <row r="1615" spans="11:15">
      <c r="K1615" s="1636">
        <v>43672</v>
      </c>
      <c r="L1615" s="1637" t="s">
        <v>1650</v>
      </c>
      <c r="M1615" s="1638">
        <v>2.462E-2</v>
      </c>
      <c r="N1615" s="1639">
        <v>1.5380999746050394</v>
      </c>
      <c r="O1615" s="1639"/>
    </row>
    <row r="1616" spans="11:15">
      <c r="K1616" s="1636">
        <v>43673</v>
      </c>
      <c r="L1616" s="1637"/>
      <c r="M1616" s="1638">
        <v>0</v>
      </c>
      <c r="N1616" s="1639">
        <v>1.5380999746050394</v>
      </c>
      <c r="O1616" s="1639"/>
    </row>
    <row r="1617" spans="11:15">
      <c r="K1617" s="1636">
        <v>43674</v>
      </c>
      <c r="L1617" s="1637"/>
      <c r="M1617" s="1638">
        <v>0</v>
      </c>
      <c r="N1617" s="1639">
        <v>1.5380999746050394</v>
      </c>
      <c r="O1617" s="1639"/>
    </row>
    <row r="1618" spans="11:15">
      <c r="K1618" s="1636">
        <v>43675</v>
      </c>
      <c r="L1618" s="1637" t="s">
        <v>1650</v>
      </c>
      <c r="M1618" s="1638">
        <v>2.462E-2</v>
      </c>
      <c r="N1618" s="1639">
        <v>1.5384786548187874</v>
      </c>
      <c r="O1618" s="1639"/>
    </row>
    <row r="1619" spans="11:15">
      <c r="K1619" s="1636">
        <v>43676</v>
      </c>
      <c r="L1619" s="1637" t="s">
        <v>1650</v>
      </c>
      <c r="M1619" s="1638">
        <v>2.462E-2</v>
      </c>
      <c r="N1619" s="1639">
        <v>1.5388574282636041</v>
      </c>
      <c r="O1619" s="1639"/>
    </row>
    <row r="1620" spans="11:15">
      <c r="K1620" s="1636">
        <v>43677</v>
      </c>
      <c r="L1620" s="1637" t="s">
        <v>1650</v>
      </c>
      <c r="M1620" s="1638">
        <v>2.462E-2</v>
      </c>
      <c r="N1620" s="1639">
        <v>1.5392362949624427</v>
      </c>
      <c r="O1620" s="1639"/>
    </row>
    <row r="1621" spans="11:15">
      <c r="K1621" s="1636">
        <v>43678</v>
      </c>
      <c r="L1621" s="1637" t="s">
        <v>1650</v>
      </c>
      <c r="M1621" s="1638">
        <v>2.2751E-2</v>
      </c>
      <c r="N1621" s="1639">
        <v>1.5395864866119096</v>
      </c>
      <c r="O1621" s="1639"/>
    </row>
    <row r="1622" spans="11:15">
      <c r="K1622" s="1636">
        <v>43679</v>
      </c>
      <c r="L1622" s="1637" t="s">
        <v>1650</v>
      </c>
      <c r="M1622" s="1638">
        <v>2.2751E-2</v>
      </c>
      <c r="N1622" s="1639">
        <v>1.5399367579334786</v>
      </c>
      <c r="O1622" s="1639"/>
    </row>
    <row r="1623" spans="11:15">
      <c r="K1623" s="1636">
        <v>43680</v>
      </c>
      <c r="L1623" s="1637"/>
      <c r="M1623" s="1638">
        <v>0</v>
      </c>
      <c r="N1623" s="1639">
        <v>1.5399367579334786</v>
      </c>
      <c r="O1623" s="1639"/>
    </row>
    <row r="1624" spans="11:15">
      <c r="K1624" s="1636">
        <v>43681</v>
      </c>
      <c r="L1624" s="1637"/>
      <c r="M1624" s="1638">
        <v>0</v>
      </c>
      <c r="N1624" s="1639">
        <v>1.5399367579334786</v>
      </c>
      <c r="O1624" s="1639"/>
    </row>
    <row r="1625" spans="11:15">
      <c r="K1625" s="1636">
        <v>43682</v>
      </c>
      <c r="L1625" s="1637" t="s">
        <v>1650</v>
      </c>
      <c r="M1625" s="1638">
        <v>2.2751E-2</v>
      </c>
      <c r="N1625" s="1639">
        <v>1.5402871089452761</v>
      </c>
      <c r="O1625" s="1639"/>
    </row>
    <row r="1626" spans="11:15">
      <c r="K1626" s="1636">
        <v>43683</v>
      </c>
      <c r="L1626" s="1637" t="s">
        <v>1650</v>
      </c>
      <c r="M1626" s="1638">
        <v>2.2751E-2</v>
      </c>
      <c r="N1626" s="1639">
        <v>1.5406375396654322</v>
      </c>
      <c r="O1626" s="1639"/>
    </row>
    <row r="1627" spans="11:15">
      <c r="K1627" s="1636">
        <v>43684</v>
      </c>
      <c r="L1627" s="1637" t="s">
        <v>1650</v>
      </c>
      <c r="M1627" s="1638">
        <v>2.2751E-2</v>
      </c>
      <c r="N1627" s="1639">
        <v>1.5409880501120814</v>
      </c>
      <c r="O1627" s="1639"/>
    </row>
    <row r="1628" spans="11:15">
      <c r="K1628" s="1636">
        <v>43685</v>
      </c>
      <c r="L1628" s="1637" t="s">
        <v>1650</v>
      </c>
      <c r="M1628" s="1638">
        <v>2.2751E-2</v>
      </c>
      <c r="N1628" s="1639">
        <v>1.5413386403033624</v>
      </c>
      <c r="O1628" s="1639"/>
    </row>
    <row r="1629" spans="11:15">
      <c r="K1629" s="1636">
        <v>43686</v>
      </c>
      <c r="L1629" s="1637" t="s">
        <v>1650</v>
      </c>
      <c r="M1629" s="1638">
        <v>2.2751E-2</v>
      </c>
      <c r="N1629" s="1639">
        <v>1.5416893102574178</v>
      </c>
      <c r="O1629" s="1639"/>
    </row>
    <row r="1630" spans="11:15">
      <c r="K1630" s="1636">
        <v>43687</v>
      </c>
      <c r="L1630" s="1637"/>
      <c r="M1630" s="1638">
        <v>0</v>
      </c>
      <c r="N1630" s="1639">
        <v>1.5416893102574178</v>
      </c>
      <c r="O1630" s="1639"/>
    </row>
    <row r="1631" spans="11:15">
      <c r="K1631" s="1636">
        <v>43688</v>
      </c>
      <c r="L1631" s="1637"/>
      <c r="M1631" s="1638">
        <v>0</v>
      </c>
      <c r="N1631" s="1639">
        <v>1.5416893102574178</v>
      </c>
      <c r="O1631" s="1639"/>
    </row>
    <row r="1632" spans="11:15">
      <c r="K1632" s="1636">
        <v>43689</v>
      </c>
      <c r="L1632" s="1637" t="s">
        <v>1650</v>
      </c>
      <c r="M1632" s="1638">
        <v>2.2751E-2</v>
      </c>
      <c r="N1632" s="1639">
        <v>1.5420400599923945</v>
      </c>
      <c r="O1632" s="1639"/>
    </row>
    <row r="1633" spans="11:15">
      <c r="K1633" s="1636">
        <v>43690</v>
      </c>
      <c r="L1633" s="1637" t="s">
        <v>1650</v>
      </c>
      <c r="M1633" s="1638">
        <v>2.2751E-2</v>
      </c>
      <c r="N1633" s="1639">
        <v>1.5423908895264433</v>
      </c>
      <c r="O1633" s="1639"/>
    </row>
    <row r="1634" spans="11:15">
      <c r="K1634" s="1636">
        <v>43691</v>
      </c>
      <c r="L1634" s="1637" t="s">
        <v>1650</v>
      </c>
      <c r="M1634" s="1638">
        <v>2.2751E-2</v>
      </c>
      <c r="N1634" s="1639">
        <v>1.5427417988777195</v>
      </c>
      <c r="O1634" s="1639"/>
    </row>
    <row r="1635" spans="11:15">
      <c r="K1635" s="1636">
        <v>43692</v>
      </c>
      <c r="L1635" s="1637" t="s">
        <v>1650</v>
      </c>
      <c r="M1635" s="1638">
        <v>2.2751E-2</v>
      </c>
      <c r="N1635" s="1639">
        <v>1.5430927880643821</v>
      </c>
      <c r="O1635" s="1639"/>
    </row>
    <row r="1636" spans="11:15">
      <c r="K1636" s="1636">
        <v>43693</v>
      </c>
      <c r="L1636" s="1637" t="s">
        <v>1650</v>
      </c>
      <c r="M1636" s="1638">
        <v>2.2751E-2</v>
      </c>
      <c r="N1636" s="1639">
        <v>1.5434438571045945</v>
      </c>
      <c r="O1636" s="1639"/>
    </row>
    <row r="1637" spans="11:15">
      <c r="K1637" s="1636">
        <v>43694</v>
      </c>
      <c r="L1637" s="1637"/>
      <c r="M1637" s="1638">
        <v>0</v>
      </c>
      <c r="N1637" s="1639">
        <v>1.5434438571045945</v>
      </c>
      <c r="O1637" s="1639"/>
    </row>
    <row r="1638" spans="11:15">
      <c r="K1638" s="1636">
        <v>43695</v>
      </c>
      <c r="L1638" s="1637"/>
      <c r="M1638" s="1638">
        <v>0</v>
      </c>
      <c r="N1638" s="1639">
        <v>1.5434438571045945</v>
      </c>
      <c r="O1638" s="1639"/>
    </row>
    <row r="1639" spans="11:15">
      <c r="K1639" s="1636">
        <v>43696</v>
      </c>
      <c r="L1639" s="1637" t="s">
        <v>1650</v>
      </c>
      <c r="M1639" s="1638">
        <v>2.2751E-2</v>
      </c>
      <c r="N1639" s="1639">
        <v>1.5437950060165244</v>
      </c>
      <c r="O1639" s="1639"/>
    </row>
    <row r="1640" spans="11:15">
      <c r="K1640" s="1636">
        <v>43697</v>
      </c>
      <c r="L1640" s="1637" t="s">
        <v>1650</v>
      </c>
      <c r="M1640" s="1638">
        <v>2.2751E-2</v>
      </c>
      <c r="N1640" s="1639">
        <v>1.5441462348183432</v>
      </c>
      <c r="O1640" s="1639"/>
    </row>
    <row r="1641" spans="11:15">
      <c r="K1641" s="1636">
        <v>43698</v>
      </c>
      <c r="L1641" s="1637" t="s">
        <v>1650</v>
      </c>
      <c r="M1641" s="1638">
        <v>2.2751E-2</v>
      </c>
      <c r="N1641" s="1639">
        <v>1.5444975435282267</v>
      </c>
      <c r="O1641" s="1639"/>
    </row>
    <row r="1642" spans="11:15">
      <c r="K1642" s="1636">
        <v>43699</v>
      </c>
      <c r="L1642" s="1637" t="s">
        <v>1650</v>
      </c>
      <c r="M1642" s="1638">
        <v>2.2751E-2</v>
      </c>
      <c r="N1642" s="1639">
        <v>1.5448489321643548</v>
      </c>
      <c r="O1642" s="1639"/>
    </row>
    <row r="1643" spans="11:15">
      <c r="K1643" s="1636">
        <v>43700</v>
      </c>
      <c r="L1643" s="1637" t="s">
        <v>1650</v>
      </c>
      <c r="M1643" s="1638">
        <v>2.2751E-2</v>
      </c>
      <c r="N1643" s="1639">
        <v>1.5452004007449116</v>
      </c>
      <c r="O1643" s="1639"/>
    </row>
    <row r="1644" spans="11:15">
      <c r="K1644" s="1636">
        <v>43701</v>
      </c>
      <c r="L1644" s="1637"/>
      <c r="M1644" s="1638">
        <v>0</v>
      </c>
      <c r="N1644" s="1639">
        <v>1.5452004007449116</v>
      </c>
      <c r="O1644" s="1639"/>
    </row>
    <row r="1645" spans="11:15">
      <c r="K1645" s="1636">
        <v>43702</v>
      </c>
      <c r="L1645" s="1637"/>
      <c r="M1645" s="1638">
        <v>0</v>
      </c>
      <c r="N1645" s="1639">
        <v>1.5452004007449116</v>
      </c>
      <c r="O1645" s="1639"/>
    </row>
    <row r="1646" spans="11:15">
      <c r="K1646" s="1636">
        <v>43703</v>
      </c>
      <c r="L1646" s="1637" t="s">
        <v>1650</v>
      </c>
      <c r="M1646" s="1638">
        <v>2.2751E-2</v>
      </c>
      <c r="N1646" s="1639">
        <v>1.5455519492880851</v>
      </c>
      <c r="O1646" s="1639"/>
    </row>
    <row r="1647" spans="11:15">
      <c r="K1647" s="1636">
        <v>43704</v>
      </c>
      <c r="L1647" s="1637" t="s">
        <v>1650</v>
      </c>
      <c r="M1647" s="1638">
        <v>2.2751E-2</v>
      </c>
      <c r="N1647" s="1639">
        <v>1.5459035778120676</v>
      </c>
      <c r="O1647" s="1639"/>
    </row>
    <row r="1648" spans="11:15">
      <c r="K1648" s="1636">
        <v>43705</v>
      </c>
      <c r="L1648" s="1637" t="s">
        <v>1650</v>
      </c>
      <c r="M1648" s="1638">
        <v>2.2751E-2</v>
      </c>
      <c r="N1648" s="1639">
        <v>1.5462552863350556</v>
      </c>
      <c r="O1648" s="1639"/>
    </row>
    <row r="1649" spans="11:15">
      <c r="K1649" s="1636">
        <v>43706</v>
      </c>
      <c r="L1649" s="1637" t="s">
        <v>1650</v>
      </c>
      <c r="M1649" s="1638">
        <v>2.2751E-2</v>
      </c>
      <c r="N1649" s="1639">
        <v>1.5466070748752496</v>
      </c>
      <c r="O1649" s="1639"/>
    </row>
    <row r="1650" spans="11:15">
      <c r="K1650" s="1636">
        <v>43707</v>
      </c>
      <c r="L1650" s="1637" t="s">
        <v>1650</v>
      </c>
      <c r="M1650" s="1638">
        <v>2.2751E-2</v>
      </c>
      <c r="N1650" s="1639">
        <v>1.5469589434508544</v>
      </c>
      <c r="O1650" s="1639"/>
    </row>
    <row r="1651" spans="11:15">
      <c r="K1651" s="1636">
        <v>43708</v>
      </c>
      <c r="L1651" s="1637"/>
      <c r="M1651" s="1638">
        <v>0</v>
      </c>
      <c r="N1651" s="1639">
        <v>1.5469589434508544</v>
      </c>
      <c r="O1651" s="1639"/>
    </row>
    <row r="1652" spans="11:15">
      <c r="K1652" s="1636">
        <v>43709</v>
      </c>
      <c r="L1652" s="1637"/>
      <c r="M1652" s="1638">
        <v>0</v>
      </c>
      <c r="N1652" s="1639">
        <v>1.5469589434508544</v>
      </c>
      <c r="O1652" s="1639"/>
    </row>
    <row r="1653" spans="11:15">
      <c r="K1653" s="1636">
        <v>43710</v>
      </c>
      <c r="L1653" s="1637" t="s">
        <v>1650</v>
      </c>
      <c r="M1653" s="1638">
        <v>2.2751E-2</v>
      </c>
      <c r="N1653" s="1639">
        <v>1.5473108920800789</v>
      </c>
      <c r="O1653" s="1639"/>
    </row>
    <row r="1654" spans="11:15">
      <c r="K1654" s="1636">
        <v>43711</v>
      </c>
      <c r="L1654" s="1637" t="s">
        <v>1650</v>
      </c>
      <c r="M1654" s="1638">
        <v>2.2751E-2</v>
      </c>
      <c r="N1654" s="1639">
        <v>1.5476629207811361</v>
      </c>
      <c r="O1654" s="1639"/>
    </row>
    <row r="1655" spans="11:15">
      <c r="K1655" s="1636">
        <v>43712</v>
      </c>
      <c r="L1655" s="1637" t="s">
        <v>1650</v>
      </c>
      <c r="M1655" s="1638">
        <v>2.2751E-2</v>
      </c>
      <c r="N1655" s="1639">
        <v>1.548015029572243</v>
      </c>
      <c r="O1655" s="1639"/>
    </row>
    <row r="1656" spans="11:15">
      <c r="K1656" s="1636">
        <v>43713</v>
      </c>
      <c r="L1656" s="1637" t="s">
        <v>1650</v>
      </c>
      <c r="M1656" s="1638">
        <v>2.2751E-2</v>
      </c>
      <c r="N1656" s="1639">
        <v>1.5483672184716211</v>
      </c>
      <c r="O1656" s="1639"/>
    </row>
    <row r="1657" spans="11:15">
      <c r="K1657" s="1636">
        <v>43714</v>
      </c>
      <c r="L1657" s="1637" t="s">
        <v>1650</v>
      </c>
      <c r="M1657" s="1638">
        <v>2.2751E-2</v>
      </c>
      <c r="N1657" s="1639">
        <v>1.5487194874974954</v>
      </c>
      <c r="O1657" s="1639"/>
    </row>
    <row r="1658" spans="11:15">
      <c r="K1658" s="1636">
        <v>43715</v>
      </c>
      <c r="L1658" s="1637"/>
      <c r="M1658" s="1638">
        <v>0</v>
      </c>
      <c r="N1658" s="1639">
        <v>1.5487194874974954</v>
      </c>
      <c r="O1658" s="1639"/>
    </row>
    <row r="1659" spans="11:15">
      <c r="K1659" s="1636">
        <v>43716</v>
      </c>
      <c r="L1659" s="1637"/>
      <c r="M1659" s="1638">
        <v>0</v>
      </c>
      <c r="N1659" s="1639">
        <v>1.5487194874974954</v>
      </c>
      <c r="O1659" s="1639"/>
    </row>
    <row r="1660" spans="11:15">
      <c r="K1660" s="1636">
        <v>43717</v>
      </c>
      <c r="L1660" s="1637" t="s">
        <v>1650</v>
      </c>
      <c r="M1660" s="1638">
        <v>2.2751E-2</v>
      </c>
      <c r="N1660" s="1639">
        <v>1.549071836668096</v>
      </c>
      <c r="O1660" s="1639"/>
    </row>
    <row r="1661" spans="11:15">
      <c r="K1661" s="1636">
        <v>43718</v>
      </c>
      <c r="L1661" s="1637" t="s">
        <v>1650</v>
      </c>
      <c r="M1661" s="1638">
        <v>2.2751E-2</v>
      </c>
      <c r="N1661" s="1639">
        <v>1.5494242660016564</v>
      </c>
      <c r="O1661" s="1639"/>
    </row>
    <row r="1662" spans="11:15">
      <c r="K1662" s="1636">
        <v>43719</v>
      </c>
      <c r="L1662" s="1637" t="s">
        <v>1650</v>
      </c>
      <c r="M1662" s="1638">
        <v>2.2751E-2</v>
      </c>
      <c r="N1662" s="1639">
        <v>1.5497767755164145</v>
      </c>
      <c r="O1662" s="1639"/>
    </row>
    <row r="1663" spans="11:15">
      <c r="K1663" s="1636">
        <v>43720</v>
      </c>
      <c r="L1663" s="1637" t="s">
        <v>1650</v>
      </c>
      <c r="M1663" s="1638">
        <v>2.2751E-2</v>
      </c>
      <c r="N1663" s="1639">
        <v>1.5501293652306123</v>
      </c>
      <c r="O1663" s="1639"/>
    </row>
    <row r="1664" spans="11:15">
      <c r="K1664" s="1636">
        <v>43721</v>
      </c>
      <c r="L1664" s="1637" t="s">
        <v>1650</v>
      </c>
      <c r="M1664" s="1638">
        <v>2.2751E-2</v>
      </c>
      <c r="N1664" s="1639">
        <v>1.5504820351624959</v>
      </c>
      <c r="O1664" s="1639"/>
    </row>
    <row r="1665" spans="11:15">
      <c r="K1665" s="1636">
        <v>43722</v>
      </c>
      <c r="L1665" s="1637"/>
      <c r="M1665" s="1638">
        <v>0</v>
      </c>
      <c r="N1665" s="1639">
        <v>1.5504820351624959</v>
      </c>
      <c r="O1665" s="1639"/>
    </row>
    <row r="1666" spans="11:15">
      <c r="K1666" s="1636">
        <v>43723</v>
      </c>
      <c r="L1666" s="1637"/>
      <c r="M1666" s="1638">
        <v>0</v>
      </c>
      <c r="N1666" s="1639">
        <v>1.5504820351624959</v>
      </c>
      <c r="O1666" s="1639"/>
    </row>
    <row r="1667" spans="11:15">
      <c r="K1667" s="1636">
        <v>43724</v>
      </c>
      <c r="L1667" s="1637" t="s">
        <v>1650</v>
      </c>
      <c r="M1667" s="1638">
        <v>2.2751E-2</v>
      </c>
      <c r="N1667" s="1639">
        <v>1.5508347853303157</v>
      </c>
      <c r="O1667" s="1639"/>
    </row>
    <row r="1668" spans="11:15">
      <c r="K1668" s="1636">
        <v>43725</v>
      </c>
      <c r="L1668" s="1637" t="s">
        <v>1650</v>
      </c>
      <c r="M1668" s="1638">
        <v>2.2751E-2</v>
      </c>
      <c r="N1668" s="1639">
        <v>1.5511876157523261</v>
      </c>
      <c r="O1668" s="1639"/>
    </row>
    <row r="1669" spans="11:15">
      <c r="K1669" s="1636">
        <v>43726</v>
      </c>
      <c r="L1669" s="1637" t="s">
        <v>1650</v>
      </c>
      <c r="M1669" s="1638">
        <v>2.2751E-2</v>
      </c>
      <c r="N1669" s="1639">
        <v>1.5515405264467859</v>
      </c>
      <c r="O1669" s="1639"/>
    </row>
    <row r="1670" spans="11:15">
      <c r="K1670" s="1636">
        <v>43727</v>
      </c>
      <c r="L1670" s="1637" t="s">
        <v>1650</v>
      </c>
      <c r="M1670" s="1638">
        <v>2.0872000000000002E-2</v>
      </c>
      <c r="N1670" s="1639">
        <v>1.5518643639854659</v>
      </c>
      <c r="O1670" s="1639"/>
    </row>
    <row r="1671" spans="11:15">
      <c r="K1671" s="1636">
        <v>43728</v>
      </c>
      <c r="L1671" s="1637" t="s">
        <v>1650</v>
      </c>
      <c r="M1671" s="1638">
        <v>2.0872000000000002E-2</v>
      </c>
      <c r="N1671" s="1639">
        <v>1.5521882691155171</v>
      </c>
      <c r="O1671" s="1639"/>
    </row>
    <row r="1672" spans="11:15">
      <c r="K1672" s="1636">
        <v>43729</v>
      </c>
      <c r="L1672" s="1637"/>
      <c r="M1672" s="1638">
        <v>0</v>
      </c>
      <c r="N1672" s="1639">
        <v>1.5521882691155171</v>
      </c>
      <c r="O1672" s="1639"/>
    </row>
    <row r="1673" spans="11:15">
      <c r="K1673" s="1636">
        <v>43730</v>
      </c>
      <c r="L1673" s="1637"/>
      <c r="M1673" s="1638">
        <v>0</v>
      </c>
      <c r="N1673" s="1639">
        <v>1.5521882691155171</v>
      </c>
      <c r="O1673" s="1639"/>
    </row>
    <row r="1674" spans="11:15">
      <c r="K1674" s="1636">
        <v>43731</v>
      </c>
      <c r="L1674" s="1637" t="s">
        <v>1650</v>
      </c>
      <c r="M1674" s="1638">
        <v>2.0872000000000002E-2</v>
      </c>
      <c r="N1674" s="1639">
        <v>1.5525122418510471</v>
      </c>
      <c r="O1674" s="1639"/>
    </row>
    <row r="1675" spans="11:15">
      <c r="K1675" s="1636">
        <v>43732</v>
      </c>
      <c r="L1675" s="1637" t="s">
        <v>1650</v>
      </c>
      <c r="M1675" s="1638">
        <v>2.0872000000000002E-2</v>
      </c>
      <c r="N1675" s="1639">
        <v>1.5528362822061663</v>
      </c>
      <c r="O1675" s="1639"/>
    </row>
    <row r="1676" spans="11:15">
      <c r="K1676" s="1636">
        <v>43733</v>
      </c>
      <c r="L1676" s="1637" t="s">
        <v>1650</v>
      </c>
      <c r="M1676" s="1638">
        <v>2.0872000000000002E-2</v>
      </c>
      <c r="N1676" s="1639">
        <v>1.5531603901949884</v>
      </c>
      <c r="O1676" s="1639"/>
    </row>
    <row r="1677" spans="11:15">
      <c r="K1677" s="1636">
        <v>43734</v>
      </c>
      <c r="L1677" s="1637" t="s">
        <v>1650</v>
      </c>
      <c r="M1677" s="1638">
        <v>2.0872000000000002E-2</v>
      </c>
      <c r="N1677" s="1639">
        <v>1.5534845658316301</v>
      </c>
      <c r="O1677" s="1639"/>
    </row>
    <row r="1678" spans="11:15">
      <c r="K1678" s="1636">
        <v>43735</v>
      </c>
      <c r="L1678" s="1637" t="s">
        <v>1650</v>
      </c>
      <c r="M1678" s="1638">
        <v>2.0872000000000002E-2</v>
      </c>
      <c r="N1678" s="1639">
        <v>1.5538088091302105</v>
      </c>
      <c r="O1678" s="1639"/>
    </row>
    <row r="1679" spans="11:15">
      <c r="K1679" s="1636">
        <v>43736</v>
      </c>
      <c r="L1679" s="1637"/>
      <c r="M1679" s="1638">
        <v>0</v>
      </c>
      <c r="N1679" s="1639">
        <v>1.5538088091302105</v>
      </c>
      <c r="O1679" s="1639"/>
    </row>
    <row r="1680" spans="11:15">
      <c r="K1680" s="1636">
        <v>43737</v>
      </c>
      <c r="L1680" s="1637"/>
      <c r="M1680" s="1638">
        <v>0</v>
      </c>
      <c r="N1680" s="1639">
        <v>1.5538088091302105</v>
      </c>
      <c r="O1680" s="1639"/>
    </row>
    <row r="1681" spans="11:15">
      <c r="K1681" s="1636">
        <v>43738</v>
      </c>
      <c r="L1681" s="1637" t="s">
        <v>1650</v>
      </c>
      <c r="M1681" s="1638">
        <v>2.0872000000000002E-2</v>
      </c>
      <c r="N1681" s="1639">
        <v>1.5541331201048523</v>
      </c>
      <c r="O1681" s="1639"/>
    </row>
    <row r="1682" spans="11:15">
      <c r="K1682" s="1636">
        <v>43739</v>
      </c>
      <c r="L1682" s="1637" t="s">
        <v>1650</v>
      </c>
      <c r="M1682" s="1638">
        <v>2.0872000000000002E-2</v>
      </c>
      <c r="N1682" s="1639">
        <v>1.5544574987696806</v>
      </c>
      <c r="O1682" s="1639"/>
    </row>
    <row r="1683" spans="11:15">
      <c r="K1683" s="1636">
        <v>43740</v>
      </c>
      <c r="L1683" s="1637" t="s">
        <v>1650</v>
      </c>
      <c r="M1683" s="1638">
        <v>2.0872000000000002E-2</v>
      </c>
      <c r="N1683" s="1639">
        <v>1.5547819451388238</v>
      </c>
      <c r="O1683" s="1639"/>
    </row>
    <row r="1684" spans="11:15">
      <c r="K1684" s="1636">
        <v>43741</v>
      </c>
      <c r="L1684" s="1637" t="s">
        <v>1650</v>
      </c>
      <c r="M1684" s="1638">
        <v>2.0872000000000002E-2</v>
      </c>
      <c r="N1684" s="1639">
        <v>1.5551064592264132</v>
      </c>
      <c r="O1684" s="1639"/>
    </row>
    <row r="1685" spans="11:15">
      <c r="K1685" s="1636">
        <v>43742</v>
      </c>
      <c r="L1685" s="1637" t="s">
        <v>1650</v>
      </c>
      <c r="M1685" s="1638">
        <v>2.0872000000000002E-2</v>
      </c>
      <c r="N1685" s="1639">
        <v>1.555431041046583</v>
      </c>
      <c r="O1685" s="1639"/>
    </row>
    <row r="1686" spans="11:15">
      <c r="K1686" s="1636">
        <v>43743</v>
      </c>
      <c r="L1686" s="1637"/>
      <c r="M1686" s="1638">
        <v>0</v>
      </c>
      <c r="N1686" s="1639">
        <v>1.555431041046583</v>
      </c>
      <c r="O1686" s="1639"/>
    </row>
    <row r="1687" spans="11:15">
      <c r="K1687" s="1636">
        <v>43744</v>
      </c>
      <c r="L1687" s="1637"/>
      <c r="M1687" s="1638">
        <v>0</v>
      </c>
      <c r="N1687" s="1639">
        <v>1.555431041046583</v>
      </c>
      <c r="O1687" s="1639"/>
    </row>
    <row r="1688" spans="11:15">
      <c r="K1688" s="1636">
        <v>43745</v>
      </c>
      <c r="L1688" s="1637" t="s">
        <v>1650</v>
      </c>
      <c r="M1688" s="1638">
        <v>2.0872000000000002E-2</v>
      </c>
      <c r="N1688" s="1639">
        <v>1.5557556906134704</v>
      </c>
      <c r="O1688" s="1639"/>
    </row>
    <row r="1689" spans="11:15">
      <c r="K1689" s="1636">
        <v>43746</v>
      </c>
      <c r="L1689" s="1637" t="s">
        <v>1650</v>
      </c>
      <c r="M1689" s="1638">
        <v>2.0872000000000002E-2</v>
      </c>
      <c r="N1689" s="1639">
        <v>1.5560804079412154</v>
      </c>
      <c r="O1689" s="1639"/>
    </row>
    <row r="1690" spans="11:15">
      <c r="K1690" s="1636">
        <v>43747</v>
      </c>
      <c r="L1690" s="1637" t="s">
        <v>1650</v>
      </c>
      <c r="M1690" s="1638">
        <v>2.0872000000000002E-2</v>
      </c>
      <c r="N1690" s="1639">
        <v>1.5564051930439609</v>
      </c>
      <c r="O1690" s="1639"/>
    </row>
    <row r="1691" spans="11:15">
      <c r="K1691" s="1636">
        <v>43748</v>
      </c>
      <c r="L1691" s="1637" t="s">
        <v>1650</v>
      </c>
      <c r="M1691" s="1638">
        <v>2.0872000000000002E-2</v>
      </c>
      <c r="N1691" s="1639">
        <v>1.5567300459358531</v>
      </c>
      <c r="O1691" s="1639"/>
    </row>
    <row r="1692" spans="11:15">
      <c r="K1692" s="1636">
        <v>43749</v>
      </c>
      <c r="L1692" s="1637" t="s">
        <v>1650</v>
      </c>
      <c r="M1692" s="1638">
        <v>2.0872000000000002E-2</v>
      </c>
      <c r="N1692" s="1639">
        <v>1.5570549666310409</v>
      </c>
      <c r="O1692" s="1639"/>
    </row>
    <row r="1693" spans="11:15">
      <c r="K1693" s="1636">
        <v>43750</v>
      </c>
      <c r="L1693" s="1637"/>
      <c r="M1693" s="1638">
        <v>0</v>
      </c>
      <c r="N1693" s="1639">
        <v>1.5570549666310409</v>
      </c>
      <c r="O1693" s="1639"/>
    </row>
    <row r="1694" spans="11:15">
      <c r="K1694" s="1636">
        <v>43751</v>
      </c>
      <c r="L1694" s="1637"/>
      <c r="M1694" s="1638">
        <v>0</v>
      </c>
      <c r="N1694" s="1639">
        <v>1.5570549666310409</v>
      </c>
      <c r="O1694" s="1639"/>
    </row>
    <row r="1695" spans="11:15">
      <c r="K1695" s="1636">
        <v>43752</v>
      </c>
      <c r="L1695" s="1637" t="s">
        <v>1650</v>
      </c>
      <c r="M1695" s="1638">
        <v>2.0872000000000002E-2</v>
      </c>
      <c r="N1695" s="1639">
        <v>1.5573799551436762</v>
      </c>
      <c r="O1695" s="1639"/>
    </row>
    <row r="1696" spans="11:15">
      <c r="K1696" s="1636">
        <v>43753</v>
      </c>
      <c r="L1696" s="1637" t="s">
        <v>1650</v>
      </c>
      <c r="M1696" s="1638">
        <v>2.0872000000000002E-2</v>
      </c>
      <c r="N1696" s="1639">
        <v>1.5577050114879138</v>
      </c>
      <c r="O1696" s="1639"/>
    </row>
    <row r="1697" spans="11:15">
      <c r="K1697" s="1636">
        <v>43754</v>
      </c>
      <c r="L1697" s="1637" t="s">
        <v>1650</v>
      </c>
      <c r="M1697" s="1638">
        <v>2.0872000000000002E-2</v>
      </c>
      <c r="N1697" s="1639">
        <v>1.5580301356779116</v>
      </c>
      <c r="O1697" s="1639"/>
    </row>
    <row r="1698" spans="11:15">
      <c r="K1698" s="1636">
        <v>43755</v>
      </c>
      <c r="L1698" s="1637" t="s">
        <v>1650</v>
      </c>
      <c r="M1698" s="1638">
        <v>2.0872000000000002E-2</v>
      </c>
      <c r="N1698" s="1639">
        <v>1.5583553277278304</v>
      </c>
      <c r="O1698" s="1639"/>
    </row>
    <row r="1699" spans="11:15">
      <c r="K1699" s="1636">
        <v>43756</v>
      </c>
      <c r="L1699" s="1637" t="s">
        <v>1650</v>
      </c>
      <c r="M1699" s="1638">
        <v>2.0872000000000002E-2</v>
      </c>
      <c r="N1699" s="1639">
        <v>1.5586805876518337</v>
      </c>
      <c r="O1699" s="1639"/>
    </row>
    <row r="1700" spans="11:15">
      <c r="K1700" s="1636">
        <v>43757</v>
      </c>
      <c r="L1700" s="1637"/>
      <c r="M1700" s="1638">
        <v>0</v>
      </c>
      <c r="N1700" s="1639">
        <v>1.5586805876518337</v>
      </c>
      <c r="O1700" s="1639"/>
    </row>
    <row r="1701" spans="11:15">
      <c r="K1701" s="1636">
        <v>43758</v>
      </c>
      <c r="L1701" s="1637"/>
      <c r="M1701" s="1638">
        <v>0</v>
      </c>
      <c r="N1701" s="1639">
        <v>1.5586805876518337</v>
      </c>
      <c r="O1701" s="1639"/>
    </row>
    <row r="1702" spans="11:15">
      <c r="K1702" s="1636">
        <v>43759</v>
      </c>
      <c r="L1702" s="1637" t="s">
        <v>1650</v>
      </c>
      <c r="M1702" s="1638">
        <v>2.0872000000000002E-2</v>
      </c>
      <c r="N1702" s="1639">
        <v>1.5590059154640885</v>
      </c>
      <c r="O1702" s="1639"/>
    </row>
    <row r="1703" spans="11:15">
      <c r="K1703" s="1636">
        <v>43760</v>
      </c>
      <c r="L1703" s="1637" t="s">
        <v>1650</v>
      </c>
      <c r="M1703" s="1638">
        <v>2.0872000000000002E-2</v>
      </c>
      <c r="N1703" s="1639">
        <v>1.5593313111787643</v>
      </c>
      <c r="O1703" s="1639"/>
    </row>
    <row r="1704" spans="11:15">
      <c r="K1704" s="1636">
        <v>43761</v>
      </c>
      <c r="L1704" s="1637" t="s">
        <v>1650</v>
      </c>
      <c r="M1704" s="1638">
        <v>2.0872000000000002E-2</v>
      </c>
      <c r="N1704" s="1639">
        <v>1.5596567748100336</v>
      </c>
      <c r="O1704" s="1639"/>
    </row>
    <row r="1705" spans="11:15">
      <c r="K1705" s="1636">
        <v>43762</v>
      </c>
      <c r="L1705" s="1637" t="s">
        <v>1650</v>
      </c>
      <c r="M1705" s="1638">
        <v>2.0872000000000002E-2</v>
      </c>
      <c r="N1705" s="1639">
        <v>1.5599823063720721</v>
      </c>
      <c r="O1705" s="1639"/>
    </row>
    <row r="1706" spans="11:15">
      <c r="K1706" s="1636">
        <v>43763</v>
      </c>
      <c r="L1706" s="1637" t="s">
        <v>1650</v>
      </c>
      <c r="M1706" s="1638">
        <v>2.0872000000000002E-2</v>
      </c>
      <c r="N1706" s="1639">
        <v>1.5603079058790581</v>
      </c>
      <c r="O1706" s="1639"/>
    </row>
    <row r="1707" spans="11:15">
      <c r="K1707" s="1636">
        <v>43764</v>
      </c>
      <c r="L1707" s="1637"/>
      <c r="M1707" s="1638">
        <v>0</v>
      </c>
      <c r="N1707" s="1639">
        <v>1.5603079058790581</v>
      </c>
      <c r="O1707" s="1639"/>
    </row>
    <row r="1708" spans="11:15">
      <c r="K1708" s="1636">
        <v>43765</v>
      </c>
      <c r="L1708" s="1637"/>
      <c r="M1708" s="1638">
        <v>0</v>
      </c>
      <c r="N1708" s="1639">
        <v>1.5603079058790581</v>
      </c>
      <c r="O1708" s="1639"/>
    </row>
    <row r="1709" spans="11:15">
      <c r="K1709" s="1636">
        <v>43766</v>
      </c>
      <c r="L1709" s="1637" t="s">
        <v>1650</v>
      </c>
      <c r="M1709" s="1638">
        <v>2.0872000000000002E-2</v>
      </c>
      <c r="N1709" s="1639">
        <v>1.5606335733451733</v>
      </c>
      <c r="O1709" s="1639"/>
    </row>
    <row r="1710" spans="11:15">
      <c r="K1710" s="1636">
        <v>43767</v>
      </c>
      <c r="L1710" s="1637" t="s">
        <v>1650</v>
      </c>
      <c r="M1710" s="1638">
        <v>2.0872000000000002E-2</v>
      </c>
      <c r="N1710" s="1639">
        <v>1.5609593087846019</v>
      </c>
      <c r="O1710" s="1639"/>
    </row>
    <row r="1711" spans="11:15">
      <c r="K1711" s="1636">
        <v>43768</v>
      </c>
      <c r="L1711" s="1637" t="s">
        <v>1650</v>
      </c>
      <c r="M1711" s="1638">
        <v>2.0872000000000002E-2</v>
      </c>
      <c r="N1711" s="1639">
        <v>1.5612851122115314</v>
      </c>
      <c r="O1711" s="1639"/>
    </row>
    <row r="1712" spans="11:15">
      <c r="K1712" s="1636">
        <v>43769</v>
      </c>
      <c r="L1712" s="1637" t="s">
        <v>1650</v>
      </c>
      <c r="M1712" s="1638">
        <v>1.8984999999999998E-2</v>
      </c>
      <c r="N1712" s="1639">
        <v>1.5615815221900846</v>
      </c>
      <c r="O1712" s="1639"/>
    </row>
    <row r="1713" spans="11:15">
      <c r="K1713" s="1636">
        <v>43770</v>
      </c>
      <c r="L1713" s="1637" t="s">
        <v>1650</v>
      </c>
      <c r="M1713" s="1638">
        <v>1.8984999999999998E-2</v>
      </c>
      <c r="N1713" s="1639">
        <v>1.5618779884420724</v>
      </c>
      <c r="O1713" s="1639"/>
    </row>
    <row r="1714" spans="11:15">
      <c r="K1714" s="1636">
        <v>43771</v>
      </c>
      <c r="L1714" s="1637"/>
      <c r="M1714" s="1638">
        <v>0</v>
      </c>
      <c r="N1714" s="1639">
        <v>1.5618779884420724</v>
      </c>
      <c r="O1714" s="1639"/>
    </row>
    <row r="1715" spans="11:15">
      <c r="K1715" s="1636">
        <v>43772</v>
      </c>
      <c r="L1715" s="1637"/>
      <c r="M1715" s="1638">
        <v>0</v>
      </c>
      <c r="N1715" s="1639">
        <v>1.5618779884420724</v>
      </c>
      <c r="O1715" s="1639"/>
    </row>
    <row r="1716" spans="11:15">
      <c r="K1716" s="1636">
        <v>43773</v>
      </c>
      <c r="L1716" s="1637" t="s">
        <v>1650</v>
      </c>
      <c r="M1716" s="1638">
        <v>1.8984999999999998E-2</v>
      </c>
      <c r="N1716" s="1639">
        <v>1.5621745109781779</v>
      </c>
      <c r="O1716" s="1639"/>
    </row>
    <row r="1717" spans="11:15">
      <c r="K1717" s="1636">
        <v>43774</v>
      </c>
      <c r="L1717" s="1637" t="s">
        <v>1650</v>
      </c>
      <c r="M1717" s="1638">
        <v>1.8984999999999998E-2</v>
      </c>
      <c r="N1717" s="1639">
        <v>1.562471089809087</v>
      </c>
      <c r="O1717" s="1639"/>
    </row>
    <row r="1718" spans="11:15">
      <c r="K1718" s="1636">
        <v>43775</v>
      </c>
      <c r="L1718" s="1637" t="s">
        <v>1650</v>
      </c>
      <c r="M1718" s="1638">
        <v>1.8984999999999998E-2</v>
      </c>
      <c r="N1718" s="1639">
        <v>1.5627677249454872</v>
      </c>
      <c r="O1718" s="1639"/>
    </row>
    <row r="1719" spans="11:15">
      <c r="K1719" s="1636">
        <v>43776</v>
      </c>
      <c r="L1719" s="1637" t="s">
        <v>1650</v>
      </c>
      <c r="M1719" s="1638">
        <v>1.8984999999999998E-2</v>
      </c>
      <c r="N1719" s="1639">
        <v>1.563064416398068</v>
      </c>
      <c r="O1719" s="1639"/>
    </row>
    <row r="1720" spans="11:15">
      <c r="K1720" s="1636">
        <v>43777</v>
      </c>
      <c r="L1720" s="1637" t="s">
        <v>1650</v>
      </c>
      <c r="M1720" s="1638">
        <v>1.8984999999999998E-2</v>
      </c>
      <c r="N1720" s="1639">
        <v>1.5633611641775211</v>
      </c>
      <c r="O1720" s="1639"/>
    </row>
    <row r="1721" spans="11:15">
      <c r="K1721" s="1636">
        <v>43778</v>
      </c>
      <c r="L1721" s="1637"/>
      <c r="M1721" s="1638">
        <v>0</v>
      </c>
      <c r="N1721" s="1639">
        <v>1.5633611641775211</v>
      </c>
      <c r="O1721" s="1639"/>
    </row>
    <row r="1722" spans="11:15">
      <c r="K1722" s="1636">
        <v>43779</v>
      </c>
      <c r="L1722" s="1637"/>
      <c r="M1722" s="1638">
        <v>0</v>
      </c>
      <c r="N1722" s="1639">
        <v>1.5633611641775211</v>
      </c>
      <c r="O1722" s="1639"/>
    </row>
    <row r="1723" spans="11:15">
      <c r="K1723" s="1636">
        <v>43780</v>
      </c>
      <c r="L1723" s="1637" t="s">
        <v>1650</v>
      </c>
      <c r="M1723" s="1638">
        <v>1.8984999999999998E-2</v>
      </c>
      <c r="N1723" s="1639">
        <v>1.5636579682945402</v>
      </c>
      <c r="O1723" s="1639"/>
    </row>
    <row r="1724" spans="11:15">
      <c r="K1724" s="1636">
        <v>43781</v>
      </c>
      <c r="L1724" s="1637" t="s">
        <v>1650</v>
      </c>
      <c r="M1724" s="1638">
        <v>1.8984999999999998E-2</v>
      </c>
      <c r="N1724" s="1639">
        <v>1.5639548287598208</v>
      </c>
      <c r="O1724" s="1639"/>
    </row>
    <row r="1725" spans="11:15">
      <c r="K1725" s="1636">
        <v>43782</v>
      </c>
      <c r="L1725" s="1637" t="s">
        <v>1650</v>
      </c>
      <c r="M1725" s="1638">
        <v>1.8984999999999998E-2</v>
      </c>
      <c r="N1725" s="1639">
        <v>1.5642517455840608</v>
      </c>
      <c r="O1725" s="1639"/>
    </row>
    <row r="1726" spans="11:15">
      <c r="K1726" s="1636">
        <v>43783</v>
      </c>
      <c r="L1726" s="1637" t="s">
        <v>1650</v>
      </c>
      <c r="M1726" s="1638">
        <v>1.8984999999999998E-2</v>
      </c>
      <c r="N1726" s="1639">
        <v>1.5645487187779599</v>
      </c>
      <c r="O1726" s="1639"/>
    </row>
    <row r="1727" spans="11:15">
      <c r="K1727" s="1636">
        <v>43784</v>
      </c>
      <c r="L1727" s="1637"/>
      <c r="M1727" s="1638">
        <v>0</v>
      </c>
      <c r="N1727" s="1639">
        <v>1.5645487187779599</v>
      </c>
      <c r="O1727" s="1639"/>
    </row>
    <row r="1728" spans="11:15">
      <c r="K1728" s="1636">
        <v>43785</v>
      </c>
      <c r="L1728" s="1637"/>
      <c r="M1728" s="1638">
        <v>0</v>
      </c>
      <c r="N1728" s="1639">
        <v>1.5645487187779599</v>
      </c>
      <c r="O1728" s="1639"/>
    </row>
    <row r="1729" spans="11:15">
      <c r="K1729" s="1636">
        <v>43786</v>
      </c>
      <c r="L1729" s="1637"/>
      <c r="M1729" s="1638">
        <v>0</v>
      </c>
      <c r="N1729" s="1639">
        <v>1.5645487187779599</v>
      </c>
      <c r="O1729" s="1639"/>
    </row>
    <row r="1730" spans="11:15">
      <c r="K1730" s="1636">
        <v>43787</v>
      </c>
      <c r="L1730" s="1637" t="s">
        <v>1650</v>
      </c>
      <c r="M1730" s="1638">
        <v>1.8984999999999998E-2</v>
      </c>
      <c r="N1730" s="1639">
        <v>1.5648457483522198</v>
      </c>
      <c r="O1730" s="1639"/>
    </row>
    <row r="1731" spans="11:15">
      <c r="K1731" s="1636">
        <v>43788</v>
      </c>
      <c r="L1731" s="1637" t="s">
        <v>1650</v>
      </c>
      <c r="M1731" s="1638">
        <v>1.8984999999999998E-2</v>
      </c>
      <c r="N1731" s="1639">
        <v>1.5651428343175444</v>
      </c>
      <c r="O1731" s="1639"/>
    </row>
    <row r="1732" spans="11:15">
      <c r="K1732" s="1636">
        <v>43789</v>
      </c>
      <c r="L1732" s="1637" t="s">
        <v>1650</v>
      </c>
      <c r="M1732" s="1638">
        <v>1.8984999999999998E-2</v>
      </c>
      <c r="N1732" s="1639">
        <v>1.5654399766846394</v>
      </c>
      <c r="O1732" s="1639"/>
    </row>
    <row r="1733" spans="11:15">
      <c r="K1733" s="1636">
        <v>43790</v>
      </c>
      <c r="L1733" s="1637" t="s">
        <v>1650</v>
      </c>
      <c r="M1733" s="1638">
        <v>1.8984999999999998E-2</v>
      </c>
      <c r="N1733" s="1639">
        <v>1.5657371754642129</v>
      </c>
      <c r="O1733" s="1639"/>
    </row>
    <row r="1734" spans="11:15">
      <c r="K1734" s="1636">
        <v>43791</v>
      </c>
      <c r="L1734" s="1637" t="s">
        <v>1650</v>
      </c>
      <c r="M1734" s="1638">
        <v>1.8984999999999998E-2</v>
      </c>
      <c r="N1734" s="1639">
        <v>1.5660344306669747</v>
      </c>
      <c r="O1734" s="1639"/>
    </row>
    <row r="1735" spans="11:15">
      <c r="K1735" s="1636">
        <v>43792</v>
      </c>
      <c r="L1735" s="1637"/>
      <c r="M1735" s="1638">
        <v>0</v>
      </c>
      <c r="N1735" s="1639">
        <v>1.5660344306669747</v>
      </c>
      <c r="O1735" s="1639"/>
    </row>
    <row r="1736" spans="11:15">
      <c r="K1736" s="1636">
        <v>43793</v>
      </c>
      <c r="L1736" s="1637"/>
      <c r="M1736" s="1638">
        <v>0</v>
      </c>
      <c r="N1736" s="1639">
        <v>1.5660344306669747</v>
      </c>
      <c r="O1736" s="1639"/>
    </row>
    <row r="1737" spans="11:15">
      <c r="K1737" s="1636">
        <v>43794</v>
      </c>
      <c r="L1737" s="1637" t="s">
        <v>1650</v>
      </c>
      <c r="M1737" s="1638">
        <v>1.8984999999999998E-2</v>
      </c>
      <c r="N1737" s="1639">
        <v>1.5663317423036367</v>
      </c>
      <c r="O1737" s="1639"/>
    </row>
    <row r="1738" spans="11:15">
      <c r="K1738" s="1636">
        <v>43795</v>
      </c>
      <c r="L1738" s="1637" t="s">
        <v>1650</v>
      </c>
      <c r="M1738" s="1638">
        <v>1.8984999999999998E-2</v>
      </c>
      <c r="N1738" s="1639">
        <v>1.566629110384913</v>
      </c>
      <c r="O1738" s="1639"/>
    </row>
    <row r="1739" spans="11:15">
      <c r="K1739" s="1636">
        <v>43796</v>
      </c>
      <c r="L1739" s="1637" t="s">
        <v>1650</v>
      </c>
      <c r="M1739" s="1638">
        <v>1.8984999999999998E-2</v>
      </c>
      <c r="N1739" s="1639">
        <v>1.5669265349215196</v>
      </c>
      <c r="O1739" s="1639"/>
    </row>
    <row r="1740" spans="11:15">
      <c r="K1740" s="1636">
        <v>43797</v>
      </c>
      <c r="L1740" s="1637" t="s">
        <v>1650</v>
      </c>
      <c r="M1740" s="1638">
        <v>1.8984999999999998E-2</v>
      </c>
      <c r="N1740" s="1639">
        <v>1.5672240159241744</v>
      </c>
      <c r="O1740" s="1639"/>
    </row>
    <row r="1741" spans="11:15">
      <c r="K1741" s="1636">
        <v>43798</v>
      </c>
      <c r="L1741" s="1637" t="s">
        <v>1650</v>
      </c>
      <c r="M1741" s="1638">
        <v>1.8984999999999998E-2</v>
      </c>
      <c r="N1741" s="1639">
        <v>1.5675215534035976</v>
      </c>
      <c r="O1741" s="1639"/>
    </row>
    <row r="1742" spans="11:15">
      <c r="K1742" s="1636">
        <v>43799</v>
      </c>
      <c r="L1742" s="1637"/>
      <c r="M1742" s="1638">
        <v>0</v>
      </c>
      <c r="N1742" s="1639">
        <v>1.5675215534035976</v>
      </c>
      <c r="O1742" s="1639"/>
    </row>
    <row r="1743" spans="11:15">
      <c r="K1743" s="1636">
        <v>43800</v>
      </c>
      <c r="L1743" s="1637"/>
      <c r="M1743" s="1638">
        <v>0</v>
      </c>
      <c r="N1743" s="1639">
        <v>1.5675215534035976</v>
      </c>
      <c r="O1743" s="1639"/>
    </row>
    <row r="1744" spans="11:15">
      <c r="K1744" s="1636">
        <v>43801</v>
      </c>
      <c r="L1744" s="1637" t="s">
        <v>1650</v>
      </c>
      <c r="M1744" s="1638">
        <v>1.8984999999999998E-2</v>
      </c>
      <c r="N1744" s="1639">
        <v>1.5678191473705112</v>
      </c>
      <c r="O1744" s="1639"/>
    </row>
    <row r="1745" spans="11:15">
      <c r="K1745" s="1636">
        <v>43802</v>
      </c>
      <c r="L1745" s="1637" t="s">
        <v>1650</v>
      </c>
      <c r="M1745" s="1638">
        <v>1.8984999999999998E-2</v>
      </c>
      <c r="N1745" s="1639">
        <v>1.5681167978356394</v>
      </c>
      <c r="O1745" s="1639"/>
    </row>
    <row r="1746" spans="11:15">
      <c r="K1746" s="1636">
        <v>43803</v>
      </c>
      <c r="L1746" s="1637" t="s">
        <v>1650</v>
      </c>
      <c r="M1746" s="1638">
        <v>1.8984999999999998E-2</v>
      </c>
      <c r="N1746" s="1639">
        <v>1.5684145048097085</v>
      </c>
      <c r="O1746" s="1639"/>
    </row>
    <row r="1747" spans="11:15">
      <c r="K1747" s="1636">
        <v>43804</v>
      </c>
      <c r="L1747" s="1637" t="s">
        <v>1650</v>
      </c>
      <c r="M1747" s="1638">
        <v>1.8984999999999998E-2</v>
      </c>
      <c r="N1747" s="1639">
        <v>1.5687122683034465</v>
      </c>
      <c r="O1747" s="1639"/>
    </row>
    <row r="1748" spans="11:15">
      <c r="K1748" s="1636">
        <v>43805</v>
      </c>
      <c r="L1748" s="1637" t="s">
        <v>1650</v>
      </c>
      <c r="M1748" s="1638">
        <v>1.8984999999999998E-2</v>
      </c>
      <c r="N1748" s="1639">
        <v>1.5690100883275837</v>
      </c>
      <c r="O1748" s="1639"/>
    </row>
    <row r="1749" spans="11:15">
      <c r="K1749" s="1636">
        <v>43806</v>
      </c>
      <c r="L1749" s="1637"/>
      <c r="M1749" s="1638">
        <v>0</v>
      </c>
      <c r="N1749" s="1639">
        <v>1.5690100883275837</v>
      </c>
      <c r="O1749" s="1639"/>
    </row>
    <row r="1750" spans="11:15">
      <c r="K1750" s="1636">
        <v>43807</v>
      </c>
      <c r="L1750" s="1637"/>
      <c r="M1750" s="1638">
        <v>0</v>
      </c>
      <c r="N1750" s="1639">
        <v>1.5690100883275837</v>
      </c>
      <c r="O1750" s="1639"/>
    </row>
    <row r="1751" spans="11:15">
      <c r="K1751" s="1636">
        <v>43808</v>
      </c>
      <c r="L1751" s="1637" t="s">
        <v>1650</v>
      </c>
      <c r="M1751" s="1638">
        <v>1.8984999999999998E-2</v>
      </c>
      <c r="N1751" s="1639">
        <v>1.5693079648928525</v>
      </c>
      <c r="O1751" s="1639"/>
    </row>
    <row r="1752" spans="11:15">
      <c r="K1752" s="1636">
        <v>43809</v>
      </c>
      <c r="L1752" s="1637" t="s">
        <v>1650</v>
      </c>
      <c r="M1752" s="1638">
        <v>1.8984999999999998E-2</v>
      </c>
      <c r="N1752" s="1639">
        <v>1.5696058980099874</v>
      </c>
      <c r="O1752" s="1639"/>
    </row>
    <row r="1753" spans="11:15">
      <c r="K1753" s="1636">
        <v>43810</v>
      </c>
      <c r="L1753" s="1637" t="s">
        <v>1650</v>
      </c>
      <c r="M1753" s="1638">
        <v>1.8984999999999998E-2</v>
      </c>
      <c r="N1753" s="1639">
        <v>1.5699038876897244</v>
      </c>
      <c r="O1753" s="1639"/>
    </row>
    <row r="1754" spans="11:15">
      <c r="K1754" s="1636">
        <v>43811</v>
      </c>
      <c r="L1754" s="1637" t="s">
        <v>1650</v>
      </c>
      <c r="M1754" s="1638">
        <v>1.7089E-2</v>
      </c>
      <c r="N1754" s="1639">
        <v>1.5701721685650916</v>
      </c>
      <c r="O1754" s="1639"/>
    </row>
    <row r="1755" spans="11:15">
      <c r="K1755" s="1636">
        <v>43812</v>
      </c>
      <c r="L1755" s="1637" t="s">
        <v>1650</v>
      </c>
      <c r="M1755" s="1638">
        <v>1.7089E-2</v>
      </c>
      <c r="N1755" s="1639">
        <v>1.5704404952869775</v>
      </c>
      <c r="O1755" s="1639"/>
    </row>
    <row r="1756" spans="11:15">
      <c r="K1756" s="1636">
        <v>43813</v>
      </c>
      <c r="L1756" s="1637"/>
      <c r="M1756" s="1638">
        <v>0</v>
      </c>
      <c r="N1756" s="1639">
        <v>1.5704404952869775</v>
      </c>
      <c r="O1756" s="1639"/>
    </row>
    <row r="1757" spans="11:15">
      <c r="K1757" s="1636">
        <v>43814</v>
      </c>
      <c r="L1757" s="1637"/>
      <c r="M1757" s="1638">
        <v>0</v>
      </c>
      <c r="N1757" s="1639">
        <v>1.5704404952869775</v>
      </c>
      <c r="O1757" s="1639"/>
    </row>
    <row r="1758" spans="11:15">
      <c r="K1758" s="1636">
        <v>43815</v>
      </c>
      <c r="L1758" s="1637" t="s">
        <v>1650</v>
      </c>
      <c r="M1758" s="1638">
        <v>1.7089E-2</v>
      </c>
      <c r="N1758" s="1639">
        <v>1.5707088678632171</v>
      </c>
      <c r="O1758" s="1639"/>
    </row>
    <row r="1759" spans="11:15">
      <c r="K1759" s="1636">
        <v>43816</v>
      </c>
      <c r="L1759" s="1637" t="s">
        <v>1650</v>
      </c>
      <c r="M1759" s="1638">
        <v>1.7089E-2</v>
      </c>
      <c r="N1759" s="1639">
        <v>1.570977286301646</v>
      </c>
      <c r="O1759" s="1639"/>
    </row>
    <row r="1760" spans="11:15">
      <c r="K1760" s="1636">
        <v>43817</v>
      </c>
      <c r="L1760" s="1637" t="s">
        <v>1650</v>
      </c>
      <c r="M1760" s="1638">
        <v>1.7089E-2</v>
      </c>
      <c r="N1760" s="1639">
        <v>1.5712457506101021</v>
      </c>
      <c r="O1760" s="1639"/>
    </row>
    <row r="1761" spans="11:15">
      <c r="K1761" s="1636">
        <v>43818</v>
      </c>
      <c r="L1761" s="1637" t="s">
        <v>1650</v>
      </c>
      <c r="M1761" s="1638">
        <v>1.7089E-2</v>
      </c>
      <c r="N1761" s="1639">
        <v>1.5715142607964236</v>
      </c>
      <c r="O1761" s="1639"/>
    </row>
    <row r="1762" spans="11:15">
      <c r="K1762" s="1636">
        <v>43819</v>
      </c>
      <c r="L1762" s="1637" t="s">
        <v>1650</v>
      </c>
      <c r="M1762" s="1638">
        <v>1.7089E-2</v>
      </c>
      <c r="N1762" s="1639">
        <v>1.5717828168684511</v>
      </c>
      <c r="O1762" s="1639"/>
    </row>
    <row r="1763" spans="11:15">
      <c r="K1763" s="1636">
        <v>43820</v>
      </c>
      <c r="L1763" s="1637"/>
      <c r="M1763" s="1638">
        <v>0</v>
      </c>
      <c r="N1763" s="1639">
        <v>1.5717828168684511</v>
      </c>
      <c r="O1763" s="1639"/>
    </row>
    <row r="1764" spans="11:15">
      <c r="K1764" s="1636">
        <v>43821</v>
      </c>
      <c r="L1764" s="1637"/>
      <c r="M1764" s="1638">
        <v>0</v>
      </c>
      <c r="N1764" s="1639">
        <v>1.5717828168684511</v>
      </c>
      <c r="O1764" s="1639"/>
    </row>
    <row r="1765" spans="11:15">
      <c r="K1765" s="1636">
        <v>43822</v>
      </c>
      <c r="L1765" s="1637" t="s">
        <v>1650</v>
      </c>
      <c r="M1765" s="1638">
        <v>1.7089E-2</v>
      </c>
      <c r="N1765" s="1639">
        <v>1.5720514188340255</v>
      </c>
      <c r="O1765" s="1639"/>
    </row>
    <row r="1766" spans="11:15">
      <c r="K1766" s="1636">
        <v>43823</v>
      </c>
      <c r="L1766" s="1637" t="s">
        <v>1650</v>
      </c>
      <c r="M1766" s="1638">
        <v>1.7089E-2</v>
      </c>
      <c r="N1766" s="1639">
        <v>1.57232006670099</v>
      </c>
      <c r="O1766" s="1639"/>
    </row>
    <row r="1767" spans="11:15">
      <c r="K1767" s="1636">
        <v>43824</v>
      </c>
      <c r="L1767" s="1637"/>
      <c r="M1767" s="1638">
        <v>0</v>
      </c>
      <c r="N1767" s="1639">
        <v>1.57232006670099</v>
      </c>
      <c r="O1767" s="1639"/>
    </row>
    <row r="1768" spans="11:15">
      <c r="K1768" s="1636">
        <v>43825</v>
      </c>
      <c r="L1768" s="1637" t="s">
        <v>1650</v>
      </c>
      <c r="M1768" s="1638">
        <v>1.7089E-2</v>
      </c>
      <c r="N1768" s="1639">
        <v>1.5725887604771884</v>
      </c>
      <c r="O1768" s="1639"/>
    </row>
    <row r="1769" spans="11:15">
      <c r="K1769" s="1636">
        <v>43826</v>
      </c>
      <c r="L1769" s="1637" t="s">
        <v>1650</v>
      </c>
      <c r="M1769" s="1638">
        <v>1.7089E-2</v>
      </c>
      <c r="N1769" s="1639">
        <v>1.5728575001704663</v>
      </c>
      <c r="O1769" s="1639"/>
    </row>
    <row r="1770" spans="11:15">
      <c r="K1770" s="1636">
        <v>43827</v>
      </c>
      <c r="L1770" s="1637"/>
      <c r="M1770" s="1638">
        <v>0</v>
      </c>
      <c r="N1770" s="1639">
        <v>1.5728575001704663</v>
      </c>
      <c r="O1770" s="1639"/>
    </row>
    <row r="1771" spans="11:15">
      <c r="K1771" s="1636">
        <v>43828</v>
      </c>
      <c r="L1771" s="1637"/>
      <c r="M1771" s="1638">
        <v>0</v>
      </c>
      <c r="N1771" s="1639">
        <v>1.5728575001704663</v>
      </c>
      <c r="O1771" s="1639"/>
    </row>
    <row r="1772" spans="11:15">
      <c r="K1772" s="1636">
        <v>43829</v>
      </c>
      <c r="L1772" s="1637" t="s">
        <v>1650</v>
      </c>
      <c r="M1772" s="1638">
        <v>1.7089E-2</v>
      </c>
      <c r="N1772" s="1639">
        <v>1.5731262857886703</v>
      </c>
      <c r="O1772" s="1639"/>
    </row>
    <row r="1773" spans="11:15">
      <c r="K1773" s="1636">
        <v>43830</v>
      </c>
      <c r="L1773" s="1637" t="s">
        <v>1650</v>
      </c>
      <c r="M1773" s="1638">
        <v>1.7089E-2</v>
      </c>
      <c r="N1773" s="1639">
        <v>1.5733951173396485</v>
      </c>
      <c r="O1773" s="1639"/>
    </row>
    <row r="1774" spans="11:15">
      <c r="K1774" s="1636">
        <v>43831</v>
      </c>
      <c r="L1774" s="1637"/>
      <c r="M1774" s="1638">
        <v>0</v>
      </c>
      <c r="N1774" s="1639">
        <v>1.5733951173396485</v>
      </c>
      <c r="O1774" s="1639"/>
    </row>
    <row r="1775" spans="11:15">
      <c r="K1775" s="1636">
        <v>43832</v>
      </c>
      <c r="L1775" s="1637" t="s">
        <v>1650</v>
      </c>
      <c r="M1775" s="1638">
        <v>1.7089E-2</v>
      </c>
      <c r="N1775" s="1639">
        <v>1.5736639948312505</v>
      </c>
      <c r="O1775" s="1639"/>
    </row>
    <row r="1776" spans="11:15">
      <c r="K1776" s="1636">
        <v>43833</v>
      </c>
      <c r="L1776" s="1637" t="s">
        <v>1650</v>
      </c>
      <c r="M1776" s="1638">
        <v>1.7089E-2</v>
      </c>
      <c r="N1776" s="1639">
        <v>1.5739329182713271</v>
      </c>
      <c r="O1776" s="1639"/>
    </row>
    <row r="1777" spans="11:15">
      <c r="K1777" s="1636">
        <v>43834</v>
      </c>
      <c r="L1777" s="1637"/>
      <c r="M1777" s="1638">
        <v>0</v>
      </c>
      <c r="N1777" s="1639">
        <v>1.5739329182713271</v>
      </c>
      <c r="O1777" s="1639"/>
    </row>
    <row r="1778" spans="11:15">
      <c r="K1778" s="1636">
        <v>43835</v>
      </c>
      <c r="L1778" s="1637"/>
      <c r="M1778" s="1638">
        <v>0</v>
      </c>
      <c r="N1778" s="1639">
        <v>1.5739329182713271</v>
      </c>
      <c r="O1778" s="1639"/>
    </row>
    <row r="1779" spans="11:15">
      <c r="K1779" s="1636">
        <v>43836</v>
      </c>
      <c r="L1779" s="1637" t="s">
        <v>1650</v>
      </c>
      <c r="M1779" s="1638">
        <v>1.7089E-2</v>
      </c>
      <c r="N1779" s="1639">
        <v>1.5742018876677304</v>
      </c>
      <c r="O1779" s="1639"/>
    </row>
    <row r="1780" spans="11:15">
      <c r="K1780" s="1636">
        <v>43837</v>
      </c>
      <c r="L1780" s="1637" t="s">
        <v>1650</v>
      </c>
      <c r="M1780" s="1638">
        <v>1.7089E-2</v>
      </c>
      <c r="N1780" s="1639">
        <v>1.5744709030283137</v>
      </c>
      <c r="O1780" s="1639"/>
    </row>
    <row r="1781" spans="11:15">
      <c r="K1781" s="1636">
        <v>43838</v>
      </c>
      <c r="L1781" s="1637" t="s">
        <v>1650</v>
      </c>
      <c r="M1781" s="1638">
        <v>1.7089E-2</v>
      </c>
      <c r="N1781" s="1639">
        <v>1.5747399643609321</v>
      </c>
      <c r="O1781" s="1639"/>
    </row>
    <row r="1782" spans="11:15">
      <c r="K1782" s="1636">
        <v>43839</v>
      </c>
      <c r="L1782" s="1637" t="s">
        <v>1650</v>
      </c>
      <c r="M1782" s="1638">
        <v>1.7089E-2</v>
      </c>
      <c r="N1782" s="1639">
        <v>1.5750090716734417</v>
      </c>
      <c r="O1782" s="1639"/>
    </row>
    <row r="1783" spans="11:15">
      <c r="K1783" s="1636">
        <v>43840</v>
      </c>
      <c r="L1783" s="1637" t="s">
        <v>1650</v>
      </c>
      <c r="M1783" s="1638">
        <v>1.7089E-2</v>
      </c>
      <c r="N1783" s="1639">
        <v>1.5752782249736998</v>
      </c>
      <c r="O1783" s="1639"/>
    </row>
    <row r="1784" spans="11:15">
      <c r="K1784" s="1636">
        <v>43841</v>
      </c>
      <c r="L1784" s="1637"/>
      <c r="M1784" s="1638">
        <v>0</v>
      </c>
      <c r="N1784" s="1639">
        <v>1.5752782249736998</v>
      </c>
      <c r="O1784" s="1639"/>
    </row>
    <row r="1785" spans="11:15">
      <c r="K1785" s="1636">
        <v>43842</v>
      </c>
      <c r="L1785" s="1637"/>
      <c r="M1785" s="1638">
        <v>0</v>
      </c>
      <c r="N1785" s="1639">
        <v>1.5752782249736998</v>
      </c>
      <c r="O1785" s="1639"/>
    </row>
    <row r="1786" spans="11:15">
      <c r="K1786" s="1636">
        <v>43843</v>
      </c>
      <c r="L1786" s="1637" t="s">
        <v>1650</v>
      </c>
      <c r="M1786" s="1638">
        <v>1.7089E-2</v>
      </c>
      <c r="N1786" s="1639">
        <v>1.5755474242695655</v>
      </c>
      <c r="O1786" s="1639"/>
    </row>
    <row r="1787" spans="11:15">
      <c r="K1787" s="1636">
        <v>43844</v>
      </c>
      <c r="L1787" s="1637" t="s">
        <v>1650</v>
      </c>
      <c r="M1787" s="1638">
        <v>1.7089E-2</v>
      </c>
      <c r="N1787" s="1639">
        <v>1.5758166695688989</v>
      </c>
      <c r="O1787" s="1639"/>
    </row>
    <row r="1788" spans="11:15">
      <c r="K1788" s="1636">
        <v>43845</v>
      </c>
      <c r="L1788" s="1637" t="s">
        <v>1650</v>
      </c>
      <c r="M1788" s="1638">
        <v>1.7089E-2</v>
      </c>
      <c r="N1788" s="1639">
        <v>1.5760859608795614</v>
      </c>
      <c r="O1788" s="1639"/>
    </row>
    <row r="1789" spans="11:15">
      <c r="K1789" s="1636">
        <v>43846</v>
      </c>
      <c r="L1789" s="1637" t="s">
        <v>1650</v>
      </c>
      <c r="M1789" s="1638">
        <v>1.7089E-2</v>
      </c>
      <c r="N1789" s="1639">
        <v>1.576355298209416</v>
      </c>
      <c r="O1789" s="1639"/>
    </row>
    <row r="1790" spans="11:15">
      <c r="K1790" s="1636">
        <v>43847</v>
      </c>
      <c r="L1790" s="1637" t="s">
        <v>1650</v>
      </c>
      <c r="M1790" s="1638">
        <v>1.7089E-2</v>
      </c>
      <c r="N1790" s="1639">
        <v>1.576624681566327</v>
      </c>
      <c r="O1790" s="1639"/>
    </row>
    <row r="1791" spans="11:15">
      <c r="K1791" s="1636">
        <v>43848</v>
      </c>
      <c r="L1791" s="1637"/>
      <c r="M1791" s="1638">
        <v>0</v>
      </c>
      <c r="N1791" s="1639">
        <v>1.576624681566327</v>
      </c>
      <c r="O1791" s="1639"/>
    </row>
    <row r="1792" spans="11:15">
      <c r="K1792" s="1636">
        <v>43849</v>
      </c>
      <c r="L1792" s="1637"/>
      <c r="M1792" s="1638">
        <v>0</v>
      </c>
      <c r="N1792" s="1639">
        <v>1.576624681566327</v>
      </c>
      <c r="O1792" s="1639"/>
    </row>
    <row r="1793" spans="11:15">
      <c r="K1793" s="1636">
        <v>43850</v>
      </c>
      <c r="L1793" s="1637" t="s">
        <v>1650</v>
      </c>
      <c r="M1793" s="1638">
        <v>1.7089E-2</v>
      </c>
      <c r="N1793" s="1639">
        <v>1.5768941109581598</v>
      </c>
      <c r="O1793" s="1639"/>
    </row>
    <row r="1794" spans="11:15">
      <c r="K1794" s="1636">
        <v>43851</v>
      </c>
      <c r="L1794" s="1637" t="s">
        <v>1650</v>
      </c>
      <c r="M1794" s="1638">
        <v>1.7089E-2</v>
      </c>
      <c r="N1794" s="1639">
        <v>1.5771635863927813</v>
      </c>
      <c r="O1794" s="1639"/>
    </row>
    <row r="1795" spans="11:15">
      <c r="K1795" s="1636">
        <v>43852</v>
      </c>
      <c r="L1795" s="1637" t="s">
        <v>1650</v>
      </c>
      <c r="M1795" s="1638">
        <v>1.7089E-2</v>
      </c>
      <c r="N1795" s="1639">
        <v>1.5774331078780599</v>
      </c>
      <c r="O1795" s="1639"/>
    </row>
    <row r="1796" spans="11:15">
      <c r="K1796" s="1636">
        <v>43853</v>
      </c>
      <c r="L1796" s="1637" t="s">
        <v>1650</v>
      </c>
      <c r="M1796" s="1638">
        <v>1.7089E-2</v>
      </c>
      <c r="N1796" s="1639">
        <v>1.577702675421865</v>
      </c>
      <c r="O1796" s="1639"/>
    </row>
    <row r="1797" spans="11:15">
      <c r="K1797" s="1636">
        <v>43854</v>
      </c>
      <c r="L1797" s="1637" t="s">
        <v>1650</v>
      </c>
      <c r="M1797" s="1638">
        <v>1.7089E-2</v>
      </c>
      <c r="N1797" s="1639">
        <v>1.5779722890320678</v>
      </c>
      <c r="O1797" s="1639"/>
    </row>
    <row r="1798" spans="11:15">
      <c r="K1798" s="1636">
        <v>43855</v>
      </c>
      <c r="L1798" s="1637"/>
      <c r="M1798" s="1638">
        <v>0</v>
      </c>
      <c r="N1798" s="1639">
        <v>1.5779722890320678</v>
      </c>
      <c r="O1798" s="1639"/>
    </row>
    <row r="1799" spans="11:15">
      <c r="K1799" s="1636">
        <v>43856</v>
      </c>
      <c r="L1799" s="1637"/>
      <c r="M1799" s="1638">
        <v>0</v>
      </c>
      <c r="N1799" s="1639">
        <v>1.5779722890320678</v>
      </c>
      <c r="O1799" s="1639"/>
    </row>
    <row r="1800" spans="11:15">
      <c r="K1800" s="1636">
        <v>43857</v>
      </c>
      <c r="L1800" s="1637" t="s">
        <v>1650</v>
      </c>
      <c r="M1800" s="1638">
        <v>1.7089E-2</v>
      </c>
      <c r="N1800" s="1639">
        <v>1.5782419487165404</v>
      </c>
      <c r="O1800" s="1639"/>
    </row>
    <row r="1801" spans="11:15">
      <c r="K1801" s="1636">
        <v>43858</v>
      </c>
      <c r="L1801" s="1637" t="s">
        <v>1650</v>
      </c>
      <c r="M1801" s="1638">
        <v>1.7089E-2</v>
      </c>
      <c r="N1801" s="1639">
        <v>1.5785116544831566</v>
      </c>
      <c r="O1801" s="1639"/>
    </row>
    <row r="1802" spans="11:15">
      <c r="K1802" s="1636">
        <v>43859</v>
      </c>
      <c r="L1802" s="1637" t="s">
        <v>1650</v>
      </c>
      <c r="M1802" s="1638">
        <v>1.7089E-2</v>
      </c>
      <c r="N1802" s="1639">
        <v>1.5787814063397911</v>
      </c>
      <c r="O1802" s="1639"/>
    </row>
    <row r="1803" spans="11:15">
      <c r="K1803" s="1636">
        <v>43860</v>
      </c>
      <c r="L1803" s="1637" t="s">
        <v>1650</v>
      </c>
      <c r="M1803" s="1638">
        <v>1.7089E-2</v>
      </c>
      <c r="N1803" s="1639">
        <v>1.5790512042943203</v>
      </c>
      <c r="O1803" s="1639"/>
    </row>
    <row r="1804" spans="11:15">
      <c r="K1804" s="1636">
        <v>43861</v>
      </c>
      <c r="L1804" s="1637" t="s">
        <v>1650</v>
      </c>
      <c r="M1804" s="1638">
        <v>1.7089E-2</v>
      </c>
      <c r="N1804" s="1639">
        <v>1.5793210483546221</v>
      </c>
      <c r="O1804" s="1639"/>
    </row>
    <row r="1805" spans="11:15">
      <c r="K1805" s="1636">
        <v>43862</v>
      </c>
      <c r="L1805" s="1637"/>
      <c r="M1805" s="1638">
        <v>0</v>
      </c>
      <c r="N1805" s="1639">
        <v>1.5793210483546221</v>
      </c>
      <c r="O1805" s="1639"/>
    </row>
    <row r="1806" spans="11:15">
      <c r="K1806" s="1636">
        <v>43863</v>
      </c>
      <c r="L1806" s="1637"/>
      <c r="M1806" s="1638">
        <v>0</v>
      </c>
      <c r="N1806" s="1639">
        <v>1.5793210483546221</v>
      </c>
      <c r="O1806" s="1639"/>
    </row>
    <row r="1807" spans="11:15">
      <c r="K1807" s="1636">
        <v>43864</v>
      </c>
      <c r="L1807" s="1637" t="s">
        <v>1650</v>
      </c>
      <c r="M1807" s="1638">
        <v>1.7089E-2</v>
      </c>
      <c r="N1807" s="1639">
        <v>1.5795909385285754</v>
      </c>
      <c r="O1807" s="1639"/>
    </row>
    <row r="1808" spans="11:15">
      <c r="K1808" s="1636">
        <v>43865</v>
      </c>
      <c r="L1808" s="1637" t="s">
        <v>1650</v>
      </c>
      <c r="M1808" s="1638">
        <v>1.7089E-2</v>
      </c>
      <c r="N1808" s="1639">
        <v>1.5798608748240603</v>
      </c>
      <c r="O1808" s="1639"/>
    </row>
    <row r="1809" spans="11:15">
      <c r="K1809" s="1636">
        <v>43866</v>
      </c>
      <c r="L1809" s="1637" t="s">
        <v>1650</v>
      </c>
      <c r="M1809" s="1638">
        <v>1.7089E-2</v>
      </c>
      <c r="N1809" s="1639">
        <v>1.580130857248959</v>
      </c>
      <c r="O1809" s="1639"/>
    </row>
    <row r="1810" spans="11:15">
      <c r="K1810" s="1636">
        <v>43867</v>
      </c>
      <c r="L1810" s="1637" t="s">
        <v>1650</v>
      </c>
      <c r="M1810" s="1638">
        <v>1.6136999999999999E-2</v>
      </c>
      <c r="N1810" s="1639">
        <v>1.5803858429653934</v>
      </c>
      <c r="O1810" s="1639"/>
    </row>
    <row r="1811" spans="11:15">
      <c r="K1811" s="1636">
        <v>43868</v>
      </c>
      <c r="L1811" s="1637" t="s">
        <v>1650</v>
      </c>
      <c r="M1811" s="1638">
        <v>1.6136999999999999E-2</v>
      </c>
      <c r="N1811" s="1639">
        <v>1.5806408698288728</v>
      </c>
      <c r="O1811" s="1639"/>
    </row>
    <row r="1812" spans="11:15">
      <c r="K1812" s="1636">
        <v>43869</v>
      </c>
      <c r="L1812" s="1637"/>
      <c r="M1812" s="1638">
        <v>0</v>
      </c>
      <c r="N1812" s="1639">
        <v>1.5806408698288728</v>
      </c>
      <c r="O1812" s="1639"/>
    </row>
    <row r="1813" spans="11:15">
      <c r="K1813" s="1636">
        <v>43870</v>
      </c>
      <c r="L1813" s="1637"/>
      <c r="M1813" s="1638">
        <v>0</v>
      </c>
      <c r="N1813" s="1639">
        <v>1.5806408698288728</v>
      </c>
      <c r="O1813" s="1639"/>
    </row>
    <row r="1814" spans="11:15">
      <c r="K1814" s="1636">
        <v>43871</v>
      </c>
      <c r="L1814" s="1637" t="s">
        <v>1650</v>
      </c>
      <c r="M1814" s="1638">
        <v>1.6136999999999999E-2</v>
      </c>
      <c r="N1814" s="1639">
        <v>1.5808959378460372</v>
      </c>
      <c r="O1814" s="1639"/>
    </row>
    <row r="1815" spans="11:15">
      <c r="K1815" s="1636">
        <v>43872</v>
      </c>
      <c r="L1815" s="1637" t="s">
        <v>1650</v>
      </c>
      <c r="M1815" s="1638">
        <v>1.6136999999999999E-2</v>
      </c>
      <c r="N1815" s="1639">
        <v>1.5811510470235275</v>
      </c>
      <c r="O1815" s="1639"/>
    </row>
    <row r="1816" spans="11:15">
      <c r="K1816" s="1636">
        <v>43873</v>
      </c>
      <c r="L1816" s="1637" t="s">
        <v>1650</v>
      </c>
      <c r="M1816" s="1638">
        <v>1.6136999999999999E-2</v>
      </c>
      <c r="N1816" s="1639">
        <v>1.5814061973679858</v>
      </c>
      <c r="O1816" s="1639"/>
    </row>
    <row r="1817" spans="11:15">
      <c r="K1817" s="1636">
        <v>43874</v>
      </c>
      <c r="L1817" s="1637" t="s">
        <v>1650</v>
      </c>
      <c r="M1817" s="1638">
        <v>1.6136999999999999E-2</v>
      </c>
      <c r="N1817" s="1639">
        <v>1.5816613888860551</v>
      </c>
      <c r="O1817" s="1639"/>
    </row>
    <row r="1818" spans="11:15">
      <c r="K1818" s="1636">
        <v>43875</v>
      </c>
      <c r="L1818" s="1637" t="s">
        <v>1650</v>
      </c>
      <c r="M1818" s="1638">
        <v>1.6136999999999999E-2</v>
      </c>
      <c r="N1818" s="1639">
        <v>1.5819166215843798</v>
      </c>
      <c r="O1818" s="1639"/>
    </row>
    <row r="1819" spans="11:15">
      <c r="K1819" s="1636">
        <v>43876</v>
      </c>
      <c r="L1819" s="1637"/>
      <c r="M1819" s="1638">
        <v>0</v>
      </c>
      <c r="N1819" s="1639">
        <v>1.5819166215843798</v>
      </c>
      <c r="O1819" s="1639"/>
    </row>
    <row r="1820" spans="11:15">
      <c r="K1820" s="1636">
        <v>43877</v>
      </c>
      <c r="L1820" s="1637"/>
      <c r="M1820" s="1638">
        <v>0</v>
      </c>
      <c r="N1820" s="1639">
        <v>1.5819166215843798</v>
      </c>
      <c r="O1820" s="1639"/>
    </row>
    <row r="1821" spans="11:15">
      <c r="K1821" s="1636">
        <v>43878</v>
      </c>
      <c r="L1821" s="1637" t="s">
        <v>1650</v>
      </c>
      <c r="M1821" s="1638">
        <v>1.6136999999999999E-2</v>
      </c>
      <c r="N1821" s="1639">
        <v>1.5821718954696049</v>
      </c>
      <c r="O1821" s="1639"/>
    </row>
    <row r="1822" spans="11:15">
      <c r="K1822" s="1636">
        <v>43879</v>
      </c>
      <c r="L1822" s="1637" t="s">
        <v>1650</v>
      </c>
      <c r="M1822" s="1638">
        <v>1.6136999999999999E-2</v>
      </c>
      <c r="N1822" s="1639">
        <v>1.582427210548377</v>
      </c>
      <c r="O1822" s="1639"/>
    </row>
    <row r="1823" spans="11:15">
      <c r="K1823" s="1636">
        <v>43880</v>
      </c>
      <c r="L1823" s="1637" t="s">
        <v>1650</v>
      </c>
      <c r="M1823" s="1638">
        <v>1.6136999999999999E-2</v>
      </c>
      <c r="N1823" s="1639">
        <v>1.5826825668273432</v>
      </c>
      <c r="O1823" s="1639"/>
    </row>
    <row r="1824" spans="11:15">
      <c r="K1824" s="1636">
        <v>43881</v>
      </c>
      <c r="L1824" s="1637" t="s">
        <v>1650</v>
      </c>
      <c r="M1824" s="1638">
        <v>1.6136999999999999E-2</v>
      </c>
      <c r="N1824" s="1639">
        <v>1.5829379643131523</v>
      </c>
      <c r="O1824" s="1639"/>
    </row>
    <row r="1825" spans="11:15">
      <c r="K1825" s="1636">
        <v>43882</v>
      </c>
      <c r="L1825" s="1637" t="s">
        <v>1650</v>
      </c>
      <c r="M1825" s="1638">
        <v>1.6136999999999999E-2</v>
      </c>
      <c r="N1825" s="1639">
        <v>1.5831934030124535</v>
      </c>
      <c r="O1825" s="1639"/>
    </row>
    <row r="1826" spans="11:15">
      <c r="K1826" s="1636">
        <v>43883</v>
      </c>
      <c r="L1826" s="1637"/>
      <c r="M1826" s="1638">
        <v>0</v>
      </c>
      <c r="N1826" s="1639">
        <v>1.5831934030124535</v>
      </c>
      <c r="O1826" s="1639"/>
    </row>
    <row r="1827" spans="11:15">
      <c r="K1827" s="1636">
        <v>43884</v>
      </c>
      <c r="L1827" s="1637"/>
      <c r="M1827" s="1638">
        <v>0</v>
      </c>
      <c r="N1827" s="1639">
        <v>1.5831934030124535</v>
      </c>
      <c r="O1827" s="1639"/>
    </row>
    <row r="1828" spans="11:15">
      <c r="K1828" s="1636">
        <v>43885</v>
      </c>
      <c r="L1828" s="1637"/>
      <c r="M1828" s="1638">
        <v>0</v>
      </c>
      <c r="N1828" s="1639">
        <v>1.5831934030124535</v>
      </c>
      <c r="O1828" s="1639"/>
    </row>
    <row r="1829" spans="11:15">
      <c r="K1829" s="1636">
        <v>43886</v>
      </c>
      <c r="L1829" s="1637"/>
      <c r="M1829" s="1638">
        <v>0</v>
      </c>
      <c r="N1829" s="1639">
        <v>1.5831934030124535</v>
      </c>
      <c r="O1829" s="1639"/>
    </row>
    <row r="1830" spans="11:15">
      <c r="K1830" s="1636">
        <v>43887</v>
      </c>
      <c r="L1830" s="1637" t="s">
        <v>1650</v>
      </c>
      <c r="M1830" s="1638">
        <v>1.6136999999999999E-2</v>
      </c>
      <c r="N1830" s="1639">
        <v>1.5834488829318978</v>
      </c>
      <c r="O1830" s="1639"/>
    </row>
    <row r="1831" spans="11:15">
      <c r="K1831" s="1636">
        <v>43888</v>
      </c>
      <c r="L1831" s="1637" t="s">
        <v>1650</v>
      </c>
      <c r="M1831" s="1638">
        <v>1.6136999999999999E-2</v>
      </c>
      <c r="N1831" s="1639">
        <v>1.5837044040781365</v>
      </c>
      <c r="O1831" s="1639"/>
    </row>
    <row r="1832" spans="11:15">
      <c r="K1832" s="1636">
        <v>43889</v>
      </c>
      <c r="L1832" s="1637" t="s">
        <v>1650</v>
      </c>
      <c r="M1832" s="1638">
        <v>1.6136999999999999E-2</v>
      </c>
      <c r="N1832" s="1639">
        <v>1.5839599664578228</v>
      </c>
      <c r="O1832" s="1639"/>
    </row>
    <row r="1833" spans="11:15">
      <c r="K1833" s="1636">
        <v>43890</v>
      </c>
      <c r="L1833" s="1637"/>
      <c r="M1833" s="1638">
        <v>0</v>
      </c>
      <c r="N1833" s="1639">
        <v>1.5839599664578228</v>
      </c>
      <c r="O1833" s="1639"/>
    </row>
    <row r="1834" spans="11:15">
      <c r="K1834" s="1636">
        <v>43891</v>
      </c>
      <c r="L1834" s="1637"/>
      <c r="M1834" s="1638">
        <v>0</v>
      </c>
      <c r="N1834" s="1639">
        <v>1.5839599664578228</v>
      </c>
      <c r="O1834" s="1639"/>
    </row>
    <row r="1835" spans="11:15">
      <c r="K1835" s="1636">
        <v>43892</v>
      </c>
      <c r="L1835" s="1637" t="s">
        <v>1650</v>
      </c>
      <c r="M1835" s="1638">
        <v>1.6136999999999999E-2</v>
      </c>
      <c r="N1835" s="1639">
        <v>1.5842155700776102</v>
      </c>
      <c r="O1835" s="1639"/>
    </row>
    <row r="1836" spans="11:15">
      <c r="K1836" s="1636">
        <v>43893</v>
      </c>
      <c r="L1836" s="1637" t="s">
        <v>1650</v>
      </c>
      <c r="M1836" s="1638">
        <v>1.6136999999999999E-2</v>
      </c>
      <c r="N1836" s="1639">
        <v>1.5844712149441535</v>
      </c>
      <c r="O1836" s="1639"/>
    </row>
    <row r="1837" spans="11:15">
      <c r="K1837" s="1636">
        <v>43894</v>
      </c>
      <c r="L1837" s="1637" t="s">
        <v>1650</v>
      </c>
      <c r="M1837" s="1638">
        <v>1.6136999999999999E-2</v>
      </c>
      <c r="N1837" s="1639">
        <v>1.5847269010641092</v>
      </c>
      <c r="O1837" s="1639"/>
    </row>
    <row r="1838" spans="11:15">
      <c r="K1838" s="1636">
        <v>43895</v>
      </c>
      <c r="L1838" s="1637" t="s">
        <v>1650</v>
      </c>
      <c r="M1838" s="1638">
        <v>1.6136999999999999E-2</v>
      </c>
      <c r="N1838" s="1639">
        <v>1.584982628444134</v>
      </c>
      <c r="O1838" s="1639"/>
    </row>
    <row r="1839" spans="11:15">
      <c r="K1839" s="1636">
        <v>43896</v>
      </c>
      <c r="L1839" s="1637" t="s">
        <v>1650</v>
      </c>
      <c r="M1839" s="1638">
        <v>1.6136999999999999E-2</v>
      </c>
      <c r="N1839" s="1639">
        <v>1.5852383970908861</v>
      </c>
      <c r="O1839" s="1639"/>
    </row>
    <row r="1840" spans="11:15">
      <c r="K1840" s="1636">
        <v>43897</v>
      </c>
      <c r="L1840" s="1637"/>
      <c r="M1840" s="1638">
        <v>0</v>
      </c>
      <c r="N1840" s="1639">
        <v>1.5852383970908861</v>
      </c>
      <c r="O1840" s="1639"/>
    </row>
    <row r="1841" spans="11:15">
      <c r="K1841" s="1636">
        <v>43898</v>
      </c>
      <c r="L1841" s="1637"/>
      <c r="M1841" s="1638">
        <v>0</v>
      </c>
      <c r="N1841" s="1639">
        <v>1.5852383970908861</v>
      </c>
      <c r="O1841" s="1639"/>
    </row>
    <row r="1842" spans="11:15">
      <c r="K1842" s="1636">
        <v>43899</v>
      </c>
      <c r="L1842" s="1637" t="s">
        <v>1650</v>
      </c>
      <c r="M1842" s="1638">
        <v>1.6136999999999999E-2</v>
      </c>
      <c r="N1842" s="1639">
        <v>1.5854942070110247</v>
      </c>
      <c r="O1842" s="1639"/>
    </row>
    <row r="1843" spans="11:15">
      <c r="K1843" s="1636">
        <v>43900</v>
      </c>
      <c r="L1843" s="1637" t="s">
        <v>1650</v>
      </c>
      <c r="M1843" s="1638">
        <v>1.6136999999999999E-2</v>
      </c>
      <c r="N1843" s="1639">
        <v>1.5857500582112101</v>
      </c>
      <c r="O1843" s="1639"/>
    </row>
    <row r="1844" spans="11:15">
      <c r="K1844" s="1636">
        <v>43901</v>
      </c>
      <c r="L1844" s="1637" t="s">
        <v>1650</v>
      </c>
      <c r="M1844" s="1638">
        <v>1.6136999999999999E-2</v>
      </c>
      <c r="N1844" s="1639">
        <v>1.5860059506981037</v>
      </c>
      <c r="O1844" s="1639"/>
    </row>
    <row r="1845" spans="11:15">
      <c r="K1845" s="1636">
        <v>43902</v>
      </c>
      <c r="L1845" s="1637" t="s">
        <v>1650</v>
      </c>
      <c r="M1845" s="1638">
        <v>1.6136999999999999E-2</v>
      </c>
      <c r="N1845" s="1639">
        <v>1.586261884478368</v>
      </c>
      <c r="O1845" s="1639"/>
    </row>
    <row r="1846" spans="11:15">
      <c r="K1846" s="1636">
        <v>43903</v>
      </c>
      <c r="L1846" s="1637" t="s">
        <v>1650</v>
      </c>
      <c r="M1846" s="1638">
        <v>1.6136999999999999E-2</v>
      </c>
      <c r="N1846" s="1639">
        <v>1.5865178595586664</v>
      </c>
      <c r="O1846" s="1639"/>
    </row>
    <row r="1847" spans="11:15">
      <c r="K1847" s="1636">
        <v>43904</v>
      </c>
      <c r="L1847" s="1637"/>
      <c r="M1847" s="1638">
        <v>0</v>
      </c>
      <c r="N1847" s="1639">
        <v>1.5865178595586664</v>
      </c>
      <c r="O1847" s="1639"/>
    </row>
    <row r="1848" spans="11:15">
      <c r="K1848" s="1636">
        <v>43905</v>
      </c>
      <c r="L1848" s="1637"/>
      <c r="M1848" s="1638">
        <v>0</v>
      </c>
      <c r="N1848" s="1639">
        <v>1.5865178595586664</v>
      </c>
      <c r="O1848" s="1639"/>
    </row>
    <row r="1849" spans="11:15">
      <c r="K1849" s="1636">
        <v>43906</v>
      </c>
      <c r="L1849" s="1637" t="s">
        <v>1650</v>
      </c>
      <c r="M1849" s="1638">
        <v>1.6136999999999999E-2</v>
      </c>
      <c r="N1849" s="1639">
        <v>1.5867738759456635</v>
      </c>
      <c r="O1849" s="1639"/>
    </row>
    <row r="1850" spans="11:15">
      <c r="K1850" s="1636">
        <v>43907</v>
      </c>
      <c r="L1850" s="1637" t="s">
        <v>1650</v>
      </c>
      <c r="M1850" s="1638">
        <v>1.6136999999999999E-2</v>
      </c>
      <c r="N1850" s="1639">
        <v>1.587029933646025</v>
      </c>
      <c r="O1850" s="1639"/>
    </row>
    <row r="1851" spans="11:15">
      <c r="K1851" s="1636">
        <v>43908</v>
      </c>
      <c r="L1851" s="1637" t="s">
        <v>1650</v>
      </c>
      <c r="M1851" s="1638">
        <v>1.6136999999999999E-2</v>
      </c>
      <c r="N1851" s="1639">
        <v>1.5872860326664175</v>
      </c>
      <c r="O1851" s="1639"/>
    </row>
    <row r="1852" spans="11:15">
      <c r="K1852" s="1636">
        <v>43909</v>
      </c>
      <c r="L1852" s="1637" t="s">
        <v>1650</v>
      </c>
      <c r="M1852" s="1638">
        <v>1.4227E-2</v>
      </c>
      <c r="N1852" s="1639">
        <v>1.587511855850285</v>
      </c>
      <c r="O1852" s="1639"/>
    </row>
    <row r="1853" spans="11:15">
      <c r="K1853" s="1636">
        <v>43910</v>
      </c>
      <c r="L1853" s="1637" t="s">
        <v>1650</v>
      </c>
      <c r="M1853" s="1638">
        <v>1.4227E-2</v>
      </c>
      <c r="N1853" s="1639">
        <v>1.5877377111620168</v>
      </c>
      <c r="O1853" s="1639"/>
    </row>
    <row r="1854" spans="11:15">
      <c r="K1854" s="1636">
        <v>43911</v>
      </c>
      <c r="L1854" s="1637"/>
      <c r="M1854" s="1638">
        <v>0</v>
      </c>
      <c r="N1854" s="1639">
        <v>1.5877377111620168</v>
      </c>
      <c r="O1854" s="1639"/>
    </row>
    <row r="1855" spans="11:15">
      <c r="K1855" s="1636">
        <v>43912</v>
      </c>
      <c r="L1855" s="1637"/>
      <c r="M1855" s="1638">
        <v>0</v>
      </c>
      <c r="N1855" s="1639">
        <v>1.5877377111620168</v>
      </c>
      <c r="O1855" s="1639"/>
    </row>
    <row r="1856" spans="11:15">
      <c r="K1856" s="1636">
        <v>43913</v>
      </c>
      <c r="L1856" s="1637" t="s">
        <v>1650</v>
      </c>
      <c r="M1856" s="1638">
        <v>1.4227E-2</v>
      </c>
      <c r="N1856" s="1639">
        <v>1.5879635986061837</v>
      </c>
      <c r="O1856" s="1639"/>
    </row>
    <row r="1857" spans="11:15">
      <c r="K1857" s="1636">
        <v>43914</v>
      </c>
      <c r="L1857" s="1637" t="s">
        <v>1650</v>
      </c>
      <c r="M1857" s="1638">
        <v>1.4227E-2</v>
      </c>
      <c r="N1857" s="1639">
        <v>1.5881895181873575</v>
      </c>
      <c r="O1857" s="1639"/>
    </row>
    <row r="1858" spans="11:15">
      <c r="K1858" s="1636">
        <v>43915</v>
      </c>
      <c r="L1858" s="1637" t="s">
        <v>1650</v>
      </c>
      <c r="M1858" s="1638">
        <v>1.4227E-2</v>
      </c>
      <c r="N1858" s="1639">
        <v>1.5884154699101101</v>
      </c>
      <c r="O1858" s="1639"/>
    </row>
    <row r="1859" spans="11:15">
      <c r="K1859" s="1636">
        <v>43916</v>
      </c>
      <c r="L1859" s="1637" t="s">
        <v>1650</v>
      </c>
      <c r="M1859" s="1638">
        <v>1.4227E-2</v>
      </c>
      <c r="N1859" s="1639">
        <v>1.5886414537790141</v>
      </c>
      <c r="O1859" s="1639"/>
    </row>
    <row r="1860" spans="11:15">
      <c r="K1860" s="1636">
        <v>43917</v>
      </c>
      <c r="L1860" s="1637" t="s">
        <v>1650</v>
      </c>
      <c r="M1860" s="1638">
        <v>1.4227E-2</v>
      </c>
      <c r="N1860" s="1639">
        <v>1.5888674697986434</v>
      </c>
      <c r="O1860" s="1639"/>
    </row>
    <row r="1861" spans="11:15">
      <c r="K1861" s="1636">
        <v>43918</v>
      </c>
      <c r="L1861" s="1637"/>
      <c r="M1861" s="1638">
        <v>0</v>
      </c>
      <c r="N1861" s="1639">
        <v>1.5888674697986434</v>
      </c>
      <c r="O1861" s="1639"/>
    </row>
    <row r="1862" spans="11:15">
      <c r="K1862" s="1636">
        <v>43919</v>
      </c>
      <c r="L1862" s="1637"/>
      <c r="M1862" s="1638">
        <v>0</v>
      </c>
      <c r="N1862" s="1639">
        <v>1.5888674697986434</v>
      </c>
      <c r="O1862" s="1639"/>
    </row>
    <row r="1863" spans="11:15">
      <c r="K1863" s="1636">
        <v>43920</v>
      </c>
      <c r="L1863" s="1637" t="s">
        <v>1650</v>
      </c>
      <c r="M1863" s="1638">
        <v>1.4227E-2</v>
      </c>
      <c r="N1863" s="1639">
        <v>1.5890935179735717</v>
      </c>
      <c r="O1863" s="1639"/>
    </row>
    <row r="1864" spans="11:15">
      <c r="K1864" s="1636">
        <v>43921</v>
      </c>
      <c r="L1864" s="1637" t="s">
        <v>1650</v>
      </c>
      <c r="M1864" s="1638">
        <v>1.4227E-2</v>
      </c>
      <c r="N1864" s="1639">
        <v>1.5893195983083739</v>
      </c>
      <c r="O1864" s="1639"/>
    </row>
    <row r="1865" spans="11:15">
      <c r="K1865" s="1636">
        <v>43922</v>
      </c>
      <c r="L1865" s="1637" t="s">
        <v>1650</v>
      </c>
      <c r="M1865" s="1638">
        <v>1.4227E-2</v>
      </c>
      <c r="N1865" s="1639">
        <v>1.5895457108076252</v>
      </c>
      <c r="O1865" s="1639"/>
    </row>
    <row r="1866" spans="11:15">
      <c r="K1866" s="1636">
        <v>43923</v>
      </c>
      <c r="L1866" s="1637" t="s">
        <v>1650</v>
      </c>
      <c r="M1866" s="1638">
        <v>1.4227E-2</v>
      </c>
      <c r="N1866" s="1639">
        <v>1.5897718554759017</v>
      </c>
      <c r="O1866" s="1639"/>
    </row>
    <row r="1867" spans="11:15">
      <c r="K1867" s="1636">
        <v>43924</v>
      </c>
      <c r="L1867" s="1637" t="s">
        <v>1650</v>
      </c>
      <c r="M1867" s="1638">
        <v>1.4227E-2</v>
      </c>
      <c r="N1867" s="1639">
        <v>1.5899980323177803</v>
      </c>
      <c r="O1867" s="1639"/>
    </row>
    <row r="1868" spans="11:15">
      <c r="K1868" s="1636">
        <v>43925</v>
      </c>
      <c r="L1868" s="1637"/>
      <c r="M1868" s="1638">
        <v>0</v>
      </c>
      <c r="N1868" s="1639">
        <v>1.5899980323177803</v>
      </c>
      <c r="O1868" s="1639"/>
    </row>
    <row r="1869" spans="11:15">
      <c r="K1869" s="1636">
        <v>43926</v>
      </c>
      <c r="L1869" s="1637"/>
      <c r="M1869" s="1638">
        <v>0</v>
      </c>
      <c r="N1869" s="1639">
        <v>1.5899980323177803</v>
      </c>
      <c r="O1869" s="1639"/>
    </row>
    <row r="1870" spans="11:15">
      <c r="K1870" s="1636">
        <v>43927</v>
      </c>
      <c r="L1870" s="1637" t="s">
        <v>1650</v>
      </c>
      <c r="M1870" s="1638">
        <v>1.4227E-2</v>
      </c>
      <c r="N1870" s="1639">
        <v>1.590224241337838</v>
      </c>
      <c r="O1870" s="1639"/>
    </row>
    <row r="1871" spans="11:15">
      <c r="K1871" s="1636">
        <v>43928</v>
      </c>
      <c r="L1871" s="1637" t="s">
        <v>1650</v>
      </c>
      <c r="M1871" s="1638">
        <v>1.4227E-2</v>
      </c>
      <c r="N1871" s="1639">
        <v>1.5904504825406531</v>
      </c>
      <c r="O1871" s="1639"/>
    </row>
    <row r="1872" spans="11:15">
      <c r="K1872" s="1636">
        <v>43929</v>
      </c>
      <c r="L1872" s="1637" t="s">
        <v>1650</v>
      </c>
      <c r="M1872" s="1638">
        <v>1.4227E-2</v>
      </c>
      <c r="N1872" s="1639">
        <v>1.5906767559308042</v>
      </c>
      <c r="O1872" s="1639"/>
    </row>
    <row r="1873" spans="11:15">
      <c r="K1873" s="1636">
        <v>43930</v>
      </c>
      <c r="L1873" s="1637" t="s">
        <v>1650</v>
      </c>
      <c r="M1873" s="1638">
        <v>1.4227E-2</v>
      </c>
      <c r="N1873" s="1639">
        <v>1.5909030615128705</v>
      </c>
      <c r="O1873" s="1639"/>
    </row>
    <row r="1874" spans="11:15">
      <c r="K1874" s="1636">
        <v>43931</v>
      </c>
      <c r="L1874" s="1637"/>
      <c r="M1874" s="1638">
        <v>0</v>
      </c>
      <c r="N1874" s="1639">
        <v>1.5909030615128705</v>
      </c>
      <c r="O1874" s="1639"/>
    </row>
    <row r="1875" spans="11:15">
      <c r="K1875" s="1636">
        <v>43932</v>
      </c>
      <c r="L1875" s="1637"/>
      <c r="M1875" s="1638">
        <v>0</v>
      </c>
      <c r="N1875" s="1639">
        <v>1.5909030615128705</v>
      </c>
      <c r="O1875" s="1639"/>
    </row>
    <row r="1876" spans="11:15">
      <c r="K1876" s="1636">
        <v>43933</v>
      </c>
      <c r="L1876" s="1637"/>
      <c r="M1876" s="1638">
        <v>0</v>
      </c>
      <c r="N1876" s="1639">
        <v>1.5909030615128705</v>
      </c>
      <c r="O1876" s="1639"/>
    </row>
    <row r="1877" spans="11:15">
      <c r="K1877" s="1636">
        <v>43934</v>
      </c>
      <c r="L1877" s="1637" t="s">
        <v>1650</v>
      </c>
      <c r="M1877" s="1638">
        <v>1.4227E-2</v>
      </c>
      <c r="N1877" s="1639">
        <v>1.5911293992914319</v>
      </c>
      <c r="O1877" s="1639"/>
    </row>
    <row r="1878" spans="11:15">
      <c r="K1878" s="1636">
        <v>43935</v>
      </c>
      <c r="L1878" s="1637" t="s">
        <v>1650</v>
      </c>
      <c r="M1878" s="1638">
        <v>1.4227E-2</v>
      </c>
      <c r="N1878" s="1639">
        <v>1.5913557692710691</v>
      </c>
      <c r="O1878" s="1639"/>
    </row>
    <row r="1879" spans="11:15">
      <c r="K1879" s="1636">
        <v>43936</v>
      </c>
      <c r="L1879" s="1637" t="s">
        <v>1650</v>
      </c>
      <c r="M1879" s="1638">
        <v>1.4227E-2</v>
      </c>
      <c r="N1879" s="1639">
        <v>1.5915821714563634</v>
      </c>
      <c r="O1879" s="1639"/>
    </row>
    <row r="1880" spans="11:15">
      <c r="K1880" s="1636">
        <v>43937</v>
      </c>
      <c r="L1880" s="1637" t="s">
        <v>1650</v>
      </c>
      <c r="M1880" s="1638">
        <v>1.4227E-2</v>
      </c>
      <c r="N1880" s="1639">
        <v>1.5918086058518965</v>
      </c>
      <c r="O1880" s="1639"/>
    </row>
    <row r="1881" spans="11:15">
      <c r="K1881" s="1636">
        <v>43938</v>
      </c>
      <c r="L1881" s="1637" t="s">
        <v>1650</v>
      </c>
      <c r="M1881" s="1638">
        <v>1.4227E-2</v>
      </c>
      <c r="N1881" s="1639">
        <v>1.5920350724622512</v>
      </c>
      <c r="O1881" s="1639"/>
    </row>
    <row r="1882" spans="11:15">
      <c r="K1882" s="1636">
        <v>43939</v>
      </c>
      <c r="L1882" s="1637"/>
      <c r="M1882" s="1638">
        <v>0</v>
      </c>
      <c r="N1882" s="1639">
        <v>1.5920350724622512</v>
      </c>
      <c r="O1882" s="1639"/>
    </row>
    <row r="1883" spans="11:15">
      <c r="K1883" s="1636">
        <v>43940</v>
      </c>
      <c r="L1883" s="1637"/>
      <c r="M1883" s="1638">
        <v>0</v>
      </c>
      <c r="N1883" s="1639">
        <v>1.5920350724622512</v>
      </c>
      <c r="O1883" s="1639"/>
    </row>
    <row r="1884" spans="11:15">
      <c r="K1884" s="1636">
        <v>43941</v>
      </c>
      <c r="L1884" s="1637" t="s">
        <v>1650</v>
      </c>
      <c r="M1884" s="1638">
        <v>1.4227E-2</v>
      </c>
      <c r="N1884" s="1639">
        <v>1.5922615712920103</v>
      </c>
      <c r="O1884" s="1639"/>
    </row>
    <row r="1885" spans="11:15">
      <c r="K1885" s="1636">
        <v>43942</v>
      </c>
      <c r="L1885" s="1637"/>
      <c r="M1885" s="1638">
        <v>0</v>
      </c>
      <c r="N1885" s="1639">
        <v>1.5922615712920103</v>
      </c>
      <c r="O1885" s="1639"/>
    </row>
    <row r="1886" spans="11:15">
      <c r="K1886" s="1636">
        <v>43943</v>
      </c>
      <c r="L1886" s="1637" t="s">
        <v>1650</v>
      </c>
      <c r="M1886" s="1638">
        <v>1.4227E-2</v>
      </c>
      <c r="N1886" s="1639">
        <v>1.592488102345758</v>
      </c>
      <c r="O1886" s="1639"/>
    </row>
    <row r="1887" spans="11:15">
      <c r="K1887" s="1636">
        <v>43944</v>
      </c>
      <c r="L1887" s="1637" t="s">
        <v>1650</v>
      </c>
      <c r="M1887" s="1638">
        <v>1.4227E-2</v>
      </c>
      <c r="N1887" s="1639">
        <v>1.5927146656280786</v>
      </c>
      <c r="O1887" s="1639"/>
    </row>
    <row r="1888" spans="11:15">
      <c r="K1888" s="1636">
        <v>43945</v>
      </c>
      <c r="L1888" s="1637" t="s">
        <v>1650</v>
      </c>
      <c r="M1888" s="1638">
        <v>1.4227E-2</v>
      </c>
      <c r="N1888" s="1639">
        <v>1.5929412611435576</v>
      </c>
      <c r="O1888" s="1639"/>
    </row>
    <row r="1889" spans="11:15">
      <c r="K1889" s="1636">
        <v>43946</v>
      </c>
      <c r="L1889" s="1637"/>
      <c r="M1889" s="1638">
        <v>0</v>
      </c>
      <c r="N1889" s="1639">
        <v>1.5929412611435576</v>
      </c>
      <c r="O1889" s="1639"/>
    </row>
    <row r="1890" spans="11:15">
      <c r="K1890" s="1636">
        <v>43947</v>
      </c>
      <c r="L1890" s="1637"/>
      <c r="M1890" s="1638">
        <v>0</v>
      </c>
      <c r="N1890" s="1639">
        <v>1.5929412611435576</v>
      </c>
      <c r="O1890" s="1639"/>
    </row>
    <row r="1891" spans="11:15">
      <c r="K1891" s="1636">
        <v>43948</v>
      </c>
      <c r="L1891" s="1637" t="s">
        <v>1650</v>
      </c>
      <c r="M1891" s="1638">
        <v>1.4227E-2</v>
      </c>
      <c r="N1891" s="1639">
        <v>1.5931678888967804</v>
      </c>
      <c r="O1891" s="1639"/>
    </row>
    <row r="1892" spans="11:15">
      <c r="K1892" s="1636">
        <v>43949</v>
      </c>
      <c r="L1892" s="1637" t="s">
        <v>1650</v>
      </c>
      <c r="M1892" s="1638">
        <v>1.4227E-2</v>
      </c>
      <c r="N1892" s="1639">
        <v>1.5933945488923338</v>
      </c>
      <c r="O1892" s="1639"/>
    </row>
    <row r="1893" spans="11:15">
      <c r="K1893" s="1636">
        <v>43950</v>
      </c>
      <c r="L1893" s="1637" t="s">
        <v>1650</v>
      </c>
      <c r="M1893" s="1638">
        <v>1.4227E-2</v>
      </c>
      <c r="N1893" s="1639">
        <v>1.5936212411348047</v>
      </c>
      <c r="O1893" s="1639"/>
    </row>
    <row r="1894" spans="11:15">
      <c r="K1894" s="1636">
        <v>43951</v>
      </c>
      <c r="L1894" s="1637" t="s">
        <v>1650</v>
      </c>
      <c r="M1894" s="1638">
        <v>1.4227E-2</v>
      </c>
      <c r="N1894" s="1639">
        <v>1.5938479656287809</v>
      </c>
      <c r="O1894" s="1639"/>
    </row>
    <row r="1895" spans="11:15">
      <c r="K1895" s="1636">
        <v>43952</v>
      </c>
      <c r="L1895" s="1637"/>
      <c r="M1895" s="1638">
        <v>0</v>
      </c>
      <c r="N1895" s="1639">
        <v>1.5938479656287809</v>
      </c>
      <c r="O1895" s="1639"/>
    </row>
    <row r="1896" spans="11:15">
      <c r="K1896" s="1636">
        <v>43953</v>
      </c>
      <c r="L1896" s="1637"/>
      <c r="M1896" s="1638">
        <v>0</v>
      </c>
      <c r="N1896" s="1639">
        <v>1.5938479656287809</v>
      </c>
      <c r="O1896" s="1639"/>
    </row>
    <row r="1897" spans="11:15">
      <c r="K1897" s="1636">
        <v>43954</v>
      </c>
      <c r="L1897" s="1637"/>
      <c r="M1897" s="1638">
        <v>0</v>
      </c>
      <c r="N1897" s="1639">
        <v>1.5938479656287809</v>
      </c>
      <c r="O1897" s="1639"/>
    </row>
    <row r="1898" spans="11:15">
      <c r="K1898" s="1636">
        <v>43955</v>
      </c>
      <c r="L1898" s="1637" t="s">
        <v>1650</v>
      </c>
      <c r="M1898" s="1638">
        <v>1.4227E-2</v>
      </c>
      <c r="N1898" s="1639">
        <v>1.594074722378851</v>
      </c>
      <c r="O1898" s="1639"/>
    </row>
    <row r="1899" spans="11:15">
      <c r="K1899" s="1636">
        <v>43956</v>
      </c>
      <c r="L1899" s="1637" t="s">
        <v>1650</v>
      </c>
      <c r="M1899" s="1638">
        <v>1.4227E-2</v>
      </c>
      <c r="N1899" s="1639">
        <v>1.5943015113896037</v>
      </c>
      <c r="O1899" s="1639"/>
    </row>
    <row r="1900" spans="11:15">
      <c r="K1900" s="1636">
        <v>43957</v>
      </c>
      <c r="L1900" s="1637" t="s">
        <v>1650</v>
      </c>
      <c r="M1900" s="1638">
        <v>1.4227E-2</v>
      </c>
      <c r="N1900" s="1639">
        <v>1.5945283326656292</v>
      </c>
      <c r="O1900" s="1639"/>
    </row>
    <row r="1901" spans="11:15">
      <c r="K1901" s="1636">
        <v>43958</v>
      </c>
      <c r="L1901" s="1637" t="s">
        <v>1650</v>
      </c>
      <c r="M1901" s="1638">
        <v>1.1344999999999999E-2</v>
      </c>
      <c r="N1901" s="1639">
        <v>1.59470923190497</v>
      </c>
      <c r="O1901" s="1639"/>
    </row>
    <row r="1902" spans="11:15">
      <c r="K1902" s="1636">
        <v>43959</v>
      </c>
      <c r="L1902" s="1637" t="s">
        <v>1650</v>
      </c>
      <c r="M1902" s="1638">
        <v>1.1344999999999999E-2</v>
      </c>
      <c r="N1902" s="1639">
        <v>1.5948901516673295</v>
      </c>
      <c r="O1902" s="1639"/>
    </row>
    <row r="1903" spans="11:15">
      <c r="K1903" s="1636">
        <v>43960</v>
      </c>
      <c r="L1903" s="1637"/>
      <c r="M1903" s="1638">
        <v>0</v>
      </c>
      <c r="N1903" s="1639">
        <v>1.5948901516673295</v>
      </c>
      <c r="O1903" s="1639"/>
    </row>
    <row r="1904" spans="11:15">
      <c r="K1904" s="1636">
        <v>43961</v>
      </c>
      <c r="L1904" s="1637"/>
      <c r="M1904" s="1638">
        <v>0</v>
      </c>
      <c r="N1904" s="1639">
        <v>1.5948901516673295</v>
      </c>
      <c r="O1904" s="1639"/>
    </row>
    <row r="1905" spans="11:15">
      <c r="K1905" s="1636">
        <v>43962</v>
      </c>
      <c r="L1905" s="1637" t="s">
        <v>1650</v>
      </c>
      <c r="M1905" s="1638">
        <v>1.1344999999999999E-2</v>
      </c>
      <c r="N1905" s="1639">
        <v>1.5950710919550362</v>
      </c>
      <c r="O1905" s="1639"/>
    </row>
    <row r="1906" spans="11:15">
      <c r="K1906" s="1636">
        <v>43963</v>
      </c>
      <c r="L1906" s="1637" t="s">
        <v>1650</v>
      </c>
      <c r="M1906" s="1638">
        <v>1.1344999999999999E-2</v>
      </c>
      <c r="N1906" s="1639">
        <v>1.5952520527704184</v>
      </c>
      <c r="O1906" s="1639"/>
    </row>
    <row r="1907" spans="11:15">
      <c r="K1907" s="1636">
        <v>43964</v>
      </c>
      <c r="L1907" s="1637" t="s">
        <v>1650</v>
      </c>
      <c r="M1907" s="1638">
        <v>1.1344999999999999E-2</v>
      </c>
      <c r="N1907" s="1639">
        <v>1.5954330341158052</v>
      </c>
      <c r="O1907" s="1639"/>
    </row>
    <row r="1908" spans="11:15">
      <c r="K1908" s="1636">
        <v>43965</v>
      </c>
      <c r="L1908" s="1637" t="s">
        <v>1650</v>
      </c>
      <c r="M1908" s="1638">
        <v>1.1344999999999999E-2</v>
      </c>
      <c r="N1908" s="1639">
        <v>1.5956140359935256</v>
      </c>
      <c r="O1908" s="1639"/>
    </row>
    <row r="1909" spans="11:15">
      <c r="K1909" s="1636">
        <v>43966</v>
      </c>
      <c r="L1909" s="1637" t="s">
        <v>1650</v>
      </c>
      <c r="M1909" s="1638">
        <v>1.1344999999999999E-2</v>
      </c>
      <c r="N1909" s="1639">
        <v>1.5957950584059091</v>
      </c>
      <c r="O1909" s="1639"/>
    </row>
    <row r="1910" spans="11:15">
      <c r="K1910" s="1636">
        <v>43967</v>
      </c>
      <c r="L1910" s="1637"/>
      <c r="M1910" s="1638">
        <v>0</v>
      </c>
      <c r="N1910" s="1639">
        <v>1.5957950584059091</v>
      </c>
      <c r="O1910" s="1639"/>
    </row>
    <row r="1911" spans="11:15">
      <c r="K1911" s="1636">
        <v>43968</v>
      </c>
      <c r="L1911" s="1637"/>
      <c r="M1911" s="1638">
        <v>0</v>
      </c>
      <c r="N1911" s="1639">
        <v>1.5957950584059091</v>
      </c>
      <c r="O1911" s="1639"/>
    </row>
    <row r="1912" spans="11:15">
      <c r="K1912" s="1636">
        <v>43969</v>
      </c>
      <c r="L1912" s="1637" t="s">
        <v>1650</v>
      </c>
      <c r="M1912" s="1638">
        <v>1.1344999999999999E-2</v>
      </c>
      <c r="N1912" s="1639">
        <v>1.5959761013552851</v>
      </c>
      <c r="O1912" s="1639"/>
    </row>
    <row r="1913" spans="11:15">
      <c r="K1913" s="1636">
        <v>43970</v>
      </c>
      <c r="L1913" s="1637" t="s">
        <v>1650</v>
      </c>
      <c r="M1913" s="1638">
        <v>1.1344999999999999E-2</v>
      </c>
      <c r="N1913" s="1639">
        <v>1.5961571648439838</v>
      </c>
      <c r="O1913" s="1639"/>
    </row>
    <row r="1914" spans="11:15">
      <c r="K1914" s="1636">
        <v>43971</v>
      </c>
      <c r="L1914" s="1637" t="s">
        <v>1650</v>
      </c>
      <c r="M1914" s="1638">
        <v>1.1344999999999999E-2</v>
      </c>
      <c r="N1914" s="1639">
        <v>1.5963382488743354</v>
      </c>
      <c r="O1914" s="1639"/>
    </row>
    <row r="1915" spans="11:15">
      <c r="K1915" s="1636">
        <v>43972</v>
      </c>
      <c r="L1915" s="1637" t="s">
        <v>1650</v>
      </c>
      <c r="M1915" s="1638">
        <v>1.1344999999999999E-2</v>
      </c>
      <c r="N1915" s="1639">
        <v>1.5965193534486701</v>
      </c>
      <c r="O1915" s="1639"/>
    </row>
    <row r="1916" spans="11:15">
      <c r="K1916" s="1636">
        <v>43973</v>
      </c>
      <c r="L1916" s="1637" t="s">
        <v>1650</v>
      </c>
      <c r="M1916" s="1638">
        <v>1.1344999999999999E-2</v>
      </c>
      <c r="N1916" s="1639">
        <v>1.5967004785693188</v>
      </c>
      <c r="O1916" s="1639"/>
    </row>
    <row r="1917" spans="11:15">
      <c r="K1917" s="1636">
        <v>43974</v>
      </c>
      <c r="L1917" s="1637"/>
      <c r="M1917" s="1638">
        <v>0</v>
      </c>
      <c r="N1917" s="1639">
        <v>1.5967004785693188</v>
      </c>
      <c r="O1917" s="1639"/>
    </row>
    <row r="1918" spans="11:15">
      <c r="K1918" s="1636">
        <v>43975</v>
      </c>
      <c r="L1918" s="1637"/>
      <c r="M1918" s="1638">
        <v>0</v>
      </c>
      <c r="N1918" s="1639">
        <v>1.5967004785693188</v>
      </c>
      <c r="O1918" s="1639"/>
    </row>
    <row r="1919" spans="11:15">
      <c r="K1919" s="1636">
        <v>43976</v>
      </c>
      <c r="L1919" s="1637" t="s">
        <v>1650</v>
      </c>
      <c r="M1919" s="1638">
        <v>1.1344999999999999E-2</v>
      </c>
      <c r="N1919" s="1639">
        <v>1.5968816242386126</v>
      </c>
      <c r="O1919" s="1639"/>
    </row>
    <row r="1920" spans="11:15">
      <c r="K1920" s="1636">
        <v>43977</v>
      </c>
      <c r="L1920" s="1637" t="s">
        <v>1650</v>
      </c>
      <c r="M1920" s="1638">
        <v>1.1344999999999999E-2</v>
      </c>
      <c r="N1920" s="1639">
        <v>1.5970627904588823</v>
      </c>
      <c r="O1920" s="1639"/>
    </row>
    <row r="1921" spans="11:15">
      <c r="K1921" s="1636">
        <v>43978</v>
      </c>
      <c r="L1921" s="1637" t="s">
        <v>1650</v>
      </c>
      <c r="M1921" s="1638">
        <v>1.1344999999999999E-2</v>
      </c>
      <c r="N1921" s="1639">
        <v>1.5972439772324598</v>
      </c>
      <c r="O1921" s="1639"/>
    </row>
    <row r="1922" spans="11:15">
      <c r="K1922" s="1636">
        <v>43979</v>
      </c>
      <c r="L1922" s="1637" t="s">
        <v>1650</v>
      </c>
      <c r="M1922" s="1638">
        <v>1.1344999999999999E-2</v>
      </c>
      <c r="N1922" s="1639">
        <v>1.5974251845616767</v>
      </c>
      <c r="O1922" s="1639"/>
    </row>
    <row r="1923" spans="11:15">
      <c r="K1923" s="1636">
        <v>43980</v>
      </c>
      <c r="L1923" s="1637" t="s">
        <v>1650</v>
      </c>
      <c r="M1923" s="1638">
        <v>1.1344999999999999E-2</v>
      </c>
      <c r="N1923" s="1639">
        <v>1.5976064124488651</v>
      </c>
      <c r="O1923" s="1639"/>
    </row>
    <row r="1924" spans="11:15">
      <c r="K1924" s="1636">
        <v>43981</v>
      </c>
      <c r="L1924" s="1637"/>
      <c r="M1924" s="1638">
        <v>0</v>
      </c>
      <c r="N1924" s="1639">
        <v>1.5976064124488651</v>
      </c>
      <c r="O1924" s="1639"/>
    </row>
    <row r="1925" spans="11:15">
      <c r="K1925" s="1636">
        <v>43982</v>
      </c>
      <c r="L1925" s="1637"/>
      <c r="M1925" s="1638">
        <v>0</v>
      </c>
      <c r="N1925" s="1639">
        <v>1.5976064124488651</v>
      </c>
      <c r="O1925" s="1639"/>
    </row>
    <row r="1926" spans="11:15">
      <c r="K1926" s="1636">
        <v>43983</v>
      </c>
      <c r="L1926" s="1637" t="s">
        <v>1650</v>
      </c>
      <c r="M1926" s="1638">
        <v>1.1344999999999999E-2</v>
      </c>
      <c r="N1926" s="1639">
        <v>1.5977876608963575</v>
      </c>
      <c r="O1926" s="1639"/>
    </row>
    <row r="1927" spans="11:15">
      <c r="K1927" s="1636">
        <v>43984</v>
      </c>
      <c r="L1927" s="1637" t="s">
        <v>1650</v>
      </c>
      <c r="M1927" s="1638">
        <v>1.1344999999999999E-2</v>
      </c>
      <c r="N1927" s="1639">
        <v>1.5979689299064861</v>
      </c>
      <c r="O1927" s="1639"/>
    </row>
    <row r="1928" spans="11:15">
      <c r="K1928" s="1636">
        <v>43985</v>
      </c>
      <c r="L1928" s="1637" t="s">
        <v>1650</v>
      </c>
      <c r="M1928" s="1638">
        <v>1.1344999999999999E-2</v>
      </c>
      <c r="N1928" s="1639">
        <v>1.598150219481584</v>
      </c>
      <c r="O1928" s="1639"/>
    </row>
    <row r="1929" spans="11:15">
      <c r="K1929" s="1636">
        <v>43986</v>
      </c>
      <c r="L1929" s="1637" t="s">
        <v>1650</v>
      </c>
      <c r="M1929" s="1638">
        <v>1.1344999999999999E-2</v>
      </c>
      <c r="N1929" s="1639">
        <v>1.5983315296239842</v>
      </c>
      <c r="O1929" s="1639"/>
    </row>
    <row r="1930" spans="11:15">
      <c r="K1930" s="1636">
        <v>43987</v>
      </c>
      <c r="L1930" s="1637" t="s">
        <v>1650</v>
      </c>
      <c r="M1930" s="1638">
        <v>1.1344999999999999E-2</v>
      </c>
      <c r="N1930" s="1639">
        <v>1.5985128603360199</v>
      </c>
      <c r="O1930" s="1639"/>
    </row>
    <row r="1931" spans="11:15">
      <c r="K1931" s="1636">
        <v>43988</v>
      </c>
      <c r="L1931" s="1637"/>
      <c r="M1931" s="1638">
        <v>0</v>
      </c>
      <c r="N1931" s="1639">
        <v>1.5985128603360199</v>
      </c>
      <c r="O1931" s="1639"/>
    </row>
    <row r="1932" spans="11:15">
      <c r="K1932" s="1636">
        <v>43989</v>
      </c>
      <c r="L1932" s="1637"/>
      <c r="M1932" s="1638">
        <v>0</v>
      </c>
      <c r="N1932" s="1639">
        <v>1.5985128603360199</v>
      </c>
      <c r="O1932" s="1639"/>
    </row>
    <row r="1933" spans="11:15">
      <c r="K1933" s="1636">
        <v>43990</v>
      </c>
      <c r="L1933" s="1637" t="s">
        <v>1650</v>
      </c>
      <c r="M1933" s="1638">
        <v>1.1344999999999999E-2</v>
      </c>
      <c r="N1933" s="1639">
        <v>1.5986942116200249</v>
      </c>
      <c r="O1933" s="1639"/>
    </row>
    <row r="1934" spans="11:15">
      <c r="K1934" s="1636">
        <v>43991</v>
      </c>
      <c r="L1934" s="1637" t="s">
        <v>1650</v>
      </c>
      <c r="M1934" s="1638">
        <v>1.1344999999999999E-2</v>
      </c>
      <c r="N1934" s="1639">
        <v>1.598875583478333</v>
      </c>
      <c r="O1934" s="1639"/>
    </row>
    <row r="1935" spans="11:15">
      <c r="K1935" s="1636">
        <v>43992</v>
      </c>
      <c r="L1935" s="1637" t="s">
        <v>1650</v>
      </c>
      <c r="M1935" s="1638">
        <v>1.1344999999999999E-2</v>
      </c>
      <c r="N1935" s="1639">
        <v>1.5990569759132787</v>
      </c>
      <c r="O1935" s="1639"/>
    </row>
    <row r="1936" spans="11:15">
      <c r="K1936" s="1636">
        <v>43993</v>
      </c>
      <c r="L1936" s="1637"/>
      <c r="M1936" s="1638">
        <v>0</v>
      </c>
      <c r="N1936" s="1639">
        <v>1.5990569759132787</v>
      </c>
      <c r="O1936" s="1639"/>
    </row>
    <row r="1937" spans="11:15">
      <c r="K1937" s="1636">
        <v>43994</v>
      </c>
      <c r="L1937" s="1637" t="s">
        <v>1650</v>
      </c>
      <c r="M1937" s="1638">
        <v>1.1344999999999999E-2</v>
      </c>
      <c r="N1937" s="1639">
        <v>1.5992383889271959</v>
      </c>
      <c r="O1937" s="1639"/>
    </row>
    <row r="1938" spans="11:15">
      <c r="K1938" s="1636">
        <v>43995</v>
      </c>
      <c r="L1938" s="1637"/>
      <c r="M1938" s="1638">
        <v>0</v>
      </c>
      <c r="N1938" s="1639">
        <v>1.5992383889271959</v>
      </c>
      <c r="O1938" s="1639"/>
    </row>
    <row r="1939" spans="11:15">
      <c r="K1939" s="1636">
        <v>43996</v>
      </c>
      <c r="L1939" s="1637"/>
      <c r="M1939" s="1638">
        <v>0</v>
      </c>
      <c r="N1939" s="1639">
        <v>1.5992383889271959</v>
      </c>
      <c r="O1939" s="1639"/>
    </row>
    <row r="1940" spans="11:15">
      <c r="K1940" s="1636">
        <v>43997</v>
      </c>
      <c r="L1940" s="1637" t="s">
        <v>1650</v>
      </c>
      <c r="M1940" s="1638">
        <v>1.1344999999999999E-2</v>
      </c>
      <c r="N1940" s="1639">
        <v>1.5994198225224197</v>
      </c>
      <c r="O1940" s="1639"/>
    </row>
    <row r="1941" spans="11:15">
      <c r="K1941" s="1636">
        <v>43998</v>
      </c>
      <c r="L1941" s="1637" t="s">
        <v>1650</v>
      </c>
      <c r="M1941" s="1638">
        <v>1.1344999999999999E-2</v>
      </c>
      <c r="N1941" s="1639">
        <v>1.5996012767012848</v>
      </c>
      <c r="O1941" s="1639"/>
    </row>
    <row r="1942" spans="11:15">
      <c r="K1942" s="1636">
        <v>43999</v>
      </c>
      <c r="L1942" s="1637" t="s">
        <v>1650</v>
      </c>
      <c r="M1942" s="1638">
        <v>1.1344999999999999E-2</v>
      </c>
      <c r="N1942" s="1639">
        <v>1.5997827514661265</v>
      </c>
      <c r="O1942" s="1639"/>
    </row>
    <row r="1943" spans="11:15">
      <c r="K1943" s="1636">
        <v>44000</v>
      </c>
      <c r="L1943" s="1637" t="s">
        <v>1650</v>
      </c>
      <c r="M1943" s="1638">
        <v>8.4419999999999999E-3</v>
      </c>
      <c r="N1943" s="1639">
        <v>1.5999178051260055</v>
      </c>
      <c r="O1943" s="1639"/>
    </row>
    <row r="1944" spans="11:15">
      <c r="K1944" s="1636">
        <v>44001</v>
      </c>
      <c r="L1944" s="1637" t="s">
        <v>1650</v>
      </c>
      <c r="M1944" s="1638">
        <v>8.4419999999999999E-3</v>
      </c>
      <c r="N1944" s="1639">
        <v>1.6000528701871144</v>
      </c>
      <c r="O1944" s="1639"/>
    </row>
    <row r="1945" spans="11:15">
      <c r="K1945" s="1636">
        <v>44002</v>
      </c>
      <c r="L1945" s="1637"/>
      <c r="M1945" s="1638">
        <v>0</v>
      </c>
      <c r="N1945" s="1639">
        <v>1.6000528701871144</v>
      </c>
      <c r="O1945" s="1639"/>
    </row>
    <row r="1946" spans="11:15">
      <c r="K1946" s="1636">
        <v>44003</v>
      </c>
      <c r="L1946" s="1637"/>
      <c r="M1946" s="1638">
        <v>0</v>
      </c>
      <c r="N1946" s="1639">
        <v>1.6000528701871144</v>
      </c>
      <c r="O1946" s="1639"/>
    </row>
    <row r="1947" spans="11:15">
      <c r="K1947" s="1636">
        <v>44004</v>
      </c>
      <c r="L1947" s="1637" t="s">
        <v>1650</v>
      </c>
      <c r="M1947" s="1638">
        <v>8.4419999999999999E-3</v>
      </c>
      <c r="N1947" s="1639">
        <v>1.6001879466504156</v>
      </c>
      <c r="O1947" s="1639"/>
    </row>
    <row r="1948" spans="11:15">
      <c r="K1948" s="1636">
        <v>44005</v>
      </c>
      <c r="L1948" s="1637" t="s">
        <v>1650</v>
      </c>
      <c r="M1948" s="1638">
        <v>8.4419999999999999E-3</v>
      </c>
      <c r="N1948" s="1639">
        <v>1.600323034516872</v>
      </c>
      <c r="O1948" s="1639"/>
    </row>
    <row r="1949" spans="11:15">
      <c r="K1949" s="1636">
        <v>44006</v>
      </c>
      <c r="L1949" s="1637" t="s">
        <v>1650</v>
      </c>
      <c r="M1949" s="1638">
        <v>8.4419999999999999E-3</v>
      </c>
      <c r="N1949" s="1639">
        <v>1.6004581337874459</v>
      </c>
      <c r="O1949" s="1639"/>
    </row>
    <row r="1950" spans="11:15">
      <c r="K1950" s="1636">
        <v>44007</v>
      </c>
      <c r="L1950" s="1637" t="s">
        <v>1650</v>
      </c>
      <c r="M1950" s="1638">
        <v>8.4419999999999999E-3</v>
      </c>
      <c r="N1950" s="1639">
        <v>1.6005932444631004</v>
      </c>
      <c r="O1950" s="1639"/>
    </row>
    <row r="1951" spans="11:15">
      <c r="K1951" s="1636">
        <v>44008</v>
      </c>
      <c r="L1951" s="1637" t="s">
        <v>1650</v>
      </c>
      <c r="M1951" s="1638">
        <v>8.4419999999999999E-3</v>
      </c>
      <c r="N1951" s="1639">
        <v>1.600728366544798</v>
      </c>
      <c r="O1951" s="1639"/>
    </row>
    <row r="1952" spans="11:15">
      <c r="K1952" s="1636">
        <v>44009</v>
      </c>
      <c r="L1952" s="1637"/>
      <c r="M1952" s="1638">
        <v>0</v>
      </c>
      <c r="N1952" s="1639">
        <v>1.600728366544798</v>
      </c>
      <c r="O1952" s="1639"/>
    </row>
    <row r="1953" spans="11:15">
      <c r="K1953" s="1636">
        <v>44010</v>
      </c>
      <c r="L1953" s="1637"/>
      <c r="M1953" s="1638">
        <v>0</v>
      </c>
      <c r="N1953" s="1639">
        <v>1.600728366544798</v>
      </c>
      <c r="O1953" s="1639"/>
    </row>
    <row r="1954" spans="11:15">
      <c r="K1954" s="1636">
        <v>44011</v>
      </c>
      <c r="L1954" s="1637" t="s">
        <v>1650</v>
      </c>
      <c r="M1954" s="1638">
        <v>8.4419999999999999E-3</v>
      </c>
      <c r="N1954" s="1639">
        <v>1.6008635000335019</v>
      </c>
      <c r="O1954" s="1639"/>
    </row>
    <row r="1955" spans="11:15">
      <c r="K1955" s="1636">
        <v>44012</v>
      </c>
      <c r="L1955" s="1637" t="s">
        <v>1650</v>
      </c>
      <c r="M1955" s="1638">
        <v>8.4419999999999999E-3</v>
      </c>
      <c r="N1955" s="1639">
        <v>1.6009986449301747</v>
      </c>
      <c r="O1955" s="1639"/>
    </row>
    <row r="1956" spans="11:15">
      <c r="K1956" s="1636">
        <v>44013</v>
      </c>
      <c r="L1956" s="1637" t="s">
        <v>1650</v>
      </c>
      <c r="M1956" s="1638">
        <v>8.4419999999999999E-3</v>
      </c>
      <c r="N1956" s="1639">
        <v>1.6011338012357799</v>
      </c>
      <c r="O1956" s="1639"/>
    </row>
    <row r="1957" spans="11:15">
      <c r="K1957" s="1636">
        <v>44014</v>
      </c>
      <c r="L1957" s="1637" t="s">
        <v>1650</v>
      </c>
      <c r="M1957" s="1638">
        <v>8.4419999999999999E-3</v>
      </c>
      <c r="N1957" s="1639">
        <v>1.6012689689512802</v>
      </c>
      <c r="O1957" s="1639"/>
    </row>
    <row r="1958" spans="11:15">
      <c r="K1958" s="1636">
        <v>44015</v>
      </c>
      <c r="L1958" s="1637" t="s">
        <v>1650</v>
      </c>
      <c r="M1958" s="1638">
        <v>8.4419999999999999E-3</v>
      </c>
      <c r="N1958" s="1639">
        <v>1.6014041480776393</v>
      </c>
      <c r="O1958" s="1639"/>
    </row>
    <row r="1959" spans="11:15">
      <c r="K1959" s="1636">
        <v>44016</v>
      </c>
      <c r="L1959" s="1637"/>
      <c r="M1959" s="1638">
        <v>0</v>
      </c>
      <c r="N1959" s="1639">
        <v>1.6014041480776393</v>
      </c>
      <c r="O1959" s="1639"/>
    </row>
    <row r="1960" spans="11:15">
      <c r="K1960" s="1636">
        <v>44017</v>
      </c>
      <c r="L1960" s="1637"/>
      <c r="M1960" s="1638">
        <v>0</v>
      </c>
      <c r="N1960" s="1639">
        <v>1.6014041480776393</v>
      </c>
      <c r="O1960" s="1639"/>
    </row>
    <row r="1961" spans="11:15">
      <c r="K1961" s="1636">
        <v>44018</v>
      </c>
      <c r="L1961" s="1637" t="s">
        <v>1650</v>
      </c>
      <c r="M1961" s="1638">
        <v>8.4419999999999999E-3</v>
      </c>
      <c r="N1961" s="1639">
        <v>1.6015393386158201</v>
      </c>
      <c r="O1961" s="1639"/>
    </row>
    <row r="1962" spans="11:15">
      <c r="K1962" s="1636">
        <v>44019</v>
      </c>
      <c r="L1962" s="1637" t="s">
        <v>1650</v>
      </c>
      <c r="M1962" s="1638">
        <v>8.4419999999999999E-3</v>
      </c>
      <c r="N1962" s="1639">
        <v>1.6016745405667863</v>
      </c>
      <c r="O1962" s="1639"/>
    </row>
    <row r="1963" spans="11:15">
      <c r="K1963" s="1636">
        <v>44020</v>
      </c>
      <c r="L1963" s="1637" t="s">
        <v>1650</v>
      </c>
      <c r="M1963" s="1638">
        <v>8.4419999999999999E-3</v>
      </c>
      <c r="N1963" s="1639">
        <v>1.601809753931501</v>
      </c>
      <c r="O1963" s="1639"/>
    </row>
    <row r="1964" spans="11:15">
      <c r="K1964" s="1636">
        <v>44021</v>
      </c>
      <c r="L1964" s="1637" t="s">
        <v>1650</v>
      </c>
      <c r="M1964" s="1638">
        <v>8.4419999999999999E-3</v>
      </c>
      <c r="N1964" s="1639">
        <v>1.6019449787109281</v>
      </c>
      <c r="O1964" s="1639"/>
    </row>
    <row r="1965" spans="11:15">
      <c r="K1965" s="1636">
        <v>44022</v>
      </c>
      <c r="L1965" s="1637" t="s">
        <v>1650</v>
      </c>
      <c r="M1965" s="1638">
        <v>8.4419999999999999E-3</v>
      </c>
      <c r="N1965" s="1639">
        <v>1.6020802149060309</v>
      </c>
      <c r="O1965" s="1639"/>
    </row>
    <row r="1966" spans="11:15">
      <c r="K1966" s="1636">
        <v>44023</v>
      </c>
      <c r="L1966" s="1637"/>
      <c r="M1966" s="1638">
        <v>0</v>
      </c>
      <c r="N1966" s="1639">
        <v>1.6020802149060309</v>
      </c>
      <c r="O1966" s="1639"/>
    </row>
    <row r="1967" spans="11:15">
      <c r="K1967" s="1636">
        <v>44024</v>
      </c>
      <c r="L1967" s="1637"/>
      <c r="M1967" s="1638">
        <v>0</v>
      </c>
      <c r="N1967" s="1639">
        <v>1.6020802149060309</v>
      </c>
      <c r="O1967" s="1639"/>
    </row>
    <row r="1968" spans="11:15">
      <c r="K1968" s="1636">
        <v>44025</v>
      </c>
      <c r="L1968" s="1637" t="s">
        <v>1650</v>
      </c>
      <c r="M1968" s="1638">
        <v>8.4419999999999999E-3</v>
      </c>
      <c r="N1968" s="1639">
        <v>1.6022154625177734</v>
      </c>
      <c r="O1968" s="1639"/>
    </row>
    <row r="1969" spans="11:15">
      <c r="K1969" s="1636">
        <v>44026</v>
      </c>
      <c r="L1969" s="1637" t="s">
        <v>1650</v>
      </c>
      <c r="M1969" s="1638">
        <v>8.4419999999999999E-3</v>
      </c>
      <c r="N1969" s="1639">
        <v>1.6023507215471193</v>
      </c>
      <c r="O1969" s="1639"/>
    </row>
    <row r="1970" spans="11:15">
      <c r="K1970" s="1636">
        <v>44027</v>
      </c>
      <c r="L1970" s="1637" t="s">
        <v>1650</v>
      </c>
      <c r="M1970" s="1638">
        <v>8.4419999999999999E-3</v>
      </c>
      <c r="N1970" s="1639">
        <v>1.6024859919950325</v>
      </c>
      <c r="O1970" s="1639"/>
    </row>
    <row r="1971" spans="11:15">
      <c r="K1971" s="1636">
        <v>44028</v>
      </c>
      <c r="L1971" s="1637" t="s">
        <v>1650</v>
      </c>
      <c r="M1971" s="1638">
        <v>8.4419999999999999E-3</v>
      </c>
      <c r="N1971" s="1639">
        <v>1.6026212738624768</v>
      </c>
      <c r="O1971" s="1639"/>
    </row>
    <row r="1972" spans="11:15">
      <c r="K1972" s="1636">
        <v>44029</v>
      </c>
      <c r="L1972" s="1637" t="s">
        <v>1650</v>
      </c>
      <c r="M1972" s="1638">
        <v>8.4419999999999999E-3</v>
      </c>
      <c r="N1972" s="1639">
        <v>1.6027565671504165</v>
      </c>
      <c r="O1972" s="1639"/>
    </row>
    <row r="1973" spans="11:15">
      <c r="K1973" s="1636">
        <v>44030</v>
      </c>
      <c r="L1973" s="1637"/>
      <c r="M1973" s="1638">
        <v>0</v>
      </c>
      <c r="N1973" s="1639">
        <v>1.6027565671504165</v>
      </c>
      <c r="O1973" s="1639"/>
    </row>
    <row r="1974" spans="11:15">
      <c r="K1974" s="1636">
        <v>44031</v>
      </c>
      <c r="L1974" s="1637"/>
      <c r="M1974" s="1638">
        <v>0</v>
      </c>
      <c r="N1974" s="1639">
        <v>1.6027565671504165</v>
      </c>
      <c r="O1974" s="1639"/>
    </row>
    <row r="1975" spans="11:15">
      <c r="K1975" s="1636">
        <v>44032</v>
      </c>
      <c r="L1975" s="1637" t="s">
        <v>1650</v>
      </c>
      <c r="M1975" s="1638">
        <v>8.4419999999999999E-3</v>
      </c>
      <c r="N1975" s="1639">
        <v>1.6028918718598155</v>
      </c>
      <c r="O1975" s="1639"/>
    </row>
    <row r="1976" spans="11:15">
      <c r="K1976" s="1636">
        <v>44033</v>
      </c>
      <c r="L1976" s="1637" t="s">
        <v>1650</v>
      </c>
      <c r="M1976" s="1638">
        <v>8.4419999999999999E-3</v>
      </c>
      <c r="N1976" s="1639">
        <v>1.603027187991638</v>
      </c>
      <c r="O1976" s="1639"/>
    </row>
    <row r="1977" spans="11:15">
      <c r="K1977" s="1636">
        <v>44034</v>
      </c>
      <c r="L1977" s="1637" t="s">
        <v>1650</v>
      </c>
      <c r="M1977" s="1638">
        <v>8.4419999999999999E-3</v>
      </c>
      <c r="N1977" s="1639">
        <v>1.6031625155468483</v>
      </c>
      <c r="O1977" s="1639"/>
    </row>
    <row r="1978" spans="11:15">
      <c r="K1978" s="1636">
        <v>44035</v>
      </c>
      <c r="L1978" s="1637" t="s">
        <v>1650</v>
      </c>
      <c r="M1978" s="1638">
        <v>8.4419999999999999E-3</v>
      </c>
      <c r="N1978" s="1639">
        <v>1.6032978545264109</v>
      </c>
      <c r="O1978" s="1639"/>
    </row>
    <row r="1979" spans="11:15">
      <c r="K1979" s="1636">
        <v>44036</v>
      </c>
      <c r="L1979" s="1637" t="s">
        <v>1650</v>
      </c>
      <c r="M1979" s="1638">
        <v>8.4419999999999999E-3</v>
      </c>
      <c r="N1979" s="1639">
        <v>1.6034332049312903</v>
      </c>
      <c r="O1979" s="1639"/>
    </row>
    <row r="1980" spans="11:15">
      <c r="K1980" s="1636">
        <v>44037</v>
      </c>
      <c r="L1980" s="1637"/>
      <c r="M1980" s="1638">
        <v>0</v>
      </c>
      <c r="N1980" s="1639">
        <v>1.6034332049312903</v>
      </c>
      <c r="O1980" s="1639"/>
    </row>
    <row r="1981" spans="11:15">
      <c r="K1981" s="1636">
        <v>44038</v>
      </c>
      <c r="L1981" s="1637"/>
      <c r="M1981" s="1638">
        <v>0</v>
      </c>
      <c r="N1981" s="1639">
        <v>1.6034332049312903</v>
      </c>
      <c r="O1981" s="1639"/>
    </row>
    <row r="1982" spans="11:15">
      <c r="K1982" s="1636">
        <v>44039</v>
      </c>
      <c r="L1982" s="1637" t="s">
        <v>1650</v>
      </c>
      <c r="M1982" s="1638">
        <v>8.4419999999999999E-3</v>
      </c>
      <c r="N1982" s="1639">
        <v>1.6035685667624506</v>
      </c>
      <c r="O1982" s="1639"/>
    </row>
    <row r="1983" spans="11:15">
      <c r="K1983" s="1636">
        <v>44040</v>
      </c>
      <c r="L1983" s="1637" t="s">
        <v>1650</v>
      </c>
      <c r="M1983" s="1638">
        <v>8.4419999999999999E-3</v>
      </c>
      <c r="N1983" s="1639">
        <v>1.6037039400208568</v>
      </c>
      <c r="O1983" s="1639"/>
    </row>
    <row r="1984" spans="11:15">
      <c r="K1984" s="1636">
        <v>44041</v>
      </c>
      <c r="L1984" s="1637" t="s">
        <v>1650</v>
      </c>
      <c r="M1984" s="1638">
        <v>8.4419999999999999E-3</v>
      </c>
      <c r="N1984" s="1639">
        <v>1.6038393247074736</v>
      </c>
      <c r="O1984" s="1639"/>
    </row>
    <row r="1985" spans="11:15">
      <c r="K1985" s="1636">
        <v>44042</v>
      </c>
      <c r="L1985" s="1637" t="s">
        <v>1650</v>
      </c>
      <c r="M1985" s="1638">
        <v>8.4419999999999999E-3</v>
      </c>
      <c r="N1985" s="1639">
        <v>1.6039747208232655</v>
      </c>
      <c r="O1985" s="1639"/>
    </row>
    <row r="1986" spans="11:15">
      <c r="K1986" s="1636">
        <v>44043</v>
      </c>
      <c r="L1986" s="1637" t="s">
        <v>1650</v>
      </c>
      <c r="M1986" s="1638">
        <v>8.4419999999999999E-3</v>
      </c>
      <c r="N1986" s="1639">
        <v>1.6041101283691976</v>
      </c>
      <c r="O1986" s="1639"/>
    </row>
    <row r="1987" spans="11:15">
      <c r="K1987" s="1636">
        <v>44044</v>
      </c>
      <c r="L1987" s="1637"/>
      <c r="M1987" s="1638">
        <v>0</v>
      </c>
      <c r="N1987" s="1639">
        <v>1.6041101283691976</v>
      </c>
      <c r="O1987" s="1639"/>
    </row>
    <row r="1988" spans="11:15">
      <c r="K1988" s="1636">
        <v>44045</v>
      </c>
      <c r="L1988" s="1637"/>
      <c r="M1988" s="1638">
        <v>0</v>
      </c>
      <c r="N1988" s="1639">
        <v>1.6041101283691976</v>
      </c>
      <c r="O1988" s="1639"/>
    </row>
    <row r="1989" spans="11:15">
      <c r="K1989" s="1636">
        <v>44046</v>
      </c>
      <c r="L1989" s="1637" t="s">
        <v>1650</v>
      </c>
      <c r="M1989" s="1638">
        <v>8.4419999999999999E-3</v>
      </c>
      <c r="N1989" s="1639">
        <v>1.6042455473462347</v>
      </c>
      <c r="O1989" s="1639"/>
    </row>
    <row r="1990" spans="11:15">
      <c r="K1990" s="1636">
        <v>44047</v>
      </c>
      <c r="L1990" s="1637" t="s">
        <v>1650</v>
      </c>
      <c r="M1990" s="1638">
        <v>8.4419999999999999E-3</v>
      </c>
      <c r="N1990" s="1639">
        <v>1.6043809777553417</v>
      </c>
      <c r="O1990" s="1639"/>
    </row>
    <row r="1991" spans="11:15">
      <c r="K1991" s="1636">
        <v>44048</v>
      </c>
      <c r="L1991" s="1637" t="s">
        <v>1650</v>
      </c>
      <c r="M1991" s="1638">
        <v>8.4419999999999999E-3</v>
      </c>
      <c r="N1991" s="1639">
        <v>1.6045164195974839</v>
      </c>
      <c r="O1991" s="1639"/>
    </row>
    <row r="1992" spans="11:15">
      <c r="K1992" s="1636">
        <v>44049</v>
      </c>
      <c r="L1992" s="1637" t="s">
        <v>1650</v>
      </c>
      <c r="M1992" s="1638">
        <v>7.4689999999999999E-3</v>
      </c>
      <c r="N1992" s="1639">
        <v>1.6046362609288636</v>
      </c>
      <c r="O1992" s="1639"/>
    </row>
    <row r="1993" spans="11:15">
      <c r="K1993" s="1636">
        <v>44050</v>
      </c>
      <c r="L1993" s="1637" t="s">
        <v>1650</v>
      </c>
      <c r="M1993" s="1638">
        <v>7.4689999999999999E-3</v>
      </c>
      <c r="N1993" s="1639">
        <v>1.6047561112111923</v>
      </c>
      <c r="O1993" s="1639"/>
    </row>
    <row r="1994" spans="11:15">
      <c r="K1994" s="1636">
        <v>44051</v>
      </c>
      <c r="L1994" s="1637"/>
      <c r="M1994" s="1638">
        <v>0</v>
      </c>
      <c r="N1994" s="1639">
        <v>1.6047561112111923</v>
      </c>
      <c r="O1994" s="1639"/>
    </row>
    <row r="1995" spans="11:15">
      <c r="K1995" s="1636">
        <v>44052</v>
      </c>
      <c r="L1995" s="1637"/>
      <c r="M1995" s="1638">
        <v>0</v>
      </c>
      <c r="N1995" s="1639">
        <v>1.6047561112111923</v>
      </c>
      <c r="O1995" s="1639"/>
    </row>
    <row r="1996" spans="11:15">
      <c r="K1996" s="1636">
        <v>44053</v>
      </c>
      <c r="L1996" s="1637" t="s">
        <v>1650</v>
      </c>
      <c r="M1996" s="1638">
        <v>7.4689999999999999E-3</v>
      </c>
      <c r="N1996" s="1639">
        <v>1.6048759704451385</v>
      </c>
      <c r="O1996" s="1639"/>
    </row>
    <row r="1997" spans="11:15">
      <c r="K1997" s="1636">
        <v>44054</v>
      </c>
      <c r="L1997" s="1637" t="s">
        <v>1650</v>
      </c>
      <c r="M1997" s="1638">
        <v>7.4689999999999999E-3</v>
      </c>
      <c r="N1997" s="1639">
        <v>1.604995838631371</v>
      </c>
      <c r="O1997" s="1639"/>
    </row>
    <row r="1998" spans="11:15">
      <c r="K1998" s="1636">
        <v>44055</v>
      </c>
      <c r="L1998" s="1637" t="s">
        <v>1650</v>
      </c>
      <c r="M1998" s="1638">
        <v>7.4689999999999999E-3</v>
      </c>
      <c r="N1998" s="1639">
        <v>1.6051157157705582</v>
      </c>
      <c r="O1998" s="1639"/>
    </row>
    <row r="1999" spans="11:15">
      <c r="K1999" s="1636">
        <v>44056</v>
      </c>
      <c r="L1999" s="1637" t="s">
        <v>1650</v>
      </c>
      <c r="M1999" s="1638">
        <v>7.4689999999999999E-3</v>
      </c>
      <c r="N1999" s="1639">
        <v>1.6052356018633691</v>
      </c>
      <c r="O1999" s="1639"/>
    </row>
    <row r="2000" spans="11:15">
      <c r="K2000" s="1636">
        <v>44057</v>
      </c>
      <c r="L2000" s="1637" t="s">
        <v>1650</v>
      </c>
      <c r="M2000" s="1638">
        <v>7.4689999999999999E-3</v>
      </c>
      <c r="N2000" s="1639">
        <v>1.6053554969104722</v>
      </c>
      <c r="O2000" s="1639"/>
    </row>
    <row r="2001" spans="11:15">
      <c r="K2001" s="1636">
        <v>44058</v>
      </c>
      <c r="L2001" s="1637"/>
      <c r="M2001" s="1638">
        <v>0</v>
      </c>
      <c r="N2001" s="1639">
        <v>1.6053554969104722</v>
      </c>
      <c r="O2001" s="1639"/>
    </row>
    <row r="2002" spans="11:15">
      <c r="K2002" s="1636">
        <v>44059</v>
      </c>
      <c r="L2002" s="1637"/>
      <c r="M2002" s="1638">
        <v>0</v>
      </c>
      <c r="N2002" s="1639">
        <v>1.6053554969104722</v>
      </c>
      <c r="O2002" s="1639"/>
    </row>
    <row r="2003" spans="11:15">
      <c r="K2003" s="1636">
        <v>44060</v>
      </c>
      <c r="L2003" s="1637" t="s">
        <v>1650</v>
      </c>
      <c r="M2003" s="1638">
        <v>7.4689999999999999E-3</v>
      </c>
      <c r="N2003" s="1639">
        <v>1.6054754009125363</v>
      </c>
      <c r="O2003" s="1639"/>
    </row>
    <row r="2004" spans="11:15">
      <c r="K2004" s="1636">
        <v>44061</v>
      </c>
      <c r="L2004" s="1637" t="s">
        <v>1650</v>
      </c>
      <c r="M2004" s="1638">
        <v>7.4689999999999999E-3</v>
      </c>
      <c r="N2004" s="1639">
        <v>1.6055953138702304</v>
      </c>
      <c r="O2004" s="1639"/>
    </row>
    <row r="2005" spans="11:15">
      <c r="K2005" s="1636">
        <v>44062</v>
      </c>
      <c r="L2005" s="1637" t="s">
        <v>1650</v>
      </c>
      <c r="M2005" s="1638">
        <v>7.4689999999999999E-3</v>
      </c>
      <c r="N2005" s="1639">
        <v>1.6057152357842233</v>
      </c>
      <c r="O2005" s="1639"/>
    </row>
    <row r="2006" spans="11:15">
      <c r="K2006" s="1636">
        <v>44063</v>
      </c>
      <c r="L2006" s="1637" t="s">
        <v>1650</v>
      </c>
      <c r="M2006" s="1638">
        <v>7.4689999999999999E-3</v>
      </c>
      <c r="N2006" s="1639">
        <v>1.6058351666551838</v>
      </c>
      <c r="O2006" s="1639"/>
    </row>
    <row r="2007" spans="11:15">
      <c r="K2007" s="1636">
        <v>44064</v>
      </c>
      <c r="L2007" s="1637" t="s">
        <v>1650</v>
      </c>
      <c r="M2007" s="1638">
        <v>7.4689999999999999E-3</v>
      </c>
      <c r="N2007" s="1639">
        <v>1.6059551064837811</v>
      </c>
      <c r="O2007" s="1639"/>
    </row>
    <row r="2008" spans="11:15">
      <c r="K2008" s="1636">
        <v>44065</v>
      </c>
      <c r="L2008" s="1637"/>
      <c r="M2008" s="1638">
        <v>0</v>
      </c>
      <c r="N2008" s="1639">
        <v>1.6059551064837811</v>
      </c>
      <c r="O2008" s="1639"/>
    </row>
    <row r="2009" spans="11:15">
      <c r="K2009" s="1636">
        <v>44066</v>
      </c>
      <c r="L2009" s="1637"/>
      <c r="M2009" s="1638">
        <v>0</v>
      </c>
      <c r="N2009" s="1639">
        <v>1.6059551064837811</v>
      </c>
      <c r="O2009" s="1639"/>
    </row>
    <row r="2010" spans="11:15">
      <c r="K2010" s="1636">
        <v>44067</v>
      </c>
      <c r="L2010" s="1637" t="s">
        <v>1650</v>
      </c>
      <c r="M2010" s="1638">
        <v>7.4689999999999999E-3</v>
      </c>
      <c r="N2010" s="1639">
        <v>1.6060750552706844</v>
      </c>
      <c r="O2010" s="1639"/>
    </row>
    <row r="2011" spans="11:15">
      <c r="K2011" s="1636">
        <v>44068</v>
      </c>
      <c r="L2011" s="1637" t="s">
        <v>1650</v>
      </c>
      <c r="M2011" s="1638">
        <v>7.4689999999999999E-3</v>
      </c>
      <c r="N2011" s="1639">
        <v>1.6061950130165625</v>
      </c>
      <c r="O2011" s="1639"/>
    </row>
    <row r="2012" spans="11:15">
      <c r="K2012" s="1636">
        <v>44069</v>
      </c>
      <c r="L2012" s="1637" t="s">
        <v>1650</v>
      </c>
      <c r="M2012" s="1638">
        <v>7.4689999999999999E-3</v>
      </c>
      <c r="N2012" s="1639">
        <v>1.6063149797220846</v>
      </c>
      <c r="O2012" s="1639"/>
    </row>
    <row r="2013" spans="11:15">
      <c r="K2013" s="1636">
        <v>44070</v>
      </c>
      <c r="L2013" s="1637" t="s">
        <v>1650</v>
      </c>
      <c r="M2013" s="1638">
        <v>7.4689999999999999E-3</v>
      </c>
      <c r="N2013" s="1639">
        <v>1.60643495538792</v>
      </c>
      <c r="O2013" s="1639"/>
    </row>
    <row r="2014" spans="11:15">
      <c r="K2014" s="1636">
        <v>44071</v>
      </c>
      <c r="L2014" s="1637" t="s">
        <v>1650</v>
      </c>
      <c r="M2014" s="1638">
        <v>7.4689999999999999E-3</v>
      </c>
      <c r="N2014" s="1639">
        <v>1.6065549400147379</v>
      </c>
      <c r="O2014" s="1639"/>
    </row>
    <row r="2015" spans="11:15">
      <c r="K2015" s="1636">
        <v>44072</v>
      </c>
      <c r="L2015" s="1637"/>
      <c r="M2015" s="1638">
        <v>0</v>
      </c>
      <c r="N2015" s="1639">
        <v>1.6065549400147379</v>
      </c>
      <c r="O2015" s="1639"/>
    </row>
    <row r="2016" spans="11:15">
      <c r="K2016" s="1636">
        <v>44073</v>
      </c>
      <c r="L2016" s="1637"/>
      <c r="M2016" s="1638">
        <v>0</v>
      </c>
      <c r="N2016" s="1639">
        <v>1.6065549400147379</v>
      </c>
      <c r="O2016" s="1639"/>
    </row>
    <row r="2017" spans="11:15">
      <c r="K2017" s="1636">
        <v>44074</v>
      </c>
      <c r="L2017" s="1637" t="s">
        <v>1650</v>
      </c>
      <c r="M2017" s="1638">
        <v>7.4689999999999999E-3</v>
      </c>
      <c r="N2017" s="1639">
        <v>1.6066749336032076</v>
      </c>
      <c r="O2017" s="1639"/>
    </row>
    <row r="2018" spans="11:15">
      <c r="K2018" s="1636">
        <v>44075</v>
      </c>
      <c r="L2018" s="1637" t="s">
        <v>1650</v>
      </c>
      <c r="M2018" s="1638">
        <v>7.4689999999999999E-3</v>
      </c>
      <c r="N2018" s="1639">
        <v>1.6067949361539984</v>
      </c>
      <c r="O2018" s="1639"/>
    </row>
    <row r="2019" spans="11:15">
      <c r="K2019" s="1636">
        <v>44076</v>
      </c>
      <c r="L2019" s="1637" t="s">
        <v>1650</v>
      </c>
      <c r="M2019" s="1638">
        <v>7.4689999999999999E-3</v>
      </c>
      <c r="N2019" s="1639">
        <v>1.6069149476677795</v>
      </c>
      <c r="O2019" s="1639"/>
    </row>
    <row r="2020" spans="11:15">
      <c r="K2020" s="1636">
        <v>44077</v>
      </c>
      <c r="L2020" s="1637" t="s">
        <v>1650</v>
      </c>
      <c r="M2020" s="1638">
        <v>7.4689999999999999E-3</v>
      </c>
      <c r="N2020" s="1639">
        <v>1.6070349681452207</v>
      </c>
      <c r="O2020" s="1639"/>
    </row>
    <row r="2021" spans="11:15">
      <c r="K2021" s="1636">
        <v>44078</v>
      </c>
      <c r="L2021" s="1637" t="s">
        <v>1650</v>
      </c>
      <c r="M2021" s="1638">
        <v>7.4689999999999999E-3</v>
      </c>
      <c r="N2021" s="1639">
        <v>1.6071549975869914</v>
      </c>
      <c r="O2021" s="1639"/>
    </row>
    <row r="2022" spans="11:15">
      <c r="K2022" s="1636">
        <v>44079</v>
      </c>
      <c r="L2022" s="1637"/>
      <c r="M2022" s="1638">
        <v>0</v>
      </c>
      <c r="N2022" s="1639">
        <v>1.6071549975869914</v>
      </c>
      <c r="O2022" s="1639"/>
    </row>
    <row r="2023" spans="11:15">
      <c r="K2023" s="1636">
        <v>44080</v>
      </c>
      <c r="L2023" s="1637"/>
      <c r="M2023" s="1638">
        <v>0</v>
      </c>
      <c r="N2023" s="1639">
        <v>1.6071549975869914</v>
      </c>
      <c r="O2023" s="1639"/>
    </row>
    <row r="2024" spans="11:15">
      <c r="K2024" s="1636">
        <v>44081</v>
      </c>
      <c r="L2024" s="1637"/>
      <c r="M2024" s="1638">
        <v>0</v>
      </c>
      <c r="N2024" s="1639">
        <v>1.6071549975869914</v>
      </c>
      <c r="O2024" s="1639"/>
    </row>
    <row r="2025" spans="11:15">
      <c r="K2025" s="1636">
        <v>44082</v>
      </c>
      <c r="L2025" s="1637" t="s">
        <v>1650</v>
      </c>
      <c r="M2025" s="1638">
        <v>7.4689999999999999E-3</v>
      </c>
      <c r="N2025" s="1639">
        <v>1.6072750359937611</v>
      </c>
      <c r="O2025" s="1639"/>
    </row>
    <row r="2026" spans="11:15">
      <c r="K2026" s="1636">
        <v>44083</v>
      </c>
      <c r="L2026" s="1637" t="s">
        <v>1650</v>
      </c>
      <c r="M2026" s="1638">
        <v>7.4689999999999999E-3</v>
      </c>
      <c r="N2026" s="1639">
        <v>1.6073950833661994</v>
      </c>
      <c r="O2026" s="1639"/>
    </row>
    <row r="2027" spans="11:15">
      <c r="K2027" s="1636">
        <v>44084</v>
      </c>
      <c r="L2027" s="1637" t="s">
        <v>1650</v>
      </c>
      <c r="M2027" s="1638">
        <v>7.4689999999999999E-3</v>
      </c>
      <c r="N2027" s="1639">
        <v>1.6075151397049758</v>
      </c>
      <c r="O2027" s="1639"/>
    </row>
    <row r="2028" spans="11:15">
      <c r="K2028" s="1636">
        <v>44085</v>
      </c>
      <c r="L2028" s="1637" t="s">
        <v>1650</v>
      </c>
      <c r="M2028" s="1638">
        <v>7.4689999999999999E-3</v>
      </c>
      <c r="N2028" s="1639">
        <v>1.6076352050107603</v>
      </c>
      <c r="O2028" s="1639"/>
    </row>
    <row r="2029" spans="11:15">
      <c r="K2029" s="1636">
        <v>44086</v>
      </c>
      <c r="L2029" s="1637"/>
      <c r="M2029" s="1638">
        <v>0</v>
      </c>
      <c r="N2029" s="1639">
        <v>1.6076352050107603</v>
      </c>
      <c r="O2029" s="1639"/>
    </row>
    <row r="2030" spans="11:15">
      <c r="K2030" s="1636">
        <v>44087</v>
      </c>
      <c r="L2030" s="1637"/>
      <c r="M2030" s="1638">
        <v>0</v>
      </c>
      <c r="N2030" s="1639">
        <v>1.6076352050107603</v>
      </c>
      <c r="O2030" s="1639"/>
    </row>
    <row r="2031" spans="11:15">
      <c r="K2031" s="1636">
        <v>44088</v>
      </c>
      <c r="L2031" s="1637" t="s">
        <v>1650</v>
      </c>
      <c r="M2031" s="1638">
        <v>7.4689999999999999E-3</v>
      </c>
      <c r="N2031" s="1639">
        <v>1.6077552792842225</v>
      </c>
      <c r="O2031" s="1639"/>
    </row>
    <row r="2032" spans="11:15">
      <c r="K2032" s="1636">
        <v>44089</v>
      </c>
      <c r="L2032" s="1637" t="s">
        <v>1650</v>
      </c>
      <c r="M2032" s="1638">
        <v>7.4689999999999999E-3</v>
      </c>
      <c r="N2032" s="1639">
        <v>1.607875362526032</v>
      </c>
      <c r="O2032" s="1639"/>
    </row>
    <row r="2033" spans="11:15">
      <c r="K2033" s="1636">
        <v>44090</v>
      </c>
      <c r="L2033" s="1637" t="s">
        <v>1650</v>
      </c>
      <c r="M2033" s="1638">
        <v>7.4689999999999999E-3</v>
      </c>
      <c r="N2033" s="1639">
        <v>1.6079954547368589</v>
      </c>
      <c r="O2033" s="1639"/>
    </row>
    <row r="2034" spans="11:15">
      <c r="K2034" s="1636">
        <v>44091</v>
      </c>
      <c r="L2034" s="1637" t="s">
        <v>1650</v>
      </c>
      <c r="M2034" s="1638">
        <v>7.4689999999999999E-3</v>
      </c>
      <c r="N2034" s="1639">
        <v>1.608115555917373</v>
      </c>
      <c r="O2034" s="1639"/>
    </row>
    <row r="2035" spans="11:15">
      <c r="K2035" s="1636">
        <v>44092</v>
      </c>
      <c r="L2035" s="1637" t="s">
        <v>1650</v>
      </c>
      <c r="M2035" s="1638">
        <v>7.4689999999999999E-3</v>
      </c>
      <c r="N2035" s="1639">
        <v>1.6082356660682444</v>
      </c>
      <c r="O2035" s="1639"/>
    </row>
    <row r="2036" spans="11:15">
      <c r="K2036" s="1636">
        <v>44093</v>
      </c>
      <c r="L2036" s="1637"/>
      <c r="M2036" s="1638">
        <v>0</v>
      </c>
      <c r="N2036" s="1639">
        <v>1.6082356660682444</v>
      </c>
      <c r="O2036" s="1639"/>
    </row>
    <row r="2037" spans="11:15">
      <c r="K2037" s="1636">
        <v>44094</v>
      </c>
      <c r="L2037" s="1637"/>
      <c r="M2037" s="1638">
        <v>0</v>
      </c>
      <c r="N2037" s="1639">
        <v>1.6082356660682444</v>
      </c>
      <c r="O2037" s="1639"/>
    </row>
    <row r="2038" spans="11:15">
      <c r="K2038" s="1636">
        <v>44095</v>
      </c>
      <c r="L2038" s="1637" t="s">
        <v>1650</v>
      </c>
      <c r="M2038" s="1638">
        <v>7.4689999999999999E-3</v>
      </c>
      <c r="N2038" s="1639">
        <v>1.6083557851901429</v>
      </c>
      <c r="O2038" s="1639"/>
    </row>
    <row r="2039" spans="11:15">
      <c r="K2039" s="1636">
        <v>44096</v>
      </c>
      <c r="L2039" s="1637" t="s">
        <v>1650</v>
      </c>
      <c r="M2039" s="1638">
        <v>7.4689999999999999E-3</v>
      </c>
      <c r="N2039" s="1639">
        <v>1.6084759132837387</v>
      </c>
      <c r="O2039" s="1639"/>
    </row>
    <row r="2040" spans="11:15">
      <c r="K2040" s="1636">
        <v>44097</v>
      </c>
      <c r="L2040" s="1637" t="s">
        <v>1650</v>
      </c>
      <c r="M2040" s="1638">
        <v>7.4689999999999999E-3</v>
      </c>
      <c r="N2040" s="1639">
        <v>1.6085960503497019</v>
      </c>
      <c r="O2040" s="1639"/>
    </row>
    <row r="2041" spans="11:15">
      <c r="K2041" s="1636">
        <v>44098</v>
      </c>
      <c r="L2041" s="1637" t="s">
        <v>1650</v>
      </c>
      <c r="M2041" s="1638">
        <v>7.4689999999999999E-3</v>
      </c>
      <c r="N2041" s="1639">
        <v>1.6087161963887024</v>
      </c>
      <c r="O2041" s="1639"/>
    </row>
    <row r="2042" spans="11:15">
      <c r="K2042" s="1636">
        <v>44099</v>
      </c>
      <c r="L2042" s="1637" t="s">
        <v>1650</v>
      </c>
      <c r="M2042" s="1638">
        <v>7.4689999999999999E-3</v>
      </c>
      <c r="N2042" s="1639">
        <v>1.6088363514014106</v>
      </c>
      <c r="O2042" s="1639"/>
    </row>
    <row r="2043" spans="11:15">
      <c r="K2043" s="1636">
        <v>44100</v>
      </c>
      <c r="L2043" s="1637"/>
      <c r="M2043" s="1638">
        <v>0</v>
      </c>
      <c r="N2043" s="1639">
        <v>1.6088363514014106</v>
      </c>
      <c r="O2043" s="1639"/>
    </row>
    <row r="2044" spans="11:15">
      <c r="K2044" s="1636">
        <v>44101</v>
      </c>
      <c r="L2044" s="1637"/>
      <c r="M2044" s="1638">
        <v>0</v>
      </c>
      <c r="N2044" s="1639">
        <v>1.6088363514014106</v>
      </c>
      <c r="O2044" s="1639"/>
    </row>
    <row r="2045" spans="11:15">
      <c r="K2045" s="1636">
        <v>44102</v>
      </c>
      <c r="L2045" s="1637" t="s">
        <v>1650</v>
      </c>
      <c r="M2045" s="1638">
        <v>7.4689999999999999E-3</v>
      </c>
      <c r="N2045" s="1639">
        <v>1.6089565153884966</v>
      </c>
      <c r="O2045" s="1639"/>
    </row>
    <row r="2046" spans="11:15">
      <c r="K2046" s="1636">
        <v>44103</v>
      </c>
      <c r="L2046" s="1637" t="s">
        <v>1650</v>
      </c>
      <c r="M2046" s="1638">
        <v>7.4689999999999999E-3</v>
      </c>
      <c r="N2046" s="1639">
        <v>1.6090766883506309</v>
      </c>
      <c r="O2046" s="1639"/>
    </row>
    <row r="2047" spans="11:15">
      <c r="K2047" s="1636">
        <v>44104</v>
      </c>
      <c r="L2047" s="1637" t="s">
        <v>1650</v>
      </c>
      <c r="M2047" s="1638">
        <v>7.4689999999999999E-3</v>
      </c>
      <c r="N2047" s="1639">
        <v>1.6091968702884838</v>
      </c>
      <c r="O2047" s="1639"/>
    </row>
    <row r="2048" spans="11:15">
      <c r="K2048" s="1636">
        <v>44105</v>
      </c>
      <c r="L2048" s="1637" t="s">
        <v>1650</v>
      </c>
      <c r="M2048" s="1638">
        <v>7.4689999999999999E-3</v>
      </c>
      <c r="N2048" s="1639">
        <v>1.6093170612027254</v>
      </c>
      <c r="O2048" s="1639"/>
    </row>
    <row r="2049" spans="11:15">
      <c r="K2049" s="1636">
        <v>44106</v>
      </c>
      <c r="L2049" s="1637" t="s">
        <v>1650</v>
      </c>
      <c r="M2049" s="1638">
        <v>7.4689999999999999E-3</v>
      </c>
      <c r="N2049" s="1639">
        <v>1.6094372610940266</v>
      </c>
      <c r="O2049" s="1639"/>
    </row>
    <row r="2050" spans="11:15">
      <c r="K2050" s="1636">
        <v>44107</v>
      </c>
      <c r="L2050" s="1637"/>
      <c r="M2050" s="1638">
        <v>0</v>
      </c>
      <c r="N2050" s="1639">
        <v>1.6094372610940266</v>
      </c>
      <c r="O2050" s="1639"/>
    </row>
    <row r="2051" spans="11:15">
      <c r="K2051" s="1636">
        <v>44108</v>
      </c>
      <c r="L2051" s="1637"/>
      <c r="M2051" s="1638">
        <v>0</v>
      </c>
      <c r="N2051" s="1639">
        <v>1.6094372610940266</v>
      </c>
      <c r="O2051" s="1639"/>
    </row>
    <row r="2052" spans="11:15">
      <c r="K2052" s="1636">
        <v>44109</v>
      </c>
      <c r="L2052" s="1637" t="s">
        <v>1650</v>
      </c>
      <c r="M2052" s="1638">
        <v>7.4689999999999999E-3</v>
      </c>
      <c r="N2052" s="1639">
        <v>1.6095574699630577</v>
      </c>
      <c r="O2052" s="1639"/>
    </row>
    <row r="2053" spans="11:15">
      <c r="K2053" s="1636">
        <v>44110</v>
      </c>
      <c r="L2053" s="1637" t="s">
        <v>1650</v>
      </c>
      <c r="M2053" s="1638">
        <v>7.4689999999999999E-3</v>
      </c>
      <c r="N2053" s="1639">
        <v>1.609677687810489</v>
      </c>
      <c r="O2053" s="1639"/>
    </row>
    <row r="2054" spans="11:15">
      <c r="K2054" s="1636">
        <v>44111</v>
      </c>
      <c r="L2054" s="1637" t="s">
        <v>1650</v>
      </c>
      <c r="M2054" s="1638">
        <v>7.4689999999999999E-3</v>
      </c>
      <c r="N2054" s="1639">
        <v>1.6097979146369914</v>
      </c>
      <c r="O2054" s="1639"/>
    </row>
    <row r="2055" spans="11:15">
      <c r="K2055" s="1636">
        <v>44112</v>
      </c>
      <c r="L2055" s="1637" t="s">
        <v>1650</v>
      </c>
      <c r="M2055" s="1638">
        <v>7.4689999999999999E-3</v>
      </c>
      <c r="N2055" s="1639">
        <v>1.6099181504432356</v>
      </c>
      <c r="O2055" s="1639"/>
    </row>
    <row r="2056" spans="11:15">
      <c r="K2056" s="1636">
        <v>44113</v>
      </c>
      <c r="L2056" s="1637" t="s">
        <v>1650</v>
      </c>
      <c r="M2056" s="1638">
        <v>7.4689999999999999E-3</v>
      </c>
      <c r="N2056" s="1639">
        <v>1.610038395229892</v>
      </c>
      <c r="O2056" s="1639"/>
    </row>
    <row r="2057" spans="11:15">
      <c r="K2057" s="1636">
        <v>44114</v>
      </c>
      <c r="L2057" s="1637"/>
      <c r="M2057" s="1638">
        <v>0</v>
      </c>
      <c r="N2057" s="1639">
        <v>1.610038395229892</v>
      </c>
      <c r="O2057" s="1639"/>
    </row>
    <row r="2058" spans="11:15">
      <c r="K2058" s="1636">
        <v>44115</v>
      </c>
      <c r="L2058" s="1637"/>
      <c r="M2058" s="1638">
        <v>0</v>
      </c>
      <c r="N2058" s="1639">
        <v>1.610038395229892</v>
      </c>
      <c r="O2058" s="1639"/>
    </row>
    <row r="2059" spans="11:15">
      <c r="K2059" s="1636">
        <v>44116</v>
      </c>
      <c r="L2059" s="1637"/>
      <c r="M2059" s="1638">
        <v>0</v>
      </c>
      <c r="N2059" s="1639">
        <v>1.610038395229892</v>
      </c>
      <c r="O2059" s="1639"/>
    </row>
    <row r="2060" spans="11:15">
      <c r="K2060" s="1636">
        <v>44117</v>
      </c>
      <c r="L2060" s="1637" t="s">
        <v>1650</v>
      </c>
      <c r="M2060" s="1638">
        <v>7.4689999999999999E-3</v>
      </c>
      <c r="N2060" s="1639">
        <v>1.6101586489976316</v>
      </c>
      <c r="O2060" s="1639"/>
    </row>
    <row r="2061" spans="11:15">
      <c r="K2061" s="1636">
        <v>44118</v>
      </c>
      <c r="L2061" s="1637" t="s">
        <v>1650</v>
      </c>
      <c r="M2061" s="1638">
        <v>7.4689999999999999E-3</v>
      </c>
      <c r="N2061" s="1639">
        <v>1.6102789117471252</v>
      </c>
      <c r="O2061" s="1639"/>
    </row>
    <row r="2062" spans="11:15">
      <c r="K2062" s="1636">
        <v>44119</v>
      </c>
      <c r="L2062" s="1637" t="s">
        <v>1650</v>
      </c>
      <c r="M2062" s="1638">
        <v>7.4689999999999999E-3</v>
      </c>
      <c r="N2062" s="1639">
        <v>1.6103991834790434</v>
      </c>
      <c r="O2062" s="1639"/>
    </row>
    <row r="2063" spans="11:15">
      <c r="K2063" s="1636">
        <v>44120</v>
      </c>
      <c r="L2063" s="1637" t="s">
        <v>1650</v>
      </c>
      <c r="M2063" s="1638">
        <v>7.4689999999999999E-3</v>
      </c>
      <c r="N2063" s="1639">
        <v>1.6105194641940574</v>
      </c>
      <c r="O2063" s="1639"/>
    </row>
    <row r="2064" spans="11:15">
      <c r="K2064" s="1636">
        <v>44121</v>
      </c>
      <c r="L2064" s="1637"/>
      <c r="M2064" s="1638">
        <v>0</v>
      </c>
      <c r="N2064" s="1639">
        <v>1.6105194641940574</v>
      </c>
      <c r="O2064" s="1639"/>
    </row>
    <row r="2065" spans="11:15">
      <c r="K2065" s="1636">
        <v>44122</v>
      </c>
      <c r="L2065" s="1637"/>
      <c r="M2065" s="1638">
        <v>0</v>
      </c>
      <c r="N2065" s="1639">
        <v>1.6105194641940574</v>
      </c>
      <c r="O2065" s="1639"/>
    </row>
    <row r="2066" spans="11:15">
      <c r="K2066" s="1636">
        <v>44123</v>
      </c>
      <c r="L2066" s="1637" t="s">
        <v>1650</v>
      </c>
      <c r="M2066" s="1638">
        <v>7.4689999999999999E-3</v>
      </c>
      <c r="N2066" s="1639">
        <v>1.6106397538928381</v>
      </c>
      <c r="O2066" s="1639"/>
    </row>
    <row r="2067" spans="11:15">
      <c r="K2067" s="1636">
        <v>44124</v>
      </c>
      <c r="L2067" s="1637" t="s">
        <v>1650</v>
      </c>
      <c r="M2067" s="1638">
        <v>7.4689999999999999E-3</v>
      </c>
      <c r="N2067" s="1639">
        <v>1.6107600525760561</v>
      </c>
      <c r="O2067" s="1639"/>
    </row>
    <row r="2068" spans="11:15">
      <c r="K2068" s="1636">
        <v>44125</v>
      </c>
      <c r="L2068" s="1637" t="s">
        <v>1650</v>
      </c>
      <c r="M2068" s="1638">
        <v>7.4689999999999999E-3</v>
      </c>
      <c r="N2068" s="1639">
        <v>1.6108803602443829</v>
      </c>
      <c r="O2068" s="1639"/>
    </row>
    <row r="2069" spans="11:15">
      <c r="K2069" s="1636">
        <v>44126</v>
      </c>
      <c r="L2069" s="1637" t="s">
        <v>1650</v>
      </c>
      <c r="M2069" s="1638">
        <v>7.4689999999999999E-3</v>
      </c>
      <c r="N2069" s="1639">
        <v>1.6110006768984895</v>
      </c>
      <c r="O2069" s="1639"/>
    </row>
    <row r="2070" spans="11:15">
      <c r="K2070" s="1636">
        <v>44127</v>
      </c>
      <c r="L2070" s="1637" t="s">
        <v>1650</v>
      </c>
      <c r="M2070" s="1638">
        <v>7.4689999999999999E-3</v>
      </c>
      <c r="N2070" s="1639">
        <v>1.611121002539047</v>
      </c>
      <c r="O2070" s="1639"/>
    </row>
    <row r="2071" spans="11:15">
      <c r="K2071" s="1636">
        <v>44128</v>
      </c>
      <c r="L2071" s="1637"/>
      <c r="M2071" s="1638">
        <v>0</v>
      </c>
      <c r="N2071" s="1639">
        <v>1.611121002539047</v>
      </c>
      <c r="O2071" s="1639"/>
    </row>
    <row r="2072" spans="11:15">
      <c r="K2072" s="1636">
        <v>44129</v>
      </c>
      <c r="L2072" s="1637"/>
      <c r="M2072" s="1638">
        <v>0</v>
      </c>
      <c r="N2072" s="1639">
        <v>1.611121002539047</v>
      </c>
      <c r="O2072" s="1639"/>
    </row>
    <row r="2073" spans="11:15">
      <c r="K2073" s="1636">
        <v>44130</v>
      </c>
      <c r="L2073" s="1637" t="s">
        <v>1650</v>
      </c>
      <c r="M2073" s="1638">
        <v>7.4689999999999999E-3</v>
      </c>
      <c r="N2073" s="1639">
        <v>1.6112413371667265</v>
      </c>
      <c r="O2073" s="1639"/>
    </row>
    <row r="2074" spans="11:15">
      <c r="K2074" s="1636">
        <v>44131</v>
      </c>
      <c r="L2074" s="1637" t="s">
        <v>1650</v>
      </c>
      <c r="M2074" s="1638">
        <v>7.4689999999999999E-3</v>
      </c>
      <c r="N2074" s="1639">
        <v>1.6113616807821993</v>
      </c>
      <c r="O2074" s="1639"/>
    </row>
    <row r="2075" spans="11:15">
      <c r="K2075" s="1636">
        <v>44132</v>
      </c>
      <c r="L2075" s="1637" t="s">
        <v>1650</v>
      </c>
      <c r="M2075" s="1638">
        <v>7.4689999999999999E-3</v>
      </c>
      <c r="N2075" s="1639">
        <v>1.6114820333861368</v>
      </c>
      <c r="O2075" s="1639"/>
    </row>
    <row r="2076" spans="11:15">
      <c r="K2076" s="1636">
        <v>44133</v>
      </c>
      <c r="L2076" s="1637" t="s">
        <v>1650</v>
      </c>
      <c r="M2076" s="1638">
        <v>7.4689999999999999E-3</v>
      </c>
      <c r="N2076" s="1639">
        <v>1.6116023949792104</v>
      </c>
      <c r="O2076" s="1639"/>
    </row>
    <row r="2077" spans="11:15">
      <c r="K2077" s="1636">
        <v>44134</v>
      </c>
      <c r="L2077" s="1637" t="s">
        <v>1650</v>
      </c>
      <c r="M2077" s="1638">
        <v>7.4689999999999999E-3</v>
      </c>
      <c r="N2077" s="1639">
        <v>1.6117227655620914</v>
      </c>
      <c r="O2077" s="1639"/>
    </row>
    <row r="2078" spans="11:15">
      <c r="K2078" s="1636">
        <v>44135</v>
      </c>
      <c r="L2078" s="1637"/>
      <c r="M2078" s="1638">
        <v>0</v>
      </c>
      <c r="N2078" s="1639">
        <v>1.6117227655620914</v>
      </c>
      <c r="O2078" s="1639"/>
    </row>
    <row r="2079" spans="11:15">
      <c r="K2079" s="1636">
        <v>44136</v>
      </c>
      <c r="L2079" s="1637"/>
      <c r="M2079" s="1638">
        <v>0</v>
      </c>
      <c r="N2079" s="1639">
        <v>1.6117227655620914</v>
      </c>
      <c r="O2079" s="1639"/>
    </row>
    <row r="2080" spans="11:15">
      <c r="K2080" s="1636">
        <v>44137</v>
      </c>
      <c r="L2080" s="1637"/>
      <c r="M2080" s="1638">
        <v>0</v>
      </c>
      <c r="N2080" s="1639">
        <v>1.6117227655620914</v>
      </c>
      <c r="O2080" s="1639"/>
    </row>
    <row r="2081" spans="11:15">
      <c r="K2081" s="1636">
        <v>44138</v>
      </c>
      <c r="L2081" s="1637" t="s">
        <v>1650</v>
      </c>
      <c r="M2081" s="1638">
        <v>7.4689999999999999E-3</v>
      </c>
      <c r="N2081" s="1639">
        <v>1.6118431451354511</v>
      </c>
      <c r="O2081" s="1639"/>
    </row>
    <row r="2082" spans="11:15">
      <c r="K2082" s="1636">
        <v>44139</v>
      </c>
      <c r="L2082" s="1637" t="s">
        <v>1650</v>
      </c>
      <c r="M2082" s="1638">
        <v>7.4689999999999999E-3</v>
      </c>
      <c r="N2082" s="1639">
        <v>1.6119635336999611</v>
      </c>
      <c r="O2082" s="1639"/>
    </row>
    <row r="2083" spans="11:15">
      <c r="K2083" s="1636">
        <v>44140</v>
      </c>
      <c r="L2083" s="1637" t="s">
        <v>1650</v>
      </c>
      <c r="M2083" s="1638">
        <v>7.4689999999999999E-3</v>
      </c>
      <c r="N2083" s="1639">
        <v>1.6120839312562931</v>
      </c>
      <c r="O2083" s="1639"/>
    </row>
    <row r="2084" spans="11:15">
      <c r="K2084" s="1636">
        <v>44141</v>
      </c>
      <c r="L2084" s="1637" t="s">
        <v>1650</v>
      </c>
      <c r="M2084" s="1638">
        <v>7.4689999999999999E-3</v>
      </c>
      <c r="N2084" s="1639">
        <v>1.6122043378051185</v>
      </c>
      <c r="O2084" s="1639"/>
    </row>
    <row r="2085" spans="11:15">
      <c r="K2085" s="1636">
        <v>44142</v>
      </c>
      <c r="L2085" s="1637"/>
      <c r="M2085" s="1638">
        <v>0</v>
      </c>
      <c r="N2085" s="1639">
        <v>1.6122043378051185</v>
      </c>
      <c r="O2085" s="1639"/>
    </row>
    <row r="2086" spans="11:15">
      <c r="K2086" s="1636">
        <v>44143</v>
      </c>
      <c r="L2086" s="1637"/>
      <c r="M2086" s="1638">
        <v>0</v>
      </c>
      <c r="N2086" s="1639">
        <v>1.6122043378051185</v>
      </c>
      <c r="O2086" s="1639"/>
    </row>
    <row r="2087" spans="11:15">
      <c r="K2087" s="1636">
        <v>44144</v>
      </c>
      <c r="L2087" s="1637" t="s">
        <v>1650</v>
      </c>
      <c r="M2087" s="1638">
        <v>7.4689999999999999E-3</v>
      </c>
      <c r="N2087" s="1639">
        <v>1.612324753347109</v>
      </c>
      <c r="O2087" s="1639"/>
    </row>
    <row r="2088" spans="11:15">
      <c r="K2088" s="1636">
        <v>44145</v>
      </c>
      <c r="L2088" s="1637" t="s">
        <v>1650</v>
      </c>
      <c r="M2088" s="1638">
        <v>7.4689999999999999E-3</v>
      </c>
      <c r="N2088" s="1639">
        <v>1.6124451778829363</v>
      </c>
      <c r="O2088" s="1639"/>
    </row>
    <row r="2089" spans="11:15">
      <c r="K2089" s="1636">
        <v>44146</v>
      </c>
      <c r="L2089" s="1637" t="s">
        <v>1650</v>
      </c>
      <c r="M2089" s="1638">
        <v>7.4689999999999999E-3</v>
      </c>
      <c r="N2089" s="1639">
        <v>1.6125656114132723</v>
      </c>
      <c r="O2089" s="1639"/>
    </row>
    <row r="2090" spans="11:15">
      <c r="K2090" s="1636">
        <v>44147</v>
      </c>
      <c r="L2090" s="1637" t="s">
        <v>1650</v>
      </c>
      <c r="M2090" s="1638">
        <v>7.4689999999999999E-3</v>
      </c>
      <c r="N2090" s="1639">
        <v>1.6126860539387886</v>
      </c>
      <c r="O2090" s="1639"/>
    </row>
    <row r="2091" spans="11:15">
      <c r="K2091" s="1636">
        <v>44148</v>
      </c>
      <c r="L2091" s="1637" t="s">
        <v>1650</v>
      </c>
      <c r="M2091" s="1638">
        <v>7.4689999999999999E-3</v>
      </c>
      <c r="N2091" s="1639">
        <v>1.6128065054601572</v>
      </c>
      <c r="O2091" s="1639"/>
    </row>
    <row r="2092" spans="11:15">
      <c r="K2092" s="1636">
        <v>44149</v>
      </c>
      <c r="L2092" s="1637"/>
      <c r="M2092" s="1638">
        <v>0</v>
      </c>
      <c r="N2092" s="1639">
        <v>1.6128065054601572</v>
      </c>
      <c r="O2092" s="1639"/>
    </row>
    <row r="2093" spans="11:15">
      <c r="K2093" s="1636">
        <v>44150</v>
      </c>
      <c r="L2093" s="1637"/>
      <c r="M2093" s="1638">
        <v>0</v>
      </c>
      <c r="N2093" s="1639">
        <v>1.6128065054601572</v>
      </c>
      <c r="O2093" s="1639"/>
    </row>
    <row r="2094" spans="11:15">
      <c r="K2094" s="1636">
        <v>44151</v>
      </c>
      <c r="L2094" s="1637" t="s">
        <v>1650</v>
      </c>
      <c r="M2094" s="1638">
        <v>7.4689999999999999E-3</v>
      </c>
      <c r="N2094" s="1639">
        <v>1.6129269659780499</v>
      </c>
      <c r="O2094" s="1639"/>
    </row>
    <row r="2095" spans="11:15">
      <c r="K2095" s="1636">
        <v>44152</v>
      </c>
      <c r="L2095" s="1637" t="s">
        <v>1650</v>
      </c>
      <c r="M2095" s="1638">
        <v>7.4689999999999999E-3</v>
      </c>
      <c r="N2095" s="1639">
        <v>1.6130474354931386</v>
      </c>
      <c r="O2095" s="1639"/>
    </row>
    <row r="2096" spans="11:15">
      <c r="K2096" s="1636">
        <v>44153</v>
      </c>
      <c r="L2096" s="1637" t="s">
        <v>1650</v>
      </c>
      <c r="M2096" s="1638">
        <v>7.4689999999999999E-3</v>
      </c>
      <c r="N2096" s="1639">
        <v>1.6131679140060955</v>
      </c>
      <c r="O2096" s="1639"/>
    </row>
    <row r="2097" spans="11:15">
      <c r="K2097" s="1636">
        <v>44154</v>
      </c>
      <c r="L2097" s="1637" t="s">
        <v>1650</v>
      </c>
      <c r="M2097" s="1638">
        <v>7.4689999999999999E-3</v>
      </c>
      <c r="N2097" s="1639">
        <v>1.6132884015175926</v>
      </c>
      <c r="O2097" s="1639"/>
    </row>
    <row r="2098" spans="11:15">
      <c r="K2098" s="1636">
        <v>44155</v>
      </c>
      <c r="L2098" s="1637" t="s">
        <v>1650</v>
      </c>
      <c r="M2098" s="1638">
        <v>7.4689999999999999E-3</v>
      </c>
      <c r="N2098" s="1639">
        <v>1.6134088980283019</v>
      </c>
      <c r="O2098" s="1639"/>
    </row>
    <row r="2099" spans="11:15">
      <c r="K2099" s="1636">
        <v>44156</v>
      </c>
      <c r="L2099" s="1637"/>
      <c r="M2099" s="1638">
        <v>0</v>
      </c>
      <c r="N2099" s="1639">
        <v>1.6134088980283019</v>
      </c>
      <c r="O2099" s="1639"/>
    </row>
    <row r="2100" spans="11:15">
      <c r="K2100" s="1636">
        <v>44157</v>
      </c>
      <c r="L2100" s="1637"/>
      <c r="M2100" s="1638">
        <v>0</v>
      </c>
      <c r="N2100" s="1639">
        <v>1.6134088980283019</v>
      </c>
      <c r="O2100" s="1639"/>
    </row>
    <row r="2101" spans="11:15">
      <c r="K2101" s="1636">
        <v>44158</v>
      </c>
      <c r="L2101" s="1637" t="s">
        <v>1650</v>
      </c>
      <c r="M2101" s="1638">
        <v>7.4689999999999999E-3</v>
      </c>
      <c r="N2101" s="1639">
        <v>1.6135294035388956</v>
      </c>
      <c r="O2101" s="1639"/>
    </row>
    <row r="2102" spans="11:15">
      <c r="K2102" s="1636">
        <v>44159</v>
      </c>
      <c r="L2102" s="1637" t="s">
        <v>1650</v>
      </c>
      <c r="M2102" s="1638">
        <v>7.4689999999999999E-3</v>
      </c>
      <c r="N2102" s="1639">
        <v>1.6136499180500459</v>
      </c>
      <c r="O2102" s="1639"/>
    </row>
    <row r="2103" spans="11:15">
      <c r="K2103" s="1636">
        <v>44160</v>
      </c>
      <c r="L2103" s="1637" t="s">
        <v>1650</v>
      </c>
      <c r="M2103" s="1638">
        <v>7.4689999999999999E-3</v>
      </c>
      <c r="N2103" s="1639">
        <v>1.613770441562425</v>
      </c>
      <c r="O2103" s="1639"/>
    </row>
    <row r="2104" spans="11:15">
      <c r="K2104" s="1636">
        <v>44161</v>
      </c>
      <c r="L2104" s="1637" t="s">
        <v>1650</v>
      </c>
      <c r="M2104" s="1638">
        <v>7.4689999999999999E-3</v>
      </c>
      <c r="N2104" s="1639">
        <v>1.6138909740767051</v>
      </c>
      <c r="O2104" s="1639"/>
    </row>
    <row r="2105" spans="11:15">
      <c r="K2105" s="1636">
        <v>44162</v>
      </c>
      <c r="L2105" s="1637" t="s">
        <v>1650</v>
      </c>
      <c r="M2105" s="1638">
        <v>7.4689999999999999E-3</v>
      </c>
      <c r="N2105" s="1639">
        <v>1.6140115155935588</v>
      </c>
      <c r="O2105" s="1639"/>
    </row>
    <row r="2106" spans="11:15">
      <c r="K2106" s="1636">
        <v>44163</v>
      </c>
      <c r="L2106" s="1637"/>
      <c r="M2106" s="1638">
        <v>0</v>
      </c>
      <c r="N2106" s="1639">
        <v>1.6140115155935588</v>
      </c>
      <c r="O2106" s="1639"/>
    </row>
    <row r="2107" spans="11:15">
      <c r="K2107" s="1636">
        <v>44164</v>
      </c>
      <c r="L2107" s="1637"/>
      <c r="M2107" s="1638">
        <v>0</v>
      </c>
      <c r="N2107" s="1639">
        <v>1.6140115155935588</v>
      </c>
      <c r="O2107" s="1639"/>
    </row>
    <row r="2108" spans="11:15">
      <c r="K2108" s="1636">
        <v>44165</v>
      </c>
      <c r="L2108" s="1637" t="s">
        <v>1650</v>
      </c>
      <c r="M2108" s="1638">
        <v>7.4689999999999999E-3</v>
      </c>
      <c r="N2108" s="1639">
        <v>1.6141320661136584</v>
      </c>
      <c r="O2108" s="1639"/>
    </row>
    <row r="2109" spans="11:15">
      <c r="K2109" s="1636">
        <v>44166</v>
      </c>
      <c r="L2109" s="1637" t="s">
        <v>1650</v>
      </c>
      <c r="M2109" s="1638">
        <v>7.4689999999999999E-3</v>
      </c>
      <c r="N2109" s="1639">
        <v>1.6142526256376764</v>
      </c>
      <c r="O2109" s="1639"/>
    </row>
    <row r="2110" spans="11:15">
      <c r="K2110" s="1636">
        <v>44167</v>
      </c>
      <c r="L2110" s="1637" t="s">
        <v>1650</v>
      </c>
      <c r="M2110" s="1638">
        <v>7.4689999999999999E-3</v>
      </c>
      <c r="N2110" s="1639">
        <v>1.6143731941662851</v>
      </c>
      <c r="O2110" s="1639"/>
    </row>
    <row r="2111" spans="11:15">
      <c r="K2111" s="1636">
        <v>44168</v>
      </c>
      <c r="L2111" s="1637" t="s">
        <v>1650</v>
      </c>
      <c r="M2111" s="1638">
        <v>7.4689999999999999E-3</v>
      </c>
      <c r="N2111" s="1639">
        <v>1.6144937717001573</v>
      </c>
      <c r="O2111" s="1639"/>
    </row>
    <row r="2112" spans="11:15">
      <c r="K2112" s="1636">
        <v>44169</v>
      </c>
      <c r="L2112" s="1637" t="s">
        <v>1650</v>
      </c>
      <c r="M2112" s="1638">
        <v>7.4689999999999999E-3</v>
      </c>
      <c r="N2112" s="1639">
        <v>1.6146143582399655</v>
      </c>
      <c r="O2112" s="1639"/>
    </row>
    <row r="2113" spans="11:15">
      <c r="K2113" s="1636">
        <v>44170</v>
      </c>
      <c r="L2113" s="1637"/>
      <c r="M2113" s="1638">
        <v>0</v>
      </c>
      <c r="N2113" s="1639">
        <v>1.6146143582399655</v>
      </c>
      <c r="O2113" s="1639"/>
    </row>
    <row r="2114" spans="11:15">
      <c r="K2114" s="1636">
        <v>44171</v>
      </c>
      <c r="L2114" s="1637"/>
      <c r="M2114" s="1638">
        <v>0</v>
      </c>
      <c r="N2114" s="1639">
        <v>1.6146143582399655</v>
      </c>
      <c r="O2114" s="1639"/>
    </row>
    <row r="2115" spans="11:15">
      <c r="K2115" s="1636">
        <v>44172</v>
      </c>
      <c r="L2115" s="1637" t="s">
        <v>1650</v>
      </c>
      <c r="M2115" s="1638">
        <v>7.4689999999999999E-3</v>
      </c>
      <c r="N2115" s="1639">
        <v>1.6147349537863822</v>
      </c>
      <c r="O2115" s="1639"/>
    </row>
    <row r="2116" spans="11:15">
      <c r="K2116" s="1636">
        <v>44173</v>
      </c>
      <c r="L2116" s="1637" t="s">
        <v>1650</v>
      </c>
      <c r="M2116" s="1638">
        <v>7.4689999999999999E-3</v>
      </c>
      <c r="N2116" s="1639">
        <v>1.6148555583400803</v>
      </c>
      <c r="O2116" s="1639"/>
    </row>
    <row r="2117" spans="11:15">
      <c r="K2117" s="1636">
        <v>44174</v>
      </c>
      <c r="L2117" s="1637" t="s">
        <v>1650</v>
      </c>
      <c r="M2117" s="1638">
        <v>7.4689999999999999E-3</v>
      </c>
      <c r="N2117" s="1639">
        <v>1.6149761719017326</v>
      </c>
      <c r="O2117" s="1639"/>
    </row>
    <row r="2118" spans="11:15">
      <c r="K2118" s="1636">
        <v>44175</v>
      </c>
      <c r="L2118" s="1637" t="s">
        <v>1650</v>
      </c>
      <c r="M2118" s="1638">
        <v>7.4689999999999999E-3</v>
      </c>
      <c r="N2118" s="1639">
        <v>1.6150967944720118</v>
      </c>
      <c r="O2118" s="1639"/>
    </row>
    <row r="2119" spans="11:15">
      <c r="K2119" s="1636">
        <v>44176</v>
      </c>
      <c r="L2119" s="1637" t="s">
        <v>1650</v>
      </c>
      <c r="M2119" s="1638">
        <v>7.4689999999999999E-3</v>
      </c>
      <c r="N2119" s="1639">
        <v>1.6152174260515908</v>
      </c>
      <c r="O2119" s="1639"/>
    </row>
    <row r="2120" spans="11:15">
      <c r="K2120" s="1636">
        <v>44177</v>
      </c>
      <c r="L2120" s="1637"/>
      <c r="M2120" s="1638">
        <v>0</v>
      </c>
      <c r="N2120" s="1639">
        <v>1.6152174260515908</v>
      </c>
      <c r="O2120" s="1639"/>
    </row>
    <row r="2121" spans="11:15">
      <c r="K2121" s="1636">
        <v>44178</v>
      </c>
      <c r="L2121" s="1637"/>
      <c r="M2121" s="1638">
        <v>0</v>
      </c>
      <c r="N2121" s="1639">
        <v>1.6152174260515908</v>
      </c>
      <c r="O2121" s="1639"/>
    </row>
    <row r="2122" spans="11:15">
      <c r="K2122" s="1636">
        <v>44179</v>
      </c>
      <c r="L2122" s="1637" t="s">
        <v>1650</v>
      </c>
      <c r="M2122" s="1638">
        <v>7.4689999999999999E-3</v>
      </c>
      <c r="N2122" s="1639">
        <v>1.6153380666411425</v>
      </c>
      <c r="O2122" s="1639"/>
    </row>
    <row r="2123" spans="11:15">
      <c r="K2123" s="1636">
        <v>44180</v>
      </c>
      <c r="L2123" s="1637" t="s">
        <v>1650</v>
      </c>
      <c r="M2123" s="1638">
        <v>7.4689999999999999E-3</v>
      </c>
      <c r="N2123" s="1639">
        <v>1.6154587162413399</v>
      </c>
      <c r="O2123" s="1639"/>
    </row>
    <row r="2124" spans="11:15">
      <c r="K2124" s="1636">
        <v>44181</v>
      </c>
      <c r="L2124" s="1637" t="s">
        <v>1650</v>
      </c>
      <c r="M2124" s="1638">
        <v>7.4689999999999999E-3</v>
      </c>
      <c r="N2124" s="1639">
        <v>1.6155793748528557</v>
      </c>
      <c r="O2124" s="1639"/>
    </row>
    <row r="2125" spans="11:15">
      <c r="K2125" s="1636">
        <v>44182</v>
      </c>
      <c r="L2125" s="1637" t="s">
        <v>1650</v>
      </c>
      <c r="M2125" s="1638">
        <v>7.4689999999999999E-3</v>
      </c>
      <c r="N2125" s="1639">
        <v>1.6157000424763635</v>
      </c>
      <c r="O2125" s="1639"/>
    </row>
    <row r="2126" spans="11:15">
      <c r="K2126" s="1636">
        <v>44183</v>
      </c>
      <c r="L2126" s="1637" t="s">
        <v>1650</v>
      </c>
      <c r="M2126" s="1638">
        <v>7.4689999999999999E-3</v>
      </c>
      <c r="N2126" s="1639">
        <v>1.615820719112536</v>
      </c>
      <c r="O2126" s="1639"/>
    </row>
    <row r="2127" spans="11:15">
      <c r="K2127" s="1636">
        <v>44184</v>
      </c>
      <c r="L2127" s="1637"/>
      <c r="M2127" s="1638">
        <v>0</v>
      </c>
      <c r="N2127" s="1639">
        <v>1.615820719112536</v>
      </c>
      <c r="O2127" s="1639"/>
    </row>
    <row r="2128" spans="11:15">
      <c r="K2128" s="1636">
        <v>44185</v>
      </c>
      <c r="L2128" s="1637"/>
      <c r="M2128" s="1638">
        <v>0</v>
      </c>
      <c r="N2128" s="1639">
        <v>1.615820719112536</v>
      </c>
      <c r="O2128" s="1639"/>
    </row>
    <row r="2129" spans="11:15">
      <c r="K2129" s="1636">
        <v>44186</v>
      </c>
      <c r="L2129" s="1637" t="s">
        <v>1650</v>
      </c>
      <c r="M2129" s="1638">
        <v>7.4689999999999999E-3</v>
      </c>
      <c r="N2129" s="1639">
        <v>1.6159414047620464</v>
      </c>
      <c r="O2129" s="1639"/>
    </row>
    <row r="2130" spans="11:15">
      <c r="K2130" s="1636">
        <v>44187</v>
      </c>
      <c r="L2130" s="1637" t="s">
        <v>1650</v>
      </c>
      <c r="M2130" s="1638">
        <v>7.4689999999999999E-3</v>
      </c>
      <c r="N2130" s="1639">
        <v>1.6160620994255679</v>
      </c>
      <c r="O2130" s="1639"/>
    </row>
    <row r="2131" spans="11:15">
      <c r="K2131" s="1636">
        <v>44188</v>
      </c>
      <c r="L2131" s="1637" t="s">
        <v>1650</v>
      </c>
      <c r="M2131" s="1638">
        <v>7.4689999999999999E-3</v>
      </c>
      <c r="N2131" s="1639">
        <v>1.6161828031037739</v>
      </c>
      <c r="O2131" s="1639"/>
    </row>
    <row r="2132" spans="11:15">
      <c r="K2132" s="1636">
        <v>44189</v>
      </c>
      <c r="L2132" s="1637" t="s">
        <v>1650</v>
      </c>
      <c r="M2132" s="1638">
        <v>7.4689999999999999E-3</v>
      </c>
      <c r="N2132" s="1639">
        <v>1.6163035157973376</v>
      </c>
      <c r="O2132" s="1639"/>
    </row>
    <row r="2133" spans="11:15">
      <c r="K2133" s="1636">
        <v>44190</v>
      </c>
      <c r="L2133" s="1637"/>
      <c r="M2133" s="1638">
        <v>0</v>
      </c>
      <c r="N2133" s="1639">
        <v>1.6163035157973376</v>
      </c>
      <c r="O2133" s="1639"/>
    </row>
    <row r="2134" spans="11:15">
      <c r="K2134" s="1636">
        <v>44191</v>
      </c>
      <c r="L2134" s="1637"/>
      <c r="M2134" s="1638">
        <v>0</v>
      </c>
      <c r="N2134" s="1639">
        <v>1.6163035157973376</v>
      </c>
      <c r="O2134" s="1639"/>
    </row>
    <row r="2135" spans="11:15">
      <c r="K2135" s="1636">
        <v>44192</v>
      </c>
      <c r="L2135" s="1637"/>
      <c r="M2135" s="1638">
        <v>0</v>
      </c>
      <c r="N2135" s="1639">
        <v>1.6163035157973376</v>
      </c>
      <c r="O2135" s="1639"/>
    </row>
    <row r="2136" spans="11:15">
      <c r="K2136" s="1636">
        <v>44193</v>
      </c>
      <c r="L2136" s="1637" t="s">
        <v>1650</v>
      </c>
      <c r="M2136" s="1638">
        <v>7.4689999999999999E-3</v>
      </c>
      <c r="N2136" s="1639">
        <v>1.6164242375069324</v>
      </c>
      <c r="O2136" s="1639"/>
    </row>
    <row r="2137" spans="11:15">
      <c r="K2137" s="1636">
        <v>44194</v>
      </c>
      <c r="L2137" s="1637" t="s">
        <v>1650</v>
      </c>
      <c r="M2137" s="1638">
        <v>7.4689999999999999E-3</v>
      </c>
      <c r="N2137" s="1639">
        <v>1.6165449682332318</v>
      </c>
      <c r="O2137" s="1639"/>
    </row>
    <row r="2138" spans="11:15">
      <c r="K2138" s="1636">
        <v>44195</v>
      </c>
      <c r="L2138" s="1637" t="s">
        <v>1650</v>
      </c>
      <c r="M2138" s="1638">
        <v>7.4689999999999999E-3</v>
      </c>
      <c r="N2138" s="1639">
        <v>1.6166657079769091</v>
      </c>
      <c r="O2138" s="1639"/>
    </row>
    <row r="2139" spans="11:15">
      <c r="K2139" s="1636">
        <v>44196</v>
      </c>
      <c r="L2139" s="1637" t="s">
        <v>1650</v>
      </c>
      <c r="M2139" s="1638">
        <v>7.4689999999999999E-3</v>
      </c>
      <c r="N2139" s="1639">
        <v>1.6167864567386379</v>
      </c>
      <c r="O2139" s="1639"/>
    </row>
    <row r="2140" spans="11:15">
      <c r="K2140" s="1636">
        <v>44197</v>
      </c>
      <c r="L2140" s="1637"/>
      <c r="M2140" s="1638">
        <v>0</v>
      </c>
      <c r="N2140" s="1639">
        <v>1.6167864567386379</v>
      </c>
      <c r="O2140" s="1639"/>
    </row>
    <row r="2141" spans="11:15">
      <c r="K2141" s="1636">
        <v>44198</v>
      </c>
      <c r="L2141" s="1637"/>
      <c r="M2141" s="1638">
        <v>0</v>
      </c>
      <c r="N2141" s="1639">
        <v>1.6167864567386379</v>
      </c>
      <c r="O2141" s="1639"/>
    </row>
    <row r="2142" spans="11:15">
      <c r="K2142" s="1636">
        <v>44199</v>
      </c>
      <c r="L2142" s="1637"/>
      <c r="M2142" s="1638">
        <v>0</v>
      </c>
      <c r="N2142" s="1639">
        <v>1.6167864567386379</v>
      </c>
      <c r="O2142" s="1639"/>
    </row>
    <row r="2143" spans="11:15">
      <c r="K2143" s="1636">
        <v>44200</v>
      </c>
      <c r="L2143" s="1637" t="s">
        <v>1650</v>
      </c>
      <c r="M2143" s="1638">
        <v>7.4689999999999999E-3</v>
      </c>
      <c r="N2143" s="1639">
        <v>1.6169072145190915</v>
      </c>
      <c r="O2143" s="1639"/>
    </row>
    <row r="2144" spans="11:15">
      <c r="K2144" s="1636">
        <v>44201</v>
      </c>
      <c r="L2144" s="1637" t="s">
        <v>1650</v>
      </c>
      <c r="M2144" s="1638">
        <v>7.4689999999999999E-3</v>
      </c>
      <c r="N2144" s="1639">
        <v>1.6170279813189439</v>
      </c>
      <c r="O2144" s="1639"/>
    </row>
    <row r="2145" spans="11:15">
      <c r="K2145" s="1636">
        <v>44202</v>
      </c>
      <c r="L2145" s="1637" t="s">
        <v>1650</v>
      </c>
      <c r="M2145" s="1638">
        <v>7.4689999999999999E-3</v>
      </c>
      <c r="N2145" s="1639">
        <v>1.6171487571388685</v>
      </c>
      <c r="O2145" s="1639"/>
    </row>
    <row r="2146" spans="11:15">
      <c r="K2146" s="1636">
        <v>44203</v>
      </c>
      <c r="L2146" s="1637" t="s">
        <v>1650</v>
      </c>
      <c r="M2146" s="1638">
        <v>7.4689999999999999E-3</v>
      </c>
      <c r="N2146" s="1639">
        <v>1.6172695419795391</v>
      </c>
      <c r="O2146" s="1639"/>
    </row>
    <row r="2147" spans="11:15">
      <c r="K2147" s="1636">
        <v>44204</v>
      </c>
      <c r="L2147" s="1637" t="s">
        <v>1650</v>
      </c>
      <c r="M2147" s="1638">
        <v>7.4689999999999999E-3</v>
      </c>
      <c r="N2147" s="1639">
        <v>1.6173903358416295</v>
      </c>
      <c r="O2147" s="1639"/>
    </row>
    <row r="2148" spans="11:15">
      <c r="K2148" s="1636">
        <v>44205</v>
      </c>
      <c r="L2148" s="1637"/>
      <c r="M2148" s="1638">
        <v>0</v>
      </c>
      <c r="N2148" s="1639">
        <v>1.6173903358416295</v>
      </c>
      <c r="O2148" s="1639"/>
    </row>
    <row r="2149" spans="11:15">
      <c r="K2149" s="1636">
        <v>44206</v>
      </c>
      <c r="L2149" s="1637"/>
      <c r="M2149" s="1638">
        <v>0</v>
      </c>
      <c r="N2149" s="1639">
        <v>1.6173903358416295</v>
      </c>
      <c r="O2149" s="1639"/>
    </row>
    <row r="2150" spans="11:15">
      <c r="K2150" s="1636">
        <v>44207</v>
      </c>
      <c r="L2150" s="1637" t="s">
        <v>1650</v>
      </c>
      <c r="M2150" s="1638">
        <v>7.4689999999999999E-3</v>
      </c>
      <c r="N2150" s="1639">
        <v>1.6175111387258134</v>
      </c>
      <c r="O2150" s="1639"/>
    </row>
    <row r="2151" spans="11:15">
      <c r="K2151" s="1636">
        <v>44208</v>
      </c>
      <c r="L2151" s="1637" t="s">
        <v>1650</v>
      </c>
      <c r="M2151" s="1638">
        <v>7.4689999999999999E-3</v>
      </c>
      <c r="N2151" s="1639">
        <v>1.6176319506327648</v>
      </c>
      <c r="O2151" s="1639"/>
    </row>
    <row r="2152" spans="11:15">
      <c r="K2152" s="1636">
        <v>44209</v>
      </c>
      <c r="L2152" s="1637" t="s">
        <v>1650</v>
      </c>
      <c r="M2152" s="1638">
        <v>7.4689999999999999E-3</v>
      </c>
      <c r="N2152" s="1639">
        <v>1.6177527715631574</v>
      </c>
      <c r="O2152" s="1639"/>
    </row>
    <row r="2153" spans="11:15">
      <c r="K2153" s="1636">
        <v>44210</v>
      </c>
      <c r="L2153" s="1637" t="s">
        <v>1650</v>
      </c>
      <c r="M2153" s="1638">
        <v>7.4689999999999999E-3</v>
      </c>
      <c r="N2153" s="1639">
        <v>1.6178736015176653</v>
      </c>
      <c r="O2153" s="1639"/>
    </row>
    <row r="2154" spans="11:15">
      <c r="K2154" s="1636">
        <v>44211</v>
      </c>
      <c r="L2154" s="1637" t="s">
        <v>1650</v>
      </c>
      <c r="M2154" s="1638">
        <v>7.4689999999999999E-3</v>
      </c>
      <c r="N2154" s="1639">
        <v>1.6179944404969626</v>
      </c>
      <c r="O2154" s="1639"/>
    </row>
    <row r="2155" spans="11:15">
      <c r="K2155" s="1636">
        <v>44212</v>
      </c>
      <c r="L2155" s="1637"/>
      <c r="M2155" s="1638">
        <v>0</v>
      </c>
      <c r="N2155" s="1639">
        <v>1.6179944404969626</v>
      </c>
      <c r="O2155" s="1639"/>
    </row>
    <row r="2156" spans="11:15">
      <c r="K2156" s="1636">
        <v>44213</v>
      </c>
      <c r="L2156" s="1637"/>
      <c r="M2156" s="1638">
        <v>0</v>
      </c>
      <c r="N2156" s="1639">
        <v>1.6179944404969626</v>
      </c>
      <c r="O2156" s="1639"/>
    </row>
    <row r="2157" spans="11:15">
      <c r="K2157" s="1636">
        <v>44214</v>
      </c>
      <c r="L2157" s="1637" t="s">
        <v>1650</v>
      </c>
      <c r="M2157" s="1638">
        <v>7.4689999999999999E-3</v>
      </c>
      <c r="N2157" s="1639">
        <v>1.6181152885017231</v>
      </c>
      <c r="O2157" s="1639"/>
    </row>
    <row r="2158" spans="11:15">
      <c r="K2158" s="1636">
        <v>44215</v>
      </c>
      <c r="L2158" s="1637" t="s">
        <v>1650</v>
      </c>
      <c r="M2158" s="1638">
        <v>7.4689999999999999E-3</v>
      </c>
      <c r="N2158" s="1639">
        <v>1.6182361455326213</v>
      </c>
      <c r="O2158" s="1639"/>
    </row>
    <row r="2159" spans="11:15">
      <c r="K2159" s="1636">
        <v>44216</v>
      </c>
      <c r="L2159" s="1637" t="s">
        <v>1650</v>
      </c>
      <c r="M2159" s="1638">
        <v>7.4689999999999999E-3</v>
      </c>
      <c r="N2159" s="1639">
        <v>1.618357011590331</v>
      </c>
      <c r="O2159" s="1639"/>
    </row>
    <row r="2160" spans="11:15">
      <c r="K2160" s="1636">
        <v>44217</v>
      </c>
      <c r="L2160" s="1637" t="s">
        <v>1650</v>
      </c>
      <c r="M2160" s="1638">
        <v>7.4689999999999999E-3</v>
      </c>
      <c r="N2160" s="1639">
        <v>1.6184778866755265</v>
      </c>
      <c r="O2160" s="1639"/>
    </row>
    <row r="2161" spans="11:15">
      <c r="K2161" s="1636">
        <v>44218</v>
      </c>
      <c r="L2161" s="1637" t="s">
        <v>1650</v>
      </c>
      <c r="M2161" s="1638">
        <v>7.4689999999999999E-3</v>
      </c>
      <c r="N2161" s="1639">
        <v>1.6185987707888823</v>
      </c>
      <c r="O2161" s="1639"/>
    </row>
    <row r="2162" spans="11:15">
      <c r="K2162" s="1636">
        <v>44219</v>
      </c>
      <c r="L2162" s="1637"/>
      <c r="M2162" s="1638">
        <v>0</v>
      </c>
      <c r="N2162" s="1639">
        <v>1.6185987707888823</v>
      </c>
      <c r="O2162" s="1639"/>
    </row>
    <row r="2163" spans="11:15">
      <c r="K2163" s="1636">
        <v>44220</v>
      </c>
      <c r="L2163" s="1637"/>
      <c r="M2163" s="1638">
        <v>0</v>
      </c>
      <c r="N2163" s="1639">
        <v>1.6185987707888823</v>
      </c>
      <c r="O2163" s="1639"/>
    </row>
    <row r="2164" spans="11:15">
      <c r="K2164" s="1636">
        <v>44221</v>
      </c>
      <c r="L2164" s="1637" t="s">
        <v>1650</v>
      </c>
      <c r="M2164" s="1638">
        <v>7.4689999999999999E-3</v>
      </c>
      <c r="N2164" s="1639">
        <v>1.6187196639310724</v>
      </c>
      <c r="O2164" s="1639"/>
    </row>
    <row r="2165" spans="11:15">
      <c r="K2165" s="1636">
        <v>44222</v>
      </c>
      <c r="L2165" s="1637" t="s">
        <v>1650</v>
      </c>
      <c r="M2165" s="1638">
        <v>7.4689999999999999E-3</v>
      </c>
      <c r="N2165" s="1639">
        <v>1.6188405661027712</v>
      </c>
      <c r="O2165" s="1639"/>
    </row>
    <row r="2166" spans="11:15">
      <c r="K2166" s="1636">
        <v>44223</v>
      </c>
      <c r="L2166" s="1637" t="s">
        <v>1650</v>
      </c>
      <c r="M2166" s="1638">
        <v>7.4689999999999999E-3</v>
      </c>
      <c r="N2166" s="1639">
        <v>1.6189614773046532</v>
      </c>
      <c r="O2166" s="1639"/>
    </row>
    <row r="2167" spans="11:15">
      <c r="K2167" s="1636">
        <v>44224</v>
      </c>
      <c r="L2167" s="1637" t="s">
        <v>1650</v>
      </c>
      <c r="M2167" s="1638">
        <v>7.4689999999999999E-3</v>
      </c>
      <c r="N2167" s="1639">
        <v>1.6190823975373929</v>
      </c>
      <c r="O2167" s="1639"/>
    </row>
    <row r="2168" spans="11:15">
      <c r="K2168" s="1636">
        <v>44225</v>
      </c>
      <c r="L2168" s="1637" t="s">
        <v>1650</v>
      </c>
      <c r="M2168" s="1638">
        <v>7.4689999999999999E-3</v>
      </c>
      <c r="N2168" s="1639">
        <v>1.6192033268016648</v>
      </c>
      <c r="O2168" s="1639"/>
    </row>
    <row r="2169" spans="11:15">
      <c r="K2169" s="1636">
        <v>44226</v>
      </c>
      <c r="L2169" s="1637"/>
      <c r="M2169" s="1638">
        <v>0</v>
      </c>
      <c r="N2169" s="1639">
        <v>1.6192033268016648</v>
      </c>
      <c r="O2169" s="1639"/>
    </row>
    <row r="2170" spans="11:15">
      <c r="K2170" s="1636">
        <v>44227</v>
      </c>
      <c r="L2170" s="1637"/>
      <c r="M2170" s="1638">
        <v>0</v>
      </c>
      <c r="N2170" s="1639">
        <v>1.6192033268016648</v>
      </c>
      <c r="O2170" s="1639"/>
    </row>
    <row r="2171" spans="11:15">
      <c r="K2171" s="1636">
        <v>44228</v>
      </c>
      <c r="L2171" s="1637" t="s">
        <v>1650</v>
      </c>
      <c r="M2171" s="1638">
        <v>7.4689999999999999E-3</v>
      </c>
      <c r="N2171" s="1639">
        <v>1.6193242650981434</v>
      </c>
      <c r="O2171" s="1639"/>
    </row>
    <row r="2172" spans="11:15">
      <c r="K2172" s="1636">
        <v>44229</v>
      </c>
      <c r="L2172" s="1637" t="s">
        <v>1650</v>
      </c>
      <c r="M2172" s="1638">
        <v>7.4689999999999999E-3</v>
      </c>
      <c r="N2172" s="1639">
        <v>1.6194452124275034</v>
      </c>
      <c r="O2172" s="1639"/>
    </row>
    <row r="2173" spans="11:15">
      <c r="K2173" s="1636">
        <v>44230</v>
      </c>
      <c r="L2173" s="1637" t="s">
        <v>1650</v>
      </c>
      <c r="M2173" s="1638">
        <v>7.4689999999999999E-3</v>
      </c>
      <c r="N2173" s="1639">
        <v>1.6195661687904195</v>
      </c>
      <c r="O2173" s="1639"/>
    </row>
    <row r="2174" spans="11:15">
      <c r="K2174" s="1636">
        <v>44231</v>
      </c>
      <c r="L2174" s="1637" t="s">
        <v>1650</v>
      </c>
      <c r="M2174" s="1638">
        <v>7.4689999999999999E-3</v>
      </c>
      <c r="N2174" s="1639">
        <v>1.6196871341875663</v>
      </c>
      <c r="O2174" s="1639"/>
    </row>
    <row r="2175" spans="11:15">
      <c r="K2175" s="1636">
        <v>44232</v>
      </c>
      <c r="L2175" s="1637" t="s">
        <v>1650</v>
      </c>
      <c r="M2175" s="1638">
        <v>7.4689999999999999E-3</v>
      </c>
      <c r="N2175" s="1639">
        <v>1.6198081086196185</v>
      </c>
      <c r="O2175" s="1639"/>
    </row>
    <row r="2176" spans="11:15">
      <c r="K2176" s="1636">
        <v>44233</v>
      </c>
      <c r="L2176" s="1637"/>
      <c r="M2176" s="1638">
        <v>0</v>
      </c>
      <c r="N2176" s="1639">
        <v>1.6198081086196185</v>
      </c>
      <c r="O2176" s="1639"/>
    </row>
    <row r="2177" spans="11:15">
      <c r="K2177" s="1636">
        <v>44234</v>
      </c>
      <c r="L2177" s="1637"/>
      <c r="M2177" s="1638">
        <v>0</v>
      </c>
      <c r="N2177" s="1639">
        <v>1.6198081086196185</v>
      </c>
      <c r="O2177" s="1639"/>
    </row>
    <row r="2178" spans="11:15">
      <c r="K2178" s="1636">
        <v>44235</v>
      </c>
      <c r="L2178" s="1637" t="s">
        <v>1650</v>
      </c>
      <c r="M2178" s="1638">
        <v>7.4689999999999999E-3</v>
      </c>
      <c r="N2178" s="1639">
        <v>1.6199290920872513</v>
      </c>
      <c r="O2178" s="1639"/>
    </row>
    <row r="2179" spans="11:15">
      <c r="K2179" s="1636">
        <v>44236</v>
      </c>
      <c r="L2179" s="1637" t="s">
        <v>1650</v>
      </c>
      <c r="M2179" s="1638">
        <v>7.4689999999999999E-3</v>
      </c>
      <c r="N2179" s="1639">
        <v>1.6200500845911392</v>
      </c>
      <c r="O2179" s="1639"/>
    </row>
    <row r="2180" spans="11:15">
      <c r="K2180" s="1636">
        <v>44237</v>
      </c>
      <c r="L2180" s="1637" t="s">
        <v>1650</v>
      </c>
      <c r="M2180" s="1638">
        <v>7.4689999999999999E-3</v>
      </c>
      <c r="N2180" s="1639">
        <v>1.6201710861319571</v>
      </c>
      <c r="O2180" s="1639"/>
    </row>
    <row r="2181" spans="11:15">
      <c r="K2181" s="1636">
        <v>44238</v>
      </c>
      <c r="L2181" s="1637" t="s">
        <v>1650</v>
      </c>
      <c r="M2181" s="1638">
        <v>7.4689999999999999E-3</v>
      </c>
      <c r="N2181" s="1639">
        <v>1.6202920967103802</v>
      </c>
      <c r="O2181" s="1639"/>
    </row>
    <row r="2182" spans="11:15">
      <c r="K2182" s="1636">
        <v>44239</v>
      </c>
      <c r="L2182" s="1637" t="s">
        <v>1650</v>
      </c>
      <c r="M2182" s="1638">
        <v>7.4689999999999999E-3</v>
      </c>
      <c r="N2182" s="1639">
        <v>1.6204131163270834</v>
      </c>
      <c r="O2182" s="1639"/>
    </row>
    <row r="2183" spans="11:15">
      <c r="K2183" s="1636">
        <v>44240</v>
      </c>
      <c r="L2183" s="1637"/>
      <c r="M2183" s="1638">
        <v>0</v>
      </c>
      <c r="N2183" s="1639">
        <v>1.6204131163270834</v>
      </c>
      <c r="O2183" s="1639"/>
    </row>
    <row r="2184" spans="11:15">
      <c r="K2184" s="1636">
        <v>44241</v>
      </c>
      <c r="L2184" s="1637"/>
      <c r="M2184" s="1638">
        <v>0</v>
      </c>
      <c r="N2184" s="1639">
        <v>1.6204131163270834</v>
      </c>
      <c r="O2184" s="1639"/>
    </row>
    <row r="2185" spans="11:15">
      <c r="K2185" s="1636">
        <v>44242</v>
      </c>
      <c r="L2185" s="1637"/>
      <c r="M2185" s="1638">
        <v>0</v>
      </c>
      <c r="N2185" s="1639">
        <v>1.6204131163270834</v>
      </c>
      <c r="O2185" s="1639"/>
    </row>
    <row r="2186" spans="11:15">
      <c r="K2186" s="1636">
        <v>44243</v>
      </c>
      <c r="L2186" s="1637"/>
      <c r="M2186" s="1638">
        <v>0</v>
      </c>
      <c r="N2186" s="1639">
        <v>1.6204131163270834</v>
      </c>
      <c r="O2186" s="1639"/>
    </row>
    <row r="2187" spans="11:15">
      <c r="K2187" s="1636">
        <v>44244</v>
      </c>
      <c r="L2187" s="1637" t="s">
        <v>1650</v>
      </c>
      <c r="M2187" s="1638">
        <v>7.4689999999999999E-3</v>
      </c>
      <c r="N2187" s="1639">
        <v>1.6205341449827417</v>
      </c>
      <c r="O2187" s="1639"/>
    </row>
    <row r="2188" spans="11:15">
      <c r="K2188" s="1636">
        <v>44245</v>
      </c>
      <c r="L2188" s="1637" t="s">
        <v>1650</v>
      </c>
      <c r="M2188" s="1638">
        <v>7.4689999999999999E-3</v>
      </c>
      <c r="N2188" s="1639">
        <v>1.6206551826780304</v>
      </c>
      <c r="O2188" s="1639"/>
    </row>
    <row r="2189" spans="11:15">
      <c r="K2189" s="1636">
        <v>44246</v>
      </c>
      <c r="L2189" s="1637" t="s">
        <v>1650</v>
      </c>
      <c r="M2189" s="1638">
        <v>7.4689999999999999E-3</v>
      </c>
      <c r="N2189" s="1639">
        <v>1.6207762294136245</v>
      </c>
      <c r="O2189" s="1639"/>
    </row>
    <row r="2190" spans="11:15">
      <c r="K2190" s="1636">
        <v>44247</v>
      </c>
      <c r="L2190" s="1637"/>
      <c r="M2190" s="1638">
        <v>0</v>
      </c>
      <c r="N2190" s="1639">
        <v>1.6207762294136245</v>
      </c>
      <c r="O2190" s="1639"/>
    </row>
    <row r="2191" spans="11:15">
      <c r="K2191" s="1636">
        <v>44248</v>
      </c>
      <c r="L2191" s="1637"/>
      <c r="M2191" s="1638">
        <v>0</v>
      </c>
      <c r="N2191" s="1639">
        <v>1.6207762294136245</v>
      </c>
      <c r="O2191" s="1639"/>
    </row>
    <row r="2192" spans="11:15">
      <c r="K2192" s="1636">
        <v>44249</v>
      </c>
      <c r="L2192" s="1637" t="s">
        <v>1650</v>
      </c>
      <c r="M2192" s="1638">
        <v>7.4689999999999999E-3</v>
      </c>
      <c r="N2192" s="1639">
        <v>1.6208972851901993</v>
      </c>
      <c r="O2192" s="1639"/>
    </row>
    <row r="2193" spans="11:15">
      <c r="K2193" s="1636">
        <v>44250</v>
      </c>
      <c r="L2193" s="1637" t="s">
        <v>1650</v>
      </c>
      <c r="M2193" s="1638">
        <v>7.4689999999999999E-3</v>
      </c>
      <c r="N2193" s="1639">
        <v>1.6210183500084301</v>
      </c>
      <c r="O2193" s="1639"/>
    </row>
    <row r="2194" spans="11:15">
      <c r="K2194" s="1636">
        <v>44251</v>
      </c>
      <c r="L2194" s="1637" t="s">
        <v>1650</v>
      </c>
      <c r="M2194" s="1638">
        <v>7.4689999999999999E-3</v>
      </c>
      <c r="N2194" s="1639">
        <v>1.621139423868992</v>
      </c>
      <c r="O2194" s="1639"/>
    </row>
    <row r="2195" spans="11:15">
      <c r="K2195" s="1636">
        <v>44252</v>
      </c>
      <c r="L2195" s="1637" t="s">
        <v>1650</v>
      </c>
      <c r="M2195" s="1638">
        <v>7.4689999999999999E-3</v>
      </c>
      <c r="N2195" s="1639">
        <v>1.6212605067725607</v>
      </c>
      <c r="O2195" s="1639"/>
    </row>
    <row r="2196" spans="11:15">
      <c r="K2196" s="1636">
        <v>44253</v>
      </c>
      <c r="L2196" s="1637" t="s">
        <v>1650</v>
      </c>
      <c r="M2196" s="1638">
        <v>7.4689999999999999E-3</v>
      </c>
      <c r="N2196" s="1639">
        <v>1.6213815987198115</v>
      </c>
      <c r="O2196" s="1639"/>
    </row>
    <row r="2197" spans="11:15">
      <c r="K2197" s="1636">
        <v>44254</v>
      </c>
      <c r="L2197" s="1637"/>
      <c r="M2197" s="1638">
        <v>0</v>
      </c>
      <c r="N2197" s="1639">
        <v>1.6213815987198115</v>
      </c>
      <c r="O2197" s="1639"/>
    </row>
    <row r="2198" spans="11:15">
      <c r="K2198" s="1636">
        <v>44255</v>
      </c>
      <c r="L2198" s="1637"/>
      <c r="M2198" s="1638">
        <v>0</v>
      </c>
      <c r="N2198" s="1639">
        <v>1.6213815987198115</v>
      </c>
      <c r="O2198" s="1639"/>
    </row>
    <row r="2199" spans="11:15">
      <c r="K2199" s="1636">
        <v>44256</v>
      </c>
      <c r="L2199" s="1637" t="s">
        <v>1650</v>
      </c>
      <c r="M2199" s="1638">
        <v>7.4689999999999999E-3</v>
      </c>
      <c r="N2199" s="1639">
        <v>1.6215026997114197</v>
      </c>
      <c r="O2199" s="1639"/>
    </row>
    <row r="2200" spans="11:15">
      <c r="K2200" s="1636">
        <v>44257</v>
      </c>
      <c r="L2200" s="1637" t="s">
        <v>1650</v>
      </c>
      <c r="M2200" s="1638">
        <v>7.4689999999999999E-3</v>
      </c>
      <c r="N2200" s="1639">
        <v>1.6216238097480611</v>
      </c>
      <c r="O2200" s="1639"/>
    </row>
    <row r="2201" spans="11:15">
      <c r="K2201" s="1636">
        <v>44258</v>
      </c>
      <c r="L2201" s="1637" t="s">
        <v>1650</v>
      </c>
      <c r="M2201" s="1638">
        <v>7.4689999999999999E-3</v>
      </c>
      <c r="N2201" s="1639">
        <v>1.6217449288304111</v>
      </c>
      <c r="O2201" s="1639"/>
    </row>
    <row r="2202" spans="11:15">
      <c r="K2202" s="1636">
        <v>44259</v>
      </c>
      <c r="L2202" s="1637" t="s">
        <v>1650</v>
      </c>
      <c r="M2202" s="1638">
        <v>7.4689999999999999E-3</v>
      </c>
      <c r="N2202" s="1639">
        <v>1.6218660569591454</v>
      </c>
      <c r="O2202" s="1639"/>
    </row>
    <row r="2203" spans="11:15">
      <c r="K2203" s="1636">
        <v>44260</v>
      </c>
      <c r="L2203" s="1637" t="s">
        <v>1650</v>
      </c>
      <c r="M2203" s="1638">
        <v>7.4689999999999999E-3</v>
      </c>
      <c r="N2203" s="1639">
        <v>1.6219871941349395</v>
      </c>
      <c r="O2203" s="1639"/>
    </row>
    <row r="2204" spans="11:15">
      <c r="K2204" s="1636">
        <v>44261</v>
      </c>
      <c r="L2204" s="1637"/>
      <c r="M2204" s="1638">
        <v>0</v>
      </c>
      <c r="N2204" s="1639">
        <v>1.6219871941349395</v>
      </c>
      <c r="O2204" s="1639"/>
    </row>
    <row r="2205" spans="11:15">
      <c r="K2205" s="1636">
        <v>44262</v>
      </c>
      <c r="L2205" s="1637"/>
      <c r="M2205" s="1638">
        <v>0</v>
      </c>
      <c r="N2205" s="1639">
        <v>1.6219871941349395</v>
      </c>
      <c r="O2205" s="1639"/>
    </row>
    <row r="2206" spans="11:15">
      <c r="K2206" s="1636">
        <v>44263</v>
      </c>
      <c r="L2206" s="1637" t="s">
        <v>1650</v>
      </c>
      <c r="M2206" s="1638">
        <v>7.4689999999999999E-3</v>
      </c>
      <c r="N2206" s="1639">
        <v>1.6221083403584693</v>
      </c>
      <c r="O2206" s="1639"/>
    </row>
    <row r="2207" spans="11:15">
      <c r="K2207" s="1636">
        <v>44264</v>
      </c>
      <c r="L2207" s="1637" t="s">
        <v>1650</v>
      </c>
      <c r="M2207" s="1638">
        <v>7.4689999999999999E-3</v>
      </c>
      <c r="N2207" s="1639">
        <v>1.6222294956304106</v>
      </c>
      <c r="O2207" s="1639"/>
    </row>
    <row r="2208" spans="11:15">
      <c r="K2208" s="1636">
        <v>44265</v>
      </c>
      <c r="L2208" s="1637" t="s">
        <v>1650</v>
      </c>
      <c r="M2208" s="1638">
        <v>7.4689999999999999E-3</v>
      </c>
      <c r="N2208" s="1639">
        <v>1.6223506599514392</v>
      </c>
      <c r="O2208" s="1639"/>
    </row>
    <row r="2209" spans="11:15">
      <c r="K2209" s="1636">
        <v>44266</v>
      </c>
      <c r="L2209" s="1637" t="s">
        <v>1650</v>
      </c>
      <c r="M2209" s="1638">
        <v>7.4689999999999999E-3</v>
      </c>
      <c r="N2209" s="1639">
        <v>1.622471833322231</v>
      </c>
      <c r="O2209" s="1639"/>
    </row>
    <row r="2210" spans="11:15">
      <c r="K2210" s="1636">
        <v>44267</v>
      </c>
      <c r="L2210" s="1637" t="s">
        <v>1650</v>
      </c>
      <c r="M2210" s="1638">
        <v>7.4689999999999999E-3</v>
      </c>
      <c r="N2210" s="1639">
        <v>1.6225930157434618</v>
      </c>
      <c r="O2210" s="1639"/>
    </row>
    <row r="2211" spans="11:15">
      <c r="K2211" s="1636">
        <v>44268</v>
      </c>
      <c r="L2211" s="1637"/>
      <c r="M2211" s="1638">
        <v>0</v>
      </c>
      <c r="N2211" s="1639">
        <v>1.6225930157434618</v>
      </c>
      <c r="O2211" s="1639"/>
    </row>
    <row r="2212" spans="11:15">
      <c r="K2212" s="1636">
        <v>44269</v>
      </c>
      <c r="L2212" s="1637"/>
      <c r="M2212" s="1638">
        <v>0</v>
      </c>
      <c r="N2212" s="1639">
        <v>1.6225930157434618</v>
      </c>
      <c r="O2212" s="1639"/>
    </row>
    <row r="2213" spans="11:15">
      <c r="K2213" s="1636">
        <v>44270</v>
      </c>
      <c r="L2213" s="1637" t="s">
        <v>1650</v>
      </c>
      <c r="M2213" s="1638">
        <v>7.4689999999999999E-3</v>
      </c>
      <c r="N2213" s="1639">
        <v>1.6227142072158076</v>
      </c>
      <c r="O2213" s="1639"/>
    </row>
    <row r="2214" spans="11:15">
      <c r="K2214" s="1636">
        <v>44271</v>
      </c>
      <c r="L2214" s="1637" t="s">
        <v>1650</v>
      </c>
      <c r="M2214" s="1638">
        <v>7.4689999999999999E-3</v>
      </c>
      <c r="N2214" s="1639">
        <v>1.6228354077399445</v>
      </c>
      <c r="O2214" s="1639"/>
    </row>
    <row r="2215" spans="11:15">
      <c r="K2215" s="1636">
        <v>44272</v>
      </c>
      <c r="L2215" s="1637" t="s">
        <v>1650</v>
      </c>
      <c r="M2215" s="1638">
        <v>7.4689999999999999E-3</v>
      </c>
      <c r="N2215" s="1639">
        <v>1.6229566173165484</v>
      </c>
      <c r="O2215" s="1639"/>
    </row>
    <row r="2216" spans="11:15">
      <c r="K2216" s="1636">
        <v>44273</v>
      </c>
      <c r="L2216" s="1637" t="s">
        <v>1650</v>
      </c>
      <c r="M2216" s="1638">
        <v>1.0378999999999999E-2</v>
      </c>
      <c r="N2216" s="1639">
        <v>1.6231250639838597</v>
      </c>
      <c r="O2216" s="1639"/>
    </row>
    <row r="2217" spans="11:15">
      <c r="K2217" s="1636">
        <v>44274</v>
      </c>
      <c r="L2217" s="1637" t="s">
        <v>1650</v>
      </c>
      <c r="M2217" s="1638">
        <v>1.0378999999999999E-2</v>
      </c>
      <c r="N2217" s="1639">
        <v>1.6232935281342507</v>
      </c>
      <c r="O2217" s="1639"/>
    </row>
    <row r="2218" spans="11:15">
      <c r="K2218" s="1636">
        <v>44275</v>
      </c>
      <c r="L2218" s="1637"/>
      <c r="M2218" s="1638">
        <v>0</v>
      </c>
      <c r="N2218" s="1639">
        <v>1.6232935281342507</v>
      </c>
      <c r="O2218" s="1639"/>
    </row>
    <row r="2219" spans="11:15">
      <c r="K2219" s="1636">
        <v>44276</v>
      </c>
      <c r="L2219" s="1637"/>
      <c r="M2219" s="1638">
        <v>0</v>
      </c>
      <c r="N2219" s="1639">
        <v>1.6232935281342507</v>
      </c>
      <c r="O2219" s="1639"/>
    </row>
    <row r="2220" spans="11:15">
      <c r="K2220" s="1636">
        <v>44277</v>
      </c>
      <c r="L2220" s="1637" t="s">
        <v>1650</v>
      </c>
      <c r="M2220" s="1638">
        <v>1.0378999999999999E-2</v>
      </c>
      <c r="N2220" s="1639">
        <v>1.6234620097695358</v>
      </c>
      <c r="O2220" s="1639"/>
    </row>
    <row r="2221" spans="11:15">
      <c r="K2221" s="1636">
        <v>44278</v>
      </c>
      <c r="L2221" s="1637" t="s">
        <v>1650</v>
      </c>
      <c r="M2221" s="1638">
        <v>1.0378999999999999E-2</v>
      </c>
      <c r="N2221" s="1639">
        <v>1.6236305088915299</v>
      </c>
      <c r="O2221" s="1639"/>
    </row>
    <row r="2222" spans="11:15">
      <c r="K2222" s="1636">
        <v>44279</v>
      </c>
      <c r="L2222" s="1637" t="s">
        <v>1650</v>
      </c>
      <c r="M2222" s="1638">
        <v>1.0378999999999999E-2</v>
      </c>
      <c r="N2222" s="1639">
        <v>1.6237990255020478</v>
      </c>
      <c r="O2222" s="1639"/>
    </row>
    <row r="2223" spans="11:15">
      <c r="K2223" s="1636">
        <v>44280</v>
      </c>
      <c r="L2223" s="1637" t="s">
        <v>1650</v>
      </c>
      <c r="M2223" s="1638">
        <v>1.0378999999999999E-2</v>
      </c>
      <c r="N2223" s="1639">
        <v>1.6239675596029048</v>
      </c>
      <c r="O2223" s="1639"/>
    </row>
    <row r="2224" spans="11:15">
      <c r="K2224" s="1636">
        <v>44281</v>
      </c>
      <c r="L2224" s="1637" t="s">
        <v>1650</v>
      </c>
      <c r="M2224" s="1638">
        <v>1.0378999999999999E-2</v>
      </c>
      <c r="N2224" s="1639">
        <v>1.6241361111959161</v>
      </c>
      <c r="O2224" s="1639"/>
    </row>
    <row r="2225" spans="11:15">
      <c r="K2225" s="1636">
        <v>44282</v>
      </c>
      <c r="L2225" s="1637"/>
      <c r="M2225" s="1638">
        <v>0</v>
      </c>
      <c r="N2225" s="1639">
        <v>1.6241361111959161</v>
      </c>
      <c r="O2225" s="1639"/>
    </row>
    <row r="2226" spans="11:15">
      <c r="K2226" s="1636">
        <v>44283</v>
      </c>
      <c r="L2226" s="1637"/>
      <c r="M2226" s="1638">
        <v>0</v>
      </c>
      <c r="N2226" s="1639">
        <v>1.6241361111959161</v>
      </c>
      <c r="O2226" s="1639"/>
    </row>
    <row r="2227" spans="11:15">
      <c r="K2227" s="1636">
        <v>44284</v>
      </c>
      <c r="L2227" s="1637" t="s">
        <v>1650</v>
      </c>
      <c r="M2227" s="1638">
        <v>1.0378999999999999E-2</v>
      </c>
      <c r="N2227" s="1639">
        <v>1.6243046802828971</v>
      </c>
      <c r="O2227" s="1639"/>
    </row>
    <row r="2228" spans="11:15">
      <c r="K2228" s="1636">
        <v>44285</v>
      </c>
      <c r="L2228" s="1637" t="s">
        <v>1650</v>
      </c>
      <c r="M2228" s="1638">
        <v>1.0378999999999999E-2</v>
      </c>
      <c r="N2228" s="1639">
        <v>1.6244732668656638</v>
      </c>
      <c r="O2228" s="1639"/>
    </row>
    <row r="2229" spans="11:15">
      <c r="K2229" s="1636">
        <v>44286</v>
      </c>
      <c r="L2229" s="1637" t="s">
        <v>1650</v>
      </c>
      <c r="M2229" s="1638">
        <v>1.0378999999999999E-2</v>
      </c>
      <c r="N2229" s="1639">
        <v>1.624641870946032</v>
      </c>
      <c r="O2229" s="1639"/>
    </row>
    <row r="2230" spans="11:15">
      <c r="K2230" s="1636">
        <v>44287</v>
      </c>
      <c r="L2230" s="1637" t="s">
        <v>1650</v>
      </c>
      <c r="M2230" s="1638">
        <v>1.0378999999999999E-2</v>
      </c>
      <c r="N2230" s="1639">
        <v>1.6248104925258176</v>
      </c>
      <c r="O2230" s="1639"/>
    </row>
    <row r="2231" spans="11:15">
      <c r="K2231" s="1636">
        <v>44288</v>
      </c>
      <c r="L2231" s="1637"/>
      <c r="M2231" s="1638">
        <v>0</v>
      </c>
      <c r="N2231" s="1639">
        <v>1.6248104925258176</v>
      </c>
      <c r="O2231" s="1639"/>
    </row>
    <row r="2232" spans="11:15">
      <c r="K2232" s="1636">
        <v>44289</v>
      </c>
      <c r="L2232" s="1637"/>
      <c r="M2232" s="1638">
        <v>0</v>
      </c>
      <c r="N2232" s="1639">
        <v>1.6248104925258176</v>
      </c>
      <c r="O2232" s="1639"/>
    </row>
    <row r="2233" spans="11:15">
      <c r="K2233" s="1636">
        <v>44290</v>
      </c>
      <c r="L2233" s="1637"/>
      <c r="M2233" s="1638">
        <v>0</v>
      </c>
      <c r="N2233" s="1639">
        <v>1.6248104925258176</v>
      </c>
      <c r="O2233" s="1639"/>
    </row>
    <row r="2234" spans="11:15">
      <c r="K2234" s="1636">
        <v>44291</v>
      </c>
      <c r="L2234" s="1637" t="s">
        <v>1650</v>
      </c>
      <c r="M2234" s="1638">
        <v>1.0378999999999999E-2</v>
      </c>
      <c r="N2234" s="1639">
        <v>1.6249791316068369</v>
      </c>
      <c r="O2234" s="1639"/>
    </row>
    <row r="2235" spans="11:15">
      <c r="K2235" s="1636">
        <v>44292</v>
      </c>
      <c r="L2235" s="1637" t="s">
        <v>1650</v>
      </c>
      <c r="M2235" s="1638">
        <v>1.0378999999999999E-2</v>
      </c>
      <c r="N2235" s="1639">
        <v>1.6251477881909064</v>
      </c>
      <c r="O2235" s="1639"/>
    </row>
    <row r="2236" spans="11:15">
      <c r="K2236" s="1636">
        <v>44293</v>
      </c>
      <c r="L2236" s="1637" t="s">
        <v>1650</v>
      </c>
      <c r="M2236" s="1638">
        <v>1.0378999999999999E-2</v>
      </c>
      <c r="N2236" s="1639">
        <v>1.6253164622798428</v>
      </c>
      <c r="O2236" s="1639"/>
    </row>
    <row r="2237" spans="11:15">
      <c r="K2237" s="1636">
        <v>44294</v>
      </c>
      <c r="L2237" s="1637" t="s">
        <v>1650</v>
      </c>
      <c r="M2237" s="1638">
        <v>1.0378999999999999E-2</v>
      </c>
      <c r="N2237" s="1639">
        <v>1.6254851538754629</v>
      </c>
      <c r="O2237" s="1639"/>
    </row>
    <row r="2238" spans="11:15">
      <c r="K2238" s="1636">
        <v>44295</v>
      </c>
      <c r="L2238" s="1637" t="s">
        <v>1650</v>
      </c>
      <c r="M2238" s="1638">
        <v>1.0378999999999999E-2</v>
      </c>
      <c r="N2238" s="1639">
        <v>1.6256538629795838</v>
      </c>
      <c r="O2238" s="1639"/>
    </row>
    <row r="2239" spans="11:15">
      <c r="K2239" s="1636">
        <v>44296</v>
      </c>
      <c r="L2239" s="1637"/>
      <c r="M2239" s="1638">
        <v>0</v>
      </c>
      <c r="N2239" s="1639">
        <v>1.6256538629795838</v>
      </c>
      <c r="O2239" s="1639"/>
    </row>
    <row r="2240" spans="11:15">
      <c r="K2240" s="1636">
        <v>44297</v>
      </c>
      <c r="L2240" s="1637"/>
      <c r="M2240" s="1638">
        <v>0</v>
      </c>
      <c r="N2240" s="1639">
        <v>1.6256538629795838</v>
      </c>
      <c r="O2240" s="1639"/>
    </row>
    <row r="2241" spans="11:15">
      <c r="K2241" s="1636">
        <v>44298</v>
      </c>
      <c r="L2241" s="1637" t="s">
        <v>1650</v>
      </c>
      <c r="M2241" s="1638">
        <v>1.0378999999999999E-2</v>
      </c>
      <c r="N2241" s="1639">
        <v>1.6258225895940226</v>
      </c>
      <c r="O2241" s="1639"/>
    </row>
    <row r="2242" spans="11:15">
      <c r="K2242" s="1636">
        <v>44299</v>
      </c>
      <c r="L2242" s="1637" t="s">
        <v>1650</v>
      </c>
      <c r="M2242" s="1638">
        <v>1.0378999999999999E-2</v>
      </c>
      <c r="N2242" s="1639">
        <v>1.6259913337205967</v>
      </c>
      <c r="O2242" s="1639"/>
    </row>
    <row r="2243" spans="11:15">
      <c r="K2243" s="1636">
        <v>44300</v>
      </c>
      <c r="L2243" s="1637" t="s">
        <v>1650</v>
      </c>
      <c r="M2243" s="1638">
        <v>1.0378999999999999E-2</v>
      </c>
      <c r="N2243" s="1639">
        <v>1.6261600953611237</v>
      </c>
      <c r="O2243" s="1639"/>
    </row>
    <row r="2244" spans="11:15">
      <c r="K2244" s="1636">
        <v>44301</v>
      </c>
      <c r="L2244" s="1637" t="s">
        <v>1650</v>
      </c>
      <c r="M2244" s="1638">
        <v>1.0378999999999999E-2</v>
      </c>
      <c r="N2244" s="1639">
        <v>1.6263288745174214</v>
      </c>
      <c r="O2244" s="1639"/>
    </row>
    <row r="2245" spans="11:15">
      <c r="K2245" s="1636">
        <v>44302</v>
      </c>
      <c r="L2245" s="1637" t="s">
        <v>1650</v>
      </c>
      <c r="M2245" s="1638">
        <v>1.0378999999999999E-2</v>
      </c>
      <c r="N2245" s="1639">
        <v>1.6264976711913075</v>
      </c>
      <c r="O2245" s="1639"/>
    </row>
    <row r="2246" spans="11:15">
      <c r="K2246" s="1636">
        <v>44303</v>
      </c>
      <c r="L2246" s="1637"/>
      <c r="M2246" s="1638">
        <v>0</v>
      </c>
      <c r="N2246" s="1639">
        <v>1.6264976711913075</v>
      </c>
      <c r="O2246" s="1639"/>
    </row>
    <row r="2247" spans="11:15">
      <c r="K2247" s="1636">
        <v>44304</v>
      </c>
      <c r="L2247" s="1637"/>
      <c r="M2247" s="1638">
        <v>0</v>
      </c>
      <c r="N2247" s="1639">
        <v>1.6264976711913075</v>
      </c>
      <c r="O2247" s="1639"/>
    </row>
    <row r="2248" spans="11:15">
      <c r="K2248" s="1636">
        <v>44305</v>
      </c>
      <c r="L2248" s="1637" t="s">
        <v>1650</v>
      </c>
      <c r="M2248" s="1638">
        <v>1.0378999999999999E-2</v>
      </c>
      <c r="N2248" s="1639">
        <v>1.6266664853846005</v>
      </c>
      <c r="O2248" s="1639"/>
    </row>
    <row r="2249" spans="11:15">
      <c r="K2249" s="1636">
        <v>44306</v>
      </c>
      <c r="L2249" s="1637" t="s">
        <v>1650</v>
      </c>
      <c r="M2249" s="1638">
        <v>1.0378999999999999E-2</v>
      </c>
      <c r="N2249" s="1639">
        <v>1.6268353170991185</v>
      </c>
      <c r="O2249" s="1639"/>
    </row>
    <row r="2250" spans="11:15">
      <c r="K2250" s="1636">
        <v>44307</v>
      </c>
      <c r="L2250" s="1637"/>
      <c r="M2250" s="1638">
        <v>0</v>
      </c>
      <c r="N2250" s="1639">
        <v>1.6268353170991185</v>
      </c>
      <c r="O2250" s="1639"/>
    </row>
    <row r="2251" spans="11:15">
      <c r="K2251" s="1636">
        <v>44308</v>
      </c>
      <c r="L2251" s="1637" t="s">
        <v>1650</v>
      </c>
      <c r="M2251" s="1638">
        <v>1.0378999999999999E-2</v>
      </c>
      <c r="N2251" s="1639">
        <v>1.6270041663366803</v>
      </c>
      <c r="O2251" s="1639"/>
    </row>
    <row r="2252" spans="11:15">
      <c r="K2252" s="1636">
        <v>44309</v>
      </c>
      <c r="L2252" s="1637" t="s">
        <v>1650</v>
      </c>
      <c r="M2252" s="1638">
        <v>1.0378999999999999E-2</v>
      </c>
      <c r="N2252" s="1639">
        <v>1.6271730330991045</v>
      </c>
      <c r="O2252" s="1639"/>
    </row>
    <row r="2253" spans="11:15">
      <c r="K2253" s="1636">
        <v>44310</v>
      </c>
      <c r="L2253" s="1637"/>
      <c r="M2253" s="1638">
        <v>0</v>
      </c>
      <c r="N2253" s="1639">
        <v>1.6271730330991045</v>
      </c>
      <c r="O2253" s="1639"/>
    </row>
    <row r="2254" spans="11:15">
      <c r="K2254" s="1636">
        <v>44311</v>
      </c>
      <c r="L2254" s="1637"/>
      <c r="M2254" s="1638">
        <v>0</v>
      </c>
      <c r="N2254" s="1639">
        <v>1.6271730330991045</v>
      </c>
      <c r="O2254" s="1639"/>
    </row>
    <row r="2255" spans="11:15">
      <c r="K2255" s="1636">
        <v>44312</v>
      </c>
      <c r="L2255" s="1637" t="s">
        <v>1650</v>
      </c>
      <c r="M2255" s="1638">
        <v>1.0378999999999999E-2</v>
      </c>
      <c r="N2255" s="1639">
        <v>1.62734191738821</v>
      </c>
      <c r="O2255" s="1639"/>
    </row>
    <row r="2256" spans="11:15">
      <c r="K2256" s="1636">
        <v>44313</v>
      </c>
      <c r="L2256" s="1637" t="s">
        <v>1650</v>
      </c>
      <c r="M2256" s="1638">
        <v>1.0378999999999999E-2</v>
      </c>
      <c r="N2256" s="1639">
        <v>1.6275108192058159</v>
      </c>
      <c r="O2256" s="1639"/>
    </row>
    <row r="2257" spans="11:15">
      <c r="K2257" s="1636">
        <v>44314</v>
      </c>
      <c r="L2257" s="1637" t="s">
        <v>1650</v>
      </c>
      <c r="M2257" s="1638">
        <v>1.0378999999999999E-2</v>
      </c>
      <c r="N2257" s="1639">
        <v>1.6276797385537414</v>
      </c>
      <c r="O2257" s="1639"/>
    </row>
    <row r="2258" spans="11:15">
      <c r="K2258" s="1636">
        <v>44315</v>
      </c>
      <c r="L2258" s="1637" t="s">
        <v>1650</v>
      </c>
      <c r="M2258" s="1638">
        <v>1.0378999999999999E-2</v>
      </c>
      <c r="N2258" s="1639">
        <v>1.627848675433806</v>
      </c>
      <c r="O2258" s="1639"/>
    </row>
    <row r="2259" spans="11:15">
      <c r="K2259" s="1636">
        <v>44316</v>
      </c>
      <c r="L2259" s="1637" t="s">
        <v>1650</v>
      </c>
      <c r="M2259" s="1638">
        <v>1.0378999999999999E-2</v>
      </c>
      <c r="N2259" s="1639">
        <v>1.6280176298478293</v>
      </c>
      <c r="O2259" s="1639"/>
    </row>
    <row r="2260" spans="11:15">
      <c r="K2260" s="1636">
        <v>44317</v>
      </c>
      <c r="L2260" s="1637"/>
      <c r="M2260" s="1638">
        <v>0</v>
      </c>
      <c r="N2260" s="1639">
        <v>1.6280176298478293</v>
      </c>
      <c r="O2260" s="1639"/>
    </row>
    <row r="2261" spans="11:15">
      <c r="K2261" s="1636">
        <v>44318</v>
      </c>
      <c r="L2261" s="1637"/>
      <c r="M2261" s="1638">
        <v>0</v>
      </c>
      <c r="N2261" s="1639">
        <v>1.6280176298478293</v>
      </c>
      <c r="O2261" s="1639"/>
    </row>
    <row r="2262" spans="11:15">
      <c r="K2262" s="1636">
        <v>44319</v>
      </c>
      <c r="L2262" s="1637" t="s">
        <v>1650</v>
      </c>
      <c r="M2262" s="1638">
        <v>1.0378999999999999E-2</v>
      </c>
      <c r="N2262" s="1639">
        <v>1.6281866017976312</v>
      </c>
      <c r="O2262" s="1639"/>
    </row>
    <row r="2263" spans="11:15">
      <c r="K2263" s="1636">
        <v>44320</v>
      </c>
      <c r="L2263" s="1637" t="s">
        <v>1650</v>
      </c>
      <c r="M2263" s="1638">
        <v>1.0378999999999999E-2</v>
      </c>
      <c r="N2263" s="1639">
        <v>1.6283555912850318</v>
      </c>
      <c r="O2263" s="1639"/>
    </row>
    <row r="2264" spans="11:15">
      <c r="K2264" s="1636">
        <v>44321</v>
      </c>
      <c r="L2264" s="1637" t="s">
        <v>1650</v>
      </c>
      <c r="M2264" s="1638">
        <v>1.0378999999999999E-2</v>
      </c>
      <c r="N2264" s="1639">
        <v>1.6285245983118515</v>
      </c>
      <c r="O2264" s="1639"/>
    </row>
    <row r="2265" spans="11:15">
      <c r="K2265" s="1636">
        <v>44322</v>
      </c>
      <c r="L2265" s="1637" t="s">
        <v>1650</v>
      </c>
      <c r="M2265" s="1638">
        <v>1.3269E-2</v>
      </c>
      <c r="N2265" s="1639">
        <v>1.6287406872408015</v>
      </c>
      <c r="O2265" s="1639"/>
    </row>
    <row r="2266" spans="11:15">
      <c r="K2266" s="1636">
        <v>44323</v>
      </c>
      <c r="L2266" s="1637" t="s">
        <v>1650</v>
      </c>
      <c r="M2266" s="1638">
        <v>1.3269E-2</v>
      </c>
      <c r="N2266" s="1639">
        <v>1.6289568048425915</v>
      </c>
      <c r="O2266" s="1639"/>
    </row>
    <row r="2267" spans="11:15">
      <c r="K2267" s="1636">
        <v>44324</v>
      </c>
      <c r="L2267" s="1637"/>
      <c r="M2267" s="1638">
        <v>0</v>
      </c>
      <c r="N2267" s="1639">
        <v>1.6289568048425915</v>
      </c>
      <c r="O2267" s="1639"/>
    </row>
    <row r="2268" spans="11:15">
      <c r="K2268" s="1636">
        <v>44325</v>
      </c>
      <c r="L2268" s="1637"/>
      <c r="M2268" s="1638">
        <v>0</v>
      </c>
      <c r="N2268" s="1639">
        <v>1.6289568048425915</v>
      </c>
      <c r="O2268" s="1639"/>
    </row>
    <row r="2269" spans="11:15">
      <c r="K2269" s="1636">
        <v>44326</v>
      </c>
      <c r="L2269" s="1637" t="s">
        <v>1650</v>
      </c>
      <c r="M2269" s="1638">
        <v>1.3269E-2</v>
      </c>
      <c r="N2269" s="1639">
        <v>1.6291729511210262</v>
      </c>
      <c r="O2269" s="1639"/>
    </row>
    <row r="2270" spans="11:15">
      <c r="K2270" s="1636">
        <v>44327</v>
      </c>
      <c r="L2270" s="1637" t="s">
        <v>1650</v>
      </c>
      <c r="M2270" s="1638">
        <v>1.3269E-2</v>
      </c>
      <c r="N2270" s="1639">
        <v>1.6293891260799105</v>
      </c>
      <c r="O2270" s="1639"/>
    </row>
    <row r="2271" spans="11:15">
      <c r="K2271" s="1636">
        <v>44328</v>
      </c>
      <c r="L2271" s="1637" t="s">
        <v>1650</v>
      </c>
      <c r="M2271" s="1638">
        <v>1.3269E-2</v>
      </c>
      <c r="N2271" s="1639">
        <v>1.6296053297230502</v>
      </c>
      <c r="O2271" s="1639"/>
    </row>
    <row r="2272" spans="11:15">
      <c r="K2272" s="1636">
        <v>44329</v>
      </c>
      <c r="L2272" s="1637" t="s">
        <v>1650</v>
      </c>
      <c r="M2272" s="1638">
        <v>1.3269E-2</v>
      </c>
      <c r="N2272" s="1639">
        <v>1.6298215620542511</v>
      </c>
      <c r="O2272" s="1639"/>
    </row>
    <row r="2273" spans="11:15">
      <c r="K2273" s="1636">
        <v>44330</v>
      </c>
      <c r="L2273" s="1637" t="s">
        <v>1650</v>
      </c>
      <c r="M2273" s="1638">
        <v>1.3269E-2</v>
      </c>
      <c r="N2273" s="1639">
        <v>1.6300378230773203</v>
      </c>
      <c r="O2273" s="1639"/>
    </row>
    <row r="2274" spans="11:15">
      <c r="K2274" s="1636">
        <v>44331</v>
      </c>
      <c r="L2274" s="1637"/>
      <c r="M2274" s="1638">
        <v>0</v>
      </c>
      <c r="N2274" s="1639">
        <v>1.6300378230773203</v>
      </c>
      <c r="O2274" s="1639"/>
    </row>
    <row r="2275" spans="11:15">
      <c r="K2275" s="1636">
        <v>44332</v>
      </c>
      <c r="L2275" s="1637"/>
      <c r="M2275" s="1638">
        <v>0</v>
      </c>
      <c r="N2275" s="1639">
        <v>1.6300378230773203</v>
      </c>
      <c r="O2275" s="1639"/>
    </row>
    <row r="2276" spans="11:15">
      <c r="K2276" s="1636">
        <v>44333</v>
      </c>
      <c r="L2276" s="1637" t="s">
        <v>1650</v>
      </c>
      <c r="M2276" s="1638">
        <v>1.3269E-2</v>
      </c>
      <c r="N2276" s="1639">
        <v>1.6302541127960644</v>
      </c>
      <c r="O2276" s="1639"/>
    </row>
    <row r="2277" spans="11:15">
      <c r="K2277" s="1636">
        <v>44334</v>
      </c>
      <c r="L2277" s="1637" t="s">
        <v>1650</v>
      </c>
      <c r="M2277" s="1638">
        <v>1.3269E-2</v>
      </c>
      <c r="N2277" s="1639">
        <v>1.6304704312142912</v>
      </c>
      <c r="O2277" s="1639"/>
    </row>
    <row r="2278" spans="11:15">
      <c r="K2278" s="1636">
        <v>44335</v>
      </c>
      <c r="L2278" s="1637" t="s">
        <v>1650</v>
      </c>
      <c r="M2278" s="1638">
        <v>1.3269E-2</v>
      </c>
      <c r="N2278" s="1639">
        <v>1.6306867783358092</v>
      </c>
      <c r="O2278" s="1639"/>
    </row>
    <row r="2279" spans="11:15">
      <c r="K2279" s="1636">
        <v>44336</v>
      </c>
      <c r="L2279" s="1637" t="s">
        <v>1650</v>
      </c>
      <c r="M2279" s="1638">
        <v>1.3269E-2</v>
      </c>
      <c r="N2279" s="1639">
        <v>1.6309031541644268</v>
      </c>
      <c r="O2279" s="1639"/>
    </row>
    <row r="2280" spans="11:15">
      <c r="K2280" s="1636">
        <v>44337</v>
      </c>
      <c r="L2280" s="1637" t="s">
        <v>1650</v>
      </c>
      <c r="M2280" s="1638">
        <v>1.3269E-2</v>
      </c>
      <c r="N2280" s="1639">
        <v>1.6311195587039529</v>
      </c>
      <c r="O2280" s="1639"/>
    </row>
    <row r="2281" spans="11:15">
      <c r="K2281" s="1636">
        <v>44338</v>
      </c>
      <c r="L2281" s="1637"/>
      <c r="M2281" s="1638">
        <v>0</v>
      </c>
      <c r="N2281" s="1639">
        <v>1.6311195587039529</v>
      </c>
      <c r="O2281" s="1639"/>
    </row>
    <row r="2282" spans="11:15">
      <c r="K2282" s="1636">
        <v>44339</v>
      </c>
      <c r="L2282" s="1637"/>
      <c r="M2282" s="1638">
        <v>0</v>
      </c>
      <c r="N2282" s="1639">
        <v>1.6311195587039529</v>
      </c>
      <c r="O2282" s="1639"/>
    </row>
    <row r="2283" spans="11:15">
      <c r="K2283" s="1636">
        <v>44340</v>
      </c>
      <c r="L2283" s="1637" t="s">
        <v>1650</v>
      </c>
      <c r="M2283" s="1638">
        <v>1.3269E-2</v>
      </c>
      <c r="N2283" s="1639">
        <v>1.6313359919581973</v>
      </c>
      <c r="O2283" s="1639"/>
    </row>
    <row r="2284" spans="11:15">
      <c r="K2284" s="1636">
        <v>44341</v>
      </c>
      <c r="L2284" s="1637" t="s">
        <v>1650</v>
      </c>
      <c r="M2284" s="1638">
        <v>1.3269E-2</v>
      </c>
      <c r="N2284" s="1639">
        <v>1.6315524539309703</v>
      </c>
      <c r="O2284" s="1639"/>
    </row>
    <row r="2285" spans="11:15">
      <c r="K2285" s="1636">
        <v>44342</v>
      </c>
      <c r="L2285" s="1637" t="s">
        <v>1650</v>
      </c>
      <c r="M2285" s="1638">
        <v>1.3269E-2</v>
      </c>
      <c r="N2285" s="1639">
        <v>1.6317689446260824</v>
      </c>
      <c r="O2285" s="1639"/>
    </row>
    <row r="2286" spans="11:15">
      <c r="K2286" s="1636">
        <v>44343</v>
      </c>
      <c r="L2286" s="1637" t="s">
        <v>1650</v>
      </c>
      <c r="M2286" s="1638">
        <v>1.3269E-2</v>
      </c>
      <c r="N2286" s="1639">
        <v>1.6319854640473448</v>
      </c>
      <c r="O2286" s="1639"/>
    </row>
    <row r="2287" spans="11:15">
      <c r="K2287" s="1636">
        <v>44344</v>
      </c>
      <c r="L2287" s="1637" t="s">
        <v>1650</v>
      </c>
      <c r="M2287" s="1638">
        <v>1.3269E-2</v>
      </c>
      <c r="N2287" s="1639">
        <v>1.6322020121985694</v>
      </c>
      <c r="O2287" s="1639"/>
    </row>
    <row r="2288" spans="11:15">
      <c r="K2288" s="1636">
        <v>44345</v>
      </c>
      <c r="L2288" s="1637"/>
      <c r="M2288" s="1638">
        <v>0</v>
      </c>
      <c r="N2288" s="1639">
        <v>1.6322020121985694</v>
      </c>
      <c r="O2288" s="1639"/>
    </row>
    <row r="2289" spans="11:15">
      <c r="K2289" s="1636">
        <v>44346</v>
      </c>
      <c r="L2289" s="1637"/>
      <c r="M2289" s="1638">
        <v>0</v>
      </c>
      <c r="N2289" s="1639">
        <v>1.6322020121985694</v>
      </c>
      <c r="O2289" s="1639"/>
    </row>
    <row r="2290" spans="11:15">
      <c r="K2290" s="1636">
        <v>44347</v>
      </c>
      <c r="L2290" s="1637" t="s">
        <v>1650</v>
      </c>
      <c r="M2290" s="1638">
        <v>1.3269E-2</v>
      </c>
      <c r="N2290" s="1639">
        <v>1.6324185890835681</v>
      </c>
      <c r="O2290" s="1639"/>
    </row>
    <row r="2291" spans="11:15">
      <c r="K2291" s="1636">
        <v>44348</v>
      </c>
      <c r="L2291" s="1637" t="s">
        <v>1650</v>
      </c>
      <c r="M2291" s="1638">
        <v>1.3269E-2</v>
      </c>
      <c r="N2291" s="1639">
        <v>1.6326351947061537</v>
      </c>
      <c r="O2291" s="1639"/>
    </row>
    <row r="2292" spans="11:15">
      <c r="K2292" s="1636">
        <v>44349</v>
      </c>
      <c r="L2292" s="1637" t="s">
        <v>1650</v>
      </c>
      <c r="M2292" s="1638">
        <v>1.3269E-2</v>
      </c>
      <c r="N2292" s="1639">
        <v>1.6328518290701393</v>
      </c>
      <c r="O2292" s="1639"/>
    </row>
    <row r="2293" spans="11:15">
      <c r="K2293" s="1636">
        <v>44350</v>
      </c>
      <c r="L2293" s="1637"/>
      <c r="M2293" s="1638">
        <v>0</v>
      </c>
      <c r="N2293" s="1639">
        <v>1.6328518290701393</v>
      </c>
      <c r="O2293" s="1639"/>
    </row>
    <row r="2294" spans="11:15">
      <c r="K2294" s="1636">
        <v>44351</v>
      </c>
      <c r="L2294" s="1637" t="s">
        <v>1650</v>
      </c>
      <c r="M2294" s="1638">
        <v>1.3269E-2</v>
      </c>
      <c r="N2294" s="1639">
        <v>1.6330684921793386</v>
      </c>
      <c r="O2294" s="1639"/>
    </row>
    <row r="2295" spans="11:15">
      <c r="K2295" s="1636">
        <v>44352</v>
      </c>
      <c r="L2295" s="1637"/>
      <c r="M2295" s="1638">
        <v>0</v>
      </c>
      <c r="N2295" s="1639">
        <v>1.6330684921793386</v>
      </c>
      <c r="O2295" s="1639"/>
    </row>
    <row r="2296" spans="11:15">
      <c r="K2296" s="1636">
        <v>44353</v>
      </c>
      <c r="L2296" s="1637"/>
      <c r="M2296" s="1638">
        <v>0</v>
      </c>
      <c r="N2296" s="1639">
        <v>1.6330684921793386</v>
      </c>
      <c r="O2296" s="1639"/>
    </row>
    <row r="2297" spans="11:15">
      <c r="K2297" s="1636">
        <v>44354</v>
      </c>
      <c r="L2297" s="1637" t="s">
        <v>1650</v>
      </c>
      <c r="M2297" s="1638">
        <v>1.3269E-2</v>
      </c>
      <c r="N2297" s="1639">
        <v>1.633285184037566</v>
      </c>
      <c r="O2297" s="1639"/>
    </row>
    <row r="2298" spans="11:15">
      <c r="K2298" s="1636">
        <v>44355</v>
      </c>
      <c r="L2298" s="1637" t="s">
        <v>1650</v>
      </c>
      <c r="M2298" s="1638">
        <v>1.3269E-2</v>
      </c>
      <c r="N2298" s="1639">
        <v>1.6335019046486359</v>
      </c>
      <c r="O2298" s="1639"/>
    </row>
    <row r="2299" spans="11:15">
      <c r="K2299" s="1636">
        <v>44356</v>
      </c>
      <c r="L2299" s="1637" t="s">
        <v>1650</v>
      </c>
      <c r="M2299" s="1638">
        <v>1.3269E-2</v>
      </c>
      <c r="N2299" s="1639">
        <v>1.6337186540163637</v>
      </c>
      <c r="O2299" s="1639"/>
    </row>
    <row r="2300" spans="11:15">
      <c r="K2300" s="1636">
        <v>44357</v>
      </c>
      <c r="L2300" s="1637" t="s">
        <v>1650</v>
      </c>
      <c r="M2300" s="1638">
        <v>1.3269E-2</v>
      </c>
      <c r="N2300" s="1639">
        <v>1.6339354321445652</v>
      </c>
      <c r="O2300" s="1639"/>
    </row>
    <row r="2301" spans="11:15">
      <c r="K2301" s="1636">
        <v>44358</v>
      </c>
      <c r="L2301" s="1637" t="s">
        <v>1650</v>
      </c>
      <c r="M2301" s="1638">
        <v>1.3269E-2</v>
      </c>
      <c r="N2301" s="1639">
        <v>1.6341522390370564</v>
      </c>
      <c r="O2301" s="1639"/>
    </row>
    <row r="2302" spans="11:15">
      <c r="K2302" s="1636">
        <v>44359</v>
      </c>
      <c r="L2302" s="1637"/>
      <c r="M2302" s="1638">
        <v>0</v>
      </c>
      <c r="N2302" s="1639">
        <v>1.6341522390370564</v>
      </c>
      <c r="O2302" s="1639"/>
    </row>
    <row r="2303" spans="11:15">
      <c r="K2303" s="1636">
        <v>44360</v>
      </c>
      <c r="L2303" s="1637"/>
      <c r="M2303" s="1638">
        <v>0</v>
      </c>
      <c r="N2303" s="1639">
        <v>1.6341522390370564</v>
      </c>
      <c r="O2303" s="1639"/>
    </row>
    <row r="2304" spans="11:15">
      <c r="K2304" s="1636">
        <v>44361</v>
      </c>
      <c r="L2304" s="1637" t="s">
        <v>1650</v>
      </c>
      <c r="M2304" s="1638">
        <v>1.3269E-2</v>
      </c>
      <c r="N2304" s="1639">
        <v>1.6343690746976542</v>
      </c>
      <c r="O2304" s="1639"/>
    </row>
    <row r="2305" spans="11:15">
      <c r="K2305" s="1636">
        <v>44362</v>
      </c>
      <c r="L2305" s="1637" t="s">
        <v>1650</v>
      </c>
      <c r="M2305" s="1638">
        <v>1.3269E-2</v>
      </c>
      <c r="N2305" s="1639">
        <v>1.634585939130176</v>
      </c>
      <c r="O2305" s="1639"/>
    </row>
    <row r="2306" spans="11:15">
      <c r="K2306" s="1636">
        <v>44363</v>
      </c>
      <c r="L2306" s="1637" t="s">
        <v>1650</v>
      </c>
      <c r="M2306" s="1638">
        <v>1.3269E-2</v>
      </c>
      <c r="N2306" s="1639">
        <v>1.6348028323384394</v>
      </c>
      <c r="O2306" s="1639"/>
    </row>
    <row r="2307" spans="11:15">
      <c r="K2307" s="1636">
        <v>44364</v>
      </c>
      <c r="L2307" s="1637" t="s">
        <v>1650</v>
      </c>
      <c r="M2307" s="1638">
        <v>1.6136999999999999E-2</v>
      </c>
      <c r="N2307" s="1639">
        <v>1.635066640471494</v>
      </c>
      <c r="O2307" s="1639"/>
    </row>
    <row r="2308" spans="11:15">
      <c r="K2308" s="1636">
        <v>44365</v>
      </c>
      <c r="L2308" s="1637" t="s">
        <v>1650</v>
      </c>
      <c r="M2308" s="1638">
        <v>1.6136999999999999E-2</v>
      </c>
      <c r="N2308" s="1639">
        <v>1.6353304911752669</v>
      </c>
      <c r="O2308" s="1639"/>
    </row>
    <row r="2309" spans="11:15">
      <c r="K2309" s="1636">
        <v>44366</v>
      </c>
      <c r="L2309" s="1637"/>
      <c r="M2309" s="1638">
        <v>0</v>
      </c>
      <c r="N2309" s="1639">
        <v>1.6353304911752669</v>
      </c>
      <c r="O2309" s="1639"/>
    </row>
    <row r="2310" spans="11:15">
      <c r="K2310" s="1636">
        <v>44367</v>
      </c>
      <c r="L2310" s="1637"/>
      <c r="M2310" s="1638">
        <v>0</v>
      </c>
      <c r="N2310" s="1639">
        <v>1.6353304911752669</v>
      </c>
      <c r="O2310" s="1639"/>
    </row>
    <row r="2311" spans="11:15">
      <c r="K2311" s="1636">
        <v>44368</v>
      </c>
      <c r="L2311" s="1637" t="s">
        <v>1650</v>
      </c>
      <c r="M2311" s="1638">
        <v>1.6136999999999999E-2</v>
      </c>
      <c r="N2311" s="1639">
        <v>1.6355943844566279</v>
      </c>
      <c r="O2311" s="1639"/>
    </row>
    <row r="2312" spans="11:15">
      <c r="K2312" s="1636">
        <v>44369</v>
      </c>
      <c r="L2312" s="1637" t="s">
        <v>1650</v>
      </c>
      <c r="M2312" s="1638">
        <v>1.6136999999999999E-2</v>
      </c>
      <c r="N2312" s="1639">
        <v>1.6358583203224477</v>
      </c>
      <c r="O2312" s="1639"/>
    </row>
    <row r="2313" spans="11:15">
      <c r="K2313" s="1636">
        <v>44370</v>
      </c>
      <c r="L2313" s="1637" t="s">
        <v>1650</v>
      </c>
      <c r="M2313" s="1638">
        <v>1.6136999999999999E-2</v>
      </c>
      <c r="N2313" s="1639">
        <v>1.6361222987795982</v>
      </c>
      <c r="O2313" s="1639"/>
    </row>
    <row r="2314" spans="11:15">
      <c r="K2314" s="1636">
        <v>44371</v>
      </c>
      <c r="L2314" s="1637" t="s">
        <v>1650</v>
      </c>
      <c r="M2314" s="1638">
        <v>1.6136999999999999E-2</v>
      </c>
      <c r="N2314" s="1639">
        <v>1.6363863198349524</v>
      </c>
      <c r="O2314" s="1639"/>
    </row>
    <row r="2315" spans="11:15">
      <c r="K2315" s="1636">
        <v>44372</v>
      </c>
      <c r="L2315" s="1637" t="s">
        <v>1650</v>
      </c>
      <c r="M2315" s="1638">
        <v>1.6136999999999999E-2</v>
      </c>
      <c r="N2315" s="1639">
        <v>1.6366503834953843</v>
      </c>
      <c r="O2315" s="1639"/>
    </row>
    <row r="2316" spans="11:15">
      <c r="K2316" s="1636">
        <v>44373</v>
      </c>
      <c r="L2316" s="1637"/>
      <c r="M2316" s="1638">
        <v>0</v>
      </c>
      <c r="N2316" s="1639">
        <v>1.6366503834953843</v>
      </c>
      <c r="O2316" s="1639"/>
    </row>
    <row r="2317" spans="11:15">
      <c r="K2317" s="1636">
        <v>44374</v>
      </c>
      <c r="L2317" s="1637"/>
      <c r="M2317" s="1638">
        <v>0</v>
      </c>
      <c r="N2317" s="1639">
        <v>1.6366503834953843</v>
      </c>
      <c r="O2317" s="1639"/>
    </row>
    <row r="2318" spans="11:15">
      <c r="K2318" s="1636">
        <v>44375</v>
      </c>
      <c r="L2318" s="1637" t="s">
        <v>1650</v>
      </c>
      <c r="M2318" s="1638">
        <v>1.6136999999999999E-2</v>
      </c>
      <c r="N2318" s="1639">
        <v>1.636914489767769</v>
      </c>
      <c r="O2318" s="1639"/>
    </row>
    <row r="2319" spans="11:15">
      <c r="K2319" s="1636">
        <v>44376</v>
      </c>
      <c r="L2319" s="1637" t="s">
        <v>1650</v>
      </c>
      <c r="M2319" s="1638">
        <v>1.6136999999999999E-2</v>
      </c>
      <c r="N2319" s="1639">
        <v>1.6371786386589828</v>
      </c>
      <c r="O2319" s="1639"/>
    </row>
    <row r="2320" spans="11:15">
      <c r="K2320" s="1636">
        <v>44377</v>
      </c>
      <c r="L2320" s="1637" t="s">
        <v>1650</v>
      </c>
      <c r="M2320" s="1638">
        <v>1.6136999999999999E-2</v>
      </c>
      <c r="N2320" s="1639">
        <v>1.6374428301759034</v>
      </c>
      <c r="O2320" s="1639"/>
    </row>
    <row r="2321" spans="11:15">
      <c r="K2321" s="1636">
        <v>44378</v>
      </c>
      <c r="L2321" s="1637" t="s">
        <v>1650</v>
      </c>
      <c r="M2321" s="1638">
        <v>1.6136999999999999E-2</v>
      </c>
      <c r="N2321" s="1639">
        <v>1.637707064325409</v>
      </c>
      <c r="O2321" s="1639"/>
    </row>
    <row r="2322" spans="11:15">
      <c r="K2322" s="1636">
        <v>44379</v>
      </c>
      <c r="L2322" s="1637" t="s">
        <v>1650</v>
      </c>
      <c r="M2322" s="1638">
        <v>1.6136999999999999E-2</v>
      </c>
      <c r="N2322" s="1639">
        <v>1.6379713411143793</v>
      </c>
      <c r="O2322" s="1639"/>
    </row>
    <row r="2323" spans="11:15">
      <c r="K2323" s="1636">
        <v>44380</v>
      </c>
      <c r="L2323" s="1637"/>
      <c r="M2323" s="1638">
        <v>0</v>
      </c>
      <c r="N2323" s="1639">
        <v>1.6379713411143793</v>
      </c>
      <c r="O2323" s="1639"/>
    </row>
    <row r="2324" spans="11:15">
      <c r="K2324" s="1636">
        <v>44381</v>
      </c>
      <c r="L2324" s="1637"/>
      <c r="M2324" s="1638">
        <v>0</v>
      </c>
      <c r="N2324" s="1639">
        <v>1.6379713411143793</v>
      </c>
      <c r="O2324" s="1639"/>
    </row>
    <row r="2325" spans="11:15">
      <c r="K2325" s="1636">
        <v>44382</v>
      </c>
      <c r="L2325" s="1637" t="s">
        <v>1650</v>
      </c>
      <c r="M2325" s="1638">
        <v>1.6136999999999999E-2</v>
      </c>
      <c r="N2325" s="1639">
        <v>1.638235660549695</v>
      </c>
      <c r="O2325" s="1639"/>
    </row>
    <row r="2326" spans="11:15">
      <c r="K2326" s="1636">
        <v>44383</v>
      </c>
      <c r="L2326" s="1637" t="s">
        <v>1650</v>
      </c>
      <c r="M2326" s="1638">
        <v>1.6136999999999999E-2</v>
      </c>
      <c r="N2326" s="1639">
        <v>1.638500022638238</v>
      </c>
      <c r="O2326" s="1639"/>
    </row>
    <row r="2327" spans="11:15">
      <c r="K2327" s="1636">
        <v>44384</v>
      </c>
      <c r="L2327" s="1637" t="s">
        <v>1650</v>
      </c>
      <c r="M2327" s="1638">
        <v>1.6136999999999999E-2</v>
      </c>
      <c r="N2327" s="1639">
        <v>1.6387644273868913</v>
      </c>
      <c r="O2327" s="1639"/>
    </row>
    <row r="2328" spans="11:15">
      <c r="K2328" s="1636">
        <v>44385</v>
      </c>
      <c r="L2328" s="1637" t="s">
        <v>1650</v>
      </c>
      <c r="M2328" s="1638">
        <v>1.6136999999999999E-2</v>
      </c>
      <c r="N2328" s="1639">
        <v>1.6390288748025388</v>
      </c>
      <c r="O2328" s="1639"/>
    </row>
    <row r="2329" spans="11:15">
      <c r="K2329" s="1636">
        <v>44386</v>
      </c>
      <c r="L2329" s="1637" t="s">
        <v>1650</v>
      </c>
      <c r="M2329" s="1638">
        <v>1.6136999999999999E-2</v>
      </c>
      <c r="N2329" s="1639">
        <v>1.6392933648920658</v>
      </c>
      <c r="O2329" s="1639"/>
    </row>
    <row r="2330" spans="11:15">
      <c r="K2330" s="1636">
        <v>44387</v>
      </c>
      <c r="L2330" s="1637"/>
      <c r="M2330" s="1638">
        <v>0</v>
      </c>
      <c r="N2330" s="1639">
        <v>1.6392933648920658</v>
      </c>
      <c r="O2330" s="1639"/>
    </row>
    <row r="2331" spans="11:15">
      <c r="K2331" s="1636">
        <v>44388</v>
      </c>
      <c r="L2331" s="1637"/>
      <c r="M2331" s="1638">
        <v>0</v>
      </c>
      <c r="N2331" s="1639">
        <v>1.6392933648920658</v>
      </c>
      <c r="O2331" s="1639"/>
    </row>
    <row r="2332" spans="11:15">
      <c r="K2332" s="1636">
        <v>44389</v>
      </c>
      <c r="L2332" s="1637" t="s">
        <v>1650</v>
      </c>
      <c r="M2332" s="1638">
        <v>1.6136999999999999E-2</v>
      </c>
      <c r="N2332" s="1639">
        <v>1.6395578976623586</v>
      </c>
      <c r="O2332" s="1639"/>
    </row>
    <row r="2333" spans="11:15">
      <c r="K2333" s="1636">
        <v>44390</v>
      </c>
      <c r="L2333" s="1637" t="s">
        <v>1650</v>
      </c>
      <c r="M2333" s="1638">
        <v>1.6136999999999999E-2</v>
      </c>
      <c r="N2333" s="1639">
        <v>1.6398224731203044</v>
      </c>
      <c r="O2333" s="1639"/>
    </row>
    <row r="2334" spans="11:15">
      <c r="K2334" s="1636">
        <v>44391</v>
      </c>
      <c r="L2334" s="1637" t="s">
        <v>1650</v>
      </c>
      <c r="M2334" s="1638">
        <v>1.6136999999999999E-2</v>
      </c>
      <c r="N2334" s="1639">
        <v>1.6400870912727918</v>
      </c>
      <c r="O2334" s="1639"/>
    </row>
    <row r="2335" spans="11:15">
      <c r="K2335" s="1636">
        <v>44392</v>
      </c>
      <c r="L2335" s="1637" t="s">
        <v>1650</v>
      </c>
      <c r="M2335" s="1638">
        <v>1.6136999999999999E-2</v>
      </c>
      <c r="N2335" s="1639">
        <v>1.6403517521267106</v>
      </c>
      <c r="O2335" s="1639"/>
    </row>
    <row r="2336" spans="11:15">
      <c r="K2336" s="1636">
        <v>44393</v>
      </c>
      <c r="L2336" s="1637" t="s">
        <v>1650</v>
      </c>
      <c r="M2336" s="1638">
        <v>1.6136999999999999E-2</v>
      </c>
      <c r="N2336" s="1639">
        <v>1.6406164556889513</v>
      </c>
      <c r="O2336" s="1639"/>
    </row>
    <row r="2337" spans="11:15">
      <c r="K2337" s="1636">
        <v>44394</v>
      </c>
      <c r="L2337" s="1637"/>
      <c r="M2337" s="1638">
        <v>0</v>
      </c>
      <c r="N2337" s="1639">
        <v>1.6406164556889513</v>
      </c>
      <c r="O2337" s="1639"/>
    </row>
    <row r="2338" spans="11:15">
      <c r="K2338" s="1636">
        <v>44395</v>
      </c>
      <c r="L2338" s="1637"/>
      <c r="M2338" s="1638">
        <v>0</v>
      </c>
      <c r="N2338" s="1639">
        <v>1.6406164556889513</v>
      </c>
      <c r="O2338" s="1639"/>
    </row>
    <row r="2339" spans="11:15">
      <c r="K2339" s="1636">
        <v>44396</v>
      </c>
      <c r="L2339" s="1637" t="s">
        <v>1650</v>
      </c>
      <c r="M2339" s="1638">
        <v>1.6136999999999999E-2</v>
      </c>
      <c r="N2339" s="1639">
        <v>1.6408812019664059</v>
      </c>
      <c r="O2339" s="1639"/>
    </row>
    <row r="2340" spans="11:15">
      <c r="K2340" s="1636">
        <v>44397</v>
      </c>
      <c r="L2340" s="1637" t="s">
        <v>1650</v>
      </c>
      <c r="M2340" s="1638">
        <v>1.6136999999999999E-2</v>
      </c>
      <c r="N2340" s="1639">
        <v>1.6411459909659674</v>
      </c>
      <c r="O2340" s="1639"/>
    </row>
    <row r="2341" spans="11:15">
      <c r="K2341" s="1636">
        <v>44398</v>
      </c>
      <c r="L2341" s="1637" t="s">
        <v>1650</v>
      </c>
      <c r="M2341" s="1638">
        <v>1.6136999999999999E-2</v>
      </c>
      <c r="N2341" s="1639">
        <v>1.6414108226945296</v>
      </c>
      <c r="O2341" s="1639"/>
    </row>
    <row r="2342" spans="11:15">
      <c r="K2342" s="1636">
        <v>44399</v>
      </c>
      <c r="L2342" s="1637" t="s">
        <v>1650</v>
      </c>
      <c r="M2342" s="1638">
        <v>1.6136999999999999E-2</v>
      </c>
      <c r="N2342" s="1639">
        <v>1.6416756971589879</v>
      </c>
      <c r="O2342" s="1639"/>
    </row>
    <row r="2343" spans="11:15">
      <c r="K2343" s="1636">
        <v>44400</v>
      </c>
      <c r="L2343" s="1637" t="s">
        <v>1650</v>
      </c>
      <c r="M2343" s="1638">
        <v>1.6136999999999999E-2</v>
      </c>
      <c r="N2343" s="1639">
        <v>1.6419406143662385</v>
      </c>
      <c r="O2343" s="1639"/>
    </row>
    <row r="2344" spans="11:15">
      <c r="K2344" s="1636">
        <v>44401</v>
      </c>
      <c r="L2344" s="1637"/>
      <c r="M2344" s="1638">
        <v>0</v>
      </c>
      <c r="N2344" s="1639">
        <v>1.6419406143662385</v>
      </c>
      <c r="O2344" s="1639"/>
    </row>
    <row r="2345" spans="11:15">
      <c r="K2345" s="1636">
        <v>44402</v>
      </c>
      <c r="L2345" s="1637"/>
      <c r="M2345" s="1638">
        <v>0</v>
      </c>
      <c r="N2345" s="1639">
        <v>1.6419406143662385</v>
      </c>
      <c r="O2345" s="1639"/>
    </row>
    <row r="2346" spans="11:15">
      <c r="K2346" s="1636">
        <v>44403</v>
      </c>
      <c r="L2346" s="1637" t="s">
        <v>1650</v>
      </c>
      <c r="M2346" s="1638">
        <v>1.6136999999999999E-2</v>
      </c>
      <c r="N2346" s="1639">
        <v>1.6422055743231789</v>
      </c>
      <c r="O2346" s="1639"/>
    </row>
    <row r="2347" spans="11:15">
      <c r="K2347" s="1636">
        <v>44404</v>
      </c>
      <c r="L2347" s="1637" t="s">
        <v>1650</v>
      </c>
      <c r="M2347" s="1638">
        <v>1.6136999999999999E-2</v>
      </c>
      <c r="N2347" s="1639">
        <v>1.6424705770367076</v>
      </c>
      <c r="O2347" s="1639"/>
    </row>
    <row r="2348" spans="11:15">
      <c r="K2348" s="1636">
        <v>44405</v>
      </c>
      <c r="L2348" s="1637" t="s">
        <v>1650</v>
      </c>
      <c r="M2348" s="1638">
        <v>1.6136999999999999E-2</v>
      </c>
      <c r="N2348" s="1639">
        <v>1.6427356225137242</v>
      </c>
      <c r="O2348" s="1639"/>
    </row>
    <row r="2349" spans="11:15">
      <c r="K2349" s="1636">
        <v>44406</v>
      </c>
      <c r="L2349" s="1637" t="s">
        <v>1650</v>
      </c>
      <c r="M2349" s="1638">
        <v>1.6136999999999999E-2</v>
      </c>
      <c r="N2349" s="1639">
        <v>1.6430007107611293</v>
      </c>
      <c r="O2349" s="1639"/>
    </row>
    <row r="2350" spans="11:15">
      <c r="K2350" s="1636">
        <v>44407</v>
      </c>
      <c r="L2350" s="1637" t="s">
        <v>1650</v>
      </c>
      <c r="M2350" s="1638">
        <v>1.6136999999999999E-2</v>
      </c>
      <c r="N2350" s="1639">
        <v>1.6432658417858248</v>
      </c>
      <c r="O2350" s="1639"/>
    </row>
    <row r="2351" spans="11:15">
      <c r="K2351" s="1636">
        <v>44408</v>
      </c>
      <c r="L2351" s="1637"/>
      <c r="M2351" s="1638">
        <v>0</v>
      </c>
      <c r="N2351" s="1639">
        <v>1.6432658417858248</v>
      </c>
      <c r="O2351" s="1639"/>
    </row>
    <row r="2352" spans="11:15">
      <c r="K2352" s="1636">
        <v>44409</v>
      </c>
      <c r="L2352" s="1637"/>
      <c r="M2352" s="1638">
        <v>0</v>
      </c>
      <c r="N2352" s="1639">
        <v>1.6432658417858248</v>
      </c>
      <c r="O2352" s="1639"/>
    </row>
    <row r="2353" spans="11:15">
      <c r="K2353" s="1636">
        <v>44410</v>
      </c>
      <c r="L2353" s="1637" t="s">
        <v>1650</v>
      </c>
      <c r="M2353" s="1638">
        <v>1.6136999999999999E-2</v>
      </c>
      <c r="N2353" s="1639">
        <v>1.6435310155947138</v>
      </c>
      <c r="O2353" s="1639"/>
    </row>
    <row r="2354" spans="11:15">
      <c r="K2354" s="1636">
        <v>44411</v>
      </c>
      <c r="L2354" s="1637" t="s">
        <v>1650</v>
      </c>
      <c r="M2354" s="1638">
        <v>1.6136999999999999E-2</v>
      </c>
      <c r="N2354" s="1639">
        <v>1.6437962321947004</v>
      </c>
      <c r="O2354" s="1639"/>
    </row>
    <row r="2355" spans="11:15">
      <c r="K2355" s="1636">
        <v>44412</v>
      </c>
      <c r="L2355" s="1637" t="s">
        <v>1650</v>
      </c>
      <c r="M2355" s="1638">
        <v>1.6136999999999999E-2</v>
      </c>
      <c r="N2355" s="1639">
        <v>1.6440614915926897</v>
      </c>
      <c r="O2355" s="1639"/>
    </row>
    <row r="2356" spans="11:15">
      <c r="K2356" s="1636">
        <v>44413</v>
      </c>
      <c r="L2356" s="1637" t="s">
        <v>1650</v>
      </c>
      <c r="M2356" s="1638">
        <v>1.993E-2</v>
      </c>
      <c r="N2356" s="1639">
        <v>1.6443891530479642</v>
      </c>
      <c r="O2356" s="1639"/>
    </row>
    <row r="2357" spans="11:15">
      <c r="K2357" s="1636">
        <v>44414</v>
      </c>
      <c r="L2357" s="1637" t="s">
        <v>1650</v>
      </c>
      <c r="M2357" s="1638">
        <v>1.993E-2</v>
      </c>
      <c r="N2357" s="1639">
        <v>1.6447168798061667</v>
      </c>
      <c r="O2357" s="1639"/>
    </row>
    <row r="2358" spans="11:15">
      <c r="K2358" s="1636">
        <v>44415</v>
      </c>
      <c r="L2358" s="1637"/>
      <c r="M2358" s="1638">
        <v>0</v>
      </c>
      <c r="N2358" s="1639">
        <v>1.6447168798061667</v>
      </c>
      <c r="O2358" s="1639"/>
    </row>
    <row r="2359" spans="11:15">
      <c r="K2359" s="1636">
        <v>44416</v>
      </c>
      <c r="L2359" s="1637"/>
      <c r="M2359" s="1638">
        <v>0</v>
      </c>
      <c r="N2359" s="1639">
        <v>1.6447168798061667</v>
      </c>
      <c r="O2359" s="1639"/>
    </row>
    <row r="2360" spans="11:15">
      <c r="K2360" s="1636">
        <v>44417</v>
      </c>
      <c r="L2360" s="1637" t="s">
        <v>1650</v>
      </c>
      <c r="M2360" s="1638">
        <v>1.993E-2</v>
      </c>
      <c r="N2360" s="1639">
        <v>1.645044671880312</v>
      </c>
      <c r="O2360" s="1639"/>
    </row>
    <row r="2361" spans="11:15">
      <c r="K2361" s="1636">
        <v>44418</v>
      </c>
      <c r="L2361" s="1637" t="s">
        <v>1650</v>
      </c>
      <c r="M2361" s="1638">
        <v>1.993E-2</v>
      </c>
      <c r="N2361" s="1639">
        <v>1.6453725292834178</v>
      </c>
      <c r="O2361" s="1639"/>
    </row>
    <row r="2362" spans="11:15">
      <c r="K2362" s="1636">
        <v>44419</v>
      </c>
      <c r="L2362" s="1637" t="s">
        <v>1650</v>
      </c>
      <c r="M2362" s="1638">
        <v>1.993E-2</v>
      </c>
      <c r="N2362" s="1639">
        <v>1.6457004520285041</v>
      </c>
      <c r="O2362" s="1639"/>
    </row>
    <row r="2363" spans="11:15">
      <c r="K2363" s="1636">
        <v>44420</v>
      </c>
      <c r="L2363" s="1637" t="s">
        <v>1650</v>
      </c>
      <c r="M2363" s="1638">
        <v>1.993E-2</v>
      </c>
      <c r="N2363" s="1639">
        <v>1.6460284401285934</v>
      </c>
      <c r="O2363" s="1639"/>
    </row>
    <row r="2364" spans="11:15">
      <c r="K2364" s="1636">
        <v>44421</v>
      </c>
      <c r="L2364" s="1637" t="s">
        <v>1650</v>
      </c>
      <c r="M2364" s="1638">
        <v>1.993E-2</v>
      </c>
      <c r="N2364" s="1639">
        <v>1.646356493596711</v>
      </c>
      <c r="O2364" s="1639"/>
    </row>
    <row r="2365" spans="11:15">
      <c r="K2365" s="1636">
        <v>44422</v>
      </c>
      <c r="L2365" s="1637"/>
      <c r="M2365" s="1638">
        <v>0</v>
      </c>
      <c r="N2365" s="1639">
        <v>1.646356493596711</v>
      </c>
      <c r="O2365" s="1639"/>
    </row>
    <row r="2366" spans="11:15">
      <c r="K2366" s="1636">
        <v>44423</v>
      </c>
      <c r="L2366" s="1637"/>
      <c r="M2366" s="1638">
        <v>0</v>
      </c>
      <c r="N2366" s="1639">
        <v>1.646356493596711</v>
      </c>
      <c r="O2366" s="1639"/>
    </row>
    <row r="2367" spans="11:15">
      <c r="K2367" s="1636">
        <v>44424</v>
      </c>
      <c r="L2367" s="1637" t="s">
        <v>1650</v>
      </c>
      <c r="M2367" s="1638">
        <v>1.993E-2</v>
      </c>
      <c r="N2367" s="1639">
        <v>1.6466846124458849</v>
      </c>
      <c r="O2367" s="1639"/>
    </row>
    <row r="2368" spans="11:15">
      <c r="K2368" s="1636">
        <v>44425</v>
      </c>
      <c r="L2368" s="1637" t="s">
        <v>1650</v>
      </c>
      <c r="M2368" s="1638">
        <v>1.993E-2</v>
      </c>
      <c r="N2368" s="1639">
        <v>1.6470127966891455</v>
      </c>
      <c r="O2368" s="1639"/>
    </row>
    <row r="2369" spans="11:15">
      <c r="K2369" s="1636">
        <v>44426</v>
      </c>
      <c r="L2369" s="1637" t="s">
        <v>1650</v>
      </c>
      <c r="M2369" s="1638">
        <v>1.993E-2</v>
      </c>
      <c r="N2369" s="1639">
        <v>1.6473410463395257</v>
      </c>
      <c r="O2369" s="1639"/>
    </row>
    <row r="2370" spans="11:15">
      <c r="K2370" s="1636">
        <v>44427</v>
      </c>
      <c r="L2370" s="1637" t="s">
        <v>1650</v>
      </c>
      <c r="M2370" s="1638">
        <v>1.993E-2</v>
      </c>
      <c r="N2370" s="1639">
        <v>1.6476693614100613</v>
      </c>
      <c r="O2370" s="1639"/>
    </row>
    <row r="2371" spans="11:15">
      <c r="K2371" s="1636">
        <v>44428</v>
      </c>
      <c r="L2371" s="1637" t="s">
        <v>1650</v>
      </c>
      <c r="M2371" s="1638">
        <v>1.993E-2</v>
      </c>
      <c r="N2371" s="1639">
        <v>1.6479977419137903</v>
      </c>
      <c r="O2371" s="1639"/>
    </row>
    <row r="2372" spans="11:15">
      <c r="K2372" s="1636">
        <v>44429</v>
      </c>
      <c r="L2372" s="1637"/>
      <c r="M2372" s="1638">
        <v>0</v>
      </c>
      <c r="N2372" s="1639">
        <v>1.6479977419137903</v>
      </c>
      <c r="O2372" s="1639"/>
    </row>
    <row r="2373" spans="11:15">
      <c r="K2373" s="1636">
        <v>44430</v>
      </c>
      <c r="L2373" s="1637"/>
      <c r="M2373" s="1638">
        <v>0</v>
      </c>
      <c r="N2373" s="1639">
        <v>1.6479977419137903</v>
      </c>
      <c r="O2373" s="1639"/>
    </row>
    <row r="2374" spans="11:15">
      <c r="K2374" s="1636">
        <v>44431</v>
      </c>
      <c r="L2374" s="1637" t="s">
        <v>1650</v>
      </c>
      <c r="M2374" s="1638">
        <v>1.993E-2</v>
      </c>
      <c r="N2374" s="1639">
        <v>1.6483261878637538</v>
      </c>
      <c r="O2374" s="1639"/>
    </row>
    <row r="2375" spans="11:15">
      <c r="K2375" s="1636">
        <v>44432</v>
      </c>
      <c r="L2375" s="1637" t="s">
        <v>1650</v>
      </c>
      <c r="M2375" s="1638">
        <v>1.993E-2</v>
      </c>
      <c r="N2375" s="1639">
        <v>1.6486546992729951</v>
      </c>
      <c r="O2375" s="1639"/>
    </row>
    <row r="2376" spans="11:15">
      <c r="K2376" s="1636">
        <v>44433</v>
      </c>
      <c r="L2376" s="1637" t="s">
        <v>1650</v>
      </c>
      <c r="M2376" s="1638">
        <v>1.993E-2</v>
      </c>
      <c r="N2376" s="1639">
        <v>1.6489832761545602</v>
      </c>
      <c r="O2376" s="1639"/>
    </row>
    <row r="2377" spans="11:15">
      <c r="K2377" s="1636">
        <v>44434</v>
      </c>
      <c r="L2377" s="1637" t="s">
        <v>1650</v>
      </c>
      <c r="M2377" s="1638">
        <v>1.993E-2</v>
      </c>
      <c r="N2377" s="1639">
        <v>1.6493119185214977</v>
      </c>
      <c r="O2377" s="1639"/>
    </row>
    <row r="2378" spans="11:15">
      <c r="K2378" s="1636">
        <v>44435</v>
      </c>
      <c r="L2378" s="1637" t="s">
        <v>1650</v>
      </c>
      <c r="M2378" s="1638">
        <v>1.993E-2</v>
      </c>
      <c r="N2378" s="1639">
        <v>1.649640626386859</v>
      </c>
      <c r="O2378" s="1639"/>
    </row>
    <row r="2379" spans="11:15">
      <c r="K2379" s="1636">
        <v>44436</v>
      </c>
      <c r="L2379" s="1637"/>
      <c r="M2379" s="1638">
        <v>0</v>
      </c>
      <c r="N2379" s="1639">
        <v>1.649640626386859</v>
      </c>
      <c r="O2379" s="1639"/>
    </row>
    <row r="2380" spans="11:15">
      <c r="K2380" s="1636">
        <v>44437</v>
      </c>
      <c r="L2380" s="1637"/>
      <c r="M2380" s="1638">
        <v>0</v>
      </c>
      <c r="N2380" s="1639">
        <v>1.649640626386859</v>
      </c>
      <c r="O2380" s="1639"/>
    </row>
    <row r="2381" spans="11:15">
      <c r="K2381" s="1636">
        <v>44438</v>
      </c>
      <c r="L2381" s="1637" t="s">
        <v>1650</v>
      </c>
      <c r="M2381" s="1638">
        <v>1.993E-2</v>
      </c>
      <c r="N2381" s="1639">
        <v>1.6499693997636979</v>
      </c>
      <c r="O2381" s="1639"/>
    </row>
    <row r="2382" spans="11:15">
      <c r="K2382" s="1636">
        <v>44439</v>
      </c>
      <c r="L2382" s="1637" t="s">
        <v>1650</v>
      </c>
      <c r="M2382" s="1638">
        <v>1.993E-2</v>
      </c>
      <c r="N2382" s="1639">
        <v>1.6502982386650709</v>
      </c>
      <c r="O2382" s="1639"/>
    </row>
    <row r="2383" spans="11:15">
      <c r="K2383" s="1636">
        <v>44440</v>
      </c>
      <c r="L2383" s="1637" t="s">
        <v>1650</v>
      </c>
      <c r="M2383" s="1638">
        <v>1.993E-2</v>
      </c>
      <c r="N2383" s="1639">
        <v>1.6506271431040369</v>
      </c>
      <c r="O2383" s="1639"/>
    </row>
    <row r="2384" spans="11:15">
      <c r="K2384" s="1636">
        <v>44441</v>
      </c>
      <c r="L2384" s="1637" t="s">
        <v>1650</v>
      </c>
      <c r="M2384" s="1638">
        <v>1.993E-2</v>
      </c>
      <c r="N2384" s="1639">
        <v>1.6509561130936576</v>
      </c>
      <c r="O2384" s="1639"/>
    </row>
    <row r="2385" spans="11:15">
      <c r="K2385" s="1636">
        <v>44442</v>
      </c>
      <c r="L2385" s="1637" t="s">
        <v>1650</v>
      </c>
      <c r="M2385" s="1638">
        <v>1.993E-2</v>
      </c>
      <c r="N2385" s="1639">
        <v>1.6512851486469973</v>
      </c>
      <c r="O2385" s="1639"/>
    </row>
    <row r="2386" spans="11:15">
      <c r="K2386" s="1636">
        <v>44443</v>
      </c>
      <c r="L2386" s="1637"/>
      <c r="M2386" s="1638">
        <v>0</v>
      </c>
      <c r="N2386" s="1639">
        <v>1.6512851486469973</v>
      </c>
      <c r="O2386" s="1639"/>
    </row>
    <row r="2387" spans="11:15">
      <c r="K2387" s="1636">
        <v>44444</v>
      </c>
      <c r="L2387" s="1637"/>
      <c r="M2387" s="1638">
        <v>0</v>
      </c>
      <c r="N2387" s="1639">
        <v>1.6512851486469973</v>
      </c>
      <c r="O2387" s="1639"/>
    </row>
    <row r="2388" spans="11:15">
      <c r="K2388" s="1636">
        <v>44445</v>
      </c>
      <c r="L2388" s="1637" t="s">
        <v>1650</v>
      </c>
      <c r="M2388" s="1638">
        <v>1.993E-2</v>
      </c>
      <c r="N2388" s="1639">
        <v>1.6516142497771227</v>
      </c>
      <c r="O2388" s="1639"/>
    </row>
    <row r="2389" spans="11:15">
      <c r="K2389" s="1636">
        <v>44446</v>
      </c>
      <c r="L2389" s="1637"/>
      <c r="M2389" s="1638">
        <v>0</v>
      </c>
      <c r="N2389" s="1639">
        <v>1.6516142497771227</v>
      </c>
      <c r="O2389" s="1639"/>
    </row>
    <row r="2390" spans="11:15">
      <c r="K2390" s="1636">
        <v>44447</v>
      </c>
      <c r="L2390" s="1637" t="s">
        <v>1650</v>
      </c>
      <c r="M2390" s="1638">
        <v>1.993E-2</v>
      </c>
      <c r="N2390" s="1639">
        <v>1.6519434164971032</v>
      </c>
      <c r="O2390" s="1639"/>
    </row>
    <row r="2391" spans="11:15">
      <c r="K2391" s="1636">
        <v>44448</v>
      </c>
      <c r="L2391" s="1637" t="s">
        <v>1650</v>
      </c>
      <c r="M2391" s="1638">
        <v>1.993E-2</v>
      </c>
      <c r="N2391" s="1639">
        <v>1.652272648820011</v>
      </c>
      <c r="O2391" s="1639"/>
    </row>
    <row r="2392" spans="11:15">
      <c r="K2392" s="1636">
        <v>44449</v>
      </c>
      <c r="L2392" s="1637" t="s">
        <v>1650</v>
      </c>
      <c r="M2392" s="1638">
        <v>1.993E-2</v>
      </c>
      <c r="N2392" s="1639">
        <v>1.6526019467589208</v>
      </c>
      <c r="O2392" s="1639"/>
    </row>
    <row r="2393" spans="11:15">
      <c r="K2393" s="1636">
        <v>44450</v>
      </c>
      <c r="L2393" s="1637"/>
      <c r="M2393" s="1638">
        <v>0</v>
      </c>
      <c r="N2393" s="1639">
        <v>1.6526019467589208</v>
      </c>
      <c r="O2393" s="1639"/>
    </row>
    <row r="2394" spans="11:15">
      <c r="K2394" s="1636">
        <v>44451</v>
      </c>
      <c r="L2394" s="1637"/>
      <c r="M2394" s="1638">
        <v>0</v>
      </c>
      <c r="N2394" s="1639">
        <v>1.6526019467589208</v>
      </c>
      <c r="O2394" s="1639"/>
    </row>
    <row r="2395" spans="11:15">
      <c r="K2395" s="1636">
        <v>44452</v>
      </c>
      <c r="L2395" s="1637" t="s">
        <v>1650</v>
      </c>
      <c r="M2395" s="1638">
        <v>1.993E-2</v>
      </c>
      <c r="N2395" s="1639">
        <v>1.6529313103269099</v>
      </c>
      <c r="O2395" s="1639"/>
    </row>
    <row r="2396" spans="11:15">
      <c r="K2396" s="1636">
        <v>44453</v>
      </c>
      <c r="L2396" s="1637" t="s">
        <v>1650</v>
      </c>
      <c r="M2396" s="1638">
        <v>1.993E-2</v>
      </c>
      <c r="N2396" s="1639">
        <v>1.653260739537058</v>
      </c>
      <c r="O2396" s="1639"/>
    </row>
    <row r="2397" spans="11:15">
      <c r="K2397" s="1636">
        <v>44454</v>
      </c>
      <c r="L2397" s="1637" t="s">
        <v>1650</v>
      </c>
      <c r="M2397" s="1638">
        <v>1.993E-2</v>
      </c>
      <c r="N2397" s="1639">
        <v>1.6535902344024478</v>
      </c>
      <c r="O2397" s="1639"/>
    </row>
    <row r="2398" spans="11:15">
      <c r="K2398" s="1636">
        <v>44455</v>
      </c>
      <c r="L2398" s="1637" t="s">
        <v>1650</v>
      </c>
      <c r="M2398" s="1638">
        <v>1.993E-2</v>
      </c>
      <c r="N2398" s="1639">
        <v>1.6539197949361641</v>
      </c>
      <c r="O2398" s="1639"/>
    </row>
    <row r="2399" spans="11:15">
      <c r="K2399" s="1636">
        <v>44456</v>
      </c>
      <c r="L2399" s="1637" t="s">
        <v>1650</v>
      </c>
      <c r="M2399" s="1638">
        <v>1.993E-2</v>
      </c>
      <c r="N2399" s="1639">
        <v>1.654249421151295</v>
      </c>
      <c r="O2399" s="1639"/>
    </row>
    <row r="2400" spans="11:15">
      <c r="K2400" s="1636">
        <v>44457</v>
      </c>
      <c r="L2400" s="1637"/>
      <c r="M2400" s="1638">
        <v>0</v>
      </c>
      <c r="N2400" s="1639">
        <v>1.654249421151295</v>
      </c>
      <c r="O2400" s="1639"/>
    </row>
    <row r="2401" spans="11:15">
      <c r="K2401" s="1636">
        <v>44458</v>
      </c>
      <c r="L2401" s="1637"/>
      <c r="M2401" s="1638">
        <v>0</v>
      </c>
      <c r="N2401" s="1639">
        <v>1.654249421151295</v>
      </c>
      <c r="O2401" s="1639"/>
    </row>
    <row r="2402" spans="11:15">
      <c r="K2402" s="1636">
        <v>44459</v>
      </c>
      <c r="L2402" s="1637" t="s">
        <v>1650</v>
      </c>
      <c r="M2402" s="1638">
        <v>1.993E-2</v>
      </c>
      <c r="N2402" s="1639">
        <v>1.6545791130609304</v>
      </c>
      <c r="O2402" s="1639"/>
    </row>
    <row r="2403" spans="11:15">
      <c r="K2403" s="1636">
        <v>44460</v>
      </c>
      <c r="L2403" s="1637" t="s">
        <v>1650</v>
      </c>
      <c r="M2403" s="1638">
        <v>1.993E-2</v>
      </c>
      <c r="N2403" s="1639">
        <v>1.6549088706781634</v>
      </c>
      <c r="O2403" s="1639"/>
    </row>
    <row r="2404" spans="11:15">
      <c r="K2404" s="1636">
        <v>44461</v>
      </c>
      <c r="L2404" s="1637" t="s">
        <v>1650</v>
      </c>
      <c r="M2404" s="1638">
        <v>1.993E-2</v>
      </c>
      <c r="N2404" s="1639">
        <v>1.6552386940160895</v>
      </c>
      <c r="O2404" s="1639"/>
    </row>
    <row r="2405" spans="11:15">
      <c r="K2405" s="1636">
        <v>44462</v>
      </c>
      <c r="L2405" s="1637" t="s">
        <v>1650</v>
      </c>
      <c r="M2405" s="1638">
        <v>2.3687E-2</v>
      </c>
      <c r="N2405" s="1639">
        <v>1.6556307704055411</v>
      </c>
      <c r="O2405" s="1639"/>
    </row>
    <row r="2406" spans="11:15">
      <c r="K2406" s="1636">
        <v>44463</v>
      </c>
      <c r="L2406" s="1637" t="s">
        <v>1650</v>
      </c>
      <c r="M2406" s="1638">
        <v>2.3687E-2</v>
      </c>
      <c r="N2406" s="1639">
        <v>1.656022939666127</v>
      </c>
      <c r="O2406" s="1639"/>
    </row>
    <row r="2407" spans="11:15">
      <c r="K2407" s="1636">
        <v>44464</v>
      </c>
      <c r="L2407" s="1637"/>
      <c r="M2407" s="1638">
        <v>0</v>
      </c>
      <c r="N2407" s="1639">
        <v>1.656022939666127</v>
      </c>
      <c r="O2407" s="1639"/>
    </row>
    <row r="2408" spans="11:15">
      <c r="K2408" s="1636">
        <v>44465</v>
      </c>
      <c r="L2408" s="1637"/>
      <c r="M2408" s="1638">
        <v>0</v>
      </c>
      <c r="N2408" s="1639">
        <v>1.656022939666127</v>
      </c>
      <c r="O2408" s="1639"/>
    </row>
    <row r="2409" spans="11:15">
      <c r="K2409" s="1636">
        <v>44466</v>
      </c>
      <c r="L2409" s="1637" t="s">
        <v>1650</v>
      </c>
      <c r="M2409" s="1638">
        <v>2.3687E-2</v>
      </c>
      <c r="N2409" s="1639">
        <v>1.6564152018198457</v>
      </c>
      <c r="O2409" s="1639"/>
    </row>
    <row r="2410" spans="11:15">
      <c r="K2410" s="1636">
        <v>44467</v>
      </c>
      <c r="L2410" s="1637" t="s">
        <v>1650</v>
      </c>
      <c r="M2410" s="1638">
        <v>2.3687E-2</v>
      </c>
      <c r="N2410" s="1639">
        <v>1.6568075568887006</v>
      </c>
      <c r="O2410" s="1639"/>
    </row>
    <row r="2411" spans="11:15">
      <c r="K2411" s="1636">
        <v>44468</v>
      </c>
      <c r="L2411" s="1637" t="s">
        <v>1650</v>
      </c>
      <c r="M2411" s="1638">
        <v>2.3687E-2</v>
      </c>
      <c r="N2411" s="1639">
        <v>1.6572000048947009</v>
      </c>
      <c r="O2411" s="1639"/>
    </row>
    <row r="2412" spans="11:15">
      <c r="K2412" s="1636">
        <v>44469</v>
      </c>
      <c r="L2412" s="1637" t="s">
        <v>1650</v>
      </c>
      <c r="M2412" s="1638">
        <v>2.3687E-2</v>
      </c>
      <c r="N2412" s="1639">
        <v>1.6575925458598602</v>
      </c>
      <c r="O2412" s="1639"/>
    </row>
    <row r="2413" spans="11:15">
      <c r="K2413" s="1636">
        <v>44470</v>
      </c>
      <c r="L2413" s="1637" t="s">
        <v>1650</v>
      </c>
      <c r="M2413" s="1638">
        <v>2.3687E-2</v>
      </c>
      <c r="N2413" s="1639">
        <v>1.657985179806198</v>
      </c>
      <c r="O2413" s="1639"/>
    </row>
    <row r="2414" spans="11:15">
      <c r="K2414" s="1636">
        <v>44471</v>
      </c>
      <c r="L2414" s="1637"/>
      <c r="M2414" s="1638">
        <v>0</v>
      </c>
      <c r="N2414" s="1639">
        <v>1.657985179806198</v>
      </c>
      <c r="O2414" s="1639"/>
    </row>
    <row r="2415" spans="11:15">
      <c r="K2415" s="1636">
        <v>44472</v>
      </c>
      <c r="L2415" s="1637"/>
      <c r="M2415" s="1638">
        <v>0</v>
      </c>
      <c r="N2415" s="1639">
        <v>1.657985179806198</v>
      </c>
      <c r="O2415" s="1639"/>
    </row>
    <row r="2416" spans="11:15">
      <c r="K2416" s="1636">
        <v>44473</v>
      </c>
      <c r="L2416" s="1637" t="s">
        <v>1650</v>
      </c>
      <c r="M2416" s="1638">
        <v>2.3687E-2</v>
      </c>
      <c r="N2416" s="1639">
        <v>1.6583779067557385</v>
      </c>
      <c r="O2416" s="1639"/>
    </row>
    <row r="2417" spans="11:15">
      <c r="K2417" s="1636">
        <v>44474</v>
      </c>
      <c r="L2417" s="1637" t="s">
        <v>1650</v>
      </c>
      <c r="M2417" s="1638">
        <v>2.3687E-2</v>
      </c>
      <c r="N2417" s="1639">
        <v>1.6587707267305116</v>
      </c>
      <c r="O2417" s="1639"/>
    </row>
    <row r="2418" spans="11:15">
      <c r="K2418" s="1636">
        <v>44475</v>
      </c>
      <c r="L2418" s="1637" t="s">
        <v>1650</v>
      </c>
      <c r="M2418" s="1638">
        <v>2.3687E-2</v>
      </c>
      <c r="N2418" s="1639">
        <v>1.6591636397525522</v>
      </c>
      <c r="O2418" s="1639"/>
    </row>
    <row r="2419" spans="11:15">
      <c r="K2419" s="1636">
        <v>44476</v>
      </c>
      <c r="L2419" s="1637" t="s">
        <v>1650</v>
      </c>
      <c r="M2419" s="1638">
        <v>2.3687E-2</v>
      </c>
      <c r="N2419" s="1639">
        <v>1.6595566458439004</v>
      </c>
      <c r="O2419" s="1639"/>
    </row>
    <row r="2420" spans="11:15">
      <c r="K2420" s="1636">
        <v>44477</v>
      </c>
      <c r="L2420" s="1637" t="s">
        <v>1650</v>
      </c>
      <c r="M2420" s="1638">
        <v>2.3687E-2</v>
      </c>
      <c r="N2420" s="1639">
        <v>1.6599497450266014</v>
      </c>
      <c r="O2420" s="1639"/>
    </row>
    <row r="2421" spans="11:15">
      <c r="K2421" s="1636">
        <v>44478</v>
      </c>
      <c r="L2421" s="1637"/>
      <c r="M2421" s="1638">
        <v>0</v>
      </c>
      <c r="N2421" s="1639">
        <v>1.6599497450266014</v>
      </c>
      <c r="O2421" s="1639"/>
    </row>
    <row r="2422" spans="11:15">
      <c r="K2422" s="1636">
        <v>44479</v>
      </c>
      <c r="L2422" s="1637"/>
      <c r="M2422" s="1638">
        <v>0</v>
      </c>
      <c r="N2422" s="1639">
        <v>1.6599497450266014</v>
      </c>
      <c r="O2422" s="1639"/>
    </row>
    <row r="2423" spans="11:15">
      <c r="K2423" s="1636">
        <v>44480</v>
      </c>
      <c r="L2423" s="1637" t="s">
        <v>1650</v>
      </c>
      <c r="M2423" s="1638">
        <v>2.3687E-2</v>
      </c>
      <c r="N2423" s="1639">
        <v>1.6603429373227059</v>
      </c>
      <c r="O2423" s="1639"/>
    </row>
    <row r="2424" spans="11:15">
      <c r="K2424" s="1636">
        <v>44481</v>
      </c>
      <c r="L2424" s="1637"/>
      <c r="M2424" s="1638">
        <v>0</v>
      </c>
      <c r="N2424" s="1639">
        <v>1.6603429373227059</v>
      </c>
      <c r="O2424" s="1639"/>
    </row>
    <row r="2425" spans="11:15">
      <c r="K2425" s="1636">
        <v>44482</v>
      </c>
      <c r="L2425" s="1637" t="s">
        <v>1650</v>
      </c>
      <c r="M2425" s="1638">
        <v>2.3687E-2</v>
      </c>
      <c r="N2425" s="1639">
        <v>1.6607362227542695</v>
      </c>
      <c r="O2425" s="1639"/>
    </row>
    <row r="2426" spans="11:15">
      <c r="K2426" s="1636">
        <v>44483</v>
      </c>
      <c r="L2426" s="1637" t="s">
        <v>1650</v>
      </c>
      <c r="M2426" s="1638">
        <v>2.3687E-2</v>
      </c>
      <c r="N2426" s="1639">
        <v>1.6611296013433532</v>
      </c>
      <c r="O2426" s="1639"/>
    </row>
    <row r="2427" spans="11:15">
      <c r="K2427" s="1636">
        <v>44484</v>
      </c>
      <c r="L2427" s="1637" t="s">
        <v>1650</v>
      </c>
      <c r="M2427" s="1638">
        <v>2.3687E-2</v>
      </c>
      <c r="N2427" s="1639">
        <v>1.6615230731120234</v>
      </c>
      <c r="O2427" s="1639"/>
    </row>
    <row r="2428" spans="11:15">
      <c r="K2428" s="1636">
        <v>44485</v>
      </c>
      <c r="L2428" s="1637"/>
      <c r="M2428" s="1638">
        <v>0</v>
      </c>
      <c r="N2428" s="1639">
        <v>1.6615230731120234</v>
      </c>
      <c r="O2428" s="1639"/>
    </row>
    <row r="2429" spans="11:15">
      <c r="K2429" s="1636">
        <v>44486</v>
      </c>
      <c r="L2429" s="1637"/>
      <c r="M2429" s="1638">
        <v>0</v>
      </c>
      <c r="N2429" s="1639">
        <v>1.6615230731120234</v>
      </c>
      <c r="O2429" s="1639"/>
    </row>
    <row r="2430" spans="11:15">
      <c r="K2430" s="1636">
        <v>44487</v>
      </c>
      <c r="L2430" s="1637" t="s">
        <v>1650</v>
      </c>
      <c r="M2430" s="1638">
        <v>2.3687E-2</v>
      </c>
      <c r="N2430" s="1639">
        <v>1.6619166380823513</v>
      </c>
      <c r="O2430" s="1639"/>
    </row>
    <row r="2431" spans="11:15">
      <c r="K2431" s="1636">
        <v>44488</v>
      </c>
      <c r="L2431" s="1637" t="s">
        <v>1650</v>
      </c>
      <c r="M2431" s="1638">
        <v>2.3687E-2</v>
      </c>
      <c r="N2431" s="1639">
        <v>1.6623102962764138</v>
      </c>
      <c r="O2431" s="1639"/>
    </row>
    <row r="2432" spans="11:15">
      <c r="K2432" s="1636">
        <v>44489</v>
      </c>
      <c r="L2432" s="1637" t="s">
        <v>1650</v>
      </c>
      <c r="M2432" s="1638">
        <v>2.3687E-2</v>
      </c>
      <c r="N2432" s="1639">
        <v>1.6627040477162927</v>
      </c>
      <c r="O2432" s="1639"/>
    </row>
    <row r="2433" spans="11:15">
      <c r="K2433" s="1636">
        <v>44490</v>
      </c>
      <c r="L2433" s="1637" t="s">
        <v>1650</v>
      </c>
      <c r="M2433" s="1638">
        <v>2.3687E-2</v>
      </c>
      <c r="N2433" s="1639">
        <v>1.6630978924240751</v>
      </c>
      <c r="O2433" s="1639"/>
    </row>
    <row r="2434" spans="11:15">
      <c r="K2434" s="1636">
        <v>44491</v>
      </c>
      <c r="L2434" s="1637" t="s">
        <v>1650</v>
      </c>
      <c r="M2434" s="1638">
        <v>2.3687E-2</v>
      </c>
      <c r="N2434" s="1639">
        <v>1.6634918304218536</v>
      </c>
      <c r="O2434" s="1639"/>
    </row>
    <row r="2435" spans="11:15">
      <c r="K2435" s="1636">
        <v>44492</v>
      </c>
      <c r="L2435" s="1637"/>
      <c r="M2435" s="1638">
        <v>0</v>
      </c>
      <c r="N2435" s="1639">
        <v>1.6634918304218536</v>
      </c>
      <c r="O2435" s="1639"/>
    </row>
    <row r="2436" spans="11:15">
      <c r="K2436" s="1636">
        <v>44493</v>
      </c>
      <c r="L2436" s="1637"/>
      <c r="M2436" s="1638">
        <v>0</v>
      </c>
      <c r="N2436" s="1639">
        <v>1.6634918304218536</v>
      </c>
      <c r="O2436" s="1639"/>
    </row>
    <row r="2437" spans="11:15">
      <c r="K2437" s="1636">
        <v>44494</v>
      </c>
      <c r="L2437" s="1637" t="s">
        <v>1650</v>
      </c>
      <c r="M2437" s="1638">
        <v>2.3687E-2</v>
      </c>
      <c r="N2437" s="1639">
        <v>1.6638858617317256</v>
      </c>
      <c r="O2437" s="1639"/>
    </row>
    <row r="2438" spans="11:15">
      <c r="K2438" s="1636">
        <v>44495</v>
      </c>
      <c r="L2438" s="1637" t="s">
        <v>1650</v>
      </c>
      <c r="M2438" s="1638">
        <v>2.3687E-2</v>
      </c>
      <c r="N2438" s="1639">
        <v>1.664279986375794</v>
      </c>
      <c r="O2438" s="1639"/>
    </row>
    <row r="2439" spans="11:15">
      <c r="K2439" s="1636">
        <v>44496</v>
      </c>
      <c r="L2439" s="1637" t="s">
        <v>1650</v>
      </c>
      <c r="M2439" s="1638">
        <v>2.3687E-2</v>
      </c>
      <c r="N2439" s="1639">
        <v>1.6646742043761666</v>
      </c>
      <c r="O2439" s="1639"/>
    </row>
    <row r="2440" spans="11:15">
      <c r="K2440" s="1636">
        <v>44497</v>
      </c>
      <c r="L2440" s="1637" t="s">
        <v>1650</v>
      </c>
      <c r="M2440" s="1638">
        <v>2.9256000000000001E-2</v>
      </c>
      <c r="N2440" s="1639">
        <v>1.6651612214613991</v>
      </c>
      <c r="O2440" s="1639"/>
    </row>
    <row r="2441" spans="11:15">
      <c r="K2441" s="1636">
        <v>44498</v>
      </c>
      <c r="L2441" s="1637" t="s">
        <v>1650</v>
      </c>
      <c r="M2441" s="1638">
        <v>2.9256000000000001E-2</v>
      </c>
      <c r="N2441" s="1639">
        <v>1.66564838102835</v>
      </c>
      <c r="O2441" s="1639"/>
    </row>
    <row r="2442" spans="11:15">
      <c r="K2442" s="1636">
        <v>44499</v>
      </c>
      <c r="L2442" s="1637"/>
      <c r="M2442" s="1638">
        <v>0</v>
      </c>
      <c r="N2442" s="1639">
        <v>1.66564838102835</v>
      </c>
      <c r="O2442" s="1639"/>
    </row>
    <row r="2443" spans="11:15">
      <c r="K2443" s="1636">
        <v>44500</v>
      </c>
      <c r="L2443" s="1637"/>
      <c r="M2443" s="1638">
        <v>0</v>
      </c>
      <c r="N2443" s="1639">
        <v>1.66564838102835</v>
      </c>
      <c r="O2443" s="1639"/>
    </row>
    <row r="2444" spans="11:15">
      <c r="K2444" s="1636">
        <v>44501</v>
      </c>
      <c r="L2444" s="1637" t="s">
        <v>1650</v>
      </c>
      <c r="M2444" s="1638">
        <v>2.9256000000000001E-2</v>
      </c>
      <c r="N2444" s="1639">
        <v>1.6661356831187037</v>
      </c>
      <c r="O2444" s="1639"/>
    </row>
    <row r="2445" spans="11:15">
      <c r="K2445" s="1636">
        <v>44502</v>
      </c>
      <c r="L2445" s="1637"/>
      <c r="M2445" s="1638">
        <v>0</v>
      </c>
      <c r="N2445" s="1639">
        <v>1.6661356831187037</v>
      </c>
      <c r="O2445" s="1639"/>
    </row>
    <row r="2446" spans="11:15">
      <c r="K2446" s="1636">
        <v>44503</v>
      </c>
      <c r="L2446" s="1637" t="s">
        <v>1650</v>
      </c>
      <c r="M2446" s="1638">
        <v>2.9256000000000001E-2</v>
      </c>
      <c r="N2446" s="1639">
        <v>1.6666231277741572</v>
      </c>
      <c r="O2446" s="1639"/>
    </row>
    <row r="2447" spans="11:15">
      <c r="K2447" s="1636">
        <v>44504</v>
      </c>
      <c r="L2447" s="1637" t="s">
        <v>1650</v>
      </c>
      <c r="M2447" s="1638">
        <v>2.9256000000000001E-2</v>
      </c>
      <c r="N2447" s="1639">
        <v>1.6671107150364191</v>
      </c>
      <c r="O2447" s="1639"/>
    </row>
    <row r="2448" spans="11:15">
      <c r="K2448" s="1636">
        <v>44505</v>
      </c>
      <c r="L2448" s="1637" t="s">
        <v>1650</v>
      </c>
      <c r="M2448" s="1638">
        <v>2.9256000000000001E-2</v>
      </c>
      <c r="N2448" s="1639">
        <v>1.6675984449472103</v>
      </c>
      <c r="O2448" s="1639"/>
    </row>
    <row r="2449" spans="11:15">
      <c r="K2449" s="1636">
        <v>44506</v>
      </c>
      <c r="L2449" s="1637"/>
      <c r="M2449" s="1638">
        <v>0</v>
      </c>
      <c r="N2449" s="1639">
        <v>1.6675984449472103</v>
      </c>
      <c r="O2449" s="1639"/>
    </row>
    <row r="2450" spans="11:15">
      <c r="K2450" s="1636">
        <v>44507</v>
      </c>
      <c r="L2450" s="1637"/>
      <c r="M2450" s="1638">
        <v>0</v>
      </c>
      <c r="N2450" s="1639">
        <v>1.6675984449472103</v>
      </c>
      <c r="O2450" s="1639"/>
    </row>
    <row r="2451" spans="11:15">
      <c r="K2451" s="1636">
        <v>44508</v>
      </c>
      <c r="L2451" s="1637" t="s">
        <v>1650</v>
      </c>
      <c r="M2451" s="1638">
        <v>2.9256000000000001E-2</v>
      </c>
      <c r="N2451" s="1639">
        <v>1.6680863175482643</v>
      </c>
      <c r="O2451" s="1639"/>
    </row>
    <row r="2452" spans="11:15">
      <c r="K2452" s="1636">
        <v>44509</v>
      </c>
      <c r="L2452" s="1637" t="s">
        <v>1650</v>
      </c>
      <c r="M2452" s="1638">
        <v>2.9256000000000001E-2</v>
      </c>
      <c r="N2452" s="1639">
        <v>1.6685743328813265</v>
      </c>
      <c r="O2452" s="1639"/>
    </row>
    <row r="2453" spans="11:15">
      <c r="K2453" s="1636">
        <v>44510</v>
      </c>
      <c r="L2453" s="1637" t="s">
        <v>1650</v>
      </c>
      <c r="M2453" s="1638">
        <v>2.9256000000000001E-2</v>
      </c>
      <c r="N2453" s="1639">
        <v>1.6690624909881544</v>
      </c>
      <c r="O2453" s="1639"/>
    </row>
    <row r="2454" spans="11:15">
      <c r="K2454" s="1636">
        <v>44511</v>
      </c>
      <c r="L2454" s="1637" t="s">
        <v>1650</v>
      </c>
      <c r="M2454" s="1638">
        <v>2.9256000000000001E-2</v>
      </c>
      <c r="N2454" s="1639">
        <v>1.6695507919105181</v>
      </c>
      <c r="O2454" s="1639"/>
    </row>
    <row r="2455" spans="11:15">
      <c r="K2455" s="1636">
        <v>44512</v>
      </c>
      <c r="L2455" s="1637" t="s">
        <v>1650</v>
      </c>
      <c r="M2455" s="1638">
        <v>2.9256000000000001E-2</v>
      </c>
      <c r="N2455" s="1639">
        <v>1.6700392356901996</v>
      </c>
      <c r="O2455" s="1639"/>
    </row>
    <row r="2456" spans="11:15">
      <c r="K2456" s="1636">
        <v>44513</v>
      </c>
      <c r="L2456" s="1637"/>
      <c r="M2456" s="1638">
        <v>0</v>
      </c>
      <c r="N2456" s="1639">
        <v>1.6700392356901996</v>
      </c>
      <c r="O2456" s="1639"/>
    </row>
    <row r="2457" spans="11:15">
      <c r="K2457" s="1636">
        <v>44514</v>
      </c>
      <c r="L2457" s="1637"/>
      <c r="M2457" s="1638">
        <v>0</v>
      </c>
      <c r="N2457" s="1639">
        <v>1.6700392356901996</v>
      </c>
      <c r="O2457" s="1639"/>
    </row>
    <row r="2458" spans="11:15">
      <c r="K2458" s="1636">
        <v>44515</v>
      </c>
      <c r="L2458" s="1637"/>
      <c r="M2458" s="1638">
        <v>0</v>
      </c>
      <c r="N2458" s="1639">
        <v>1.6700392356901996</v>
      </c>
      <c r="O2458" s="1639"/>
    </row>
    <row r="2459" spans="11:15">
      <c r="K2459" s="1636">
        <v>44516</v>
      </c>
      <c r="L2459" s="1637" t="s">
        <v>1650</v>
      </c>
      <c r="M2459" s="1638">
        <v>2.9256000000000001E-2</v>
      </c>
      <c r="N2459" s="1639">
        <v>1.6705278223689934</v>
      </c>
      <c r="O2459" s="1639"/>
    </row>
    <row r="2460" spans="11:15">
      <c r="K2460" s="1636">
        <v>44517</v>
      </c>
      <c r="L2460" s="1637" t="s">
        <v>1650</v>
      </c>
      <c r="M2460" s="1638">
        <v>2.9256000000000001E-2</v>
      </c>
      <c r="N2460" s="1639">
        <v>1.6710165519887059</v>
      </c>
      <c r="O2460" s="1639"/>
    </row>
    <row r="2461" spans="11:15">
      <c r="K2461" s="1636">
        <v>44518</v>
      </c>
      <c r="L2461" s="1637" t="s">
        <v>1650</v>
      </c>
      <c r="M2461" s="1638">
        <v>2.9256000000000001E-2</v>
      </c>
      <c r="N2461" s="1639">
        <v>1.6715054245911558</v>
      </c>
      <c r="O2461" s="1639"/>
    </row>
    <row r="2462" spans="11:15">
      <c r="K2462" s="1636">
        <v>44519</v>
      </c>
      <c r="L2462" s="1637" t="s">
        <v>1650</v>
      </c>
      <c r="M2462" s="1638">
        <v>2.9256000000000001E-2</v>
      </c>
      <c r="N2462" s="1639">
        <v>1.6719944402181743</v>
      </c>
      <c r="O2462" s="1639"/>
    </row>
    <row r="2463" spans="11:15">
      <c r="K2463" s="1636">
        <v>44520</v>
      </c>
      <c r="L2463" s="1637"/>
      <c r="M2463" s="1638">
        <v>0</v>
      </c>
      <c r="N2463" s="1639">
        <v>1.6719944402181743</v>
      </c>
      <c r="O2463" s="1639"/>
    </row>
    <row r="2464" spans="11:15">
      <c r="K2464" s="1636">
        <v>44521</v>
      </c>
      <c r="L2464" s="1637"/>
      <c r="M2464" s="1638">
        <v>0</v>
      </c>
      <c r="N2464" s="1639">
        <v>1.6719944402181743</v>
      </c>
      <c r="O2464" s="1639"/>
    </row>
    <row r="2465" spans="11:15">
      <c r="K2465" s="1636">
        <v>44522</v>
      </c>
      <c r="L2465" s="1637" t="s">
        <v>1650</v>
      </c>
      <c r="M2465" s="1638">
        <v>2.9256000000000001E-2</v>
      </c>
      <c r="N2465" s="1639">
        <v>1.6724835989116047</v>
      </c>
      <c r="O2465" s="1639"/>
    </row>
    <row r="2466" spans="11:15">
      <c r="K2466" s="1636">
        <v>44523</v>
      </c>
      <c r="L2466" s="1637" t="s">
        <v>1650</v>
      </c>
      <c r="M2466" s="1638">
        <v>2.9256000000000001E-2</v>
      </c>
      <c r="N2466" s="1639">
        <v>1.6729729007133025</v>
      </c>
      <c r="O2466" s="1639"/>
    </row>
    <row r="2467" spans="11:15">
      <c r="K2467" s="1636">
        <v>44524</v>
      </c>
      <c r="L2467" s="1637" t="s">
        <v>1650</v>
      </c>
      <c r="M2467" s="1638">
        <v>2.9256000000000001E-2</v>
      </c>
      <c r="N2467" s="1639">
        <v>1.6734623456651354</v>
      </c>
      <c r="O2467" s="1639"/>
    </row>
    <row r="2468" spans="11:15">
      <c r="K2468" s="1636">
        <v>44525</v>
      </c>
      <c r="L2468" s="1637" t="s">
        <v>1650</v>
      </c>
      <c r="M2468" s="1638">
        <v>2.9256000000000001E-2</v>
      </c>
      <c r="N2468" s="1639">
        <v>1.6739519338089834</v>
      </c>
      <c r="O2468" s="1639"/>
    </row>
    <row r="2469" spans="11:15">
      <c r="K2469" s="1636">
        <v>44526</v>
      </c>
      <c r="L2469" s="1637" t="s">
        <v>1650</v>
      </c>
      <c r="M2469" s="1638">
        <v>2.9256000000000001E-2</v>
      </c>
      <c r="N2469" s="1639">
        <v>1.6744416651867389</v>
      </c>
      <c r="O2469" s="1639"/>
    </row>
    <row r="2470" spans="11:15">
      <c r="K2470" s="1636">
        <v>44527</v>
      </c>
      <c r="L2470" s="1637"/>
      <c r="M2470" s="1638">
        <v>0</v>
      </c>
      <c r="N2470" s="1639">
        <v>1.6744416651867389</v>
      </c>
      <c r="O2470" s="1639"/>
    </row>
    <row r="2471" spans="11:15">
      <c r="K2471" s="1636">
        <v>44528</v>
      </c>
      <c r="L2471" s="1637"/>
      <c r="M2471" s="1638">
        <v>0</v>
      </c>
      <c r="N2471" s="1639">
        <v>1.6744416651867389</v>
      </c>
      <c r="O2471" s="1639"/>
    </row>
    <row r="2472" spans="11:15">
      <c r="K2472" s="1636">
        <v>44529</v>
      </c>
      <c r="L2472" s="1637" t="s">
        <v>1650</v>
      </c>
      <c r="M2472" s="1638">
        <v>2.9256000000000001E-2</v>
      </c>
      <c r="N2472" s="1639">
        <v>1.6749315398403062</v>
      </c>
      <c r="O2472" s="1639"/>
    </row>
    <row r="2473" spans="11:15">
      <c r="K2473" s="1636">
        <v>44530</v>
      </c>
      <c r="L2473" s="1637" t="s">
        <v>1650</v>
      </c>
      <c r="M2473" s="1638">
        <v>2.9256000000000001E-2</v>
      </c>
      <c r="N2473" s="1639">
        <v>1.6754215578116021</v>
      </c>
      <c r="O2473" s="1639"/>
    </row>
    <row r="2474" spans="11:15">
      <c r="K2474" s="1636">
        <v>44531</v>
      </c>
      <c r="L2474" s="1637" t="s">
        <v>1650</v>
      </c>
      <c r="M2474" s="1638">
        <v>2.9256000000000001E-2</v>
      </c>
      <c r="N2474" s="1639">
        <v>1.6759117191425557</v>
      </c>
      <c r="O2474" s="1639"/>
    </row>
    <row r="2475" spans="11:15">
      <c r="K2475" s="1636">
        <v>44532</v>
      </c>
      <c r="L2475" s="1637" t="s">
        <v>1650</v>
      </c>
      <c r="M2475" s="1638">
        <v>2.9256000000000001E-2</v>
      </c>
      <c r="N2475" s="1639">
        <v>1.6764020238751083</v>
      </c>
      <c r="O2475" s="1639"/>
    </row>
    <row r="2476" spans="11:15">
      <c r="K2476" s="1636">
        <v>44533</v>
      </c>
      <c r="L2476" s="1637" t="s">
        <v>1650</v>
      </c>
      <c r="M2476" s="1638">
        <v>2.9256000000000001E-2</v>
      </c>
      <c r="N2476" s="1639">
        <v>1.6768924720512133</v>
      </c>
      <c r="O2476" s="1639"/>
    </row>
    <row r="2477" spans="11:15">
      <c r="K2477" s="1636">
        <v>44534</v>
      </c>
      <c r="L2477" s="1637"/>
      <c r="M2477" s="1638">
        <v>0</v>
      </c>
      <c r="N2477" s="1639">
        <v>1.6768924720512133</v>
      </c>
      <c r="O2477" s="1639"/>
    </row>
    <row r="2478" spans="11:15">
      <c r="K2478" s="1636">
        <v>44535</v>
      </c>
      <c r="L2478" s="1637"/>
      <c r="M2478" s="1638">
        <v>0</v>
      </c>
      <c r="N2478" s="1639">
        <v>1.6768924720512133</v>
      </c>
      <c r="O2478" s="1639"/>
    </row>
    <row r="2479" spans="11:15">
      <c r="K2479" s="1636">
        <v>44536</v>
      </c>
      <c r="L2479" s="1637" t="s">
        <v>1650</v>
      </c>
      <c r="M2479" s="1638">
        <v>2.9256000000000001E-2</v>
      </c>
      <c r="N2479" s="1639">
        <v>1.6773830637128369</v>
      </c>
      <c r="O2479" s="1639"/>
    </row>
    <row r="2480" spans="11:15">
      <c r="K2480" s="1636">
        <v>44537</v>
      </c>
      <c r="L2480" s="1637" t="s">
        <v>1650</v>
      </c>
      <c r="M2480" s="1638">
        <v>2.9256000000000001E-2</v>
      </c>
      <c r="N2480" s="1639">
        <v>1.6778737989019568</v>
      </c>
      <c r="O2480" s="1639"/>
    </row>
    <row r="2481" spans="11:15">
      <c r="K2481" s="1636">
        <v>44538</v>
      </c>
      <c r="L2481" s="1637" t="s">
        <v>1650</v>
      </c>
      <c r="M2481" s="1638">
        <v>2.9256000000000001E-2</v>
      </c>
      <c r="N2481" s="1639">
        <v>1.6783646776605636</v>
      </c>
      <c r="O2481" s="1639"/>
    </row>
    <row r="2482" spans="11:15">
      <c r="K2482" s="1636">
        <v>44539</v>
      </c>
      <c r="L2482" s="1637" t="s">
        <v>1650</v>
      </c>
      <c r="M2482" s="1638">
        <v>3.4749000000000002E-2</v>
      </c>
      <c r="N2482" s="1639">
        <v>1.678947892602404</v>
      </c>
      <c r="O2482" s="1639"/>
    </row>
    <row r="2483" spans="11:15">
      <c r="K2483" s="1636">
        <v>44540</v>
      </c>
      <c r="L2483" s="1637" t="s">
        <v>1650</v>
      </c>
      <c r="M2483" s="1638">
        <v>3.4749000000000002E-2</v>
      </c>
      <c r="N2483" s="1639">
        <v>1.6795313102056044</v>
      </c>
      <c r="O2483" s="1639"/>
    </row>
    <row r="2484" spans="11:15">
      <c r="K2484" s="1636">
        <v>44541</v>
      </c>
      <c r="L2484" s="1637"/>
      <c r="M2484" s="1638">
        <v>0</v>
      </c>
      <c r="N2484" s="1639">
        <v>1.6795313102056044</v>
      </c>
      <c r="O2484" s="1639"/>
    </row>
    <row r="2485" spans="11:15">
      <c r="K2485" s="1636">
        <v>44542</v>
      </c>
      <c r="L2485" s="1637"/>
      <c r="M2485" s="1638">
        <v>0</v>
      </c>
      <c r="N2485" s="1639">
        <v>1.6795313102056044</v>
      </c>
      <c r="O2485" s="1639"/>
    </row>
    <row r="2486" spans="11:15">
      <c r="K2486" s="1636">
        <v>44543</v>
      </c>
      <c r="L2486" s="1637" t="s">
        <v>1650</v>
      </c>
      <c r="M2486" s="1638">
        <v>3.4749000000000002E-2</v>
      </c>
      <c r="N2486" s="1639">
        <v>1.6801149305405878</v>
      </c>
      <c r="O2486" s="1639"/>
    </row>
    <row r="2487" spans="11:15">
      <c r="K2487" s="1636">
        <v>44544</v>
      </c>
      <c r="L2487" s="1637" t="s">
        <v>1650</v>
      </c>
      <c r="M2487" s="1638">
        <v>3.4749000000000002E-2</v>
      </c>
      <c r="N2487" s="1639">
        <v>1.6806987536778013</v>
      </c>
      <c r="O2487" s="1639"/>
    </row>
    <row r="2488" spans="11:15">
      <c r="K2488" s="1636">
        <v>44545</v>
      </c>
      <c r="L2488" s="1637" t="s">
        <v>1650</v>
      </c>
      <c r="M2488" s="1638">
        <v>3.4749000000000002E-2</v>
      </c>
      <c r="N2488" s="1639">
        <v>1.6812827796877168</v>
      </c>
      <c r="O2488" s="1639"/>
    </row>
    <row r="2489" spans="11:15">
      <c r="K2489" s="1636">
        <v>44546</v>
      </c>
      <c r="L2489" s="1637" t="s">
        <v>1650</v>
      </c>
      <c r="M2489" s="1638">
        <v>3.4749000000000002E-2</v>
      </c>
      <c r="N2489" s="1639">
        <v>1.6818670086408305</v>
      </c>
      <c r="O2489" s="1639"/>
    </row>
    <row r="2490" spans="11:15">
      <c r="K2490" s="1636">
        <v>44547</v>
      </c>
      <c r="L2490" s="1637" t="s">
        <v>1650</v>
      </c>
      <c r="M2490" s="1638">
        <v>3.4749000000000002E-2</v>
      </c>
      <c r="N2490" s="1639">
        <v>1.6824514406076632</v>
      </c>
      <c r="O2490" s="1639"/>
    </row>
    <row r="2491" spans="11:15">
      <c r="K2491" s="1636">
        <v>44548</v>
      </c>
      <c r="L2491" s="1637"/>
      <c r="M2491" s="1638">
        <v>0</v>
      </c>
      <c r="N2491" s="1639">
        <v>1.6824514406076632</v>
      </c>
      <c r="O2491" s="1639"/>
    </row>
    <row r="2492" spans="11:15">
      <c r="K2492" s="1636">
        <v>44549</v>
      </c>
      <c r="L2492" s="1637"/>
      <c r="M2492" s="1638">
        <v>0</v>
      </c>
      <c r="N2492" s="1639">
        <v>1.6824514406076632</v>
      </c>
      <c r="O2492" s="1639"/>
    </row>
    <row r="2493" spans="11:15">
      <c r="K2493" s="1636">
        <v>44550</v>
      </c>
      <c r="L2493" s="1637" t="s">
        <v>1650</v>
      </c>
      <c r="M2493" s="1638">
        <v>3.4749000000000002E-2</v>
      </c>
      <c r="N2493" s="1639">
        <v>1.6830360756587599</v>
      </c>
      <c r="O2493" s="1639"/>
    </row>
    <row r="2494" spans="11:15">
      <c r="K2494" s="1636">
        <v>44551</v>
      </c>
      <c r="L2494" s="1637" t="s">
        <v>1650</v>
      </c>
      <c r="M2494" s="1638">
        <v>3.4749000000000002E-2</v>
      </c>
      <c r="N2494" s="1639">
        <v>1.6836209138646905</v>
      </c>
      <c r="O2494" s="1639"/>
    </row>
    <row r="2495" spans="11:15">
      <c r="K2495" s="1636">
        <v>44552</v>
      </c>
      <c r="L2495" s="1637" t="s">
        <v>1650</v>
      </c>
      <c r="M2495" s="1638">
        <v>3.4749000000000002E-2</v>
      </c>
      <c r="N2495" s="1639">
        <v>1.6842059552960493</v>
      </c>
      <c r="O2495" s="1639"/>
    </row>
    <row r="2496" spans="11:15">
      <c r="K2496" s="1636">
        <v>44553</v>
      </c>
      <c r="L2496" s="1637" t="s">
        <v>1650</v>
      </c>
      <c r="M2496" s="1638">
        <v>3.4749000000000002E-2</v>
      </c>
      <c r="N2496" s="1639">
        <v>1.6847912000234551</v>
      </c>
      <c r="O2496" s="1639"/>
    </row>
    <row r="2497" spans="11:15">
      <c r="K2497" s="1636">
        <v>44554</v>
      </c>
      <c r="L2497" s="1637" t="s">
        <v>1650</v>
      </c>
      <c r="M2497" s="1638">
        <v>3.4749000000000002E-2</v>
      </c>
      <c r="N2497" s="1639">
        <v>1.6853766481175512</v>
      </c>
      <c r="O2497" s="1639"/>
    </row>
    <row r="2498" spans="11:15">
      <c r="K2498" s="1636">
        <v>44555</v>
      </c>
      <c r="L2498" s="1637"/>
      <c r="M2498" s="1638">
        <v>0</v>
      </c>
      <c r="N2498" s="1639">
        <v>1.6853766481175512</v>
      </c>
      <c r="O2498" s="1639"/>
    </row>
    <row r="2499" spans="11:15">
      <c r="K2499" s="1636">
        <v>44556</v>
      </c>
      <c r="L2499" s="1637"/>
      <c r="M2499" s="1638">
        <v>0</v>
      </c>
      <c r="N2499" s="1639">
        <v>1.6853766481175512</v>
      </c>
      <c r="O2499" s="1639"/>
    </row>
    <row r="2500" spans="11:15">
      <c r="K2500" s="1636">
        <v>44557</v>
      </c>
      <c r="L2500" s="1637" t="s">
        <v>1650</v>
      </c>
      <c r="M2500" s="1638">
        <v>3.4749000000000002E-2</v>
      </c>
      <c r="N2500" s="1639">
        <v>1.6859622996490056</v>
      </c>
      <c r="O2500" s="1639"/>
    </row>
    <row r="2501" spans="11:15">
      <c r="K2501" s="1636">
        <v>44558</v>
      </c>
      <c r="L2501" s="1637" t="s">
        <v>1650</v>
      </c>
      <c r="M2501" s="1638">
        <v>3.4749000000000002E-2</v>
      </c>
      <c r="N2501" s="1639">
        <v>1.6865481546885106</v>
      </c>
      <c r="O2501" s="1639"/>
    </row>
    <row r="2502" spans="11:15">
      <c r="K2502" s="1636">
        <v>44559</v>
      </c>
      <c r="L2502" s="1637" t="s">
        <v>1650</v>
      </c>
      <c r="M2502" s="1638">
        <v>3.4749000000000002E-2</v>
      </c>
      <c r="N2502" s="1639">
        <v>1.6871342133067833</v>
      </c>
      <c r="O2502" s="1639"/>
    </row>
    <row r="2503" spans="11:15">
      <c r="K2503" s="1636">
        <v>44560</v>
      </c>
      <c r="L2503" s="1637" t="s">
        <v>1650</v>
      </c>
      <c r="M2503" s="1638">
        <v>3.4749000000000002E-2</v>
      </c>
      <c r="N2503" s="1639">
        <v>1.6877204755745652</v>
      </c>
      <c r="O2503" s="1639"/>
    </row>
    <row r="2504" spans="11:15">
      <c r="K2504" s="1636">
        <v>44561</v>
      </c>
      <c r="L2504" s="1637" t="s">
        <v>1650</v>
      </c>
      <c r="M2504" s="1638">
        <v>3.4749000000000002E-2</v>
      </c>
      <c r="N2504" s="1639">
        <v>1.6883069415626226</v>
      </c>
      <c r="O2504" s="1639"/>
    </row>
    <row r="2505" spans="11:15">
      <c r="K2505" s="1636">
        <v>44562</v>
      </c>
      <c r="L2505" s="1637"/>
      <c r="M2505" s="1638">
        <v>0</v>
      </c>
      <c r="N2505" s="1639">
        <v>1.6883069415626226</v>
      </c>
      <c r="O2505" s="1639"/>
    </row>
    <row r="2506" spans="11:15">
      <c r="K2506" s="1636">
        <v>44563</v>
      </c>
      <c r="L2506" s="1637"/>
      <c r="M2506" s="1638">
        <v>0</v>
      </c>
      <c r="N2506" s="1639">
        <v>1.6883069415626226</v>
      </c>
      <c r="O2506" s="1639"/>
    </row>
    <row r="2507" spans="11:15">
      <c r="K2507" s="1636">
        <v>44564</v>
      </c>
      <c r="L2507" s="1637" t="s">
        <v>1650</v>
      </c>
      <c r="M2507" s="1638">
        <v>3.4749000000000002E-2</v>
      </c>
      <c r="N2507" s="1639">
        <v>1.6888936113417463</v>
      </c>
      <c r="O2507" s="1639"/>
    </row>
    <row r="2508" spans="11:15">
      <c r="K2508" s="1636">
        <v>44565</v>
      </c>
      <c r="L2508" s="1637" t="s">
        <v>1650</v>
      </c>
      <c r="M2508" s="1638">
        <v>3.4749000000000002E-2</v>
      </c>
      <c r="N2508" s="1639">
        <v>1.6894804849827514</v>
      </c>
      <c r="O2508" s="1639"/>
    </row>
    <row r="2509" spans="11:15">
      <c r="K2509" s="1636">
        <v>44566</v>
      </c>
      <c r="L2509" s="1637" t="s">
        <v>1650</v>
      </c>
      <c r="M2509" s="1638">
        <v>3.4749000000000002E-2</v>
      </c>
      <c r="N2509" s="1639">
        <v>1.6900675625564781</v>
      </c>
      <c r="O2509" s="1639"/>
    </row>
    <row r="2510" spans="11:15">
      <c r="K2510" s="1636">
        <v>44567</v>
      </c>
      <c r="L2510" s="1637" t="s">
        <v>1650</v>
      </c>
      <c r="M2510" s="1638">
        <v>3.4749000000000002E-2</v>
      </c>
      <c r="N2510" s="1639">
        <v>1.6906548441337907</v>
      </c>
      <c r="O2510" s="1639"/>
    </row>
    <row r="2511" spans="11:15">
      <c r="K2511" s="1636">
        <v>44568</v>
      </c>
      <c r="L2511" s="1637" t="s">
        <v>1650</v>
      </c>
      <c r="M2511" s="1638">
        <v>3.4749000000000002E-2</v>
      </c>
      <c r="N2511" s="1639">
        <v>1.6912423297855788</v>
      </c>
      <c r="O2511" s="1639"/>
    </row>
    <row r="2512" spans="11:15">
      <c r="K2512" s="1636">
        <v>44569</v>
      </c>
      <c r="L2512" s="1637"/>
      <c r="M2512" s="1638">
        <v>0</v>
      </c>
      <c r="N2512" s="1639">
        <v>1.6912423297855788</v>
      </c>
      <c r="O2512" s="1639"/>
    </row>
    <row r="2513" spans="11:15">
      <c r="K2513" s="1636">
        <v>44570</v>
      </c>
      <c r="L2513" s="1637"/>
      <c r="M2513" s="1638">
        <v>0</v>
      </c>
      <c r="N2513" s="1639">
        <v>1.6912423297855788</v>
      </c>
      <c r="O2513" s="1639"/>
    </row>
    <row r="2514" spans="11:15">
      <c r="K2514" s="1636">
        <v>44571</v>
      </c>
      <c r="L2514" s="1637" t="s">
        <v>1650</v>
      </c>
      <c r="M2514" s="1638">
        <v>3.4749000000000002E-2</v>
      </c>
      <c r="N2514" s="1639">
        <v>1.691830019582756</v>
      </c>
      <c r="O2514" s="1639"/>
    </row>
    <row r="2515" spans="11:15">
      <c r="K2515" s="1636">
        <v>44572</v>
      </c>
      <c r="L2515" s="1637" t="s">
        <v>1650</v>
      </c>
      <c r="M2515" s="1638">
        <v>3.4749000000000002E-2</v>
      </c>
      <c r="N2515" s="1639">
        <v>1.6924179135962609</v>
      </c>
      <c r="O2515" s="1639"/>
    </row>
    <row r="2516" spans="11:15">
      <c r="K2516" s="1636">
        <v>44573</v>
      </c>
      <c r="L2516" s="1637" t="s">
        <v>1650</v>
      </c>
      <c r="M2516" s="1638">
        <v>3.4749000000000002E-2</v>
      </c>
      <c r="N2516" s="1639">
        <v>1.6930060118970565</v>
      </c>
      <c r="O2516" s="1639"/>
    </row>
    <row r="2517" spans="11:15">
      <c r="K2517" s="1636">
        <v>44574</v>
      </c>
      <c r="L2517" s="1637" t="s">
        <v>1650</v>
      </c>
      <c r="M2517" s="1638">
        <v>3.4749000000000002E-2</v>
      </c>
      <c r="N2517" s="1639">
        <v>1.6935943145561305</v>
      </c>
      <c r="O2517" s="1639"/>
    </row>
    <row r="2518" spans="11:15">
      <c r="K2518" s="1636">
        <v>44575</v>
      </c>
      <c r="L2518" s="1637" t="s">
        <v>1650</v>
      </c>
      <c r="M2518" s="1638">
        <v>3.4749000000000002E-2</v>
      </c>
      <c r="N2518" s="1639">
        <v>1.6941828216444956</v>
      </c>
      <c r="O2518" s="1639"/>
    </row>
    <row r="2519" spans="11:15">
      <c r="K2519" s="1636">
        <v>44576</v>
      </c>
      <c r="L2519" s="1637"/>
      <c r="M2519" s="1638">
        <v>0</v>
      </c>
      <c r="N2519" s="1639">
        <v>1.6941828216444956</v>
      </c>
      <c r="O2519" s="1639"/>
    </row>
    <row r="2520" spans="11:15">
      <c r="K2520" s="1636">
        <v>44577</v>
      </c>
      <c r="L2520" s="1637"/>
      <c r="M2520" s="1638">
        <v>0</v>
      </c>
      <c r="N2520" s="1639">
        <v>1.6941828216444956</v>
      </c>
      <c r="O2520" s="1639"/>
    </row>
    <row r="2521" spans="11:15">
      <c r="K2521" s="1636">
        <v>44578</v>
      </c>
      <c r="L2521" s="1637" t="s">
        <v>1650</v>
      </c>
      <c r="M2521" s="1638">
        <v>3.4749000000000002E-2</v>
      </c>
      <c r="N2521" s="1639">
        <v>1.694771533233189</v>
      </c>
      <c r="O2521" s="1639"/>
    </row>
    <row r="2522" spans="11:15">
      <c r="K2522" s="1636">
        <v>44579</v>
      </c>
      <c r="L2522" s="1637" t="s">
        <v>1650</v>
      </c>
      <c r="M2522" s="1638">
        <v>3.4749000000000002E-2</v>
      </c>
      <c r="N2522" s="1639">
        <v>1.6953604493932721</v>
      </c>
      <c r="O2522" s="1639"/>
    </row>
    <row r="2523" spans="11:15">
      <c r="K2523" s="1636">
        <v>44580</v>
      </c>
      <c r="L2523" s="1637" t="s">
        <v>1650</v>
      </c>
      <c r="M2523" s="1638">
        <v>3.4749000000000002E-2</v>
      </c>
      <c r="N2523" s="1639">
        <v>1.6959495701958318</v>
      </c>
      <c r="O2523" s="1639"/>
    </row>
    <row r="2524" spans="11:15">
      <c r="K2524" s="1636">
        <v>44581</v>
      </c>
      <c r="L2524" s="1637" t="s">
        <v>1650</v>
      </c>
      <c r="M2524" s="1638">
        <v>3.4749000000000002E-2</v>
      </c>
      <c r="N2524" s="1639">
        <v>1.6965388957119791</v>
      </c>
      <c r="O2524" s="1639"/>
    </row>
    <row r="2525" spans="11:15">
      <c r="K2525" s="1636">
        <v>44582</v>
      </c>
      <c r="L2525" s="1637" t="s">
        <v>1650</v>
      </c>
      <c r="M2525" s="1638">
        <v>3.4749000000000002E-2</v>
      </c>
      <c r="N2525" s="1639">
        <v>1.6971284260128501</v>
      </c>
      <c r="O2525" s="1639"/>
    </row>
    <row r="2526" spans="11:15">
      <c r="K2526" s="1636">
        <v>44583</v>
      </c>
      <c r="L2526" s="1637"/>
      <c r="M2526" s="1638">
        <v>0</v>
      </c>
      <c r="N2526" s="1639">
        <v>1.6971284260128501</v>
      </c>
      <c r="O2526" s="1639"/>
    </row>
    <row r="2527" spans="11:15">
      <c r="K2527" s="1636">
        <v>44584</v>
      </c>
      <c r="L2527" s="1637"/>
      <c r="M2527" s="1638">
        <v>0</v>
      </c>
      <c r="N2527" s="1639">
        <v>1.6971284260128501</v>
      </c>
      <c r="O2527" s="1639"/>
    </row>
    <row r="2528" spans="11:15">
      <c r="K2528" s="1636">
        <v>44585</v>
      </c>
      <c r="L2528" s="1637" t="s">
        <v>1650</v>
      </c>
      <c r="M2528" s="1638">
        <v>3.4749000000000002E-2</v>
      </c>
      <c r="N2528" s="1639">
        <v>1.6977181611696053</v>
      </c>
      <c r="O2528" s="1639"/>
    </row>
    <row r="2529" spans="11:15">
      <c r="K2529" s="1636">
        <v>44586</v>
      </c>
      <c r="L2529" s="1637" t="s">
        <v>1650</v>
      </c>
      <c r="M2529" s="1638">
        <v>3.4749000000000002E-2</v>
      </c>
      <c r="N2529" s="1639">
        <v>1.69830810125343</v>
      </c>
      <c r="O2529" s="1639"/>
    </row>
    <row r="2530" spans="11:15">
      <c r="K2530" s="1636">
        <v>44587</v>
      </c>
      <c r="L2530" s="1637" t="s">
        <v>1650</v>
      </c>
      <c r="M2530" s="1638">
        <v>3.4749000000000002E-2</v>
      </c>
      <c r="N2530" s="1639">
        <v>1.6988982463355347</v>
      </c>
      <c r="O2530" s="1639"/>
    </row>
    <row r="2531" spans="11:15">
      <c r="K2531" s="1636">
        <v>44588</v>
      </c>
      <c r="L2531" s="1637" t="s">
        <v>1650</v>
      </c>
      <c r="M2531" s="1638">
        <v>3.4749000000000002E-2</v>
      </c>
      <c r="N2531" s="1639">
        <v>1.6994885964871538</v>
      </c>
      <c r="O2531" s="1639"/>
    </row>
    <row r="2532" spans="11:15">
      <c r="K2532" s="1636">
        <v>44589</v>
      </c>
      <c r="L2532" s="1637" t="s">
        <v>1650</v>
      </c>
      <c r="M2532" s="1638">
        <v>3.4749000000000002E-2</v>
      </c>
      <c r="N2532" s="1639">
        <v>1.700079151779547</v>
      </c>
      <c r="O2532" s="1639"/>
    </row>
    <row r="2533" spans="11:15">
      <c r="K2533" s="1636">
        <v>44590</v>
      </c>
      <c r="L2533" s="1637"/>
      <c r="M2533" s="1638">
        <v>0</v>
      </c>
      <c r="N2533" s="1639">
        <v>1.700079151779547</v>
      </c>
      <c r="O2533" s="1639"/>
    </row>
    <row r="2534" spans="11:15">
      <c r="K2534" s="1636">
        <v>44591</v>
      </c>
      <c r="L2534" s="1637"/>
      <c r="M2534" s="1638">
        <v>0</v>
      </c>
      <c r="N2534" s="1639">
        <v>1.700079151779547</v>
      </c>
      <c r="O2534" s="1639"/>
    </row>
    <row r="2535" spans="11:15">
      <c r="K2535" s="1636">
        <v>44592</v>
      </c>
      <c r="L2535" s="1637" t="s">
        <v>1650</v>
      </c>
      <c r="M2535" s="1638">
        <v>3.4749000000000002E-2</v>
      </c>
      <c r="N2535" s="1639">
        <v>1.700669912283999</v>
      </c>
      <c r="O2535" s="1639"/>
    </row>
    <row r="2536" spans="11:15">
      <c r="K2536" s="1636">
        <v>44593</v>
      </c>
      <c r="L2536" s="1637" t="s">
        <v>1650</v>
      </c>
      <c r="M2536" s="1638">
        <v>3.4749000000000002E-2</v>
      </c>
      <c r="N2536" s="1639">
        <v>1.7012608780718186</v>
      </c>
      <c r="O2536" s="1639"/>
    </row>
    <row r="2537" spans="11:15">
      <c r="K2537" s="1636">
        <v>44594</v>
      </c>
      <c r="L2537" s="1637" t="s">
        <v>1650</v>
      </c>
      <c r="M2537" s="1638">
        <v>3.4749000000000002E-2</v>
      </c>
      <c r="N2537" s="1639">
        <v>1.7018520492143399</v>
      </c>
      <c r="O2537" s="1639"/>
    </row>
    <row r="2538" spans="11:15">
      <c r="K2538" s="1636">
        <v>44595</v>
      </c>
      <c r="L2538" s="1637" t="s">
        <v>1650</v>
      </c>
      <c r="M2538" s="1638">
        <v>4.0168000000000002E-2</v>
      </c>
      <c r="N2538" s="1639">
        <v>1.7025356491454682</v>
      </c>
      <c r="O2538" s="1639"/>
    </row>
    <row r="2539" spans="11:15">
      <c r="K2539" s="1636">
        <v>44596</v>
      </c>
      <c r="L2539" s="1637" t="s">
        <v>1650</v>
      </c>
      <c r="M2539" s="1638">
        <v>4.0168000000000002E-2</v>
      </c>
      <c r="N2539" s="1639">
        <v>1.7032195236650169</v>
      </c>
      <c r="O2539" s="1639"/>
    </row>
    <row r="2540" spans="11:15">
      <c r="K2540" s="1636">
        <v>44597</v>
      </c>
      <c r="L2540" s="1637"/>
      <c r="M2540" s="1638">
        <v>0</v>
      </c>
      <c r="N2540" s="1639">
        <v>1.7032195236650169</v>
      </c>
      <c r="O2540" s="1639"/>
    </row>
    <row r="2541" spans="11:15">
      <c r="K2541" s="1636">
        <v>44598</v>
      </c>
      <c r="L2541" s="1637"/>
      <c r="M2541" s="1638">
        <v>0</v>
      </c>
      <c r="N2541" s="1639">
        <v>1.7032195236650169</v>
      </c>
      <c r="O2541" s="1639"/>
    </row>
    <row r="2542" spans="11:15">
      <c r="K2542" s="1636">
        <v>44599</v>
      </c>
      <c r="L2542" s="1637" t="s">
        <v>1650</v>
      </c>
      <c r="M2542" s="1638">
        <v>4.0168000000000002E-2</v>
      </c>
      <c r="N2542" s="1639">
        <v>1.7039036728832826</v>
      </c>
      <c r="O2542" s="1639"/>
    </row>
    <row r="2543" spans="11:15">
      <c r="K2543" s="1636">
        <v>44600</v>
      </c>
      <c r="L2543" s="1637" t="s">
        <v>1650</v>
      </c>
      <c r="M2543" s="1638">
        <v>4.0168000000000002E-2</v>
      </c>
      <c r="N2543" s="1639">
        <v>1.7045880969106062</v>
      </c>
      <c r="O2543" s="1639"/>
    </row>
    <row r="2544" spans="11:15">
      <c r="K2544" s="1636">
        <v>44601</v>
      </c>
      <c r="L2544" s="1637" t="s">
        <v>1650</v>
      </c>
      <c r="M2544" s="1638">
        <v>4.0168000000000002E-2</v>
      </c>
      <c r="N2544" s="1639">
        <v>1.7052727958573732</v>
      </c>
      <c r="O2544" s="1639"/>
    </row>
    <row r="2545" spans="11:15">
      <c r="K2545" s="1636">
        <v>44602</v>
      </c>
      <c r="L2545" s="1637" t="s">
        <v>1650</v>
      </c>
      <c r="M2545" s="1638">
        <v>4.0168000000000002E-2</v>
      </c>
      <c r="N2545" s="1639">
        <v>1.7059577698340131</v>
      </c>
      <c r="O2545" s="1639"/>
    </row>
    <row r="2546" spans="11:15">
      <c r="K2546" s="1636">
        <v>44603</v>
      </c>
      <c r="L2546" s="1637" t="s">
        <v>1650</v>
      </c>
      <c r="M2546" s="1638">
        <v>4.0168000000000002E-2</v>
      </c>
      <c r="N2546" s="1639">
        <v>1.706643018951</v>
      </c>
      <c r="O2546" s="1639"/>
    </row>
    <row r="2547" spans="11:15">
      <c r="K2547" s="1636">
        <v>44604</v>
      </c>
      <c r="L2547" s="1637"/>
      <c r="M2547" s="1638">
        <v>0</v>
      </c>
      <c r="N2547" s="1639">
        <v>1.706643018951</v>
      </c>
      <c r="O2547" s="1639"/>
    </row>
    <row r="2548" spans="11:15">
      <c r="K2548" s="1636">
        <v>44605</v>
      </c>
      <c r="L2548" s="1637"/>
      <c r="M2548" s="1638">
        <v>0</v>
      </c>
      <c r="N2548" s="1639">
        <v>1.706643018951</v>
      </c>
      <c r="O2548" s="1639"/>
    </row>
    <row r="2549" spans="11:15">
      <c r="K2549" s="1636">
        <v>44606</v>
      </c>
      <c r="L2549" s="1637" t="s">
        <v>1650</v>
      </c>
      <c r="M2549" s="1638">
        <v>4.0168000000000002E-2</v>
      </c>
      <c r="N2549" s="1639">
        <v>1.7073285433188521</v>
      </c>
      <c r="O2549" s="1639"/>
    </row>
    <row r="2550" spans="11:15">
      <c r="K2550" s="1636">
        <v>44607</v>
      </c>
      <c r="L2550" s="1637" t="s">
        <v>1650</v>
      </c>
      <c r="M2550" s="1638">
        <v>4.0168000000000002E-2</v>
      </c>
      <c r="N2550" s="1639">
        <v>1.7080143430481323</v>
      </c>
      <c r="O2550" s="1639"/>
    </row>
    <row r="2551" spans="11:15">
      <c r="K2551" s="1636">
        <v>44608</v>
      </c>
      <c r="L2551" s="1637" t="s">
        <v>1650</v>
      </c>
      <c r="M2551" s="1638">
        <v>4.0168000000000002E-2</v>
      </c>
      <c r="N2551" s="1639">
        <v>1.7087004182494478</v>
      </c>
      <c r="O2551" s="1639"/>
    </row>
    <row r="2552" spans="11:15">
      <c r="K2552" s="1636">
        <v>44609</v>
      </c>
      <c r="L2552" s="1637" t="s">
        <v>1650</v>
      </c>
      <c r="M2552" s="1638">
        <v>4.0168000000000002E-2</v>
      </c>
      <c r="N2552" s="1639">
        <v>1.7093867690334503</v>
      </c>
      <c r="O2552" s="1639"/>
    </row>
    <row r="2553" spans="11:15">
      <c r="K2553" s="1636">
        <v>44610</v>
      </c>
      <c r="L2553" s="1637" t="s">
        <v>1650</v>
      </c>
      <c r="M2553" s="1638">
        <v>4.0168000000000002E-2</v>
      </c>
      <c r="N2553" s="1639">
        <v>1.7100733955108356</v>
      </c>
      <c r="O2553" s="1639"/>
    </row>
    <row r="2554" spans="11:15">
      <c r="K2554" s="1636">
        <v>44611</v>
      </c>
      <c r="L2554" s="1637"/>
      <c r="M2554" s="1638">
        <v>0</v>
      </c>
      <c r="N2554" s="1639">
        <v>1.7100733955108356</v>
      </c>
      <c r="O2554" s="1639"/>
    </row>
    <row r="2555" spans="11:15">
      <c r="K2555" s="1636">
        <v>44612</v>
      </c>
      <c r="L2555" s="1637"/>
      <c r="M2555" s="1638">
        <v>0</v>
      </c>
      <c r="N2555" s="1639">
        <v>1.7100733955108356</v>
      </c>
      <c r="O2555" s="1639"/>
    </row>
    <row r="2556" spans="11:15">
      <c r="K2556" s="1636">
        <v>44613</v>
      </c>
      <c r="L2556" s="1637" t="s">
        <v>1650</v>
      </c>
      <c r="M2556" s="1638">
        <v>4.0168000000000002E-2</v>
      </c>
      <c r="N2556" s="1639">
        <v>1.7107602977923444</v>
      </c>
      <c r="O2556" s="1639"/>
    </row>
    <row r="2557" spans="11:15">
      <c r="K2557" s="1636">
        <v>44614</v>
      </c>
      <c r="L2557" s="1637" t="s">
        <v>1650</v>
      </c>
      <c r="M2557" s="1638">
        <v>4.0168000000000002E-2</v>
      </c>
      <c r="N2557" s="1639">
        <v>1.7114474759887615</v>
      </c>
      <c r="O2557" s="1639"/>
    </row>
    <row r="2558" spans="11:15">
      <c r="K2558" s="1636">
        <v>44615</v>
      </c>
      <c r="L2558" s="1637" t="s">
        <v>1650</v>
      </c>
      <c r="M2558" s="1638">
        <v>4.0168000000000002E-2</v>
      </c>
      <c r="N2558" s="1639">
        <v>1.7121349302109166</v>
      </c>
      <c r="O2558" s="1639"/>
    </row>
    <row r="2559" spans="11:15">
      <c r="K2559" s="1636">
        <v>44616</v>
      </c>
      <c r="L2559" s="1637" t="s">
        <v>1650</v>
      </c>
      <c r="M2559" s="1638">
        <v>4.0168000000000002E-2</v>
      </c>
      <c r="N2559" s="1639">
        <v>1.7128226605696837</v>
      </c>
      <c r="O2559" s="1639"/>
    </row>
    <row r="2560" spans="11:15">
      <c r="K2560" s="1636">
        <v>44617</v>
      </c>
      <c r="L2560" s="1637" t="s">
        <v>1650</v>
      </c>
      <c r="M2560" s="1638">
        <v>4.0168000000000002E-2</v>
      </c>
      <c r="N2560" s="1639">
        <v>1.7135106671759812</v>
      </c>
      <c r="O2560" s="1639"/>
    </row>
    <row r="2561" spans="11:15">
      <c r="K2561" s="1636">
        <v>44618</v>
      </c>
      <c r="L2561" s="1637"/>
      <c r="M2561" s="1638">
        <v>0</v>
      </c>
      <c r="N2561" s="1639">
        <v>1.7135106671759812</v>
      </c>
      <c r="O2561" s="1639"/>
    </row>
    <row r="2562" spans="11:15">
      <c r="K2562" s="1636">
        <v>44619</v>
      </c>
      <c r="L2562" s="1637"/>
      <c r="M2562" s="1638">
        <v>0</v>
      </c>
      <c r="N2562" s="1639">
        <v>1.7135106671759812</v>
      </c>
      <c r="O2562" s="1639"/>
    </row>
    <row r="2563" spans="11:15">
      <c r="K2563" s="1636">
        <v>44620</v>
      </c>
      <c r="L2563" s="1637"/>
      <c r="M2563" s="1638">
        <v>0</v>
      </c>
      <c r="N2563" s="1639">
        <v>1.7135106671759812</v>
      </c>
      <c r="O2563" s="1639"/>
    </row>
    <row r="2564" spans="11:15">
      <c r="K2564" s="1636">
        <v>44621</v>
      </c>
      <c r="L2564" s="1637"/>
      <c r="M2564" s="1638">
        <v>0</v>
      </c>
      <c r="N2564" s="1639">
        <v>1.7135106671759812</v>
      </c>
      <c r="O2564" s="1639"/>
    </row>
    <row r="2565" spans="11:15">
      <c r="K2565" s="1636">
        <v>44622</v>
      </c>
      <c r="L2565" s="1637" t="s">
        <v>1650</v>
      </c>
      <c r="M2565" s="1638">
        <v>4.0168000000000002E-2</v>
      </c>
      <c r="N2565" s="1639">
        <v>1.7141989501407724</v>
      </c>
      <c r="O2565" s="1639"/>
    </row>
    <row r="2566" spans="11:15">
      <c r="K2566" s="1636">
        <v>44623</v>
      </c>
      <c r="L2566" s="1637" t="s">
        <v>1650</v>
      </c>
      <c r="M2566" s="1638">
        <v>4.0168000000000002E-2</v>
      </c>
      <c r="N2566" s="1639">
        <v>1.7148875095750649</v>
      </c>
      <c r="O2566" s="1639"/>
    </row>
    <row r="2567" spans="11:15">
      <c r="K2567" s="1636">
        <v>44624</v>
      </c>
      <c r="L2567" s="1637" t="s">
        <v>1650</v>
      </c>
      <c r="M2567" s="1638">
        <v>4.0168000000000002E-2</v>
      </c>
      <c r="N2567" s="1639">
        <v>1.7155763455899109</v>
      </c>
      <c r="O2567" s="1639"/>
    </row>
    <row r="2568" spans="11:15">
      <c r="K2568" s="1636">
        <v>44625</v>
      </c>
      <c r="L2568" s="1637"/>
      <c r="M2568" s="1638">
        <v>0</v>
      </c>
      <c r="N2568" s="1639">
        <v>1.7155763455899109</v>
      </c>
      <c r="O2568" s="1639"/>
    </row>
    <row r="2569" spans="11:15">
      <c r="K2569" s="1636">
        <v>44626</v>
      </c>
      <c r="L2569" s="1637"/>
      <c r="M2569" s="1638">
        <v>0</v>
      </c>
      <c r="N2569" s="1639">
        <v>1.7155763455899109</v>
      </c>
      <c r="O2569" s="1639"/>
    </row>
    <row r="2570" spans="11:15">
      <c r="K2570" s="1636">
        <v>44627</v>
      </c>
      <c r="L2570" s="1637" t="s">
        <v>1650</v>
      </c>
      <c r="M2570" s="1638">
        <v>4.0168000000000002E-2</v>
      </c>
      <c r="N2570" s="1639">
        <v>1.7162654582964074</v>
      </c>
      <c r="O2570" s="1639"/>
    </row>
    <row r="2571" spans="11:15">
      <c r="K2571" s="1636">
        <v>44628</v>
      </c>
      <c r="L2571" s="1637" t="s">
        <v>1650</v>
      </c>
      <c r="M2571" s="1638">
        <v>4.0168000000000002E-2</v>
      </c>
      <c r="N2571" s="1639">
        <v>1.716954847805696</v>
      </c>
      <c r="O2571" s="1639"/>
    </row>
    <row r="2572" spans="11:15">
      <c r="K2572" s="1636">
        <v>44629</v>
      </c>
      <c r="L2572" s="1637" t="s">
        <v>1650</v>
      </c>
      <c r="M2572" s="1638">
        <v>4.0168000000000002E-2</v>
      </c>
      <c r="N2572" s="1639">
        <v>1.7176445142289625</v>
      </c>
      <c r="O2572" s="1639"/>
    </row>
    <row r="2573" spans="11:15">
      <c r="K2573" s="1636">
        <v>44630</v>
      </c>
      <c r="L2573" s="1637" t="s">
        <v>1650</v>
      </c>
      <c r="M2573" s="1638">
        <v>4.0168000000000002E-2</v>
      </c>
      <c r="N2573" s="1639">
        <v>1.718334457677438</v>
      </c>
      <c r="O2573" s="1639"/>
    </row>
    <row r="2574" spans="11:15">
      <c r="K2574" s="1636">
        <v>44631</v>
      </c>
      <c r="L2574" s="1637" t="s">
        <v>1650</v>
      </c>
      <c r="M2574" s="1638">
        <v>4.0168000000000002E-2</v>
      </c>
      <c r="N2574" s="1639">
        <v>1.7190246782623977</v>
      </c>
      <c r="O2574" s="1639"/>
    </row>
    <row r="2575" spans="11:15">
      <c r="K2575" s="1636">
        <v>44632</v>
      </c>
      <c r="L2575" s="1637"/>
      <c r="M2575" s="1638">
        <v>0</v>
      </c>
      <c r="N2575" s="1639">
        <v>1.7190246782623977</v>
      </c>
      <c r="O2575" s="1639"/>
    </row>
    <row r="2576" spans="11:15">
      <c r="K2576" s="1636">
        <v>44633</v>
      </c>
      <c r="L2576" s="1637"/>
      <c r="M2576" s="1638">
        <v>0</v>
      </c>
      <c r="N2576" s="1639">
        <v>1.7190246782623977</v>
      </c>
      <c r="O2576" s="1639"/>
    </row>
    <row r="2577" spans="11:15">
      <c r="K2577" s="1636">
        <v>44634</v>
      </c>
      <c r="L2577" s="1637" t="s">
        <v>1650</v>
      </c>
      <c r="M2577" s="1638">
        <v>4.0168000000000002E-2</v>
      </c>
      <c r="N2577" s="1639">
        <v>1.7197151760951621</v>
      </c>
      <c r="O2577" s="1639"/>
    </row>
    <row r="2578" spans="11:15">
      <c r="K2578" s="1636">
        <v>44635</v>
      </c>
      <c r="L2578" s="1637" t="s">
        <v>1650</v>
      </c>
      <c r="M2578" s="1638">
        <v>4.0168000000000002E-2</v>
      </c>
      <c r="N2578" s="1639">
        <v>1.7204059512870959</v>
      </c>
      <c r="O2578" s="1639"/>
    </row>
    <row r="2579" spans="11:15">
      <c r="K2579" s="1636">
        <v>44636</v>
      </c>
      <c r="L2579" s="1637" t="s">
        <v>1650</v>
      </c>
      <c r="M2579" s="1638">
        <v>4.0168000000000002E-2</v>
      </c>
      <c r="N2579" s="1639">
        <v>1.721097003949609</v>
      </c>
      <c r="O2579" s="1639"/>
    </row>
    <row r="2580" spans="11:15">
      <c r="K2580" s="1636">
        <v>44637</v>
      </c>
      <c r="L2580" s="1637" t="s">
        <v>1650</v>
      </c>
      <c r="M2580" s="1638">
        <v>4.3739E-2</v>
      </c>
      <c r="N2580" s="1639">
        <v>1.7218497945681666</v>
      </c>
      <c r="O2580" s="1639"/>
    </row>
    <row r="2581" spans="11:15">
      <c r="K2581" s="1636">
        <v>44638</v>
      </c>
      <c r="L2581" s="1637" t="s">
        <v>1650</v>
      </c>
      <c r="M2581" s="1638">
        <v>4.3739E-2</v>
      </c>
      <c r="N2581" s="1639">
        <v>1.7226029144498129</v>
      </c>
      <c r="O2581" s="1639"/>
    </row>
    <row r="2582" spans="11:15">
      <c r="K2582" s="1636">
        <v>44639</v>
      </c>
      <c r="L2582" s="1637"/>
      <c r="M2582" s="1638">
        <v>0</v>
      </c>
      <c r="N2582" s="1639">
        <v>1.7226029144498129</v>
      </c>
      <c r="O2582" s="1639"/>
    </row>
    <row r="2583" spans="11:15">
      <c r="K2583" s="1636">
        <v>44640</v>
      </c>
      <c r="L2583" s="1637"/>
      <c r="M2583" s="1638">
        <v>0</v>
      </c>
      <c r="N2583" s="1639">
        <v>1.7226029144498129</v>
      </c>
      <c r="O2583" s="1639"/>
    </row>
    <row r="2584" spans="11:15">
      <c r="K2584" s="1636">
        <v>44641</v>
      </c>
      <c r="L2584" s="1637" t="s">
        <v>1650</v>
      </c>
      <c r="M2584" s="1638">
        <v>4.3739E-2</v>
      </c>
      <c r="N2584" s="1639">
        <v>1.7233563637385643</v>
      </c>
      <c r="O2584" s="1639"/>
    </row>
    <row r="2585" spans="11:15">
      <c r="K2585" s="1636">
        <v>44642</v>
      </c>
      <c r="L2585" s="1637" t="s">
        <v>1650</v>
      </c>
      <c r="M2585" s="1638">
        <v>4.3739E-2</v>
      </c>
      <c r="N2585" s="1639">
        <v>1.7241101425785001</v>
      </c>
      <c r="O2585" s="1639"/>
    </row>
    <row r="2586" spans="11:15">
      <c r="K2586" s="1636">
        <v>44643</v>
      </c>
      <c r="L2586" s="1637" t="s">
        <v>1650</v>
      </c>
      <c r="M2586" s="1638">
        <v>4.3739E-2</v>
      </c>
      <c r="N2586" s="1639">
        <v>1.7248642511137626</v>
      </c>
      <c r="O2586" s="1639"/>
    </row>
    <row r="2587" spans="11:15">
      <c r="K2587" s="1636">
        <v>44644</v>
      </c>
      <c r="L2587" s="1637" t="s">
        <v>1650</v>
      </c>
      <c r="M2587" s="1638">
        <v>4.3739E-2</v>
      </c>
      <c r="N2587" s="1639">
        <v>1.7256186894885575</v>
      </c>
      <c r="O2587" s="1639"/>
    </row>
    <row r="2588" spans="11:15">
      <c r="K2588" s="1636">
        <v>44645</v>
      </c>
      <c r="L2588" s="1637" t="s">
        <v>1650</v>
      </c>
      <c r="M2588" s="1638">
        <v>4.3739E-2</v>
      </c>
      <c r="N2588" s="1639">
        <v>1.726373457847153</v>
      </c>
      <c r="O2588" s="1639"/>
    </row>
    <row r="2589" spans="11:15">
      <c r="K2589" s="1636">
        <v>44646</v>
      </c>
      <c r="L2589" s="1637"/>
      <c r="M2589" s="1638">
        <v>0</v>
      </c>
      <c r="N2589" s="1639">
        <v>1.726373457847153</v>
      </c>
      <c r="O2589" s="1639"/>
    </row>
    <row r="2590" spans="11:15">
      <c r="K2590" s="1636">
        <v>44647</v>
      </c>
      <c r="L2590" s="1637"/>
      <c r="M2590" s="1638">
        <v>0</v>
      </c>
      <c r="N2590" s="1639">
        <v>1.726373457847153</v>
      </c>
      <c r="O2590" s="1639"/>
    </row>
    <row r="2591" spans="11:15">
      <c r="K2591" s="1636">
        <v>44648</v>
      </c>
      <c r="L2591" s="1637" t="s">
        <v>1650</v>
      </c>
      <c r="M2591" s="1638">
        <v>4.3739E-2</v>
      </c>
      <c r="N2591" s="1639">
        <v>1.727128556333881</v>
      </c>
      <c r="O2591" s="1639"/>
    </row>
    <row r="2592" spans="11:15">
      <c r="K2592" s="1636">
        <v>44649</v>
      </c>
      <c r="L2592" s="1637" t="s">
        <v>1650</v>
      </c>
      <c r="M2592" s="1638">
        <v>4.3739E-2</v>
      </c>
      <c r="N2592" s="1639">
        <v>1.727883985093136</v>
      </c>
      <c r="O2592" s="1639"/>
    </row>
    <row r="2593" spans="11:15">
      <c r="K2593" s="1636">
        <v>44650</v>
      </c>
      <c r="L2593" s="1637" t="s">
        <v>1650</v>
      </c>
      <c r="M2593" s="1638">
        <v>4.3739E-2</v>
      </c>
      <c r="N2593" s="1639">
        <v>1.7286397442693762</v>
      </c>
      <c r="O2593" s="1639"/>
    </row>
    <row r="2594" spans="11:15">
      <c r="K2594" s="1636">
        <v>44651</v>
      </c>
      <c r="L2594" s="1637" t="s">
        <v>1650</v>
      </c>
      <c r="M2594" s="1638">
        <v>4.3739E-2</v>
      </c>
      <c r="N2594" s="1639">
        <v>1.7293958340071223</v>
      </c>
      <c r="O2594" s="1639"/>
    </row>
    <row r="2595" spans="11:15">
      <c r="K2595" s="1636">
        <v>44652</v>
      </c>
      <c r="L2595" s="1637" t="s">
        <v>1650</v>
      </c>
      <c r="M2595" s="1638">
        <v>4.3739E-2</v>
      </c>
      <c r="N2595" s="1639">
        <v>1.7301522544509589</v>
      </c>
      <c r="O2595" s="1639"/>
    </row>
    <row r="2596" spans="11:15">
      <c r="K2596" s="1636">
        <v>44653</v>
      </c>
      <c r="L2596" s="1637"/>
      <c r="M2596" s="1638">
        <v>0</v>
      </c>
      <c r="N2596" s="1639">
        <v>1.7301522544509589</v>
      </c>
      <c r="O2596" s="1639"/>
    </row>
    <row r="2597" spans="11:15">
      <c r="K2597" s="1636">
        <v>44654</v>
      </c>
      <c r="L2597" s="1637"/>
      <c r="M2597" s="1638">
        <v>0</v>
      </c>
      <c r="N2597" s="1639">
        <v>1.7301522544509589</v>
      </c>
      <c r="O2597" s="1639"/>
    </row>
    <row r="2598" spans="11:15">
      <c r="K2598" s="1636">
        <v>44655</v>
      </c>
      <c r="L2598" s="1637" t="s">
        <v>1650</v>
      </c>
      <c r="M2598" s="1638">
        <v>4.3739E-2</v>
      </c>
      <c r="N2598" s="1639">
        <v>1.7309090057455334</v>
      </c>
      <c r="O2598" s="1639"/>
    </row>
    <row r="2599" spans="11:15">
      <c r="K2599" s="1636">
        <v>44656</v>
      </c>
      <c r="L2599" s="1637" t="s">
        <v>1650</v>
      </c>
      <c r="M2599" s="1638">
        <v>4.3739E-2</v>
      </c>
      <c r="N2599" s="1639">
        <v>1.7316660880355565</v>
      </c>
      <c r="O2599" s="1639"/>
    </row>
    <row r="2600" spans="11:15">
      <c r="K2600" s="1636">
        <v>44657</v>
      </c>
      <c r="L2600" s="1637" t="s">
        <v>1650</v>
      </c>
      <c r="M2600" s="1638">
        <v>4.3739E-2</v>
      </c>
      <c r="N2600" s="1639">
        <v>1.7324235014658025</v>
      </c>
      <c r="O2600" s="1639"/>
    </row>
    <row r="2601" spans="11:15">
      <c r="K2601" s="1636">
        <v>44658</v>
      </c>
      <c r="L2601" s="1637" t="s">
        <v>1650</v>
      </c>
      <c r="M2601" s="1638">
        <v>4.3739E-2</v>
      </c>
      <c r="N2601" s="1639">
        <v>1.7331812461811087</v>
      </c>
      <c r="O2601" s="1639"/>
    </row>
    <row r="2602" spans="11:15">
      <c r="K2602" s="1636">
        <v>44659</v>
      </c>
      <c r="L2602" s="1637" t="s">
        <v>1650</v>
      </c>
      <c r="M2602" s="1638">
        <v>4.3739E-2</v>
      </c>
      <c r="N2602" s="1639">
        <v>1.7339393223263759</v>
      </c>
      <c r="O2602" s="1639"/>
    </row>
    <row r="2603" spans="11:15">
      <c r="K2603" s="1636">
        <v>44660</v>
      </c>
      <c r="L2603" s="1637"/>
      <c r="M2603" s="1638">
        <v>0</v>
      </c>
      <c r="N2603" s="1639">
        <v>1.7339393223263759</v>
      </c>
      <c r="O2603" s="1639"/>
    </row>
    <row r="2604" spans="11:15">
      <c r="K2604" s="1636">
        <v>44661</v>
      </c>
      <c r="L2604" s="1637"/>
      <c r="M2604" s="1638">
        <v>0</v>
      </c>
      <c r="N2604" s="1639">
        <v>1.7339393223263759</v>
      </c>
      <c r="O2604" s="1639"/>
    </row>
    <row r="2605" spans="11:15">
      <c r="K2605" s="1636">
        <v>44662</v>
      </c>
      <c r="L2605" s="1637" t="s">
        <v>1650</v>
      </c>
      <c r="M2605" s="1638">
        <v>4.3739E-2</v>
      </c>
      <c r="N2605" s="1639">
        <v>1.7346977300465685</v>
      </c>
      <c r="O2605" s="1639"/>
    </row>
    <row r="2606" spans="11:15">
      <c r="K2606" s="1636">
        <v>44663</v>
      </c>
      <c r="L2606" s="1637" t="s">
        <v>1650</v>
      </c>
      <c r="M2606" s="1638">
        <v>4.3739E-2</v>
      </c>
      <c r="N2606" s="1639">
        <v>1.7354564694867136</v>
      </c>
      <c r="O2606" s="1639"/>
    </row>
    <row r="2607" spans="11:15">
      <c r="K2607" s="1636">
        <v>44664</v>
      </c>
      <c r="L2607" s="1637" t="s">
        <v>1650</v>
      </c>
      <c r="M2607" s="1638">
        <v>4.3739E-2</v>
      </c>
      <c r="N2607" s="1639">
        <v>1.7362155407919027</v>
      </c>
      <c r="O2607" s="1639"/>
    </row>
    <row r="2608" spans="11:15">
      <c r="K2608" s="1636">
        <v>44665</v>
      </c>
      <c r="L2608" s="1637" t="s">
        <v>1650</v>
      </c>
      <c r="M2608" s="1638">
        <v>4.3739E-2</v>
      </c>
      <c r="N2608" s="1639">
        <v>1.7369749441072897</v>
      </c>
      <c r="O2608" s="1639"/>
    </row>
    <row r="2609" spans="11:15">
      <c r="K2609" s="1636">
        <v>44666</v>
      </c>
      <c r="L2609" s="1637"/>
      <c r="M2609" s="1638">
        <v>0</v>
      </c>
      <c r="N2609" s="1639">
        <v>1.7369749441072897</v>
      </c>
      <c r="O2609" s="1639"/>
    </row>
    <row r="2610" spans="11:15">
      <c r="K2610" s="1636">
        <v>44667</v>
      </c>
      <c r="L2610" s="1637"/>
      <c r="M2610" s="1638">
        <v>0</v>
      </c>
      <c r="N2610" s="1639">
        <v>1.7369749441072897</v>
      </c>
      <c r="O2610" s="1639"/>
    </row>
    <row r="2611" spans="11:15">
      <c r="K2611" s="1636">
        <v>44668</v>
      </c>
      <c r="L2611" s="1637"/>
      <c r="M2611" s="1638">
        <v>0</v>
      </c>
      <c r="N2611" s="1639">
        <v>1.7369749441072897</v>
      </c>
      <c r="O2611" s="1639"/>
    </row>
    <row r="2612" spans="11:15">
      <c r="K2612" s="1636">
        <v>44669</v>
      </c>
      <c r="L2612" s="1637" t="s">
        <v>1650</v>
      </c>
      <c r="M2612" s="1638">
        <v>4.3739E-2</v>
      </c>
      <c r="N2612" s="1639">
        <v>1.737734679578093</v>
      </c>
      <c r="O2612" s="1639"/>
    </row>
    <row r="2613" spans="11:15">
      <c r="K2613" s="1636">
        <v>44670</v>
      </c>
      <c r="L2613" s="1637" t="s">
        <v>1650</v>
      </c>
      <c r="M2613" s="1638">
        <v>4.3739E-2</v>
      </c>
      <c r="N2613" s="1639">
        <v>1.7384947473495937</v>
      </c>
      <c r="O2613" s="1639"/>
    </row>
    <row r="2614" spans="11:15">
      <c r="K2614" s="1636">
        <v>44671</v>
      </c>
      <c r="L2614" s="1637" t="s">
        <v>1650</v>
      </c>
      <c r="M2614" s="1638">
        <v>4.3739E-2</v>
      </c>
      <c r="N2614" s="1639">
        <v>1.7392551475671372</v>
      </c>
      <c r="O2614" s="1639"/>
    </row>
    <row r="2615" spans="11:15">
      <c r="K2615" s="1636">
        <v>44672</v>
      </c>
      <c r="L2615" s="1637"/>
      <c r="M2615" s="1638">
        <v>0</v>
      </c>
      <c r="N2615" s="1639">
        <v>1.7392551475671372</v>
      </c>
      <c r="O2615" s="1639"/>
    </row>
    <row r="2616" spans="11:15">
      <c r="K2616" s="1636">
        <v>44673</v>
      </c>
      <c r="L2616" s="1637" t="s">
        <v>1650</v>
      </c>
      <c r="M2616" s="1638">
        <v>4.3739E-2</v>
      </c>
      <c r="N2616" s="1639">
        <v>1.7400158803761316</v>
      </c>
      <c r="O2616" s="1639"/>
    </row>
    <row r="2617" spans="11:15">
      <c r="K2617" s="1636">
        <v>44674</v>
      </c>
      <c r="L2617" s="1637"/>
      <c r="M2617" s="1638">
        <v>0</v>
      </c>
      <c r="N2617" s="1639">
        <v>1.7400158803761316</v>
      </c>
      <c r="O2617" s="1639"/>
    </row>
    <row r="2618" spans="11:15">
      <c r="K2618" s="1636">
        <v>44675</v>
      </c>
      <c r="L2618" s="1637"/>
      <c r="M2618" s="1638">
        <v>0</v>
      </c>
      <c r="N2618" s="1639">
        <v>1.7400158803761316</v>
      </c>
      <c r="O2618" s="1639"/>
    </row>
    <row r="2619" spans="11:15">
      <c r="K2619" s="1636">
        <v>44676</v>
      </c>
      <c r="L2619" s="1637" t="s">
        <v>1650</v>
      </c>
      <c r="M2619" s="1638">
        <v>4.3739E-2</v>
      </c>
      <c r="N2619" s="1639">
        <v>1.7407769459220495</v>
      </c>
      <c r="O2619" s="1639"/>
    </row>
    <row r="2620" spans="11:15">
      <c r="K2620" s="1636">
        <v>44677</v>
      </c>
      <c r="L2620" s="1637" t="s">
        <v>1650</v>
      </c>
      <c r="M2620" s="1638">
        <v>4.3739E-2</v>
      </c>
      <c r="N2620" s="1639">
        <v>1.7415383443504264</v>
      </c>
      <c r="O2620" s="1639"/>
    </row>
    <row r="2621" spans="11:15">
      <c r="K2621" s="1636">
        <v>44678</v>
      </c>
      <c r="L2621" s="1637" t="s">
        <v>1650</v>
      </c>
      <c r="M2621" s="1638">
        <v>4.3739E-2</v>
      </c>
      <c r="N2621" s="1639">
        <v>1.7423000758068621</v>
      </c>
      <c r="O2621" s="1639"/>
    </row>
    <row r="2622" spans="11:15">
      <c r="K2622" s="1636">
        <v>44679</v>
      </c>
      <c r="L2622" s="1637" t="s">
        <v>1650</v>
      </c>
      <c r="M2622" s="1638">
        <v>4.3739E-2</v>
      </c>
      <c r="N2622" s="1639">
        <v>1.7430621404370195</v>
      </c>
      <c r="O2622" s="1639"/>
    </row>
    <row r="2623" spans="11:15">
      <c r="K2623" s="1636">
        <v>44680</v>
      </c>
      <c r="L2623" s="1637" t="s">
        <v>1650</v>
      </c>
      <c r="M2623" s="1638">
        <v>4.3739E-2</v>
      </c>
      <c r="N2623" s="1639">
        <v>1.7438245383866253</v>
      </c>
      <c r="O2623" s="1639"/>
    </row>
    <row r="2624" spans="11:15">
      <c r="K2624" s="1636">
        <v>44681</v>
      </c>
      <c r="L2624" s="1637"/>
      <c r="M2624" s="1638">
        <v>0</v>
      </c>
      <c r="N2624" s="1639">
        <v>1.7438245383866253</v>
      </c>
      <c r="O2624" s="1639"/>
    </row>
    <row r="2625" spans="11:15">
      <c r="K2625" s="1636">
        <v>44682</v>
      </c>
      <c r="L2625" s="1637"/>
      <c r="M2625" s="1638">
        <v>0</v>
      </c>
      <c r="N2625" s="1639">
        <v>1.7438245383866253</v>
      </c>
      <c r="O2625" s="1639"/>
    </row>
    <row r="2626" spans="11:15">
      <c r="K2626" s="1636">
        <v>44683</v>
      </c>
      <c r="L2626" s="1637" t="s">
        <v>1650</v>
      </c>
      <c r="M2626" s="1638">
        <v>4.3739E-2</v>
      </c>
      <c r="N2626" s="1639">
        <v>1.7445872698014704</v>
      </c>
      <c r="O2626" s="1639"/>
    </row>
    <row r="2627" spans="11:15">
      <c r="K2627" s="1636">
        <v>44684</v>
      </c>
      <c r="L2627" s="1637" t="s">
        <v>1650</v>
      </c>
      <c r="M2627" s="1638">
        <v>4.3739E-2</v>
      </c>
      <c r="N2627" s="1639">
        <v>1.7453503348274091</v>
      </c>
      <c r="O2627" s="1639"/>
    </row>
    <row r="2628" spans="11:15">
      <c r="K2628" s="1636">
        <v>44685</v>
      </c>
      <c r="L2628" s="1637" t="s">
        <v>1650</v>
      </c>
      <c r="M2628" s="1638">
        <v>4.3739E-2</v>
      </c>
      <c r="N2628" s="1639">
        <v>1.7461137336103594</v>
      </c>
      <c r="O2628" s="1639"/>
    </row>
    <row r="2629" spans="11:15">
      <c r="K2629" s="1636">
        <v>44686</v>
      </c>
      <c r="L2629" s="1637" t="s">
        <v>1650</v>
      </c>
      <c r="M2629" s="1638">
        <v>4.7279000000000002E-2</v>
      </c>
      <c r="N2629" s="1639">
        <v>1.7469392787224729</v>
      </c>
      <c r="O2629" s="1639"/>
    </row>
    <row r="2630" spans="11:15">
      <c r="K2630" s="1636">
        <v>44687</v>
      </c>
      <c r="L2630" s="1637" t="s">
        <v>1650</v>
      </c>
      <c r="M2630" s="1638">
        <v>4.7279000000000002E-2</v>
      </c>
      <c r="N2630" s="1639">
        <v>1.7477652141440598</v>
      </c>
      <c r="O2630" s="1639"/>
    </row>
    <row r="2631" spans="11:15">
      <c r="K2631" s="1636">
        <v>44688</v>
      </c>
      <c r="L2631" s="1637"/>
      <c r="M2631" s="1638">
        <v>0</v>
      </c>
      <c r="N2631" s="1639">
        <v>1.7477652141440598</v>
      </c>
      <c r="O2631" s="1639"/>
    </row>
    <row r="2632" spans="11:15">
      <c r="K2632" s="1636">
        <v>44689</v>
      </c>
      <c r="L2632" s="1637"/>
      <c r="M2632" s="1638">
        <v>0</v>
      </c>
      <c r="N2632" s="1639">
        <v>1.7477652141440598</v>
      </c>
      <c r="O2632" s="1639"/>
    </row>
    <row r="2633" spans="11:15">
      <c r="K2633" s="1636">
        <v>44690</v>
      </c>
      <c r="L2633" s="1637" t="s">
        <v>1650</v>
      </c>
      <c r="M2633" s="1638">
        <v>4.7279000000000002E-2</v>
      </c>
      <c r="N2633" s="1639">
        <v>1.7485915400596548</v>
      </c>
      <c r="O2633" s="1639"/>
    </row>
    <row r="2634" spans="11:15">
      <c r="K2634" s="1636">
        <v>44691</v>
      </c>
      <c r="L2634" s="1637" t="s">
        <v>1650</v>
      </c>
      <c r="M2634" s="1638">
        <v>4.7279000000000002E-2</v>
      </c>
      <c r="N2634" s="1639">
        <v>1.7494182566538794</v>
      </c>
      <c r="O2634" s="1639"/>
    </row>
    <row r="2635" spans="11:15">
      <c r="K2635" s="1636">
        <v>44692</v>
      </c>
      <c r="L2635" s="1637" t="s">
        <v>1650</v>
      </c>
      <c r="M2635" s="1638">
        <v>4.7279000000000002E-2</v>
      </c>
      <c r="N2635" s="1639">
        <v>1.7502453641114426</v>
      </c>
      <c r="O2635" s="1639"/>
    </row>
    <row r="2636" spans="11:15">
      <c r="K2636" s="1636">
        <v>44693</v>
      </c>
      <c r="L2636" s="1637" t="s">
        <v>1650</v>
      </c>
      <c r="M2636" s="1638">
        <v>4.7279000000000002E-2</v>
      </c>
      <c r="N2636" s="1639">
        <v>1.7510728626171406</v>
      </c>
      <c r="O2636" s="1639"/>
    </row>
    <row r="2637" spans="11:15">
      <c r="K2637" s="1636">
        <v>44694</v>
      </c>
      <c r="L2637" s="1637" t="s">
        <v>1650</v>
      </c>
      <c r="M2637" s="1638">
        <v>4.7279000000000002E-2</v>
      </c>
      <c r="N2637" s="1639">
        <v>1.7519007523558572</v>
      </c>
      <c r="O2637" s="1639"/>
    </row>
    <row r="2638" spans="11:15">
      <c r="K2638" s="1636">
        <v>44695</v>
      </c>
      <c r="L2638" s="1637"/>
      <c r="M2638" s="1638">
        <v>0</v>
      </c>
      <c r="N2638" s="1639">
        <v>1.7519007523558572</v>
      </c>
      <c r="O2638" s="1639"/>
    </row>
    <row r="2639" spans="11:15">
      <c r="K2639" s="1636">
        <v>44696</v>
      </c>
      <c r="L2639" s="1637"/>
      <c r="M2639" s="1638">
        <v>0</v>
      </c>
      <c r="N2639" s="1639">
        <v>1.7519007523558572</v>
      </c>
      <c r="O2639" s="1639"/>
    </row>
    <row r="2640" spans="11:15">
      <c r="K2640" s="1636">
        <v>44697</v>
      </c>
      <c r="L2640" s="1637" t="s">
        <v>1650</v>
      </c>
      <c r="M2640" s="1638">
        <v>4.7279000000000002E-2</v>
      </c>
      <c r="N2640" s="1639">
        <v>1.7527290335125634</v>
      </c>
      <c r="O2640" s="1639"/>
    </row>
    <row r="2641" spans="11:15">
      <c r="K2641" s="1636">
        <v>44698</v>
      </c>
      <c r="L2641" s="1637" t="s">
        <v>1650</v>
      </c>
      <c r="M2641" s="1638">
        <v>4.7279000000000002E-2</v>
      </c>
      <c r="N2641" s="1639">
        <v>1.7535577062723176</v>
      </c>
      <c r="O2641" s="1639"/>
    </row>
    <row r="2642" spans="11:15">
      <c r="K2642" s="1636">
        <v>44699</v>
      </c>
      <c r="L2642" s="1637" t="s">
        <v>1650</v>
      </c>
      <c r="M2642" s="1638">
        <v>4.7279000000000002E-2</v>
      </c>
      <c r="N2642" s="1639">
        <v>1.7543867708202658</v>
      </c>
      <c r="O2642" s="1639"/>
    </row>
    <row r="2643" spans="11:15">
      <c r="K2643" s="1636">
        <v>44700</v>
      </c>
      <c r="L2643" s="1637" t="s">
        <v>1650</v>
      </c>
      <c r="M2643" s="1638">
        <v>4.7279000000000002E-2</v>
      </c>
      <c r="N2643" s="1639">
        <v>1.7552162273416418</v>
      </c>
      <c r="O2643" s="1639"/>
    </row>
    <row r="2644" spans="11:15">
      <c r="K2644" s="1636">
        <v>44701</v>
      </c>
      <c r="L2644" s="1637" t="s">
        <v>1650</v>
      </c>
      <c r="M2644" s="1638">
        <v>4.7279000000000002E-2</v>
      </c>
      <c r="N2644" s="1639">
        <v>1.7560460760217664</v>
      </c>
      <c r="O2644" s="1639"/>
    </row>
    <row r="2645" spans="11:15">
      <c r="K2645" s="1636">
        <v>44702</v>
      </c>
      <c r="L2645" s="1637"/>
      <c r="M2645" s="1638">
        <v>0</v>
      </c>
      <c r="N2645" s="1639">
        <v>1.7560460760217664</v>
      </c>
      <c r="O2645" s="1639"/>
    </row>
    <row r="2646" spans="11:15">
      <c r="K2646" s="1636">
        <v>44703</v>
      </c>
      <c r="L2646" s="1637"/>
      <c r="M2646" s="1638">
        <v>0</v>
      </c>
      <c r="N2646" s="1639">
        <v>1.7560460760217664</v>
      </c>
      <c r="O2646" s="1639"/>
    </row>
    <row r="2647" spans="11:15">
      <c r="K2647" s="1636">
        <v>44704</v>
      </c>
      <c r="L2647" s="1637" t="s">
        <v>1650</v>
      </c>
      <c r="M2647" s="1638">
        <v>4.7279000000000002E-2</v>
      </c>
      <c r="N2647" s="1639">
        <v>1.7568763170460486</v>
      </c>
      <c r="O2647" s="1639"/>
    </row>
    <row r="2648" spans="11:15">
      <c r="K2648" s="1636">
        <v>44705</v>
      </c>
      <c r="L2648" s="1637" t="s">
        <v>1650</v>
      </c>
      <c r="M2648" s="1638">
        <v>4.7279000000000002E-2</v>
      </c>
      <c r="N2648" s="1639">
        <v>1.7577069505999847</v>
      </c>
      <c r="O2648" s="1639"/>
    </row>
    <row r="2649" spans="11:15">
      <c r="K2649" s="1636">
        <v>44706</v>
      </c>
      <c r="L2649" s="1637" t="s">
        <v>1650</v>
      </c>
      <c r="M2649" s="1638">
        <v>4.7279000000000002E-2</v>
      </c>
      <c r="N2649" s="1639">
        <v>1.7585379768691587</v>
      </c>
      <c r="O2649" s="1639"/>
    </row>
    <row r="2650" spans="11:15">
      <c r="K2650" s="1636">
        <v>44707</v>
      </c>
      <c r="L2650" s="1637" t="s">
        <v>1650</v>
      </c>
      <c r="M2650" s="1638">
        <v>4.7279000000000002E-2</v>
      </c>
      <c r="N2650" s="1639">
        <v>1.7593693960392425</v>
      </c>
      <c r="O2650" s="1639"/>
    </row>
    <row r="2651" spans="11:15">
      <c r="K2651" s="1636">
        <v>44708</v>
      </c>
      <c r="L2651" s="1637" t="s">
        <v>1650</v>
      </c>
      <c r="M2651" s="1638">
        <v>4.7279000000000002E-2</v>
      </c>
      <c r="N2651" s="1639">
        <v>1.7602012082959957</v>
      </c>
      <c r="O2651" s="1639"/>
    </row>
    <row r="2652" spans="11:15">
      <c r="K2652" s="1636">
        <v>44709</v>
      </c>
      <c r="L2652" s="1637"/>
      <c r="M2652" s="1638">
        <v>0</v>
      </c>
      <c r="N2652" s="1639">
        <v>1.7602012082959957</v>
      </c>
      <c r="O2652" s="1639"/>
    </row>
    <row r="2653" spans="11:15">
      <c r="K2653" s="1636">
        <v>44710</v>
      </c>
      <c r="L2653" s="1637"/>
      <c r="M2653" s="1638">
        <v>0</v>
      </c>
      <c r="N2653" s="1639">
        <v>1.7602012082959957</v>
      </c>
      <c r="O2653" s="1639"/>
    </row>
    <row r="2654" spans="11:15">
      <c r="K2654" s="1636">
        <v>44711</v>
      </c>
      <c r="L2654" s="1637" t="s">
        <v>1650</v>
      </c>
      <c r="M2654" s="1638">
        <v>4.7279000000000002E-2</v>
      </c>
      <c r="N2654" s="1639">
        <v>1.7610334138252657</v>
      </c>
      <c r="O2654" s="1639"/>
    </row>
    <row r="2655" spans="11:15">
      <c r="K2655" s="1636">
        <v>44712</v>
      </c>
      <c r="L2655" s="1637" t="s">
        <v>1650</v>
      </c>
      <c r="M2655" s="1638">
        <v>4.7279000000000002E-2</v>
      </c>
      <c r="N2655" s="1639">
        <v>1.7618660128129879</v>
      </c>
      <c r="O2655" s="1639"/>
    </row>
    <row r="2656" spans="11:15">
      <c r="K2656" s="1636">
        <v>44713</v>
      </c>
      <c r="L2656" s="1637" t="s">
        <v>1650</v>
      </c>
      <c r="M2656" s="1638">
        <v>4.7279000000000002E-2</v>
      </c>
      <c r="N2656" s="1639">
        <v>1.7626990054451857</v>
      </c>
      <c r="O2656" s="1639"/>
    </row>
    <row r="2657" spans="11:15">
      <c r="K2657" s="1636">
        <v>44714</v>
      </c>
      <c r="L2657" s="1637" t="s">
        <v>1650</v>
      </c>
      <c r="M2657" s="1638">
        <v>4.7279000000000002E-2</v>
      </c>
      <c r="N2657" s="1639">
        <v>1.76353239190797</v>
      </c>
      <c r="O2657" s="1639"/>
    </row>
    <row r="2658" spans="11:15">
      <c r="K2658" s="1636">
        <v>44715</v>
      </c>
      <c r="L2658" s="1637" t="s">
        <v>1650</v>
      </c>
      <c r="M2658" s="1638">
        <v>4.7279000000000002E-2</v>
      </c>
      <c r="N2658" s="1639">
        <v>1.7643661723875399</v>
      </c>
      <c r="O2658" s="1639"/>
    </row>
    <row r="2659" spans="11:15">
      <c r="K2659" s="1636">
        <v>44716</v>
      </c>
      <c r="L2659" s="1637"/>
      <c r="M2659" s="1638">
        <v>0</v>
      </c>
      <c r="N2659" s="1639">
        <v>1.7643661723875399</v>
      </c>
      <c r="O2659" s="1639"/>
    </row>
    <row r="2660" spans="11:15">
      <c r="K2660" s="1636">
        <v>44717</v>
      </c>
      <c r="L2660" s="1637"/>
      <c r="M2660" s="1638">
        <v>0</v>
      </c>
      <c r="N2660" s="1639">
        <v>1.7643661723875399</v>
      </c>
      <c r="O2660" s="1639"/>
    </row>
    <row r="2661" spans="11:15">
      <c r="K2661" s="1636">
        <v>44718</v>
      </c>
      <c r="L2661" s="1637" t="s">
        <v>1650</v>
      </c>
      <c r="M2661" s="1638">
        <v>4.7279000000000002E-2</v>
      </c>
      <c r="N2661" s="1639">
        <v>1.7652003470701829</v>
      </c>
      <c r="O2661" s="1639"/>
    </row>
    <row r="2662" spans="11:15">
      <c r="K2662" s="1636">
        <v>44719</v>
      </c>
      <c r="L2662" s="1637" t="s">
        <v>1650</v>
      </c>
      <c r="M2662" s="1638">
        <v>4.7279000000000002E-2</v>
      </c>
      <c r="N2662" s="1639">
        <v>1.7660349161422739</v>
      </c>
      <c r="O2662" s="1639"/>
    </row>
    <row r="2663" spans="11:15">
      <c r="K2663" s="1636">
        <v>44720</v>
      </c>
      <c r="L2663" s="1637" t="s">
        <v>1650</v>
      </c>
      <c r="M2663" s="1638">
        <v>4.7279000000000002E-2</v>
      </c>
      <c r="N2663" s="1639">
        <v>1.7668698797902767</v>
      </c>
      <c r="O2663" s="1639"/>
    </row>
    <row r="2664" spans="11:15">
      <c r="K2664" s="1636">
        <v>44721</v>
      </c>
      <c r="L2664" s="1637" t="s">
        <v>1650</v>
      </c>
      <c r="M2664" s="1638">
        <v>4.7279000000000002E-2</v>
      </c>
      <c r="N2664" s="1639">
        <v>1.7677052382007425</v>
      </c>
      <c r="O2664" s="1639"/>
    </row>
    <row r="2665" spans="11:15">
      <c r="K2665" s="1636">
        <v>44722</v>
      </c>
      <c r="L2665" s="1637" t="s">
        <v>1650</v>
      </c>
      <c r="M2665" s="1638">
        <v>4.7279000000000002E-2</v>
      </c>
      <c r="N2665" s="1639">
        <v>1.7685409915603112</v>
      </c>
      <c r="O2665" s="1639"/>
    </row>
    <row r="2666" spans="11:15">
      <c r="K2666" s="1636">
        <v>44723</v>
      </c>
      <c r="L2666" s="1637"/>
      <c r="M2666" s="1638">
        <v>0</v>
      </c>
      <c r="N2666" s="1639">
        <v>1.7685409915603112</v>
      </c>
      <c r="O2666" s="1639"/>
    </row>
    <row r="2667" spans="11:15">
      <c r="K2667" s="1636">
        <v>44724</v>
      </c>
      <c r="L2667" s="1637"/>
      <c r="M2667" s="1638">
        <v>0</v>
      </c>
      <c r="N2667" s="1639">
        <v>1.7685409915603112</v>
      </c>
      <c r="O2667" s="1639"/>
    </row>
    <row r="2668" spans="11:15">
      <c r="K2668" s="1636">
        <v>44725</v>
      </c>
      <c r="L2668" s="1637" t="s">
        <v>1650</v>
      </c>
      <c r="M2668" s="1638">
        <v>4.7279000000000002E-2</v>
      </c>
      <c r="N2668" s="1639">
        <v>1.7693771400557108</v>
      </c>
      <c r="O2668" s="1639"/>
    </row>
    <row r="2669" spans="11:15">
      <c r="K2669" s="1636">
        <v>44726</v>
      </c>
      <c r="L2669" s="1637" t="s">
        <v>1650</v>
      </c>
      <c r="M2669" s="1638">
        <v>4.7279000000000002E-2</v>
      </c>
      <c r="N2669" s="1639">
        <v>1.7702136838737574</v>
      </c>
      <c r="O2669" s="1639"/>
    </row>
    <row r="2670" spans="11:15">
      <c r="K2670" s="1636">
        <v>44727</v>
      </c>
      <c r="L2670" s="1637" t="s">
        <v>1650</v>
      </c>
      <c r="M2670" s="1638">
        <v>4.7279000000000002E-2</v>
      </c>
      <c r="N2670" s="1639">
        <v>1.7710506232013559</v>
      </c>
      <c r="O2670" s="1639"/>
    </row>
    <row r="2671" spans="11:15">
      <c r="K2671" s="1636">
        <v>44728</v>
      </c>
      <c r="L2671" s="1637"/>
      <c r="M2671" s="1638">
        <v>0</v>
      </c>
      <c r="N2671" s="1639">
        <v>1.7710506232013559</v>
      </c>
      <c r="O2671" s="1639"/>
    </row>
    <row r="2672" spans="11:15">
      <c r="K2672" s="1636">
        <v>44729</v>
      </c>
      <c r="L2672" s="1637" t="s">
        <v>1650</v>
      </c>
      <c r="M2672" s="1638">
        <v>4.9036999999999997E-2</v>
      </c>
      <c r="N2672" s="1639">
        <v>1.7719190932954552</v>
      </c>
      <c r="O2672" s="1639"/>
    </row>
    <row r="2673" spans="11:15">
      <c r="K2673" s="1636">
        <v>44730</v>
      </c>
      <c r="L2673" s="1637"/>
      <c r="M2673" s="1638">
        <v>0</v>
      </c>
      <c r="N2673" s="1639">
        <v>1.7719190932954552</v>
      </c>
      <c r="O2673" s="1639"/>
    </row>
    <row r="2674" spans="11:15">
      <c r="K2674" s="1636">
        <v>44731</v>
      </c>
      <c r="L2674" s="1637"/>
      <c r="M2674" s="1638">
        <v>0</v>
      </c>
      <c r="N2674" s="1639">
        <v>1.7719190932954552</v>
      </c>
      <c r="O2674" s="1639"/>
    </row>
    <row r="2675" spans="11:15">
      <c r="K2675" s="1636">
        <v>44732</v>
      </c>
      <c r="L2675" s="1637" t="s">
        <v>1650</v>
      </c>
      <c r="M2675" s="1638">
        <v>4.9036999999999997E-2</v>
      </c>
      <c r="N2675" s="1639">
        <v>1.7727879892612346</v>
      </c>
      <c r="O2675" s="1639"/>
    </row>
    <row r="2676" spans="11:15">
      <c r="K2676" s="1636">
        <v>44733</v>
      </c>
      <c r="L2676" s="1637" t="s">
        <v>1650</v>
      </c>
      <c r="M2676" s="1638">
        <v>4.9036999999999997E-2</v>
      </c>
      <c r="N2676" s="1639">
        <v>1.7736573113075287</v>
      </c>
      <c r="O2676" s="1639"/>
    </row>
    <row r="2677" spans="11:15">
      <c r="K2677" s="1636">
        <v>44734</v>
      </c>
      <c r="L2677" s="1637" t="s">
        <v>1650</v>
      </c>
      <c r="M2677" s="1638">
        <v>4.9036999999999997E-2</v>
      </c>
      <c r="N2677" s="1639">
        <v>1.7745270596432747</v>
      </c>
      <c r="O2677" s="1639"/>
    </row>
    <row r="2678" spans="11:15">
      <c r="K2678" s="1636">
        <v>44735</v>
      </c>
      <c r="L2678" s="1637" t="s">
        <v>1650</v>
      </c>
      <c r="M2678" s="1638">
        <v>4.9036999999999997E-2</v>
      </c>
      <c r="N2678" s="1639">
        <v>1.7753972344775122</v>
      </c>
      <c r="O2678" s="1639"/>
    </row>
    <row r="2679" spans="11:15">
      <c r="K2679" s="1636">
        <v>44736</v>
      </c>
      <c r="L2679" s="1637" t="s">
        <v>1650</v>
      </c>
      <c r="M2679" s="1638">
        <v>4.9036999999999997E-2</v>
      </c>
      <c r="N2679" s="1639">
        <v>1.7762678360193831</v>
      </c>
      <c r="O2679" s="1639"/>
    </row>
    <row r="2680" spans="11:15">
      <c r="K2680" s="1636">
        <v>44737</v>
      </c>
      <c r="L2680" s="1637"/>
      <c r="M2680" s="1638">
        <v>0</v>
      </c>
      <c r="N2680" s="1639">
        <v>1.7762678360193831</v>
      </c>
      <c r="O2680" s="1639"/>
    </row>
    <row r="2681" spans="11:15">
      <c r="K2681" s="1636">
        <v>44738</v>
      </c>
      <c r="L2681" s="1637"/>
      <c r="M2681" s="1638">
        <v>0</v>
      </c>
      <c r="N2681" s="1639">
        <v>1.7762678360193831</v>
      </c>
      <c r="O2681" s="1639"/>
    </row>
    <row r="2682" spans="11:15">
      <c r="K2682" s="1636">
        <v>44739</v>
      </c>
      <c r="L2682" s="1637" t="s">
        <v>1650</v>
      </c>
      <c r="M2682" s="1638">
        <v>4.9036999999999997E-2</v>
      </c>
      <c r="N2682" s="1639">
        <v>1.7771388644781321</v>
      </c>
      <c r="O2682" s="1639"/>
    </row>
    <row r="2683" spans="11:15">
      <c r="K2683" s="1636">
        <v>44740</v>
      </c>
      <c r="L2683" s="1637" t="s">
        <v>1650</v>
      </c>
      <c r="M2683" s="1638">
        <v>4.9036999999999997E-2</v>
      </c>
      <c r="N2683" s="1639">
        <v>1.7780103200631063</v>
      </c>
      <c r="O2683" s="1639"/>
    </row>
    <row r="2684" spans="11:15">
      <c r="K2684" s="1636">
        <v>44741</v>
      </c>
      <c r="L2684" s="1637" t="s">
        <v>1650</v>
      </c>
      <c r="M2684" s="1638">
        <v>4.9036999999999997E-2</v>
      </c>
      <c r="N2684" s="1639">
        <v>1.7788822029837559</v>
      </c>
      <c r="O2684" s="1639"/>
    </row>
    <row r="2685" spans="11:15">
      <c r="K2685" s="1636">
        <v>44742</v>
      </c>
      <c r="L2685" s="1637" t="s">
        <v>1650</v>
      </c>
      <c r="M2685" s="1638">
        <v>4.9036999999999997E-2</v>
      </c>
      <c r="N2685" s="1639">
        <v>1.7797545134496331</v>
      </c>
      <c r="O2685" s="1639"/>
    </row>
    <row r="2686" spans="11:15">
      <c r="K2686" s="1636">
        <v>44743</v>
      </c>
      <c r="L2686" s="1637" t="s">
        <v>1650</v>
      </c>
      <c r="M2686" s="1638">
        <v>4.9036999999999997E-2</v>
      </c>
      <c r="N2686" s="1639">
        <v>1.7806272516703936</v>
      </c>
      <c r="O2686" s="1639"/>
    </row>
    <row r="2687" spans="11:15">
      <c r="K2687" s="1636">
        <v>44744</v>
      </c>
      <c r="L2687" s="1637"/>
      <c r="M2687" s="1638">
        <v>0</v>
      </c>
      <c r="N2687" s="1639">
        <v>1.7806272516703936</v>
      </c>
      <c r="O2687" s="1639"/>
    </row>
    <row r="2688" spans="11:15">
      <c r="K2688" s="1636">
        <v>44745</v>
      </c>
      <c r="L2688" s="1637"/>
      <c r="M2688" s="1638">
        <v>0</v>
      </c>
      <c r="N2688" s="1639">
        <v>1.7806272516703936</v>
      </c>
      <c r="O2688" s="1639"/>
    </row>
    <row r="2689" spans="11:15">
      <c r="K2689" s="1636">
        <v>44746</v>
      </c>
      <c r="L2689" s="1637" t="s">
        <v>1650</v>
      </c>
      <c r="M2689" s="1638">
        <v>4.9036999999999997E-2</v>
      </c>
      <c r="N2689" s="1639">
        <v>1.7815004178557954</v>
      </c>
      <c r="O2689" s="1639"/>
    </row>
    <row r="2690" spans="11:15">
      <c r="K2690" s="1636">
        <v>44747</v>
      </c>
      <c r="L2690" s="1637" t="s">
        <v>1650</v>
      </c>
      <c r="M2690" s="1638">
        <v>4.9036999999999997E-2</v>
      </c>
      <c r="N2690" s="1639">
        <v>1.7823740122156995</v>
      </c>
      <c r="O2690" s="1639"/>
    </row>
    <row r="2691" spans="11:15">
      <c r="K2691" s="1636">
        <v>44748</v>
      </c>
      <c r="L2691" s="1637" t="s">
        <v>1650</v>
      </c>
      <c r="M2691" s="1638">
        <v>4.9036999999999997E-2</v>
      </c>
      <c r="N2691" s="1639">
        <v>1.7832480349600699</v>
      </c>
      <c r="O2691" s="1639"/>
    </row>
    <row r="2692" spans="11:15">
      <c r="K2692" s="1636">
        <v>44749</v>
      </c>
      <c r="L2692" s="1637" t="s">
        <v>1650</v>
      </c>
      <c r="M2692" s="1638">
        <v>4.9036999999999997E-2</v>
      </c>
      <c r="N2692" s="1639">
        <v>1.7841224862989733</v>
      </c>
      <c r="O2692" s="1639"/>
    </row>
    <row r="2693" spans="11:15">
      <c r="K2693" s="1636">
        <v>44750</v>
      </c>
      <c r="L2693" s="1637" t="s">
        <v>1650</v>
      </c>
      <c r="M2693" s="1638">
        <v>4.9036999999999997E-2</v>
      </c>
      <c r="N2693" s="1639">
        <v>1.7849973664425798</v>
      </c>
      <c r="O2693" s="1639"/>
    </row>
    <row r="2694" spans="11:15">
      <c r="K2694" s="1636">
        <v>44751</v>
      </c>
      <c r="L2694" s="1637"/>
      <c r="M2694" s="1638">
        <v>0</v>
      </c>
      <c r="N2694" s="1639">
        <v>1.7849973664425798</v>
      </c>
      <c r="O2694" s="1639"/>
    </row>
    <row r="2695" spans="11:15">
      <c r="K2695" s="1636">
        <v>44752</v>
      </c>
      <c r="L2695" s="1637"/>
      <c r="M2695" s="1638">
        <v>0</v>
      </c>
      <c r="N2695" s="1639">
        <v>1.7849973664425798</v>
      </c>
      <c r="O2695" s="1639"/>
    </row>
    <row r="2696" spans="11:15">
      <c r="K2696" s="1636">
        <v>44753</v>
      </c>
      <c r="L2696" s="1637" t="s">
        <v>1650</v>
      </c>
      <c r="M2696" s="1638">
        <v>4.9036999999999997E-2</v>
      </c>
      <c r="N2696" s="1639">
        <v>1.7858726756011623</v>
      </c>
      <c r="O2696" s="1639"/>
    </row>
    <row r="2697" spans="11:15">
      <c r="K2697" s="1636">
        <v>44754</v>
      </c>
      <c r="L2697" s="1637" t="s">
        <v>1650</v>
      </c>
      <c r="M2697" s="1638">
        <v>4.9036999999999997E-2</v>
      </c>
      <c r="N2697" s="1639">
        <v>1.7867484139850969</v>
      </c>
      <c r="O2697" s="1639"/>
    </row>
    <row r="2698" spans="11:15">
      <c r="K2698" s="1636">
        <v>44755</v>
      </c>
      <c r="L2698" s="1637" t="s">
        <v>1650</v>
      </c>
      <c r="M2698" s="1638">
        <v>4.9036999999999997E-2</v>
      </c>
      <c r="N2698" s="1639">
        <v>1.7876245818048628</v>
      </c>
      <c r="O2698" s="1639"/>
    </row>
    <row r="2699" spans="11:15">
      <c r="K2699" s="1636">
        <v>44756</v>
      </c>
      <c r="L2699" s="1637" t="s">
        <v>1650</v>
      </c>
      <c r="M2699" s="1638">
        <v>4.9036999999999997E-2</v>
      </c>
      <c r="N2699" s="1639">
        <v>1.7885011792710426</v>
      </c>
      <c r="O2699" s="1639"/>
    </row>
    <row r="2700" spans="11:15">
      <c r="K2700" s="1636">
        <v>44757</v>
      </c>
      <c r="L2700" s="1637" t="s">
        <v>1650</v>
      </c>
      <c r="M2700" s="1638">
        <v>4.9036999999999997E-2</v>
      </c>
      <c r="N2700" s="1639">
        <v>1.7893782065943218</v>
      </c>
      <c r="O2700" s="1639"/>
    </row>
    <row r="2701" spans="11:15">
      <c r="K2701" s="1636">
        <v>44758</v>
      </c>
      <c r="L2701" s="1637"/>
      <c r="M2701" s="1638">
        <v>0</v>
      </c>
      <c r="N2701" s="1639">
        <v>1.7893782065943218</v>
      </c>
      <c r="O2701" s="1639"/>
    </row>
    <row r="2702" spans="11:15">
      <c r="K2702" s="1636">
        <v>44759</v>
      </c>
      <c r="L2702" s="1637"/>
      <c r="M2702" s="1638">
        <v>0</v>
      </c>
      <c r="N2702" s="1639">
        <v>1.7893782065943218</v>
      </c>
      <c r="O2702" s="1639"/>
    </row>
    <row r="2703" spans="11:15">
      <c r="K2703" s="1636">
        <v>44760</v>
      </c>
      <c r="L2703" s="1637" t="s">
        <v>1650</v>
      </c>
      <c r="M2703" s="1638">
        <v>4.9036999999999997E-2</v>
      </c>
      <c r="N2703" s="1639">
        <v>1.7902556639854896</v>
      </c>
      <c r="O2703" s="1639"/>
    </row>
    <row r="2704" spans="11:15">
      <c r="K2704" s="1636">
        <v>44761</v>
      </c>
      <c r="L2704" s="1637" t="s">
        <v>1650</v>
      </c>
      <c r="M2704" s="1638">
        <v>4.9036999999999997E-2</v>
      </c>
      <c r="N2704" s="1639">
        <v>1.7911335516554383</v>
      </c>
      <c r="O2704" s="1639"/>
    </row>
    <row r="2705" spans="11:15">
      <c r="K2705" s="1636">
        <v>44762</v>
      </c>
      <c r="L2705" s="1637" t="s">
        <v>1650</v>
      </c>
      <c r="M2705" s="1638">
        <v>4.9036999999999997E-2</v>
      </c>
      <c r="N2705" s="1639">
        <v>1.7920118698151637</v>
      </c>
      <c r="O2705" s="1639"/>
    </row>
    <row r="2706" spans="11:15">
      <c r="K2706" s="1636">
        <v>44763</v>
      </c>
      <c r="L2706" s="1637" t="s">
        <v>1650</v>
      </c>
      <c r="M2706" s="1638">
        <v>4.9036999999999997E-2</v>
      </c>
      <c r="N2706" s="1639">
        <v>1.7928906186757652</v>
      </c>
      <c r="O2706" s="1639"/>
    </row>
    <row r="2707" spans="11:15">
      <c r="K2707" s="1636">
        <v>44764</v>
      </c>
      <c r="L2707" s="1637" t="s">
        <v>1650</v>
      </c>
      <c r="M2707" s="1638">
        <v>4.9036999999999997E-2</v>
      </c>
      <c r="N2707" s="1639">
        <v>1.7937697984484453</v>
      </c>
      <c r="O2707" s="1639"/>
    </row>
    <row r="2708" spans="11:15">
      <c r="K2708" s="1636">
        <v>44765</v>
      </c>
      <c r="L2708" s="1637"/>
      <c r="M2708" s="1638">
        <v>0</v>
      </c>
      <c r="N2708" s="1639">
        <v>1.7937697984484453</v>
      </c>
      <c r="O2708" s="1639"/>
    </row>
    <row r="2709" spans="11:15">
      <c r="K2709" s="1636">
        <v>44766</v>
      </c>
      <c r="L2709" s="1637"/>
      <c r="M2709" s="1638">
        <v>0</v>
      </c>
      <c r="N2709" s="1639">
        <v>1.7937697984484453</v>
      </c>
      <c r="O2709" s="1639"/>
    </row>
    <row r="2710" spans="11:15">
      <c r="K2710" s="1636">
        <v>44767</v>
      </c>
      <c r="L2710" s="1637" t="s">
        <v>1650</v>
      </c>
      <c r="M2710" s="1638">
        <v>4.9036999999999997E-2</v>
      </c>
      <c r="N2710" s="1639">
        <v>1.7946494093445107</v>
      </c>
      <c r="O2710" s="1639"/>
    </row>
    <row r="2711" spans="11:15">
      <c r="K2711" s="1636">
        <v>44768</v>
      </c>
      <c r="L2711" s="1637" t="s">
        <v>1650</v>
      </c>
      <c r="M2711" s="1638">
        <v>4.9036999999999997E-2</v>
      </c>
      <c r="N2711" s="1639">
        <v>1.795529451575371</v>
      </c>
      <c r="O2711" s="1639"/>
    </row>
    <row r="2712" spans="11:15">
      <c r="K2712" s="1636">
        <v>44769</v>
      </c>
      <c r="L2712" s="1637" t="s">
        <v>1650</v>
      </c>
      <c r="M2712" s="1638">
        <v>4.9036999999999997E-2</v>
      </c>
      <c r="N2712" s="1639">
        <v>1.7964099253525401</v>
      </c>
      <c r="O2712" s="1639"/>
    </row>
    <row r="2713" spans="11:15">
      <c r="K2713" s="1636">
        <v>44770</v>
      </c>
      <c r="L2713" s="1637" t="s">
        <v>1650</v>
      </c>
      <c r="M2713" s="1638">
        <v>4.9036999999999997E-2</v>
      </c>
      <c r="N2713" s="1639">
        <v>1.7972908308876354</v>
      </c>
      <c r="O2713" s="1639"/>
    </row>
    <row r="2714" spans="11:15">
      <c r="K2714" s="1636">
        <v>44771</v>
      </c>
      <c r="L2714" s="1637" t="s">
        <v>1650</v>
      </c>
      <c r="M2714" s="1638">
        <v>4.9036999999999997E-2</v>
      </c>
      <c r="N2714" s="1639">
        <v>1.7981721683923779</v>
      </c>
      <c r="O2714" s="1639"/>
    </row>
    <row r="2715" spans="11:15">
      <c r="K2715" s="1636">
        <v>44772</v>
      </c>
      <c r="L2715" s="1637"/>
      <c r="M2715" s="1638">
        <v>0</v>
      </c>
      <c r="N2715" s="1639">
        <v>1.7981721683923779</v>
      </c>
      <c r="O2715" s="1639"/>
    </row>
    <row r="2716" spans="11:15">
      <c r="K2716" s="1636">
        <v>44773</v>
      </c>
      <c r="L2716" s="1637"/>
      <c r="M2716" s="1638">
        <v>0</v>
      </c>
      <c r="N2716" s="1639">
        <v>1.7981721683923779</v>
      </c>
      <c r="O2716" s="1639"/>
    </row>
    <row r="2717" spans="11:15">
      <c r="K2717" s="1636">
        <v>44774</v>
      </c>
      <c r="L2717" s="1637" t="s">
        <v>1650</v>
      </c>
      <c r="M2717" s="1638">
        <v>4.9036999999999997E-2</v>
      </c>
      <c r="N2717" s="1639">
        <v>1.7990539380785926</v>
      </c>
      <c r="O2717" s="1639"/>
    </row>
    <row r="2718" spans="11:15">
      <c r="K2718" s="1636">
        <v>44775</v>
      </c>
      <c r="L2718" s="1637" t="s">
        <v>1650</v>
      </c>
      <c r="M2718" s="1638">
        <v>4.9036999999999997E-2</v>
      </c>
      <c r="N2718" s="1639">
        <v>1.7999361401582084</v>
      </c>
      <c r="O2718" s="1639"/>
    </row>
    <row r="2719" spans="11:15">
      <c r="K2719" s="1636">
        <v>44776</v>
      </c>
      <c r="L2719" s="1637" t="s">
        <v>1650</v>
      </c>
      <c r="M2719" s="1638">
        <v>4.9036999999999997E-2</v>
      </c>
      <c r="N2719" s="1639">
        <v>1.8008187748432578</v>
      </c>
      <c r="O2719" s="1639"/>
    </row>
    <row r="2720" spans="11:15">
      <c r="K2720" s="1636">
        <v>44777</v>
      </c>
      <c r="L2720" s="1637" t="s">
        <v>1650</v>
      </c>
      <c r="M2720" s="1638">
        <v>4.9036999999999997E-2</v>
      </c>
      <c r="N2720" s="1639">
        <v>1.8017018423458779</v>
      </c>
      <c r="O2720" s="1639"/>
    </row>
    <row r="2721" spans="11:15">
      <c r="K2721" s="1636">
        <v>44778</v>
      </c>
      <c r="L2721" s="1637" t="s">
        <v>1650</v>
      </c>
      <c r="M2721" s="1638">
        <v>4.9036999999999997E-2</v>
      </c>
      <c r="N2721" s="1639">
        <v>1.8025853428783092</v>
      </c>
      <c r="O2721" s="1639"/>
    </row>
    <row r="2722" spans="11:15">
      <c r="K2722" s="1636">
        <v>44779</v>
      </c>
      <c r="L2722" s="1637"/>
      <c r="M2722" s="1638">
        <v>0</v>
      </c>
      <c r="N2722" s="1639">
        <v>1.8025853428783092</v>
      </c>
      <c r="O2722" s="1639"/>
    </row>
    <row r="2723" spans="11:15">
      <c r="K2723" s="1636">
        <v>44780</v>
      </c>
      <c r="L2723" s="1637"/>
      <c r="M2723" s="1638">
        <v>0</v>
      </c>
      <c r="N2723" s="1639">
        <v>1.8025853428783092</v>
      </c>
      <c r="O2723" s="1639"/>
    </row>
    <row r="2724" spans="11:15">
      <c r="K2724" s="1636">
        <v>44781</v>
      </c>
      <c r="L2724" s="1637" t="s">
        <v>1650</v>
      </c>
      <c r="M2724" s="1638">
        <v>4.9036999999999997E-2</v>
      </c>
      <c r="N2724" s="1639">
        <v>1.8034692766528966</v>
      </c>
      <c r="O2724" s="1639"/>
    </row>
    <row r="2725" spans="11:15">
      <c r="K2725" s="1636">
        <v>44782</v>
      </c>
      <c r="L2725" s="1637" t="s">
        <v>1650</v>
      </c>
      <c r="M2725" s="1638">
        <v>4.9036999999999997E-2</v>
      </c>
      <c r="N2725" s="1639">
        <v>1.8043536438820891</v>
      </c>
      <c r="O2725" s="1639"/>
    </row>
    <row r="2726" spans="11:15">
      <c r="K2726" s="1636">
        <v>44783</v>
      </c>
      <c r="L2726" s="1637" t="s">
        <v>1650</v>
      </c>
      <c r="M2726" s="1638">
        <v>4.9036999999999997E-2</v>
      </c>
      <c r="N2726" s="1639">
        <v>1.8052384447784398</v>
      </c>
      <c r="O2726" s="1639"/>
    </row>
    <row r="2727" spans="11:15">
      <c r="K2727" s="1636">
        <v>44784</v>
      </c>
      <c r="L2727" s="1637" t="s">
        <v>1650</v>
      </c>
      <c r="M2727" s="1638">
        <v>4.9036999999999997E-2</v>
      </c>
      <c r="N2727" s="1639">
        <v>1.8061236795546058</v>
      </c>
      <c r="O2727" s="1639"/>
    </row>
    <row r="2728" spans="11:15">
      <c r="K2728" s="1636">
        <v>44785</v>
      </c>
      <c r="L2728" s="1637" t="s">
        <v>1650</v>
      </c>
      <c r="M2728" s="1638">
        <v>4.9036999999999997E-2</v>
      </c>
      <c r="N2728" s="1639">
        <v>1.8070093484233491</v>
      </c>
      <c r="O2728" s="1639"/>
    </row>
    <row r="2729" spans="11:15">
      <c r="K2729" s="1636">
        <v>44786</v>
      </c>
      <c r="L2729" s="1637"/>
      <c r="M2729" s="1638">
        <v>0</v>
      </c>
      <c r="N2729" s="1639">
        <v>1.8070093484233491</v>
      </c>
      <c r="O2729" s="1639"/>
    </row>
    <row r="2730" spans="11:15">
      <c r="K2730" s="1636">
        <v>44787</v>
      </c>
      <c r="L2730" s="1637"/>
      <c r="M2730" s="1638">
        <v>0</v>
      </c>
      <c r="N2730" s="1639">
        <v>1.8070093484233491</v>
      </c>
      <c r="O2730" s="1639"/>
    </row>
    <row r="2731" spans="11:15">
      <c r="K2731" s="1636">
        <v>44788</v>
      </c>
      <c r="L2731" s="1637" t="s">
        <v>1650</v>
      </c>
      <c r="M2731" s="1638">
        <v>4.9036999999999997E-2</v>
      </c>
      <c r="N2731" s="1639">
        <v>1.8078954515975356</v>
      </c>
      <c r="O2731" s="1639"/>
    </row>
    <row r="2732" spans="11:15">
      <c r="K2732" s="1636">
        <v>44789</v>
      </c>
      <c r="L2732" s="1637" t="s">
        <v>1650</v>
      </c>
      <c r="M2732" s="1638">
        <v>4.9036999999999997E-2</v>
      </c>
      <c r="N2732" s="1639">
        <v>1.8087819892901356</v>
      </c>
      <c r="O2732" s="1639"/>
    </row>
    <row r="2733" spans="11:15">
      <c r="K2733" s="1636">
        <v>44790</v>
      </c>
      <c r="L2733" s="1637" t="s">
        <v>1650</v>
      </c>
      <c r="M2733" s="1638">
        <v>4.9036999999999997E-2</v>
      </c>
      <c r="N2733" s="1639">
        <v>1.8096689617142239</v>
      </c>
      <c r="O2733" s="1639"/>
    </row>
    <row r="2734" spans="11:15">
      <c r="K2734" s="1636">
        <v>44791</v>
      </c>
      <c r="L2734" s="1637" t="s">
        <v>1650</v>
      </c>
      <c r="M2734" s="1638">
        <v>4.9036999999999997E-2</v>
      </c>
      <c r="N2734" s="1639">
        <v>1.8105563690829798</v>
      </c>
      <c r="O2734" s="1639"/>
    </row>
    <row r="2735" spans="11:15">
      <c r="K2735" s="1636">
        <v>44792</v>
      </c>
      <c r="L2735" s="1637" t="s">
        <v>1650</v>
      </c>
      <c r="M2735" s="1638">
        <v>4.9036999999999997E-2</v>
      </c>
      <c r="N2735" s="1639">
        <v>1.8114442116096872</v>
      </c>
      <c r="O2735" s="1639"/>
    </row>
    <row r="2736" spans="11:15">
      <c r="K2736" s="1636">
        <v>44793</v>
      </c>
      <c r="L2736" s="1637"/>
      <c r="M2736" s="1638">
        <v>0</v>
      </c>
      <c r="N2736" s="1639">
        <v>1.8114442116096872</v>
      </c>
      <c r="O2736" s="1639"/>
    </row>
    <row r="2737" spans="11:15">
      <c r="K2737" s="1636">
        <v>44794</v>
      </c>
      <c r="L2737" s="1637"/>
      <c r="M2737" s="1638">
        <v>0</v>
      </c>
      <c r="N2737" s="1639">
        <v>1.8114442116096872</v>
      </c>
      <c r="O2737" s="1639"/>
    </row>
    <row r="2738" spans="11:15">
      <c r="K2738" s="1636">
        <v>44795</v>
      </c>
      <c r="L2738" s="1637" t="s">
        <v>1650</v>
      </c>
      <c r="M2738" s="1638">
        <v>4.9036999999999997E-2</v>
      </c>
      <c r="N2738" s="1639">
        <v>1.8123324895077344</v>
      </c>
      <c r="O2738" s="1639"/>
    </row>
    <row r="2739" spans="11:15">
      <c r="K2739" s="1636">
        <v>44796</v>
      </c>
      <c r="L2739" s="1637" t="s">
        <v>1650</v>
      </c>
      <c r="M2739" s="1638">
        <v>4.9036999999999997E-2</v>
      </c>
      <c r="N2739" s="1639">
        <v>1.8132212029906145</v>
      </c>
      <c r="O2739" s="1639"/>
    </row>
    <row r="2740" spans="11:15">
      <c r="K2740" s="1636">
        <v>44797</v>
      </c>
      <c r="L2740" s="1637" t="s">
        <v>1650</v>
      </c>
      <c r="M2740" s="1638">
        <v>4.9036999999999997E-2</v>
      </c>
      <c r="N2740" s="1639">
        <v>1.8141103522719251</v>
      </c>
      <c r="O2740" s="1639"/>
    </row>
    <row r="2741" spans="11:15">
      <c r="K2741" s="1636">
        <v>44798</v>
      </c>
      <c r="L2741" s="1637" t="s">
        <v>1650</v>
      </c>
      <c r="M2741" s="1638">
        <v>4.9036999999999997E-2</v>
      </c>
      <c r="N2741" s="1639">
        <v>1.8149999375653687</v>
      </c>
      <c r="O2741" s="1639"/>
    </row>
    <row r="2742" spans="11:15">
      <c r="K2742" s="1636">
        <v>44799</v>
      </c>
      <c r="L2742" s="1637" t="s">
        <v>1650</v>
      </c>
      <c r="M2742" s="1638">
        <v>4.9036999999999997E-2</v>
      </c>
      <c r="N2742" s="1639">
        <v>1.8158899590847528</v>
      </c>
      <c r="O2742" s="1639"/>
    </row>
    <row r="2743" spans="11:15">
      <c r="K2743" s="1636">
        <v>44800</v>
      </c>
      <c r="L2743" s="1637"/>
      <c r="M2743" s="1638">
        <v>0</v>
      </c>
      <c r="N2743" s="1639">
        <v>1.8158899590847528</v>
      </c>
      <c r="O2743" s="1639"/>
    </row>
    <row r="2744" spans="11:15">
      <c r="K2744" s="1636">
        <v>44801</v>
      </c>
      <c r="L2744" s="1637"/>
      <c r="M2744" s="1638">
        <v>0</v>
      </c>
      <c r="N2744" s="1639">
        <v>1.8158899590847528</v>
      </c>
      <c r="O2744" s="1639"/>
    </row>
    <row r="2745" spans="11:15">
      <c r="K2745" s="1636">
        <v>44802</v>
      </c>
      <c r="L2745" s="1637" t="s">
        <v>1650</v>
      </c>
      <c r="M2745" s="1638">
        <v>4.9036999999999997E-2</v>
      </c>
      <c r="N2745" s="1639">
        <v>1.8167804170439894</v>
      </c>
      <c r="O2745" s="1639"/>
    </row>
    <row r="2746" spans="11:15">
      <c r="K2746" s="1636">
        <v>44803</v>
      </c>
      <c r="L2746" s="1637" t="s">
        <v>1650</v>
      </c>
      <c r="M2746" s="1638">
        <v>4.9036999999999997E-2</v>
      </c>
      <c r="N2746" s="1639">
        <v>1.8176713116570955</v>
      </c>
      <c r="O2746" s="1639"/>
    </row>
    <row r="2747" spans="11:15">
      <c r="K2747" s="1636">
        <v>44804</v>
      </c>
      <c r="L2747" s="1637" t="s">
        <v>1650</v>
      </c>
      <c r="M2747" s="1638">
        <v>4.9036999999999997E-2</v>
      </c>
      <c r="N2747" s="1639">
        <v>1.8185626431381929</v>
      </c>
      <c r="O2747" s="1639"/>
    </row>
    <row r="2748" spans="11:15">
      <c r="K2748" s="1636">
        <v>44805</v>
      </c>
      <c r="L2748" s="1637" t="s">
        <v>1650</v>
      </c>
      <c r="M2748" s="1638">
        <v>4.9036999999999997E-2</v>
      </c>
      <c r="N2748" s="1639">
        <v>1.8194544117015088</v>
      </c>
      <c r="O2748" s="1639"/>
    </row>
    <row r="2749" spans="11:15">
      <c r="K2749" s="1636">
        <v>44806</v>
      </c>
      <c r="L2749" s="1637" t="s">
        <v>1650</v>
      </c>
      <c r="M2749" s="1638">
        <v>4.9036999999999997E-2</v>
      </c>
      <c r="N2749" s="1639">
        <v>1.8203466175613749</v>
      </c>
      <c r="O2749" s="1639"/>
    </row>
    <row r="2750" spans="11:15">
      <c r="K2750" s="1636">
        <v>44807</v>
      </c>
      <c r="L2750" s="1637"/>
      <c r="M2750" s="1638">
        <v>0</v>
      </c>
      <c r="N2750" s="1639">
        <v>1.8203466175613749</v>
      </c>
      <c r="O2750" s="1639"/>
    </row>
    <row r="2751" spans="11:15">
      <c r="K2751" s="1636">
        <v>44808</v>
      </c>
      <c r="L2751" s="1637"/>
      <c r="M2751" s="1638">
        <v>0</v>
      </c>
      <c r="N2751" s="1639">
        <v>1.8203466175613749</v>
      </c>
      <c r="O2751" s="1639"/>
    </row>
    <row r="2752" spans="11:15">
      <c r="K2752" s="1636">
        <v>44809</v>
      </c>
      <c r="L2752" s="1637" t="s">
        <v>1650</v>
      </c>
      <c r="M2752" s="1638">
        <v>4.9036999999999997E-2</v>
      </c>
      <c r="N2752" s="1639">
        <v>1.8212392609322285</v>
      </c>
      <c r="O2752" s="1639"/>
    </row>
    <row r="2753" spans="11:15">
      <c r="K2753" s="1636">
        <v>44810</v>
      </c>
      <c r="L2753" s="1637" t="s">
        <v>1650</v>
      </c>
      <c r="M2753" s="1638">
        <v>4.9036999999999997E-2</v>
      </c>
      <c r="N2753" s="1639">
        <v>1.822132342028612</v>
      </c>
      <c r="O2753" s="1639"/>
    </row>
    <row r="2754" spans="11:15">
      <c r="K2754" s="1636">
        <v>44811</v>
      </c>
      <c r="L2754" s="1637"/>
      <c r="M2754" s="1638">
        <v>0</v>
      </c>
      <c r="N2754" s="1639">
        <v>1.822132342028612</v>
      </c>
      <c r="O2754" s="1639"/>
    </row>
    <row r="2755" spans="11:15">
      <c r="K2755" s="1636">
        <v>44812</v>
      </c>
      <c r="L2755" s="1637" t="s">
        <v>1650</v>
      </c>
      <c r="M2755" s="1638">
        <v>4.9036999999999997E-2</v>
      </c>
      <c r="N2755" s="1639">
        <v>1.8230258610651726</v>
      </c>
      <c r="O2755" s="1639"/>
    </row>
    <row r="2756" spans="11:15">
      <c r="K2756" s="1636">
        <v>44813</v>
      </c>
      <c r="L2756" s="1637" t="s">
        <v>1650</v>
      </c>
      <c r="M2756" s="1638">
        <v>4.9036999999999997E-2</v>
      </c>
      <c r="N2756" s="1639">
        <v>1.8239198182566634</v>
      </c>
      <c r="O2756" s="1639"/>
    </row>
    <row r="2757" spans="11:15">
      <c r="K2757" s="1636">
        <v>44814</v>
      </c>
      <c r="L2757" s="1637"/>
      <c r="M2757" s="1638">
        <v>0</v>
      </c>
      <c r="N2757" s="1639">
        <v>1.8239198182566634</v>
      </c>
      <c r="O2757" s="1639"/>
    </row>
    <row r="2758" spans="11:15">
      <c r="K2758" s="1636">
        <v>44815</v>
      </c>
      <c r="L2758" s="1637"/>
      <c r="M2758" s="1638">
        <v>0</v>
      </c>
      <c r="N2758" s="1639">
        <v>1.8239198182566634</v>
      </c>
      <c r="O2758" s="1639"/>
    </row>
    <row r="2759" spans="11:15">
      <c r="K2759" s="1636">
        <v>44816</v>
      </c>
      <c r="L2759" s="1637" t="s">
        <v>1650</v>
      </c>
      <c r="M2759" s="1638">
        <v>4.9036999999999997E-2</v>
      </c>
      <c r="N2759" s="1639">
        <v>1.824814213817942</v>
      </c>
      <c r="O2759" s="1639"/>
    </row>
    <row r="2760" spans="11:15">
      <c r="K2760" s="1636">
        <v>44817</v>
      </c>
      <c r="L2760" s="1637" t="s">
        <v>1650</v>
      </c>
      <c r="M2760" s="1638">
        <v>4.9036999999999997E-2</v>
      </c>
      <c r="N2760" s="1639">
        <v>1.8257090479639719</v>
      </c>
      <c r="O2760" s="1639"/>
    </row>
    <row r="2761" spans="11:15">
      <c r="K2761" s="1636">
        <v>44818</v>
      </c>
      <c r="L2761" s="1637" t="s">
        <v>1650</v>
      </c>
      <c r="M2761" s="1638">
        <v>4.9036999999999997E-2</v>
      </c>
      <c r="N2761" s="1639">
        <v>1.8266043209098222</v>
      </c>
      <c r="O2761" s="1639"/>
    </row>
    <row r="2762" spans="11:15">
      <c r="K2762" s="1636">
        <v>44819</v>
      </c>
      <c r="L2762" s="1637" t="s">
        <v>1650</v>
      </c>
      <c r="M2762" s="1638">
        <v>4.9036999999999997E-2</v>
      </c>
      <c r="N2762" s="1639">
        <v>1.8275000328706668</v>
      </c>
      <c r="O2762" s="1639"/>
    </row>
    <row r="2763" spans="11:15">
      <c r="K2763" s="1636">
        <v>44820</v>
      </c>
      <c r="L2763" s="1637" t="s">
        <v>1650</v>
      </c>
      <c r="M2763" s="1638">
        <v>4.9036999999999997E-2</v>
      </c>
      <c r="N2763" s="1639">
        <v>1.8283961840617857</v>
      </c>
      <c r="O2763" s="1639"/>
    </row>
    <row r="2764" spans="11:15">
      <c r="K2764" s="1636">
        <v>44821</v>
      </c>
      <c r="L2764" s="1637"/>
      <c r="M2764" s="1638">
        <v>0</v>
      </c>
      <c r="N2764" s="1639">
        <v>1.8283961840617857</v>
      </c>
      <c r="O2764" s="1639"/>
    </row>
    <row r="2765" spans="11:15">
      <c r="K2765" s="1636">
        <v>44822</v>
      </c>
      <c r="L2765" s="1637"/>
      <c r="M2765" s="1638">
        <v>0</v>
      </c>
      <c r="N2765" s="1639">
        <v>1.8283961840617857</v>
      </c>
      <c r="O2765" s="1639"/>
    </row>
    <row r="2766" spans="11:15">
      <c r="K2766" s="1636">
        <v>44823</v>
      </c>
      <c r="L2766" s="1637" t="s">
        <v>1650</v>
      </c>
      <c r="M2766" s="1638">
        <v>4.9036999999999997E-2</v>
      </c>
      <c r="N2766" s="1639">
        <v>1.8292927746985643</v>
      </c>
      <c r="O2766" s="1639"/>
    </row>
    <row r="2767" spans="11:15">
      <c r="K2767" s="1636">
        <v>44824</v>
      </c>
      <c r="L2767" s="1637" t="s">
        <v>1650</v>
      </c>
      <c r="M2767" s="1638">
        <v>4.9036999999999997E-2</v>
      </c>
      <c r="N2767" s="1639">
        <v>1.8301898049964933</v>
      </c>
      <c r="O2767" s="1639"/>
    </row>
    <row r="2768" spans="11:15">
      <c r="K2768" s="1636">
        <v>44825</v>
      </c>
      <c r="L2768" s="1637" t="s">
        <v>1650</v>
      </c>
      <c r="M2768" s="1638">
        <v>4.9036999999999997E-2</v>
      </c>
      <c r="N2768" s="1639">
        <v>1.8310872751711695</v>
      </c>
      <c r="O2768" s="1639"/>
    </row>
    <row r="2769" spans="11:15">
      <c r="K2769" s="1636">
        <v>44826</v>
      </c>
      <c r="L2769" s="1637" t="s">
        <v>1650</v>
      </c>
      <c r="M2769" s="1638">
        <v>4.9036999999999997E-2</v>
      </c>
      <c r="N2769" s="1639">
        <v>1.8319851854382954</v>
      </c>
      <c r="O2769" s="1639"/>
    </row>
    <row r="2770" spans="11:15">
      <c r="K2770" s="1636">
        <v>44827</v>
      </c>
      <c r="L2770" s="1637" t="s">
        <v>1650</v>
      </c>
      <c r="M2770" s="1638">
        <v>4.9036999999999997E-2</v>
      </c>
      <c r="N2770" s="1639">
        <v>1.8328835360136788</v>
      </c>
      <c r="O2770" s="1639"/>
    </row>
    <row r="2771" spans="11:15">
      <c r="K2771" s="1636">
        <v>44828</v>
      </c>
      <c r="L2771" s="1637"/>
      <c r="M2771" s="1638">
        <v>0</v>
      </c>
      <c r="N2771" s="1639">
        <v>1.8328835360136788</v>
      </c>
      <c r="O2771" s="1639"/>
    </row>
    <row r="2772" spans="11:15">
      <c r="K2772" s="1636">
        <v>44829</v>
      </c>
      <c r="L2772" s="1637"/>
      <c r="M2772" s="1638">
        <v>0</v>
      </c>
      <c r="N2772" s="1639">
        <v>1.8328835360136788</v>
      </c>
      <c r="O2772" s="1639"/>
    </row>
    <row r="2773" spans="11:15">
      <c r="K2773" s="1636">
        <v>44830</v>
      </c>
      <c r="L2773" s="1637" t="s">
        <v>1650</v>
      </c>
      <c r="M2773" s="1638">
        <v>4.9036999999999997E-2</v>
      </c>
      <c r="N2773" s="1639">
        <v>1.8337823271132341</v>
      </c>
      <c r="O2773" s="1639"/>
    </row>
    <row r="2774" spans="11:15">
      <c r="K2774" s="1636">
        <v>44831</v>
      </c>
      <c r="L2774" s="1637" t="s">
        <v>1650</v>
      </c>
      <c r="M2774" s="1638">
        <v>4.9036999999999997E-2</v>
      </c>
      <c r="N2774" s="1639">
        <v>1.8346815589529808</v>
      </c>
      <c r="O2774" s="1639"/>
    </row>
    <row r="2775" spans="11:15">
      <c r="K2775" s="1636">
        <v>44832</v>
      </c>
      <c r="L2775" s="1637" t="s">
        <v>1650</v>
      </c>
      <c r="M2775" s="1638">
        <v>4.9036999999999997E-2</v>
      </c>
      <c r="N2775" s="1639">
        <v>1.8355812317490448</v>
      </c>
      <c r="O2775" s="1639"/>
    </row>
    <row r="2776" spans="11:15">
      <c r="K2776" s="1636">
        <v>44833</v>
      </c>
      <c r="L2776" s="1637" t="s">
        <v>1650</v>
      </c>
      <c r="M2776" s="1638">
        <v>4.9036999999999997E-2</v>
      </c>
      <c r="N2776" s="1639">
        <v>1.8364813457176576</v>
      </c>
      <c r="O2776" s="1639"/>
    </row>
    <row r="2777" spans="11:15">
      <c r="K2777" s="1636">
        <v>44834</v>
      </c>
      <c r="L2777" s="1637" t="s">
        <v>1650</v>
      </c>
      <c r="M2777" s="1638">
        <v>4.9036999999999997E-2</v>
      </c>
      <c r="N2777" s="1639">
        <v>1.8373819010751573</v>
      </c>
      <c r="O2777" s="1639"/>
    </row>
    <row r="2778" spans="11:15">
      <c r="K2778" s="1636">
        <v>44835</v>
      </c>
      <c r="L2778" s="1637"/>
      <c r="M2778" s="1638">
        <v>0</v>
      </c>
      <c r="N2778" s="1639">
        <v>1.8373819010751573</v>
      </c>
      <c r="O2778" s="1639"/>
    </row>
    <row r="2779" spans="11:15">
      <c r="K2779" s="1636">
        <v>44836</v>
      </c>
      <c r="L2779" s="1637"/>
      <c r="M2779" s="1638">
        <v>0</v>
      </c>
      <c r="N2779" s="1639">
        <v>1.8373819010751573</v>
      </c>
      <c r="O2779" s="1639"/>
    </row>
    <row r="2780" spans="11:15">
      <c r="K2780" s="1636">
        <v>44837</v>
      </c>
      <c r="L2780" s="1637" t="s">
        <v>1650</v>
      </c>
      <c r="M2780" s="1638">
        <v>4.9036999999999997E-2</v>
      </c>
      <c r="N2780" s="1639">
        <v>1.8382828980379877</v>
      </c>
      <c r="O2780" s="1639"/>
    </row>
    <row r="2781" spans="11:15">
      <c r="K2781" s="1636">
        <v>44838</v>
      </c>
      <c r="L2781" s="1637" t="s">
        <v>1650</v>
      </c>
      <c r="M2781" s="1638">
        <v>4.9036999999999997E-2</v>
      </c>
      <c r="N2781" s="1639">
        <v>1.8391843368226988</v>
      </c>
      <c r="O2781" s="1639"/>
    </row>
    <row r="2782" spans="11:15">
      <c r="K2782" s="1636">
        <v>44839</v>
      </c>
      <c r="L2782" s="1637" t="s">
        <v>1650</v>
      </c>
      <c r="M2782" s="1638">
        <v>4.9036999999999997E-2</v>
      </c>
      <c r="N2782" s="1639">
        <v>1.8400862176459467</v>
      </c>
      <c r="O2782" s="1639"/>
    </row>
    <row r="2783" spans="11:15">
      <c r="K2783" s="1636">
        <v>44840</v>
      </c>
      <c r="L2783" s="1637" t="s">
        <v>1650</v>
      </c>
      <c r="M2783" s="1638">
        <v>4.9036999999999997E-2</v>
      </c>
      <c r="N2783" s="1639">
        <v>1.8409885407244939</v>
      </c>
      <c r="O2783" s="1639"/>
    </row>
    <row r="2784" spans="11:15">
      <c r="K2784" s="1636">
        <v>44841</v>
      </c>
      <c r="L2784" s="1637" t="s">
        <v>1650</v>
      </c>
      <c r="M2784" s="1638">
        <v>4.9036999999999997E-2</v>
      </c>
      <c r="N2784" s="1639">
        <v>1.8418913062752091</v>
      </c>
      <c r="O2784" s="1639"/>
    </row>
    <row r="2785" spans="11:15">
      <c r="K2785" s="1636">
        <v>44842</v>
      </c>
      <c r="L2785" s="1637"/>
      <c r="M2785" s="1638">
        <v>0</v>
      </c>
      <c r="N2785" s="1639">
        <v>1.8418913062752091</v>
      </c>
      <c r="O2785" s="1639"/>
    </row>
    <row r="2786" spans="11:15">
      <c r="K2786" s="1636">
        <v>44843</v>
      </c>
      <c r="L2786" s="1637"/>
      <c r="M2786" s="1638">
        <v>0</v>
      </c>
      <c r="N2786" s="1639">
        <v>1.8418913062752091</v>
      </c>
      <c r="O2786" s="1639"/>
    </row>
    <row r="2787" spans="11:15">
      <c r="K2787" s="1636">
        <v>44844</v>
      </c>
      <c r="L2787" s="1637" t="s">
        <v>1650</v>
      </c>
      <c r="M2787" s="1638">
        <v>4.9036999999999997E-2</v>
      </c>
      <c r="N2787" s="1639">
        <v>1.8427945145150675</v>
      </c>
      <c r="O2787" s="1639"/>
    </row>
    <row r="2788" spans="11:15">
      <c r="K2788" s="1636">
        <v>44845</v>
      </c>
      <c r="L2788" s="1637" t="s">
        <v>1650</v>
      </c>
      <c r="M2788" s="1638">
        <v>4.9036999999999997E-2</v>
      </c>
      <c r="N2788" s="1639">
        <v>1.8436981656611504</v>
      </c>
      <c r="O2788" s="1639"/>
    </row>
    <row r="2789" spans="11:15">
      <c r="K2789" s="1636">
        <v>44846</v>
      </c>
      <c r="L2789" s="1637"/>
      <c r="M2789" s="1638">
        <v>0</v>
      </c>
      <c r="N2789" s="1639">
        <v>1.8436981656611504</v>
      </c>
      <c r="O2789" s="1639"/>
    </row>
    <row r="2790" spans="11:15">
      <c r="K2790" s="1636">
        <v>44847</v>
      </c>
      <c r="L2790" s="1637" t="s">
        <v>1650</v>
      </c>
      <c r="M2790" s="1638">
        <v>4.9036999999999997E-2</v>
      </c>
      <c r="N2790" s="1639">
        <v>1.8446022599306457</v>
      </c>
      <c r="O2790" s="1639"/>
    </row>
    <row r="2791" spans="11:15">
      <c r="K2791" s="1636">
        <v>44848</v>
      </c>
      <c r="L2791" s="1637" t="s">
        <v>1650</v>
      </c>
      <c r="M2791" s="1638">
        <v>4.9036999999999997E-2</v>
      </c>
      <c r="N2791" s="1639">
        <v>1.8455067975408481</v>
      </c>
      <c r="O2791" s="1639"/>
    </row>
    <row r="2792" spans="11:15">
      <c r="K2792" s="1636">
        <v>44849</v>
      </c>
      <c r="L2792" s="1637"/>
      <c r="M2792" s="1638">
        <v>0</v>
      </c>
      <c r="N2792" s="1639">
        <v>1.8455067975408481</v>
      </c>
      <c r="O2792" s="1639"/>
    </row>
    <row r="2793" spans="11:15">
      <c r="K2793" s="1636">
        <v>44850</v>
      </c>
      <c r="L2793" s="1637"/>
      <c r="M2793" s="1638">
        <v>0</v>
      </c>
      <c r="N2793" s="1639">
        <v>1.8455067975408481</v>
      </c>
      <c r="O2793" s="1639"/>
    </row>
    <row r="2794" spans="11:15">
      <c r="K2794" s="1636">
        <v>44851</v>
      </c>
      <c r="L2794" s="1637" t="s">
        <v>1650</v>
      </c>
      <c r="M2794" s="1638">
        <v>4.9036999999999997E-2</v>
      </c>
      <c r="N2794" s="1639">
        <v>1.8464117787091583</v>
      </c>
      <c r="O2794" s="1639"/>
    </row>
    <row r="2795" spans="11:15">
      <c r="K2795" s="1636">
        <v>44852</v>
      </c>
      <c r="L2795" s="1637" t="s">
        <v>1650</v>
      </c>
      <c r="M2795" s="1638">
        <v>4.9036999999999997E-2</v>
      </c>
      <c r="N2795" s="1639">
        <v>1.8473172036530841</v>
      </c>
      <c r="O2795" s="1639"/>
    </row>
    <row r="2796" spans="11:15">
      <c r="K2796" s="1636">
        <v>44853</v>
      </c>
      <c r="L2796" s="1637" t="s">
        <v>1650</v>
      </c>
      <c r="M2796" s="1638">
        <v>4.9036999999999997E-2</v>
      </c>
      <c r="N2796" s="1639">
        <v>1.8482230725902395</v>
      </c>
      <c r="O2796" s="1639"/>
    </row>
    <row r="2797" spans="11:15">
      <c r="K2797" s="1636">
        <v>44854</v>
      </c>
      <c r="L2797" s="1637" t="s">
        <v>1650</v>
      </c>
      <c r="M2797" s="1638">
        <v>4.9036999999999997E-2</v>
      </c>
      <c r="N2797" s="1639">
        <v>1.8491293857383457</v>
      </c>
      <c r="O2797" s="1639"/>
    </row>
    <row r="2798" spans="11:15">
      <c r="K2798" s="1636">
        <v>44855</v>
      </c>
      <c r="L2798" s="1637" t="s">
        <v>1650</v>
      </c>
      <c r="M2798" s="1638">
        <v>4.9036999999999997E-2</v>
      </c>
      <c r="N2798" s="1639">
        <v>1.8500361433152304</v>
      </c>
      <c r="O2798" s="1639"/>
    </row>
    <row r="2799" spans="11:15">
      <c r="K2799" s="1636">
        <v>44856</v>
      </c>
      <c r="L2799" s="1637"/>
      <c r="M2799" s="1638">
        <v>0</v>
      </c>
      <c r="N2799" s="1639">
        <v>1.8500361433152304</v>
      </c>
      <c r="O2799" s="1639"/>
    </row>
    <row r="2800" spans="11:15">
      <c r="K2800" s="1636">
        <v>44857</v>
      </c>
      <c r="L2800" s="1637"/>
      <c r="M2800" s="1638">
        <v>0</v>
      </c>
      <c r="N2800" s="1639">
        <v>1.8500361433152304</v>
      </c>
      <c r="O2800" s="1639"/>
    </row>
    <row r="2801" spans="11:15">
      <c r="K2801" s="1636">
        <v>44858</v>
      </c>
      <c r="L2801" s="1637" t="s">
        <v>1650</v>
      </c>
      <c r="M2801" s="1638">
        <v>4.9036999999999997E-2</v>
      </c>
      <c r="N2801" s="1639">
        <v>1.850943345538828</v>
      </c>
      <c r="O2801" s="1639"/>
    </row>
    <row r="2802" spans="11:15">
      <c r="K2802" s="1636">
        <v>44859</v>
      </c>
      <c r="L2802" s="1637" t="s">
        <v>1650</v>
      </c>
      <c r="M2802" s="1638">
        <v>4.9036999999999997E-2</v>
      </c>
      <c r="N2802" s="1639">
        <v>1.85185099262718</v>
      </c>
      <c r="O2802" s="1639"/>
    </row>
    <row r="2803" spans="11:15">
      <c r="K2803" s="1636">
        <v>44860</v>
      </c>
      <c r="L2803" s="1637" t="s">
        <v>1650</v>
      </c>
      <c r="M2803" s="1638">
        <v>4.9036999999999997E-2</v>
      </c>
      <c r="N2803" s="1639">
        <v>1.8527590847984348</v>
      </c>
      <c r="O2803" s="1639"/>
    </row>
    <row r="2804" spans="11:15">
      <c r="K2804" s="1636">
        <v>44861</v>
      </c>
      <c r="L2804" s="1637" t="s">
        <v>1650</v>
      </c>
      <c r="M2804" s="1638">
        <v>4.9036999999999997E-2</v>
      </c>
      <c r="N2804" s="1639">
        <v>1.8536676222708475</v>
      </c>
      <c r="O2804" s="1639"/>
    </row>
    <row r="2805" spans="11:15">
      <c r="K2805" s="1636">
        <v>44862</v>
      </c>
      <c r="L2805" s="1637" t="s">
        <v>1650</v>
      </c>
      <c r="M2805" s="1638">
        <v>4.9036999999999997E-2</v>
      </c>
      <c r="N2805" s="1639">
        <v>1.8545766052627806</v>
      </c>
      <c r="O2805" s="1639"/>
    </row>
    <row r="2806" spans="11:15">
      <c r="K2806" s="1636">
        <v>44863</v>
      </c>
      <c r="L2806" s="1637"/>
      <c r="M2806" s="1638">
        <v>0</v>
      </c>
      <c r="N2806" s="1639">
        <v>1.8545766052627806</v>
      </c>
      <c r="O2806" s="1639"/>
    </row>
    <row r="2807" spans="11:15">
      <c r="K2807" s="1636">
        <v>44864</v>
      </c>
      <c r="L2807" s="1637"/>
      <c r="M2807" s="1638">
        <v>0</v>
      </c>
      <c r="N2807" s="1639">
        <v>1.8545766052627806</v>
      </c>
      <c r="O2807" s="1639"/>
    </row>
    <row r="2808" spans="11:15">
      <c r="K2808" s="1636">
        <v>44865</v>
      </c>
      <c r="L2808" s="1637" t="s">
        <v>1650</v>
      </c>
      <c r="M2808" s="1638">
        <v>4.9036999999999997E-2</v>
      </c>
      <c r="N2808" s="1639">
        <v>1.8554860339927035</v>
      </c>
      <c r="O2808" s="1639"/>
    </row>
    <row r="2809" spans="11:15">
      <c r="K2809" s="1636">
        <v>44866</v>
      </c>
      <c r="L2809" s="1637" t="s">
        <v>1650</v>
      </c>
      <c r="M2809" s="1638">
        <v>4.9036999999999997E-2</v>
      </c>
      <c r="N2809" s="1639">
        <v>1.8563959086791926</v>
      </c>
      <c r="O2809" s="1639"/>
    </row>
    <row r="2810" spans="11:15">
      <c r="K2810" s="1636">
        <v>44867</v>
      </c>
      <c r="L2810" s="1637"/>
      <c r="M2810" s="1638">
        <v>0</v>
      </c>
      <c r="N2810" s="1639">
        <v>1.8563959086791926</v>
      </c>
      <c r="O2810" s="1639"/>
    </row>
    <row r="2811" spans="11:15">
      <c r="K2811" s="1636">
        <v>44868</v>
      </c>
      <c r="L2811" s="1637" t="s">
        <v>1650</v>
      </c>
      <c r="M2811" s="1638">
        <v>4.9036999999999997E-2</v>
      </c>
      <c r="N2811" s="1639">
        <v>1.8573062295409317</v>
      </c>
      <c r="O2811" s="1639"/>
    </row>
    <row r="2812" spans="11:15">
      <c r="K2812" s="1636">
        <v>44869</v>
      </c>
      <c r="L2812" s="1637" t="s">
        <v>1650</v>
      </c>
      <c r="M2812" s="1638">
        <v>4.9036999999999997E-2</v>
      </c>
      <c r="N2812" s="1639">
        <v>1.8582169967967119</v>
      </c>
      <c r="O2812" s="1639"/>
    </row>
    <row r="2813" spans="11:15">
      <c r="K2813" s="1636">
        <v>44870</v>
      </c>
      <c r="L2813" s="1637"/>
      <c r="M2813" s="1638">
        <v>0</v>
      </c>
      <c r="N2813" s="1639">
        <v>1.8582169967967119</v>
      </c>
      <c r="O2813" s="1639"/>
    </row>
    <row r="2814" spans="11:15">
      <c r="K2814" s="1636">
        <v>44871</v>
      </c>
      <c r="L2814" s="1637"/>
      <c r="M2814" s="1638">
        <v>0</v>
      </c>
      <c r="N2814" s="1639">
        <v>1.8582169967967119</v>
      </c>
      <c r="O2814" s="1639"/>
    </row>
    <row r="2815" spans="11:15">
      <c r="K2815" s="1636">
        <v>44872</v>
      </c>
      <c r="L2815" s="1637" t="s">
        <v>1650</v>
      </c>
      <c r="M2815" s="1638">
        <v>4.9036999999999997E-2</v>
      </c>
      <c r="N2815" s="1639">
        <v>1.8591282106654312</v>
      </c>
      <c r="O2815" s="1639"/>
    </row>
    <row r="2816" spans="11:15">
      <c r="K2816" s="1636">
        <v>44873</v>
      </c>
      <c r="L2816" s="1637" t="s">
        <v>1650</v>
      </c>
      <c r="M2816" s="1638">
        <v>4.9036999999999997E-2</v>
      </c>
      <c r="N2816" s="1639">
        <v>1.8600398713660953</v>
      </c>
      <c r="O2816" s="1639"/>
    </row>
    <row r="2817" spans="11:15">
      <c r="K2817" s="1636">
        <v>44874</v>
      </c>
      <c r="L2817" s="1637" t="s">
        <v>1650</v>
      </c>
      <c r="M2817" s="1638">
        <v>4.9036999999999997E-2</v>
      </c>
      <c r="N2817" s="1639">
        <v>1.8609519791178173</v>
      </c>
      <c r="O2817" s="1639"/>
    </row>
    <row r="2818" spans="11:15">
      <c r="K2818" s="1636">
        <v>44875</v>
      </c>
      <c r="L2818" s="1637" t="s">
        <v>1650</v>
      </c>
      <c r="M2818" s="1638">
        <v>4.9036999999999997E-2</v>
      </c>
      <c r="N2818" s="1639">
        <v>1.8618645341398175</v>
      </c>
      <c r="O2818" s="1639"/>
    </row>
    <row r="2819" spans="11:15">
      <c r="K2819" s="1636">
        <v>44876</v>
      </c>
      <c r="L2819" s="1637" t="s">
        <v>1650</v>
      </c>
      <c r="M2819" s="1638">
        <v>4.9036999999999997E-2</v>
      </c>
      <c r="N2819" s="1639">
        <v>1.8627775366514236</v>
      </c>
      <c r="O2819" s="1639"/>
    </row>
    <row r="2820" spans="11:15">
      <c r="K2820" s="1636">
        <v>44877</v>
      </c>
      <c r="L2820" s="1637"/>
      <c r="M2820" s="1638">
        <v>0</v>
      </c>
      <c r="N2820" s="1639">
        <v>1.8627775366514236</v>
      </c>
      <c r="O2820" s="1639"/>
    </row>
    <row r="2821" spans="11:15">
      <c r="K2821" s="1636">
        <v>44878</v>
      </c>
      <c r="L2821" s="1637"/>
      <c r="M2821" s="1638">
        <v>0</v>
      </c>
      <c r="N2821" s="1639">
        <v>1.8627775366514236</v>
      </c>
      <c r="O2821" s="1639"/>
    </row>
    <row r="2822" spans="11:15">
      <c r="K2822" s="1636">
        <v>44879</v>
      </c>
      <c r="L2822" s="1637" t="s">
        <v>1650</v>
      </c>
      <c r="M2822" s="1638">
        <v>4.9036999999999997E-2</v>
      </c>
      <c r="N2822" s="1639">
        <v>1.8636909868720715</v>
      </c>
      <c r="O2822" s="1639"/>
    </row>
    <row r="2823" spans="11:15">
      <c r="K2823" s="1636">
        <v>44880</v>
      </c>
      <c r="L2823" s="1637"/>
      <c r="M2823" s="1638">
        <v>0</v>
      </c>
      <c r="N2823" s="1639">
        <v>1.8636909868720715</v>
      </c>
      <c r="O2823" s="1639"/>
    </row>
    <row r="2824" spans="11:15">
      <c r="K2824" s="1636">
        <v>44881</v>
      </c>
      <c r="L2824" s="1637" t="s">
        <v>1650</v>
      </c>
      <c r="M2824" s="1638">
        <v>4.9036999999999997E-2</v>
      </c>
      <c r="N2824" s="1639">
        <v>1.8646048850213039</v>
      </c>
      <c r="O2824" s="1639"/>
    </row>
    <row r="2825" spans="11:15">
      <c r="K2825" s="1636">
        <v>44882</v>
      </c>
      <c r="L2825" s="1637" t="s">
        <v>1650</v>
      </c>
      <c r="M2825" s="1638">
        <v>4.9036999999999997E-2</v>
      </c>
      <c r="N2825" s="1639">
        <v>1.8655192313187721</v>
      </c>
      <c r="O2825" s="1639"/>
    </row>
    <row r="2826" spans="11:15">
      <c r="K2826" s="1636">
        <v>44883</v>
      </c>
      <c r="L2826" s="1637" t="s">
        <v>1650</v>
      </c>
      <c r="M2826" s="1638">
        <v>4.9036999999999997E-2</v>
      </c>
      <c r="N2826" s="1639">
        <v>1.866434025984234</v>
      </c>
      <c r="O2826" s="1639"/>
    </row>
    <row r="2827" spans="11:15">
      <c r="K2827" s="1636">
        <v>44884</v>
      </c>
      <c r="L2827" s="1637"/>
      <c r="M2827" s="1638">
        <v>0</v>
      </c>
      <c r="N2827" s="1639">
        <v>1.866434025984234</v>
      </c>
      <c r="O2827" s="1639"/>
    </row>
    <row r="2828" spans="11:15">
      <c r="K2828" s="1636">
        <v>44885</v>
      </c>
      <c r="L2828" s="1637"/>
      <c r="M2828" s="1638">
        <v>0</v>
      </c>
      <c r="N2828" s="1639">
        <v>1.866434025984234</v>
      </c>
      <c r="O2828" s="1639"/>
    </row>
    <row r="2829" spans="11:15">
      <c r="K2829" s="1636">
        <v>44886</v>
      </c>
      <c r="L2829" s="1637" t="s">
        <v>1650</v>
      </c>
      <c r="M2829" s="1638">
        <v>4.9036999999999997E-2</v>
      </c>
      <c r="N2829" s="1639">
        <v>1.867349269237556</v>
      </c>
      <c r="O2829" s="1639"/>
    </row>
    <row r="2830" spans="11:15">
      <c r="K2830" s="1636">
        <v>44887</v>
      </c>
      <c r="L2830" s="1637" t="s">
        <v>1650</v>
      </c>
      <c r="M2830" s="1638">
        <v>4.9036999999999997E-2</v>
      </c>
      <c r="N2830" s="1639">
        <v>1.8682649612987121</v>
      </c>
      <c r="O2830" s="1639"/>
    </row>
    <row r="2831" spans="11:15">
      <c r="K2831" s="1636">
        <v>44888</v>
      </c>
      <c r="L2831" s="1637" t="s">
        <v>1650</v>
      </c>
      <c r="M2831" s="1638">
        <v>4.9036999999999997E-2</v>
      </c>
      <c r="N2831" s="1639">
        <v>1.8691811023877842</v>
      </c>
      <c r="O2831" s="1639"/>
    </row>
    <row r="2832" spans="11:15">
      <c r="K2832" s="1636">
        <v>44889</v>
      </c>
      <c r="L2832" s="1637" t="s">
        <v>1650</v>
      </c>
      <c r="M2832" s="1638">
        <v>4.9036999999999997E-2</v>
      </c>
      <c r="N2832" s="1639">
        <v>1.8700976927249622</v>
      </c>
      <c r="O2832" s="1639"/>
    </row>
    <row r="2833" spans="11:15">
      <c r="K2833" s="1636">
        <v>44890</v>
      </c>
      <c r="L2833" s="1637" t="s">
        <v>1650</v>
      </c>
      <c r="M2833" s="1638">
        <v>4.9036999999999997E-2</v>
      </c>
      <c r="N2833" s="1639">
        <v>1.871014732530544</v>
      </c>
      <c r="O2833" s="1639"/>
    </row>
    <row r="2834" spans="11:15">
      <c r="K2834" s="1636">
        <v>44891</v>
      </c>
      <c r="L2834" s="1637"/>
      <c r="M2834" s="1638">
        <v>0</v>
      </c>
      <c r="N2834" s="1639">
        <v>1.871014732530544</v>
      </c>
      <c r="O2834" s="1639"/>
    </row>
    <row r="2835" spans="11:15">
      <c r="K2835" s="1636">
        <v>44892</v>
      </c>
      <c r="L2835" s="1637"/>
      <c r="M2835" s="1638">
        <v>0</v>
      </c>
      <c r="N2835" s="1639">
        <v>1.871014732530544</v>
      </c>
      <c r="O2835" s="1639"/>
    </row>
    <row r="2836" spans="11:15">
      <c r="K2836" s="1636">
        <v>44893</v>
      </c>
      <c r="L2836" s="1637" t="s">
        <v>1650</v>
      </c>
      <c r="M2836" s="1638">
        <v>4.9036999999999997E-2</v>
      </c>
      <c r="N2836" s="1639">
        <v>1.871932222024935</v>
      </c>
      <c r="O2836" s="1639"/>
    </row>
    <row r="2837" spans="11:15">
      <c r="K2837" s="1636">
        <v>44894</v>
      </c>
      <c r="L2837" s="1637" t="s">
        <v>1650</v>
      </c>
      <c r="M2837" s="1638">
        <v>4.9036999999999997E-2</v>
      </c>
      <c r="N2837" s="1639">
        <v>1.8728501614286495</v>
      </c>
      <c r="O2837" s="1639"/>
    </row>
    <row r="2838" spans="11:15">
      <c r="K2838" s="1636">
        <v>44895</v>
      </c>
      <c r="L2838" s="1637" t="s">
        <v>1650</v>
      </c>
      <c r="M2838" s="1638">
        <v>4.9036999999999997E-2</v>
      </c>
      <c r="N2838" s="1639">
        <v>1.8737685509623094</v>
      </c>
      <c r="O2838" s="1639"/>
    </row>
    <row r="2839" spans="11:15">
      <c r="K2839" s="1636">
        <v>44896</v>
      </c>
      <c r="L2839" s="1637" t="s">
        <v>1650</v>
      </c>
      <c r="M2839" s="1638">
        <v>4.9036999999999997E-2</v>
      </c>
      <c r="N2839" s="1639">
        <v>1.874687390846645</v>
      </c>
      <c r="O2839" s="1639"/>
    </row>
    <row r="2840" spans="11:15">
      <c r="K2840" s="1636">
        <v>44897</v>
      </c>
      <c r="L2840" s="1637" t="s">
        <v>1650</v>
      </c>
      <c r="M2840" s="1638">
        <v>4.9036999999999997E-2</v>
      </c>
      <c r="N2840" s="1639">
        <v>1.8756066813024947</v>
      </c>
      <c r="O2840" s="1639"/>
    </row>
    <row r="2841" spans="11:15">
      <c r="K2841" s="1636">
        <v>44898</v>
      </c>
      <c r="L2841" s="1637"/>
      <c r="M2841" s="1638">
        <v>0</v>
      </c>
      <c r="N2841" s="1639">
        <v>1.8756066813024947</v>
      </c>
      <c r="O2841" s="1639"/>
    </row>
    <row r="2842" spans="11:15">
      <c r="K2842" s="1636">
        <v>44899</v>
      </c>
      <c r="L2842" s="1637"/>
      <c r="M2842" s="1638">
        <v>0</v>
      </c>
      <c r="N2842" s="1639">
        <v>1.8756066813024947</v>
      </c>
      <c r="O2842" s="1639"/>
    </row>
    <row r="2843" spans="11:15">
      <c r="K2843" s="1636">
        <v>44900</v>
      </c>
      <c r="L2843" s="1637" t="s">
        <v>1650</v>
      </c>
      <c r="M2843" s="1638">
        <v>4.9036999999999997E-2</v>
      </c>
      <c r="N2843" s="1639">
        <v>1.8765264225508052</v>
      </c>
      <c r="O2843" s="1639"/>
    </row>
    <row r="2844" spans="11:15">
      <c r="K2844" s="1636">
        <v>44901</v>
      </c>
      <c r="L2844" s="1637" t="s">
        <v>1650</v>
      </c>
      <c r="M2844" s="1638">
        <v>4.9036999999999997E-2</v>
      </c>
      <c r="N2844" s="1639">
        <v>1.8774466148126314</v>
      </c>
      <c r="O2844" s="1639"/>
    </row>
    <row r="2845" spans="11:15">
      <c r="K2845" s="1636">
        <v>44902</v>
      </c>
      <c r="L2845" s="1637" t="s">
        <v>1650</v>
      </c>
      <c r="M2845" s="1638">
        <v>4.9036999999999997E-2</v>
      </c>
      <c r="N2845" s="1639">
        <v>1.8783672583091373</v>
      </c>
      <c r="O2845" s="1639"/>
    </row>
    <row r="2846" spans="11:15">
      <c r="K2846" s="1636">
        <v>44903</v>
      </c>
      <c r="L2846" s="1637" t="s">
        <v>1650</v>
      </c>
      <c r="M2846" s="1638">
        <v>4.9036999999999997E-2</v>
      </c>
      <c r="N2846" s="1639">
        <v>1.8792883532615945</v>
      </c>
      <c r="O2846" s="1639"/>
    </row>
    <row r="2847" spans="11:15">
      <c r="K2847" s="1636">
        <v>44904</v>
      </c>
      <c r="L2847" s="1637" t="s">
        <v>1650</v>
      </c>
      <c r="M2847" s="1638">
        <v>4.9036999999999997E-2</v>
      </c>
      <c r="N2847" s="1639">
        <v>1.8802098998913834</v>
      </c>
      <c r="O2847" s="1639"/>
    </row>
    <row r="2848" spans="11:15">
      <c r="K2848" s="1636">
        <v>44905</v>
      </c>
      <c r="L2848" s="1637"/>
      <c r="M2848" s="1638">
        <v>0</v>
      </c>
      <c r="N2848" s="1639">
        <v>1.8802098998913834</v>
      </c>
      <c r="O2848" s="1639"/>
    </row>
    <row r="2849" spans="11:15">
      <c r="K2849" s="1636">
        <v>44906</v>
      </c>
      <c r="L2849" s="1637"/>
      <c r="M2849" s="1638">
        <v>0</v>
      </c>
      <c r="N2849" s="1639">
        <v>1.8802098998913834</v>
      </c>
      <c r="O2849" s="1639"/>
    </row>
    <row r="2850" spans="11:15">
      <c r="K2850" s="1636">
        <v>44907</v>
      </c>
      <c r="L2850" s="1637" t="s">
        <v>1650</v>
      </c>
      <c r="M2850" s="1638">
        <v>4.9036999999999997E-2</v>
      </c>
      <c r="N2850" s="1639">
        <v>1.8811318984199934</v>
      </c>
      <c r="O2850" s="1639"/>
    </row>
    <row r="2851" spans="11:15">
      <c r="K2851" s="1636">
        <v>44908</v>
      </c>
      <c r="L2851" s="1637" t="s">
        <v>1650</v>
      </c>
      <c r="M2851" s="1638">
        <v>4.9036999999999997E-2</v>
      </c>
      <c r="N2851" s="1639">
        <v>1.8820543490690218</v>
      </c>
      <c r="O2851" s="1639"/>
    </row>
    <row r="2852" spans="11:15">
      <c r="K2852" s="1636">
        <v>44909</v>
      </c>
      <c r="L2852" s="1637" t="s">
        <v>1650</v>
      </c>
      <c r="M2852" s="1638">
        <v>4.9036999999999997E-2</v>
      </c>
      <c r="N2852" s="1639">
        <v>1.8829772520601749</v>
      </c>
      <c r="O2852" s="1639"/>
    </row>
    <row r="2853" spans="11:15">
      <c r="K2853" s="1636">
        <v>44910</v>
      </c>
      <c r="L2853" s="1637" t="s">
        <v>1650</v>
      </c>
      <c r="M2853" s="1638">
        <v>4.9036999999999997E-2</v>
      </c>
      <c r="N2853" s="1639">
        <v>1.8839006076152678</v>
      </c>
      <c r="O2853" s="1639"/>
    </row>
    <row r="2854" spans="11:15">
      <c r="K2854" s="1636">
        <v>44911</v>
      </c>
      <c r="L2854" s="1637" t="s">
        <v>1650</v>
      </c>
      <c r="M2854" s="1638">
        <v>4.9036999999999997E-2</v>
      </c>
      <c r="N2854" s="1639">
        <v>1.8848244159562242</v>
      </c>
      <c r="O2854" s="1639"/>
    </row>
    <row r="2855" spans="11:15">
      <c r="K2855" s="1636">
        <v>44912</v>
      </c>
      <c r="L2855" s="1637"/>
      <c r="M2855" s="1638">
        <v>0</v>
      </c>
      <c r="N2855" s="1639">
        <v>1.8848244159562242</v>
      </c>
      <c r="O2855" s="1639"/>
    </row>
    <row r="2856" spans="11:15">
      <c r="K2856" s="1636">
        <v>44913</v>
      </c>
      <c r="L2856" s="1637"/>
      <c r="M2856" s="1638">
        <v>0</v>
      </c>
      <c r="N2856" s="1639">
        <v>1.8848244159562242</v>
      </c>
      <c r="O2856" s="1639"/>
    </row>
    <row r="2857" spans="11:15">
      <c r="K2857" s="1636">
        <v>44914</v>
      </c>
      <c r="L2857" s="1637" t="s">
        <v>1650</v>
      </c>
      <c r="M2857" s="1638">
        <v>4.9036999999999997E-2</v>
      </c>
      <c r="N2857" s="1639">
        <v>1.8857486773050767</v>
      </c>
      <c r="O2857" s="1639"/>
    </row>
    <row r="2858" spans="11:15">
      <c r="K2858" s="1636">
        <v>44915</v>
      </c>
      <c r="L2858" s="1637" t="s">
        <v>1650</v>
      </c>
      <c r="M2858" s="1638">
        <v>4.9036999999999997E-2</v>
      </c>
      <c r="N2858" s="1639">
        <v>1.8866733918839669</v>
      </c>
      <c r="O2858" s="1639"/>
    </row>
    <row r="2859" spans="11:15">
      <c r="K2859" s="1636">
        <v>44916</v>
      </c>
      <c r="L2859" s="1637" t="s">
        <v>1650</v>
      </c>
      <c r="M2859" s="1638">
        <v>4.9036999999999997E-2</v>
      </c>
      <c r="N2859" s="1639">
        <v>1.8875985599151452</v>
      </c>
      <c r="O2859" s="1639"/>
    </row>
    <row r="2860" spans="11:15">
      <c r="K2860" s="1636">
        <v>44917</v>
      </c>
      <c r="L2860" s="1637" t="s">
        <v>1650</v>
      </c>
      <c r="M2860" s="1638">
        <v>4.9036999999999997E-2</v>
      </c>
      <c r="N2860" s="1639">
        <v>1.888524181620971</v>
      </c>
      <c r="O2860" s="1639"/>
    </row>
    <row r="2861" spans="11:15">
      <c r="K2861" s="1636">
        <v>44918</v>
      </c>
      <c r="L2861" s="1637" t="s">
        <v>1650</v>
      </c>
      <c r="M2861" s="1638">
        <v>4.9036999999999997E-2</v>
      </c>
      <c r="N2861" s="1639">
        <v>1.8894502572239127</v>
      </c>
      <c r="O2861" s="1639"/>
    </row>
    <row r="2862" spans="11:15">
      <c r="K2862" s="1636">
        <v>44919</v>
      </c>
      <c r="L2862" s="1637"/>
      <c r="M2862" s="1638">
        <v>0</v>
      </c>
      <c r="N2862" s="1639">
        <v>1.8894502572239127</v>
      </c>
      <c r="O2862" s="1639"/>
    </row>
    <row r="2863" spans="11:15">
      <c r="K2863" s="1636">
        <v>44920</v>
      </c>
      <c r="L2863" s="1637"/>
      <c r="M2863" s="1638">
        <v>0</v>
      </c>
      <c r="N2863" s="1639">
        <v>1.8894502572239127</v>
      </c>
      <c r="O2863" s="1639"/>
    </row>
    <row r="2864" spans="11:15">
      <c r="K2864" s="1636">
        <v>44921</v>
      </c>
      <c r="L2864" s="1637" t="s">
        <v>1650</v>
      </c>
      <c r="M2864" s="1638">
        <v>4.9036999999999997E-2</v>
      </c>
      <c r="N2864" s="1639">
        <v>1.8903767869465478</v>
      </c>
      <c r="O2864" s="1639"/>
    </row>
    <row r="2865" spans="11:15">
      <c r="K2865" s="1636">
        <v>44922</v>
      </c>
      <c r="L2865" s="1637" t="s">
        <v>1650</v>
      </c>
      <c r="M2865" s="1638">
        <v>4.9036999999999997E-2</v>
      </c>
      <c r="N2865" s="1639">
        <v>1.8913037710115628</v>
      </c>
      <c r="O2865" s="1639"/>
    </row>
    <row r="2866" spans="11:15">
      <c r="K2866" s="1636">
        <v>44923</v>
      </c>
      <c r="L2866" s="1637" t="s">
        <v>1650</v>
      </c>
      <c r="M2866" s="1638">
        <v>4.9036999999999997E-2</v>
      </c>
      <c r="N2866" s="1639">
        <v>1.892231209641754</v>
      </c>
      <c r="O2866" s="1639"/>
    </row>
    <row r="2867" spans="11:15">
      <c r="K2867" s="1636">
        <v>44924</v>
      </c>
      <c r="L2867" s="1637" t="s">
        <v>1650</v>
      </c>
      <c r="M2867" s="1638">
        <v>4.9036999999999997E-2</v>
      </c>
      <c r="N2867" s="1639">
        <v>1.8931591030600261</v>
      </c>
      <c r="O2867" s="1639"/>
    </row>
    <row r="2868" spans="11:15">
      <c r="K2868" s="1636">
        <v>44925</v>
      </c>
      <c r="L2868" s="1637" t="s">
        <v>1650</v>
      </c>
      <c r="M2868" s="1638">
        <v>4.9036999999999997E-2</v>
      </c>
      <c r="N2868" s="1639">
        <v>1.8940874514893937</v>
      </c>
      <c r="O2868" s="1639"/>
    </row>
    <row r="2869" spans="11:15">
      <c r="K2869" s="1636">
        <v>44926</v>
      </c>
      <c r="L2869" s="1637"/>
      <c r="M2869" s="1638">
        <v>0</v>
      </c>
      <c r="N2869" s="1639">
        <v>1.8940874514893937</v>
      </c>
      <c r="O2869" s="1639"/>
    </row>
    <row r="2870" spans="11:15">
      <c r="K2870" s="1636">
        <v>44927</v>
      </c>
      <c r="L2870" s="1637"/>
      <c r="M2870" s="1638">
        <v>0</v>
      </c>
      <c r="N2870" s="1639">
        <v>1.8940874514893937</v>
      </c>
      <c r="O2870" s="1639"/>
    </row>
    <row r="2871" spans="11:15">
      <c r="K2871" s="1636">
        <v>44928</v>
      </c>
      <c r="L2871" s="1637" t="s">
        <v>1650</v>
      </c>
      <c r="M2871" s="1638">
        <v>4.9036999999999997E-2</v>
      </c>
      <c r="N2871" s="1639">
        <v>1.8950162551529808</v>
      </c>
      <c r="O2871" s="1639"/>
    </row>
    <row r="2872" spans="11:15">
      <c r="K2872" s="1636">
        <v>44929</v>
      </c>
      <c r="L2872" s="1637" t="s">
        <v>1650</v>
      </c>
      <c r="M2872" s="1638">
        <v>4.9036999999999997E-2</v>
      </c>
      <c r="N2872" s="1639">
        <v>1.8959455142740202</v>
      </c>
      <c r="O2872" s="1639"/>
    </row>
    <row r="2873" spans="11:15">
      <c r="K2873" s="1636">
        <v>44930</v>
      </c>
      <c r="L2873" s="1637" t="s">
        <v>1650</v>
      </c>
      <c r="M2873" s="1638">
        <v>4.9036999999999997E-2</v>
      </c>
      <c r="N2873" s="1639">
        <v>1.896875229075855</v>
      </c>
      <c r="O2873" s="1639"/>
    </row>
    <row r="2874" spans="11:15">
      <c r="K2874" s="1636">
        <v>44931</v>
      </c>
      <c r="L2874" s="1637" t="s">
        <v>1650</v>
      </c>
      <c r="M2874" s="1638">
        <v>4.9036999999999997E-2</v>
      </c>
      <c r="N2874" s="1639">
        <v>1.8978053997819371</v>
      </c>
      <c r="O2874" s="1639"/>
    </row>
    <row r="2875" spans="11:15">
      <c r="K2875" s="1636">
        <v>44932</v>
      </c>
      <c r="L2875" s="1637" t="s">
        <v>1650</v>
      </c>
      <c r="M2875" s="1638">
        <v>4.9036999999999997E-2</v>
      </c>
      <c r="N2875" s="1639">
        <v>1.8987360266158282</v>
      </c>
      <c r="O2875" s="1639"/>
    </row>
    <row r="2876" spans="11:15">
      <c r="K2876" s="1636">
        <v>44933</v>
      </c>
      <c r="L2876" s="1637"/>
      <c r="M2876" s="1638">
        <v>0</v>
      </c>
      <c r="N2876" s="1639">
        <v>1.8987360266158282</v>
      </c>
      <c r="O2876" s="1639"/>
    </row>
    <row r="2877" spans="11:15">
      <c r="K2877" s="1636">
        <v>44934</v>
      </c>
      <c r="L2877" s="1637"/>
      <c r="M2877" s="1638">
        <v>0</v>
      </c>
      <c r="N2877" s="1639">
        <v>1.8987360266158282</v>
      </c>
      <c r="O2877" s="1639"/>
    </row>
    <row r="2878" spans="11:15">
      <c r="K2878" s="1636">
        <v>44935</v>
      </c>
      <c r="L2878" s="1637" t="s">
        <v>1650</v>
      </c>
      <c r="M2878" s="1638">
        <v>4.9036999999999997E-2</v>
      </c>
      <c r="N2878" s="1639">
        <v>1.8996671098011999</v>
      </c>
      <c r="O2878" s="1639"/>
    </row>
    <row r="2879" spans="11:15">
      <c r="K2879" s="1636">
        <v>44936</v>
      </c>
      <c r="L2879" s="1637" t="s">
        <v>1650</v>
      </c>
      <c r="M2879" s="1638">
        <v>4.9036999999999997E-2</v>
      </c>
      <c r="N2879" s="1639">
        <v>1.9005986495618332</v>
      </c>
      <c r="O2879" s="1639"/>
    </row>
    <row r="2880" spans="11:15">
      <c r="K2880" s="1636">
        <v>44937</v>
      </c>
      <c r="L2880" s="1637" t="s">
        <v>1650</v>
      </c>
      <c r="M2880" s="1638">
        <v>4.9036999999999997E-2</v>
      </c>
      <c r="N2880" s="1639">
        <v>1.901530646121619</v>
      </c>
      <c r="O2880" s="1639"/>
    </row>
    <row r="2881" spans="11:15">
      <c r="K2881" s="1636">
        <v>44938</v>
      </c>
      <c r="L2881" s="1637" t="s">
        <v>1650</v>
      </c>
      <c r="M2881" s="1638">
        <v>4.9036999999999997E-2</v>
      </c>
      <c r="N2881" s="1639">
        <v>1.9024630997045577</v>
      </c>
      <c r="O2881" s="1639"/>
    </row>
    <row r="2882" spans="11:15">
      <c r="K2882" s="1636">
        <v>44939</v>
      </c>
      <c r="L2882" s="1637" t="s">
        <v>1650</v>
      </c>
      <c r="M2882" s="1638">
        <v>4.9036999999999997E-2</v>
      </c>
      <c r="N2882" s="1639">
        <v>1.90339601053476</v>
      </c>
      <c r="O2882" s="1639"/>
    </row>
    <row r="2883" spans="11:15">
      <c r="K2883" s="1636">
        <v>44940</v>
      </c>
      <c r="L2883" s="1637"/>
      <c r="M2883" s="1638">
        <v>0</v>
      </c>
      <c r="N2883" s="1639">
        <v>1.90339601053476</v>
      </c>
      <c r="O2883" s="1639"/>
    </row>
    <row r="2884" spans="11:15">
      <c r="K2884" s="1636">
        <v>44941</v>
      </c>
      <c r="L2884" s="1637"/>
      <c r="M2884" s="1638">
        <v>0</v>
      </c>
      <c r="N2884" s="1639">
        <v>1.90339601053476</v>
      </c>
      <c r="O2884" s="1639"/>
    </row>
    <row r="2885" spans="11:15">
      <c r="K2885" s="1636">
        <v>44942</v>
      </c>
      <c r="L2885" s="1637" t="s">
        <v>1650</v>
      </c>
      <c r="M2885" s="1638">
        <v>4.9036999999999997E-2</v>
      </c>
      <c r="N2885" s="1639">
        <v>1.9043293788364462</v>
      </c>
      <c r="O2885" s="1639"/>
    </row>
    <row r="2886" spans="11:15">
      <c r="K2886" s="1636">
        <v>44943</v>
      </c>
      <c r="L2886" s="1637" t="s">
        <v>1650</v>
      </c>
      <c r="M2886" s="1638">
        <v>4.9036999999999997E-2</v>
      </c>
      <c r="N2886" s="1639">
        <v>1.9052632048339464</v>
      </c>
      <c r="O2886" s="1639"/>
    </row>
    <row r="2887" spans="11:15">
      <c r="K2887" s="1636">
        <v>44944</v>
      </c>
      <c r="L2887" s="1637" t="s">
        <v>1650</v>
      </c>
      <c r="M2887" s="1638">
        <v>4.9036999999999997E-2</v>
      </c>
      <c r="N2887" s="1639">
        <v>1.906197488751701</v>
      </c>
      <c r="O2887" s="1639"/>
    </row>
    <row r="2888" spans="11:15">
      <c r="K2888" s="1636">
        <v>44945</v>
      </c>
      <c r="L2888" s="1637" t="s">
        <v>1650</v>
      </c>
      <c r="M2888" s="1638">
        <v>4.9036999999999997E-2</v>
      </c>
      <c r="N2888" s="1639">
        <v>1.9071322308142604</v>
      </c>
      <c r="O2888" s="1639"/>
    </row>
    <row r="2889" spans="11:15">
      <c r="K2889" s="1636">
        <v>44946</v>
      </c>
      <c r="L2889" s="1637" t="s">
        <v>1650</v>
      </c>
      <c r="M2889" s="1638">
        <v>4.9036999999999997E-2</v>
      </c>
      <c r="N2889" s="1639">
        <v>1.9080674312462849</v>
      </c>
      <c r="O2889" s="1639"/>
    </row>
    <row r="2890" spans="11:15">
      <c r="K2890" s="1636">
        <v>44947</v>
      </c>
      <c r="L2890" s="1637"/>
      <c r="M2890" s="1638">
        <v>0</v>
      </c>
      <c r="N2890" s="1639">
        <v>1.9080674312462849</v>
      </c>
      <c r="O2890" s="1639"/>
    </row>
    <row r="2891" spans="11:15">
      <c r="K2891" s="1636">
        <v>44948</v>
      </c>
      <c r="L2891" s="1637"/>
      <c r="M2891" s="1638">
        <v>0</v>
      </c>
      <c r="N2891" s="1639">
        <v>1.9080674312462849</v>
      </c>
      <c r="O2891" s="1639"/>
    </row>
    <row r="2892" spans="11:15">
      <c r="K2892" s="1636">
        <v>44949</v>
      </c>
      <c r="L2892" s="1637" t="s">
        <v>1650</v>
      </c>
      <c r="M2892" s="1638">
        <v>4.9036999999999997E-2</v>
      </c>
      <c r="N2892" s="1639">
        <v>1.9090030902725452</v>
      </c>
      <c r="O2892" s="1639"/>
    </row>
    <row r="2893" spans="11:15">
      <c r="K2893" s="1636">
        <v>44950</v>
      </c>
      <c r="L2893" s="1637" t="s">
        <v>1650</v>
      </c>
      <c r="M2893" s="1638">
        <v>4.9036999999999997E-2</v>
      </c>
      <c r="N2893" s="1639">
        <v>1.9099392081179223</v>
      </c>
      <c r="O2893" s="1639"/>
    </row>
    <row r="2894" spans="11:15">
      <c r="K2894" s="1636">
        <v>44951</v>
      </c>
      <c r="L2894" s="1637" t="s">
        <v>1650</v>
      </c>
      <c r="M2894" s="1638">
        <v>4.9036999999999997E-2</v>
      </c>
      <c r="N2894" s="1639">
        <v>1.9108757850074072</v>
      </c>
      <c r="O2894" s="1639"/>
    </row>
    <row r="2895" spans="11:15">
      <c r="K2895" s="1636">
        <v>44952</v>
      </c>
      <c r="L2895" s="1637" t="s">
        <v>1650</v>
      </c>
      <c r="M2895" s="1638">
        <v>4.9036999999999997E-2</v>
      </c>
      <c r="N2895" s="1639">
        <v>1.9118128211661014</v>
      </c>
      <c r="O2895" s="1639"/>
    </row>
    <row r="2896" spans="11:15">
      <c r="K2896" s="1636">
        <v>44953</v>
      </c>
      <c r="L2896" s="1637" t="s">
        <v>1650</v>
      </c>
      <c r="M2896" s="1638">
        <v>4.9036999999999997E-2</v>
      </c>
      <c r="N2896" s="1639">
        <v>1.9127503168192168</v>
      </c>
      <c r="O2896" s="1639"/>
    </row>
    <row r="2897" spans="11:15">
      <c r="K2897" s="1636">
        <v>44954</v>
      </c>
      <c r="L2897" s="1637"/>
      <c r="M2897" s="1638">
        <v>0</v>
      </c>
      <c r="N2897" s="1639">
        <v>1.9127503168192168</v>
      </c>
      <c r="O2897" s="1639"/>
    </row>
    <row r="2898" spans="11:15">
      <c r="K2898" s="1636">
        <v>44955</v>
      </c>
      <c r="L2898" s="1637"/>
      <c r="M2898" s="1638">
        <v>0</v>
      </c>
      <c r="N2898" s="1639">
        <v>1.9127503168192168</v>
      </c>
      <c r="O2898" s="1639"/>
    </row>
    <row r="2899" spans="11:15">
      <c r="K2899" s="1636">
        <v>44956</v>
      </c>
      <c r="L2899" s="1637" t="s">
        <v>1650</v>
      </c>
      <c r="M2899" s="1638">
        <v>4.9036999999999997E-2</v>
      </c>
      <c r="N2899" s="1639">
        <v>1.9136882721920756</v>
      </c>
      <c r="O2899" s="1639"/>
    </row>
    <row r="2900" spans="11:15">
      <c r="K2900" s="1636">
        <v>44957</v>
      </c>
      <c r="L2900" s="1637" t="s">
        <v>1650</v>
      </c>
      <c r="M2900" s="1638">
        <v>4.9036999999999997E-2</v>
      </c>
      <c r="N2900" s="1639">
        <v>1.9146266875101106</v>
      </c>
      <c r="O2900" s="1639"/>
    </row>
    <row r="2901" spans="11:15">
      <c r="K2901" s="1636">
        <v>44958</v>
      </c>
      <c r="L2901" s="1637" t="s">
        <v>1650</v>
      </c>
      <c r="M2901" s="1638">
        <v>4.9036999999999997E-2</v>
      </c>
      <c r="N2901" s="1639">
        <v>1.915565562998865</v>
      </c>
      <c r="O2901" s="1639"/>
    </row>
    <row r="2902" spans="11:15">
      <c r="K2902" s="1636">
        <v>44959</v>
      </c>
      <c r="L2902" s="1637" t="s">
        <v>1650</v>
      </c>
      <c r="M2902" s="1638">
        <v>4.9036999999999997E-2</v>
      </c>
      <c r="N2902" s="1639">
        <v>1.916504898883993</v>
      </c>
      <c r="O2902" s="1639"/>
    </row>
    <row r="2903" spans="11:15">
      <c r="K2903" s="1636">
        <v>44960</v>
      </c>
      <c r="L2903" s="1637" t="s">
        <v>1650</v>
      </c>
      <c r="M2903" s="1638">
        <v>4.9036999999999997E-2</v>
      </c>
      <c r="N2903" s="1639">
        <v>1.9174446953912589</v>
      </c>
      <c r="O2903" s="1639"/>
    </row>
    <row r="2904" spans="11:15">
      <c r="K2904" s="1636">
        <v>44961</v>
      </c>
      <c r="L2904" s="1637"/>
      <c r="M2904" s="1638">
        <v>0</v>
      </c>
      <c r="N2904" s="1639">
        <v>1.9174446953912589</v>
      </c>
      <c r="O2904" s="1639"/>
    </row>
    <row r="2905" spans="11:15">
      <c r="K2905" s="1636">
        <v>44962</v>
      </c>
      <c r="L2905" s="1637"/>
      <c r="M2905" s="1638">
        <v>0</v>
      </c>
      <c r="N2905" s="1639">
        <v>1.9174446953912589</v>
      </c>
      <c r="O2905" s="1639"/>
    </row>
    <row r="2906" spans="11:15">
      <c r="K2906" s="1636">
        <v>44963</v>
      </c>
      <c r="L2906" s="1637" t="s">
        <v>1650</v>
      </c>
      <c r="M2906" s="1638">
        <v>4.9036999999999997E-2</v>
      </c>
      <c r="N2906" s="1639">
        <v>1.9183849527465382</v>
      </c>
      <c r="O2906" s="1639"/>
    </row>
    <row r="2907" spans="11:15">
      <c r="K2907" s="1636">
        <v>44964</v>
      </c>
      <c r="L2907" s="1637" t="s">
        <v>1650</v>
      </c>
      <c r="M2907" s="1638">
        <v>4.9036999999999997E-2</v>
      </c>
      <c r="N2907" s="1639">
        <v>1.9193256711758166</v>
      </c>
      <c r="O2907" s="1639"/>
    </row>
    <row r="2908" spans="11:15">
      <c r="K2908" s="1636">
        <v>44965</v>
      </c>
      <c r="L2908" s="1637" t="s">
        <v>1650</v>
      </c>
      <c r="M2908" s="1638">
        <v>4.9036999999999997E-2</v>
      </c>
      <c r="N2908" s="1639">
        <v>1.9202668509051912</v>
      </c>
      <c r="O2908" s="1639"/>
    </row>
    <row r="2909" spans="11:15">
      <c r="K2909" s="1636">
        <v>44966</v>
      </c>
      <c r="L2909" s="1637" t="s">
        <v>1650</v>
      </c>
      <c r="M2909" s="1638">
        <v>4.9036999999999997E-2</v>
      </c>
      <c r="N2909" s="1639">
        <v>1.9212084921608696</v>
      </c>
      <c r="O2909" s="1639"/>
    </row>
    <row r="2910" spans="11:15">
      <c r="K2910" s="1636">
        <v>44967</v>
      </c>
      <c r="L2910" s="1637" t="s">
        <v>1650</v>
      </c>
      <c r="M2910" s="1638">
        <v>4.9036999999999997E-2</v>
      </c>
      <c r="N2910" s="1639">
        <v>1.9221505951691706</v>
      </c>
      <c r="O2910" s="1639"/>
    </row>
    <row r="2911" spans="11:15">
      <c r="K2911" s="1636">
        <v>44968</v>
      </c>
      <c r="L2911" s="1637"/>
      <c r="M2911" s="1638">
        <v>0</v>
      </c>
      <c r="N2911" s="1639">
        <v>1.9221505951691706</v>
      </c>
      <c r="O2911" s="1639"/>
    </row>
    <row r="2912" spans="11:15">
      <c r="K2912" s="1636">
        <v>44969</v>
      </c>
      <c r="L2912" s="1637"/>
      <c r="M2912" s="1638">
        <v>0</v>
      </c>
      <c r="N2912" s="1639">
        <v>1.9221505951691706</v>
      </c>
      <c r="O2912" s="1639"/>
    </row>
    <row r="2913" spans="11:15">
      <c r="K2913" s="1636">
        <v>44970</v>
      </c>
      <c r="L2913" s="1637" t="s">
        <v>1650</v>
      </c>
      <c r="M2913" s="1638">
        <v>4.9036999999999997E-2</v>
      </c>
      <c r="N2913" s="1639">
        <v>1.923093160156524</v>
      </c>
      <c r="O2913" s="1639"/>
    </row>
    <row r="2914" spans="11:15">
      <c r="K2914" s="1636">
        <v>44971</v>
      </c>
      <c r="L2914" s="1637" t="s">
        <v>1650</v>
      </c>
      <c r="M2914" s="1638">
        <v>4.9036999999999997E-2</v>
      </c>
      <c r="N2914" s="1639">
        <v>1.92403618734947</v>
      </c>
      <c r="O2914" s="1639"/>
    </row>
    <row r="2915" spans="11:15">
      <c r="K2915" s="1636">
        <v>44972</v>
      </c>
      <c r="L2915" s="1637" t="s">
        <v>1650</v>
      </c>
      <c r="M2915" s="1638">
        <v>4.9036999999999997E-2</v>
      </c>
      <c r="N2915" s="1639">
        <v>1.9249796769746608</v>
      </c>
      <c r="O2915" s="1639"/>
    </row>
    <row r="2916" spans="11:15">
      <c r="K2916" s="1636">
        <v>44973</v>
      </c>
      <c r="L2916" s="1637" t="s">
        <v>1650</v>
      </c>
      <c r="M2916" s="1638">
        <v>4.9036999999999997E-2</v>
      </c>
      <c r="N2916" s="1639">
        <v>1.9259236292588591</v>
      </c>
      <c r="O2916" s="1639"/>
    </row>
    <row r="2917" spans="11:15">
      <c r="K2917" s="1636">
        <v>44974</v>
      </c>
      <c r="L2917" s="1637" t="s">
        <v>1650</v>
      </c>
      <c r="M2917" s="1638">
        <v>4.9036999999999997E-2</v>
      </c>
      <c r="N2917" s="1639">
        <v>1.9268680444289388</v>
      </c>
      <c r="O2917" s="1639"/>
    </row>
    <row r="2918" spans="11:15">
      <c r="K2918" s="1636">
        <v>44975</v>
      </c>
      <c r="L2918" s="1637"/>
      <c r="M2918" s="1638">
        <v>0</v>
      </c>
      <c r="N2918" s="1639">
        <v>1.9268680444289388</v>
      </c>
      <c r="O2918" s="1639"/>
    </row>
    <row r="2919" spans="11:15">
      <c r="K2919" s="1636">
        <v>44976</v>
      </c>
      <c r="L2919" s="1637"/>
      <c r="M2919" s="1638">
        <v>0</v>
      </c>
      <c r="N2919" s="1639">
        <v>1.9268680444289388</v>
      </c>
      <c r="O2919" s="1639"/>
    </row>
    <row r="2920" spans="11:15">
      <c r="K2920" s="1636">
        <v>44977</v>
      </c>
      <c r="L2920" s="1637"/>
      <c r="M2920" s="1638">
        <v>0</v>
      </c>
      <c r="N2920" s="1639">
        <v>1.9268680444289388</v>
      </c>
      <c r="O2920" s="1639"/>
    </row>
    <row r="2921" spans="11:15">
      <c r="K2921" s="1636">
        <v>44978</v>
      </c>
      <c r="L2921" s="1637"/>
      <c r="M2921" s="1638">
        <v>0</v>
      </c>
      <c r="N2921" s="1639">
        <v>1.9268680444289388</v>
      </c>
      <c r="O2921" s="1639"/>
    </row>
    <row r="2922" spans="11:15">
      <c r="K2922" s="1636">
        <v>44979</v>
      </c>
      <c r="L2922" s="1637" t="s">
        <v>1650</v>
      </c>
      <c r="M2922" s="1638">
        <v>4.9036999999999997E-2</v>
      </c>
      <c r="N2922" s="1639">
        <v>1.9278129227118856</v>
      </c>
      <c r="O2922" s="1639"/>
    </row>
    <row r="2923" spans="11:15">
      <c r="K2923" s="1636">
        <v>44980</v>
      </c>
      <c r="L2923" s="1637" t="s">
        <v>1650</v>
      </c>
      <c r="M2923" s="1638">
        <v>4.9036999999999997E-2</v>
      </c>
      <c r="N2923" s="1639">
        <v>1.928758264334796</v>
      </c>
      <c r="O2923" s="1639"/>
    </row>
    <row r="2924" spans="11:15">
      <c r="K2924" s="1636">
        <v>44981</v>
      </c>
      <c r="L2924" s="1637" t="s">
        <v>1650</v>
      </c>
      <c r="M2924" s="1638">
        <v>4.9036999999999997E-2</v>
      </c>
      <c r="N2924" s="1639">
        <v>1.9297040695248779</v>
      </c>
      <c r="O2924" s="1639"/>
    </row>
    <row r="2925" spans="11:15">
      <c r="K2925" s="1636">
        <v>44982</v>
      </c>
      <c r="L2925" s="1637"/>
      <c r="M2925" s="1638">
        <v>0</v>
      </c>
      <c r="N2925" s="1639">
        <v>1.9297040695248779</v>
      </c>
      <c r="O2925" s="1639"/>
    </row>
    <row r="2926" spans="11:15">
      <c r="K2926" s="1636">
        <v>44983</v>
      </c>
      <c r="L2926" s="1637"/>
      <c r="M2926" s="1638">
        <v>0</v>
      </c>
      <c r="N2926" s="1639">
        <v>1.9297040695248779</v>
      </c>
      <c r="O2926" s="1639"/>
    </row>
    <row r="2927" spans="11:15">
      <c r="K2927" s="1636">
        <v>44984</v>
      </c>
      <c r="L2927" s="1637" t="s">
        <v>1650</v>
      </c>
      <c r="M2927" s="1638">
        <v>4.9036999999999997E-2</v>
      </c>
      <c r="N2927" s="1639">
        <v>1.9306503385094509</v>
      </c>
      <c r="O2927" s="1639"/>
    </row>
    <row r="2928" spans="11:15">
      <c r="K2928" s="1636">
        <v>44985</v>
      </c>
      <c r="L2928" s="1637" t="s">
        <v>1650</v>
      </c>
      <c r="M2928" s="1638">
        <v>4.9036999999999997E-2</v>
      </c>
      <c r="N2928" s="1639">
        <v>1.9315970715159458</v>
      </c>
      <c r="O2928" s="1639"/>
    </row>
    <row r="2929" spans="11:15">
      <c r="K2929" s="1636">
        <v>44986</v>
      </c>
      <c r="L2929" s="1637" t="s">
        <v>1650</v>
      </c>
      <c r="M2929" s="1638">
        <v>4.9036999999999997E-2</v>
      </c>
      <c r="N2929" s="1639">
        <v>1.9325442687719052</v>
      </c>
      <c r="O2929" s="1639"/>
    </row>
    <row r="2930" spans="11:15">
      <c r="K2930" s="1636">
        <v>44987</v>
      </c>
      <c r="L2930" s="1562" t="s">
        <v>1650</v>
      </c>
      <c r="M2930" s="893">
        <v>4.9036999999999997E-2</v>
      </c>
      <c r="N2930" s="1562">
        <v>1.9334919305049831</v>
      </c>
      <c r="O2930" s="1562"/>
    </row>
    <row r="2931" spans="11:15">
      <c r="K2931" s="1636">
        <v>44988</v>
      </c>
      <c r="L2931" s="1562" t="s">
        <v>1650</v>
      </c>
      <c r="M2931" s="893">
        <v>4.9036999999999997E-2</v>
      </c>
      <c r="N2931" s="1562">
        <v>1.934440056942945</v>
      </c>
      <c r="O2931" s="1562"/>
    </row>
    <row r="2932" spans="11:15">
      <c r="K2932" s="1636">
        <v>44989</v>
      </c>
      <c r="L2932" s="1562"/>
      <c r="M2932" s="893">
        <v>0</v>
      </c>
      <c r="N2932" s="1562">
        <v>1.934440056942945</v>
      </c>
      <c r="O2932" s="1562"/>
    </row>
    <row r="2933" spans="11:15">
      <c r="K2933" s="1636">
        <v>44990</v>
      </c>
      <c r="L2933" s="1562"/>
      <c r="M2933" s="893">
        <v>0</v>
      </c>
      <c r="N2933" s="1562">
        <v>1.934440056942945</v>
      </c>
      <c r="O2933" s="1562"/>
    </row>
    <row r="2934" spans="11:15">
      <c r="K2934" s="1636">
        <v>44991</v>
      </c>
      <c r="L2934" s="1562" t="s">
        <v>1650</v>
      </c>
      <c r="M2934" s="893">
        <v>4.9036999999999997E-2</v>
      </c>
      <c r="N2934" s="1562">
        <v>1.9353886483136682</v>
      </c>
      <c r="O2934" s="1562"/>
    </row>
    <row r="2935" spans="11:15">
      <c r="K2935" s="1636">
        <v>44992</v>
      </c>
      <c r="L2935" s="1562" t="s">
        <v>1650</v>
      </c>
      <c r="M2935" s="893">
        <v>4.9036999999999997E-2</v>
      </c>
      <c r="N2935" s="1562">
        <v>1.936337704845142</v>
      </c>
      <c r="O2935" s="1562"/>
    </row>
    <row r="2936" spans="11:15">
      <c r="K2936" s="1636">
        <v>44993</v>
      </c>
      <c r="L2936" s="1562" t="s">
        <v>1650</v>
      </c>
      <c r="M2936" s="893">
        <v>4.9036999999999997E-2</v>
      </c>
      <c r="N2936" s="1562">
        <v>1.9372872267654671</v>
      </c>
      <c r="O2936" s="1562"/>
    </row>
    <row r="2937" spans="11:15">
      <c r="K2937" s="1636">
        <v>44994</v>
      </c>
      <c r="L2937" s="1562" t="s">
        <v>1650</v>
      </c>
      <c r="M2937" s="893">
        <v>4.9036999999999997E-2</v>
      </c>
      <c r="N2937" s="1562">
        <v>1.9382372143028561</v>
      </c>
      <c r="O2937" s="1562"/>
    </row>
    <row r="2938" spans="11:15">
      <c r="K2938" s="1636">
        <v>44995</v>
      </c>
      <c r="L2938" s="1562" t="s">
        <v>1650</v>
      </c>
      <c r="M2938" s="893">
        <v>4.9036999999999997E-2</v>
      </c>
      <c r="N2938" s="1562">
        <v>1.9391876676856339</v>
      </c>
      <c r="O2938" s="1562"/>
    </row>
    <row r="2939" spans="11:15">
      <c r="K2939" s="1636">
        <v>44996</v>
      </c>
      <c r="L2939" s="1562"/>
      <c r="M2939" s="893">
        <v>0</v>
      </c>
      <c r="N2939" s="1562">
        <v>1.9391876676856339</v>
      </c>
      <c r="O2939" s="1562"/>
    </row>
    <row r="2940" spans="11:15">
      <c r="K2940" s="1636">
        <v>44997</v>
      </c>
      <c r="L2940" s="1562"/>
      <c r="M2940" s="893">
        <v>0</v>
      </c>
      <c r="N2940" s="1562">
        <v>1.9391876676856339</v>
      </c>
      <c r="O2940" s="1562"/>
    </row>
    <row r="2941" spans="11:15">
      <c r="K2941" s="1636">
        <v>44998</v>
      </c>
      <c r="L2941" s="1562" t="s">
        <v>1650</v>
      </c>
      <c r="M2941" s="893">
        <v>4.9036999999999997E-2</v>
      </c>
      <c r="N2941" s="1562">
        <v>1.940138587142237</v>
      </c>
      <c r="O2941" s="1562"/>
    </row>
    <row r="2942" spans="11:15">
      <c r="K2942" s="1636">
        <v>44999</v>
      </c>
      <c r="L2942" s="1562" t="s">
        <v>1650</v>
      </c>
      <c r="M2942" s="893">
        <v>4.9036999999999997E-2</v>
      </c>
      <c r="N2942" s="1562">
        <v>1.9410899729012141</v>
      </c>
      <c r="O2942" s="1562"/>
    </row>
    <row r="2943" spans="11:15">
      <c r="K2943" s="1636">
        <v>45000</v>
      </c>
      <c r="L2943" s="1562" t="s">
        <v>1650</v>
      </c>
      <c r="M2943" s="893">
        <v>4.9036999999999997E-2</v>
      </c>
      <c r="N2943" s="1562">
        <v>1.9420418251912257</v>
      </c>
      <c r="O2943" s="1562"/>
    </row>
    <row r="2944" spans="11:15">
      <c r="K2944" s="1636">
        <v>45001</v>
      </c>
      <c r="L2944" s="1562" t="s">
        <v>1650</v>
      </c>
      <c r="M2944" s="893">
        <v>4.9036999999999997E-2</v>
      </c>
      <c r="N2944" s="1562">
        <v>1.9429941442410448</v>
      </c>
      <c r="O2944" s="1562"/>
    </row>
    <row r="2945" spans="11:15">
      <c r="K2945" s="1636">
        <v>45002</v>
      </c>
      <c r="L2945" s="1562" t="s">
        <v>1650</v>
      </c>
      <c r="M2945" s="893">
        <v>4.9036999999999997E-2</v>
      </c>
      <c r="N2945" s="1562">
        <v>1.9439469302795565</v>
      </c>
      <c r="O2945" s="1562"/>
    </row>
    <row r="2946" spans="11:15">
      <c r="K2946" s="1636">
        <v>45003</v>
      </c>
      <c r="L2946" s="1562"/>
      <c r="M2946" s="893">
        <v>0</v>
      </c>
      <c r="N2946" s="1562">
        <v>1.9439469302795565</v>
      </c>
      <c r="O2946" s="1562"/>
    </row>
    <row r="2947" spans="11:15">
      <c r="K2947" s="1636">
        <v>45004</v>
      </c>
      <c r="L2947" s="1562"/>
      <c r="M2947" s="893">
        <v>0</v>
      </c>
      <c r="N2947" s="1562">
        <v>1.9439469302795565</v>
      </c>
      <c r="O2947" s="1562"/>
    </row>
    <row r="2948" spans="11:15">
      <c r="K2948" s="1636">
        <v>45005</v>
      </c>
      <c r="L2948" s="1562" t="s">
        <v>1650</v>
      </c>
      <c r="M2948" s="893">
        <v>4.9036999999999997E-2</v>
      </c>
      <c r="N2948" s="1562">
        <v>1.9449001835357578</v>
      </c>
      <c r="O2948" s="1562"/>
    </row>
    <row r="2949" spans="11:15">
      <c r="K2949" s="1636">
        <v>45006</v>
      </c>
      <c r="L2949" s="1562" t="s">
        <v>1650</v>
      </c>
      <c r="M2949" s="893">
        <v>4.9036999999999997E-2</v>
      </c>
      <c r="N2949" s="1562">
        <v>1.9458539042387584</v>
      </c>
      <c r="O2949" s="1562"/>
    </row>
    <row r="2950" spans="11:15">
      <c r="K2950" s="1636">
        <v>45007</v>
      </c>
      <c r="L2950" s="1562" t="s">
        <v>1650</v>
      </c>
      <c r="M2950" s="893">
        <v>4.9036999999999997E-2</v>
      </c>
      <c r="N2950" s="1562">
        <v>1.94680809261778</v>
      </c>
      <c r="O2950" s="1562"/>
    </row>
    <row r="2951" spans="11:15">
      <c r="K2951" s="1636">
        <v>45008</v>
      </c>
      <c r="L2951" s="1562" t="s">
        <v>1650</v>
      </c>
      <c r="M2951" s="893">
        <v>4.9036999999999997E-2</v>
      </c>
      <c r="N2951" s="1562">
        <v>1.9477627489021572</v>
      </c>
      <c r="O2951" s="1562"/>
    </row>
    <row r="2952" spans="11:15">
      <c r="K2952" s="1636">
        <v>45009</v>
      </c>
      <c r="L2952" s="1562" t="s">
        <v>1650</v>
      </c>
      <c r="M2952" s="893">
        <v>4.9036999999999997E-2</v>
      </c>
      <c r="N2952" s="1562">
        <v>1.9487178733213364</v>
      </c>
      <c r="O2952" s="1562"/>
    </row>
    <row r="2953" spans="11:15">
      <c r="K2953" s="1636">
        <v>45010</v>
      </c>
      <c r="L2953" s="1562"/>
      <c r="M2953" s="893">
        <v>0</v>
      </c>
      <c r="N2953" s="1562">
        <v>1.9487178733213364</v>
      </c>
      <c r="O2953" s="1562"/>
    </row>
    <row r="2954" spans="11:15">
      <c r="K2954" s="1636">
        <v>45011</v>
      </c>
      <c r="L2954" s="1562"/>
      <c r="M2954" s="893">
        <v>0</v>
      </c>
      <c r="N2954" s="1562">
        <v>1.9487178733213364</v>
      </c>
      <c r="O2954" s="1562"/>
    </row>
    <row r="2955" spans="11:15">
      <c r="K2955" s="1636">
        <v>45012</v>
      </c>
      <c r="L2955" s="1562" t="s">
        <v>1650</v>
      </c>
      <c r="M2955" s="893">
        <v>4.9036999999999997E-2</v>
      </c>
      <c r="N2955" s="1562">
        <v>1.9496734661048771</v>
      </c>
      <c r="O2955" s="1562"/>
    </row>
    <row r="2956" spans="11:15">
      <c r="K2956" s="1636">
        <v>45013</v>
      </c>
      <c r="L2956" s="1562" t="s">
        <v>1650</v>
      </c>
      <c r="M2956" s="893">
        <v>4.9036999999999997E-2</v>
      </c>
      <c r="N2956" s="1562">
        <v>1.9506295274824512</v>
      </c>
      <c r="O2956" s="1562"/>
    </row>
    <row r="2957" spans="11:15">
      <c r="K2957" s="1636">
        <v>45014</v>
      </c>
      <c r="L2957" s="1562" t="s">
        <v>1650</v>
      </c>
      <c r="M2957" s="893">
        <v>4.9036999999999997E-2</v>
      </c>
      <c r="N2957" s="1562">
        <v>1.9515860576838429</v>
      </c>
      <c r="O2957" s="1562"/>
    </row>
    <row r="2958" spans="11:15">
      <c r="K2958" s="1636">
        <v>45015</v>
      </c>
      <c r="L2958" s="1562" t="s">
        <v>1650</v>
      </c>
      <c r="M2958" s="893">
        <v>4.9036999999999997E-2</v>
      </c>
      <c r="N2958" s="1562">
        <v>1.9525430569389495</v>
      </c>
      <c r="O2958" s="1562"/>
    </row>
    <row r="2959" spans="11:15">
      <c r="K2959" s="1636">
        <v>45016</v>
      </c>
      <c r="L2959" s="1562" t="s">
        <v>1650</v>
      </c>
      <c r="M2959" s="893">
        <v>4.9036999999999997E-2</v>
      </c>
      <c r="N2959" s="1562">
        <v>1.9535005254777809</v>
      </c>
      <c r="O2959" s="1562"/>
    </row>
    <row r="2960" spans="11:15">
      <c r="K2960" s="1636">
        <v>45017</v>
      </c>
      <c r="L2960" s="1562"/>
      <c r="M2960" s="893">
        <v>0</v>
      </c>
      <c r="N2960" s="1562">
        <v>1.9535005254777809</v>
      </c>
      <c r="O2960" s="1562"/>
    </row>
    <row r="2961" spans="11:15">
      <c r="K2961" s="1636">
        <v>45018</v>
      </c>
      <c r="L2961" s="1562"/>
      <c r="M2961" s="893">
        <v>0</v>
      </c>
      <c r="N2961" s="1562">
        <v>1.9535005254777809</v>
      </c>
      <c r="O2961" s="1562"/>
    </row>
    <row r="2962" spans="11:15">
      <c r="K2962" s="1636">
        <v>45019</v>
      </c>
      <c r="L2962" s="1562" t="s">
        <v>1650</v>
      </c>
      <c r="M2962" s="893">
        <v>4.9036999999999997E-2</v>
      </c>
      <c r="N2962" s="1562">
        <v>1.9544584635304596</v>
      </c>
      <c r="O2962" s="1562"/>
    </row>
    <row r="2963" spans="11:15">
      <c r="K2963" s="1636">
        <v>45020</v>
      </c>
      <c r="L2963" s="1562" t="s">
        <v>1650</v>
      </c>
      <c r="M2963" s="893">
        <v>4.9036999999999997E-2</v>
      </c>
      <c r="N2963" s="1562">
        <v>1.9554168713272211</v>
      </c>
      <c r="O2963" s="1562"/>
    </row>
    <row r="2964" spans="11:15">
      <c r="K2964" s="1636">
        <v>45021</v>
      </c>
      <c r="L2964" s="1562" t="s">
        <v>1650</v>
      </c>
      <c r="M2964" s="893">
        <v>4.9036999999999997E-2</v>
      </c>
      <c r="N2964" s="1562">
        <v>1.9563757490984139</v>
      </c>
      <c r="O2964" s="1562"/>
    </row>
    <row r="2965" spans="11:15">
      <c r="K2965" s="1636">
        <v>45022</v>
      </c>
      <c r="L2965" s="1562" t="s">
        <v>1650</v>
      </c>
      <c r="M2965" s="893">
        <v>4.9036999999999997E-2</v>
      </c>
      <c r="N2965" s="1562">
        <v>1.9573350970744994</v>
      </c>
      <c r="O2965" s="1562"/>
    </row>
    <row r="2966" spans="11:15">
      <c r="K2966" s="1636">
        <v>45023</v>
      </c>
      <c r="L2966" s="1562"/>
      <c r="M2966" s="893">
        <v>0</v>
      </c>
      <c r="N2966" s="1562">
        <v>1.9573350970744994</v>
      </c>
      <c r="O2966" s="1562"/>
    </row>
    <row r="2967" spans="11:15">
      <c r="K2967" s="1636">
        <v>45024</v>
      </c>
      <c r="L2967" s="1562"/>
      <c r="M2967" s="893">
        <v>0</v>
      </c>
      <c r="N2967" s="1562">
        <v>1.9573350970744994</v>
      </c>
      <c r="O2967" s="1562"/>
    </row>
    <row r="2968" spans="11:15">
      <c r="K2968" s="1636">
        <v>45025</v>
      </c>
      <c r="L2968" s="1562"/>
      <c r="M2968" s="893">
        <v>0</v>
      </c>
      <c r="N2968" s="1562">
        <v>1.9573350970744994</v>
      </c>
      <c r="O2968" s="1562"/>
    </row>
    <row r="2969" spans="11:15">
      <c r="K2969" s="1636">
        <v>45026</v>
      </c>
      <c r="L2969" s="1562" t="s">
        <v>1650</v>
      </c>
      <c r="M2969" s="893">
        <v>4.9036999999999997E-2</v>
      </c>
      <c r="N2969" s="1562">
        <v>1.9582949154860518</v>
      </c>
      <c r="O2969" s="1562"/>
    </row>
    <row r="2970" spans="11:15">
      <c r="K2970" s="1636">
        <v>45027</v>
      </c>
      <c r="L2970" s="1562" t="s">
        <v>1650</v>
      </c>
      <c r="M2970" s="893">
        <v>4.9036999999999997E-2</v>
      </c>
      <c r="N2970" s="1562">
        <v>1.9592552045637588</v>
      </c>
      <c r="O2970" s="1562"/>
    </row>
    <row r="2971" spans="11:15">
      <c r="K2971" s="1636">
        <v>45028</v>
      </c>
      <c r="L2971" s="1562" t="s">
        <v>1650</v>
      </c>
      <c r="M2971" s="893">
        <v>4.9036999999999997E-2</v>
      </c>
      <c r="N2971" s="1562">
        <v>1.960215964538421</v>
      </c>
      <c r="O2971" s="1562"/>
    </row>
    <row r="2972" spans="11:15">
      <c r="K2972" s="1636">
        <v>45029</v>
      </c>
      <c r="L2972" s="1562" t="s">
        <v>1650</v>
      </c>
      <c r="M2972" s="893">
        <v>4.9036999999999997E-2</v>
      </c>
      <c r="N2972" s="1562">
        <v>1.9611771956409518</v>
      </c>
      <c r="O2972" s="1562"/>
    </row>
    <row r="2973" spans="11:15">
      <c r="K2973" s="1636">
        <v>45030</v>
      </c>
      <c r="L2973" s="1562" t="s">
        <v>1650</v>
      </c>
      <c r="M2973" s="893">
        <v>4.9036999999999997E-2</v>
      </c>
      <c r="N2973" s="1562">
        <v>1.9621388981023784</v>
      </c>
      <c r="O2973" s="1562"/>
    </row>
    <row r="2974" spans="11:15">
      <c r="K2974" s="1636">
        <v>45031</v>
      </c>
      <c r="L2974" s="1562"/>
      <c r="M2974" s="893">
        <v>0</v>
      </c>
      <c r="N2974" s="1562">
        <v>1.9621388981023784</v>
      </c>
      <c r="O2974" s="1562"/>
    </row>
    <row r="2975" spans="11:15">
      <c r="K2975" s="1636">
        <v>45032</v>
      </c>
      <c r="L2975" s="1562"/>
      <c r="M2975" s="893">
        <v>0</v>
      </c>
      <c r="N2975" s="1562">
        <v>1.9621388981023784</v>
      </c>
      <c r="O2975" s="1562"/>
    </row>
    <row r="2976" spans="11:15">
      <c r="K2976" s="1636">
        <v>45033</v>
      </c>
      <c r="L2976" s="1562" t="s">
        <v>1650</v>
      </c>
      <c r="M2976" s="893">
        <v>4.9036999999999997E-2</v>
      </c>
      <c r="N2976" s="1562">
        <v>1.9631010721538411</v>
      </c>
      <c r="O2976" s="1562"/>
    </row>
    <row r="2977" spans="11:15">
      <c r="K2977" s="1636">
        <v>45034</v>
      </c>
      <c r="L2977" s="1562" t="s">
        <v>1650</v>
      </c>
      <c r="M2977" s="893">
        <v>4.9036999999999997E-2</v>
      </c>
      <c r="N2977" s="1562">
        <v>1.9640637180265934</v>
      </c>
      <c r="O2977" s="1562"/>
    </row>
    <row r="2978" spans="11:15">
      <c r="K2978" s="1636">
        <v>45035</v>
      </c>
      <c r="L2978" s="1562" t="s">
        <v>1650</v>
      </c>
      <c r="M2978" s="893">
        <v>4.9036999999999997E-2</v>
      </c>
      <c r="N2978" s="1562">
        <v>1.9650268359520022</v>
      </c>
      <c r="O2978" s="1562"/>
    </row>
    <row r="2979" spans="11:15">
      <c r="K2979" s="1636">
        <v>45036</v>
      </c>
      <c r="L2979" s="1562" t="s">
        <v>1650</v>
      </c>
      <c r="M2979" s="893">
        <v>4.9036999999999997E-2</v>
      </c>
      <c r="N2979" s="1562">
        <v>1.9659904261615482</v>
      </c>
      <c r="O2979" s="1562"/>
    </row>
    <row r="2980" spans="11:15">
      <c r="K2980" s="1636">
        <v>45037</v>
      </c>
      <c r="L2980" s="1562"/>
      <c r="M2980" s="893">
        <v>0</v>
      </c>
      <c r="N2980" s="1562">
        <v>1.9659904261615482</v>
      </c>
      <c r="O2980" s="1562"/>
    </row>
    <row r="2981" spans="11:15">
      <c r="K2981" s="1636">
        <v>45038</v>
      </c>
      <c r="L2981" s="1562"/>
      <c r="M2981" s="893">
        <v>0</v>
      </c>
      <c r="N2981" s="1562">
        <v>1.9659904261615482</v>
      </c>
      <c r="O2981" s="1562"/>
    </row>
    <row r="2982" spans="11:15">
      <c r="K2982" s="1636">
        <v>45039</v>
      </c>
      <c r="L2982" s="1562"/>
      <c r="M2982" s="893">
        <v>0</v>
      </c>
      <c r="N2982" s="1562">
        <v>1.9659904261615482</v>
      </c>
      <c r="O2982" s="1562"/>
    </row>
    <row r="2983" spans="11:15">
      <c r="K2983" s="1636">
        <v>45040</v>
      </c>
      <c r="L2983" s="1562" t="s">
        <v>1650</v>
      </c>
      <c r="M2983" s="893">
        <v>4.9036999999999997E-2</v>
      </c>
      <c r="N2983" s="1562">
        <v>1.9669544888868251</v>
      </c>
      <c r="O2983" s="1562"/>
    </row>
    <row r="2984" spans="11:15">
      <c r="K2984" s="1636">
        <v>45041</v>
      </c>
      <c r="L2984" s="1562" t="s">
        <v>1650</v>
      </c>
      <c r="M2984" s="893">
        <v>4.9036999999999997E-2</v>
      </c>
      <c r="N2984" s="1562">
        <v>1.9679190243595406</v>
      </c>
      <c r="O2984" s="1562"/>
    </row>
    <row r="2985" spans="11:15">
      <c r="K2985" s="1636">
        <v>45042</v>
      </c>
      <c r="L2985" s="1562" t="s">
        <v>1650</v>
      </c>
      <c r="M2985" s="893">
        <v>4.9036999999999997E-2</v>
      </c>
      <c r="N2985" s="1562">
        <v>1.9688840328115158</v>
      </c>
      <c r="O2985" s="1562"/>
    </row>
    <row r="2986" spans="11:15">
      <c r="K2986" s="1636">
        <v>45043</v>
      </c>
      <c r="L2986" s="1562" t="s">
        <v>1650</v>
      </c>
      <c r="M2986" s="893">
        <v>4.9036999999999997E-2</v>
      </c>
      <c r="N2986" s="1562">
        <v>1.9698495144746857</v>
      </c>
      <c r="O2986" s="1562"/>
    </row>
    <row r="2987" spans="11:15">
      <c r="K2987" s="1636">
        <v>45044</v>
      </c>
      <c r="L2987" s="1562" t="s">
        <v>1650</v>
      </c>
      <c r="M2987" s="893">
        <v>4.9036999999999997E-2</v>
      </c>
      <c r="N2987" s="1562">
        <v>1.9708154695810989</v>
      </c>
      <c r="O2987" s="1562"/>
    </row>
    <row r="2988" spans="11:15">
      <c r="K2988" s="1636">
        <v>45045</v>
      </c>
      <c r="L2988" s="1562"/>
      <c r="M2988" s="893">
        <v>0</v>
      </c>
      <c r="N2988" s="1562">
        <v>1.9708154695810989</v>
      </c>
      <c r="O2988" s="1562"/>
    </row>
    <row r="2989" spans="11:15">
      <c r="K2989" s="1636">
        <v>45046</v>
      </c>
      <c r="L2989" s="1562"/>
      <c r="M2989" s="893">
        <v>0</v>
      </c>
      <c r="N2989" s="1562">
        <v>1.9708154695810989</v>
      </c>
      <c r="O2989" s="1562"/>
    </row>
    <row r="2990" spans="11:15">
      <c r="K2990" s="1636">
        <v>45047</v>
      </c>
      <c r="L2990" s="1562"/>
      <c r="M2990" s="893">
        <v>0</v>
      </c>
      <c r="N2990" s="1562">
        <v>1.9708154695810989</v>
      </c>
      <c r="O2990" s="1562"/>
    </row>
    <row r="2991" spans="11:15">
      <c r="K2991" s="1636">
        <v>45048</v>
      </c>
      <c r="L2991" s="1562" t="s">
        <v>1650</v>
      </c>
      <c r="M2991" s="893">
        <v>4.9036999999999997E-2</v>
      </c>
      <c r="N2991" s="1562">
        <v>1.9717818983629174</v>
      </c>
      <c r="O2991" s="1562"/>
    </row>
    <row r="2992" spans="11:15">
      <c r="K2992" s="1636">
        <v>45049</v>
      </c>
      <c r="L2992" s="1562" t="s">
        <v>1650</v>
      </c>
      <c r="M2992" s="893">
        <v>4.9036999999999997E-2</v>
      </c>
      <c r="N2992" s="1562">
        <v>1.9727488010524177</v>
      </c>
      <c r="O2992" s="1562"/>
    </row>
    <row r="2993" spans="11:15">
      <c r="K2993" s="1636">
        <v>45050</v>
      </c>
      <c r="L2993" s="1562" t="s">
        <v>1650</v>
      </c>
      <c r="M2993" s="893">
        <v>4.9036999999999997E-2</v>
      </c>
      <c r="N2993" s="1562">
        <v>1.9737161778819898</v>
      </c>
      <c r="O2993" s="1562"/>
    </row>
    <row r="2994" spans="11:15">
      <c r="K2994" s="1636">
        <v>45051</v>
      </c>
      <c r="L2994" s="1562" t="s">
        <v>1650</v>
      </c>
      <c r="M2994" s="893">
        <v>4.9036999999999997E-2</v>
      </c>
      <c r="N2994" s="1562">
        <v>1.9746840290841379</v>
      </c>
      <c r="O2994" s="1562"/>
    </row>
    <row r="2995" spans="11:15">
      <c r="K2995" s="1636">
        <v>45052</v>
      </c>
      <c r="L2995" s="1562"/>
      <c r="M2995" s="893">
        <v>0</v>
      </c>
      <c r="N2995" s="1562">
        <v>1.9746840290841379</v>
      </c>
      <c r="O2995" s="1562"/>
    </row>
    <row r="2996" spans="11:15">
      <c r="K2996" s="1636">
        <v>45053</v>
      </c>
      <c r="L2996" s="1562"/>
      <c r="M2996" s="893">
        <v>0</v>
      </c>
      <c r="N2996" s="1562">
        <v>1.9746840290841379</v>
      </c>
      <c r="O2996" s="1562"/>
    </row>
    <row r="2997" spans="11:15">
      <c r="K2997" s="1636">
        <v>45054</v>
      </c>
      <c r="L2997" s="1562" t="s">
        <v>1650</v>
      </c>
      <c r="M2997" s="893">
        <v>4.9036999999999997E-2</v>
      </c>
      <c r="N2997" s="1562">
        <v>1.9756523548914799</v>
      </c>
      <c r="O2997" s="1562"/>
    </row>
    <row r="2998" spans="11:15">
      <c r="K2998" s="1636">
        <v>45055</v>
      </c>
      <c r="L2998" s="1562" t="s">
        <v>1650</v>
      </c>
      <c r="M2998" s="893">
        <v>4.9036999999999997E-2</v>
      </c>
      <c r="N2998" s="1562">
        <v>1.9766211555367483</v>
      </c>
      <c r="O2998" s="1562"/>
    </row>
    <row r="2999" spans="11:15">
      <c r="K2999" s="1636">
        <v>45056</v>
      </c>
      <c r="L2999" s="1562" t="s">
        <v>1650</v>
      </c>
      <c r="M2999" s="893">
        <v>4.9036999999999997E-2</v>
      </c>
      <c r="N2999" s="1562">
        <v>1.977590431252789</v>
      </c>
      <c r="O2999" s="1562"/>
    </row>
    <row r="3000" spans="11:15">
      <c r="K3000" s="1636">
        <v>45057</v>
      </c>
      <c r="L3000" s="1562" t="s">
        <v>1650</v>
      </c>
      <c r="M3000" s="893">
        <v>4.9036999999999997E-2</v>
      </c>
      <c r="N3000" s="1562">
        <v>1.9785601822725625</v>
      </c>
      <c r="O3000" s="1562"/>
    </row>
    <row r="3001" spans="11:15">
      <c r="K3001" s="1636">
        <v>45058</v>
      </c>
      <c r="L3001" s="1562" t="s">
        <v>1650</v>
      </c>
      <c r="M3001" s="893">
        <v>4.9036999999999997E-2</v>
      </c>
      <c r="N3001" s="1562">
        <v>1.9795304088291437</v>
      </c>
      <c r="O3001" s="1562"/>
    </row>
    <row r="3002" spans="11:15">
      <c r="K3002" s="1636">
        <v>45059</v>
      </c>
      <c r="L3002" s="1562"/>
      <c r="M3002" s="893">
        <v>0</v>
      </c>
      <c r="N3002" s="1562">
        <v>1.9795304088291437</v>
      </c>
      <c r="O3002" s="1562"/>
    </row>
    <row r="3003" spans="11:15">
      <c r="K3003" s="1636">
        <v>45060</v>
      </c>
      <c r="L3003" s="1562"/>
      <c r="M3003" s="893">
        <v>0</v>
      </c>
      <c r="N3003" s="1562">
        <v>1.9795304088291437</v>
      </c>
      <c r="O3003" s="1562"/>
    </row>
    <row r="3004" spans="11:15">
      <c r="K3004" s="1636">
        <v>45061</v>
      </c>
      <c r="L3004" s="1562" t="s">
        <v>1650</v>
      </c>
      <c r="M3004" s="893">
        <v>4.9036999999999997E-2</v>
      </c>
      <c r="N3004" s="1562">
        <v>1.9805011111557214</v>
      </c>
      <c r="O3004" s="1562"/>
    </row>
    <row r="3005" spans="11:15">
      <c r="K3005" s="1636">
        <v>45062</v>
      </c>
      <c r="L3005" s="1562" t="s">
        <v>1650</v>
      </c>
      <c r="M3005" s="893">
        <v>4.9036999999999997E-2</v>
      </c>
      <c r="N3005" s="1562">
        <v>1.9814722894855989</v>
      </c>
      <c r="O3005" s="1562"/>
    </row>
    <row r="3006" spans="11:15">
      <c r="K3006" s="1636">
        <v>45063</v>
      </c>
      <c r="L3006" s="1562" t="s">
        <v>1650</v>
      </c>
      <c r="M3006" s="893">
        <v>4.9036999999999997E-2</v>
      </c>
      <c r="N3006" s="1562">
        <v>1.9824439440521942</v>
      </c>
      <c r="O3006" s="1562"/>
    </row>
    <row r="3007" spans="11:15">
      <c r="K3007" s="1636">
        <v>45064</v>
      </c>
      <c r="L3007" s="1562" t="s">
        <v>1650</v>
      </c>
      <c r="M3007" s="893">
        <v>4.9036999999999997E-2</v>
      </c>
      <c r="N3007" s="1562">
        <v>1.9834160750890393</v>
      </c>
      <c r="O3007" s="1562"/>
    </row>
    <row r="3008" spans="11:15">
      <c r="K3008" s="1636">
        <v>45065</v>
      </c>
      <c r="L3008" s="1562" t="s">
        <v>1650</v>
      </c>
      <c r="M3008" s="893">
        <v>4.9036999999999997E-2</v>
      </c>
      <c r="N3008" s="1562">
        <v>1.9843886828297808</v>
      </c>
      <c r="O3008" s="1562"/>
    </row>
    <row r="3009" spans="11:15">
      <c r="K3009" s="1636">
        <v>45066</v>
      </c>
      <c r="L3009" s="1562"/>
      <c r="M3009" s="893">
        <v>0</v>
      </c>
      <c r="N3009" s="1562">
        <v>1.9843886828297808</v>
      </c>
      <c r="O3009" s="1562"/>
    </row>
    <row r="3010" spans="11:15">
      <c r="K3010" s="1636">
        <v>45067</v>
      </c>
      <c r="L3010" s="1562"/>
      <c r="M3010" s="893">
        <v>0</v>
      </c>
      <c r="N3010" s="1562">
        <v>1.9843886828297808</v>
      </c>
      <c r="O3010" s="1562"/>
    </row>
    <row r="3011" spans="11:15">
      <c r="K3011" s="1636">
        <v>45068</v>
      </c>
      <c r="L3011" s="1562" t="s">
        <v>1650</v>
      </c>
      <c r="M3011" s="893">
        <v>4.9036999999999997E-2</v>
      </c>
      <c r="N3011" s="1562">
        <v>1.9853617675081801</v>
      </c>
      <c r="O3011" s="1562"/>
    </row>
    <row r="3012" spans="11:15">
      <c r="K3012" s="1636">
        <v>45069</v>
      </c>
      <c r="L3012" s="1562" t="s">
        <v>1650</v>
      </c>
      <c r="M3012" s="893">
        <v>4.9036999999999997E-2</v>
      </c>
      <c r="N3012" s="1562">
        <v>1.9863353293581132</v>
      </c>
      <c r="O3012" s="1562"/>
    </row>
    <row r="3013" spans="11:15">
      <c r="K3013" s="1636">
        <v>45070</v>
      </c>
      <c r="L3013" s="1562" t="s">
        <v>1650</v>
      </c>
      <c r="M3013" s="893">
        <v>4.9036999999999997E-2</v>
      </c>
      <c r="N3013" s="1562">
        <v>1.9873093686135708</v>
      </c>
      <c r="O3013" s="1562"/>
    </row>
    <row r="3014" spans="11:15">
      <c r="K3014" s="1636">
        <v>45071</v>
      </c>
      <c r="L3014" s="1562" t="s">
        <v>1650</v>
      </c>
      <c r="M3014" s="893">
        <v>4.9036999999999997E-2</v>
      </c>
      <c r="N3014" s="1562">
        <v>1.988283885508658</v>
      </c>
      <c r="O3014" s="1562"/>
    </row>
    <row r="3015" spans="11:15">
      <c r="K3015" s="1636">
        <v>45072</v>
      </c>
      <c r="L3015" s="1562" t="s">
        <v>1650</v>
      </c>
      <c r="M3015" s="893">
        <v>4.9036999999999997E-2</v>
      </c>
      <c r="N3015" s="1562">
        <v>1.989258880277595</v>
      </c>
      <c r="O3015" s="1562"/>
    </row>
    <row r="3016" spans="11:15">
      <c r="K3016" s="1636">
        <v>45073</v>
      </c>
      <c r="L3016" s="1562"/>
      <c r="M3016" s="893">
        <v>0</v>
      </c>
      <c r="N3016" s="1562">
        <v>1.989258880277595</v>
      </c>
      <c r="O3016" s="1562"/>
    </row>
    <row r="3017" spans="11:15">
      <c r="K3017" s="1636">
        <v>45074</v>
      </c>
      <c r="L3017" s="1562"/>
      <c r="M3017" s="893">
        <v>0</v>
      </c>
      <c r="N3017" s="1562">
        <v>1.989258880277595</v>
      </c>
      <c r="O3017" s="1562"/>
    </row>
    <row r="3018" spans="11:15">
      <c r="K3018" s="1636">
        <v>45075</v>
      </c>
      <c r="L3018" s="1562" t="s">
        <v>1650</v>
      </c>
      <c r="M3018" s="893">
        <v>4.9036999999999997E-2</v>
      </c>
      <c r="N3018" s="1562">
        <v>1.9902343531547169</v>
      </c>
      <c r="O3018" s="1562"/>
    </row>
    <row r="3019" spans="11:15">
      <c r="K3019" s="1636">
        <v>45076</v>
      </c>
      <c r="L3019" s="1562" t="s">
        <v>1650</v>
      </c>
      <c r="M3019" s="893">
        <v>4.9036999999999997E-2</v>
      </c>
      <c r="N3019" s="1562">
        <v>1.9912103043744735</v>
      </c>
      <c r="O3019" s="1562"/>
    </row>
    <row r="3020" spans="11:15">
      <c r="K3020" s="1636">
        <v>45077</v>
      </c>
      <c r="L3020" s="1562" t="s">
        <v>1650</v>
      </c>
      <c r="M3020" s="893">
        <v>4.9036999999999997E-2</v>
      </c>
      <c r="N3020" s="1562">
        <v>1.9921867341714299</v>
      </c>
      <c r="O3020" s="1562"/>
    </row>
    <row r="3021" spans="11:15">
      <c r="K3021" s="1636">
        <v>45078</v>
      </c>
      <c r="L3021" s="1562" t="s">
        <v>1650</v>
      </c>
      <c r="M3021" s="893">
        <v>4.9036999999999997E-2</v>
      </c>
      <c r="N3021" s="1562">
        <v>1.9931636427802657</v>
      </c>
      <c r="O3021" s="1562"/>
    </row>
    <row r="3022" spans="11:15">
      <c r="K3022" s="1636">
        <v>45079</v>
      </c>
      <c r="L3022" s="1562" t="s">
        <v>1650</v>
      </c>
      <c r="M3022" s="893">
        <v>4.9036999999999997E-2</v>
      </c>
      <c r="N3022" s="1562">
        <v>1.9941410304357761</v>
      </c>
      <c r="O3022" s="1562"/>
    </row>
    <row r="3023" spans="11:15">
      <c r="K3023" s="1636">
        <v>45080</v>
      </c>
      <c r="L3023" s="1562"/>
      <c r="M3023" s="893">
        <v>0</v>
      </c>
      <c r="N3023" s="1562">
        <v>1.9941410304357761</v>
      </c>
      <c r="O3023" s="1562"/>
    </row>
    <row r="3024" spans="11:15">
      <c r="K3024" s="1636">
        <v>45081</v>
      </c>
      <c r="L3024" s="1562"/>
      <c r="M3024" s="893">
        <v>0</v>
      </c>
      <c r="N3024" s="1562">
        <v>1.9941410304357761</v>
      </c>
      <c r="O3024" s="1562"/>
    </row>
    <row r="3025" spans="11:15">
      <c r="K3025" s="1636">
        <v>45082</v>
      </c>
      <c r="L3025" s="1562" t="s">
        <v>1650</v>
      </c>
      <c r="M3025" s="893">
        <v>4.9036999999999997E-2</v>
      </c>
      <c r="N3025" s="1562">
        <v>1.9951188973728711</v>
      </c>
      <c r="O3025" s="1562"/>
    </row>
    <row r="3026" spans="11:15">
      <c r="K3026" s="1636">
        <v>45083</v>
      </c>
      <c r="L3026" s="1562" t="s">
        <v>1650</v>
      </c>
      <c r="M3026" s="893">
        <v>4.9036999999999997E-2</v>
      </c>
      <c r="N3026" s="1562">
        <v>1.9960972438265761</v>
      </c>
      <c r="O3026" s="1562"/>
    </row>
    <row r="3027" spans="11:15">
      <c r="K3027" s="1636">
        <v>45084</v>
      </c>
      <c r="L3027" s="1562" t="s">
        <v>1650</v>
      </c>
      <c r="M3027" s="893">
        <v>4.9036999999999997E-2</v>
      </c>
      <c r="N3027" s="1562">
        <v>1.9970760700320314</v>
      </c>
      <c r="O3027" s="1562"/>
    </row>
    <row r="3028" spans="11:15">
      <c r="K3028" s="1636">
        <v>45085</v>
      </c>
      <c r="L3028" s="1562"/>
      <c r="M3028" s="893">
        <v>0</v>
      </c>
      <c r="N3028" s="1562">
        <v>1.9970760700320314</v>
      </c>
      <c r="O3028" s="1562"/>
    </row>
    <row r="3029" spans="11:15">
      <c r="K3029" s="1636">
        <v>45086</v>
      </c>
      <c r="L3029" s="1562" t="s">
        <v>1650</v>
      </c>
      <c r="M3029" s="893">
        <v>4.9036999999999997E-2</v>
      </c>
      <c r="N3029" s="1562">
        <v>1.998055376224493</v>
      </c>
      <c r="O3029" s="1562"/>
    </row>
    <row r="3030" spans="11:15">
      <c r="K3030" s="1636">
        <v>45087</v>
      </c>
      <c r="L3030" s="1562"/>
      <c r="M3030" s="893">
        <v>0</v>
      </c>
      <c r="N3030" s="1562">
        <v>1.998055376224493</v>
      </c>
      <c r="O3030" s="1562"/>
    </row>
    <row r="3031" spans="11:15">
      <c r="K3031" s="1636">
        <v>45088</v>
      </c>
      <c r="L3031" s="1562"/>
      <c r="M3031" s="893">
        <v>0</v>
      </c>
      <c r="N3031" s="1562">
        <v>1.998055376224493</v>
      </c>
      <c r="O3031" s="1562"/>
    </row>
    <row r="3032" spans="11:15">
      <c r="K3032" s="1636">
        <v>45089</v>
      </c>
      <c r="L3032" s="1562" t="s">
        <v>1650</v>
      </c>
      <c r="M3032" s="893">
        <v>4.9036999999999997E-2</v>
      </c>
      <c r="N3032" s="1562">
        <v>1.9990351626393323</v>
      </c>
      <c r="O3032" s="1562"/>
    </row>
    <row r="3033" spans="11:15">
      <c r="K3033" s="1636">
        <v>45090</v>
      </c>
      <c r="L3033" s="1562" t="s">
        <v>1650</v>
      </c>
      <c r="M3033" s="893">
        <v>4.9036999999999997E-2</v>
      </c>
      <c r="N3033" s="1562">
        <v>2.000015429512036</v>
      </c>
      <c r="O3033" s="1562"/>
    </row>
    <row r="3034" spans="11:15">
      <c r="K3034" s="1636">
        <v>45091</v>
      </c>
      <c r="L3034" s="1562" t="s">
        <v>1650</v>
      </c>
      <c r="M3034" s="893">
        <v>4.9036999999999997E-2</v>
      </c>
      <c r="N3034" s="1562">
        <v>2.0009961770782061</v>
      </c>
      <c r="O3034" s="1562"/>
    </row>
    <row r="3035" spans="11:15">
      <c r="K3035" s="1636">
        <v>45092</v>
      </c>
      <c r="L3035" s="1562" t="s">
        <v>1650</v>
      </c>
      <c r="M3035" s="893">
        <v>4.9036999999999997E-2</v>
      </c>
      <c r="N3035" s="1562">
        <v>2.0019774055735602</v>
      </c>
      <c r="O3035" s="1562"/>
    </row>
    <row r="3036" spans="11:15">
      <c r="K3036" s="1636">
        <v>45093</v>
      </c>
      <c r="L3036" s="1562" t="s">
        <v>1650</v>
      </c>
      <c r="M3036" s="893">
        <v>4.9036999999999997E-2</v>
      </c>
      <c r="N3036" s="1562">
        <v>2.0029591152339314</v>
      </c>
      <c r="O3036" s="1562"/>
    </row>
    <row r="3037" spans="11:15">
      <c r="K3037" s="1636">
        <v>45094</v>
      </c>
      <c r="L3037" s="1562"/>
      <c r="M3037" s="893">
        <v>0</v>
      </c>
      <c r="N3037" s="1562">
        <v>2.0029591152339314</v>
      </c>
      <c r="O3037" s="1562"/>
    </row>
    <row r="3038" spans="11:15">
      <c r="K3038" s="1636">
        <v>45095</v>
      </c>
      <c r="L3038" s="1562"/>
      <c r="M3038" s="893">
        <v>0</v>
      </c>
      <c r="N3038" s="1562">
        <v>2.0029591152339314</v>
      </c>
      <c r="O3038" s="1562"/>
    </row>
    <row r="3039" spans="11:15">
      <c r="K3039" s="1636">
        <v>45096</v>
      </c>
      <c r="L3039" s="1562" t="s">
        <v>1650</v>
      </c>
      <c r="M3039" s="893">
        <v>4.9036999999999997E-2</v>
      </c>
      <c r="N3039" s="1562">
        <v>2.0039413062952689</v>
      </c>
      <c r="O3039" s="1562"/>
    </row>
    <row r="3040" spans="11:15">
      <c r="K3040" s="1636">
        <v>45097</v>
      </c>
      <c r="L3040" s="1562" t="s">
        <v>1650</v>
      </c>
      <c r="M3040" s="893">
        <v>4.9036999999999997E-2</v>
      </c>
      <c r="N3040" s="1562">
        <v>2.0049239789936371</v>
      </c>
      <c r="O3040" s="1562"/>
    </row>
    <row r="3041" spans="11:15">
      <c r="K3041" s="1636">
        <v>45098</v>
      </c>
      <c r="L3041" s="1562" t="s">
        <v>1650</v>
      </c>
      <c r="M3041" s="893">
        <v>4.9036999999999997E-2</v>
      </c>
      <c r="N3041" s="1562">
        <v>2.0059071335652163</v>
      </c>
      <c r="O3041" s="1562"/>
    </row>
    <row r="3042" spans="11:15">
      <c r="K3042" s="1636">
        <v>45099</v>
      </c>
      <c r="L3042" s="1562" t="s">
        <v>1650</v>
      </c>
      <c r="M3042" s="893">
        <v>4.9036999999999997E-2</v>
      </c>
      <c r="N3042" s="1562">
        <v>2.006890770246303</v>
      </c>
      <c r="O3042" s="1562"/>
    </row>
    <row r="3043" spans="11:15">
      <c r="K3043" s="1636">
        <v>45100</v>
      </c>
      <c r="L3043" s="1562" t="s">
        <v>1650</v>
      </c>
      <c r="M3043" s="893">
        <v>4.9036999999999997E-2</v>
      </c>
      <c r="N3043" s="1562">
        <v>2.0078748892733089</v>
      </c>
      <c r="O3043" s="1562"/>
    </row>
    <row r="3044" spans="11:15">
      <c r="K3044" s="1636">
        <v>45101</v>
      </c>
      <c r="L3044" s="1562"/>
      <c r="M3044" s="893">
        <v>0</v>
      </c>
      <c r="N3044" s="1562">
        <v>2.0078748892733089</v>
      </c>
      <c r="O3044" s="1562"/>
    </row>
    <row r="3045" spans="11:15">
      <c r="K3045" s="1636">
        <v>45102</v>
      </c>
      <c r="L3045" s="1562"/>
      <c r="M3045" s="893">
        <v>0</v>
      </c>
      <c r="N3045" s="1562">
        <v>2.0078748892733089</v>
      </c>
      <c r="O3045" s="1562"/>
    </row>
    <row r="3046" spans="11:15">
      <c r="K3046" s="1636">
        <v>45103</v>
      </c>
      <c r="L3046" s="1562" t="s">
        <v>1650</v>
      </c>
      <c r="M3046" s="893">
        <v>4.9036999999999997E-2</v>
      </c>
      <c r="N3046" s="1562">
        <v>2.0088594908827622</v>
      </c>
      <c r="O3046" s="1562"/>
    </row>
    <row r="3047" spans="11:15">
      <c r="K3047" s="1636">
        <v>45104</v>
      </c>
      <c r="L3047" s="1562" t="s">
        <v>1650</v>
      </c>
      <c r="M3047" s="893">
        <v>4.9036999999999997E-2</v>
      </c>
      <c r="N3047" s="1562">
        <v>2.0098445753113063</v>
      </c>
      <c r="O3047" s="1562"/>
    </row>
    <row r="3048" spans="11:15">
      <c r="K3048" s="1636">
        <v>45105</v>
      </c>
      <c r="L3048" s="1562" t="s">
        <v>1650</v>
      </c>
      <c r="M3048" s="893">
        <v>4.9036999999999997E-2</v>
      </c>
      <c r="N3048" s="1562">
        <v>2.0108301427957018</v>
      </c>
      <c r="O3048" s="1562"/>
    </row>
    <row r="3049" spans="11:15">
      <c r="K3049" s="1636">
        <v>45106</v>
      </c>
      <c r="L3049" s="1562" t="s">
        <v>1650</v>
      </c>
      <c r="M3049" s="893">
        <v>4.9036999999999997E-2</v>
      </c>
      <c r="N3049" s="1562">
        <v>2.0118161935728245</v>
      </c>
      <c r="O3049" s="1562"/>
    </row>
    <row r="3050" spans="11:15">
      <c r="K3050" s="1636">
        <v>45107</v>
      </c>
      <c r="L3050" s="1562" t="s">
        <v>1650</v>
      </c>
      <c r="M3050" s="893">
        <v>4.9036999999999997E-2</v>
      </c>
      <c r="N3050" s="1562">
        <v>2.012802727879667</v>
      </c>
      <c r="O3050" s="1562"/>
    </row>
    <row r="3051" spans="11:15">
      <c r="K3051" s="1636">
        <v>45108</v>
      </c>
      <c r="L3051" s="1562"/>
      <c r="M3051" s="893">
        <v>0</v>
      </c>
      <c r="N3051" s="1562">
        <v>2.012802727879667</v>
      </c>
      <c r="O3051" s="1562"/>
    </row>
    <row r="3052" spans="11:15">
      <c r="K3052" s="1636">
        <v>45109</v>
      </c>
      <c r="L3052" s="1562"/>
      <c r="M3052" s="893">
        <v>0</v>
      </c>
      <c r="N3052" s="1562">
        <v>2.012802727879667</v>
      </c>
      <c r="O3052" s="1562"/>
    </row>
    <row r="3053" spans="11:15">
      <c r="K3053" s="1636">
        <v>45110</v>
      </c>
      <c r="L3053" s="1562" t="s">
        <v>1650</v>
      </c>
      <c r="M3053" s="893">
        <v>4.9036999999999997E-2</v>
      </c>
      <c r="N3053" s="1562">
        <v>2.0137897459533374</v>
      </c>
      <c r="O3053" s="1562"/>
    </row>
    <row r="3054" spans="11:15">
      <c r="K3054" s="1636">
        <v>45111</v>
      </c>
      <c r="L3054" s="1562" t="s">
        <v>1650</v>
      </c>
      <c r="M3054" s="893">
        <v>4.9036999999999997E-2</v>
      </c>
      <c r="N3054" s="1562">
        <v>2.0147772480310606</v>
      </c>
      <c r="O3054" s="1562"/>
    </row>
    <row r="3055" spans="11:15">
      <c r="K3055" s="1636">
        <v>45112</v>
      </c>
      <c r="L3055" s="1562" t="s">
        <v>1650</v>
      </c>
      <c r="M3055" s="893">
        <v>4.9036999999999997E-2</v>
      </c>
      <c r="N3055" s="1562">
        <v>2.015765234350178</v>
      </c>
      <c r="O3055" s="1562"/>
    </row>
    <row r="3056" spans="11:15">
      <c r="K3056" s="1636">
        <v>45113</v>
      </c>
      <c r="L3056" s="1562" t="s">
        <v>1650</v>
      </c>
      <c r="M3056" s="893">
        <v>4.9036999999999997E-2</v>
      </c>
      <c r="N3056" s="1562">
        <v>2.0167537051481466</v>
      </c>
      <c r="O3056" s="1562"/>
    </row>
    <row r="3057" spans="11:15">
      <c r="K3057" s="1636">
        <v>45114</v>
      </c>
      <c r="L3057" s="1562" t="s">
        <v>1650</v>
      </c>
      <c r="M3057" s="893">
        <v>4.9036999999999997E-2</v>
      </c>
      <c r="N3057" s="1562">
        <v>2.0177426606625404</v>
      </c>
      <c r="O3057" s="1562"/>
    </row>
    <row r="3058" spans="11:15">
      <c r="K3058" s="1636">
        <v>45115</v>
      </c>
      <c r="L3058" s="1562"/>
      <c r="M3058" s="893">
        <v>0</v>
      </c>
      <c r="N3058" s="1562">
        <v>2.0177426606625404</v>
      </c>
      <c r="O3058" s="1562"/>
    </row>
    <row r="3059" spans="11:15">
      <c r="K3059" s="1636">
        <v>45116</v>
      </c>
      <c r="L3059" s="1562"/>
      <c r="M3059" s="893">
        <v>0</v>
      </c>
      <c r="N3059" s="1562">
        <v>2.0177426606625404</v>
      </c>
      <c r="O3059" s="1562"/>
    </row>
    <row r="3060" spans="11:15">
      <c r="K3060" s="1636">
        <v>45117</v>
      </c>
      <c r="L3060" s="1562" t="s">
        <v>1650</v>
      </c>
      <c r="M3060" s="893">
        <v>4.9036999999999997E-2</v>
      </c>
      <c r="N3060" s="1562">
        <v>2.0187321011310497</v>
      </c>
      <c r="O3060" s="1562"/>
    </row>
    <row r="3061" spans="11:15">
      <c r="K3061" s="1636">
        <v>45118</v>
      </c>
      <c r="L3061" s="1562" t="s">
        <v>1650</v>
      </c>
      <c r="M3061" s="893">
        <v>4.9036999999999997E-2</v>
      </c>
      <c r="N3061" s="1562">
        <v>2.0197220267914817</v>
      </c>
      <c r="O3061" s="1562"/>
    </row>
    <row r="3062" spans="11:15">
      <c r="K3062" s="1636">
        <v>45119</v>
      </c>
      <c r="L3062" s="1562" t="s">
        <v>1650</v>
      </c>
      <c r="M3062" s="893">
        <v>4.9036999999999997E-2</v>
      </c>
      <c r="N3062" s="1562">
        <v>2.0207124378817598</v>
      </c>
      <c r="O3062" s="1562"/>
    </row>
    <row r="3063" spans="11:15">
      <c r="K3063" s="1636">
        <v>45120</v>
      </c>
      <c r="L3063" s="1562" t="s">
        <v>1650</v>
      </c>
      <c r="M3063" s="893">
        <v>4.9036999999999997E-2</v>
      </c>
      <c r="N3063" s="1562">
        <v>2.0217033346399242</v>
      </c>
      <c r="O3063" s="1562"/>
    </row>
    <row r="3064" spans="11:15">
      <c r="K3064" s="1636">
        <v>45121</v>
      </c>
      <c r="L3064" s="1562" t="s">
        <v>1650</v>
      </c>
      <c r="M3064" s="893">
        <v>4.9036999999999997E-2</v>
      </c>
      <c r="N3064" s="1562">
        <v>2.0226947173041316</v>
      </c>
      <c r="O3064" s="1562"/>
    </row>
    <row r="3065" spans="11:15">
      <c r="K3065" s="1636">
        <v>45122</v>
      </c>
      <c r="L3065" s="1562"/>
      <c r="M3065" s="893">
        <v>0</v>
      </c>
      <c r="N3065" s="1562">
        <v>2.0226947173041316</v>
      </c>
      <c r="O3065" s="1562"/>
    </row>
    <row r="3066" spans="11:15">
      <c r="K3066" s="1636">
        <v>45123</v>
      </c>
      <c r="L3066" s="1562"/>
      <c r="M3066" s="893">
        <v>0</v>
      </c>
      <c r="N3066" s="1562">
        <v>2.0226947173041316</v>
      </c>
      <c r="O3066" s="1562"/>
    </row>
    <row r="3067" spans="11:15">
      <c r="K3067" s="1636">
        <v>45124</v>
      </c>
      <c r="L3067" s="1562" t="s">
        <v>1650</v>
      </c>
      <c r="M3067" s="893">
        <v>4.9036999999999997E-2</v>
      </c>
      <c r="N3067" s="1562">
        <v>2.0236865861126563</v>
      </c>
      <c r="O3067" s="1562"/>
    </row>
    <row r="3068" spans="11:15">
      <c r="K3068" s="1636">
        <v>45125</v>
      </c>
      <c r="L3068" s="1562" t="s">
        <v>1650</v>
      </c>
      <c r="M3068" s="893">
        <v>4.9036999999999997E-2</v>
      </c>
      <c r="N3068" s="1562">
        <v>2.0246789413038884</v>
      </c>
      <c r="O3068" s="1562"/>
    </row>
    <row r="3069" spans="11:15">
      <c r="K3069" s="1636">
        <v>45126</v>
      </c>
      <c r="L3069" s="1562" t="s">
        <v>1650</v>
      </c>
      <c r="M3069" s="893">
        <v>4.9036999999999997E-2</v>
      </c>
      <c r="N3069" s="1562">
        <v>2.0256717831163358</v>
      </c>
      <c r="O3069" s="1562"/>
    </row>
    <row r="3070" spans="11:15">
      <c r="K3070" s="1636">
        <v>45127</v>
      </c>
      <c r="L3070" s="1562" t="s">
        <v>1650</v>
      </c>
      <c r="M3070" s="893">
        <v>4.9036999999999997E-2</v>
      </c>
      <c r="N3070" s="1562">
        <v>2.0266651117886227</v>
      </c>
      <c r="O3070" s="1562"/>
    </row>
    <row r="3071" spans="11:15">
      <c r="K3071" s="1636">
        <v>45128</v>
      </c>
      <c r="L3071" s="1562" t="s">
        <v>1650</v>
      </c>
      <c r="M3071" s="893">
        <v>4.9036999999999997E-2</v>
      </c>
      <c r="N3071" s="1562">
        <v>2.0276589275594907</v>
      </c>
      <c r="O3071" s="1562"/>
    </row>
    <row r="3072" spans="11:15">
      <c r="K3072" s="1636">
        <v>45129</v>
      </c>
      <c r="L3072" s="1562"/>
      <c r="M3072" s="893">
        <v>0</v>
      </c>
      <c r="N3072" s="1562">
        <v>2.0276589275594907</v>
      </c>
      <c r="O3072" s="1562"/>
    </row>
    <row r="3073" spans="11:15">
      <c r="K3073" s="1636">
        <v>45130</v>
      </c>
      <c r="L3073" s="1562"/>
      <c r="M3073" s="893">
        <v>0</v>
      </c>
      <c r="N3073" s="1562">
        <v>2.0276589275594907</v>
      </c>
      <c r="O3073" s="1562"/>
    </row>
    <row r="3074" spans="11:15">
      <c r="K3074" s="1636">
        <v>45131</v>
      </c>
      <c r="L3074" s="1562" t="s">
        <v>1650</v>
      </c>
      <c r="M3074" s="893">
        <v>4.9036999999999997E-2</v>
      </c>
      <c r="N3074" s="1562">
        <v>2.028653230667798</v>
      </c>
      <c r="O3074" s="1562"/>
    </row>
    <row r="3075" spans="11:15">
      <c r="K3075" s="1636">
        <v>45132</v>
      </c>
      <c r="L3075" s="1562" t="s">
        <v>1650</v>
      </c>
      <c r="M3075" s="893">
        <v>4.9036999999999997E-2</v>
      </c>
      <c r="N3075" s="1562">
        <v>2.0296480213525205</v>
      </c>
      <c r="O3075" s="1562"/>
    </row>
    <row r="3076" spans="11:15">
      <c r="K3076" s="1636">
        <v>45133</v>
      </c>
      <c r="L3076" s="1562" t="s">
        <v>1650</v>
      </c>
      <c r="M3076" s="893">
        <v>4.9036999999999997E-2</v>
      </c>
      <c r="N3076" s="1562">
        <v>2.0306432998527515</v>
      </c>
      <c r="O3076" s="1562"/>
    </row>
    <row r="3077" spans="11:15">
      <c r="K3077" s="1636">
        <v>45134</v>
      </c>
      <c r="L3077" s="1562" t="s">
        <v>1650</v>
      </c>
      <c r="M3077" s="893">
        <v>4.9036999999999997E-2</v>
      </c>
      <c r="N3077" s="1562">
        <v>2.0316390664077004</v>
      </c>
      <c r="O3077" s="1562"/>
    </row>
    <row r="3078" spans="11:15">
      <c r="K3078" s="1636">
        <v>45135</v>
      </c>
      <c r="L3078" s="1562" t="s">
        <v>1650</v>
      </c>
      <c r="M3078" s="893">
        <v>4.9036999999999997E-2</v>
      </c>
      <c r="N3078" s="1562">
        <v>2.032635321256695</v>
      </c>
      <c r="O3078" s="1562"/>
    </row>
    <row r="3079" spans="11:15">
      <c r="K3079" s="1636">
        <v>45136</v>
      </c>
      <c r="L3079" s="1562"/>
      <c r="M3079" s="893">
        <v>0</v>
      </c>
      <c r="N3079" s="1562">
        <v>2.032635321256695</v>
      </c>
      <c r="O3079" s="1562"/>
    </row>
    <row r="3080" spans="11:15">
      <c r="K3080" s="1636">
        <v>45137</v>
      </c>
      <c r="L3080" s="1562"/>
      <c r="M3080" s="893">
        <v>0</v>
      </c>
      <c r="N3080" s="1562">
        <v>2.032635321256695</v>
      </c>
      <c r="O3080" s="1562"/>
    </row>
    <row r="3081" spans="11:15">
      <c r="K3081" s="1636">
        <v>45138</v>
      </c>
      <c r="L3081" s="1562" t="s">
        <v>1650</v>
      </c>
      <c r="M3081" s="893">
        <v>4.9036999999999997E-2</v>
      </c>
      <c r="N3081" s="1562">
        <v>2.0336320646391797</v>
      </c>
      <c r="O3081" s="1562"/>
    </row>
    <row r="3082" spans="11:15">
      <c r="K3082" s="1636">
        <v>45139</v>
      </c>
      <c r="L3082" s="1562" t="s">
        <v>1650</v>
      </c>
      <c r="M3082" s="893">
        <v>4.9036999999999997E-2</v>
      </c>
      <c r="N3082" s="1562">
        <v>2.034629296794717</v>
      </c>
      <c r="O3082" s="1562"/>
    </row>
    <row r="3083" spans="11:15">
      <c r="K3083" s="1636">
        <v>45140</v>
      </c>
      <c r="L3083" s="1562" t="s">
        <v>1650</v>
      </c>
      <c r="M3083" s="893">
        <v>4.9036999999999997E-2</v>
      </c>
      <c r="N3083" s="1562">
        <v>2.0356270179629865</v>
      </c>
      <c r="O3083" s="1562"/>
    </row>
    <row r="3084" spans="11:15">
      <c r="K3084" s="1636">
        <v>45141</v>
      </c>
      <c r="L3084" s="1562" t="s">
        <v>1650</v>
      </c>
      <c r="M3084" s="893">
        <v>4.9036999999999997E-2</v>
      </c>
      <c r="N3084" s="1562">
        <v>2.0366252283837851</v>
      </c>
      <c r="O3084" s="1562"/>
    </row>
    <row r="3085" spans="11:15">
      <c r="K3085" s="1636">
        <v>45142</v>
      </c>
      <c r="L3085" s="1562" t="s">
        <v>1650</v>
      </c>
      <c r="M3085" s="893">
        <v>4.9036999999999997E-2</v>
      </c>
      <c r="N3085" s="1562">
        <v>2.0376239282970277</v>
      </c>
      <c r="O3085" s="1562"/>
    </row>
    <row r="3086" spans="11:15">
      <c r="K3086" s="1636">
        <v>45143</v>
      </c>
      <c r="L3086" s="1562"/>
      <c r="M3086" s="893">
        <v>0</v>
      </c>
      <c r="N3086" s="1562">
        <v>2.0376239282970277</v>
      </c>
      <c r="O3086" s="1562"/>
    </row>
    <row r="3087" spans="11:15">
      <c r="K3087" s="1636">
        <v>45144</v>
      </c>
      <c r="L3087" s="1562"/>
      <c r="M3087" s="893">
        <v>0</v>
      </c>
      <c r="N3087" s="1562">
        <v>2.0376239282970277</v>
      </c>
      <c r="O3087" s="1562"/>
    </row>
    <row r="3088" spans="11:15">
      <c r="K3088" s="1636">
        <v>45145</v>
      </c>
      <c r="L3088" s="1562" t="s">
        <v>1650</v>
      </c>
      <c r="M3088" s="893">
        <v>4.9036999999999997E-2</v>
      </c>
      <c r="N3088" s="1562">
        <v>2.038623117942747</v>
      </c>
      <c r="O3088" s="1562"/>
    </row>
    <row r="3089" spans="11:15">
      <c r="K3089" s="1636">
        <v>45146</v>
      </c>
      <c r="L3089" s="1562" t="s">
        <v>1650</v>
      </c>
      <c r="M3089" s="893">
        <v>4.9036999999999997E-2</v>
      </c>
      <c r="N3089" s="1562">
        <v>2.0396227975610928</v>
      </c>
      <c r="O3089" s="1562"/>
    </row>
    <row r="3090" spans="11:15">
      <c r="K3090" s="1636">
        <v>45147</v>
      </c>
      <c r="L3090" s="1562" t="s">
        <v>1650</v>
      </c>
      <c r="M3090" s="893">
        <v>4.9036999999999997E-2</v>
      </c>
      <c r="N3090" s="1562">
        <v>2.0406229673923328</v>
      </c>
      <c r="O3090" s="1562"/>
    </row>
    <row r="3091" spans="11:15">
      <c r="K3091" s="1636">
        <v>45148</v>
      </c>
      <c r="L3091" s="1562" t="s">
        <v>1650</v>
      </c>
      <c r="M3091" s="893">
        <v>4.9036999999999997E-2</v>
      </c>
      <c r="N3091" s="1562">
        <v>2.0416236276768531</v>
      </c>
      <c r="O3091" s="1562"/>
    </row>
    <row r="3092" spans="11:15">
      <c r="K3092" s="1636">
        <v>45149</v>
      </c>
      <c r="L3092" s="1562" t="s">
        <v>1650</v>
      </c>
      <c r="M3092" s="893">
        <v>4.9036999999999997E-2</v>
      </c>
      <c r="N3092" s="1562">
        <v>2.0426247786551572</v>
      </c>
      <c r="O3092" s="1562"/>
    </row>
    <row r="3093" spans="11:15">
      <c r="K3093" s="1636">
        <v>45150</v>
      </c>
      <c r="L3093" s="1562"/>
      <c r="M3093" s="893">
        <v>0</v>
      </c>
      <c r="N3093" s="1562">
        <v>2.0426247786551572</v>
      </c>
      <c r="O3093" s="1562"/>
    </row>
    <row r="3094" spans="11:15">
      <c r="K3094" s="1636">
        <v>45151</v>
      </c>
      <c r="L3094" s="1562"/>
      <c r="M3094" s="893">
        <v>0</v>
      </c>
      <c r="N3094" s="1562">
        <v>2.0426247786551572</v>
      </c>
      <c r="O3094" s="1562"/>
    </row>
    <row r="3095" spans="11:15">
      <c r="K3095" s="1636">
        <v>45152</v>
      </c>
      <c r="L3095" s="1562" t="s">
        <v>1650</v>
      </c>
      <c r="M3095" s="893">
        <v>4.9036999999999997E-2</v>
      </c>
      <c r="N3095" s="1562">
        <v>2.0436264205678665</v>
      </c>
      <c r="O3095" s="1562"/>
    </row>
    <row r="3096" spans="11:15">
      <c r="K3096" s="1636">
        <v>45153</v>
      </c>
      <c r="L3096" s="1562" t="s">
        <v>1650</v>
      </c>
      <c r="M3096" s="893">
        <v>4.9036999999999997E-2</v>
      </c>
      <c r="N3096" s="1562">
        <v>2.0446285536557203</v>
      </c>
      <c r="O3096" s="1562"/>
    </row>
    <row r="3097" spans="11:15">
      <c r="K3097" s="1636">
        <v>45154</v>
      </c>
      <c r="L3097" s="1562" t="s">
        <v>1650</v>
      </c>
      <c r="M3097" s="893">
        <v>4.9036999999999997E-2</v>
      </c>
      <c r="N3097" s="1562">
        <v>2.0456311781595766</v>
      </c>
      <c r="O3097" s="1562"/>
    </row>
    <row r="3098" spans="11:15">
      <c r="K3098" s="1636">
        <v>45155</v>
      </c>
      <c r="L3098" s="1562" t="s">
        <v>1650</v>
      </c>
      <c r="M3098" s="893">
        <v>4.9036999999999997E-2</v>
      </c>
      <c r="N3098" s="1562">
        <v>2.0466342943204108</v>
      </c>
      <c r="O3098" s="1562"/>
    </row>
    <row r="3099" spans="11:15">
      <c r="K3099" s="1636">
        <v>45156</v>
      </c>
      <c r="L3099" s="1562" t="s">
        <v>1650</v>
      </c>
      <c r="M3099" s="893">
        <v>4.9036999999999997E-2</v>
      </c>
      <c r="N3099" s="1562">
        <v>2.047637902379317</v>
      </c>
      <c r="O3099" s="1562"/>
    </row>
    <row r="3100" spans="11:15">
      <c r="K3100" s="1636">
        <v>45157</v>
      </c>
      <c r="L3100" s="1562"/>
      <c r="M3100" s="893">
        <v>0</v>
      </c>
      <c r="N3100" s="1562">
        <v>2.047637902379317</v>
      </c>
      <c r="O3100" s="1562"/>
    </row>
    <row r="3101" spans="11:15">
      <c r="K3101" s="1636">
        <v>45158</v>
      </c>
      <c r="L3101" s="1562"/>
      <c r="M3101" s="893">
        <v>0</v>
      </c>
      <c r="N3101" s="1562">
        <v>2.047637902379317</v>
      </c>
      <c r="O3101" s="1562"/>
    </row>
    <row r="3102" spans="11:15">
      <c r="K3102" s="1636">
        <v>45159</v>
      </c>
      <c r="L3102" s="1562" t="s">
        <v>1650</v>
      </c>
      <c r="M3102" s="893">
        <v>4.9036999999999997E-2</v>
      </c>
      <c r="N3102" s="1562">
        <v>2.0486420025775067</v>
      </c>
      <c r="O3102" s="1562"/>
    </row>
    <row r="3103" spans="11:15">
      <c r="K3103" s="1636">
        <v>45160</v>
      </c>
      <c r="L3103" s="1562" t="s">
        <v>1650</v>
      </c>
      <c r="M3103" s="893">
        <v>4.9036999999999997E-2</v>
      </c>
      <c r="N3103" s="1562">
        <v>2.049646595156311</v>
      </c>
      <c r="O3103" s="1562"/>
    </row>
    <row r="3104" spans="11:15">
      <c r="K3104" s="1636">
        <v>45161</v>
      </c>
      <c r="L3104" s="1562" t="s">
        <v>1650</v>
      </c>
      <c r="M3104" s="893">
        <v>4.9036999999999997E-2</v>
      </c>
      <c r="N3104" s="1562">
        <v>2.0506516803571779</v>
      </c>
      <c r="O3104" s="1562"/>
    </row>
    <row r="3105" spans="11:15">
      <c r="K3105" s="1636">
        <v>45162</v>
      </c>
      <c r="L3105" s="1562" t="s">
        <v>1650</v>
      </c>
      <c r="M3105" s="893">
        <v>4.9036999999999997E-2</v>
      </c>
      <c r="N3105" s="1562">
        <v>2.0516572584216748</v>
      </c>
      <c r="O3105" s="1562"/>
    </row>
    <row r="3106" spans="11:15">
      <c r="K3106" s="1636">
        <v>45163</v>
      </c>
      <c r="L3106" s="1562" t="s">
        <v>1650</v>
      </c>
      <c r="M3106" s="893">
        <v>4.9036999999999997E-2</v>
      </c>
      <c r="N3106" s="1562">
        <v>2.0526633295914873</v>
      </c>
      <c r="O3106" s="1562"/>
    </row>
    <row r="3107" spans="11:15">
      <c r="K3107" s="1636">
        <v>45164</v>
      </c>
      <c r="L3107" s="1562"/>
      <c r="M3107" s="893">
        <v>0</v>
      </c>
      <c r="N3107" s="1562">
        <v>2.0526633295914873</v>
      </c>
      <c r="O3107" s="1562"/>
    </row>
    <row r="3108" spans="11:15">
      <c r="K3108" s="1636">
        <v>45165</v>
      </c>
      <c r="L3108" s="1562"/>
      <c r="M3108" s="893">
        <v>0</v>
      </c>
      <c r="N3108" s="1562">
        <v>2.0526633295914873</v>
      </c>
      <c r="O3108" s="1562"/>
    </row>
    <row r="3109" spans="11:15">
      <c r="K3109" s="1636">
        <v>45166</v>
      </c>
      <c r="L3109" s="1562" t="s">
        <v>1650</v>
      </c>
      <c r="M3109" s="893">
        <v>4.9036999999999997E-2</v>
      </c>
      <c r="N3109" s="1562">
        <v>2.053669894108419</v>
      </c>
      <c r="O3109" s="1562"/>
    </row>
    <row r="3110" spans="11:15">
      <c r="K3110" s="1636">
        <v>45167</v>
      </c>
      <c r="L3110" s="1562" t="s">
        <v>1650</v>
      </c>
      <c r="M3110" s="893">
        <v>4.9036999999999997E-2</v>
      </c>
      <c r="N3110" s="1562">
        <v>2.0546769522143933</v>
      </c>
      <c r="O3110" s="1562"/>
    </row>
    <row r="3111" spans="11:15">
      <c r="K3111" s="1636">
        <v>45168</v>
      </c>
      <c r="L3111" s="1562" t="s">
        <v>1650</v>
      </c>
      <c r="M3111" s="893">
        <v>4.9036999999999997E-2</v>
      </c>
      <c r="N3111" s="1562">
        <v>2.0556845041514507</v>
      </c>
      <c r="O3111" s="1562"/>
    </row>
    <row r="3112" spans="11:15">
      <c r="K3112" s="1636">
        <v>45169</v>
      </c>
      <c r="L3112" s="1562" t="s">
        <v>1650</v>
      </c>
      <c r="M3112" s="893">
        <v>4.9036999999999997E-2</v>
      </c>
      <c r="N3112" s="1562">
        <v>2.0566925501617517</v>
      </c>
      <c r="O3112" s="1562"/>
    </row>
    <row r="3113" spans="11:15">
      <c r="K3113" s="1636">
        <v>45170</v>
      </c>
      <c r="L3113" s="1562" t="s">
        <v>1650</v>
      </c>
      <c r="M3113" s="893">
        <v>4.9036999999999997E-2</v>
      </c>
      <c r="N3113" s="1562">
        <v>2.0577010904875745</v>
      </c>
      <c r="O3113" s="1562"/>
    </row>
    <row r="3114" spans="11:15">
      <c r="K3114" s="1636">
        <v>45171</v>
      </c>
      <c r="L3114" s="1562"/>
      <c r="M3114" s="893">
        <v>0</v>
      </c>
      <c r="N3114" s="1562">
        <v>2.0577010904875745</v>
      </c>
      <c r="O3114" s="1562"/>
    </row>
    <row r="3115" spans="11:15">
      <c r="K3115" s="1636">
        <v>45172</v>
      </c>
      <c r="L3115" s="1562"/>
      <c r="M3115" s="893">
        <v>0</v>
      </c>
      <c r="N3115" s="1562">
        <v>2.0577010904875745</v>
      </c>
      <c r="O3115" s="1562"/>
    </row>
    <row r="3116" spans="11:15">
      <c r="K3116" s="1636">
        <v>45173</v>
      </c>
      <c r="L3116" s="1562" t="s">
        <v>1650</v>
      </c>
      <c r="M3116" s="893">
        <v>4.9036999999999997E-2</v>
      </c>
      <c r="N3116" s="1562">
        <v>2.0587101253713169</v>
      </c>
      <c r="O3116" s="1562"/>
    </row>
    <row r="3117" spans="11:15">
      <c r="K3117" s="1636">
        <v>45174</v>
      </c>
      <c r="L3117" s="1562" t="s">
        <v>1650</v>
      </c>
      <c r="M3117" s="893">
        <v>4.9036999999999997E-2</v>
      </c>
      <c r="N3117" s="1562">
        <v>2.0597196550554955</v>
      </c>
      <c r="O3117" s="1562"/>
    </row>
    <row r="3118" spans="11:15">
      <c r="K3118" s="1636">
        <v>45175</v>
      </c>
      <c r="L3118" s="1562" t="s">
        <v>1650</v>
      </c>
      <c r="M3118" s="893">
        <v>4.9036999999999997E-2</v>
      </c>
      <c r="N3118" s="1562">
        <v>2.060729679782745</v>
      </c>
      <c r="O3118" s="1562"/>
    </row>
    <row r="3119" spans="11:15">
      <c r="K3119" s="1636">
        <v>45176</v>
      </c>
      <c r="L3119" s="1562"/>
      <c r="M3119" s="893">
        <v>0</v>
      </c>
      <c r="N3119" s="1562">
        <v>2.060729679782745</v>
      </c>
      <c r="O3119" s="1562"/>
    </row>
    <row r="3120" spans="11:15">
      <c r="K3120" s="1636">
        <v>45177</v>
      </c>
      <c r="L3120" s="1562" t="s">
        <v>1650</v>
      </c>
      <c r="M3120" s="893">
        <v>4.9036999999999997E-2</v>
      </c>
      <c r="N3120" s="1562">
        <v>2.0617401997958202</v>
      </c>
      <c r="O3120" s="1562"/>
    </row>
    <row r="3121" spans="11:15">
      <c r="K3121" s="1636">
        <v>45178</v>
      </c>
      <c r="L3121" s="1562"/>
      <c r="M3121" s="893">
        <v>0</v>
      </c>
      <c r="N3121" s="1562">
        <v>2.0617401997958202</v>
      </c>
      <c r="O3121" s="1562"/>
    </row>
    <row r="3122" spans="11:15">
      <c r="K3122" s="1636">
        <v>45179</v>
      </c>
      <c r="L3122" s="1562"/>
      <c r="M3122" s="893">
        <v>0</v>
      </c>
      <c r="N3122" s="1562">
        <v>2.0617401997958202</v>
      </c>
      <c r="O3122" s="1562"/>
    </row>
    <row r="3123" spans="11:15">
      <c r="K3123" s="1636">
        <v>45180</v>
      </c>
      <c r="L3123" s="1562" t="s">
        <v>1650</v>
      </c>
      <c r="M3123" s="893">
        <v>4.9036999999999997E-2</v>
      </c>
      <c r="N3123" s="1562">
        <v>2.0627512153375944</v>
      </c>
      <c r="O3123" s="1562"/>
    </row>
    <row r="3124" spans="11:15">
      <c r="K3124" s="1636">
        <v>45181</v>
      </c>
      <c r="L3124" s="1562" t="s">
        <v>1650</v>
      </c>
      <c r="M3124" s="893">
        <v>4.9036999999999997E-2</v>
      </c>
      <c r="N3124" s="1562">
        <v>2.0637627266510599</v>
      </c>
      <c r="O3124" s="1562"/>
    </row>
    <row r="3125" spans="11:15">
      <c r="K3125" s="1636">
        <v>45182</v>
      </c>
      <c r="L3125" s="1562" t="s">
        <v>1650</v>
      </c>
      <c r="M3125" s="893">
        <v>4.9036999999999997E-2</v>
      </c>
      <c r="N3125" s="1562">
        <v>2.0647747339793279</v>
      </c>
      <c r="O3125" s="1562"/>
    </row>
    <row r="3126" spans="11:15">
      <c r="K3126" s="1636">
        <v>45183</v>
      </c>
      <c r="L3126" s="1562" t="s">
        <v>1650</v>
      </c>
      <c r="M3126" s="893">
        <v>4.9036999999999997E-2</v>
      </c>
      <c r="N3126" s="1562">
        <v>2.0657872375656297</v>
      </c>
      <c r="O3126" s="1562"/>
    </row>
    <row r="3127" spans="11:15">
      <c r="K3127" s="1636">
        <v>45184</v>
      </c>
      <c r="L3127" s="1562" t="s">
        <v>1650</v>
      </c>
      <c r="M3127" s="893">
        <v>4.9036999999999997E-2</v>
      </c>
      <c r="N3127" s="1562">
        <v>2.066800237653315</v>
      </c>
      <c r="O3127" s="1562"/>
    </row>
    <row r="3128" spans="11:15">
      <c r="K3128" s="1636">
        <v>45185</v>
      </c>
      <c r="L3128" s="1562"/>
      <c r="M3128" s="893">
        <v>0</v>
      </c>
      <c r="N3128" s="1562">
        <v>2.066800237653315</v>
      </c>
      <c r="O3128" s="1562"/>
    </row>
    <row r="3129" spans="11:15">
      <c r="K3129" s="1636">
        <v>45186</v>
      </c>
      <c r="L3129" s="1562"/>
      <c r="M3129" s="893">
        <v>0</v>
      </c>
      <c r="N3129" s="1562">
        <v>2.066800237653315</v>
      </c>
      <c r="O3129" s="1562"/>
    </row>
    <row r="3130" spans="11:15">
      <c r="K3130" s="1636">
        <v>45187</v>
      </c>
      <c r="L3130" s="1562" t="s">
        <v>1650</v>
      </c>
      <c r="M3130" s="893">
        <v>4.9036999999999997E-2</v>
      </c>
      <c r="N3130" s="1562">
        <v>2.0678137344858531</v>
      </c>
      <c r="O3130" s="1562"/>
    </row>
    <row r="3131" spans="11:15">
      <c r="K3131" s="1636">
        <v>45188</v>
      </c>
      <c r="L3131" s="1562" t="s">
        <v>1650</v>
      </c>
      <c r="M3131" s="893">
        <v>4.9036999999999997E-2</v>
      </c>
      <c r="N3131" s="1562">
        <v>2.0688277283068333</v>
      </c>
      <c r="O3131" s="1562"/>
    </row>
    <row r="3132" spans="11:15">
      <c r="K3132" s="1636">
        <v>45189</v>
      </c>
      <c r="L3132" s="1562" t="s">
        <v>1650</v>
      </c>
      <c r="M3132" s="893">
        <v>4.9036999999999997E-2</v>
      </c>
      <c r="N3132" s="1562">
        <v>2.069842219359963</v>
      </c>
      <c r="O3132" s="1562"/>
    </row>
    <row r="3133" spans="11:15">
      <c r="K3133" s="1636">
        <v>45190</v>
      </c>
      <c r="L3133" s="1562" t="s">
        <v>1650</v>
      </c>
      <c r="M3133" s="893">
        <v>4.9036999999999997E-2</v>
      </c>
      <c r="N3133" s="1562">
        <v>2.0708572078890706</v>
      </c>
      <c r="O3133" s="1562"/>
    </row>
    <row r="3134" spans="11:15">
      <c r="K3134" s="1636">
        <v>45191</v>
      </c>
      <c r="L3134" s="1562" t="s">
        <v>1650</v>
      </c>
      <c r="M3134" s="893">
        <v>4.9036999999999997E-2</v>
      </c>
      <c r="N3134" s="1562">
        <v>2.0718726941381034</v>
      </c>
      <c r="O3134" s="1562"/>
    </row>
    <row r="3135" spans="11:15">
      <c r="K3135" s="1636">
        <v>45192</v>
      </c>
      <c r="L3135" s="1562"/>
      <c r="M3135" s="893">
        <v>0</v>
      </c>
      <c r="N3135" s="1562">
        <v>2.0718726941381034</v>
      </c>
      <c r="O3135" s="1562"/>
    </row>
    <row r="3136" spans="11:15">
      <c r="K3136" s="1636">
        <v>45193</v>
      </c>
      <c r="L3136" s="1562"/>
      <c r="M3136" s="893">
        <v>0</v>
      </c>
      <c r="N3136" s="1562">
        <v>2.0718726941381034</v>
      </c>
      <c r="O3136" s="1562"/>
    </row>
    <row r="3137" spans="11:15">
      <c r="K3137" s="1636">
        <v>45194</v>
      </c>
      <c r="L3137" s="1562" t="s">
        <v>1650</v>
      </c>
      <c r="M3137" s="893">
        <v>4.9036999999999997E-2</v>
      </c>
      <c r="N3137" s="1562">
        <v>2.072888678351128</v>
      </c>
      <c r="O3137" s="1562"/>
    </row>
    <row r="3138" spans="11:15">
      <c r="K3138" s="1636">
        <v>45195</v>
      </c>
      <c r="L3138" s="1562" t="s">
        <v>1650</v>
      </c>
      <c r="M3138" s="893">
        <v>4.9036999999999997E-2</v>
      </c>
      <c r="N3138" s="1562">
        <v>2.0739051607723313</v>
      </c>
      <c r="O3138" s="1562"/>
    </row>
    <row r="3139" spans="11:15">
      <c r="K3139" s="1636">
        <v>45196</v>
      </c>
      <c r="L3139" s="1562" t="s">
        <v>1650</v>
      </c>
      <c r="M3139" s="893">
        <v>4.9036999999999997E-2</v>
      </c>
      <c r="N3139" s="1562">
        <v>2.0749221416460193</v>
      </c>
      <c r="O3139" s="1562"/>
    </row>
    <row r="3140" spans="11:15">
      <c r="K3140" s="1636">
        <v>45197</v>
      </c>
      <c r="L3140" s="1562" t="s">
        <v>1650</v>
      </c>
      <c r="M3140" s="893">
        <v>4.9036999999999997E-2</v>
      </c>
      <c r="N3140" s="1562">
        <v>2.0759396212166186</v>
      </c>
      <c r="O3140" s="1562"/>
    </row>
    <row r="3141" spans="11:15">
      <c r="K3141" s="1636">
        <v>45198</v>
      </c>
      <c r="L3141" s="1562" t="s">
        <v>1650</v>
      </c>
      <c r="M3141" s="893">
        <v>4.9036999999999997E-2</v>
      </c>
      <c r="N3141" s="1562">
        <v>2.0769575997286749</v>
      </c>
      <c r="O3141" s="1562"/>
    </row>
    <row r="3142" spans="11:15">
      <c r="K3142" s="1636">
        <v>45199</v>
      </c>
      <c r="L3142" s="1562"/>
      <c r="M3142" s="893">
        <v>0</v>
      </c>
      <c r="N3142" s="1562">
        <v>2.0769575997286749</v>
      </c>
      <c r="O3142" s="1562"/>
    </row>
    <row r="3143" spans="11:15">
      <c r="K3143" s="1636">
        <v>45200</v>
      </c>
      <c r="L3143" s="1562"/>
      <c r="M3143" s="893">
        <v>0</v>
      </c>
      <c r="N3143" s="1562">
        <v>2.0769575997286749</v>
      </c>
      <c r="O3143" s="1562"/>
    </row>
    <row r="3144" spans="11:15">
      <c r="K3144" s="1636">
        <v>45201</v>
      </c>
      <c r="L3144" s="1562" t="s">
        <v>1650</v>
      </c>
      <c r="M3144" s="893">
        <v>4.9036999999999997E-2</v>
      </c>
      <c r="N3144" s="1562">
        <v>2.0779760774268539</v>
      </c>
      <c r="O3144" s="1562"/>
    </row>
    <row r="3145" spans="11:15">
      <c r="K3145" s="1636">
        <v>45202</v>
      </c>
      <c r="L3145" s="1562" t="s">
        <v>1650</v>
      </c>
      <c r="M3145" s="893">
        <v>4.9036999999999997E-2</v>
      </c>
      <c r="N3145" s="1562">
        <v>2.0789950545559419</v>
      </c>
      <c r="O3145" s="1562"/>
    </row>
    <row r="3146" spans="11:15">
      <c r="K3146" s="1636">
        <v>45203</v>
      </c>
      <c r="L3146" s="1562" t="s">
        <v>1650</v>
      </c>
      <c r="M3146" s="893">
        <v>4.9036999999999997E-2</v>
      </c>
      <c r="N3146" s="1562">
        <v>2.0800145313608445</v>
      </c>
      <c r="O3146" s="1562"/>
    </row>
    <row r="3147" spans="11:15">
      <c r="K3147" s="1636">
        <v>45204</v>
      </c>
      <c r="L3147" s="1562" t="s">
        <v>1650</v>
      </c>
      <c r="M3147" s="893">
        <v>4.9036999999999997E-2</v>
      </c>
      <c r="N3147" s="1562">
        <v>2.0810345080865882</v>
      </c>
      <c r="O3147" s="1562"/>
    </row>
    <row r="3148" spans="11:15">
      <c r="K3148" s="1636">
        <v>45205</v>
      </c>
      <c r="L3148" s="1562" t="s">
        <v>1650</v>
      </c>
      <c r="M3148" s="893">
        <v>4.9036999999999997E-2</v>
      </c>
      <c r="N3148" s="1562">
        <v>2.0820549849783188</v>
      </c>
      <c r="O3148" s="1562"/>
    </row>
    <row r="3149" spans="11:15">
      <c r="K3149" s="1636">
        <v>45206</v>
      </c>
      <c r="L3149" s="1562"/>
      <c r="M3149" s="893">
        <v>0</v>
      </c>
      <c r="N3149" s="1562">
        <v>2.0820549849783188</v>
      </c>
      <c r="O3149" s="1562"/>
    </row>
    <row r="3150" spans="11:15">
      <c r="K3150" s="1636">
        <v>45207</v>
      </c>
      <c r="L3150" s="1562"/>
      <c r="M3150" s="893">
        <v>0</v>
      </c>
      <c r="N3150" s="1562">
        <v>2.0820549849783188</v>
      </c>
      <c r="O3150" s="1562"/>
    </row>
    <row r="3151" spans="11:15">
      <c r="K3151" s="1636">
        <v>45208</v>
      </c>
      <c r="L3151" s="1562" t="s">
        <v>1650</v>
      </c>
      <c r="M3151" s="893">
        <v>4.9036999999999997E-2</v>
      </c>
      <c r="N3151" s="1562">
        <v>2.0830759622813027</v>
      </c>
      <c r="O3151" s="1562"/>
    </row>
    <row r="3152" spans="11:15">
      <c r="K3152" s="1636">
        <v>45209</v>
      </c>
      <c r="L3152" s="1562" t="s">
        <v>1650</v>
      </c>
      <c r="M3152" s="893">
        <v>4.9036999999999997E-2</v>
      </c>
      <c r="N3152" s="1562">
        <v>2.0840974402409267</v>
      </c>
      <c r="O3152" s="1562"/>
    </row>
    <row r="3153" spans="11:15">
      <c r="K3153" s="1636">
        <v>45210</v>
      </c>
      <c r="L3153" s="1562" t="s">
        <v>1650</v>
      </c>
      <c r="M3153" s="893">
        <v>4.9036999999999997E-2</v>
      </c>
      <c r="N3153" s="1562">
        <v>2.0851194191026976</v>
      </c>
      <c r="O3153" s="1562"/>
    </row>
    <row r="3154" spans="11:15">
      <c r="K3154" s="1636">
        <v>45211</v>
      </c>
      <c r="L3154" s="1562"/>
      <c r="M3154" s="893">
        <v>0</v>
      </c>
      <c r="N3154" s="1562">
        <v>2.0851194191026976</v>
      </c>
      <c r="O3154" s="1562"/>
    </row>
    <row r="3155" spans="11:15">
      <c r="K3155" s="1636">
        <v>45212</v>
      </c>
      <c r="L3155" s="1562" t="s">
        <v>1650</v>
      </c>
      <c r="M3155" s="893">
        <v>4.9036999999999997E-2</v>
      </c>
      <c r="N3155" s="1562">
        <v>2.0861418991122433</v>
      </c>
      <c r="O3155" s="1562"/>
    </row>
    <row r="3156" spans="11:15">
      <c r="K3156" s="1636">
        <v>45213</v>
      </c>
      <c r="L3156" s="1562"/>
      <c r="M3156" s="893">
        <v>0</v>
      </c>
      <c r="N3156" s="1562">
        <v>2.0861418991122433</v>
      </c>
      <c r="O3156" s="1562"/>
    </row>
    <row r="3157" spans="11:15">
      <c r="K3157" s="1636">
        <v>45214</v>
      </c>
      <c r="L3157" s="1562"/>
      <c r="M3157" s="893">
        <v>0</v>
      </c>
      <c r="N3157" s="1562">
        <v>2.0861418991122433</v>
      </c>
      <c r="O3157" s="1562"/>
    </row>
    <row r="3158" spans="11:15">
      <c r="K3158" s="1636">
        <v>45215</v>
      </c>
      <c r="L3158" s="1562" t="s">
        <v>1650</v>
      </c>
      <c r="M3158" s="893">
        <v>4.9036999999999997E-2</v>
      </c>
      <c r="N3158" s="1562">
        <v>2.0871648805153113</v>
      </c>
      <c r="O3158" s="1562"/>
    </row>
    <row r="3159" spans="11:15">
      <c r="K3159" s="1636">
        <v>45216</v>
      </c>
      <c r="L3159" s="1562" t="s">
        <v>1650</v>
      </c>
      <c r="M3159" s="893">
        <v>4.9036999999999997E-2</v>
      </c>
      <c r="N3159" s="1562">
        <v>2.0881883635577698</v>
      </c>
      <c r="O3159" s="1562"/>
    </row>
    <row r="3160" spans="11:15">
      <c r="K3160" s="1636">
        <v>45217</v>
      </c>
      <c r="L3160" s="1562" t="s">
        <v>1650</v>
      </c>
      <c r="M3160" s="893">
        <v>4.9036999999999997E-2</v>
      </c>
      <c r="N3160" s="1562">
        <v>2.0892123484856078</v>
      </c>
      <c r="O3160" s="1562"/>
    </row>
    <row r="3161" spans="11:15">
      <c r="K3161" s="1636">
        <v>45218</v>
      </c>
      <c r="L3161" s="1562" t="s">
        <v>1650</v>
      </c>
      <c r="M3161" s="893">
        <v>4.9036999999999997E-2</v>
      </c>
      <c r="N3161" s="1562">
        <v>2.090236835544935</v>
      </c>
      <c r="O3161" s="1562"/>
    </row>
    <row r="3162" spans="11:15">
      <c r="K3162" s="1636">
        <v>45219</v>
      </c>
      <c r="L3162" s="1562" t="s">
        <v>1650</v>
      </c>
      <c r="M3162" s="893">
        <v>4.9036999999999997E-2</v>
      </c>
      <c r="N3162" s="1562">
        <v>2.0912618249819812</v>
      </c>
      <c r="O3162" s="1562"/>
    </row>
    <row r="3163" spans="11:15">
      <c r="K3163" s="1636">
        <v>45220</v>
      </c>
      <c r="L3163" s="1562"/>
      <c r="M3163" s="893">
        <v>0</v>
      </c>
      <c r="N3163" s="1562">
        <v>2.0912618249819812</v>
      </c>
      <c r="O3163" s="1562"/>
    </row>
    <row r="3164" spans="11:15">
      <c r="K3164" s="1636">
        <v>45221</v>
      </c>
      <c r="L3164" s="1562"/>
      <c r="M3164" s="893">
        <v>0</v>
      </c>
      <c r="N3164" s="1562">
        <v>2.0912618249819812</v>
      </c>
      <c r="O3164" s="1562"/>
    </row>
    <row r="3165" spans="11:15">
      <c r="K3165" s="1636">
        <v>45222</v>
      </c>
      <c r="L3165" s="1562" t="s">
        <v>1650</v>
      </c>
      <c r="M3165" s="893">
        <v>4.9036999999999997E-2</v>
      </c>
      <c r="N3165" s="1562">
        <v>2.0922873170430978</v>
      </c>
      <c r="O3165" s="1562"/>
    </row>
    <row r="3166" spans="11:15">
      <c r="K3166" s="1636">
        <v>45223</v>
      </c>
      <c r="L3166" s="1562" t="s">
        <v>1650</v>
      </c>
      <c r="M3166" s="893">
        <v>4.9036999999999997E-2</v>
      </c>
      <c r="N3166" s="1562">
        <v>2.0933133119747565</v>
      </c>
      <c r="O3166" s="1562"/>
    </row>
    <row r="3167" spans="11:15">
      <c r="K3167" s="1636">
        <v>45224</v>
      </c>
      <c r="L3167" s="1562" t="s">
        <v>1650</v>
      </c>
      <c r="M3167" s="893">
        <v>4.9036999999999997E-2</v>
      </c>
      <c r="N3167" s="1562">
        <v>2.0943398100235497</v>
      </c>
      <c r="O3167" s="1562"/>
    </row>
    <row r="3168" spans="11:15">
      <c r="K3168" s="1636">
        <v>45225</v>
      </c>
      <c r="L3168" s="1562" t="s">
        <v>1650</v>
      </c>
      <c r="M3168" s="893">
        <v>4.9036999999999997E-2</v>
      </c>
      <c r="N3168" s="1562">
        <v>2.095366811436191</v>
      </c>
      <c r="O3168" s="1562"/>
    </row>
    <row r="3169" spans="11:15">
      <c r="K3169" s="1636">
        <v>45226</v>
      </c>
      <c r="L3169" s="1562" t="s">
        <v>1650</v>
      </c>
      <c r="M3169" s="893">
        <v>4.9036999999999997E-2</v>
      </c>
      <c r="N3169" s="1562">
        <v>2.0963943164595151</v>
      </c>
      <c r="O3169" s="1562"/>
    </row>
    <row r="3170" spans="11:15">
      <c r="K3170" s="1636">
        <v>45227</v>
      </c>
      <c r="L3170" s="1562"/>
      <c r="M3170" s="893">
        <v>0</v>
      </c>
      <c r="N3170" s="1562">
        <v>2.0963943164595151</v>
      </c>
      <c r="O3170" s="1562"/>
    </row>
    <row r="3171" spans="11:15">
      <c r="K3171" s="1636">
        <v>45228</v>
      </c>
      <c r="L3171" s="1562"/>
      <c r="M3171" s="893">
        <v>0</v>
      </c>
      <c r="N3171" s="1562">
        <v>2.0963943164595151</v>
      </c>
      <c r="O3171" s="1562"/>
    </row>
    <row r="3172" spans="11:15">
      <c r="K3172" s="1636">
        <v>45229</v>
      </c>
      <c r="L3172" s="1562" t="s">
        <v>1650</v>
      </c>
      <c r="M3172" s="893">
        <v>4.9036999999999997E-2</v>
      </c>
      <c r="N3172" s="1562">
        <v>2.0974223253404776</v>
      </c>
      <c r="O3172" s="1562"/>
    </row>
    <row r="3173" spans="11:15">
      <c r="K3173" s="1636">
        <v>45230</v>
      </c>
      <c r="L3173" s="1562" t="s">
        <v>1650</v>
      </c>
      <c r="M3173" s="893">
        <v>4.9036999999999997E-2</v>
      </c>
      <c r="N3173" s="1562">
        <v>2.0984508383261549</v>
      </c>
      <c r="O3173" s="1562"/>
    </row>
    <row r="3174" spans="11:15">
      <c r="K3174" s="1636">
        <v>45231</v>
      </c>
      <c r="L3174" s="1562" t="s">
        <v>1650</v>
      </c>
      <c r="M3174" s="893">
        <v>4.9036999999999997E-2</v>
      </c>
      <c r="N3174" s="1562">
        <v>2.0994798556637448</v>
      </c>
      <c r="O3174" s="1562"/>
    </row>
    <row r="3175" spans="11:15">
      <c r="K3175" s="1636">
        <v>45232</v>
      </c>
      <c r="L3175" s="1562"/>
      <c r="M3175" s="893">
        <v>0</v>
      </c>
      <c r="N3175" s="1562">
        <v>2.0994798556637448</v>
      </c>
      <c r="O3175" s="1562"/>
    </row>
    <row r="3176" spans="11:15">
      <c r="K3176" s="1636">
        <v>45233</v>
      </c>
      <c r="L3176" s="1562" t="s">
        <v>1650</v>
      </c>
      <c r="M3176" s="893">
        <v>4.9036999999999997E-2</v>
      </c>
      <c r="N3176" s="1562">
        <v>2.100509377600567</v>
      </c>
      <c r="O3176" s="1562"/>
    </row>
    <row r="3177" spans="11:15">
      <c r="K3177" s="1636">
        <v>45234</v>
      </c>
      <c r="L3177" s="1562"/>
      <c r="M3177" s="893">
        <v>0</v>
      </c>
      <c r="N3177" s="1562">
        <v>2.100509377600567</v>
      </c>
      <c r="O3177" s="1562"/>
    </row>
    <row r="3178" spans="11:15">
      <c r="K3178" s="1636">
        <v>45235</v>
      </c>
      <c r="L3178" s="1562"/>
      <c r="M3178" s="893">
        <v>0</v>
      </c>
      <c r="N3178" s="1562">
        <v>2.100509377600567</v>
      </c>
      <c r="O3178" s="1562"/>
    </row>
    <row r="3179" spans="11:15">
      <c r="K3179" s="1636">
        <v>45236</v>
      </c>
      <c r="L3179" s="1562" t="s">
        <v>1650</v>
      </c>
      <c r="M3179" s="893">
        <v>4.9036999999999997E-2</v>
      </c>
      <c r="N3179" s="1562">
        <v>2.1015394043840612</v>
      </c>
      <c r="O3179" s="1562"/>
    </row>
    <row r="3180" spans="11:15">
      <c r="K3180" s="1636">
        <v>45237</v>
      </c>
      <c r="L3180" s="1562" t="s">
        <v>1650</v>
      </c>
      <c r="M3180" s="893">
        <v>4.9036999999999997E-2</v>
      </c>
      <c r="N3180" s="1562">
        <v>2.1025699362617893</v>
      </c>
      <c r="O3180" s="1562"/>
    </row>
    <row r="3181" spans="11:15">
      <c r="K3181" s="1636">
        <v>45238</v>
      </c>
      <c r="L3181" s="1562" t="s">
        <v>1650</v>
      </c>
      <c r="M3181" s="893">
        <v>4.9036999999999997E-2</v>
      </c>
      <c r="N3181" s="1562">
        <v>2.1036009734814343</v>
      </c>
      <c r="O3181" s="1562"/>
    </row>
    <row r="3182" spans="11:15">
      <c r="K3182" s="1636">
        <v>45239</v>
      </c>
      <c r="L3182" s="1562" t="s">
        <v>1650</v>
      </c>
      <c r="M3182" s="893">
        <v>4.9036999999999997E-2</v>
      </c>
      <c r="N3182" s="1562">
        <v>2.1046325162908004</v>
      </c>
      <c r="O3182" s="1562"/>
    </row>
    <row r="3183" spans="11:15">
      <c r="K3183" s="1636">
        <v>45240</v>
      </c>
      <c r="L3183" s="1562" t="s">
        <v>1650</v>
      </c>
      <c r="M3183" s="893">
        <v>4.9036999999999997E-2</v>
      </c>
      <c r="N3183" s="1562">
        <v>2.1056645649378143</v>
      </c>
      <c r="O3183" s="1562"/>
    </row>
    <row r="3184" spans="11:15">
      <c r="K3184" s="1636">
        <v>45241</v>
      </c>
      <c r="L3184" s="1562"/>
      <c r="M3184" s="893">
        <v>0</v>
      </c>
      <c r="N3184" s="1562">
        <v>2.1056645649378143</v>
      </c>
      <c r="O3184" s="1562"/>
    </row>
    <row r="3185" spans="11:15">
      <c r="K3185" s="1636">
        <v>45242</v>
      </c>
      <c r="L3185" s="1562"/>
      <c r="M3185" s="893">
        <v>0</v>
      </c>
      <c r="N3185" s="1562">
        <v>2.1056645649378143</v>
      </c>
      <c r="O3185" s="1562"/>
    </row>
    <row r="3186" spans="11:15">
      <c r="K3186" s="1636">
        <v>45243</v>
      </c>
      <c r="L3186" s="1562" t="s">
        <v>1650</v>
      </c>
      <c r="M3186" s="893">
        <v>4.9036999999999997E-2</v>
      </c>
      <c r="N3186" s="1562">
        <v>2.1066971196705229</v>
      </c>
      <c r="O3186" s="1562"/>
    </row>
    <row r="3187" spans="11:15">
      <c r="K3187" s="1636">
        <v>45244</v>
      </c>
      <c r="L3187" s="1562" t="s">
        <v>1650</v>
      </c>
      <c r="M3187" s="893">
        <v>4.9036999999999997E-2</v>
      </c>
      <c r="N3187" s="1562">
        <v>2.1077301807370961</v>
      </c>
      <c r="O3187" s="1562"/>
    </row>
    <row r="3188" spans="11:15">
      <c r="K3188" s="1636">
        <v>45245</v>
      </c>
      <c r="L3188" s="1562"/>
      <c r="M3188" s="893">
        <v>0</v>
      </c>
      <c r="N3188" s="1562">
        <v>2.1077301807370961</v>
      </c>
      <c r="O3188" s="1562"/>
    </row>
    <row r="3189" spans="11:15">
      <c r="K3189" s="1636">
        <v>45246</v>
      </c>
      <c r="L3189" s="1562" t="s">
        <v>1650</v>
      </c>
      <c r="M3189" s="893">
        <v>4.9036999999999997E-2</v>
      </c>
      <c r="N3189" s="1562">
        <v>2.1087637483858241</v>
      </c>
      <c r="O3189" s="1562"/>
    </row>
    <row r="3190" spans="11:15">
      <c r="K3190" s="1636">
        <v>45247</v>
      </c>
      <c r="L3190" s="1562" t="s">
        <v>1650</v>
      </c>
      <c r="M3190" s="893">
        <v>4.9036999999999997E-2</v>
      </c>
      <c r="N3190" s="1562">
        <v>2.1097978228651204</v>
      </c>
      <c r="O3190" s="1562"/>
    </row>
    <row r="3191" spans="11:15">
      <c r="K3191" s="1636">
        <v>45248</v>
      </c>
      <c r="L3191" s="1562"/>
      <c r="M3191" s="893">
        <v>0</v>
      </c>
      <c r="N3191" s="1562">
        <v>2.1097978228651204</v>
      </c>
      <c r="O3191" s="1562"/>
    </row>
    <row r="3192" spans="11:15">
      <c r="K3192" s="1636">
        <v>45249</v>
      </c>
      <c r="L3192" s="1562"/>
      <c r="M3192" s="893">
        <v>0</v>
      </c>
      <c r="N3192" s="1562">
        <v>2.1097978228651204</v>
      </c>
      <c r="O3192" s="1562"/>
    </row>
    <row r="3193" spans="11:15">
      <c r="K3193" s="1636">
        <v>45250</v>
      </c>
      <c r="L3193" s="1562" t="s">
        <v>1650</v>
      </c>
      <c r="M3193" s="893">
        <v>4.9036999999999997E-2</v>
      </c>
      <c r="N3193" s="1562">
        <v>2.1108324044235189</v>
      </c>
      <c r="O3193" s="1562"/>
    </row>
    <row r="3194" spans="11:15">
      <c r="K3194" s="1636">
        <v>45251</v>
      </c>
      <c r="L3194" s="1562" t="s">
        <v>1650</v>
      </c>
      <c r="M3194" s="893">
        <v>4.9036999999999997E-2</v>
      </c>
      <c r="N3194" s="1562">
        <v>2.1118674933096764</v>
      </c>
      <c r="O3194" s="1562"/>
    </row>
    <row r="3195" spans="11:15">
      <c r="K3195" s="1636">
        <v>45252</v>
      </c>
      <c r="L3195" s="1562" t="s">
        <v>1650</v>
      </c>
      <c r="M3195" s="893">
        <v>4.9036999999999997E-2</v>
      </c>
      <c r="N3195" s="1562">
        <v>2.1129030897723706</v>
      </c>
      <c r="O3195" s="1562"/>
    </row>
    <row r="3196" spans="11:15">
      <c r="K3196" s="1636">
        <v>45253</v>
      </c>
      <c r="L3196" s="1562" t="s">
        <v>1650</v>
      </c>
      <c r="M3196" s="893">
        <v>4.9036999999999997E-2</v>
      </c>
      <c r="N3196" s="1562">
        <v>2.1139391940605026</v>
      </c>
      <c r="O3196" s="1562"/>
    </row>
    <row r="3197" spans="11:15">
      <c r="K3197" s="1636">
        <v>45254</v>
      </c>
      <c r="L3197" s="1562" t="s">
        <v>1650</v>
      </c>
      <c r="M3197" s="893">
        <v>4.9036999999999997E-2</v>
      </c>
      <c r="N3197" s="1562">
        <v>2.1149758064230944</v>
      </c>
      <c r="O3197" s="1562"/>
    </row>
    <row r="3198" spans="11:15">
      <c r="K3198" s="1636">
        <v>45255</v>
      </c>
      <c r="L3198" s="1562"/>
      <c r="M3198" s="893">
        <v>0</v>
      </c>
      <c r="N3198" s="1562">
        <v>2.1149758064230944</v>
      </c>
      <c r="O3198" s="1562"/>
    </row>
    <row r="3199" spans="11:15">
      <c r="K3199" s="1636">
        <v>45256</v>
      </c>
      <c r="L3199" s="1562"/>
      <c r="M3199" s="893">
        <v>0</v>
      </c>
      <c r="N3199" s="1562">
        <v>2.1149758064230944</v>
      </c>
      <c r="O3199" s="1562"/>
    </row>
    <row r="3200" spans="11:15">
      <c r="K3200" s="1636">
        <v>45257</v>
      </c>
      <c r="L3200" s="1562" t="s">
        <v>1650</v>
      </c>
      <c r="M3200" s="893">
        <v>4.9036999999999997E-2</v>
      </c>
      <c r="N3200" s="1562">
        <v>2.1160129271092902</v>
      </c>
      <c r="O3200" s="1562"/>
    </row>
    <row r="3201" spans="11:15">
      <c r="K3201" s="1636">
        <v>45258</v>
      </c>
      <c r="L3201" s="1562" t="s">
        <v>1650</v>
      </c>
      <c r="M3201" s="893">
        <v>4.9036999999999997E-2</v>
      </c>
      <c r="N3201" s="1562">
        <v>2.117050556368357</v>
      </c>
      <c r="O3201" s="1562"/>
    </row>
    <row r="3202" spans="11:15">
      <c r="K3202" s="1636">
        <v>45259</v>
      </c>
      <c r="L3202" s="1562" t="s">
        <v>1650</v>
      </c>
      <c r="M3202" s="893">
        <v>4.9036999999999997E-2</v>
      </c>
      <c r="N3202" s="1562">
        <v>2.1180886944496837</v>
      </c>
      <c r="O3202" s="1562"/>
    </row>
    <row r="3203" spans="11:15">
      <c r="K3203" s="1636">
        <v>45260</v>
      </c>
      <c r="L3203" s="1562" t="s">
        <v>1650</v>
      </c>
      <c r="M3203" s="893">
        <v>4.9036999999999997E-2</v>
      </c>
      <c r="N3203" s="1562">
        <v>2.1191273416027814</v>
      </c>
      <c r="O3203" s="1562"/>
    </row>
    <row r="3204" spans="11:15">
      <c r="K3204" s="1636">
        <v>45261</v>
      </c>
      <c r="L3204" s="1562" t="s">
        <v>1650</v>
      </c>
      <c r="M3204" s="893">
        <v>4.9036999999999997E-2</v>
      </c>
      <c r="N3204" s="1562">
        <v>2.1201664980772832</v>
      </c>
      <c r="O3204" s="1562"/>
    </row>
    <row r="3205" spans="11:15">
      <c r="K3205" s="1636">
        <v>45262</v>
      </c>
      <c r="L3205" s="1562"/>
      <c r="M3205" s="893">
        <v>0</v>
      </c>
      <c r="N3205" s="1562">
        <v>2.1201664980772832</v>
      </c>
      <c r="O3205" s="1562"/>
    </row>
    <row r="3206" spans="11:15">
      <c r="K3206" s="1636">
        <v>45263</v>
      </c>
      <c r="L3206" s="1562"/>
      <c r="M3206" s="893">
        <v>0</v>
      </c>
      <c r="N3206" s="1562">
        <v>2.1201664980772832</v>
      </c>
      <c r="O3206" s="1562"/>
    </row>
    <row r="3207" spans="11:15">
      <c r="K3207" s="1636">
        <v>45264</v>
      </c>
      <c r="L3207" s="1562" t="s">
        <v>1650</v>
      </c>
      <c r="M3207" s="893">
        <v>4.9036999999999997E-2</v>
      </c>
      <c r="N3207" s="1562">
        <v>2.1212061641229454</v>
      </c>
      <c r="O3207" s="1562"/>
    </row>
    <row r="3208" spans="11:15">
      <c r="K3208" s="1636">
        <v>45265</v>
      </c>
      <c r="L3208" s="1562" t="s">
        <v>1650</v>
      </c>
      <c r="M3208" s="893">
        <v>4.9036999999999997E-2</v>
      </c>
      <c r="N3208" s="1562">
        <v>2.1222463399896463</v>
      </c>
      <c r="O3208" s="1562"/>
    </row>
    <row r="3209" spans="11:15">
      <c r="K3209" s="1636">
        <v>45266</v>
      </c>
      <c r="L3209" s="1562" t="s">
        <v>1650</v>
      </c>
      <c r="M3209" s="893">
        <v>4.9036999999999997E-2</v>
      </c>
      <c r="N3209" s="1562">
        <v>2.1232870259273873</v>
      </c>
      <c r="O3209" s="1562"/>
    </row>
    <row r="3210" spans="11:15">
      <c r="K3210" s="1636">
        <v>45267</v>
      </c>
      <c r="L3210" s="1562" t="s">
        <v>1650</v>
      </c>
      <c r="M3210" s="893">
        <v>4.9036999999999997E-2</v>
      </c>
      <c r="N3210" s="1562">
        <v>2.1243282221862914</v>
      </c>
      <c r="O3210" s="1562"/>
    </row>
    <row r="3211" spans="11:15">
      <c r="K3211" s="1636">
        <v>45268</v>
      </c>
      <c r="L3211" s="1562" t="s">
        <v>1650</v>
      </c>
      <c r="M3211" s="893">
        <v>4.9036999999999997E-2</v>
      </c>
      <c r="N3211" s="1562">
        <v>2.125369929016605</v>
      </c>
      <c r="O3211" s="1562"/>
    </row>
    <row r="3212" spans="11:15">
      <c r="K3212" s="1636">
        <v>45269</v>
      </c>
      <c r="L3212" s="1562"/>
      <c r="M3212" s="893">
        <v>0</v>
      </c>
      <c r="N3212" s="1562">
        <v>2.125369929016605</v>
      </c>
      <c r="O3212" s="1562"/>
    </row>
    <row r="3213" spans="11:15">
      <c r="K3213" s="1636">
        <v>45270</v>
      </c>
      <c r="L3213" s="1562"/>
      <c r="M3213" s="893">
        <v>0</v>
      </c>
      <c r="N3213" s="1562">
        <v>2.125369929016605</v>
      </c>
      <c r="O3213" s="1562"/>
    </row>
    <row r="3214" spans="11:15">
      <c r="K3214" s="1636">
        <v>45271</v>
      </c>
      <c r="L3214" s="1562" t="s">
        <v>1650</v>
      </c>
      <c r="M3214" s="893">
        <v>4.9036999999999997E-2</v>
      </c>
      <c r="N3214" s="1562">
        <v>2.1264121466686969</v>
      </c>
      <c r="O3214" s="1562"/>
    </row>
    <row r="3215" spans="11:15">
      <c r="K3215" s="1636">
        <v>45272</v>
      </c>
      <c r="L3215" s="1" t="s">
        <v>1650</v>
      </c>
      <c r="M3215" s="1">
        <v>4.9036999999999997E-2</v>
      </c>
      <c r="N3215" s="1">
        <v>2.1274548753930591</v>
      </c>
    </row>
    <row r="3216" spans="11:15">
      <c r="K3216" s="1636">
        <v>45273</v>
      </c>
      <c r="L3216" s="1" t="s">
        <v>1650</v>
      </c>
      <c r="M3216" s="1">
        <v>4.9036999999999997E-2</v>
      </c>
      <c r="N3216" s="1">
        <v>2.1284981154403058</v>
      </c>
    </row>
    <row r="3217" spans="11:14">
      <c r="K3217" s="1636">
        <v>45274</v>
      </c>
      <c r="L3217" s="1" t="s">
        <v>1650</v>
      </c>
      <c r="M3217" s="1">
        <v>4.9036999999999997E-2</v>
      </c>
      <c r="N3217" s="1">
        <v>2.1295418670611745</v>
      </c>
    </row>
    <row r="3218" spans="11:14">
      <c r="K3218" s="1636">
        <v>45275</v>
      </c>
      <c r="L3218" s="1" t="s">
        <v>1650</v>
      </c>
      <c r="M3218" s="1">
        <v>4.9036999999999997E-2</v>
      </c>
      <c r="N3218" s="1">
        <v>2.1305861305065257</v>
      </c>
    </row>
    <row r="3219" spans="11:14">
      <c r="K3219" s="1636">
        <v>45276</v>
      </c>
      <c r="M3219" s="1">
        <v>0</v>
      </c>
      <c r="N3219" s="1">
        <v>2.1305861305065257</v>
      </c>
    </row>
    <row r="3220" spans="11:14">
      <c r="K3220" s="1636">
        <v>45277</v>
      </c>
      <c r="M3220" s="1">
        <v>0</v>
      </c>
      <c r="N3220" s="1">
        <v>2.1305861305065257</v>
      </c>
    </row>
    <row r="3221" spans="11:14">
      <c r="K3221" s="1636">
        <v>45278</v>
      </c>
      <c r="L3221" s="1" t="s">
        <v>1650</v>
      </c>
      <c r="M3221" s="1">
        <v>4.9036999999999997E-2</v>
      </c>
      <c r="N3221" s="1">
        <v>2.1316309060273424</v>
      </c>
    </row>
    <row r="3222" spans="11:14">
      <c r="K3222" s="1636">
        <v>45279</v>
      </c>
      <c r="L3222" s="1" t="s">
        <v>1650</v>
      </c>
      <c r="M3222" s="1">
        <v>4.9036999999999997E-2</v>
      </c>
      <c r="N3222" s="1">
        <v>2.1326761938747314</v>
      </c>
    </row>
    <row r="3223" spans="11:14">
      <c r="K3223" s="1636">
        <v>45280</v>
      </c>
      <c r="L3223" s="1" t="s">
        <v>1650</v>
      </c>
      <c r="M3223" s="1">
        <v>4.9036999999999997E-2</v>
      </c>
      <c r="N3223" s="1">
        <v>2.1337219942999219</v>
      </c>
    </row>
    <row r="3224" spans="11:14">
      <c r="K3224" s="1636">
        <v>45281</v>
      </c>
      <c r="L3224" s="1" t="s">
        <v>1650</v>
      </c>
      <c r="M3224" s="1">
        <v>4.9036999999999997E-2</v>
      </c>
      <c r="N3224" s="1">
        <v>2.1347683075542667</v>
      </c>
    </row>
    <row r="3225" spans="11:14">
      <c r="K3225" s="1636">
        <v>45282</v>
      </c>
      <c r="L3225" s="1" t="s">
        <v>1650</v>
      </c>
      <c r="M3225" s="1">
        <v>4.9036999999999997E-2</v>
      </c>
      <c r="N3225" s="1">
        <v>2.1358151338892424</v>
      </c>
    </row>
    <row r="3226" spans="11:14">
      <c r="K3226" s="1636">
        <v>45283</v>
      </c>
      <c r="M3226" s="1">
        <v>0</v>
      </c>
      <c r="N3226" s="1">
        <v>2.1358151338892424</v>
      </c>
    </row>
    <row r="3227" spans="11:14">
      <c r="K3227" s="1636">
        <v>45284</v>
      </c>
      <c r="M3227" s="1">
        <v>0</v>
      </c>
      <c r="N3227" s="1">
        <v>2.1358151338892424</v>
      </c>
    </row>
    <row r="3228" spans="11:14">
      <c r="K3228" s="1636">
        <v>45285</v>
      </c>
      <c r="M3228" s="1">
        <v>0</v>
      </c>
      <c r="N3228" s="1">
        <v>2.1358151338892424</v>
      </c>
    </row>
    <row r="3229" spans="11:14">
      <c r="K3229" s="1636">
        <v>45286</v>
      </c>
      <c r="L3229" s="1" t="s">
        <v>1650</v>
      </c>
      <c r="M3229" s="1">
        <v>4.9036999999999997E-2</v>
      </c>
      <c r="N3229" s="1">
        <v>2.1368624735564477</v>
      </c>
    </row>
    <row r="3230" spans="11:14">
      <c r="K3230" s="1636">
        <v>45287</v>
      </c>
      <c r="L3230" s="1" t="s">
        <v>1650</v>
      </c>
      <c r="M3230" s="1">
        <v>4.9036999999999997E-2</v>
      </c>
      <c r="N3230" s="1">
        <v>2.1379103268076056</v>
      </c>
    </row>
    <row r="3231" spans="11:14">
      <c r="K3231" s="1636">
        <v>45288</v>
      </c>
      <c r="L3231" s="1" t="s">
        <v>1650</v>
      </c>
      <c r="M3231" s="1">
        <v>4.9036999999999997E-2</v>
      </c>
      <c r="N3231" s="1">
        <v>2.1389586938945624</v>
      </c>
    </row>
    <row r="3232" spans="11:14">
      <c r="K3232" s="1636">
        <v>45289</v>
      </c>
      <c r="L3232" s="1" t="s">
        <v>1650</v>
      </c>
      <c r="M3232" s="1">
        <v>4.9036999999999997E-2</v>
      </c>
      <c r="N3232" s="1">
        <v>2.1400075750692875</v>
      </c>
    </row>
    <row r="3233" spans="11:14">
      <c r="K3233" s="1636">
        <v>45290</v>
      </c>
      <c r="M3233" s="1">
        <v>0</v>
      </c>
      <c r="N3233" s="1">
        <v>2.1400075750692875</v>
      </c>
    </row>
    <row r="3234" spans="11:14">
      <c r="K3234" s="1636">
        <v>45291</v>
      </c>
      <c r="M3234" s="1">
        <v>0</v>
      </c>
      <c r="N3234" s="1">
        <v>2.1400075750692875</v>
      </c>
    </row>
    <row r="3235" spans="11:14">
      <c r="K3235" s="1636">
        <v>45292</v>
      </c>
      <c r="M3235" s="1">
        <v>0</v>
      </c>
      <c r="N3235" s="1">
        <v>2.1400075750692875</v>
      </c>
    </row>
    <row r="3236" spans="11:14">
      <c r="K3236" s="1636">
        <v>45293</v>
      </c>
      <c r="L3236" s="1" t="s">
        <v>1650</v>
      </c>
      <c r="M3236" s="1">
        <v>4.9036999999999997E-2</v>
      </c>
      <c r="N3236" s="1">
        <v>2.1410569705838745</v>
      </c>
    </row>
    <row r="3237" spans="11:14">
      <c r="K3237" s="1636">
        <v>45294</v>
      </c>
      <c r="L3237" s="1" t="s">
        <v>1650</v>
      </c>
      <c r="M3237" s="1">
        <v>4.9036999999999997E-2</v>
      </c>
      <c r="N3237" s="1">
        <v>2.1421068806905397</v>
      </c>
    </row>
    <row r="3238" spans="11:14">
      <c r="K3238" s="1636">
        <v>45295</v>
      </c>
      <c r="L3238" s="1" t="s">
        <v>1650</v>
      </c>
      <c r="M3238" s="1">
        <v>4.9036999999999997E-2</v>
      </c>
      <c r="N3238" s="1">
        <v>2.143157305641624</v>
      </c>
    </row>
    <row r="3239" spans="11:14">
      <c r="K3239" s="1636">
        <v>45296</v>
      </c>
      <c r="L3239" s="1" t="s">
        <v>1650</v>
      </c>
      <c r="M3239" s="1">
        <v>4.9036999999999997E-2</v>
      </c>
      <c r="N3239" s="1">
        <v>2.1442082456895917</v>
      </c>
    </row>
    <row r="3240" spans="11:14">
      <c r="K3240" s="1636">
        <v>45297</v>
      </c>
      <c r="M3240" s="1">
        <v>0</v>
      </c>
      <c r="N3240" s="1">
        <v>2.1442082456895917</v>
      </c>
    </row>
    <row r="3241" spans="11:14">
      <c r="K3241" s="1636">
        <v>45298</v>
      </c>
      <c r="M3241" s="1">
        <v>0</v>
      </c>
      <c r="N3241" s="1">
        <v>2.1442082456895917</v>
      </c>
    </row>
    <row r="3242" spans="11:14">
      <c r="K3242" s="1636">
        <v>45299</v>
      </c>
      <c r="L3242" s="1" t="s">
        <v>1650</v>
      </c>
      <c r="M3242" s="1">
        <v>4.9036999999999997E-2</v>
      </c>
      <c r="N3242" s="1">
        <v>2.1452597010870305</v>
      </c>
    </row>
    <row r="3243" spans="11:14">
      <c r="K3243" s="1636">
        <v>45300</v>
      </c>
      <c r="L3243" s="1" t="s">
        <v>1650</v>
      </c>
      <c r="M3243" s="1">
        <v>4.9036999999999997E-2</v>
      </c>
      <c r="N3243" s="1">
        <v>2.1463116720866529</v>
      </c>
    </row>
    <row r="3244" spans="11:14">
      <c r="K3244" s="1636">
        <v>45301</v>
      </c>
      <c r="L3244" s="1" t="s">
        <v>1650</v>
      </c>
      <c r="M3244" s="1">
        <v>4.9036999999999997E-2</v>
      </c>
      <c r="N3244" s="1">
        <v>2.147364158941294</v>
      </c>
    </row>
    <row r="3245" spans="11:14">
      <c r="K3245" s="1636">
        <v>45302</v>
      </c>
      <c r="L3245" s="1" t="s">
        <v>1650</v>
      </c>
      <c r="M3245" s="1">
        <v>4.9036999999999997E-2</v>
      </c>
      <c r="N3245" s="1">
        <v>2.1484171619039141</v>
      </c>
    </row>
    <row r="3246" spans="11:14">
      <c r="K3246" s="1636">
        <v>45303</v>
      </c>
      <c r="L3246" s="1" t="s">
        <v>1650</v>
      </c>
      <c r="M3246" s="1">
        <v>4.9036999999999997E-2</v>
      </c>
      <c r="N3246" s="1">
        <v>2.149470681227597</v>
      </c>
    </row>
    <row r="3247" spans="11:14">
      <c r="K3247" s="1636">
        <v>45304</v>
      </c>
      <c r="M3247" s="1">
        <v>0</v>
      </c>
      <c r="N3247" s="1">
        <v>2.149470681227597</v>
      </c>
    </row>
    <row r="3248" spans="11:14">
      <c r="K3248" s="1636">
        <v>45305</v>
      </c>
      <c r="M3248" s="1">
        <v>0</v>
      </c>
      <c r="N3248" s="1">
        <v>2.149470681227597</v>
      </c>
    </row>
    <row r="3249" spans="11:14">
      <c r="K3249" s="1636">
        <v>45306</v>
      </c>
      <c r="L3249" s="1" t="s">
        <v>1650</v>
      </c>
      <c r="M3249" s="1">
        <v>4.9036999999999997E-2</v>
      </c>
      <c r="N3249" s="1">
        <v>2.1505247171655508</v>
      </c>
    </row>
    <row r="3250" spans="11:14">
      <c r="K3250" s="1636">
        <v>45307</v>
      </c>
      <c r="L3250" s="1" t="s">
        <v>1650</v>
      </c>
      <c r="M3250" s="1">
        <v>4.9036999999999997E-2</v>
      </c>
      <c r="N3250" s="1">
        <v>2.1515792699711076</v>
      </c>
    </row>
    <row r="3251" spans="11:14">
      <c r="K3251" s="1636">
        <v>45308</v>
      </c>
      <c r="L3251" s="1" t="s">
        <v>1650</v>
      </c>
      <c r="M3251" s="1">
        <v>4.9036999999999997E-2</v>
      </c>
      <c r="N3251" s="1">
        <v>2.1526343398977237</v>
      </c>
    </row>
    <row r="3252" spans="11:14">
      <c r="K3252" s="1636">
        <v>45309</v>
      </c>
      <c r="L3252" s="1" t="s">
        <v>1650</v>
      </c>
      <c r="M3252" s="1">
        <v>4.9036999999999997E-2</v>
      </c>
      <c r="N3252" s="1">
        <v>2.1536899271989793</v>
      </c>
    </row>
    <row r="3253" spans="11:14">
      <c r="K3253" s="1636">
        <v>45310</v>
      </c>
      <c r="L3253" s="1" t="s">
        <v>1650</v>
      </c>
      <c r="M3253" s="1">
        <v>4.9036999999999997E-2</v>
      </c>
      <c r="N3253" s="1">
        <v>2.1547460321285801</v>
      </c>
    </row>
    <row r="3254" spans="11:14">
      <c r="K3254" s="1636"/>
    </row>
    <row r="3255" spans="11:14">
      <c r="K3255" s="1636"/>
    </row>
    <row r="3256" spans="11:14">
      <c r="K3256" s="1636"/>
    </row>
    <row r="3257" spans="11:14">
      <c r="K3257" s="1636"/>
    </row>
    <row r="3258" spans="11:14">
      <c r="K3258" s="1636"/>
    </row>
    <row r="3259" spans="11:14">
      <c r="K3259" s="1636"/>
    </row>
    <row r="3260" spans="11:14">
      <c r="K3260" s="1636"/>
    </row>
    <row r="3261" spans="11:14">
      <c r="K3261" s="1636"/>
    </row>
    <row r="3262" spans="11:14">
      <c r="K3262" s="1636"/>
    </row>
    <row r="3263" spans="11:14">
      <c r="K3263" s="1636"/>
    </row>
    <row r="3264" spans="11:14">
      <c r="K3264" s="1636"/>
    </row>
    <row r="3265" spans="11:11">
      <c r="K3265" s="1636"/>
    </row>
    <row r="3266" spans="11:11">
      <c r="K3266" s="1636"/>
    </row>
    <row r="3267" spans="11:11">
      <c r="K3267" s="1636"/>
    </row>
    <row r="3268" spans="11:11">
      <c r="K3268" s="1636"/>
    </row>
    <row r="3269" spans="11:11">
      <c r="K3269" s="1636"/>
    </row>
    <row r="3270" spans="11:11">
      <c r="K3270" s="1636"/>
    </row>
    <row r="3271" spans="11:11">
      <c r="K3271" s="1636"/>
    </row>
    <row r="3272" spans="11:11">
      <c r="K3272" s="1636"/>
    </row>
    <row r="3273" spans="11:11">
      <c r="K3273" s="1636"/>
    </row>
    <row r="3274" spans="11:11">
      <c r="K3274" s="1636"/>
    </row>
    <row r="3275" spans="11:11">
      <c r="K3275" s="1636"/>
    </row>
    <row r="3276" spans="11:11">
      <c r="K3276" s="1636"/>
    </row>
    <row r="3277" spans="11:11">
      <c r="K3277" s="1636"/>
    </row>
    <row r="3278" spans="11:11">
      <c r="K3278" s="1636"/>
    </row>
    <row r="3279" spans="11:11">
      <c r="K3279" s="1636"/>
    </row>
    <row r="3280" spans="11:11">
      <c r="K3280" s="1636"/>
    </row>
    <row r="3281" spans="11:11">
      <c r="K3281" s="1636"/>
    </row>
    <row r="3282" spans="11:11">
      <c r="K3282" s="1636"/>
    </row>
    <row r="3283" spans="11:11">
      <c r="K3283" s="1636"/>
    </row>
    <row r="3284" spans="11:11">
      <c r="K3284" s="1636"/>
    </row>
    <row r="3285" spans="11:11">
      <c r="K3285" s="1636"/>
    </row>
    <row r="3286" spans="11:11">
      <c r="K3286" s="1636"/>
    </row>
    <row r="3287" spans="11:11">
      <c r="K3287" s="1636"/>
    </row>
    <row r="3288" spans="11:11">
      <c r="K3288" s="1636"/>
    </row>
    <row r="3289" spans="11:11">
      <c r="K3289" s="1636"/>
    </row>
    <row r="3290" spans="11:11">
      <c r="K3290" s="1636"/>
    </row>
    <row r="3291" spans="11:11">
      <c r="K3291" s="1636"/>
    </row>
    <row r="3292" spans="11:11">
      <c r="K3292" s="1636"/>
    </row>
    <row r="3293" spans="11:11">
      <c r="K3293" s="1636"/>
    </row>
    <row r="3294" spans="11:11">
      <c r="K3294" s="1636"/>
    </row>
    <row r="3295" spans="11:11">
      <c r="K3295" s="1636"/>
    </row>
    <row r="3296" spans="11:11">
      <c r="K3296" s="1636"/>
    </row>
    <row r="3297" spans="11:11">
      <c r="K3297" s="1636"/>
    </row>
    <row r="3298" spans="11:11">
      <c r="K3298" s="1636"/>
    </row>
    <row r="3299" spans="11:11">
      <c r="K3299" s="1636"/>
    </row>
    <row r="3300" spans="11:11">
      <c r="K3300" s="1636"/>
    </row>
    <row r="3301" spans="11:11">
      <c r="K3301" s="1636"/>
    </row>
    <row r="3302" spans="11:11">
      <c r="K3302" s="1636"/>
    </row>
    <row r="3303" spans="11:11">
      <c r="K3303" s="1636"/>
    </row>
    <row r="3304" spans="11:11">
      <c r="K3304" s="1636"/>
    </row>
    <row r="3305" spans="11:11">
      <c r="K3305" s="1636"/>
    </row>
    <row r="3306" spans="11:11">
      <c r="K3306" s="1636"/>
    </row>
    <row r="3307" spans="11:11">
      <c r="K3307" s="1636"/>
    </row>
    <row r="3308" spans="11:11">
      <c r="K3308" s="1636"/>
    </row>
    <row r="3309" spans="11:11">
      <c r="K3309" s="1636"/>
    </row>
    <row r="3310" spans="11:11">
      <c r="K3310" s="1636"/>
    </row>
    <row r="3311" spans="11:11">
      <c r="K3311" s="1636"/>
    </row>
    <row r="3312" spans="11:11">
      <c r="K3312" s="1636"/>
    </row>
    <row r="3313" spans="11:11">
      <c r="K3313" s="1636"/>
    </row>
    <row r="3314" spans="11:11">
      <c r="K3314" s="1636"/>
    </row>
    <row r="3315" spans="11:11">
      <c r="K3315" s="1636"/>
    </row>
    <row r="3316" spans="11:11">
      <c r="K3316" s="1636"/>
    </row>
    <row r="3317" spans="11:11">
      <c r="K3317" s="1636"/>
    </row>
    <row r="3318" spans="11:11">
      <c r="K3318" s="1636"/>
    </row>
    <row r="3319" spans="11:11">
      <c r="K3319" s="1636"/>
    </row>
    <row r="3320" spans="11:11">
      <c r="K3320" s="1636"/>
    </row>
    <row r="3321" spans="11:11">
      <c r="K3321" s="1636"/>
    </row>
    <row r="3322" spans="11:11">
      <c r="K3322" s="1636"/>
    </row>
    <row r="3323" spans="11:11">
      <c r="K3323" s="1636"/>
    </row>
    <row r="3324" spans="11:11">
      <c r="K3324" s="1636"/>
    </row>
    <row r="3325" spans="11:11">
      <c r="K3325" s="1636"/>
    </row>
    <row r="3326" spans="11:11">
      <c r="K3326" s="1636"/>
    </row>
    <row r="3327" spans="11:11">
      <c r="K3327" s="1636"/>
    </row>
    <row r="3328" spans="11:11">
      <c r="K3328" s="1636"/>
    </row>
    <row r="3329" spans="11:11">
      <c r="K3329" s="1636"/>
    </row>
    <row r="3330" spans="11:11">
      <c r="K3330" s="1636"/>
    </row>
    <row r="3331" spans="11:11">
      <c r="K3331" s="1636"/>
    </row>
    <row r="3332" spans="11:11">
      <c r="K3332" s="1636"/>
    </row>
    <row r="3333" spans="11:11">
      <c r="K3333" s="1636"/>
    </row>
    <row r="3334" spans="11:11">
      <c r="K3334" s="1636"/>
    </row>
    <row r="3335" spans="11:11">
      <c r="K3335" s="1636"/>
    </row>
    <row r="3336" spans="11:11">
      <c r="K3336" s="1636"/>
    </row>
    <row r="3337" spans="11:11">
      <c r="K3337" s="1636"/>
    </row>
    <row r="3338" spans="11:11">
      <c r="K3338" s="1636"/>
    </row>
    <row r="3339" spans="11:11">
      <c r="K3339" s="1636"/>
    </row>
    <row r="3340" spans="11:11">
      <c r="K3340" s="1636"/>
    </row>
    <row r="3341" spans="11:11">
      <c r="K3341" s="1636"/>
    </row>
    <row r="3342" spans="11:11">
      <c r="K3342" s="1636"/>
    </row>
    <row r="3343" spans="11:11">
      <c r="K3343" s="1636"/>
    </row>
    <row r="3344" spans="11:11">
      <c r="K3344" s="1636"/>
    </row>
    <row r="3345" spans="11:11">
      <c r="K3345" s="1636"/>
    </row>
    <row r="3346" spans="11:11">
      <c r="K3346" s="1636"/>
    </row>
    <row r="3347" spans="11:11">
      <c r="K3347" s="1636"/>
    </row>
    <row r="3348" spans="11:11">
      <c r="K3348" s="1636"/>
    </row>
    <row r="3349" spans="11:11">
      <c r="K3349" s="1636"/>
    </row>
    <row r="3350" spans="11:11">
      <c r="K3350" s="1636"/>
    </row>
    <row r="3351" spans="11:11">
      <c r="K3351" s="1636"/>
    </row>
    <row r="3352" spans="11:11">
      <c r="K3352" s="1636"/>
    </row>
    <row r="3353" spans="11:11">
      <c r="K3353" s="1636"/>
    </row>
    <row r="3354" spans="11:11">
      <c r="K3354" s="1636"/>
    </row>
    <row r="3355" spans="11:11">
      <c r="K3355" s="1636"/>
    </row>
    <row r="3356" spans="11:11">
      <c r="K3356" s="1636"/>
    </row>
    <row r="3357" spans="11:11">
      <c r="K3357" s="1636"/>
    </row>
    <row r="3358" spans="11:11">
      <c r="K3358" s="1636"/>
    </row>
    <row r="3359" spans="11:11">
      <c r="K3359" s="1636"/>
    </row>
    <row r="3360" spans="11:11">
      <c r="K3360" s="1636"/>
    </row>
    <row r="3361" spans="11:11">
      <c r="K3361" s="1636"/>
    </row>
    <row r="3362" spans="11:11">
      <c r="K3362" s="1636"/>
    </row>
    <row r="3363" spans="11:11">
      <c r="K3363" s="1636"/>
    </row>
    <row r="3364" spans="11:11">
      <c r="K3364" s="1636"/>
    </row>
    <row r="3365" spans="11:11">
      <c r="K3365" s="1636"/>
    </row>
    <row r="3366" spans="11:11">
      <c r="K3366" s="1636"/>
    </row>
    <row r="3367" spans="11:11">
      <c r="K3367" s="1636"/>
    </row>
    <row r="3368" spans="11:11">
      <c r="K3368" s="1636"/>
    </row>
    <row r="3369" spans="11:11">
      <c r="K3369" s="1636"/>
    </row>
    <row r="3370" spans="11:11">
      <c r="K3370" s="1636"/>
    </row>
    <row r="3371" spans="11:11">
      <c r="K3371" s="1636"/>
    </row>
    <row r="3372" spans="11:11">
      <c r="K3372" s="1636"/>
    </row>
    <row r="3373" spans="11:11">
      <c r="K3373" s="1636"/>
    </row>
    <row r="3374" spans="11:11">
      <c r="K3374" s="1636"/>
    </row>
    <row r="3375" spans="11:11">
      <c r="K3375" s="1636"/>
    </row>
    <row r="3376" spans="11:11">
      <c r="K3376" s="1636"/>
    </row>
    <row r="3377" spans="11:11">
      <c r="K3377" s="1636"/>
    </row>
    <row r="3378" spans="11:11">
      <c r="K3378" s="1636"/>
    </row>
    <row r="3379" spans="11:11">
      <c r="K3379" s="1636"/>
    </row>
    <row r="3380" spans="11:11">
      <c r="K3380" s="1636"/>
    </row>
    <row r="3381" spans="11:11">
      <c r="K3381" s="1636"/>
    </row>
    <row r="3382" spans="11:11">
      <c r="K3382" s="1636"/>
    </row>
    <row r="3383" spans="11:11">
      <c r="K3383" s="1636"/>
    </row>
    <row r="3384" spans="11:11">
      <c r="K3384" s="1636"/>
    </row>
    <row r="3385" spans="11:11">
      <c r="K3385" s="1636"/>
    </row>
    <row r="3386" spans="11:11">
      <c r="K3386" s="1636"/>
    </row>
    <row r="3387" spans="11:11">
      <c r="K3387" s="1636"/>
    </row>
    <row r="3388" spans="11:11">
      <c r="K3388" s="1636"/>
    </row>
    <row r="3389" spans="11:11">
      <c r="K3389" s="1636"/>
    </row>
    <row r="3390" spans="11:11">
      <c r="K3390" s="1636"/>
    </row>
    <row r="3391" spans="11:11">
      <c r="K3391" s="1636"/>
    </row>
    <row r="3392" spans="11:11">
      <c r="K3392" s="1636"/>
    </row>
    <row r="3393" spans="11:11">
      <c r="K3393" s="1636"/>
    </row>
    <row r="3394" spans="11:11">
      <c r="K3394" s="1636"/>
    </row>
    <row r="3395" spans="11:11">
      <c r="K3395" s="1636"/>
    </row>
    <row r="3396" spans="11:11">
      <c r="K3396" s="1636"/>
    </row>
    <row r="3397" spans="11:11">
      <c r="K3397" s="1636"/>
    </row>
    <row r="3398" spans="11:11">
      <c r="K3398" s="1636"/>
    </row>
    <row r="3399" spans="11:11">
      <c r="K3399" s="1636"/>
    </row>
    <row r="3400" spans="11:11">
      <c r="K3400" s="1636"/>
    </row>
    <row r="3401" spans="11:11">
      <c r="K3401" s="1636"/>
    </row>
    <row r="3402" spans="11:11">
      <c r="K3402" s="1636"/>
    </row>
    <row r="3403" spans="11:11">
      <c r="K3403" s="1636"/>
    </row>
    <row r="3404" spans="11:11">
      <c r="K3404" s="1636"/>
    </row>
    <row r="3405" spans="11:11">
      <c r="K3405" s="1636"/>
    </row>
    <row r="3406" spans="11:11">
      <c r="K3406" s="1636"/>
    </row>
    <row r="3407" spans="11:11">
      <c r="K3407" s="1636"/>
    </row>
    <row r="3408" spans="11:11">
      <c r="K3408" s="1636"/>
    </row>
    <row r="3409" spans="11:11">
      <c r="K3409" s="1636"/>
    </row>
    <row r="3410" spans="11:11">
      <c r="K3410" s="1636"/>
    </row>
    <row r="3411" spans="11:11">
      <c r="K3411" s="1636"/>
    </row>
    <row r="3412" spans="11:11">
      <c r="K3412" s="1636"/>
    </row>
    <row r="3413" spans="11:11">
      <c r="K3413" s="1636"/>
    </row>
    <row r="3414" spans="11:11">
      <c r="K3414" s="1636"/>
    </row>
    <row r="3415" spans="11:11">
      <c r="K3415" s="1636"/>
    </row>
    <row r="3416" spans="11:11">
      <c r="K3416" s="1636"/>
    </row>
    <row r="3417" spans="11:11">
      <c r="K3417" s="1636"/>
    </row>
    <row r="3418" spans="11:11">
      <c r="K3418" s="1636"/>
    </row>
    <row r="3419" spans="11:11">
      <c r="K3419" s="1636"/>
    </row>
    <row r="3420" spans="11:11">
      <c r="K3420" s="1636"/>
    </row>
    <row r="3421" spans="11:11">
      <c r="K3421" s="1636"/>
    </row>
    <row r="3422" spans="11:11">
      <c r="K3422" s="1636"/>
    </row>
    <row r="3423" spans="11:11">
      <c r="K3423" s="1636"/>
    </row>
    <row r="3424" spans="11:11">
      <c r="K3424" s="1636"/>
    </row>
    <row r="3425" spans="11:11">
      <c r="K3425" s="1636"/>
    </row>
    <row r="3426" spans="11:11">
      <c r="K3426" s="1636"/>
    </row>
    <row r="3427" spans="11:11">
      <c r="K3427" s="1636"/>
    </row>
    <row r="3428" spans="11:11">
      <c r="K3428" s="1636"/>
    </row>
    <row r="3429" spans="11:11">
      <c r="K3429" s="1636"/>
    </row>
    <row r="3430" spans="11:11">
      <c r="K3430" s="1636"/>
    </row>
    <row r="3431" spans="11:11">
      <c r="K3431" s="1636"/>
    </row>
    <row r="3432" spans="11:11">
      <c r="K3432" s="1636"/>
    </row>
    <row r="3433" spans="11:11">
      <c r="K3433" s="1636"/>
    </row>
    <row r="3434" spans="11:11">
      <c r="K3434" s="1636"/>
    </row>
    <row r="3435" spans="11:11">
      <c r="K3435" s="1636"/>
    </row>
    <row r="3436" spans="11:11">
      <c r="K3436" s="1636"/>
    </row>
    <row r="3437" spans="11:11">
      <c r="K3437" s="1636"/>
    </row>
    <row r="3438" spans="11:11">
      <c r="K3438" s="1636"/>
    </row>
    <row r="3439" spans="11:11">
      <c r="K3439" s="1636"/>
    </row>
    <row r="3440" spans="11:11">
      <c r="K3440" s="1636"/>
    </row>
    <row r="3441" spans="11:11">
      <c r="K3441" s="1636"/>
    </row>
    <row r="3442" spans="11:11">
      <c r="K3442" s="1636"/>
    </row>
    <row r="3443" spans="11:11">
      <c r="K3443" s="1636"/>
    </row>
    <row r="3444" spans="11:11">
      <c r="K3444" s="1636"/>
    </row>
    <row r="3445" spans="11:11">
      <c r="K3445" s="1636"/>
    </row>
    <row r="3446" spans="11:11">
      <c r="K3446" s="1636"/>
    </row>
    <row r="3447" spans="11:11">
      <c r="K3447" s="1636"/>
    </row>
    <row r="3448" spans="11:11">
      <c r="K3448" s="1636"/>
    </row>
    <row r="3449" spans="11:11">
      <c r="K3449" s="1636"/>
    </row>
    <row r="3450" spans="11:11">
      <c r="K3450" s="1636"/>
    </row>
    <row r="3451" spans="11:11">
      <c r="K3451" s="1636"/>
    </row>
    <row r="3452" spans="11:11">
      <c r="K3452" s="1636"/>
    </row>
    <row r="3453" spans="11:11">
      <c r="K3453" s="1636"/>
    </row>
    <row r="3454" spans="11:11">
      <c r="K3454" s="1636"/>
    </row>
    <row r="3455" spans="11:11">
      <c r="K3455" s="1636"/>
    </row>
    <row r="3456" spans="11:11">
      <c r="K3456" s="1636"/>
    </row>
    <row r="3457" spans="11:11">
      <c r="K3457" s="1636"/>
    </row>
    <row r="3458" spans="11:11">
      <c r="K3458" s="1636"/>
    </row>
    <row r="3459" spans="11:11">
      <c r="K3459" s="1636"/>
    </row>
    <row r="3460" spans="11:11">
      <c r="K3460" s="1636"/>
    </row>
    <row r="3461" spans="11:11">
      <c r="K3461" s="1636"/>
    </row>
    <row r="3462" spans="11:11">
      <c r="K3462" s="1636"/>
    </row>
    <row r="3463" spans="11:11">
      <c r="K3463" s="1636"/>
    </row>
    <row r="3464" spans="11:11">
      <c r="K3464" s="1636"/>
    </row>
    <row r="3465" spans="11:11">
      <c r="K3465" s="1636"/>
    </row>
    <row r="3466" spans="11:11">
      <c r="K3466" s="1636"/>
    </row>
    <row r="3467" spans="11:11">
      <c r="K3467" s="1636"/>
    </row>
    <row r="3468" spans="11:11">
      <c r="K3468" s="1636"/>
    </row>
    <row r="3469" spans="11:11">
      <c r="K3469" s="1636"/>
    </row>
    <row r="3470" spans="11:11">
      <c r="K3470" s="1636"/>
    </row>
    <row r="3471" spans="11:11">
      <c r="K3471" s="1636"/>
    </row>
    <row r="3472" spans="11:11">
      <c r="K3472" s="1636"/>
    </row>
    <row r="3473" spans="11:11">
      <c r="K3473" s="1636"/>
    </row>
    <row r="3474" spans="11:11">
      <c r="K3474" s="1636"/>
    </row>
    <row r="3475" spans="11:11">
      <c r="K3475" s="1636"/>
    </row>
    <row r="3476" spans="11:11">
      <c r="K3476" s="1636"/>
    </row>
    <row r="3477" spans="11:11">
      <c r="K3477" s="1636"/>
    </row>
    <row r="3478" spans="11:11">
      <c r="K3478" s="1636"/>
    </row>
    <row r="3479" spans="11:11">
      <c r="K3479" s="1636"/>
    </row>
    <row r="3480" spans="11:11">
      <c r="K3480" s="1636"/>
    </row>
    <row r="3481" spans="11:11">
      <c r="K3481" s="1636"/>
    </row>
    <row r="3482" spans="11:11">
      <c r="K3482" s="1636"/>
    </row>
    <row r="3483" spans="11:11">
      <c r="K3483" s="1636"/>
    </row>
    <row r="3484" spans="11:11">
      <c r="K3484" s="1636"/>
    </row>
    <row r="3485" spans="11:11">
      <c r="K3485" s="1636"/>
    </row>
    <row r="3486" spans="11:11">
      <c r="K3486" s="1636"/>
    </row>
    <row r="3487" spans="11:11">
      <c r="K3487" s="1636"/>
    </row>
    <row r="3488" spans="11:11">
      <c r="K3488" s="1636"/>
    </row>
    <row r="3489" spans="11:11">
      <c r="K3489" s="1636"/>
    </row>
    <row r="3490" spans="11:11">
      <c r="K3490" s="1636"/>
    </row>
    <row r="3491" spans="11:11">
      <c r="K3491" s="1636"/>
    </row>
    <row r="3492" spans="11:11">
      <c r="K3492" s="1636"/>
    </row>
    <row r="3493" spans="11:11">
      <c r="K3493" s="1636"/>
    </row>
    <row r="3494" spans="11:11">
      <c r="K3494" s="1636"/>
    </row>
    <row r="3495" spans="11:11">
      <c r="K3495" s="1636"/>
    </row>
    <row r="3496" spans="11:11">
      <c r="K3496" s="1636"/>
    </row>
    <row r="3497" spans="11:11">
      <c r="K3497" s="1636"/>
    </row>
    <row r="3498" spans="11:11">
      <c r="K3498" s="1636"/>
    </row>
    <row r="3499" spans="11:11">
      <c r="K3499" s="1636"/>
    </row>
    <row r="3500" spans="11:11">
      <c r="K3500" s="1636"/>
    </row>
    <row r="3501" spans="11:11">
      <c r="K3501" s="1636"/>
    </row>
    <row r="3502" spans="11:11">
      <c r="K3502" s="1636"/>
    </row>
    <row r="3503" spans="11:11">
      <c r="K3503" s="1636"/>
    </row>
    <row r="3504" spans="11:11">
      <c r="K3504" s="1636"/>
    </row>
    <row r="3505" spans="11:11">
      <c r="K3505" s="1636"/>
    </row>
    <row r="3506" spans="11:11">
      <c r="K3506" s="1636"/>
    </row>
    <row r="3507" spans="11:11">
      <c r="K3507" s="1636"/>
    </row>
    <row r="3508" spans="11:11">
      <c r="K3508" s="1636"/>
    </row>
    <row r="3509" spans="11:11">
      <c r="K3509" s="1636"/>
    </row>
    <row r="3510" spans="11:11">
      <c r="K3510" s="1636"/>
    </row>
    <row r="3511" spans="11:11">
      <c r="K3511" s="1636"/>
    </row>
    <row r="3512" spans="11:11">
      <c r="K3512" s="1636"/>
    </row>
    <row r="3513" spans="11:11">
      <c r="K3513" s="1636"/>
    </row>
    <row r="3514" spans="11:11">
      <c r="K3514" s="1636"/>
    </row>
    <row r="3515" spans="11:11">
      <c r="K3515" s="1636"/>
    </row>
    <row r="3516" spans="11:11">
      <c r="K3516" s="1636"/>
    </row>
    <row r="3517" spans="11:11">
      <c r="K3517" s="1636"/>
    </row>
    <row r="3518" spans="11:11">
      <c r="K3518" s="1636"/>
    </row>
    <row r="3519" spans="11:11">
      <c r="K3519" s="1636"/>
    </row>
    <row r="3520" spans="11:11">
      <c r="K3520" s="1636"/>
    </row>
    <row r="3521" spans="11:11">
      <c r="K3521" s="1636"/>
    </row>
    <row r="3522" spans="11:11">
      <c r="K3522" s="1636"/>
    </row>
    <row r="3523" spans="11:11">
      <c r="K3523" s="1636"/>
    </row>
    <row r="3524" spans="11:11">
      <c r="K3524" s="1636"/>
    </row>
    <row r="3525" spans="11:11">
      <c r="K3525" s="1636"/>
    </row>
    <row r="3526" spans="11:11">
      <c r="K3526" s="1636"/>
    </row>
    <row r="3527" spans="11:11">
      <c r="K3527" s="1636"/>
    </row>
    <row r="3528" spans="11:11">
      <c r="K3528" s="1636"/>
    </row>
    <row r="3529" spans="11:11">
      <c r="K3529" s="1636"/>
    </row>
    <row r="3530" spans="11:11">
      <c r="K3530" s="1636"/>
    </row>
    <row r="3531" spans="11:11">
      <c r="K3531" s="1636"/>
    </row>
    <row r="3532" spans="11:11">
      <c r="K3532" s="1636"/>
    </row>
    <row r="3533" spans="11:11">
      <c r="K3533" s="1636"/>
    </row>
    <row r="3534" spans="11:11">
      <c r="K3534" s="1636"/>
    </row>
    <row r="3535" spans="11:11">
      <c r="K3535" s="1636"/>
    </row>
    <row r="3536" spans="11:11">
      <c r="K3536" s="1636"/>
    </row>
    <row r="3537" spans="11:11">
      <c r="K3537" s="1636"/>
    </row>
    <row r="3538" spans="11:11">
      <c r="K3538" s="1636"/>
    </row>
    <row r="3539" spans="11:11">
      <c r="K3539" s="1636"/>
    </row>
    <row r="3540" spans="11:11">
      <c r="K3540" s="1636"/>
    </row>
    <row r="3541" spans="11:11">
      <c r="K3541" s="1636"/>
    </row>
    <row r="3542" spans="11:11">
      <c r="K3542" s="1636"/>
    </row>
    <row r="3543" spans="11:11">
      <c r="K3543" s="1636"/>
    </row>
    <row r="3544" spans="11:11">
      <c r="K3544" s="1636"/>
    </row>
    <row r="3545" spans="11:11">
      <c r="K3545" s="1636"/>
    </row>
    <row r="3546" spans="11:11">
      <c r="K3546" s="1636"/>
    </row>
    <row r="3547" spans="11:11">
      <c r="K3547" s="1636"/>
    </row>
    <row r="3548" spans="11:11">
      <c r="K3548" s="1636"/>
    </row>
    <row r="3549" spans="11:11">
      <c r="K3549" s="1636"/>
    </row>
    <row r="3550" spans="11:11">
      <c r="K3550" s="1636"/>
    </row>
    <row r="3551" spans="11:11">
      <c r="K3551" s="1636"/>
    </row>
    <row r="3552" spans="11:11">
      <c r="K3552" s="1636"/>
    </row>
    <row r="3553" spans="11:11">
      <c r="K3553" s="1636"/>
    </row>
    <row r="3554" spans="11:11">
      <c r="K3554" s="1636"/>
    </row>
    <row r="3555" spans="11:11">
      <c r="K3555" s="1636"/>
    </row>
    <row r="3556" spans="11:11">
      <c r="K3556" s="1636"/>
    </row>
    <row r="3557" spans="11:11">
      <c r="K3557" s="1636"/>
    </row>
    <row r="3558" spans="11:11">
      <c r="K3558" s="1636"/>
    </row>
    <row r="3559" spans="11:11">
      <c r="K3559" s="1636"/>
    </row>
    <row r="3560" spans="11:11">
      <c r="K3560" s="1636"/>
    </row>
    <row r="3561" spans="11:11">
      <c r="K3561" s="1636"/>
    </row>
    <row r="3562" spans="11:11">
      <c r="K3562" s="1636"/>
    </row>
    <row r="3563" spans="11:11">
      <c r="K3563" s="1636"/>
    </row>
    <row r="3564" spans="11:11">
      <c r="K3564" s="1636"/>
    </row>
    <row r="3565" spans="11:11">
      <c r="K3565" s="1636"/>
    </row>
    <row r="3566" spans="11:11">
      <c r="K3566" s="1636"/>
    </row>
    <row r="3567" spans="11:11">
      <c r="K3567" s="1636"/>
    </row>
    <row r="3568" spans="11:11">
      <c r="K3568" s="1636"/>
    </row>
    <row r="3569" spans="11:11">
      <c r="K3569" s="1636"/>
    </row>
    <row r="3570" spans="11:11">
      <c r="K3570" s="1636"/>
    </row>
    <row r="3571" spans="11:11">
      <c r="K3571" s="1636"/>
    </row>
    <row r="3572" spans="11:11">
      <c r="K3572" s="1636"/>
    </row>
    <row r="3573" spans="11:11">
      <c r="K3573" s="1636"/>
    </row>
    <row r="3574" spans="11:11">
      <c r="K3574" s="1636"/>
    </row>
    <row r="3575" spans="11:11">
      <c r="K3575" s="1636"/>
    </row>
    <row r="3576" spans="11:11">
      <c r="K3576" s="1636"/>
    </row>
    <row r="3577" spans="11:11">
      <c r="K3577" s="1636"/>
    </row>
    <row r="3578" spans="11:11">
      <c r="K3578" s="1636"/>
    </row>
    <row r="3579" spans="11:11">
      <c r="K3579" s="1636"/>
    </row>
    <row r="3580" spans="11:11">
      <c r="K3580" s="1636"/>
    </row>
    <row r="3581" spans="11:11">
      <c r="K3581" s="1636"/>
    </row>
    <row r="3582" spans="11:11">
      <c r="K3582" s="1636"/>
    </row>
    <row r="3583" spans="11:11">
      <c r="K3583" s="1636"/>
    </row>
    <row r="3584" spans="11:11">
      <c r="K3584" s="1636"/>
    </row>
    <row r="3585" spans="11:11">
      <c r="K3585" s="1636"/>
    </row>
    <row r="3586" spans="11:11">
      <c r="K3586" s="1636"/>
    </row>
    <row r="3587" spans="11:11">
      <c r="K3587" s="1636"/>
    </row>
    <row r="3588" spans="11:11">
      <c r="K3588" s="1636"/>
    </row>
    <row r="3589" spans="11:11">
      <c r="K3589" s="1636"/>
    </row>
    <row r="3590" spans="11:11">
      <c r="K3590" s="1636"/>
    </row>
    <row r="3591" spans="11:11">
      <c r="K3591" s="1636"/>
    </row>
    <row r="3592" spans="11:11">
      <c r="K3592" s="1636"/>
    </row>
    <row r="3593" spans="11:11">
      <c r="K3593" s="1636"/>
    </row>
    <row r="3594" spans="11:11">
      <c r="K3594" s="1636"/>
    </row>
    <row r="3595" spans="11:11">
      <c r="K3595" s="1636"/>
    </row>
    <row r="3596" spans="11:11">
      <c r="K3596" s="1636"/>
    </row>
    <row r="3597" spans="11:11">
      <c r="K3597" s="1636"/>
    </row>
    <row r="3598" spans="11:11">
      <c r="K3598" s="1636"/>
    </row>
    <row r="3599" spans="11:11">
      <c r="K3599" s="1636"/>
    </row>
    <row r="3600" spans="11:11">
      <c r="K3600" s="1636"/>
    </row>
    <row r="3601" spans="11:11">
      <c r="K3601" s="1636"/>
    </row>
    <row r="3602" spans="11:11">
      <c r="K3602" s="1636"/>
    </row>
    <row r="3603" spans="11:11">
      <c r="K3603" s="1636"/>
    </row>
    <row r="3604" spans="11:11">
      <c r="K3604" s="1636"/>
    </row>
    <row r="3605" spans="11:11">
      <c r="K3605" s="1636"/>
    </row>
    <row r="3606" spans="11:11">
      <c r="K3606" s="1636"/>
    </row>
    <row r="3607" spans="11:11">
      <c r="K3607" s="1636"/>
    </row>
    <row r="3608" spans="11:11">
      <c r="K3608" s="1636"/>
    </row>
    <row r="3609" spans="11:11">
      <c r="K3609" s="1636"/>
    </row>
    <row r="3610" spans="11:11">
      <c r="K3610" s="1636"/>
    </row>
    <row r="3611" spans="11:11">
      <c r="K3611" s="1636"/>
    </row>
    <row r="3612" spans="11:11">
      <c r="K3612" s="1636"/>
    </row>
    <row r="3613" spans="11:11">
      <c r="K3613" s="1636"/>
    </row>
    <row r="3614" spans="11:11">
      <c r="K3614" s="1636"/>
    </row>
    <row r="3615" spans="11:11">
      <c r="K3615" s="1636"/>
    </row>
    <row r="3616" spans="11:11">
      <c r="K3616" s="1636"/>
    </row>
    <row r="3617" spans="11:11">
      <c r="K3617" s="1636"/>
    </row>
    <row r="3618" spans="11:11">
      <c r="K3618" s="1636"/>
    </row>
    <row r="3619" spans="11:11">
      <c r="K3619" s="1636"/>
    </row>
    <row r="3620" spans="11:11">
      <c r="K3620" s="1636"/>
    </row>
    <row r="3621" spans="11:11">
      <c r="K3621" s="1636"/>
    </row>
    <row r="3622" spans="11:11">
      <c r="K3622" s="1636"/>
    </row>
    <row r="3623" spans="11:11">
      <c r="K3623" s="1636"/>
    </row>
    <row r="3624" spans="11:11">
      <c r="K3624" s="1636"/>
    </row>
    <row r="3625" spans="11:11">
      <c r="K3625" s="1636"/>
    </row>
    <row r="3626" spans="11:11">
      <c r="K3626" s="1636"/>
    </row>
    <row r="3627" spans="11:11">
      <c r="K3627" s="1636"/>
    </row>
    <row r="3628" spans="11:11">
      <c r="K3628" s="1636"/>
    </row>
    <row r="3629" spans="11:11">
      <c r="K3629" s="1636"/>
    </row>
    <row r="3630" spans="11:11">
      <c r="K3630" s="1636"/>
    </row>
    <row r="3631" spans="11:11">
      <c r="K3631" s="1636"/>
    </row>
    <row r="3632" spans="11:11">
      <c r="K3632" s="1636"/>
    </row>
    <row r="3633" spans="11:11">
      <c r="K3633" s="1636"/>
    </row>
    <row r="3634" spans="11:11">
      <c r="K3634" s="1636"/>
    </row>
    <row r="3635" spans="11:11">
      <c r="K3635" s="1636"/>
    </row>
    <row r="3636" spans="11:11">
      <c r="K3636" s="1636"/>
    </row>
    <row r="3637" spans="11:11">
      <c r="K3637" s="1636"/>
    </row>
    <row r="3638" spans="11:11">
      <c r="K3638" s="1636"/>
    </row>
    <row r="3639" spans="11:11">
      <c r="K3639" s="1636"/>
    </row>
    <row r="3640" spans="11:11">
      <c r="K3640" s="1636"/>
    </row>
    <row r="3641" spans="11:11">
      <c r="K3641" s="1636"/>
    </row>
    <row r="3642" spans="11:11">
      <c r="K3642" s="1636"/>
    </row>
    <row r="3643" spans="11:11">
      <c r="K3643" s="1636"/>
    </row>
    <row r="3644" spans="11:11">
      <c r="K3644" s="1636"/>
    </row>
    <row r="3645" spans="11:11">
      <c r="K3645" s="1636"/>
    </row>
    <row r="3646" spans="11:11">
      <c r="K3646" s="1636"/>
    </row>
    <row r="3647" spans="11:11">
      <c r="K3647" s="1636"/>
    </row>
    <row r="3648" spans="11:11">
      <c r="K3648" s="1636"/>
    </row>
    <row r="3649" spans="11:11">
      <c r="K3649" s="1636"/>
    </row>
    <row r="3650" spans="11:11">
      <c r="K3650" s="1636"/>
    </row>
    <row r="3651" spans="11:11">
      <c r="K3651" s="1636"/>
    </row>
    <row r="3652" spans="11:11">
      <c r="K3652" s="1636"/>
    </row>
    <row r="3653" spans="11:11">
      <c r="K3653" s="1636"/>
    </row>
    <row r="3654" spans="11:11">
      <c r="K3654" s="1636"/>
    </row>
    <row r="3655" spans="11:11">
      <c r="K3655" s="1636"/>
    </row>
    <row r="3656" spans="11:11">
      <c r="K3656" s="1636"/>
    </row>
    <row r="3657" spans="11:11">
      <c r="K3657" s="1636"/>
    </row>
    <row r="3658" spans="11:11">
      <c r="K3658" s="1636"/>
    </row>
    <row r="3659" spans="11:11">
      <c r="K3659" s="1636"/>
    </row>
    <row r="3660" spans="11:11">
      <c r="K3660" s="1636"/>
    </row>
    <row r="3661" spans="11:11">
      <c r="K3661" s="1636"/>
    </row>
    <row r="3662" spans="11:11">
      <c r="K3662" s="1636"/>
    </row>
    <row r="3663" spans="11:11">
      <c r="K3663" s="1636"/>
    </row>
    <row r="3664" spans="11:11">
      <c r="K3664" s="1636"/>
    </row>
    <row r="3665" spans="11:11">
      <c r="K3665" s="1636"/>
    </row>
    <row r="3666" spans="11:11">
      <c r="K3666" s="1636"/>
    </row>
    <row r="3667" spans="11:11">
      <c r="K3667" s="1636"/>
    </row>
    <row r="3668" spans="11:11">
      <c r="K3668" s="1636"/>
    </row>
    <row r="3669" spans="11:11">
      <c r="K3669" s="1636"/>
    </row>
    <row r="3670" spans="11:11">
      <c r="K3670" s="1636"/>
    </row>
    <row r="3671" spans="11:11">
      <c r="K3671" s="1636"/>
    </row>
    <row r="3672" spans="11:11">
      <c r="K3672" s="1636"/>
    </row>
    <row r="3673" spans="11:11">
      <c r="K3673" s="1636"/>
    </row>
    <row r="3674" spans="11:11">
      <c r="K3674" s="1636"/>
    </row>
    <row r="3675" spans="11:11">
      <c r="K3675" s="1636"/>
    </row>
    <row r="3676" spans="11:11">
      <c r="K3676" s="1636"/>
    </row>
    <row r="3677" spans="11:11">
      <c r="K3677" s="1636"/>
    </row>
    <row r="3678" spans="11:11">
      <c r="K3678" s="1636"/>
    </row>
    <row r="3679" spans="11:11">
      <c r="K3679" s="1636"/>
    </row>
    <row r="3680" spans="11:11">
      <c r="K3680" s="1636"/>
    </row>
    <row r="3681" spans="11:11">
      <c r="K3681" s="1636"/>
    </row>
    <row r="3682" spans="11:11">
      <c r="K3682" s="1636"/>
    </row>
    <row r="3683" spans="11:11">
      <c r="K3683" s="1636"/>
    </row>
    <row r="3684" spans="11:11">
      <c r="K3684" s="1636"/>
    </row>
    <row r="3685" spans="11:11">
      <c r="K3685" s="1636"/>
    </row>
    <row r="3686" spans="11:11">
      <c r="K3686" s="1636"/>
    </row>
    <row r="3687" spans="11:11">
      <c r="K3687" s="1636"/>
    </row>
    <row r="3688" spans="11:11">
      <c r="K3688" s="1636"/>
    </row>
    <row r="3689" spans="11:11">
      <c r="K3689" s="1636"/>
    </row>
    <row r="3690" spans="11:11">
      <c r="K3690" s="1636"/>
    </row>
    <row r="3691" spans="11:11">
      <c r="K3691" s="1636"/>
    </row>
    <row r="3692" spans="11:11">
      <c r="K3692" s="1636"/>
    </row>
  </sheetData>
  <autoFilter ref="B6:F500" xr:uid="{00000000-0009-0000-0000-000011000000}"/>
  <phoneticPr fontId="44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18"/>
  <sheetViews>
    <sheetView showGridLines="0" topLeftCell="A247" zoomScale="85" zoomScaleNormal="85" workbookViewId="0">
      <selection activeCell="Q260" sqref="Q260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1629</v>
      </c>
      <c r="B1" t="s">
        <v>1651</v>
      </c>
      <c r="C1" t="s">
        <v>20</v>
      </c>
      <c r="D1" t="s">
        <v>1652</v>
      </c>
      <c r="E1" t="s">
        <v>1653</v>
      </c>
      <c r="F1" t="s">
        <v>1654</v>
      </c>
      <c r="G1" t="s">
        <v>1655</v>
      </c>
      <c r="H1" t="s">
        <v>1656</v>
      </c>
      <c r="I1" t="s">
        <v>1448</v>
      </c>
      <c r="J1" t="s">
        <v>1449</v>
      </c>
      <c r="K1" t="s">
        <v>1450</v>
      </c>
      <c r="L1" t="s">
        <v>1657</v>
      </c>
      <c r="M1" t="s">
        <v>1658</v>
      </c>
      <c r="N1" t="s">
        <v>1659</v>
      </c>
      <c r="O1" t="s">
        <v>1660</v>
      </c>
      <c r="P1" t="s">
        <v>78</v>
      </c>
      <c r="Q1" t="s">
        <v>1661</v>
      </c>
    </row>
    <row r="2" spans="1:17" s="13" customFormat="1" ht="15.75">
      <c r="A2" t="s">
        <v>831</v>
      </c>
      <c r="B2" t="s">
        <v>1662</v>
      </c>
      <c r="C2" t="s">
        <v>1643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3">
        <f t="shared" ref="P2:P75" si="0">IF(ISNUMBER(Q2),Q2,0)</f>
        <v>0.10704236088323049</v>
      </c>
      <c r="Q2" s="233">
        <f>CAPA!K16</f>
        <v>0.10704236088323049</v>
      </c>
    </row>
    <row r="3" spans="1:17" s="13" customFormat="1" ht="15.75">
      <c r="A3" t="s">
        <v>831</v>
      </c>
      <c r="B3" t="s">
        <v>1662</v>
      </c>
      <c r="C3" t="s">
        <v>900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3">
        <f t="shared" si="0"/>
        <v>0.11886869625198027</v>
      </c>
      <c r="Q3" s="233">
        <f>CAPA!K17</f>
        <v>0.11886869625198027</v>
      </c>
    </row>
    <row r="4" spans="1:17" s="13" customFormat="1" ht="15.75">
      <c r="A4" t="s">
        <v>831</v>
      </c>
      <c r="B4" t="s">
        <v>1662</v>
      </c>
      <c r="C4" t="s">
        <v>1643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3">
        <f t="shared" si="0"/>
        <v>1190.8820000000001</v>
      </c>
      <c r="Q4" s="233">
        <f>CAPA!K14</f>
        <v>1190.8820000000001</v>
      </c>
    </row>
    <row r="5" spans="1:17" s="13" customFormat="1" ht="15.75">
      <c r="A5" t="s">
        <v>831</v>
      </c>
      <c r="B5" t="s">
        <v>1662</v>
      </c>
      <c r="C5" t="s">
        <v>900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3">
        <f t="shared" si="0"/>
        <v>6455.85</v>
      </c>
      <c r="Q5" s="233">
        <f>CAPA!K15</f>
        <v>6455.85</v>
      </c>
    </row>
    <row r="6" spans="1:17" s="13" customFormat="1" ht="15.75">
      <c r="A6" t="s">
        <v>831</v>
      </c>
      <c r="B6" t="s">
        <v>1662</v>
      </c>
      <c r="C6" t="s">
        <v>11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3">
        <f t="shared" ca="1" si="0"/>
        <v>0.16800000000000001</v>
      </c>
      <c r="Q6" s="233">
        <f ca="1">Resultado!C7</f>
        <v>0.16800000000000001</v>
      </c>
    </row>
    <row r="7" spans="1:17" s="13" customFormat="1" ht="15.75">
      <c r="A7" t="s">
        <v>831</v>
      </c>
      <c r="B7" t="s">
        <v>1662</v>
      </c>
      <c r="C7" t="s">
        <v>1411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3">
        <f t="shared" ca="1" si="0"/>
        <v>-0.22670000000000001</v>
      </c>
      <c r="Q7" s="233">
        <f ca="1">Resultado!C8</f>
        <v>-0.22670000000000001</v>
      </c>
    </row>
    <row r="8" spans="1:17" s="13" customFormat="1" ht="15.75">
      <c r="A8" t="s">
        <v>831</v>
      </c>
      <c r="B8" t="s">
        <v>1662</v>
      </c>
      <c r="C8" t="s">
        <v>12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3">
        <f t="shared" ca="1" si="0"/>
        <v>-5.8700000000000002E-2</v>
      </c>
      <c r="Q8" s="233">
        <f ca="1">Resultado!C9</f>
        <v>-5.8700000000000002E-2</v>
      </c>
    </row>
    <row r="9" spans="1:17" s="13" customFormat="1" ht="15.75">
      <c r="A9" t="s">
        <v>831</v>
      </c>
      <c r="B9" t="s">
        <v>1662</v>
      </c>
      <c r="C9" t="s">
        <v>1663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3">
        <f t="shared" ca="1" si="0"/>
        <v>0.1823984696964667</v>
      </c>
      <c r="Q9" s="233">
        <f ca="1">IF(ISERROR(LnkTXTICMS),0,LnkTXTICMS)</f>
        <v>0.1823984696964667</v>
      </c>
    </row>
    <row r="10" spans="1:17" s="13" customFormat="1" ht="15.75">
      <c r="A10" t="s">
        <v>831</v>
      </c>
      <c r="B10" t="s">
        <v>1662</v>
      </c>
      <c r="C10" t="s">
        <v>1664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3">
        <f t="shared" ca="1" si="0"/>
        <v>1.5362754881659267E-2</v>
      </c>
      <c r="Q10" s="233">
        <f ca="1">IF(ISERROR(LNKTXTPercPISCOFINS),0,LNKTXTPercPISCOFINS)</f>
        <v>1.5362754881659267E-2</v>
      </c>
    </row>
    <row r="11" spans="1:17" ht="15.75">
      <c r="A11" t="s">
        <v>831</v>
      </c>
      <c r="B11" t="s">
        <v>109</v>
      </c>
      <c r="C11" t="s">
        <v>40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3">
        <f t="shared" si="0"/>
        <v>0</v>
      </c>
      <c r="Q11" s="233">
        <f>Resultado!D15</f>
        <v>0</v>
      </c>
    </row>
    <row r="12" spans="1:17" ht="15.75">
      <c r="A12" t="s">
        <v>831</v>
      </c>
      <c r="B12" t="s">
        <v>109</v>
      </c>
      <c r="C12" t="s">
        <v>42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3">
        <f t="shared" si="0"/>
        <v>0</v>
      </c>
      <c r="Q12" s="233">
        <f>Resultado!D16</f>
        <v>0</v>
      </c>
    </row>
    <row r="13" spans="1:17" ht="15.75">
      <c r="A13" t="s">
        <v>831</v>
      </c>
      <c r="B13" t="s">
        <v>109</v>
      </c>
      <c r="C13" t="s">
        <v>44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3">
        <f t="shared" ca="1" si="0"/>
        <v>239798.53240680718</v>
      </c>
      <c r="Q13" s="233">
        <f ca="1">Resultado!D17</f>
        <v>239798.53240680718</v>
      </c>
    </row>
    <row r="14" spans="1:17" ht="15.75">
      <c r="A14" t="s">
        <v>831</v>
      </c>
      <c r="B14" t="s">
        <v>109</v>
      </c>
      <c r="C14" t="s">
        <v>46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3">
        <f t="shared" ca="1" si="0"/>
        <v>9999282.5018300004</v>
      </c>
      <c r="Q14" s="233">
        <f ca="1">Encargos!I19</f>
        <v>9999282.5018300004</v>
      </c>
    </row>
    <row r="15" spans="1:17" ht="15.75">
      <c r="A15" t="s">
        <v>831</v>
      </c>
      <c r="B15" t="s">
        <v>109</v>
      </c>
      <c r="C15" t="s">
        <v>165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3">
        <f t="shared" si="0"/>
        <v>0</v>
      </c>
      <c r="Q15" s="233">
        <f>Resultado!D19</f>
        <v>0</v>
      </c>
    </row>
    <row r="16" spans="1:17" ht="15.75">
      <c r="A16" t="s">
        <v>831</v>
      </c>
      <c r="B16" t="s">
        <v>109</v>
      </c>
      <c r="C16" t="s">
        <v>164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3">
        <f t="shared" si="0"/>
        <v>2838376.3960085167</v>
      </c>
      <c r="Q16" s="233">
        <f>Resultado!D20</f>
        <v>2838376.3960085167</v>
      </c>
    </row>
    <row r="17" spans="1:17" ht="15.75">
      <c r="A17" t="s">
        <v>831</v>
      </c>
      <c r="B17" t="s">
        <v>109</v>
      </c>
      <c r="C17" t="s">
        <v>52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3">
        <f t="shared" ca="1" si="0"/>
        <v>1647722.0493000001</v>
      </c>
      <c r="Q17" s="233">
        <f ca="1">Resultado!D21</f>
        <v>1647722.0493000001</v>
      </c>
    </row>
    <row r="18" spans="1:17" ht="15.75">
      <c r="A18" t="s">
        <v>831</v>
      </c>
      <c r="B18" t="s">
        <v>109</v>
      </c>
      <c r="C18" t="s">
        <v>53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3">
        <f t="shared" si="0"/>
        <v>0</v>
      </c>
      <c r="Q18" s="233">
        <f>Resultado!D22</f>
        <v>0</v>
      </c>
    </row>
    <row r="19" spans="1:17" ht="15.75">
      <c r="A19" t="s">
        <v>831</v>
      </c>
      <c r="B19" t="s">
        <v>109</v>
      </c>
      <c r="C19" t="s">
        <v>54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3">
        <f t="shared" si="0"/>
        <v>0</v>
      </c>
      <c r="Q19" s="233">
        <f>Resultado!D23</f>
        <v>0</v>
      </c>
    </row>
    <row r="20" spans="1:17" ht="15.75">
      <c r="A20" s="888" t="s">
        <v>831</v>
      </c>
      <c r="B20" s="888" t="s">
        <v>847</v>
      </c>
      <c r="C20" s="888" t="s">
        <v>2346</v>
      </c>
      <c r="D20" s="888">
        <v>1</v>
      </c>
      <c r="E20" s="888">
        <v>1</v>
      </c>
      <c r="F20" s="888">
        <v>999</v>
      </c>
      <c r="G20" s="888">
        <v>999999</v>
      </c>
      <c r="H20" s="888">
        <v>999</v>
      </c>
      <c r="I20" s="888">
        <v>1</v>
      </c>
      <c r="J20" s="888">
        <v>7</v>
      </c>
      <c r="K20" s="888">
        <v>9</v>
      </c>
      <c r="L20" s="888">
        <v>5</v>
      </c>
      <c r="M20" s="888">
        <v>1</v>
      </c>
      <c r="N20" s="888">
        <v>1</v>
      </c>
      <c r="O20" s="888">
        <v>99999</v>
      </c>
      <c r="P20" s="974">
        <f t="shared" ref="P20:P25" si="1">IF(ISNUMBER(Q20),Q20,0)</f>
        <v>163872.02999999997</v>
      </c>
      <c r="Q20" s="974">
        <f>CUSD!H9</f>
        <v>163872.02999999997</v>
      </c>
    </row>
    <row r="21" spans="1:17" ht="15.75">
      <c r="A21" s="888" t="s">
        <v>831</v>
      </c>
      <c r="B21" s="888" t="s">
        <v>847</v>
      </c>
      <c r="C21" s="888" t="s">
        <v>2347</v>
      </c>
      <c r="D21" s="888">
        <v>1</v>
      </c>
      <c r="E21" s="888">
        <v>1</v>
      </c>
      <c r="F21" s="888">
        <v>999</v>
      </c>
      <c r="G21" s="888">
        <v>999999</v>
      </c>
      <c r="H21" s="888">
        <v>999</v>
      </c>
      <c r="I21" s="888">
        <v>1</v>
      </c>
      <c r="J21" s="888">
        <v>7</v>
      </c>
      <c r="K21" s="888">
        <v>9</v>
      </c>
      <c r="L21" s="888">
        <v>5</v>
      </c>
      <c r="M21" s="888">
        <v>3</v>
      </c>
      <c r="N21" s="888">
        <v>1</v>
      </c>
      <c r="O21" s="888">
        <v>99999</v>
      </c>
      <c r="P21" s="974">
        <f t="shared" si="1"/>
        <v>204284.63</v>
      </c>
      <c r="Q21" s="974">
        <f>CUSD!H8</f>
        <v>204284.63</v>
      </c>
    </row>
    <row r="22" spans="1:17" ht="15.75">
      <c r="A22" s="888" t="s">
        <v>831</v>
      </c>
      <c r="B22" s="888" t="s">
        <v>847</v>
      </c>
      <c r="C22" s="888" t="s">
        <v>2348</v>
      </c>
      <c r="D22" s="888">
        <v>1</v>
      </c>
      <c r="E22" s="888">
        <v>1</v>
      </c>
      <c r="F22" s="888">
        <v>999</v>
      </c>
      <c r="G22" s="888">
        <v>999999</v>
      </c>
      <c r="H22" s="888">
        <v>999</v>
      </c>
      <c r="I22" s="888">
        <v>1</v>
      </c>
      <c r="J22" s="888">
        <v>7</v>
      </c>
      <c r="K22" s="888">
        <v>9</v>
      </c>
      <c r="L22" s="888">
        <v>5</v>
      </c>
      <c r="M22" s="888">
        <v>9</v>
      </c>
      <c r="N22" s="888">
        <v>2</v>
      </c>
      <c r="O22" s="888">
        <v>99999</v>
      </c>
      <c r="P22" s="974">
        <f t="shared" si="1"/>
        <v>33251.244729999999</v>
      </c>
      <c r="Q22" s="974">
        <f>CUSD!H12+CUSD!H13</f>
        <v>33251.244729999999</v>
      </c>
    </row>
    <row r="23" spans="1:17" ht="15.75">
      <c r="A23" s="888" t="s">
        <v>831</v>
      </c>
      <c r="B23" s="888" t="s">
        <v>847</v>
      </c>
      <c r="C23" s="888" t="s">
        <v>2346</v>
      </c>
      <c r="D23" s="888">
        <v>1</v>
      </c>
      <c r="E23" s="888">
        <v>1</v>
      </c>
      <c r="F23" s="888">
        <v>999</v>
      </c>
      <c r="G23" s="888">
        <v>999999</v>
      </c>
      <c r="H23" s="888">
        <v>999</v>
      </c>
      <c r="I23" s="888">
        <v>1</v>
      </c>
      <c r="J23" s="888">
        <v>7</v>
      </c>
      <c r="K23" s="888">
        <v>1</v>
      </c>
      <c r="L23" s="888">
        <v>5</v>
      </c>
      <c r="M23" s="888">
        <v>1</v>
      </c>
      <c r="N23" s="888">
        <v>3</v>
      </c>
      <c r="O23" s="888">
        <v>99999</v>
      </c>
      <c r="P23" s="974">
        <f t="shared" si="1"/>
        <v>4408157.6069999989</v>
      </c>
      <c r="Q23" s="974">
        <f>CUSD!K9</f>
        <v>4408157.6069999989</v>
      </c>
    </row>
    <row r="24" spans="1:17" ht="15.75">
      <c r="A24" s="888" t="s">
        <v>831</v>
      </c>
      <c r="B24" s="888" t="s">
        <v>847</v>
      </c>
      <c r="C24" s="888" t="s">
        <v>2347</v>
      </c>
      <c r="D24" s="888">
        <v>1</v>
      </c>
      <c r="E24" s="888">
        <v>1</v>
      </c>
      <c r="F24" s="888">
        <v>999</v>
      </c>
      <c r="G24" s="888">
        <v>999999</v>
      </c>
      <c r="H24" s="888">
        <v>999</v>
      </c>
      <c r="I24" s="888">
        <v>1</v>
      </c>
      <c r="J24" s="888">
        <v>7</v>
      </c>
      <c r="K24" s="888">
        <v>1</v>
      </c>
      <c r="L24" s="888">
        <v>5</v>
      </c>
      <c r="M24" s="888">
        <v>3</v>
      </c>
      <c r="N24" s="888">
        <v>3</v>
      </c>
      <c r="O24" s="888">
        <v>99999</v>
      </c>
      <c r="P24" s="974">
        <f t="shared" si="1"/>
        <v>4081606.9074000004</v>
      </c>
      <c r="Q24" s="974">
        <f>CUSD!K8</f>
        <v>4081606.9074000004</v>
      </c>
    </row>
    <row r="25" spans="1:17" ht="15.75">
      <c r="A25" s="888" t="s">
        <v>831</v>
      </c>
      <c r="B25" s="888" t="s">
        <v>847</v>
      </c>
      <c r="C25" s="888" t="s">
        <v>2348</v>
      </c>
      <c r="D25" s="888">
        <v>1</v>
      </c>
      <c r="E25" s="888">
        <v>1</v>
      </c>
      <c r="F25" s="888">
        <v>999</v>
      </c>
      <c r="G25" s="888">
        <v>999999</v>
      </c>
      <c r="H25" s="888">
        <v>999</v>
      </c>
      <c r="I25" s="888">
        <v>1</v>
      </c>
      <c r="J25" s="888">
        <v>7</v>
      </c>
      <c r="K25" s="888">
        <v>1</v>
      </c>
      <c r="L25" s="888">
        <v>5</v>
      </c>
      <c r="M25" s="888">
        <v>9</v>
      </c>
      <c r="N25" s="888">
        <v>3</v>
      </c>
      <c r="O25" s="888">
        <v>99999</v>
      </c>
      <c r="P25" s="974">
        <f t="shared" si="1"/>
        <v>377734.14013279998</v>
      </c>
      <c r="Q25" s="974">
        <f>CUSD!K12+CUSD!K13</f>
        <v>377734.14013279998</v>
      </c>
    </row>
    <row r="26" spans="1:17" ht="15.75">
      <c r="A26" t="s">
        <v>831</v>
      </c>
      <c r="B26" t="s">
        <v>847</v>
      </c>
      <c r="C26" t="s">
        <v>2349</v>
      </c>
      <c r="D26">
        <v>1</v>
      </c>
      <c r="E26">
        <v>1</v>
      </c>
      <c r="F26">
        <v>999</v>
      </c>
      <c r="G26">
        <v>999999</v>
      </c>
      <c r="H26">
        <v>999</v>
      </c>
      <c r="I26">
        <v>1</v>
      </c>
      <c r="J26">
        <v>7</v>
      </c>
      <c r="K26">
        <v>9</v>
      </c>
      <c r="L26">
        <v>2</v>
      </c>
      <c r="M26">
        <v>1</v>
      </c>
      <c r="N26">
        <v>1</v>
      </c>
      <c r="O26">
        <v>99999</v>
      </c>
      <c r="P26" s="974">
        <f t="shared" ref="P26:P31" si="2">IF(ISNUMBER(Q26),Q26,0)</f>
        <v>177638.99</v>
      </c>
      <c r="Q26" s="974">
        <f>CUSD!H7</f>
        <v>177638.99</v>
      </c>
    </row>
    <row r="27" spans="1:17" ht="15.75">
      <c r="A27" t="s">
        <v>831</v>
      </c>
      <c r="B27" t="s">
        <v>847</v>
      </c>
      <c r="C27" t="s">
        <v>2350</v>
      </c>
      <c r="D27">
        <v>1</v>
      </c>
      <c r="E27">
        <v>1</v>
      </c>
      <c r="F27">
        <v>999</v>
      </c>
      <c r="G27">
        <v>999999</v>
      </c>
      <c r="H27">
        <v>999</v>
      </c>
      <c r="I27">
        <v>1</v>
      </c>
      <c r="J27">
        <v>7</v>
      </c>
      <c r="K27">
        <v>9</v>
      </c>
      <c r="L27">
        <v>2</v>
      </c>
      <c r="M27">
        <v>3</v>
      </c>
      <c r="N27">
        <v>1</v>
      </c>
      <c r="O27">
        <v>99999</v>
      </c>
      <c r="P27" s="974">
        <f t="shared" si="2"/>
        <v>219045.38</v>
      </c>
      <c r="Q27" s="974">
        <f>CUSD!H6</f>
        <v>219045.38</v>
      </c>
    </row>
    <row r="28" spans="1:17" ht="15.75">
      <c r="A28" t="s">
        <v>831</v>
      </c>
      <c r="B28" t="s">
        <v>847</v>
      </c>
      <c r="C28" t="s">
        <v>2351</v>
      </c>
      <c r="D28">
        <v>1</v>
      </c>
      <c r="E28">
        <v>1</v>
      </c>
      <c r="F28">
        <v>999</v>
      </c>
      <c r="G28">
        <v>999999</v>
      </c>
      <c r="H28">
        <v>999</v>
      </c>
      <c r="I28">
        <v>1</v>
      </c>
      <c r="J28">
        <v>7</v>
      </c>
      <c r="K28">
        <v>9</v>
      </c>
      <c r="L28">
        <v>2</v>
      </c>
      <c r="M28">
        <v>9</v>
      </c>
      <c r="N28">
        <v>2</v>
      </c>
      <c r="O28">
        <v>99999</v>
      </c>
      <c r="P28" s="974">
        <f t="shared" si="2"/>
        <v>77630.514460000006</v>
      </c>
      <c r="Q28" s="974">
        <f>CUSD!H10+CUSD!H11</f>
        <v>77630.514460000006</v>
      </c>
    </row>
    <row r="29" spans="1:17" ht="15.75">
      <c r="A29" t="s">
        <v>831</v>
      </c>
      <c r="B29" t="s">
        <v>847</v>
      </c>
      <c r="C29" t="s">
        <v>2349</v>
      </c>
      <c r="D29">
        <v>1</v>
      </c>
      <c r="E29">
        <v>1</v>
      </c>
      <c r="F29">
        <v>999</v>
      </c>
      <c r="G29">
        <v>999999</v>
      </c>
      <c r="H29">
        <v>999</v>
      </c>
      <c r="I29">
        <v>1</v>
      </c>
      <c r="J29">
        <v>7</v>
      </c>
      <c r="K29">
        <v>1</v>
      </c>
      <c r="L29">
        <v>2</v>
      </c>
      <c r="M29">
        <v>1</v>
      </c>
      <c r="N29">
        <v>3</v>
      </c>
      <c r="O29">
        <v>99999</v>
      </c>
      <c r="P29" s="974">
        <f t="shared" si="2"/>
        <v>2197394.3062999998</v>
      </c>
      <c r="Q29" s="974">
        <f>CUSD!K7</f>
        <v>2197394.3062999998</v>
      </c>
    </row>
    <row r="30" spans="1:17" ht="15.75">
      <c r="A30" t="s">
        <v>831</v>
      </c>
      <c r="B30" t="s">
        <v>847</v>
      </c>
      <c r="C30" t="s">
        <v>2350</v>
      </c>
      <c r="D30">
        <v>1</v>
      </c>
      <c r="E30">
        <v>1</v>
      </c>
      <c r="F30">
        <v>999</v>
      </c>
      <c r="G30">
        <v>999999</v>
      </c>
      <c r="H30">
        <v>999</v>
      </c>
      <c r="I30">
        <v>1</v>
      </c>
      <c r="J30">
        <v>7</v>
      </c>
      <c r="K30">
        <v>1</v>
      </c>
      <c r="L30">
        <v>2</v>
      </c>
      <c r="M30">
        <v>3</v>
      </c>
      <c r="N30">
        <v>3</v>
      </c>
      <c r="O30">
        <v>99999</v>
      </c>
      <c r="P30" s="974">
        <f t="shared" si="2"/>
        <v>2676734.5436</v>
      </c>
      <c r="Q30" s="974">
        <f>CUSD!K6</f>
        <v>2676734.5436</v>
      </c>
    </row>
    <row r="31" spans="1:17" ht="15.75">
      <c r="A31" t="s">
        <v>831</v>
      </c>
      <c r="B31" t="s">
        <v>847</v>
      </c>
      <c r="C31" t="s">
        <v>2351</v>
      </c>
      <c r="D31">
        <v>1</v>
      </c>
      <c r="E31">
        <v>1</v>
      </c>
      <c r="F31">
        <v>999</v>
      </c>
      <c r="G31">
        <v>999999</v>
      </c>
      <c r="H31">
        <v>999</v>
      </c>
      <c r="I31">
        <v>1</v>
      </c>
      <c r="J31">
        <v>7</v>
      </c>
      <c r="K31">
        <v>1</v>
      </c>
      <c r="L31">
        <v>2</v>
      </c>
      <c r="M31">
        <v>9</v>
      </c>
      <c r="N31">
        <v>3</v>
      </c>
      <c r="O31">
        <v>99999</v>
      </c>
      <c r="P31" s="974">
        <f t="shared" si="2"/>
        <v>299653.78581560007</v>
      </c>
      <c r="Q31" s="974">
        <f>CUSD!K10+CUSD!K11</f>
        <v>299653.78581560007</v>
      </c>
    </row>
    <row r="32" spans="1:17" ht="15.75">
      <c r="A32" t="s">
        <v>831</v>
      </c>
      <c r="B32" t="s">
        <v>847</v>
      </c>
      <c r="C32" t="s">
        <v>1665</v>
      </c>
      <c r="D32">
        <v>1</v>
      </c>
      <c r="E32">
        <v>1</v>
      </c>
      <c r="F32">
        <v>15</v>
      </c>
      <c r="G32">
        <v>140</v>
      </c>
      <c r="H32">
        <v>999</v>
      </c>
      <c r="I32">
        <v>1</v>
      </c>
      <c r="J32">
        <v>7</v>
      </c>
      <c r="K32">
        <v>9</v>
      </c>
      <c r="L32">
        <v>99</v>
      </c>
      <c r="M32">
        <v>9</v>
      </c>
      <c r="N32">
        <v>4</v>
      </c>
      <c r="O32">
        <v>99999</v>
      </c>
      <c r="P32" s="233">
        <f t="shared" si="0"/>
        <v>0</v>
      </c>
      <c r="Q32" s="233">
        <f>CUSD!G3</f>
        <v>0</v>
      </c>
    </row>
    <row r="33" spans="1:17" ht="15.75">
      <c r="A33" t="s">
        <v>831</v>
      </c>
      <c r="B33" t="s">
        <v>847</v>
      </c>
      <c r="C33" t="s">
        <v>1666</v>
      </c>
      <c r="D33">
        <v>1</v>
      </c>
      <c r="E33">
        <v>1</v>
      </c>
      <c r="F33">
        <v>51</v>
      </c>
      <c r="G33">
        <v>141</v>
      </c>
      <c r="H33">
        <v>999</v>
      </c>
      <c r="I33">
        <v>1</v>
      </c>
      <c r="J33">
        <v>7</v>
      </c>
      <c r="K33">
        <v>9</v>
      </c>
      <c r="L33">
        <v>99</v>
      </c>
      <c r="M33">
        <v>9</v>
      </c>
      <c r="N33">
        <v>3</v>
      </c>
      <c r="O33">
        <v>99999</v>
      </c>
      <c r="P33" s="233">
        <f t="shared" si="0"/>
        <v>14041281.290248398</v>
      </c>
      <c r="Q33" s="233">
        <f>Q34/(1-Q32)</f>
        <v>14041281.290248398</v>
      </c>
    </row>
    <row r="34" spans="1:17" ht="15.75">
      <c r="A34" t="s">
        <v>831</v>
      </c>
      <c r="B34" t="s">
        <v>847</v>
      </c>
      <c r="C34" t="s">
        <v>1667</v>
      </c>
      <c r="D34">
        <v>2</v>
      </c>
      <c r="E34">
        <v>1</v>
      </c>
      <c r="F34">
        <v>51</v>
      </c>
      <c r="G34">
        <v>999999</v>
      </c>
      <c r="H34">
        <v>999</v>
      </c>
      <c r="I34">
        <v>1</v>
      </c>
      <c r="J34">
        <v>7</v>
      </c>
      <c r="K34">
        <v>1</v>
      </c>
      <c r="L34">
        <v>99</v>
      </c>
      <c r="M34">
        <v>9</v>
      </c>
      <c r="N34">
        <v>3</v>
      </c>
      <c r="O34">
        <v>99999</v>
      </c>
      <c r="P34" s="233">
        <f t="shared" si="0"/>
        <v>14041281.290248398</v>
      </c>
      <c r="Q34" s="233">
        <f>CUSD!C3</f>
        <v>14041281.290248398</v>
      </c>
    </row>
    <row r="35" spans="1:17" ht="15.75">
      <c r="A35" t="s">
        <v>831</v>
      </c>
      <c r="B35" t="s">
        <v>847</v>
      </c>
      <c r="C35" s="9" t="s">
        <v>1303</v>
      </c>
      <c r="D35">
        <v>2</v>
      </c>
      <c r="E35">
        <v>1</v>
      </c>
      <c r="F35">
        <v>51</v>
      </c>
      <c r="G35">
        <v>999999</v>
      </c>
      <c r="H35">
        <v>999</v>
      </c>
      <c r="I35">
        <v>1</v>
      </c>
      <c r="J35">
        <v>1</v>
      </c>
      <c r="K35">
        <v>1</v>
      </c>
      <c r="L35">
        <v>99</v>
      </c>
      <c r="M35">
        <v>9</v>
      </c>
      <c r="N35">
        <v>3</v>
      </c>
      <c r="O35">
        <v>99999</v>
      </c>
      <c r="P35" s="233">
        <f t="shared" ref="P35:P41" si="3">IF(ISNUMBER(Q35),Q35,0)</f>
        <v>0</v>
      </c>
      <c r="Q35" s="233">
        <f>Resultado!D25</f>
        <v>0</v>
      </c>
    </row>
    <row r="36" spans="1:17" ht="15.75">
      <c r="A36" t="s">
        <v>831</v>
      </c>
      <c r="B36" t="s">
        <v>847</v>
      </c>
      <c r="C36" t="s">
        <v>1331</v>
      </c>
      <c r="D36">
        <v>2</v>
      </c>
      <c r="E36">
        <v>1</v>
      </c>
      <c r="F36">
        <v>51</v>
      </c>
      <c r="G36">
        <v>999999</v>
      </c>
      <c r="H36">
        <v>999</v>
      </c>
      <c r="I36">
        <v>1</v>
      </c>
      <c r="J36">
        <v>2</v>
      </c>
      <c r="K36">
        <v>1</v>
      </c>
      <c r="L36">
        <v>99</v>
      </c>
      <c r="M36">
        <v>9</v>
      </c>
      <c r="N36">
        <v>3</v>
      </c>
      <c r="O36">
        <v>99999</v>
      </c>
      <c r="P36" s="233">
        <f t="shared" si="3"/>
        <v>0</v>
      </c>
      <c r="Q36" s="233">
        <f>Resultado!D26</f>
        <v>0</v>
      </c>
    </row>
    <row r="37" spans="1:17" ht="15.75">
      <c r="A37" t="s">
        <v>831</v>
      </c>
      <c r="B37" t="s">
        <v>847</v>
      </c>
      <c r="C37" t="s">
        <v>1668</v>
      </c>
      <c r="D37">
        <v>2</v>
      </c>
      <c r="E37">
        <v>1</v>
      </c>
      <c r="F37">
        <v>51</v>
      </c>
      <c r="G37">
        <v>999999</v>
      </c>
      <c r="H37">
        <v>999</v>
      </c>
      <c r="I37">
        <v>1</v>
      </c>
      <c r="J37">
        <v>3</v>
      </c>
      <c r="K37">
        <v>1</v>
      </c>
      <c r="L37">
        <v>99</v>
      </c>
      <c r="M37">
        <v>9</v>
      </c>
      <c r="N37">
        <v>3</v>
      </c>
      <c r="O37">
        <v>99999</v>
      </c>
      <c r="P37" s="233">
        <f t="shared" si="3"/>
        <v>0</v>
      </c>
      <c r="Q37" s="233">
        <f>Resultado!D31</f>
        <v>0</v>
      </c>
    </row>
    <row r="38" spans="1:17" ht="15.75">
      <c r="A38" t="s">
        <v>831</v>
      </c>
      <c r="B38" t="s">
        <v>847</v>
      </c>
      <c r="C38" t="s">
        <v>1669</v>
      </c>
      <c r="D38">
        <v>2</v>
      </c>
      <c r="E38">
        <v>1</v>
      </c>
      <c r="F38">
        <v>51</v>
      </c>
      <c r="G38">
        <v>999999</v>
      </c>
      <c r="H38">
        <v>999</v>
      </c>
      <c r="I38">
        <v>1</v>
      </c>
      <c r="J38">
        <v>5</v>
      </c>
      <c r="K38">
        <v>1</v>
      </c>
      <c r="L38">
        <v>99</v>
      </c>
      <c r="M38">
        <v>9</v>
      </c>
      <c r="N38">
        <v>3</v>
      </c>
      <c r="O38">
        <v>99999</v>
      </c>
      <c r="P38" s="233">
        <f t="shared" si="3"/>
        <v>0</v>
      </c>
      <c r="Q38" s="233">
        <f>Resultado!D27</f>
        <v>0</v>
      </c>
    </row>
    <row r="39" spans="1:17" ht="15.75">
      <c r="A39" t="s">
        <v>831</v>
      </c>
      <c r="B39" t="s">
        <v>847</v>
      </c>
      <c r="C39" t="s">
        <v>1670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1</v>
      </c>
      <c r="J39">
        <v>6</v>
      </c>
      <c r="K39">
        <v>1</v>
      </c>
      <c r="L39">
        <v>99</v>
      </c>
      <c r="M39">
        <v>9</v>
      </c>
      <c r="N39">
        <v>3</v>
      </c>
      <c r="O39">
        <v>99999</v>
      </c>
      <c r="P39" s="233">
        <f t="shared" si="3"/>
        <v>0</v>
      </c>
      <c r="Q39" s="233">
        <f>Resultado!D28</f>
        <v>0</v>
      </c>
    </row>
    <row r="40" spans="1:17" ht="15.75">
      <c r="A40" t="s">
        <v>831</v>
      </c>
      <c r="B40" t="s">
        <v>847</v>
      </c>
      <c r="C40" t="s">
        <v>1671</v>
      </c>
      <c r="D40">
        <v>2</v>
      </c>
      <c r="E40">
        <v>1</v>
      </c>
      <c r="F40">
        <v>51</v>
      </c>
      <c r="G40">
        <v>999999</v>
      </c>
      <c r="H40">
        <v>999</v>
      </c>
      <c r="I40">
        <v>1</v>
      </c>
      <c r="J40">
        <v>21</v>
      </c>
      <c r="K40">
        <v>2</v>
      </c>
      <c r="L40">
        <v>99</v>
      </c>
      <c r="M40">
        <v>9</v>
      </c>
      <c r="N40">
        <v>3</v>
      </c>
      <c r="O40">
        <v>99999</v>
      </c>
      <c r="P40" s="233">
        <f>IF(ISNUMBER(Q40),Q40,0)</f>
        <v>0</v>
      </c>
      <c r="Q40" s="233">
        <f>Resultado!D30</f>
        <v>0</v>
      </c>
    </row>
    <row r="41" spans="1:17">
      <c r="A41" t="s">
        <v>831</v>
      </c>
      <c r="B41" t="s">
        <v>847</v>
      </c>
      <c r="C41" t="s">
        <v>1672</v>
      </c>
      <c r="D41" s="259">
        <v>2</v>
      </c>
      <c r="E41" s="259">
        <v>1</v>
      </c>
      <c r="F41" s="259">
        <v>51</v>
      </c>
      <c r="G41">
        <v>999999</v>
      </c>
      <c r="H41" s="259">
        <v>999</v>
      </c>
      <c r="I41" s="259">
        <v>1</v>
      </c>
      <c r="J41" s="259">
        <v>23</v>
      </c>
      <c r="K41" s="259">
        <v>2</v>
      </c>
      <c r="L41" s="259">
        <v>99</v>
      </c>
      <c r="M41" s="259">
        <v>9</v>
      </c>
      <c r="N41" s="259">
        <v>3</v>
      </c>
      <c r="O41" s="260">
        <v>99999</v>
      </c>
      <c r="P41" s="233">
        <f t="shared" si="3"/>
        <v>0</v>
      </c>
      <c r="Q41" s="233">
        <f>Resultado!D29</f>
        <v>0</v>
      </c>
    </row>
    <row r="42" spans="1:17" ht="15.75">
      <c r="A42" t="s">
        <v>834</v>
      </c>
      <c r="B42" t="s">
        <v>160</v>
      </c>
      <c r="C42" t="s">
        <v>875</v>
      </c>
      <c r="D42">
        <v>1</v>
      </c>
      <c r="E42">
        <v>1</v>
      </c>
      <c r="F42">
        <v>52</v>
      </c>
      <c r="G42">
        <v>55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3">
        <f t="shared" si="0"/>
        <v>0</v>
      </c>
      <c r="Q42" s="233"/>
    </row>
    <row r="43" spans="1:17" ht="15.75">
      <c r="A43" t="s">
        <v>831</v>
      </c>
      <c r="B43" t="s">
        <v>160</v>
      </c>
      <c r="C43" t="s">
        <v>875</v>
      </c>
      <c r="D43">
        <v>1</v>
      </c>
      <c r="E43">
        <v>1</v>
      </c>
      <c r="F43">
        <v>51</v>
      </c>
      <c r="G43">
        <v>55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2</v>
      </c>
      <c r="O43">
        <v>99999</v>
      </c>
      <c r="P43" s="233">
        <f t="shared" ca="1" si="0"/>
        <v>131812.77545285714</v>
      </c>
      <c r="Q43" s="233">
        <f ca="1">Energia!C5</f>
        <v>131812.77545285714</v>
      </c>
    </row>
    <row r="44" spans="1:17" ht="15.75">
      <c r="A44" t="s">
        <v>831</v>
      </c>
      <c r="B44" t="s">
        <v>160</v>
      </c>
      <c r="C44" t="s">
        <v>1673</v>
      </c>
      <c r="D44">
        <v>1</v>
      </c>
      <c r="E44">
        <v>1</v>
      </c>
      <c r="F44">
        <v>51</v>
      </c>
      <c r="G44">
        <v>999999</v>
      </c>
      <c r="H44">
        <v>999</v>
      </c>
      <c r="I44">
        <v>2</v>
      </c>
      <c r="J44">
        <v>8</v>
      </c>
      <c r="K44">
        <v>9</v>
      </c>
      <c r="L44">
        <v>99</v>
      </c>
      <c r="M44">
        <v>9</v>
      </c>
      <c r="N44">
        <v>2</v>
      </c>
      <c r="O44">
        <v>99999</v>
      </c>
      <c r="P44" s="233">
        <f t="shared" ca="1" si="0"/>
        <v>9661.8193099999971</v>
      </c>
      <c r="Q44" s="233">
        <f ca="1">Energia!N17</f>
        <v>9661.8193099999971</v>
      </c>
    </row>
    <row r="45" spans="1:17" ht="15.75">
      <c r="A45" t="s">
        <v>831</v>
      </c>
      <c r="B45" t="s">
        <v>160</v>
      </c>
      <c r="C45" t="s">
        <v>1674</v>
      </c>
      <c r="D45">
        <v>1</v>
      </c>
      <c r="E45">
        <v>1</v>
      </c>
      <c r="F45">
        <v>51</v>
      </c>
      <c r="G45">
        <v>999999</v>
      </c>
      <c r="H45">
        <v>999</v>
      </c>
      <c r="I45">
        <v>2</v>
      </c>
      <c r="J45">
        <v>9</v>
      </c>
      <c r="K45">
        <v>9</v>
      </c>
      <c r="L45">
        <v>99</v>
      </c>
      <c r="M45">
        <v>9</v>
      </c>
      <c r="N45">
        <v>2</v>
      </c>
      <c r="O45">
        <v>99999</v>
      </c>
      <c r="P45" s="233">
        <f t="shared" ca="1" si="0"/>
        <v>0</v>
      </c>
      <c r="Q45" s="233">
        <f ca="1">Energia!N16</f>
        <v>0</v>
      </c>
    </row>
    <row r="46" spans="1:17" ht="15.75">
      <c r="A46" t="s">
        <v>831</v>
      </c>
      <c r="B46" t="s">
        <v>160</v>
      </c>
      <c r="C46" t="s">
        <v>1675</v>
      </c>
      <c r="D46">
        <v>1</v>
      </c>
      <c r="E46">
        <v>1</v>
      </c>
      <c r="F46">
        <v>51</v>
      </c>
      <c r="G46">
        <v>999999</v>
      </c>
      <c r="H46">
        <v>999</v>
      </c>
      <c r="I46">
        <v>2</v>
      </c>
      <c r="J46">
        <v>10</v>
      </c>
      <c r="K46">
        <v>9</v>
      </c>
      <c r="L46">
        <v>99</v>
      </c>
      <c r="M46">
        <v>9</v>
      </c>
      <c r="N46">
        <v>2</v>
      </c>
      <c r="O46">
        <v>99999</v>
      </c>
      <c r="P46" s="233">
        <f t="shared" ca="1" si="0"/>
        <v>285.64920279410063</v>
      </c>
      <c r="Q46" s="233">
        <f ca="1">Energia!N18</f>
        <v>285.64920279410063</v>
      </c>
    </row>
    <row r="47" spans="1:17" ht="15.75">
      <c r="A47" t="s">
        <v>831</v>
      </c>
      <c r="B47" t="s">
        <v>160</v>
      </c>
      <c r="C47" t="s">
        <v>1676</v>
      </c>
      <c r="D47">
        <v>1</v>
      </c>
      <c r="E47">
        <v>1</v>
      </c>
      <c r="F47">
        <v>51</v>
      </c>
      <c r="G47">
        <v>999999</v>
      </c>
      <c r="H47">
        <v>999</v>
      </c>
      <c r="I47">
        <v>2</v>
      </c>
      <c r="J47">
        <v>24</v>
      </c>
      <c r="K47">
        <v>9</v>
      </c>
      <c r="L47">
        <v>99</v>
      </c>
      <c r="M47">
        <v>9</v>
      </c>
      <c r="N47">
        <v>2</v>
      </c>
      <c r="O47">
        <v>99999</v>
      </c>
      <c r="P47" s="233">
        <f t="shared" ca="1" si="0"/>
        <v>3499.4559400630428</v>
      </c>
      <c r="Q47" s="233">
        <f ca="1">Energia!N19</f>
        <v>3499.4559400630428</v>
      </c>
    </row>
    <row r="48" spans="1:17" ht="15.75">
      <c r="A48" t="s">
        <v>831</v>
      </c>
      <c r="B48" t="s">
        <v>160</v>
      </c>
      <c r="C48" t="s">
        <v>1677</v>
      </c>
      <c r="D48">
        <v>1</v>
      </c>
      <c r="E48">
        <v>1</v>
      </c>
      <c r="F48">
        <v>51</v>
      </c>
      <c r="G48">
        <v>999999</v>
      </c>
      <c r="H48">
        <v>999</v>
      </c>
      <c r="I48">
        <v>2</v>
      </c>
      <c r="J48">
        <v>8</v>
      </c>
      <c r="K48">
        <v>9</v>
      </c>
      <c r="L48">
        <v>99</v>
      </c>
      <c r="M48">
        <v>9</v>
      </c>
      <c r="N48">
        <v>4</v>
      </c>
      <c r="O48">
        <v>99999</v>
      </c>
      <c r="P48" s="233">
        <f t="shared" ca="1" si="0"/>
        <v>7.5466649409501374E-2</v>
      </c>
      <c r="Q48" s="233">
        <f ca="1">Energia!N14</f>
        <v>7.5466649409501374E-2</v>
      </c>
    </row>
    <row r="49" spans="1:17" s="12" customFormat="1" ht="15.75">
      <c r="A49" t="s">
        <v>831</v>
      </c>
      <c r="B49" t="s">
        <v>160</v>
      </c>
      <c r="C49" t="s">
        <v>1678</v>
      </c>
      <c r="D49">
        <v>1</v>
      </c>
      <c r="E49">
        <v>1</v>
      </c>
      <c r="F49">
        <v>51</v>
      </c>
      <c r="G49">
        <v>999999</v>
      </c>
      <c r="H49">
        <v>999</v>
      </c>
      <c r="I49">
        <v>2</v>
      </c>
      <c r="J49">
        <v>9</v>
      </c>
      <c r="K49">
        <v>9</v>
      </c>
      <c r="L49">
        <v>99</v>
      </c>
      <c r="M49">
        <v>9</v>
      </c>
      <c r="N49">
        <v>4</v>
      </c>
      <c r="O49">
        <v>99999</v>
      </c>
      <c r="P49" s="233">
        <f t="shared" ca="1" si="0"/>
        <v>0</v>
      </c>
      <c r="Q49" s="233">
        <f ca="1">Energia!N13</f>
        <v>0</v>
      </c>
    </row>
    <row r="50" spans="1:17" s="12" customFormat="1" ht="15.75">
      <c r="A50" t="s">
        <v>831</v>
      </c>
      <c r="B50" t="s">
        <v>160</v>
      </c>
      <c r="C50" t="s">
        <v>1679</v>
      </c>
      <c r="D50">
        <v>1</v>
      </c>
      <c r="E50">
        <v>1</v>
      </c>
      <c r="F50">
        <v>51</v>
      </c>
      <c r="G50">
        <v>999999</v>
      </c>
      <c r="H50">
        <v>999</v>
      </c>
      <c r="I50">
        <v>2</v>
      </c>
      <c r="J50">
        <v>10</v>
      </c>
      <c r="K50">
        <v>9</v>
      </c>
      <c r="L50">
        <v>99</v>
      </c>
      <c r="M50">
        <v>9</v>
      </c>
      <c r="N50">
        <v>4</v>
      </c>
      <c r="O50">
        <v>99999</v>
      </c>
      <c r="P50" s="233">
        <f t="shared" ca="1" si="0"/>
        <v>2.9564742791086281E-2</v>
      </c>
      <c r="Q50" s="233">
        <f ca="1">Energia!N15</f>
        <v>2.9564742791086281E-2</v>
      </c>
    </row>
    <row r="51" spans="1:17" s="15" customFormat="1" ht="15.75">
      <c r="A51" t="s">
        <v>831</v>
      </c>
      <c r="B51" t="s">
        <v>160</v>
      </c>
      <c r="C51" t="s">
        <v>1680</v>
      </c>
      <c r="D51">
        <v>2</v>
      </c>
      <c r="E51">
        <v>1</v>
      </c>
      <c r="F51">
        <v>51</v>
      </c>
      <c r="G51">
        <v>999999</v>
      </c>
      <c r="H51">
        <v>999</v>
      </c>
      <c r="I51">
        <v>2</v>
      </c>
      <c r="J51">
        <v>30</v>
      </c>
      <c r="K51">
        <v>2</v>
      </c>
      <c r="L51">
        <v>99</v>
      </c>
      <c r="M51">
        <v>9</v>
      </c>
      <c r="N51">
        <v>3</v>
      </c>
      <c r="O51">
        <v>99999</v>
      </c>
      <c r="P51" s="233">
        <f t="shared" ca="1" si="0"/>
        <v>22086597.211066131</v>
      </c>
      <c r="Q51" s="233">
        <f ca="1">Energia!C14</f>
        <v>22086597.211066131</v>
      </c>
    </row>
    <row r="52" spans="1:17" ht="15.75">
      <c r="A52" t="s">
        <v>834</v>
      </c>
      <c r="B52" t="s">
        <v>160</v>
      </c>
      <c r="C52" t="s">
        <v>1681</v>
      </c>
      <c r="D52">
        <v>1</v>
      </c>
      <c r="E52">
        <v>1</v>
      </c>
      <c r="F52">
        <v>51</v>
      </c>
      <c r="G52">
        <v>150</v>
      </c>
      <c r="H52">
        <v>999</v>
      </c>
      <c r="I52">
        <v>2</v>
      </c>
      <c r="J52">
        <v>999</v>
      </c>
      <c r="K52">
        <v>9</v>
      </c>
      <c r="L52">
        <v>99</v>
      </c>
      <c r="M52">
        <v>9</v>
      </c>
      <c r="N52">
        <v>5</v>
      </c>
      <c r="O52">
        <v>99999</v>
      </c>
      <c r="P52" s="233">
        <f t="shared" ca="1" si="0"/>
        <v>167.56036837237681</v>
      </c>
      <c r="Q52" s="233">
        <f ca="1">Energia!C13</f>
        <v>167.56036837237681</v>
      </c>
    </row>
    <row r="53" spans="1:17" ht="15.75">
      <c r="A53" t="s">
        <v>834</v>
      </c>
      <c r="B53" t="s">
        <v>160</v>
      </c>
      <c r="C53" t="s">
        <v>1682</v>
      </c>
      <c r="D53">
        <v>1</v>
      </c>
      <c r="E53">
        <v>1</v>
      </c>
      <c r="F53">
        <v>4</v>
      </c>
      <c r="G53">
        <v>999999</v>
      </c>
      <c r="H53">
        <v>999</v>
      </c>
      <c r="I53">
        <v>2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3">
        <f t="shared" si="0"/>
        <v>2068.1152777892089</v>
      </c>
      <c r="Q53" s="233">
        <f>Energia!C19</f>
        <v>2068.1152777892089</v>
      </c>
    </row>
    <row r="54" spans="1:17" ht="15.75">
      <c r="A54" t="s">
        <v>831</v>
      </c>
      <c r="B54" t="s">
        <v>160</v>
      </c>
      <c r="C54" t="s">
        <v>1683</v>
      </c>
      <c r="D54">
        <v>1</v>
      </c>
      <c r="E54">
        <v>1</v>
      </c>
      <c r="F54">
        <v>16</v>
      </c>
      <c r="G54">
        <v>999999</v>
      </c>
      <c r="H54">
        <v>999</v>
      </c>
      <c r="I54">
        <v>2</v>
      </c>
      <c r="J54">
        <v>999</v>
      </c>
      <c r="K54">
        <v>9</v>
      </c>
      <c r="L54">
        <v>99</v>
      </c>
      <c r="M54">
        <v>9</v>
      </c>
      <c r="N54">
        <v>2</v>
      </c>
      <c r="O54">
        <v>99999</v>
      </c>
      <c r="P54" s="233">
        <f t="shared" ca="1" si="0"/>
        <v>97466.000079529127</v>
      </c>
      <c r="Q54" s="233">
        <f ca="1">Energia!C22</f>
        <v>97466.000079529127</v>
      </c>
    </row>
    <row r="55" spans="1:17" ht="15.75">
      <c r="A55" t="s">
        <v>831</v>
      </c>
      <c r="B55" t="s">
        <v>160</v>
      </c>
      <c r="C55" s="9" t="s">
        <v>1684</v>
      </c>
      <c r="D55">
        <v>1</v>
      </c>
      <c r="E55">
        <v>1</v>
      </c>
      <c r="F55">
        <v>16</v>
      </c>
      <c r="G55">
        <v>999999</v>
      </c>
      <c r="H55">
        <v>999</v>
      </c>
      <c r="I55">
        <v>2</v>
      </c>
      <c r="J55">
        <v>999</v>
      </c>
      <c r="K55">
        <v>9</v>
      </c>
      <c r="L55">
        <v>99</v>
      </c>
      <c r="M55">
        <v>9</v>
      </c>
      <c r="N55">
        <v>3</v>
      </c>
      <c r="O55">
        <v>99999</v>
      </c>
      <c r="P55" s="233">
        <f t="shared" ca="1" si="0"/>
        <v>16639225.29961835</v>
      </c>
      <c r="Q55" s="233">
        <f ca="1">Energia!F22</f>
        <v>16639225.29961835</v>
      </c>
    </row>
    <row r="56" spans="1:17" s="12" customFormat="1" ht="15.75">
      <c r="A56" t="s">
        <v>831</v>
      </c>
      <c r="B56" t="s">
        <v>160</v>
      </c>
      <c r="C56" t="s">
        <v>1685</v>
      </c>
      <c r="D56">
        <v>1</v>
      </c>
      <c r="E56">
        <v>1</v>
      </c>
      <c r="F56">
        <v>6</v>
      </c>
      <c r="G56">
        <v>999999</v>
      </c>
      <c r="H56">
        <v>999</v>
      </c>
      <c r="I56">
        <v>2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3">
        <f t="shared" ca="1" si="0"/>
        <v>0</v>
      </c>
      <c r="Q56" s="233">
        <f ca="1">LnkTXTGPM</f>
        <v>0</v>
      </c>
    </row>
    <row r="57" spans="1:17" s="12" customFormat="1" ht="15.75">
      <c r="A57" t="s">
        <v>831</v>
      </c>
      <c r="B57" t="s">
        <v>160</v>
      </c>
      <c r="C57" t="s">
        <v>1686</v>
      </c>
      <c r="D57">
        <v>1</v>
      </c>
      <c r="E57">
        <v>1</v>
      </c>
      <c r="F57">
        <v>6</v>
      </c>
      <c r="G57">
        <v>999999</v>
      </c>
      <c r="H57">
        <v>999</v>
      </c>
      <c r="I57">
        <v>2</v>
      </c>
      <c r="J57">
        <v>999</v>
      </c>
      <c r="K57">
        <v>9</v>
      </c>
      <c r="L57">
        <v>99</v>
      </c>
      <c r="M57">
        <v>9</v>
      </c>
      <c r="N57">
        <v>3</v>
      </c>
      <c r="O57">
        <v>99999</v>
      </c>
      <c r="P57" s="233">
        <f t="shared" ca="1" si="0"/>
        <v>0</v>
      </c>
      <c r="Q57" s="233">
        <f ca="1">Energia!F18</f>
        <v>0</v>
      </c>
    </row>
    <row r="58" spans="1:17" s="12" customFormat="1" ht="15.75">
      <c r="A58" t="s">
        <v>831</v>
      </c>
      <c r="B58" t="s">
        <v>160</v>
      </c>
      <c r="C58" t="s">
        <v>1687</v>
      </c>
      <c r="D58">
        <v>1</v>
      </c>
      <c r="E58">
        <v>1</v>
      </c>
      <c r="F58">
        <v>6</v>
      </c>
      <c r="G58">
        <v>999999</v>
      </c>
      <c r="H58">
        <v>999</v>
      </c>
      <c r="I58">
        <v>2</v>
      </c>
      <c r="J58">
        <v>999</v>
      </c>
      <c r="K58">
        <v>9</v>
      </c>
      <c r="L58">
        <v>99</v>
      </c>
      <c r="M58">
        <v>9</v>
      </c>
      <c r="N58">
        <v>5</v>
      </c>
      <c r="O58">
        <v>99999</v>
      </c>
      <c r="P58" s="233">
        <f t="shared" si="0"/>
        <v>0</v>
      </c>
      <c r="Q58" s="233">
        <f>LnkTXTGPCU</f>
        <v>0</v>
      </c>
    </row>
    <row r="59" spans="1:17" s="12" customFormat="1" ht="15.75">
      <c r="A59" t="s">
        <v>831</v>
      </c>
      <c r="B59" t="s">
        <v>160</v>
      </c>
      <c r="C59" s="9" t="s">
        <v>1688</v>
      </c>
      <c r="D59">
        <v>1</v>
      </c>
      <c r="E59">
        <v>1</v>
      </c>
      <c r="F59">
        <v>15</v>
      </c>
      <c r="G59">
        <v>143</v>
      </c>
      <c r="H59">
        <v>999</v>
      </c>
      <c r="I59">
        <v>2</v>
      </c>
      <c r="J59">
        <v>999</v>
      </c>
      <c r="K59">
        <v>9</v>
      </c>
      <c r="L59">
        <f>IF((LEFT(Energia!C28,3)="A2 "),2,IF((LEFT(Energia!C28,3)="A3 "),3,IF((LEFT(Energia!C28,3)="A3a"),4,IF((LEFT(Energia!C28,3)="A4 "),5,99))))</f>
        <v>2</v>
      </c>
      <c r="M59">
        <v>9</v>
      </c>
      <c r="N59">
        <v>4</v>
      </c>
      <c r="O59" s="420">
        <f>VALUE(Energia!A28)</f>
        <v>396</v>
      </c>
      <c r="P59" s="233">
        <f t="shared" si="0"/>
        <v>0.28499999999999998</v>
      </c>
      <c r="Q59" s="233">
        <f>Energia!F28</f>
        <v>0.28499999999999998</v>
      </c>
    </row>
    <row r="60" spans="1:17" s="12" customFormat="1" ht="15.75">
      <c r="A60" t="s">
        <v>831</v>
      </c>
      <c r="B60" t="s">
        <v>160</v>
      </c>
      <c r="C60" s="9" t="s">
        <v>1688</v>
      </c>
      <c r="D60">
        <v>1</v>
      </c>
      <c r="E60">
        <v>1</v>
      </c>
      <c r="F60">
        <v>15</v>
      </c>
      <c r="G60">
        <v>143</v>
      </c>
      <c r="H60">
        <v>999</v>
      </c>
      <c r="I60">
        <v>2</v>
      </c>
      <c r="J60">
        <v>999</v>
      </c>
      <c r="K60">
        <v>9</v>
      </c>
      <c r="L60">
        <f>IF((LEFT(Energia!C29,3)="A2 "),2,IF((LEFT(Energia!C29,3)="A3 "),3,IF((LEFT(Energia!C29,3)="A3a"),4,IF((LEFT(Energia!C29,3)="A4 "),5,99))))</f>
        <v>5</v>
      </c>
      <c r="M60">
        <v>9</v>
      </c>
      <c r="N60">
        <v>4</v>
      </c>
      <c r="O60" s="420">
        <f>VALUE(Energia!A29)</f>
        <v>396</v>
      </c>
      <c r="P60" s="233">
        <f t="shared" si="0"/>
        <v>0.28499999999999998</v>
      </c>
      <c r="Q60" s="233">
        <f>Energia!F29</f>
        <v>0.28499999999999998</v>
      </c>
    </row>
    <row r="61" spans="1:17" s="12" customFormat="1" ht="15.75">
      <c r="A61" t="s">
        <v>831</v>
      </c>
      <c r="B61" t="s">
        <v>160</v>
      </c>
      <c r="C61" s="9" t="s">
        <v>1688</v>
      </c>
      <c r="D61">
        <v>1</v>
      </c>
      <c r="E61">
        <v>1</v>
      </c>
      <c r="F61">
        <v>15</v>
      </c>
      <c r="G61">
        <v>143</v>
      </c>
      <c r="H61">
        <v>999</v>
      </c>
      <c r="I61">
        <v>2</v>
      </c>
      <c r="J61">
        <v>999</v>
      </c>
      <c r="K61">
        <v>9</v>
      </c>
      <c r="L61">
        <f>IF((LEFT(Energia!C30,3)="A2 "),2,IF((LEFT(Energia!C30,3)="A3 "),3,IF((LEFT(Energia!C30,3)="A3a"),4,IF((LEFT(Energia!C30,3)="A4 "),5,99))))</f>
        <v>99</v>
      </c>
      <c r="M61">
        <v>9</v>
      </c>
      <c r="N61">
        <v>4</v>
      </c>
      <c r="O61" s="420">
        <f>VALUE(Energia!A30)</f>
        <v>0</v>
      </c>
      <c r="P61" s="233">
        <f t="shared" si="0"/>
        <v>0</v>
      </c>
      <c r="Q61" s="233" t="str">
        <f>Energia!F30</f>
        <v/>
      </c>
    </row>
    <row r="62" spans="1:17" s="12" customFormat="1" ht="15.75">
      <c r="A62" t="s">
        <v>831</v>
      </c>
      <c r="B62" t="s">
        <v>160</v>
      </c>
      <c r="C62" s="9" t="s">
        <v>1688</v>
      </c>
      <c r="D62">
        <v>1</v>
      </c>
      <c r="E62">
        <v>1</v>
      </c>
      <c r="F62">
        <v>15</v>
      </c>
      <c r="G62">
        <v>143</v>
      </c>
      <c r="H62">
        <v>999</v>
      </c>
      <c r="I62">
        <v>2</v>
      </c>
      <c r="J62">
        <v>999</v>
      </c>
      <c r="K62">
        <v>9</v>
      </c>
      <c r="L62">
        <f>IF((LEFT(Energia!C31,3)="A2 "),2,IF((LEFT(Energia!C31,3)="A3 "),3,IF((LEFT(Energia!C31,3)="A3a"),4,IF((LEFT(Energia!C31,3)="A4 "),5,99))))</f>
        <v>99</v>
      </c>
      <c r="M62">
        <v>9</v>
      </c>
      <c r="N62">
        <v>4</v>
      </c>
      <c r="O62" s="420">
        <f>VALUE(Energia!A31)</f>
        <v>0</v>
      </c>
      <c r="P62" s="233">
        <f t="shared" si="0"/>
        <v>0</v>
      </c>
      <c r="Q62" s="233" t="str">
        <f>Energia!F31</f>
        <v/>
      </c>
    </row>
    <row r="63" spans="1:17" s="12" customFormat="1" ht="15.75">
      <c r="A63" t="s">
        <v>831</v>
      </c>
      <c r="B63" t="s">
        <v>160</v>
      </c>
      <c r="C63" s="9" t="s">
        <v>1688</v>
      </c>
      <c r="D63">
        <v>1</v>
      </c>
      <c r="E63">
        <v>1</v>
      </c>
      <c r="F63">
        <v>15</v>
      </c>
      <c r="G63">
        <v>143</v>
      </c>
      <c r="H63">
        <v>999</v>
      </c>
      <c r="I63">
        <v>2</v>
      </c>
      <c r="J63">
        <v>999</v>
      </c>
      <c r="K63">
        <v>9</v>
      </c>
      <c r="L63">
        <f>IF((LEFT(Energia!C32,3)="A2 "),2,IF((LEFT(Energia!C32,3)="A3 "),3,IF((LEFT(Energia!C32,3)="A3a"),4,IF((LEFT(Energia!C32,3)="A4 "),5,99))))</f>
        <v>99</v>
      </c>
      <c r="M63">
        <v>9</v>
      </c>
      <c r="N63">
        <v>4</v>
      </c>
      <c r="O63" s="420">
        <f>VALUE(Energia!A32)</f>
        <v>0</v>
      </c>
      <c r="P63" s="233">
        <f t="shared" si="0"/>
        <v>0</v>
      </c>
      <c r="Q63" s="233" t="str">
        <f>Energia!F32</f>
        <v/>
      </c>
    </row>
    <row r="64" spans="1:17" s="12" customFormat="1" ht="15.75">
      <c r="A64" t="s">
        <v>831</v>
      </c>
      <c r="B64" t="s">
        <v>1027</v>
      </c>
      <c r="C64" t="s">
        <v>1019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99</v>
      </c>
      <c r="M64">
        <v>9</v>
      </c>
      <c r="N64">
        <v>2</v>
      </c>
      <c r="O64">
        <v>99999</v>
      </c>
      <c r="P64" s="233">
        <f t="shared" ca="1" si="0"/>
        <v>118365.851</v>
      </c>
      <c r="Q64" s="233">
        <f ca="1">FornecimentoE</f>
        <v>118365.851</v>
      </c>
    </row>
    <row r="65" spans="1:17" s="12" customFormat="1" ht="15.75">
      <c r="A65" t="s">
        <v>831</v>
      </c>
      <c r="B65" t="s">
        <v>1027</v>
      </c>
      <c r="C65" t="s">
        <v>1039</v>
      </c>
      <c r="D65">
        <v>1</v>
      </c>
      <c r="E65">
        <v>3</v>
      </c>
      <c r="F65">
        <v>50</v>
      </c>
      <c r="G65">
        <v>51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2</v>
      </c>
      <c r="O65">
        <v>99999</v>
      </c>
      <c r="P65" s="233">
        <f t="shared" ca="1" si="0"/>
        <v>0</v>
      </c>
      <c r="Q65" s="233">
        <f ca="1">SuprimentoE</f>
        <v>0</v>
      </c>
    </row>
    <row r="66" spans="1:17" s="12" customFormat="1" ht="15.75">
      <c r="A66" t="s">
        <v>831</v>
      </c>
      <c r="B66" t="s">
        <v>1027</v>
      </c>
      <c r="C66" t="s">
        <v>1689</v>
      </c>
      <c r="D66">
        <v>1</v>
      </c>
      <c r="E66">
        <v>3</v>
      </c>
      <c r="F66">
        <v>50</v>
      </c>
      <c r="G66">
        <v>52</v>
      </c>
      <c r="H66">
        <v>10</v>
      </c>
      <c r="I66">
        <v>99</v>
      </c>
      <c r="J66">
        <v>999</v>
      </c>
      <c r="K66">
        <v>9</v>
      </c>
      <c r="L66">
        <v>1</v>
      </c>
      <c r="M66">
        <v>9</v>
      </c>
      <c r="N66">
        <v>2</v>
      </c>
      <c r="O66">
        <v>99999</v>
      </c>
      <c r="P66" s="233">
        <f t="shared" ca="1" si="0"/>
        <v>0</v>
      </c>
      <c r="Q66" s="233">
        <f ca="1">LivreE_A1</f>
        <v>0</v>
      </c>
    </row>
    <row r="67" spans="1:17" s="12" customFormat="1" ht="15.75">
      <c r="A67" t="s">
        <v>831</v>
      </c>
      <c r="B67" t="s">
        <v>1027</v>
      </c>
      <c r="C67" t="s">
        <v>1690</v>
      </c>
      <c r="D67">
        <v>1</v>
      </c>
      <c r="E67">
        <v>3</v>
      </c>
      <c r="F67">
        <v>50</v>
      </c>
      <c r="G67">
        <v>52</v>
      </c>
      <c r="H67">
        <v>11</v>
      </c>
      <c r="I67">
        <v>99</v>
      </c>
      <c r="J67">
        <v>999</v>
      </c>
      <c r="K67">
        <v>9</v>
      </c>
      <c r="L67">
        <v>99</v>
      </c>
      <c r="M67">
        <v>9</v>
      </c>
      <c r="N67">
        <v>2</v>
      </c>
      <c r="O67">
        <v>99999</v>
      </c>
      <c r="P67" s="233">
        <f t="shared" ca="1" si="0"/>
        <v>0</v>
      </c>
      <c r="Q67" s="233">
        <f ca="1">Calc_Mercado!C22</f>
        <v>0</v>
      </c>
    </row>
    <row r="68" spans="1:17" s="12" customFormat="1" ht="15.75">
      <c r="A68" t="s">
        <v>831</v>
      </c>
      <c r="B68" t="s">
        <v>1027</v>
      </c>
      <c r="C68" t="s">
        <v>1043</v>
      </c>
      <c r="D68">
        <v>1</v>
      </c>
      <c r="E68">
        <v>3</v>
      </c>
      <c r="F68">
        <v>50</v>
      </c>
      <c r="G68">
        <v>53</v>
      </c>
      <c r="H68">
        <v>999</v>
      </c>
      <c r="I68">
        <v>99</v>
      </c>
      <c r="J68">
        <v>999</v>
      </c>
      <c r="K68">
        <v>9</v>
      </c>
      <c r="L68">
        <v>99</v>
      </c>
      <c r="M68">
        <v>9</v>
      </c>
      <c r="N68">
        <v>2</v>
      </c>
      <c r="O68">
        <v>99999</v>
      </c>
      <c r="P68" s="233">
        <f t="shared" ca="1" si="0"/>
        <v>0</v>
      </c>
      <c r="Q68" s="233">
        <f ca="1">Calc_Mercado!C20</f>
        <v>0</v>
      </c>
    </row>
    <row r="69" spans="1:17" s="12" customFormat="1" ht="15.75">
      <c r="A69" t="s">
        <v>831</v>
      </c>
      <c r="B69" t="s">
        <v>1027</v>
      </c>
      <c r="C69" t="s">
        <v>1691</v>
      </c>
      <c r="D69">
        <v>1</v>
      </c>
      <c r="E69">
        <v>3</v>
      </c>
      <c r="F69">
        <v>50</v>
      </c>
      <c r="G69">
        <v>54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2</v>
      </c>
      <c r="O69">
        <v>99999</v>
      </c>
      <c r="P69" s="233">
        <f t="shared" si="0"/>
        <v>0</v>
      </c>
      <c r="Q69" s="233">
        <f>Calc_Mercado!C21</f>
        <v>0</v>
      </c>
    </row>
    <row r="70" spans="1:17" s="12" customFormat="1" ht="15.75">
      <c r="A70" t="s">
        <v>831</v>
      </c>
      <c r="B70" t="s">
        <v>1027</v>
      </c>
      <c r="C70" t="s">
        <v>1692</v>
      </c>
      <c r="D70">
        <v>1</v>
      </c>
      <c r="E70">
        <v>3</v>
      </c>
      <c r="F70">
        <v>50</v>
      </c>
      <c r="G70">
        <v>50</v>
      </c>
      <c r="H70">
        <v>999</v>
      </c>
      <c r="I70">
        <v>99</v>
      </c>
      <c r="J70">
        <v>999</v>
      </c>
      <c r="K70">
        <v>9</v>
      </c>
      <c r="L70">
        <v>1</v>
      </c>
      <c r="M70">
        <v>9</v>
      </c>
      <c r="N70">
        <v>2</v>
      </c>
      <c r="O70">
        <v>99999</v>
      </c>
      <c r="P70" s="233">
        <f t="shared" ca="1" si="0"/>
        <v>0</v>
      </c>
      <c r="Q70" s="233">
        <f ca="1">FornecimentoE_A1</f>
        <v>0</v>
      </c>
    </row>
    <row r="71" spans="1:17" s="12" customFormat="1" ht="15.75">
      <c r="A71" t="s">
        <v>831</v>
      </c>
      <c r="B71" t="s">
        <v>1027</v>
      </c>
      <c r="C71" t="s">
        <v>1693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2</v>
      </c>
      <c r="M71">
        <v>9</v>
      </c>
      <c r="N71">
        <v>2</v>
      </c>
      <c r="O71">
        <v>99999</v>
      </c>
      <c r="P71" s="233">
        <f t="shared" ca="1" si="0"/>
        <v>0</v>
      </c>
      <c r="Q71" s="233">
        <f ca="1">Calc_Mercado!C10</f>
        <v>0</v>
      </c>
    </row>
    <row r="72" spans="1:17" s="12" customFormat="1" ht="15.75">
      <c r="A72" t="s">
        <v>831</v>
      </c>
      <c r="B72" t="s">
        <v>1027</v>
      </c>
      <c r="C72" t="s">
        <v>1694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3</v>
      </c>
      <c r="M72">
        <v>9</v>
      </c>
      <c r="N72">
        <v>2</v>
      </c>
      <c r="O72">
        <v>99999</v>
      </c>
      <c r="P72" s="233">
        <f t="shared" ca="1" si="0"/>
        <v>0</v>
      </c>
      <c r="Q72" s="233">
        <f ca="1">Calc_Mercado!C11</f>
        <v>0</v>
      </c>
    </row>
    <row r="73" spans="1:17" s="12" customFormat="1" ht="15.75">
      <c r="A73" t="s">
        <v>831</v>
      </c>
      <c r="B73" t="s">
        <v>1027</v>
      </c>
      <c r="C73" t="s">
        <v>1695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4</v>
      </c>
      <c r="M73">
        <v>9</v>
      </c>
      <c r="N73">
        <v>2</v>
      </c>
      <c r="O73">
        <v>99999</v>
      </c>
      <c r="P73" s="233">
        <f t="shared" ca="1" si="0"/>
        <v>0</v>
      </c>
      <c r="Q73" s="233">
        <f ca="1">Calc_Mercado!C12</f>
        <v>0</v>
      </c>
    </row>
    <row r="74" spans="1:17" s="12" customFormat="1" ht="15.75">
      <c r="A74" t="s">
        <v>831</v>
      </c>
      <c r="B74" t="s">
        <v>1027</v>
      </c>
      <c r="C74" t="s">
        <v>1696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5</v>
      </c>
      <c r="M74">
        <v>9</v>
      </c>
      <c r="N74">
        <v>2</v>
      </c>
      <c r="O74">
        <v>99999</v>
      </c>
      <c r="P74" s="233">
        <f t="shared" ca="1" si="0"/>
        <v>29388.723000000016</v>
      </c>
      <c r="Q74" s="233">
        <f ca="1">Calc_Mercado!C13</f>
        <v>29388.723000000016</v>
      </c>
    </row>
    <row r="75" spans="1:17" s="12" customFormat="1" ht="15.75">
      <c r="A75" t="s">
        <v>831</v>
      </c>
      <c r="B75" t="s">
        <v>1027</v>
      </c>
      <c r="C75" t="s">
        <v>1697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6</v>
      </c>
      <c r="M75">
        <v>9</v>
      </c>
      <c r="N75">
        <v>2</v>
      </c>
      <c r="O75">
        <v>99999</v>
      </c>
      <c r="P75" s="233">
        <f t="shared" ca="1" si="0"/>
        <v>0</v>
      </c>
      <c r="Q75" s="233">
        <f ca="1">Calc_Mercado!C14</f>
        <v>0</v>
      </c>
    </row>
    <row r="76" spans="1:17" s="12" customFormat="1" ht="15.75">
      <c r="A76" t="s">
        <v>831</v>
      </c>
      <c r="B76" t="s">
        <v>1027</v>
      </c>
      <c r="C76" t="s">
        <v>1698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21</v>
      </c>
      <c r="M76">
        <v>9</v>
      </c>
      <c r="N76">
        <v>2</v>
      </c>
      <c r="O76">
        <v>99999</v>
      </c>
      <c r="P76" s="233">
        <f t="shared" ref="P76:P146" ca="1" si="4">IF(ISNUMBER(Q76),Q76,0)</f>
        <v>88977.127999999982</v>
      </c>
      <c r="Q76" s="233">
        <f ca="1">FornecimentoE_BT</f>
        <v>88977.127999999982</v>
      </c>
    </row>
    <row r="77" spans="1:17" ht="15.75">
      <c r="A77" t="s">
        <v>831</v>
      </c>
      <c r="B77" t="s">
        <v>1027</v>
      </c>
      <c r="C77" t="s">
        <v>1019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99</v>
      </c>
      <c r="M77">
        <v>9</v>
      </c>
      <c r="N77">
        <v>3</v>
      </c>
      <c r="O77">
        <v>99999</v>
      </c>
      <c r="P77" s="233">
        <f t="shared" ca="1" si="4"/>
        <v>87699305.603659987</v>
      </c>
      <c r="Q77" s="233">
        <f ca="1">Calc_Mercado!D8</f>
        <v>87699305.603659987</v>
      </c>
    </row>
    <row r="78" spans="1:17" ht="15.75">
      <c r="A78" t="s">
        <v>831</v>
      </c>
      <c r="B78" t="s">
        <v>1027</v>
      </c>
      <c r="C78" t="s">
        <v>1039</v>
      </c>
      <c r="D78">
        <v>1</v>
      </c>
      <c r="E78">
        <v>3</v>
      </c>
      <c r="F78">
        <v>50</v>
      </c>
      <c r="G78">
        <v>51</v>
      </c>
      <c r="H78">
        <v>999</v>
      </c>
      <c r="I78">
        <v>99</v>
      </c>
      <c r="J78">
        <v>999</v>
      </c>
      <c r="K78">
        <v>9</v>
      </c>
      <c r="L78">
        <v>99</v>
      </c>
      <c r="M78">
        <v>9</v>
      </c>
      <c r="N78">
        <v>3</v>
      </c>
      <c r="O78">
        <v>99999</v>
      </c>
      <c r="P78" s="233">
        <f t="shared" ca="1" si="4"/>
        <v>0</v>
      </c>
      <c r="Q78" s="233">
        <f ca="1">Calc_Mercado!D17</f>
        <v>0</v>
      </c>
    </row>
    <row r="79" spans="1:17" ht="15.75">
      <c r="A79" t="s">
        <v>831</v>
      </c>
      <c r="B79" t="s">
        <v>1027</v>
      </c>
      <c r="C79" t="s">
        <v>1689</v>
      </c>
      <c r="D79">
        <v>1</v>
      </c>
      <c r="E79">
        <v>3</v>
      </c>
      <c r="F79">
        <v>50</v>
      </c>
      <c r="G79">
        <v>52</v>
      </c>
      <c r="H79">
        <v>10</v>
      </c>
      <c r="I79">
        <v>99</v>
      </c>
      <c r="J79">
        <v>999</v>
      </c>
      <c r="K79">
        <v>9</v>
      </c>
      <c r="L79">
        <v>1</v>
      </c>
      <c r="M79">
        <v>9</v>
      </c>
      <c r="N79">
        <v>3</v>
      </c>
      <c r="O79">
        <v>99999</v>
      </c>
      <c r="P79" s="233">
        <f t="shared" ca="1" si="4"/>
        <v>0</v>
      </c>
      <c r="Q79" s="233">
        <f ca="1">Calc_Mercado!D19</f>
        <v>0</v>
      </c>
    </row>
    <row r="80" spans="1:17" ht="15.75">
      <c r="A80" t="s">
        <v>831</v>
      </c>
      <c r="B80" t="s">
        <v>1027</v>
      </c>
      <c r="C80" t="s">
        <v>1690</v>
      </c>
      <c r="D80">
        <v>1</v>
      </c>
      <c r="E80">
        <v>3</v>
      </c>
      <c r="F80">
        <v>50</v>
      </c>
      <c r="G80">
        <v>52</v>
      </c>
      <c r="H80">
        <v>11</v>
      </c>
      <c r="I80">
        <v>99</v>
      </c>
      <c r="J80">
        <v>999</v>
      </c>
      <c r="K80">
        <v>9</v>
      </c>
      <c r="L80">
        <v>99</v>
      </c>
      <c r="M80">
        <v>9</v>
      </c>
      <c r="N80">
        <v>3</v>
      </c>
      <c r="O80">
        <v>99999</v>
      </c>
      <c r="P80" s="233">
        <f t="shared" ca="1" si="4"/>
        <v>0</v>
      </c>
      <c r="Q80" s="233">
        <f ca="1">Calc_Mercado!D22</f>
        <v>0</v>
      </c>
    </row>
    <row r="81" spans="1:17" ht="15.75">
      <c r="A81" t="s">
        <v>831</v>
      </c>
      <c r="B81" t="s">
        <v>1027</v>
      </c>
      <c r="C81" t="s">
        <v>1043</v>
      </c>
      <c r="D81">
        <v>1</v>
      </c>
      <c r="E81">
        <v>3</v>
      </c>
      <c r="F81">
        <v>50</v>
      </c>
      <c r="G81">
        <v>53</v>
      </c>
      <c r="H81">
        <v>999</v>
      </c>
      <c r="I81">
        <v>99</v>
      </c>
      <c r="J81">
        <v>999</v>
      </c>
      <c r="K81">
        <v>9</v>
      </c>
      <c r="L81">
        <v>99</v>
      </c>
      <c r="M81">
        <v>9</v>
      </c>
      <c r="N81">
        <v>3</v>
      </c>
      <c r="O81">
        <v>99999</v>
      </c>
      <c r="P81" s="233">
        <f t="shared" ca="1" si="4"/>
        <v>0</v>
      </c>
      <c r="Q81" s="233">
        <f ca="1">Calc_Mercado!D20</f>
        <v>0</v>
      </c>
    </row>
    <row r="82" spans="1:17" ht="15.75">
      <c r="A82" t="s">
        <v>831</v>
      </c>
      <c r="B82" t="s">
        <v>1027</v>
      </c>
      <c r="C82" t="s">
        <v>1691</v>
      </c>
      <c r="D82">
        <v>1</v>
      </c>
      <c r="E82">
        <v>3</v>
      </c>
      <c r="F82">
        <v>50</v>
      </c>
      <c r="G82">
        <v>54</v>
      </c>
      <c r="H82">
        <v>999</v>
      </c>
      <c r="I82">
        <v>99</v>
      </c>
      <c r="J82">
        <v>999</v>
      </c>
      <c r="K82">
        <v>9</v>
      </c>
      <c r="L82">
        <v>99</v>
      </c>
      <c r="M82">
        <v>9</v>
      </c>
      <c r="N82">
        <v>3</v>
      </c>
      <c r="O82">
        <v>99999</v>
      </c>
      <c r="P82" s="233">
        <f t="shared" ca="1" si="4"/>
        <v>1016452.8000000002</v>
      </c>
      <c r="Q82" s="233">
        <f ca="1">Calc_Mercado!D21</f>
        <v>1016452.8000000002</v>
      </c>
    </row>
    <row r="83" spans="1:17" ht="15.75">
      <c r="A83" t="s">
        <v>831</v>
      </c>
      <c r="B83" t="s">
        <v>1027</v>
      </c>
      <c r="C83" t="s">
        <v>1692</v>
      </c>
      <c r="D83">
        <v>1</v>
      </c>
      <c r="E83">
        <v>3</v>
      </c>
      <c r="F83">
        <v>50</v>
      </c>
      <c r="G83">
        <v>50</v>
      </c>
      <c r="H83">
        <v>999</v>
      </c>
      <c r="I83">
        <v>99</v>
      </c>
      <c r="J83">
        <v>999</v>
      </c>
      <c r="K83">
        <v>9</v>
      </c>
      <c r="L83">
        <v>1</v>
      </c>
      <c r="M83">
        <v>9</v>
      </c>
      <c r="N83">
        <v>3</v>
      </c>
      <c r="O83">
        <v>99999</v>
      </c>
      <c r="P83" s="233">
        <f t="shared" ca="1" si="4"/>
        <v>0</v>
      </c>
      <c r="Q83" s="233">
        <f ca="1">Calc_Mercado!D9</f>
        <v>0</v>
      </c>
    </row>
    <row r="84" spans="1:17" ht="15.75">
      <c r="A84" t="s">
        <v>831</v>
      </c>
      <c r="B84" t="s">
        <v>1027</v>
      </c>
      <c r="C84" t="s">
        <v>1693</v>
      </c>
      <c r="D84">
        <v>1</v>
      </c>
      <c r="E84">
        <v>3</v>
      </c>
      <c r="F84">
        <v>50</v>
      </c>
      <c r="G84">
        <v>50</v>
      </c>
      <c r="H84">
        <v>999</v>
      </c>
      <c r="I84">
        <v>99</v>
      </c>
      <c r="J84">
        <v>999</v>
      </c>
      <c r="K84">
        <v>9</v>
      </c>
      <c r="L84">
        <v>2</v>
      </c>
      <c r="M84">
        <v>9</v>
      </c>
      <c r="N84">
        <v>3</v>
      </c>
      <c r="O84">
        <v>99999</v>
      </c>
      <c r="P84" s="233">
        <f t="shared" ca="1" si="4"/>
        <v>0</v>
      </c>
      <c r="Q84" s="233">
        <f ca="1">Calc_Mercado!D10</f>
        <v>0</v>
      </c>
    </row>
    <row r="85" spans="1:17" ht="15.75">
      <c r="A85" t="s">
        <v>831</v>
      </c>
      <c r="B85" t="s">
        <v>1027</v>
      </c>
      <c r="C85" t="s">
        <v>1694</v>
      </c>
      <c r="D85">
        <v>1</v>
      </c>
      <c r="E85">
        <v>3</v>
      </c>
      <c r="F85">
        <v>50</v>
      </c>
      <c r="G85">
        <v>50</v>
      </c>
      <c r="H85">
        <v>999</v>
      </c>
      <c r="I85">
        <v>99</v>
      </c>
      <c r="J85">
        <v>999</v>
      </c>
      <c r="K85">
        <v>9</v>
      </c>
      <c r="L85">
        <v>3</v>
      </c>
      <c r="M85">
        <v>9</v>
      </c>
      <c r="N85">
        <v>3</v>
      </c>
      <c r="O85">
        <v>99999</v>
      </c>
      <c r="P85" s="233">
        <f t="shared" ca="1" si="4"/>
        <v>0</v>
      </c>
      <c r="Q85" s="233">
        <f ca="1">Calc_Mercado!D11</f>
        <v>0</v>
      </c>
    </row>
    <row r="86" spans="1:17" ht="15.75">
      <c r="A86" t="s">
        <v>831</v>
      </c>
      <c r="B86" t="s">
        <v>1027</v>
      </c>
      <c r="C86" t="s">
        <v>1695</v>
      </c>
      <c r="D86">
        <v>1</v>
      </c>
      <c r="E86">
        <v>3</v>
      </c>
      <c r="F86">
        <v>50</v>
      </c>
      <c r="G86">
        <v>50</v>
      </c>
      <c r="H86">
        <v>999</v>
      </c>
      <c r="I86">
        <v>99</v>
      </c>
      <c r="J86">
        <v>999</v>
      </c>
      <c r="K86">
        <v>9</v>
      </c>
      <c r="L86">
        <v>4</v>
      </c>
      <c r="M86">
        <v>9</v>
      </c>
      <c r="N86">
        <v>3</v>
      </c>
      <c r="O86">
        <v>99999</v>
      </c>
      <c r="P86" s="233">
        <f t="shared" ca="1" si="4"/>
        <v>0</v>
      </c>
      <c r="Q86" s="233">
        <f ca="1">Calc_Mercado!D12</f>
        <v>0</v>
      </c>
    </row>
    <row r="87" spans="1:17" ht="15.75">
      <c r="A87" t="s">
        <v>831</v>
      </c>
      <c r="B87" t="s">
        <v>1027</v>
      </c>
      <c r="C87" t="s">
        <v>1696</v>
      </c>
      <c r="D87">
        <v>1</v>
      </c>
      <c r="E87">
        <v>3</v>
      </c>
      <c r="F87">
        <v>50</v>
      </c>
      <c r="G87">
        <v>50</v>
      </c>
      <c r="H87">
        <v>999</v>
      </c>
      <c r="I87">
        <v>99</v>
      </c>
      <c r="J87">
        <v>999</v>
      </c>
      <c r="K87">
        <v>9</v>
      </c>
      <c r="L87">
        <v>5</v>
      </c>
      <c r="M87">
        <v>9</v>
      </c>
      <c r="N87">
        <v>3</v>
      </c>
      <c r="O87">
        <v>99999</v>
      </c>
      <c r="P87" s="233">
        <f t="shared" ca="1" si="4"/>
        <v>18258442.11115</v>
      </c>
      <c r="Q87" s="233">
        <f ca="1">Calc_Mercado!D13</f>
        <v>18258442.11115</v>
      </c>
    </row>
    <row r="88" spans="1:17" ht="15.75">
      <c r="A88" t="s">
        <v>831</v>
      </c>
      <c r="B88" t="s">
        <v>1027</v>
      </c>
      <c r="C88" t="s">
        <v>1697</v>
      </c>
      <c r="D88">
        <v>1</v>
      </c>
      <c r="E88">
        <v>3</v>
      </c>
      <c r="F88">
        <v>50</v>
      </c>
      <c r="G88">
        <v>50</v>
      </c>
      <c r="H88">
        <v>999</v>
      </c>
      <c r="I88">
        <v>99</v>
      </c>
      <c r="J88">
        <v>999</v>
      </c>
      <c r="K88">
        <v>9</v>
      </c>
      <c r="L88">
        <v>6</v>
      </c>
      <c r="M88">
        <v>9</v>
      </c>
      <c r="N88">
        <v>3</v>
      </c>
      <c r="O88">
        <v>99999</v>
      </c>
      <c r="P88" s="233">
        <f t="shared" ca="1" si="4"/>
        <v>0</v>
      </c>
      <c r="Q88" s="233">
        <f ca="1">Calc_Mercado!D14</f>
        <v>0</v>
      </c>
    </row>
    <row r="89" spans="1:17" ht="15.75">
      <c r="A89" t="s">
        <v>831</v>
      </c>
      <c r="B89" t="s">
        <v>1027</v>
      </c>
      <c r="C89" t="s">
        <v>1698</v>
      </c>
      <c r="D89">
        <v>1</v>
      </c>
      <c r="E89">
        <v>3</v>
      </c>
      <c r="F89">
        <v>50</v>
      </c>
      <c r="G89">
        <v>50</v>
      </c>
      <c r="H89">
        <v>999</v>
      </c>
      <c r="I89">
        <v>99</v>
      </c>
      <c r="J89">
        <v>999</v>
      </c>
      <c r="K89">
        <v>9</v>
      </c>
      <c r="L89">
        <v>21</v>
      </c>
      <c r="M89">
        <v>9</v>
      </c>
      <c r="N89">
        <v>3</v>
      </c>
      <c r="O89">
        <v>99999</v>
      </c>
      <c r="P89" s="233">
        <f t="shared" ca="1" si="4"/>
        <v>69440863.492509991</v>
      </c>
      <c r="Q89" s="233">
        <f ca="1">Calc_Mercado!D15</f>
        <v>69440863.492509991</v>
      </c>
    </row>
    <row r="90" spans="1:17" ht="15.75">
      <c r="A90" t="s">
        <v>831</v>
      </c>
      <c r="B90" t="s">
        <v>1027</v>
      </c>
      <c r="C90" t="s">
        <v>1699</v>
      </c>
      <c r="D90">
        <v>1</v>
      </c>
      <c r="E90">
        <v>1</v>
      </c>
      <c r="F90">
        <v>15</v>
      </c>
      <c r="G90">
        <v>17</v>
      </c>
      <c r="H90">
        <v>999</v>
      </c>
      <c r="I90">
        <v>4</v>
      </c>
      <c r="J90">
        <v>999</v>
      </c>
      <c r="K90">
        <v>9</v>
      </c>
      <c r="L90">
        <v>99</v>
      </c>
      <c r="M90">
        <v>9</v>
      </c>
      <c r="N90">
        <v>4</v>
      </c>
      <c r="O90">
        <v>99999</v>
      </c>
      <c r="P90" s="248">
        <f>IF(ISNUMBER(Q90),Q90,0)</f>
        <v>0</v>
      </c>
      <c r="Q90" s="233">
        <f>CAPA!H43</f>
        <v>0</v>
      </c>
    </row>
    <row r="91" spans="1:17" ht="15.75">
      <c r="A91" t="s">
        <v>834</v>
      </c>
      <c r="B91" t="s">
        <v>1027</v>
      </c>
      <c r="C91" s="9" t="s">
        <v>1700</v>
      </c>
      <c r="D91">
        <v>1</v>
      </c>
      <c r="E91">
        <v>1</v>
      </c>
      <c r="F91">
        <v>15</v>
      </c>
      <c r="G91">
        <v>19</v>
      </c>
      <c r="H91">
        <v>999</v>
      </c>
      <c r="I91">
        <v>4</v>
      </c>
      <c r="J91">
        <v>999</v>
      </c>
      <c r="K91">
        <v>9</v>
      </c>
      <c r="L91">
        <v>99</v>
      </c>
      <c r="M91">
        <v>9</v>
      </c>
      <c r="N91">
        <v>4</v>
      </c>
      <c r="O91">
        <v>99999</v>
      </c>
      <c r="P91" s="248">
        <f>IF(ISNUMBER(Q91),Q91,0)</f>
        <v>0</v>
      </c>
      <c r="Q91" s="233">
        <f>CAPA!H42</f>
        <v>0</v>
      </c>
    </row>
    <row r="92" spans="1:17" ht="15.75">
      <c r="A92" t="s">
        <v>831</v>
      </c>
      <c r="B92" t="s">
        <v>1027</v>
      </c>
      <c r="C92" t="s">
        <v>1701</v>
      </c>
      <c r="D92">
        <v>1</v>
      </c>
      <c r="E92">
        <v>1</v>
      </c>
      <c r="F92">
        <v>51</v>
      </c>
      <c r="G92">
        <v>999999</v>
      </c>
      <c r="H92">
        <v>999</v>
      </c>
      <c r="I92">
        <v>2</v>
      </c>
      <c r="J92">
        <v>11</v>
      </c>
      <c r="K92">
        <v>2</v>
      </c>
      <c r="L92">
        <v>99</v>
      </c>
      <c r="M92">
        <v>9</v>
      </c>
      <c r="N92">
        <v>2</v>
      </c>
      <c r="O92">
        <v>99999</v>
      </c>
      <c r="P92" s="233">
        <f t="shared" ca="1" si="4"/>
        <v>118365.851</v>
      </c>
      <c r="Q92" s="233">
        <f ca="1">LnkTXTEV</f>
        <v>118365.851</v>
      </c>
    </row>
    <row r="93" spans="1:17" ht="15.75">
      <c r="A93" t="s">
        <v>831</v>
      </c>
      <c r="B93" t="s">
        <v>84</v>
      </c>
      <c r="C93" t="s">
        <v>1702</v>
      </c>
      <c r="D93">
        <v>2</v>
      </c>
      <c r="E93">
        <v>1</v>
      </c>
      <c r="F93">
        <v>51</v>
      </c>
      <c r="G93">
        <v>101</v>
      </c>
      <c r="H93">
        <v>999</v>
      </c>
      <c r="I93">
        <v>4</v>
      </c>
      <c r="J93">
        <v>999</v>
      </c>
      <c r="K93">
        <v>1</v>
      </c>
      <c r="L93">
        <v>99</v>
      </c>
      <c r="M93">
        <v>1</v>
      </c>
      <c r="N93">
        <v>3</v>
      </c>
      <c r="O93">
        <v>99999</v>
      </c>
      <c r="P93" s="233">
        <f t="shared" si="4"/>
        <v>51369456.980000004</v>
      </c>
      <c r="Q93" s="233">
        <f>Resultado!D39</f>
        <v>51369456.980000004</v>
      </c>
    </row>
    <row r="94" spans="1:17" ht="15.75">
      <c r="A94" s="1556" t="s">
        <v>1703</v>
      </c>
      <c r="B94" s="1556" t="s">
        <v>1703</v>
      </c>
      <c r="C94" s="1556" t="s">
        <v>1703</v>
      </c>
      <c r="D94" s="1556">
        <v>99</v>
      </c>
      <c r="E94" s="1556">
        <v>99</v>
      </c>
      <c r="F94" s="1556">
        <v>999</v>
      </c>
      <c r="G94" s="1556">
        <v>999999</v>
      </c>
      <c r="H94" s="1556">
        <v>999</v>
      </c>
      <c r="I94" s="1556">
        <v>99</v>
      </c>
      <c r="J94" s="1556">
        <v>999</v>
      </c>
      <c r="K94" s="1556">
        <v>9</v>
      </c>
      <c r="L94" s="1556">
        <v>99</v>
      </c>
      <c r="M94" s="1556">
        <v>9</v>
      </c>
      <c r="N94" s="1556">
        <v>99</v>
      </c>
      <c r="O94" s="1556">
        <v>99999</v>
      </c>
      <c r="P94" s="401">
        <f t="shared" si="4"/>
        <v>0</v>
      </c>
      <c r="Q94" s="401">
        <v>0</v>
      </c>
    </row>
    <row r="95" spans="1:17" ht="15.75">
      <c r="A95" t="s">
        <v>831</v>
      </c>
      <c r="B95" t="s">
        <v>1454</v>
      </c>
      <c r="C95" t="str">
        <f>Financeiros!C10</f>
        <v>Repasse de PIS COFINS CUSD</v>
      </c>
      <c r="D95">
        <v>2</v>
      </c>
      <c r="E95">
        <v>2</v>
      </c>
      <c r="F95">
        <f>Financeiros!F10</f>
        <v>22</v>
      </c>
      <c r="G95">
        <f>Financeiros!G10</f>
        <v>60</v>
      </c>
      <c r="H95">
        <f>Financeiros!H10</f>
        <v>999</v>
      </c>
      <c r="I95">
        <f>Financeiros!I10</f>
        <v>1</v>
      </c>
      <c r="J95">
        <f>Financeiros!J10</f>
        <v>7</v>
      </c>
      <c r="K95">
        <f>Financeiros!K10</f>
        <v>9</v>
      </c>
      <c r="L95">
        <v>99</v>
      </c>
      <c r="M95">
        <v>9</v>
      </c>
      <c r="N95">
        <v>3</v>
      </c>
      <c r="O95">
        <v>99999</v>
      </c>
      <c r="P95" s="233">
        <f t="shared" si="4"/>
        <v>847501.2864241905</v>
      </c>
      <c r="Q95" s="233">
        <f>Financeiros!D10</f>
        <v>847501.2864241905</v>
      </c>
    </row>
    <row r="96" spans="1:17" ht="15.75">
      <c r="A96" t="s">
        <v>831</v>
      </c>
      <c r="B96" t="s">
        <v>1454</v>
      </c>
      <c r="C96" t="str">
        <f>Financeiros!C11</f>
        <v>Repasse de PIS COFINS TE</v>
      </c>
      <c r="D96">
        <v>2</v>
      </c>
      <c r="E96">
        <v>2</v>
      </c>
      <c r="F96">
        <f>Financeiros!F11</f>
        <v>22</v>
      </c>
      <c r="G96">
        <f>Financeiros!G11</f>
        <v>60</v>
      </c>
      <c r="H96">
        <f>Financeiros!H11</f>
        <v>999</v>
      </c>
      <c r="I96">
        <f>Financeiros!I11</f>
        <v>2</v>
      </c>
      <c r="J96">
        <f>Financeiros!J11</f>
        <v>30</v>
      </c>
      <c r="K96">
        <f>Financeiros!K11</f>
        <v>9</v>
      </c>
      <c r="L96">
        <v>99</v>
      </c>
      <c r="M96">
        <v>9</v>
      </c>
      <c r="N96">
        <v>3</v>
      </c>
      <c r="O96">
        <v>99999</v>
      </c>
      <c r="P96" s="233">
        <f t="shared" si="4"/>
        <v>162787.79631612214</v>
      </c>
      <c r="Q96" s="233">
        <f>Financeiros!D11</f>
        <v>162787.79631612214</v>
      </c>
    </row>
    <row r="97" spans="1:17" ht="15.75">
      <c r="A97" t="s">
        <v>831</v>
      </c>
      <c r="B97" t="s">
        <v>1454</v>
      </c>
      <c r="C97" t="str">
        <f>Financeiros!C12</f>
        <v>(Neutralidade) TFSEE</v>
      </c>
      <c r="D97">
        <v>2</v>
      </c>
      <c r="E97">
        <v>2</v>
      </c>
      <c r="F97">
        <f>Financeiros!F12</f>
        <v>20</v>
      </c>
      <c r="G97">
        <f>Financeiros!G12</f>
        <v>60</v>
      </c>
      <c r="H97">
        <f>Financeiros!H12</f>
        <v>20</v>
      </c>
      <c r="I97">
        <f>Financeiros!I12</f>
        <v>3</v>
      </c>
      <c r="J97">
        <f>Financeiros!J12</f>
        <v>14</v>
      </c>
      <c r="K97">
        <f>Financeiros!K12</f>
        <v>9</v>
      </c>
      <c r="L97">
        <v>99</v>
      </c>
      <c r="M97">
        <v>9</v>
      </c>
      <c r="N97">
        <v>3</v>
      </c>
      <c r="O97">
        <v>99999</v>
      </c>
      <c r="P97" s="233">
        <f t="shared" ca="1" si="4"/>
        <v>-8947.221443523038</v>
      </c>
      <c r="Q97" s="233">
        <f ca="1">Financeiros!D12</f>
        <v>-8947.221443523038</v>
      </c>
    </row>
    <row r="98" spans="1:17" ht="15.75">
      <c r="A98" t="s">
        <v>831</v>
      </c>
      <c r="B98" t="s">
        <v>1454</v>
      </c>
      <c r="C98" t="str">
        <f>Financeiros!C13</f>
        <v>(Neutralidade) CDE</v>
      </c>
      <c r="D98">
        <v>2</v>
      </c>
      <c r="E98">
        <v>2</v>
      </c>
      <c r="F98">
        <f>Financeiros!F13</f>
        <v>20</v>
      </c>
      <c r="G98">
        <f>Financeiros!G13</f>
        <v>60</v>
      </c>
      <c r="H98">
        <f>Financeiros!H13</f>
        <v>20</v>
      </c>
      <c r="I98">
        <f>Financeiros!I13</f>
        <v>3</v>
      </c>
      <c r="J98">
        <f>Financeiros!J13</f>
        <v>15</v>
      </c>
      <c r="K98">
        <f>Financeiros!K13</f>
        <v>9</v>
      </c>
      <c r="L98">
        <v>99</v>
      </c>
      <c r="M98">
        <v>9</v>
      </c>
      <c r="N98">
        <v>3</v>
      </c>
      <c r="O98">
        <v>99999</v>
      </c>
      <c r="P98" s="233">
        <f t="shared" ca="1" si="4"/>
        <v>-263286.35424400494</v>
      </c>
      <c r="Q98" s="233">
        <f ca="1">Financeiros!D13</f>
        <v>-263286.35424400494</v>
      </c>
    </row>
    <row r="99" spans="1:17" ht="15.75">
      <c r="A99" t="s">
        <v>831</v>
      </c>
      <c r="B99" t="s">
        <v>1454</v>
      </c>
      <c r="C99" t="str">
        <f>Financeiros!C14</f>
        <v>(Neutralidade) CFURH</v>
      </c>
      <c r="D99">
        <v>2</v>
      </c>
      <c r="E99">
        <v>2</v>
      </c>
      <c r="F99">
        <f>Financeiros!F14</f>
        <v>20</v>
      </c>
      <c r="G99">
        <f>Financeiros!G14</f>
        <v>60</v>
      </c>
      <c r="H99">
        <f>Financeiros!H14</f>
        <v>20</v>
      </c>
      <c r="I99">
        <f>Financeiros!I14</f>
        <v>3</v>
      </c>
      <c r="J99">
        <f>Financeiros!J14</f>
        <v>16</v>
      </c>
      <c r="K99">
        <f>Financeiros!K14</f>
        <v>9</v>
      </c>
      <c r="L99">
        <v>99</v>
      </c>
      <c r="M99">
        <v>9</v>
      </c>
      <c r="N99">
        <v>3</v>
      </c>
      <c r="O99">
        <v>99999</v>
      </c>
      <c r="P99" s="233">
        <f t="shared" si="4"/>
        <v>0</v>
      </c>
      <c r="Q99" s="233">
        <f>Financeiros!D14</f>
        <v>0</v>
      </c>
    </row>
    <row r="100" spans="1:17" ht="15.75">
      <c r="A100" t="s">
        <v>831</v>
      </c>
      <c r="B100" t="s">
        <v>1454</v>
      </c>
      <c r="C100" t="str">
        <f>Financeiros!C15</f>
        <v>(Neutralidade) ESS/EER</v>
      </c>
      <c r="D100">
        <v>2</v>
      </c>
      <c r="E100">
        <v>2</v>
      </c>
      <c r="F100">
        <f>Financeiros!F15</f>
        <v>20</v>
      </c>
      <c r="G100">
        <f>Financeiros!G15</f>
        <v>60</v>
      </c>
      <c r="H100">
        <f>Financeiros!H15</f>
        <v>20</v>
      </c>
      <c r="I100">
        <f>Financeiros!I15</f>
        <v>3</v>
      </c>
      <c r="J100">
        <f>Financeiros!J15</f>
        <v>17</v>
      </c>
      <c r="K100">
        <f>Financeiros!K15</f>
        <v>9</v>
      </c>
      <c r="L100">
        <v>99</v>
      </c>
      <c r="M100">
        <v>9</v>
      </c>
      <c r="N100">
        <v>3</v>
      </c>
      <c r="O100">
        <v>99999</v>
      </c>
      <c r="P100" s="233">
        <f t="shared" ca="1" si="4"/>
        <v>-26602.52717679783</v>
      </c>
      <c r="Q100" s="233">
        <f ca="1">Financeiros!D15</f>
        <v>-26602.52717679783</v>
      </c>
    </row>
    <row r="101" spans="1:17" ht="15.75">
      <c r="A101" t="s">
        <v>831</v>
      </c>
      <c r="B101" t="s">
        <v>1454</v>
      </c>
      <c r="C101" t="str">
        <f>Financeiros!C16</f>
        <v>(Neutralidade) PROINFA</v>
      </c>
      <c r="D101">
        <v>2</v>
      </c>
      <c r="E101">
        <v>2</v>
      </c>
      <c r="F101">
        <f>Financeiros!F16</f>
        <v>20</v>
      </c>
      <c r="G101">
        <f>Financeiros!G16</f>
        <v>60</v>
      </c>
      <c r="H101">
        <f>Financeiros!H16</f>
        <v>20</v>
      </c>
      <c r="I101">
        <f>Financeiros!I16</f>
        <v>3</v>
      </c>
      <c r="J101">
        <f>Financeiros!J16</f>
        <v>18</v>
      </c>
      <c r="K101">
        <f>Financeiros!K16</f>
        <v>9</v>
      </c>
      <c r="L101">
        <v>99</v>
      </c>
      <c r="M101">
        <v>9</v>
      </c>
      <c r="N101">
        <v>3</v>
      </c>
      <c r="O101">
        <v>99999</v>
      </c>
      <c r="P101" s="233">
        <f t="shared" ca="1" si="4"/>
        <v>-42827.163872346617</v>
      </c>
      <c r="Q101" s="233">
        <f ca="1">Financeiros!D16</f>
        <v>-42827.163872346617</v>
      </c>
    </row>
    <row r="102" spans="1:17" ht="15.75">
      <c r="A102" t="s">
        <v>831</v>
      </c>
      <c r="B102" t="s">
        <v>1454</v>
      </c>
      <c r="C102" t="str">
        <f>Financeiros!C17</f>
        <v>(Neutralidade) P&amp;D e PEE</v>
      </c>
      <c r="D102">
        <v>2</v>
      </c>
      <c r="E102">
        <v>2</v>
      </c>
      <c r="F102">
        <f>Financeiros!F17</f>
        <v>20</v>
      </c>
      <c r="G102">
        <f>Financeiros!G17</f>
        <v>60</v>
      </c>
      <c r="H102">
        <f>Financeiros!H17</f>
        <v>20</v>
      </c>
      <c r="I102">
        <f>Financeiros!I17</f>
        <v>3</v>
      </c>
      <c r="J102">
        <f>Financeiros!J17</f>
        <v>19</v>
      </c>
      <c r="K102">
        <f>Financeiros!K17</f>
        <v>9</v>
      </c>
      <c r="L102">
        <v>99</v>
      </c>
      <c r="M102">
        <v>9</v>
      </c>
      <c r="N102">
        <v>3</v>
      </c>
      <c r="O102">
        <v>99999</v>
      </c>
      <c r="P102" s="233">
        <f t="shared" si="4"/>
        <v>0</v>
      </c>
      <c r="Q102" s="233">
        <f>Financeiros!D17</f>
        <v>0</v>
      </c>
    </row>
    <row r="103" spans="1:17" ht="15.75">
      <c r="A103" t="s">
        <v>831</v>
      </c>
      <c r="B103" t="s">
        <v>1454</v>
      </c>
      <c r="C103" t="str">
        <f>Financeiros!C18</f>
        <v>(Neutralidade) conta covid-19</v>
      </c>
      <c r="D103">
        <v>2</v>
      </c>
      <c r="E103">
        <v>2</v>
      </c>
      <c r="F103">
        <f>Financeiros!F18</f>
        <v>20</v>
      </c>
      <c r="G103">
        <f>Financeiros!G18</f>
        <v>60</v>
      </c>
      <c r="H103">
        <f>Financeiros!H18</f>
        <v>73</v>
      </c>
      <c r="I103">
        <f>Financeiros!I18</f>
        <v>3</v>
      </c>
      <c r="J103">
        <f>Financeiros!J18</f>
        <v>12</v>
      </c>
      <c r="K103">
        <f>Financeiros!K18</f>
        <v>9</v>
      </c>
      <c r="L103">
        <v>99</v>
      </c>
      <c r="M103">
        <v>9</v>
      </c>
      <c r="N103">
        <v>3</v>
      </c>
      <c r="O103">
        <v>99999</v>
      </c>
      <c r="P103" s="233">
        <f t="shared" ca="1" si="4"/>
        <v>-124714.0385527766</v>
      </c>
      <c r="Q103" s="233">
        <f ca="1">Financeiros!D18</f>
        <v>-124714.0385527766</v>
      </c>
    </row>
    <row r="104" spans="1:17" ht="15.75">
      <c r="A104" t="s">
        <v>831</v>
      </c>
      <c r="B104" t="s">
        <v>1454</v>
      </c>
      <c r="C104" t="str">
        <f>Financeiros!C19</f>
        <v>(Neutralidade)Financeiro Covid</v>
      </c>
      <c r="D104">
        <v>2</v>
      </c>
      <c r="E104">
        <v>2</v>
      </c>
      <c r="F104">
        <f>Financeiros!F19</f>
        <v>20</v>
      </c>
      <c r="G104">
        <f>Financeiros!G19</f>
        <v>60</v>
      </c>
      <c r="H104">
        <f>Financeiros!H19</f>
        <v>235</v>
      </c>
      <c r="I104">
        <f>Financeiros!I19</f>
        <v>4</v>
      </c>
      <c r="J104">
        <f>Financeiros!J19</f>
        <v>999</v>
      </c>
      <c r="K104">
        <f>Financeiros!K19</f>
        <v>9</v>
      </c>
      <c r="L104">
        <v>99</v>
      </c>
      <c r="M104">
        <v>9</v>
      </c>
      <c r="N104">
        <v>3</v>
      </c>
      <c r="O104">
        <v>99999</v>
      </c>
      <c r="P104" s="233">
        <f t="shared" ref="P104:P105" ca="1" si="5">IF(ISNUMBER(Q104),Q104,0)</f>
        <v>111736.66355229073</v>
      </c>
      <c r="Q104" s="233">
        <f ca="1">Financeiros!D19</f>
        <v>111736.66355229073</v>
      </c>
    </row>
    <row r="105" spans="1:17" ht="15.75">
      <c r="A105" t="s">
        <v>831</v>
      </c>
      <c r="B105" t="s">
        <v>1454</v>
      </c>
      <c r="C105" t="str">
        <f>Financeiros!C20</f>
        <v>(Neutralidade)Crédito Pis Cofins</v>
      </c>
      <c r="D105">
        <v>2</v>
      </c>
      <c r="E105">
        <v>2</v>
      </c>
      <c r="F105">
        <f>Financeiros!F20</f>
        <v>20</v>
      </c>
      <c r="G105">
        <f>Financeiros!G20</f>
        <v>60</v>
      </c>
      <c r="H105">
        <f>Financeiros!H20</f>
        <v>179</v>
      </c>
      <c r="I105">
        <f>Financeiros!I20</f>
        <v>99</v>
      </c>
      <c r="J105">
        <f>Financeiros!J20</f>
        <v>999</v>
      </c>
      <c r="K105">
        <f>Financeiros!K20</f>
        <v>3</v>
      </c>
      <c r="L105">
        <v>99</v>
      </c>
      <c r="M105">
        <v>9</v>
      </c>
      <c r="N105">
        <v>3</v>
      </c>
      <c r="O105">
        <v>99999</v>
      </c>
      <c r="P105" s="233">
        <f t="shared" ca="1" si="5"/>
        <v>62764.5567162558</v>
      </c>
      <c r="Q105" s="233">
        <f ca="1">Financeiros!D20</f>
        <v>62764.5567162558</v>
      </c>
    </row>
    <row r="106" spans="1:17" ht="15.75">
      <c r="A106" t="s">
        <v>831</v>
      </c>
      <c r="B106" t="s">
        <v>1454</v>
      </c>
      <c r="C106" t="str">
        <f>Financeiros!C21</f>
        <v>Ajuste CUST RB + PIS Cofins RB</v>
      </c>
      <c r="D106">
        <v>2</v>
      </c>
      <c r="E106">
        <v>2</v>
      </c>
      <c r="F106">
        <f>Financeiros!F21</f>
        <v>22</v>
      </c>
      <c r="G106">
        <f>Financeiros!G21</f>
        <v>60</v>
      </c>
      <c r="H106">
        <f>Financeiros!H21</f>
        <v>999</v>
      </c>
      <c r="I106">
        <f>Financeiros!I21</f>
        <v>1</v>
      </c>
      <c r="J106">
        <f>Financeiros!J21</f>
        <v>1</v>
      </c>
      <c r="K106">
        <f>Financeiros!K21</f>
        <v>9</v>
      </c>
      <c r="L106">
        <v>99</v>
      </c>
      <c r="M106">
        <v>9</v>
      </c>
      <c r="N106">
        <v>3</v>
      </c>
      <c r="O106">
        <v>99999</v>
      </c>
      <c r="P106" s="233">
        <f t="shared" si="4"/>
        <v>0</v>
      </c>
      <c r="Q106" s="233">
        <f>Financeiros!D21</f>
        <v>0</v>
      </c>
    </row>
    <row r="107" spans="1:17" ht="15.75">
      <c r="A107" t="s">
        <v>831</v>
      </c>
      <c r="B107" t="s">
        <v>1454</v>
      </c>
      <c r="C107" t="str">
        <f>Financeiros!C22</f>
        <v>Ajuste CUST RB Fronteira + PIS Cofins RB Fronteira</v>
      </c>
      <c r="D107">
        <v>2</v>
      </c>
      <c r="E107">
        <v>2</v>
      </c>
      <c r="F107">
        <f>Financeiros!F22</f>
        <v>22</v>
      </c>
      <c r="G107">
        <f>Financeiros!G22</f>
        <v>60</v>
      </c>
      <c r="H107">
        <f>Financeiros!H22</f>
        <v>999</v>
      </c>
      <c r="I107">
        <f>Financeiros!I22</f>
        <v>1</v>
      </c>
      <c r="J107">
        <f>Financeiros!J22</f>
        <v>2</v>
      </c>
      <c r="K107">
        <f>Financeiros!K22</f>
        <v>9</v>
      </c>
      <c r="L107">
        <v>99</v>
      </c>
      <c r="M107">
        <v>9</v>
      </c>
      <c r="N107">
        <v>3</v>
      </c>
      <c r="O107">
        <v>99999</v>
      </c>
      <c r="P107" s="233">
        <f t="shared" si="4"/>
        <v>0</v>
      </c>
      <c r="Q107" s="233">
        <f>Financeiros!D22</f>
        <v>0</v>
      </c>
    </row>
    <row r="108" spans="1:17" ht="15.75">
      <c r="A108" t="s">
        <v>831</v>
      </c>
      <c r="B108" t="s">
        <v>1454</v>
      </c>
      <c r="C108" t="str">
        <f>Financeiros!C23</f>
        <v>Manual de Contabilidade do Setor Elétrico</v>
      </c>
      <c r="D108">
        <v>2</v>
      </c>
      <c r="E108">
        <v>2</v>
      </c>
      <c r="F108">
        <f>Financeiros!F23</f>
        <v>22</v>
      </c>
      <c r="G108">
        <f>Financeiros!G23</f>
        <v>60</v>
      </c>
      <c r="H108">
        <f>Financeiros!H23</f>
        <v>167</v>
      </c>
      <c r="I108">
        <f>Financeiros!I23</f>
        <v>4</v>
      </c>
      <c r="J108">
        <f>Financeiros!J23</f>
        <v>999</v>
      </c>
      <c r="K108">
        <f>Financeiros!K23</f>
        <v>9</v>
      </c>
      <c r="L108">
        <v>99</v>
      </c>
      <c r="M108">
        <v>9</v>
      </c>
      <c r="N108">
        <v>3</v>
      </c>
      <c r="O108">
        <v>99999</v>
      </c>
      <c r="P108" s="233">
        <f t="shared" si="4"/>
        <v>0</v>
      </c>
      <c r="Q108" s="233">
        <f>Financeiros!D23</f>
        <v>0</v>
      </c>
    </row>
    <row r="109" spans="1:17" ht="15.75">
      <c r="A109" t="s">
        <v>831</v>
      </c>
      <c r="B109" t="s">
        <v>1454</v>
      </c>
      <c r="C109" t="str">
        <f>Financeiros!C24</f>
        <v>Financeiro CDE Eletrobras</v>
      </c>
      <c r="D109">
        <v>2</v>
      </c>
      <c r="E109">
        <v>2</v>
      </c>
      <c r="F109">
        <f>Financeiros!F24</f>
        <v>22</v>
      </c>
      <c r="G109">
        <f>Financeiros!G24</f>
        <v>60</v>
      </c>
      <c r="H109">
        <f>Financeiros!H24</f>
        <v>999</v>
      </c>
      <c r="I109">
        <f>Financeiros!I24</f>
        <v>3</v>
      </c>
      <c r="J109">
        <f>Financeiros!J24</f>
        <v>28</v>
      </c>
      <c r="K109">
        <f>Financeiros!K24</f>
        <v>9</v>
      </c>
      <c r="L109">
        <v>99</v>
      </c>
      <c r="M109">
        <v>9</v>
      </c>
      <c r="N109">
        <v>3</v>
      </c>
      <c r="O109">
        <v>99999</v>
      </c>
      <c r="P109" s="233">
        <f t="shared" si="4"/>
        <v>0</v>
      </c>
      <c r="Q109" s="233">
        <f>Financeiros!D24</f>
        <v>0</v>
      </c>
    </row>
    <row r="110" spans="1:17" ht="15.75">
      <c r="A110" t="s">
        <v>831</v>
      </c>
      <c r="B110" t="s">
        <v>1454</v>
      </c>
      <c r="C110" t="str">
        <f>Financeiros!C25</f>
        <v>Ajustes Processos anteriores</v>
      </c>
      <c r="D110">
        <v>2</v>
      </c>
      <c r="E110">
        <v>2</v>
      </c>
      <c r="F110">
        <f>Financeiros!F25</f>
        <v>22</v>
      </c>
      <c r="G110">
        <f>Financeiros!G25</f>
        <v>60</v>
      </c>
      <c r="H110">
        <f>Financeiros!H25</f>
        <v>999</v>
      </c>
      <c r="I110">
        <f>Financeiros!I25</f>
        <v>2</v>
      </c>
      <c r="J110">
        <f>Financeiros!J25</f>
        <v>30</v>
      </c>
      <c r="K110">
        <f>Financeiros!K25</f>
        <v>9</v>
      </c>
      <c r="L110">
        <v>99</v>
      </c>
      <c r="M110">
        <v>9</v>
      </c>
      <c r="N110">
        <v>3</v>
      </c>
      <c r="O110">
        <v>99999</v>
      </c>
      <c r="P110" s="233">
        <f t="shared" si="4"/>
        <v>0</v>
      </c>
      <c r="Q110" s="233">
        <f>Financeiros!D25</f>
        <v>0</v>
      </c>
    </row>
    <row r="111" spans="1:17" ht="15.75">
      <c r="A111" t="s">
        <v>1703</v>
      </c>
      <c r="B111" t="s">
        <v>1703</v>
      </c>
      <c r="C111" t="s">
        <v>1703</v>
      </c>
      <c r="D111">
        <v>99</v>
      </c>
      <c r="E111">
        <v>99</v>
      </c>
      <c r="F111">
        <v>999</v>
      </c>
      <c r="G111">
        <v>999999</v>
      </c>
      <c r="H111">
        <v>999</v>
      </c>
      <c r="I111">
        <v>99</v>
      </c>
      <c r="J111">
        <v>999</v>
      </c>
      <c r="K111">
        <v>9</v>
      </c>
      <c r="L111">
        <v>99</v>
      </c>
      <c r="M111">
        <v>9</v>
      </c>
      <c r="N111">
        <v>99</v>
      </c>
      <c r="O111">
        <v>99999</v>
      </c>
      <c r="P111" s="401">
        <f t="shared" si="4"/>
        <v>0</v>
      </c>
      <c r="Q111" s="401">
        <v>0</v>
      </c>
    </row>
    <row r="112" spans="1:17" ht="15.75">
      <c r="A112" t="s">
        <v>831</v>
      </c>
      <c r="B112" t="s">
        <v>1454</v>
      </c>
      <c r="C112" t="str">
        <f>Financeiros!C27</f>
        <v>Compensação DIC FIC</v>
      </c>
      <c r="D112">
        <v>2</v>
      </c>
      <c r="E112">
        <v>2</v>
      </c>
      <c r="F112">
        <f>Financeiros!F27</f>
        <v>22</v>
      </c>
      <c r="G112">
        <f>Financeiros!G27</f>
        <v>60</v>
      </c>
      <c r="H112">
        <f>Financeiros!H27</f>
        <v>178</v>
      </c>
      <c r="I112">
        <f>Financeiros!I27</f>
        <v>1</v>
      </c>
      <c r="J112">
        <f>Financeiros!J27</f>
        <v>7</v>
      </c>
      <c r="K112">
        <f>Financeiros!K27</f>
        <v>9</v>
      </c>
      <c r="L112">
        <v>99</v>
      </c>
      <c r="M112">
        <v>9</v>
      </c>
      <c r="N112">
        <v>3</v>
      </c>
      <c r="O112">
        <v>99999</v>
      </c>
      <c r="P112" s="233">
        <f t="shared" si="4"/>
        <v>-240275.83418137633</v>
      </c>
      <c r="Q112" s="233">
        <f>Financeiros!D27</f>
        <v>-240275.83418137633</v>
      </c>
    </row>
    <row r="113" spans="1:17" ht="15.75">
      <c r="A113" t="s">
        <v>831</v>
      </c>
      <c r="B113" t="s">
        <v>1454</v>
      </c>
      <c r="C113" t="str">
        <f>Financeiros!C28</f>
        <v>Subvenção CDE</v>
      </c>
      <c r="D113">
        <v>2</v>
      </c>
      <c r="E113">
        <v>2</v>
      </c>
      <c r="F113">
        <f>Financeiros!F28</f>
        <v>22</v>
      </c>
      <c r="G113">
        <f>Financeiros!G28</f>
        <v>60</v>
      </c>
      <c r="H113">
        <f>Financeiros!H28</f>
        <v>999</v>
      </c>
      <c r="I113">
        <f>Financeiros!I28</f>
        <v>4</v>
      </c>
      <c r="J113">
        <f>Financeiros!J28</f>
        <v>999</v>
      </c>
      <c r="K113">
        <f>Financeiros!K28</f>
        <v>9</v>
      </c>
      <c r="L113">
        <v>99</v>
      </c>
      <c r="M113">
        <v>9</v>
      </c>
      <c r="N113">
        <v>3</v>
      </c>
      <c r="O113">
        <v>99999</v>
      </c>
      <c r="P113" s="233">
        <f t="shared" ca="1" si="4"/>
        <v>-20761269.154540893</v>
      </c>
      <c r="Q113" s="233">
        <f ca="1">Financeiros!D28</f>
        <v>-20761269.154540893</v>
      </c>
    </row>
    <row r="114" spans="1:17" ht="15.75">
      <c r="A114" t="s">
        <v>831</v>
      </c>
      <c r="B114" t="s">
        <v>1454</v>
      </c>
      <c r="C114" t="str">
        <f>Financeiros!C29</f>
        <v>Retenção de Adicionais de Bandeiras Tarifárias</v>
      </c>
      <c r="D114">
        <v>2</v>
      </c>
      <c r="E114">
        <v>2</v>
      </c>
      <c r="F114">
        <f>Financeiros!F29</f>
        <v>22</v>
      </c>
      <c r="G114">
        <f>Financeiros!G29</f>
        <v>60</v>
      </c>
      <c r="H114">
        <f>Financeiros!H29</f>
        <v>999</v>
      </c>
      <c r="I114">
        <f>Financeiros!I29</f>
        <v>2</v>
      </c>
      <c r="J114">
        <f>Financeiros!J29</f>
        <v>30</v>
      </c>
      <c r="K114">
        <f>Financeiros!K29</f>
        <v>9</v>
      </c>
      <c r="L114">
        <v>99</v>
      </c>
      <c r="M114">
        <v>9</v>
      </c>
      <c r="N114">
        <v>3</v>
      </c>
      <c r="O114">
        <v>99999</v>
      </c>
      <c r="P114" s="233">
        <f t="shared" ref="P114:P124" si="6">IF(ISNUMBER(Q114),Q114,0)</f>
        <v>0</v>
      </c>
      <c r="Q114" s="233">
        <f>Financeiros!D29</f>
        <v>0</v>
      </c>
    </row>
    <row r="115" spans="1:17" ht="15.75">
      <c r="A115" t="s">
        <v>831</v>
      </c>
      <c r="B115" t="s">
        <v>1454</v>
      </c>
      <c r="C115" t="str">
        <f>Financeiros!C30</f>
        <v>Multa LPT</v>
      </c>
      <c r="D115">
        <v>2</v>
      </c>
      <c r="E115">
        <v>2</v>
      </c>
      <c r="F115">
        <f>Financeiros!F30</f>
        <v>22</v>
      </c>
      <c r="G115">
        <f>Financeiros!G30</f>
        <v>60</v>
      </c>
      <c r="H115">
        <f>Financeiros!H30</f>
        <v>120</v>
      </c>
      <c r="I115">
        <f>Financeiros!I30</f>
        <v>4</v>
      </c>
      <c r="J115">
        <f>Financeiros!J30</f>
        <v>999</v>
      </c>
      <c r="K115">
        <f>Financeiros!K30</f>
        <v>9</v>
      </c>
      <c r="L115">
        <v>99</v>
      </c>
      <c r="M115">
        <v>9</v>
      </c>
      <c r="N115">
        <v>3</v>
      </c>
      <c r="O115">
        <v>99999</v>
      </c>
      <c r="P115" s="233">
        <f t="shared" si="6"/>
        <v>0</v>
      </c>
      <c r="Q115" s="233">
        <f>Financeiros!D30</f>
        <v>0</v>
      </c>
    </row>
    <row r="116" spans="1:17" ht="15.75">
      <c r="A116" t="s">
        <v>831</v>
      </c>
      <c r="B116" t="s">
        <v>1454</v>
      </c>
      <c r="C116" t="str">
        <f>Financeiros!C32</f>
        <v>Repasse de ICMS CUSD</v>
      </c>
      <c r="D116">
        <v>2</v>
      </c>
      <c r="E116">
        <v>2</v>
      </c>
      <c r="F116">
        <f>Financeiros!F32</f>
        <v>22</v>
      </c>
      <c r="G116">
        <f>Financeiros!G32</f>
        <v>60</v>
      </c>
      <c r="H116">
        <f>Financeiros!H32</f>
        <v>999</v>
      </c>
      <c r="I116">
        <f>Financeiros!I32</f>
        <v>1</v>
      </c>
      <c r="J116">
        <f>Financeiros!J32</f>
        <v>7</v>
      </c>
      <c r="K116">
        <f>Financeiros!K32</f>
        <v>9</v>
      </c>
      <c r="L116">
        <v>99</v>
      </c>
      <c r="M116">
        <v>9</v>
      </c>
      <c r="N116">
        <v>3</v>
      </c>
      <c r="O116">
        <v>99999</v>
      </c>
      <c r="P116" s="233">
        <f t="shared" ca="1" si="6"/>
        <v>0</v>
      </c>
      <c r="Q116" s="233">
        <f ca="1">Financeiros!D32</f>
        <v>0</v>
      </c>
    </row>
    <row r="117" spans="1:17" ht="15.75">
      <c r="A117" t="s">
        <v>831</v>
      </c>
      <c r="B117" t="s">
        <v>1454</v>
      </c>
      <c r="C117" t="str">
        <f>Financeiros!C33</f>
        <v>Repasse de ICMS TE</v>
      </c>
      <c r="D117">
        <v>2</v>
      </c>
      <c r="E117">
        <v>2</v>
      </c>
      <c r="F117">
        <f>Financeiros!F33</f>
        <v>22</v>
      </c>
      <c r="G117">
        <f>Financeiros!G33</f>
        <v>60</v>
      </c>
      <c r="H117">
        <f>Financeiros!H33</f>
        <v>999</v>
      </c>
      <c r="I117">
        <f>Financeiros!I33</f>
        <v>2</v>
      </c>
      <c r="J117">
        <f>Financeiros!J33</f>
        <v>30</v>
      </c>
      <c r="K117">
        <f>Financeiros!K33</f>
        <v>9</v>
      </c>
      <c r="L117">
        <v>99</v>
      </c>
      <c r="M117">
        <v>9</v>
      </c>
      <c r="N117">
        <v>3</v>
      </c>
      <c r="O117">
        <v>99999</v>
      </c>
      <c r="P117" s="233">
        <f t="shared" ca="1" si="6"/>
        <v>0</v>
      </c>
      <c r="Q117" s="233">
        <f ca="1">Financeiros!D33</f>
        <v>0</v>
      </c>
    </row>
    <row r="118" spans="1:17" ht="15.75">
      <c r="A118" t="s">
        <v>831</v>
      </c>
      <c r="B118" t="s">
        <v>1454</v>
      </c>
      <c r="C118" t="str">
        <f>Financeiros!C34</f>
        <v>Ressarcimento P&amp;D</v>
      </c>
      <c r="D118">
        <v>2</v>
      </c>
      <c r="E118">
        <v>2</v>
      </c>
      <c r="F118">
        <f>Financeiros!F34</f>
        <v>22</v>
      </c>
      <c r="G118">
        <f>Financeiros!G34</f>
        <v>60</v>
      </c>
      <c r="H118">
        <f>Financeiros!H34</f>
        <v>231</v>
      </c>
      <c r="I118">
        <f>Financeiros!I34</f>
        <v>3</v>
      </c>
      <c r="J118">
        <f>Financeiros!J34</f>
        <v>19</v>
      </c>
      <c r="K118">
        <f>Financeiros!K34</f>
        <v>9</v>
      </c>
      <c r="L118">
        <v>99</v>
      </c>
      <c r="M118">
        <v>9</v>
      </c>
      <c r="N118">
        <v>3</v>
      </c>
      <c r="O118">
        <v>99999</v>
      </c>
      <c r="P118" s="233">
        <f t="shared" si="6"/>
        <v>0</v>
      </c>
      <c r="Q118" s="233">
        <f>Financeiros!D34</f>
        <v>0</v>
      </c>
    </row>
    <row r="119" spans="1:17" ht="15.75">
      <c r="A119" t="s">
        <v>831</v>
      </c>
      <c r="B119" t="s">
        <v>1454</v>
      </c>
      <c r="C119" t="str">
        <f>Financeiros!C35</f>
        <v>Efeito Conta COVID</v>
      </c>
      <c r="D119">
        <v>2</v>
      </c>
      <c r="E119">
        <v>2</v>
      </c>
      <c r="F119">
        <f>Financeiros!F35</f>
        <v>22</v>
      </c>
      <c r="G119">
        <f>Financeiros!G35</f>
        <v>60</v>
      </c>
      <c r="H119">
        <f>Financeiros!H35</f>
        <v>235</v>
      </c>
      <c r="I119">
        <f>Financeiros!I35</f>
        <v>4</v>
      </c>
      <c r="J119">
        <f>Financeiros!J35</f>
        <v>999</v>
      </c>
      <c r="K119">
        <f>Financeiros!K35</f>
        <v>9</v>
      </c>
      <c r="L119">
        <v>99</v>
      </c>
      <c r="M119">
        <v>9</v>
      </c>
      <c r="N119">
        <v>3</v>
      </c>
      <c r="O119">
        <v>99999</v>
      </c>
      <c r="P119" s="233">
        <f t="shared" si="6"/>
        <v>0</v>
      </c>
      <c r="Q119" s="233">
        <f>Financeiros!D35</f>
        <v>0</v>
      </c>
    </row>
    <row r="120" spans="1:17" ht="15.75">
      <c r="A120" t="s">
        <v>831</v>
      </c>
      <c r="B120" t="s">
        <v>1454</v>
      </c>
      <c r="C120" t="str">
        <f>Financeiros!C36</f>
        <v>Previsão de Risco Hidrologico</v>
      </c>
      <c r="D120">
        <v>2</v>
      </c>
      <c r="E120">
        <v>2</v>
      </c>
      <c r="F120">
        <f>Financeiros!F36</f>
        <v>22</v>
      </c>
      <c r="G120">
        <f>Financeiros!G36</f>
        <v>60</v>
      </c>
      <c r="H120">
        <f>Financeiros!H36</f>
        <v>220</v>
      </c>
      <c r="I120">
        <f>Financeiros!I36</f>
        <v>2</v>
      </c>
      <c r="J120">
        <f>Financeiros!J36</f>
        <v>30</v>
      </c>
      <c r="K120">
        <f>Financeiros!K36</f>
        <v>9</v>
      </c>
      <c r="L120">
        <v>99</v>
      </c>
      <c r="M120">
        <v>9</v>
      </c>
      <c r="N120">
        <v>3</v>
      </c>
      <c r="O120">
        <v>99999</v>
      </c>
      <c r="P120" s="233">
        <f t="shared" si="6"/>
        <v>1682963.5960436226</v>
      </c>
      <c r="Q120" s="233">
        <f>Financeiros!D36</f>
        <v>1682963.5960436226</v>
      </c>
    </row>
    <row r="121" spans="1:17" ht="15.75">
      <c r="A121" t="s">
        <v>831</v>
      </c>
      <c r="B121" t="s">
        <v>1454</v>
      </c>
      <c r="C121" t="str">
        <f>Financeiros!C37</f>
        <v>Efeito COVID da Supridora</v>
      </c>
      <c r="D121">
        <v>2</v>
      </c>
      <c r="E121">
        <v>2</v>
      </c>
      <c r="F121">
        <f>Financeiros!F37</f>
        <v>22</v>
      </c>
      <c r="G121">
        <f>Financeiros!G37</f>
        <v>60</v>
      </c>
      <c r="H121">
        <f>Financeiros!H37</f>
        <v>999</v>
      </c>
      <c r="I121">
        <f>Financeiros!I37</f>
        <v>2</v>
      </c>
      <c r="J121">
        <f>Financeiros!J37</f>
        <v>30</v>
      </c>
      <c r="K121">
        <f>Financeiros!K37</f>
        <v>9</v>
      </c>
      <c r="L121">
        <v>99</v>
      </c>
      <c r="M121">
        <v>9</v>
      </c>
      <c r="N121">
        <v>3</v>
      </c>
      <c r="O121">
        <v>99999</v>
      </c>
      <c r="P121" s="233">
        <f t="shared" si="6"/>
        <v>0</v>
      </c>
      <c r="Q121" s="233">
        <f>Financeiros!D37</f>
        <v>0</v>
      </c>
    </row>
    <row r="122" spans="1:17" ht="15.75">
      <c r="A122" t="s">
        <v>831</v>
      </c>
      <c r="B122" t="s">
        <v>1454</v>
      </c>
      <c r="C122" t="str">
        <f>Financeiros!C38</f>
        <v>Crédito de Pis Cofins sobre ICMS</v>
      </c>
      <c r="D122">
        <v>2</v>
      </c>
      <c r="E122">
        <v>2</v>
      </c>
      <c r="F122">
        <f>Financeiros!F38</f>
        <v>22</v>
      </c>
      <c r="G122">
        <f>Financeiros!G38</f>
        <v>60</v>
      </c>
      <c r="H122">
        <f>Financeiros!H38</f>
        <v>179</v>
      </c>
      <c r="I122">
        <f>Financeiros!I38</f>
        <v>99</v>
      </c>
      <c r="J122">
        <f>Financeiros!J38</f>
        <v>999</v>
      </c>
      <c r="K122">
        <f>Financeiros!K38</f>
        <v>3</v>
      </c>
      <c r="L122">
        <v>99</v>
      </c>
      <c r="M122">
        <v>9</v>
      </c>
      <c r="N122">
        <v>3</v>
      </c>
      <c r="O122">
        <v>99999</v>
      </c>
      <c r="P122" s="233">
        <f t="shared" si="6"/>
        <v>0</v>
      </c>
      <c r="Q122" s="233">
        <f>Financeiros!D38</f>
        <v>0</v>
      </c>
    </row>
    <row r="123" spans="1:17" ht="15.75">
      <c r="A123" t="s">
        <v>831</v>
      </c>
      <c r="B123" t="s">
        <v>1454</v>
      </c>
      <c r="C123" t="str">
        <f>Financeiros!C39</f>
        <v>Diferimento Pis Cofins TUSD</v>
      </c>
      <c r="D123">
        <v>2</v>
      </c>
      <c r="E123">
        <v>2</v>
      </c>
      <c r="F123">
        <f>Financeiros!F39</f>
        <v>22</v>
      </c>
      <c r="G123">
        <f>Financeiros!G39</f>
        <v>60</v>
      </c>
      <c r="H123">
        <f>Financeiros!H39</f>
        <v>999</v>
      </c>
      <c r="I123">
        <f>Financeiros!I39</f>
        <v>1</v>
      </c>
      <c r="J123">
        <f>Financeiros!J39</f>
        <v>7</v>
      </c>
      <c r="K123">
        <f>Financeiros!K39</f>
        <v>9</v>
      </c>
      <c r="L123">
        <v>99</v>
      </c>
      <c r="M123">
        <v>9</v>
      </c>
      <c r="N123">
        <v>3</v>
      </c>
      <c r="O123">
        <v>99999</v>
      </c>
      <c r="P123" s="233">
        <f t="shared" si="6"/>
        <v>0</v>
      </c>
      <c r="Q123" s="233">
        <f>Financeiros!D39</f>
        <v>0</v>
      </c>
    </row>
    <row r="124" spans="1:17" ht="15.75">
      <c r="A124" t="s">
        <v>831</v>
      </c>
      <c r="B124" t="s">
        <v>1454</v>
      </c>
      <c r="C124" t="str">
        <f>Financeiros!C40</f>
        <v>Diferimento Pis Cofins TE</v>
      </c>
      <c r="D124">
        <v>2</v>
      </c>
      <c r="E124">
        <v>2</v>
      </c>
      <c r="F124">
        <f>Financeiros!F40</f>
        <v>22</v>
      </c>
      <c r="G124">
        <f>Financeiros!G40</f>
        <v>60</v>
      </c>
      <c r="H124">
        <f>Financeiros!H40</f>
        <v>999</v>
      </c>
      <c r="I124">
        <f>Financeiros!I40</f>
        <v>2</v>
      </c>
      <c r="J124">
        <f>Financeiros!J40</f>
        <v>30</v>
      </c>
      <c r="K124">
        <f>Financeiros!K40</f>
        <v>9</v>
      </c>
      <c r="L124">
        <v>99</v>
      </c>
      <c r="M124">
        <v>9</v>
      </c>
      <c r="N124">
        <v>3</v>
      </c>
      <c r="O124">
        <v>99999</v>
      </c>
      <c r="P124" s="233">
        <f t="shared" si="6"/>
        <v>0</v>
      </c>
      <c r="Q124" s="233">
        <f>Financeiros!D40</f>
        <v>0</v>
      </c>
    </row>
    <row r="125" spans="1:17" ht="15.75">
      <c r="A125" t="s">
        <v>831</v>
      </c>
      <c r="B125" t="s">
        <v>1454</v>
      </c>
      <c r="C125" t="str">
        <f>Financeiros!C41</f>
        <v>Financeiros associados ao §7º do Art. 88 da Ren 414/2021</v>
      </c>
      <c r="D125">
        <v>2</v>
      </c>
      <c r="E125">
        <v>2</v>
      </c>
      <c r="F125">
        <f>Financeiros!F41</f>
        <v>22</v>
      </c>
      <c r="G125">
        <f>Financeiros!G41</f>
        <v>60</v>
      </c>
      <c r="H125">
        <f>Financeiros!H41</f>
        <v>999</v>
      </c>
      <c r="I125">
        <f>Financeiros!I41</f>
        <v>2</v>
      </c>
      <c r="J125">
        <f>Financeiros!J41</f>
        <v>30</v>
      </c>
      <c r="K125">
        <f>Financeiros!K41</f>
        <v>9</v>
      </c>
      <c r="L125">
        <v>99</v>
      </c>
      <c r="M125">
        <v>9</v>
      </c>
      <c r="N125">
        <v>3</v>
      </c>
      <c r="O125">
        <v>99999</v>
      </c>
      <c r="P125" s="233">
        <f t="shared" si="4"/>
        <v>-4199.08</v>
      </c>
      <c r="Q125" s="233">
        <f>Financeiros!D41</f>
        <v>-4199.08</v>
      </c>
    </row>
    <row r="126" spans="1:17" ht="15.75">
      <c r="A126" t="s">
        <v>831</v>
      </c>
      <c r="B126" t="s">
        <v>1454</v>
      </c>
      <c r="C126">
        <f>Financeiros!C45</f>
        <v>0</v>
      </c>
      <c r="D126">
        <v>2</v>
      </c>
      <c r="E126">
        <v>2</v>
      </c>
      <c r="F126">
        <f>Financeiros!F45</f>
        <v>22</v>
      </c>
      <c r="G126">
        <f>Financeiros!G45</f>
        <v>60</v>
      </c>
      <c r="H126">
        <f>Financeiros!H45</f>
        <v>999</v>
      </c>
      <c r="I126">
        <f>Financeiros!I45</f>
        <v>99</v>
      </c>
      <c r="J126">
        <f>Financeiros!J45</f>
        <v>999</v>
      </c>
      <c r="K126">
        <f>Financeiros!K45</f>
        <v>9</v>
      </c>
      <c r="L126">
        <v>99</v>
      </c>
      <c r="M126">
        <v>9</v>
      </c>
      <c r="N126">
        <v>3</v>
      </c>
      <c r="O126">
        <v>99999</v>
      </c>
      <c r="P126" s="233">
        <f t="shared" ref="P126:P128" si="7">IF(ISNUMBER(Q126),Q126,0)</f>
        <v>0</v>
      </c>
      <c r="Q126" s="233">
        <f>Financeiros!D45</f>
        <v>0</v>
      </c>
    </row>
    <row r="127" spans="1:17" ht="15.75">
      <c r="A127" t="s">
        <v>831</v>
      </c>
      <c r="B127" t="s">
        <v>1454</v>
      </c>
      <c r="C127">
        <f>Financeiros!C46</f>
        <v>0</v>
      </c>
      <c r="D127">
        <v>2</v>
      </c>
      <c r="E127">
        <v>2</v>
      </c>
      <c r="F127">
        <f>Financeiros!F46</f>
        <v>22</v>
      </c>
      <c r="G127">
        <f>Financeiros!G46</f>
        <v>60</v>
      </c>
      <c r="H127">
        <f>Financeiros!H46</f>
        <v>999</v>
      </c>
      <c r="I127">
        <f>Financeiros!I46</f>
        <v>99</v>
      </c>
      <c r="J127">
        <f>Financeiros!J46</f>
        <v>999</v>
      </c>
      <c r="K127">
        <f>Financeiros!K46</f>
        <v>9</v>
      </c>
      <c r="L127">
        <v>99</v>
      </c>
      <c r="M127">
        <v>9</v>
      </c>
      <c r="N127">
        <v>3</v>
      </c>
      <c r="O127">
        <v>99999</v>
      </c>
      <c r="P127" s="233">
        <f t="shared" si="7"/>
        <v>0</v>
      </c>
      <c r="Q127" s="233">
        <f>Financeiros!D46</f>
        <v>0</v>
      </c>
    </row>
    <row r="128" spans="1:17" ht="15.75">
      <c r="A128" t="s">
        <v>831</v>
      </c>
      <c r="B128" t="s">
        <v>1454</v>
      </c>
      <c r="C128">
        <f>Financeiros!C47</f>
        <v>0</v>
      </c>
      <c r="D128">
        <v>2</v>
      </c>
      <c r="E128">
        <v>2</v>
      </c>
      <c r="F128">
        <f>Financeiros!F47</f>
        <v>22</v>
      </c>
      <c r="G128">
        <f>Financeiros!G47</f>
        <v>60</v>
      </c>
      <c r="H128">
        <f>Financeiros!H47</f>
        <v>999</v>
      </c>
      <c r="I128">
        <f>Financeiros!I47</f>
        <v>99</v>
      </c>
      <c r="J128">
        <f>Financeiros!J47</f>
        <v>999</v>
      </c>
      <c r="K128">
        <f>Financeiros!K47</f>
        <v>9</v>
      </c>
      <c r="L128">
        <v>99</v>
      </c>
      <c r="M128">
        <v>9</v>
      </c>
      <c r="N128">
        <v>3</v>
      </c>
      <c r="O128">
        <v>99999</v>
      </c>
      <c r="P128" s="233">
        <f t="shared" si="7"/>
        <v>0</v>
      </c>
      <c r="Q128" s="233">
        <f>Financeiros!D47</f>
        <v>0</v>
      </c>
    </row>
    <row r="129" spans="1:17" ht="15.75">
      <c r="A129" t="s">
        <v>831</v>
      </c>
      <c r="B129" t="s">
        <v>1454</v>
      </c>
      <c r="C129" t="str">
        <f>Financeiros!C10</f>
        <v>Repasse de PIS COFINS CUSD</v>
      </c>
      <c r="D129">
        <v>2</v>
      </c>
      <c r="E129">
        <v>2</v>
      </c>
      <c r="F129">
        <f>Financeiros!F10</f>
        <v>22</v>
      </c>
      <c r="G129">
        <f>Financeiros!G10</f>
        <v>60</v>
      </c>
      <c r="H129">
        <f>Financeiros!H10</f>
        <v>999</v>
      </c>
      <c r="I129">
        <f>Financeiros!I10</f>
        <v>1</v>
      </c>
      <c r="J129">
        <f>Financeiros!J10</f>
        <v>7</v>
      </c>
      <c r="K129">
        <f>Financeiros!K10</f>
        <v>9</v>
      </c>
      <c r="L129">
        <v>99</v>
      </c>
      <c r="M129">
        <v>9</v>
      </c>
      <c r="N129">
        <v>4</v>
      </c>
      <c r="O129">
        <v>99999</v>
      </c>
      <c r="P129" s="233">
        <f t="shared" ca="1" si="4"/>
        <v>9.552996014169526E-3</v>
      </c>
      <c r="Q129" s="233">
        <f ca="1">Financeiros!E10</f>
        <v>9.552996014169526E-3</v>
      </c>
    </row>
    <row r="130" spans="1:17" ht="15.75">
      <c r="A130" t="s">
        <v>831</v>
      </c>
      <c r="B130" t="s">
        <v>1454</v>
      </c>
      <c r="C130" t="str">
        <f>Financeiros!C11</f>
        <v>Repasse de PIS COFINS TE</v>
      </c>
      <c r="D130">
        <v>2</v>
      </c>
      <c r="E130">
        <v>2</v>
      </c>
      <c r="F130">
        <f>Financeiros!F11</f>
        <v>22</v>
      </c>
      <c r="G130">
        <f>Financeiros!G11</f>
        <v>60</v>
      </c>
      <c r="H130">
        <f>Financeiros!H11</f>
        <v>999</v>
      </c>
      <c r="I130">
        <f>Financeiros!I11</f>
        <v>2</v>
      </c>
      <c r="J130">
        <f>Financeiros!J11</f>
        <v>30</v>
      </c>
      <c r="K130">
        <f>Financeiros!K11</f>
        <v>9</v>
      </c>
      <c r="L130">
        <v>99</v>
      </c>
      <c r="M130">
        <v>9</v>
      </c>
      <c r="N130">
        <v>4</v>
      </c>
      <c r="O130">
        <v>99999</v>
      </c>
      <c r="P130" s="233">
        <f t="shared" ca="1" si="4"/>
        <v>1.8349366476182467E-3</v>
      </c>
      <c r="Q130" s="233">
        <f ca="1">Financeiros!E11</f>
        <v>1.8349366476182467E-3</v>
      </c>
    </row>
    <row r="131" spans="1:17" ht="15.75">
      <c r="A131" t="s">
        <v>831</v>
      </c>
      <c r="B131" t="s">
        <v>1454</v>
      </c>
      <c r="C131" t="str">
        <f>Financeiros!C12</f>
        <v>(Neutralidade) TFSEE</v>
      </c>
      <c r="D131">
        <v>2</v>
      </c>
      <c r="E131">
        <v>2</v>
      </c>
      <c r="F131">
        <f>Financeiros!F12</f>
        <v>20</v>
      </c>
      <c r="G131">
        <f>Financeiros!G12</f>
        <v>60</v>
      </c>
      <c r="H131">
        <f>Financeiros!H12</f>
        <v>20</v>
      </c>
      <c r="I131">
        <f>Financeiros!I12</f>
        <v>3</v>
      </c>
      <c r="J131">
        <f>Financeiros!J12</f>
        <v>14</v>
      </c>
      <c r="K131">
        <f>Financeiros!K12</f>
        <v>9</v>
      </c>
      <c r="L131">
        <v>99</v>
      </c>
      <c r="M131">
        <v>9</v>
      </c>
      <c r="N131">
        <v>4</v>
      </c>
      <c r="O131">
        <v>99999</v>
      </c>
      <c r="P131" s="233">
        <f t="shared" ca="1" si="4"/>
        <v>-1.0085267380359699E-4</v>
      </c>
      <c r="Q131" s="248">
        <f ca="1">Financeiros!E12</f>
        <v>-1.0085267380359699E-4</v>
      </c>
    </row>
    <row r="132" spans="1:17" ht="15.75">
      <c r="A132" t="s">
        <v>831</v>
      </c>
      <c r="B132" t="s">
        <v>1454</v>
      </c>
      <c r="C132" t="str">
        <f>Financeiros!C13</f>
        <v>(Neutralidade) CDE</v>
      </c>
      <c r="D132">
        <v>2</v>
      </c>
      <c r="E132">
        <v>2</v>
      </c>
      <c r="F132">
        <f>Financeiros!F13</f>
        <v>20</v>
      </c>
      <c r="G132">
        <f>Financeiros!G13</f>
        <v>60</v>
      </c>
      <c r="H132">
        <f>Financeiros!H13</f>
        <v>20</v>
      </c>
      <c r="I132">
        <f>Financeiros!I13</f>
        <v>3</v>
      </c>
      <c r="J132">
        <f>Financeiros!J13</f>
        <v>15</v>
      </c>
      <c r="K132">
        <f>Financeiros!K13</f>
        <v>9</v>
      </c>
      <c r="L132">
        <v>99</v>
      </c>
      <c r="M132">
        <v>9</v>
      </c>
      <c r="N132">
        <v>4</v>
      </c>
      <c r="O132">
        <v>99999</v>
      </c>
      <c r="P132" s="233">
        <f t="shared" ca="1" si="4"/>
        <v>-2.9677518287793054E-3</v>
      </c>
      <c r="Q132" s="248">
        <f ca="1">Financeiros!E13</f>
        <v>-2.9677518287793054E-3</v>
      </c>
    </row>
    <row r="133" spans="1:17" ht="15.75">
      <c r="A133" t="s">
        <v>831</v>
      </c>
      <c r="B133" t="s">
        <v>1454</v>
      </c>
      <c r="C133" t="str">
        <f>Financeiros!C14</f>
        <v>(Neutralidade) CFURH</v>
      </c>
      <c r="D133">
        <v>2</v>
      </c>
      <c r="E133">
        <v>2</v>
      </c>
      <c r="F133">
        <f>Financeiros!F14</f>
        <v>20</v>
      </c>
      <c r="G133">
        <f>Financeiros!G14</f>
        <v>60</v>
      </c>
      <c r="H133">
        <f>Financeiros!H14</f>
        <v>20</v>
      </c>
      <c r="I133">
        <f>Financeiros!I14</f>
        <v>3</v>
      </c>
      <c r="J133">
        <f>Financeiros!J14</f>
        <v>16</v>
      </c>
      <c r="K133">
        <f>Financeiros!K14</f>
        <v>9</v>
      </c>
      <c r="L133">
        <v>99</v>
      </c>
      <c r="M133">
        <v>9</v>
      </c>
      <c r="N133">
        <v>4</v>
      </c>
      <c r="O133">
        <v>99999</v>
      </c>
      <c r="P133" s="233">
        <f t="shared" ca="1" si="4"/>
        <v>0</v>
      </c>
      <c r="Q133" s="248">
        <f ca="1">Financeiros!E14</f>
        <v>0</v>
      </c>
    </row>
    <row r="134" spans="1:17" ht="15.75">
      <c r="A134" t="s">
        <v>831</v>
      </c>
      <c r="B134" t="s">
        <v>1454</v>
      </c>
      <c r="C134" t="str">
        <f>Financeiros!C15</f>
        <v>(Neutralidade) ESS/EER</v>
      </c>
      <c r="D134">
        <v>2</v>
      </c>
      <c r="E134">
        <v>2</v>
      </c>
      <c r="F134">
        <f>Financeiros!F15</f>
        <v>20</v>
      </c>
      <c r="G134">
        <f>Financeiros!G15</f>
        <v>60</v>
      </c>
      <c r="H134">
        <f>Financeiros!H15</f>
        <v>20</v>
      </c>
      <c r="I134">
        <f>Financeiros!I15</f>
        <v>3</v>
      </c>
      <c r="J134">
        <f>Financeiros!J15</f>
        <v>17</v>
      </c>
      <c r="K134">
        <f>Financeiros!K15</f>
        <v>9</v>
      </c>
      <c r="L134">
        <v>99</v>
      </c>
      <c r="M134">
        <v>9</v>
      </c>
      <c r="N134">
        <v>4</v>
      </c>
      <c r="O134">
        <v>99999</v>
      </c>
      <c r="P134" s="233">
        <f t="shared" ca="1" si="4"/>
        <v>-2.9986247827308593E-4</v>
      </c>
      <c r="Q134" s="248">
        <f ca="1">Financeiros!E15</f>
        <v>-2.9986247827308593E-4</v>
      </c>
    </row>
    <row r="135" spans="1:17" ht="15.75">
      <c r="A135" t="s">
        <v>831</v>
      </c>
      <c r="B135" t="s">
        <v>1454</v>
      </c>
      <c r="C135" t="str">
        <f>Financeiros!C16</f>
        <v>(Neutralidade) PROINFA</v>
      </c>
      <c r="D135">
        <v>2</v>
      </c>
      <c r="E135">
        <v>2</v>
      </c>
      <c r="F135">
        <f>Financeiros!F16</f>
        <v>20</v>
      </c>
      <c r="G135">
        <f>Financeiros!G16</f>
        <v>60</v>
      </c>
      <c r="H135">
        <f>Financeiros!H16</f>
        <v>20</v>
      </c>
      <c r="I135">
        <f>Financeiros!I16</f>
        <v>3</v>
      </c>
      <c r="J135">
        <f>Financeiros!J16</f>
        <v>18</v>
      </c>
      <c r="K135">
        <f>Financeiros!K16</f>
        <v>9</v>
      </c>
      <c r="L135">
        <v>99</v>
      </c>
      <c r="M135">
        <v>9</v>
      </c>
      <c r="N135">
        <v>4</v>
      </c>
      <c r="O135">
        <v>99999</v>
      </c>
      <c r="P135" s="233">
        <f t="shared" ca="1" si="4"/>
        <v>-4.8274584631832187E-4</v>
      </c>
      <c r="Q135" s="248">
        <f ca="1">Financeiros!E16</f>
        <v>-4.8274584631832187E-4</v>
      </c>
    </row>
    <row r="136" spans="1:17" ht="15.75">
      <c r="A136" t="s">
        <v>831</v>
      </c>
      <c r="B136" t="s">
        <v>1454</v>
      </c>
      <c r="C136" t="str">
        <f>Financeiros!C17</f>
        <v>(Neutralidade) P&amp;D e PEE</v>
      </c>
      <c r="D136">
        <v>2</v>
      </c>
      <c r="E136">
        <v>2</v>
      </c>
      <c r="F136">
        <f>Financeiros!F17</f>
        <v>20</v>
      </c>
      <c r="G136">
        <f>Financeiros!G17</f>
        <v>60</v>
      </c>
      <c r="H136">
        <f>Financeiros!H17</f>
        <v>20</v>
      </c>
      <c r="I136">
        <f>Financeiros!I17</f>
        <v>3</v>
      </c>
      <c r="J136">
        <f>Financeiros!J17</f>
        <v>19</v>
      </c>
      <c r="K136">
        <f>Financeiros!K17</f>
        <v>9</v>
      </c>
      <c r="L136">
        <v>99</v>
      </c>
      <c r="M136">
        <v>9</v>
      </c>
      <c r="N136">
        <v>4</v>
      </c>
      <c r="O136">
        <v>99999</v>
      </c>
      <c r="P136" s="233">
        <f t="shared" ca="1" si="4"/>
        <v>0</v>
      </c>
      <c r="Q136" s="248">
        <f ca="1">Financeiros!E17</f>
        <v>0</v>
      </c>
    </row>
    <row r="137" spans="1:17" ht="15.75">
      <c r="A137" t="s">
        <v>831</v>
      </c>
      <c r="B137" t="s">
        <v>1454</v>
      </c>
      <c r="C137" t="str">
        <f>Financeiros!C18</f>
        <v>(Neutralidade) conta covid-19</v>
      </c>
      <c r="D137">
        <v>2</v>
      </c>
      <c r="E137">
        <v>2</v>
      </c>
      <c r="F137">
        <f>Financeiros!F18</f>
        <v>20</v>
      </c>
      <c r="G137">
        <f>Financeiros!G18</f>
        <v>60</v>
      </c>
      <c r="H137">
        <f>Financeiros!H18</f>
        <v>73</v>
      </c>
      <c r="I137">
        <f>Financeiros!I18</f>
        <v>3</v>
      </c>
      <c r="J137">
        <f>Financeiros!J18</f>
        <v>12</v>
      </c>
      <c r="K137">
        <f>Financeiros!K18</f>
        <v>9</v>
      </c>
      <c r="L137">
        <v>99</v>
      </c>
      <c r="M137">
        <v>9</v>
      </c>
      <c r="N137">
        <v>4</v>
      </c>
      <c r="O137">
        <v>99999</v>
      </c>
      <c r="P137" s="233">
        <f t="shared" ca="1" si="4"/>
        <v>-1.4057709791007265E-3</v>
      </c>
      <c r="Q137" s="248">
        <f ca="1">Financeiros!E18</f>
        <v>-1.4057709791007265E-3</v>
      </c>
    </row>
    <row r="138" spans="1:17" ht="15.75">
      <c r="A138" t="s">
        <v>831</v>
      </c>
      <c r="B138" t="s">
        <v>1454</v>
      </c>
      <c r="C138" t="str">
        <f>Financeiros!C19</f>
        <v>(Neutralidade)Financeiro Covid</v>
      </c>
      <c r="D138">
        <v>2</v>
      </c>
      <c r="E138">
        <v>2</v>
      </c>
      <c r="F138">
        <f>Financeiros!F19</f>
        <v>20</v>
      </c>
      <c r="G138">
        <f>Financeiros!G19</f>
        <v>60</v>
      </c>
      <c r="H138">
        <f>Financeiros!H19</f>
        <v>235</v>
      </c>
      <c r="I138">
        <f>Financeiros!I19</f>
        <v>4</v>
      </c>
      <c r="J138">
        <f>Financeiros!J19</f>
        <v>999</v>
      </c>
      <c r="K138">
        <f>Financeiros!K19</f>
        <v>9</v>
      </c>
      <c r="L138">
        <v>99</v>
      </c>
      <c r="M138">
        <v>9</v>
      </c>
      <c r="N138">
        <v>4</v>
      </c>
      <c r="O138">
        <v>99999</v>
      </c>
      <c r="P138" s="233">
        <f t="shared" ref="P138:P139" ca="1" si="8">IF(ISNUMBER(Q138),Q138,0)</f>
        <v>1.2594905974188349E-3</v>
      </c>
      <c r="Q138" s="248">
        <f ca="1">Financeiros!E19</f>
        <v>1.2594905974188349E-3</v>
      </c>
    </row>
    <row r="139" spans="1:17" ht="15.75">
      <c r="A139" t="s">
        <v>831</v>
      </c>
      <c r="B139" t="s">
        <v>1454</v>
      </c>
      <c r="C139" t="str">
        <f>Financeiros!C20</f>
        <v>(Neutralidade)Crédito Pis Cofins</v>
      </c>
      <c r="D139">
        <v>2</v>
      </c>
      <c r="E139">
        <v>2</v>
      </c>
      <c r="F139">
        <f>Financeiros!F20</f>
        <v>20</v>
      </c>
      <c r="G139">
        <f>Financeiros!G20</f>
        <v>60</v>
      </c>
      <c r="H139">
        <f>Financeiros!H20</f>
        <v>179</v>
      </c>
      <c r="I139">
        <f>Financeiros!I20</f>
        <v>99</v>
      </c>
      <c r="J139">
        <f>Financeiros!J20</f>
        <v>999</v>
      </c>
      <c r="K139">
        <f>Financeiros!K20</f>
        <v>3</v>
      </c>
      <c r="L139">
        <v>99</v>
      </c>
      <c r="M139">
        <v>9</v>
      </c>
      <c r="N139">
        <v>4</v>
      </c>
      <c r="O139">
        <v>99999</v>
      </c>
      <c r="P139" s="233">
        <f t="shared" ca="1" si="8"/>
        <v>7.0747923306561553E-4</v>
      </c>
      <c r="Q139" s="248">
        <f ca="1">Financeiros!E20</f>
        <v>7.0747923306561553E-4</v>
      </c>
    </row>
    <row r="140" spans="1:17" ht="15.75">
      <c r="A140" t="s">
        <v>831</v>
      </c>
      <c r="B140" t="s">
        <v>1454</v>
      </c>
      <c r="C140" t="str">
        <f>Financeiros!C21</f>
        <v>Ajuste CUST RB + PIS Cofins RB</v>
      </c>
      <c r="D140">
        <v>2</v>
      </c>
      <c r="E140">
        <v>2</v>
      </c>
      <c r="F140">
        <f>Financeiros!F21</f>
        <v>22</v>
      </c>
      <c r="G140">
        <f>Financeiros!G21</f>
        <v>60</v>
      </c>
      <c r="H140">
        <f>Financeiros!H21</f>
        <v>999</v>
      </c>
      <c r="I140">
        <f>Financeiros!I21</f>
        <v>1</v>
      </c>
      <c r="J140">
        <f>Financeiros!J21</f>
        <v>1</v>
      </c>
      <c r="K140">
        <f>Financeiros!K21</f>
        <v>9</v>
      </c>
      <c r="L140">
        <v>99</v>
      </c>
      <c r="M140">
        <v>9</v>
      </c>
      <c r="N140">
        <v>4</v>
      </c>
      <c r="O140">
        <v>99999</v>
      </c>
      <c r="P140" s="233">
        <f t="shared" ca="1" si="4"/>
        <v>0</v>
      </c>
      <c r="Q140" s="248">
        <f ca="1">Financeiros!E21</f>
        <v>0</v>
      </c>
    </row>
    <row r="141" spans="1:17" ht="15.75">
      <c r="A141" t="s">
        <v>831</v>
      </c>
      <c r="B141" t="s">
        <v>1454</v>
      </c>
      <c r="C141" t="str">
        <f>Financeiros!C22</f>
        <v>Ajuste CUST RB Fronteira + PIS Cofins RB Fronteira</v>
      </c>
      <c r="D141">
        <v>2</v>
      </c>
      <c r="E141">
        <v>2</v>
      </c>
      <c r="F141">
        <f>Financeiros!F22</f>
        <v>22</v>
      </c>
      <c r="G141">
        <f>Financeiros!G22</f>
        <v>60</v>
      </c>
      <c r="H141">
        <f>Financeiros!H22</f>
        <v>999</v>
      </c>
      <c r="I141">
        <f>Financeiros!I22</f>
        <v>1</v>
      </c>
      <c r="J141">
        <f>Financeiros!J22</f>
        <v>2</v>
      </c>
      <c r="K141">
        <f>Financeiros!K22</f>
        <v>9</v>
      </c>
      <c r="L141">
        <v>99</v>
      </c>
      <c r="M141">
        <v>9</v>
      </c>
      <c r="N141">
        <v>4</v>
      </c>
      <c r="O141">
        <v>99999</v>
      </c>
      <c r="P141" s="233">
        <f t="shared" ca="1" si="4"/>
        <v>0</v>
      </c>
      <c r="Q141" s="248">
        <f ca="1">Financeiros!E22</f>
        <v>0</v>
      </c>
    </row>
    <row r="142" spans="1:17" ht="15.75">
      <c r="A142" t="s">
        <v>831</v>
      </c>
      <c r="B142" t="s">
        <v>1454</v>
      </c>
      <c r="C142" t="str">
        <f>Financeiros!C23</f>
        <v>Manual de Contabilidade do Setor Elétrico</v>
      </c>
      <c r="D142">
        <v>2</v>
      </c>
      <c r="E142">
        <v>2</v>
      </c>
      <c r="F142">
        <f>Financeiros!F23</f>
        <v>22</v>
      </c>
      <c r="G142">
        <f>Financeiros!G23</f>
        <v>60</v>
      </c>
      <c r="H142">
        <f>Financeiros!H23</f>
        <v>167</v>
      </c>
      <c r="I142">
        <f>Financeiros!I23</f>
        <v>4</v>
      </c>
      <c r="J142">
        <f>Financeiros!J23</f>
        <v>999</v>
      </c>
      <c r="K142">
        <f>Financeiros!K23</f>
        <v>9</v>
      </c>
      <c r="L142">
        <v>99</v>
      </c>
      <c r="M142">
        <v>9</v>
      </c>
      <c r="N142">
        <v>4</v>
      </c>
      <c r="O142">
        <v>99999</v>
      </c>
      <c r="P142" s="233">
        <f t="shared" ca="1" si="4"/>
        <v>0</v>
      </c>
      <c r="Q142" s="248">
        <f ca="1">Financeiros!E23</f>
        <v>0</v>
      </c>
    </row>
    <row r="143" spans="1:17" ht="15.75">
      <c r="A143" t="s">
        <v>831</v>
      </c>
      <c r="B143" t="s">
        <v>1454</v>
      </c>
      <c r="C143" t="str">
        <f>Financeiros!C24</f>
        <v>Financeiro CDE Eletrobras</v>
      </c>
      <c r="D143">
        <v>2</v>
      </c>
      <c r="E143">
        <v>2</v>
      </c>
      <c r="F143">
        <f>Financeiros!F24</f>
        <v>22</v>
      </c>
      <c r="G143">
        <f>Financeiros!G24</f>
        <v>60</v>
      </c>
      <c r="H143">
        <f>Financeiros!H24</f>
        <v>999</v>
      </c>
      <c r="I143">
        <f>Financeiros!I24</f>
        <v>3</v>
      </c>
      <c r="J143">
        <f>Financeiros!J24</f>
        <v>28</v>
      </c>
      <c r="K143">
        <f>Financeiros!K24</f>
        <v>9</v>
      </c>
      <c r="L143">
        <v>99</v>
      </c>
      <c r="M143">
        <v>9</v>
      </c>
      <c r="N143">
        <v>4</v>
      </c>
      <c r="O143">
        <v>99999</v>
      </c>
      <c r="P143" s="233">
        <f t="shared" ca="1" si="4"/>
        <v>0</v>
      </c>
      <c r="Q143" s="248">
        <f ca="1">Financeiros!E24</f>
        <v>0</v>
      </c>
    </row>
    <row r="144" spans="1:17" ht="15.75">
      <c r="A144" t="s">
        <v>831</v>
      </c>
      <c r="B144" t="s">
        <v>1454</v>
      </c>
      <c r="C144" t="str">
        <f>Financeiros!C25</f>
        <v>Ajustes Processos anteriores</v>
      </c>
      <c r="D144">
        <v>2</v>
      </c>
      <c r="E144">
        <v>2</v>
      </c>
      <c r="F144">
        <f>Financeiros!F25</f>
        <v>22</v>
      </c>
      <c r="G144">
        <f>Financeiros!G25</f>
        <v>60</v>
      </c>
      <c r="H144">
        <f>Financeiros!H25</f>
        <v>999</v>
      </c>
      <c r="I144">
        <f>Financeiros!I25</f>
        <v>2</v>
      </c>
      <c r="J144">
        <f>Financeiros!J25</f>
        <v>30</v>
      </c>
      <c r="K144">
        <f>Financeiros!K25</f>
        <v>9</v>
      </c>
      <c r="L144">
        <v>99</v>
      </c>
      <c r="M144">
        <v>9</v>
      </c>
      <c r="N144">
        <v>4</v>
      </c>
      <c r="O144">
        <v>99999</v>
      </c>
      <c r="P144" s="233">
        <f t="shared" ca="1" si="4"/>
        <v>0</v>
      </c>
      <c r="Q144" s="248">
        <f ca="1">Financeiros!E25</f>
        <v>0</v>
      </c>
    </row>
    <row r="145" spans="1:17" ht="15.75">
      <c r="A145" t="s">
        <v>831</v>
      </c>
      <c r="B145" t="s">
        <v>1454</v>
      </c>
      <c r="C145" t="str">
        <f>Financeiros!C27</f>
        <v>Compensação DIC FIC</v>
      </c>
      <c r="D145">
        <v>2</v>
      </c>
      <c r="E145">
        <v>2</v>
      </c>
      <c r="F145">
        <f>Financeiros!F27</f>
        <v>22</v>
      </c>
      <c r="G145">
        <f>Financeiros!G27</f>
        <v>60</v>
      </c>
      <c r="H145">
        <f>Financeiros!H27</f>
        <v>178</v>
      </c>
      <c r="I145">
        <f>Financeiros!I27</f>
        <v>1</v>
      </c>
      <c r="J145">
        <f>Financeiros!J27</f>
        <v>7</v>
      </c>
      <c r="K145">
        <f>Financeiros!K27</f>
        <v>9</v>
      </c>
      <c r="L145">
        <v>99</v>
      </c>
      <c r="M145">
        <v>9</v>
      </c>
      <c r="N145">
        <v>4</v>
      </c>
      <c r="O145">
        <v>99999</v>
      </c>
      <c r="P145" s="233">
        <f t="shared" ca="1" si="4"/>
        <v>-2.7083782915782828E-3</v>
      </c>
      <c r="Q145" s="248">
        <f ca="1">Financeiros!E27</f>
        <v>-2.7083782915782828E-3</v>
      </c>
    </row>
    <row r="146" spans="1:17" ht="15.75">
      <c r="A146" t="s">
        <v>831</v>
      </c>
      <c r="B146" t="s">
        <v>1454</v>
      </c>
      <c r="C146" t="str">
        <f>Financeiros!C28</f>
        <v>Subvenção CDE</v>
      </c>
      <c r="D146">
        <v>2</v>
      </c>
      <c r="E146">
        <v>2</v>
      </c>
      <c r="F146">
        <f>Financeiros!F28</f>
        <v>22</v>
      </c>
      <c r="G146">
        <f>Financeiros!G28</f>
        <v>60</v>
      </c>
      <c r="H146">
        <f>Financeiros!H28</f>
        <v>999</v>
      </c>
      <c r="I146">
        <f>Financeiros!I28</f>
        <v>4</v>
      </c>
      <c r="J146">
        <f>Financeiros!J28</f>
        <v>999</v>
      </c>
      <c r="K146">
        <f>Financeiros!K28</f>
        <v>9</v>
      </c>
      <c r="L146">
        <v>99</v>
      </c>
      <c r="M146">
        <v>9</v>
      </c>
      <c r="N146">
        <v>4</v>
      </c>
      <c r="O146">
        <v>99999</v>
      </c>
      <c r="P146" s="233">
        <f t="shared" ca="1" si="4"/>
        <v>-0.23402008310717864</v>
      </c>
      <c r="Q146" s="248">
        <f ca="1">Financeiros!E28</f>
        <v>-0.23402008310717864</v>
      </c>
    </row>
    <row r="147" spans="1:17" ht="15.75">
      <c r="A147" t="s">
        <v>831</v>
      </c>
      <c r="B147" t="s">
        <v>1454</v>
      </c>
      <c r="C147" t="str">
        <f>Financeiros!C29</f>
        <v>Retenção de Adicionais de Bandeiras Tarifárias</v>
      </c>
      <c r="D147">
        <v>2</v>
      </c>
      <c r="E147">
        <v>2</v>
      </c>
      <c r="F147">
        <f>Financeiros!F29</f>
        <v>22</v>
      </c>
      <c r="G147">
        <f>Financeiros!G29</f>
        <v>60</v>
      </c>
      <c r="H147">
        <f>Financeiros!H29</f>
        <v>999</v>
      </c>
      <c r="I147">
        <f>Financeiros!I29</f>
        <v>2</v>
      </c>
      <c r="J147">
        <f>Financeiros!J29</f>
        <v>30</v>
      </c>
      <c r="K147">
        <f>Financeiros!K29</f>
        <v>9</v>
      </c>
      <c r="L147">
        <v>99</v>
      </c>
      <c r="M147">
        <v>9</v>
      </c>
      <c r="N147">
        <v>4</v>
      </c>
      <c r="O147">
        <v>99999</v>
      </c>
      <c r="P147" s="233">
        <f t="shared" ref="P147:P191" ca="1" si="9">IF(ISNUMBER(Q147),Q147,0)</f>
        <v>0</v>
      </c>
      <c r="Q147" s="248">
        <f ca="1">Financeiros!E29</f>
        <v>0</v>
      </c>
    </row>
    <row r="148" spans="1:17" ht="15.75">
      <c r="A148" t="s">
        <v>831</v>
      </c>
      <c r="B148" t="s">
        <v>1454</v>
      </c>
      <c r="C148" t="str">
        <f>Financeiros!C30</f>
        <v>Multa LPT</v>
      </c>
      <c r="D148">
        <v>2</v>
      </c>
      <c r="E148">
        <v>2</v>
      </c>
      <c r="F148">
        <f>Financeiros!F30</f>
        <v>22</v>
      </c>
      <c r="G148">
        <f>Financeiros!G30</f>
        <v>60</v>
      </c>
      <c r="H148">
        <f>Financeiros!H30</f>
        <v>120</v>
      </c>
      <c r="I148">
        <f>Financeiros!I30</f>
        <v>4</v>
      </c>
      <c r="J148">
        <f>Financeiros!J30</f>
        <v>999</v>
      </c>
      <c r="K148">
        <f>Financeiros!K30</f>
        <v>9</v>
      </c>
      <c r="L148">
        <v>99</v>
      </c>
      <c r="M148">
        <v>9</v>
      </c>
      <c r="N148">
        <v>4</v>
      </c>
      <c r="O148">
        <v>99999</v>
      </c>
      <c r="P148" s="233">
        <f t="shared" ca="1" si="9"/>
        <v>0</v>
      </c>
      <c r="Q148" s="248">
        <f ca="1">Financeiros!E30</f>
        <v>0</v>
      </c>
    </row>
    <row r="149" spans="1:17" ht="15.75">
      <c r="A149" t="s">
        <v>831</v>
      </c>
      <c r="B149" t="s">
        <v>1454</v>
      </c>
      <c r="C149" t="str">
        <f>Financeiros!C32</f>
        <v>Repasse de ICMS CUSD</v>
      </c>
      <c r="D149">
        <v>2</v>
      </c>
      <c r="E149">
        <v>2</v>
      </c>
      <c r="F149">
        <f>Financeiros!F32</f>
        <v>22</v>
      </c>
      <c r="G149">
        <f>Financeiros!G32</f>
        <v>60</v>
      </c>
      <c r="H149">
        <f>Financeiros!H32</f>
        <v>999</v>
      </c>
      <c r="I149">
        <f>Financeiros!I32</f>
        <v>1</v>
      </c>
      <c r="J149">
        <f>Financeiros!J32</f>
        <v>7</v>
      </c>
      <c r="K149">
        <f>Financeiros!K32</f>
        <v>9</v>
      </c>
      <c r="L149">
        <v>99</v>
      </c>
      <c r="M149">
        <v>9</v>
      </c>
      <c r="N149">
        <v>4</v>
      </c>
      <c r="O149">
        <v>99999</v>
      </c>
      <c r="P149" s="233">
        <f t="shared" ref="P149:P150" ca="1" si="10">IF(ISNUMBER(Q149),Q149,0)</f>
        <v>0</v>
      </c>
      <c r="Q149" s="248">
        <f ca="1">Financeiros!E32</f>
        <v>0</v>
      </c>
    </row>
    <row r="150" spans="1:17" ht="15.75">
      <c r="A150" t="s">
        <v>831</v>
      </c>
      <c r="B150" t="s">
        <v>1454</v>
      </c>
      <c r="C150" t="str">
        <f>Financeiros!C33</f>
        <v>Repasse de ICMS TE</v>
      </c>
      <c r="D150">
        <v>2</v>
      </c>
      <c r="E150">
        <v>2</v>
      </c>
      <c r="F150">
        <f>Financeiros!F33</f>
        <v>22</v>
      </c>
      <c r="G150">
        <f>Financeiros!G33</f>
        <v>60</v>
      </c>
      <c r="H150">
        <f>Financeiros!H33</f>
        <v>999</v>
      </c>
      <c r="I150">
        <f>Financeiros!I33</f>
        <v>2</v>
      </c>
      <c r="J150">
        <f>Financeiros!J33</f>
        <v>30</v>
      </c>
      <c r="K150">
        <f>Financeiros!K33</f>
        <v>9</v>
      </c>
      <c r="L150">
        <v>99</v>
      </c>
      <c r="M150">
        <v>9</v>
      </c>
      <c r="N150">
        <v>4</v>
      </c>
      <c r="O150">
        <v>99999</v>
      </c>
      <c r="P150" s="233">
        <f t="shared" ca="1" si="10"/>
        <v>0</v>
      </c>
      <c r="Q150" s="248">
        <f ca="1">Financeiros!E32</f>
        <v>0</v>
      </c>
    </row>
    <row r="151" spans="1:17" ht="15.75">
      <c r="A151" t="s">
        <v>831</v>
      </c>
      <c r="B151" t="s">
        <v>1454</v>
      </c>
      <c r="C151" t="str">
        <f>Financeiros!C34</f>
        <v>Ressarcimento P&amp;D</v>
      </c>
      <c r="D151">
        <v>2</v>
      </c>
      <c r="E151">
        <v>2</v>
      </c>
      <c r="F151">
        <f>Financeiros!F34</f>
        <v>22</v>
      </c>
      <c r="G151">
        <f>Financeiros!G34</f>
        <v>60</v>
      </c>
      <c r="H151">
        <f>Financeiros!H34</f>
        <v>231</v>
      </c>
      <c r="I151">
        <f>Financeiros!I34</f>
        <v>3</v>
      </c>
      <c r="J151">
        <f>Financeiros!J34</f>
        <v>19</v>
      </c>
      <c r="K151">
        <f>Financeiros!K34</f>
        <v>9</v>
      </c>
      <c r="L151">
        <v>99</v>
      </c>
      <c r="M151">
        <v>9</v>
      </c>
      <c r="N151">
        <v>4</v>
      </c>
      <c r="O151">
        <v>99999</v>
      </c>
      <c r="P151" s="233">
        <f t="shared" ca="1" si="9"/>
        <v>0</v>
      </c>
      <c r="Q151" s="248">
        <f ca="1">Financeiros!E33</f>
        <v>0</v>
      </c>
    </row>
    <row r="152" spans="1:17" ht="15.75">
      <c r="A152" t="s">
        <v>831</v>
      </c>
      <c r="B152" t="s">
        <v>1454</v>
      </c>
      <c r="C152" t="str">
        <f>Financeiros!C35</f>
        <v>Efeito Conta COVID</v>
      </c>
      <c r="D152">
        <v>2</v>
      </c>
      <c r="E152">
        <v>2</v>
      </c>
      <c r="F152">
        <f>Financeiros!F35</f>
        <v>22</v>
      </c>
      <c r="G152">
        <f>Financeiros!G35</f>
        <v>60</v>
      </c>
      <c r="H152">
        <f>Financeiros!H35</f>
        <v>235</v>
      </c>
      <c r="I152">
        <f>Financeiros!I35</f>
        <v>4</v>
      </c>
      <c r="J152">
        <f>Financeiros!J35</f>
        <v>999</v>
      </c>
      <c r="K152">
        <f>Financeiros!K35</f>
        <v>9</v>
      </c>
      <c r="L152">
        <v>99</v>
      </c>
      <c r="M152">
        <v>9</v>
      </c>
      <c r="N152">
        <v>4</v>
      </c>
      <c r="O152">
        <v>99999</v>
      </c>
      <c r="P152" s="233">
        <f t="shared" ca="1" si="9"/>
        <v>0</v>
      </c>
      <c r="Q152" s="248">
        <f ca="1">Financeiros!E34</f>
        <v>0</v>
      </c>
    </row>
    <row r="153" spans="1:17" ht="15.75">
      <c r="A153" t="s">
        <v>831</v>
      </c>
      <c r="B153" t="s">
        <v>1454</v>
      </c>
      <c r="C153" t="str">
        <f>Financeiros!C36</f>
        <v>Previsão de Risco Hidrologico</v>
      </c>
      <c r="D153">
        <v>2</v>
      </c>
      <c r="E153">
        <v>2</v>
      </c>
      <c r="F153">
        <f>Financeiros!F36</f>
        <v>22</v>
      </c>
      <c r="G153">
        <f>Financeiros!G36</f>
        <v>60</v>
      </c>
      <c r="H153">
        <f>Financeiros!H36</f>
        <v>220</v>
      </c>
      <c r="I153">
        <f>Financeiros!I36</f>
        <v>2</v>
      </c>
      <c r="J153">
        <f>Financeiros!J36</f>
        <v>30</v>
      </c>
      <c r="K153">
        <f>Financeiros!K36</f>
        <v>9</v>
      </c>
      <c r="L153">
        <v>99</v>
      </c>
      <c r="M153">
        <v>9</v>
      </c>
      <c r="N153">
        <v>4</v>
      </c>
      <c r="O153">
        <v>99999</v>
      </c>
      <c r="P153" s="233">
        <f t="shared" ref="P153:P158" ca="1" si="11">IF(ISNUMBER(Q153),Q153,0)</f>
        <v>0</v>
      </c>
      <c r="Q153" s="248">
        <f ca="1">Financeiros!E35</f>
        <v>0</v>
      </c>
    </row>
    <row r="154" spans="1:17" ht="15.75">
      <c r="A154" t="s">
        <v>831</v>
      </c>
      <c r="B154" t="s">
        <v>1454</v>
      </c>
      <c r="C154" t="str">
        <f>Financeiros!C37</f>
        <v>Efeito COVID da Supridora</v>
      </c>
      <c r="D154">
        <v>2</v>
      </c>
      <c r="E154">
        <v>2</v>
      </c>
      <c r="F154">
        <f>Financeiros!F37</f>
        <v>22</v>
      </c>
      <c r="G154">
        <f>Financeiros!G37</f>
        <v>60</v>
      </c>
      <c r="H154">
        <f>Financeiros!H37</f>
        <v>999</v>
      </c>
      <c r="I154">
        <f>Financeiros!I37</f>
        <v>2</v>
      </c>
      <c r="J154">
        <f>Financeiros!J37</f>
        <v>30</v>
      </c>
      <c r="K154">
        <f>Financeiros!K37</f>
        <v>9</v>
      </c>
      <c r="L154">
        <v>99</v>
      </c>
      <c r="M154">
        <v>9</v>
      </c>
      <c r="N154">
        <v>4</v>
      </c>
      <c r="O154">
        <v>99999</v>
      </c>
      <c r="P154" s="233">
        <f t="shared" ca="1" si="11"/>
        <v>1.8970289228505223E-2</v>
      </c>
      <c r="Q154" s="248">
        <f ca="1">Financeiros!E36</f>
        <v>1.8970289228505223E-2</v>
      </c>
    </row>
    <row r="155" spans="1:17" ht="15.75">
      <c r="A155" t="s">
        <v>831</v>
      </c>
      <c r="B155" t="s">
        <v>1454</v>
      </c>
      <c r="C155" t="str">
        <f>Financeiros!C38</f>
        <v>Crédito de Pis Cofins sobre ICMS</v>
      </c>
      <c r="D155">
        <v>2</v>
      </c>
      <c r="E155">
        <v>2</v>
      </c>
      <c r="F155">
        <f>Financeiros!F38</f>
        <v>22</v>
      </c>
      <c r="G155">
        <f>Financeiros!G38</f>
        <v>60</v>
      </c>
      <c r="H155">
        <f>Financeiros!H38</f>
        <v>179</v>
      </c>
      <c r="I155">
        <f>Financeiros!I38</f>
        <v>99</v>
      </c>
      <c r="J155">
        <f>Financeiros!J38</f>
        <v>999</v>
      </c>
      <c r="K155">
        <f>Financeiros!K38</f>
        <v>3</v>
      </c>
      <c r="L155">
        <v>99</v>
      </c>
      <c r="M155">
        <v>9</v>
      </c>
      <c r="N155">
        <v>4</v>
      </c>
      <c r="O155">
        <v>99999</v>
      </c>
      <c r="P155" s="233">
        <f t="shared" ca="1" si="11"/>
        <v>0</v>
      </c>
      <c r="Q155" s="248">
        <f ca="1">Financeiros!E37</f>
        <v>0</v>
      </c>
    </row>
    <row r="156" spans="1:17" ht="15.75">
      <c r="A156" t="s">
        <v>831</v>
      </c>
      <c r="B156" t="s">
        <v>1454</v>
      </c>
      <c r="C156" t="str">
        <f>Financeiros!C39</f>
        <v>Diferimento Pis Cofins TUSD</v>
      </c>
      <c r="D156">
        <v>2</v>
      </c>
      <c r="E156">
        <v>2</v>
      </c>
      <c r="F156">
        <f>Financeiros!F39</f>
        <v>22</v>
      </c>
      <c r="G156">
        <f>Financeiros!G39</f>
        <v>60</v>
      </c>
      <c r="H156">
        <f>Financeiros!H39</f>
        <v>999</v>
      </c>
      <c r="I156">
        <f>Financeiros!I39</f>
        <v>1</v>
      </c>
      <c r="J156">
        <f>Financeiros!J39</f>
        <v>7</v>
      </c>
      <c r="K156">
        <f>Financeiros!K39</f>
        <v>9</v>
      </c>
      <c r="L156">
        <v>99</v>
      </c>
      <c r="M156">
        <v>9</v>
      </c>
      <c r="N156">
        <v>4</v>
      </c>
      <c r="O156">
        <v>99999</v>
      </c>
      <c r="P156" s="233">
        <f t="shared" ca="1" si="11"/>
        <v>0</v>
      </c>
      <c r="Q156" s="248">
        <f ca="1">Financeiros!E38</f>
        <v>0</v>
      </c>
    </row>
    <row r="157" spans="1:17" ht="15.75">
      <c r="A157" t="s">
        <v>831</v>
      </c>
      <c r="B157" t="s">
        <v>1454</v>
      </c>
      <c r="C157" t="str">
        <f>Financeiros!C40</f>
        <v>Diferimento Pis Cofins TE</v>
      </c>
      <c r="D157">
        <v>2</v>
      </c>
      <c r="E157">
        <v>2</v>
      </c>
      <c r="F157">
        <f>Financeiros!F40</f>
        <v>22</v>
      </c>
      <c r="G157">
        <f>Financeiros!G40</f>
        <v>60</v>
      </c>
      <c r="H157">
        <f>Financeiros!H40</f>
        <v>999</v>
      </c>
      <c r="I157">
        <f>Financeiros!I40</f>
        <v>2</v>
      </c>
      <c r="J157">
        <f>Financeiros!J40</f>
        <v>30</v>
      </c>
      <c r="K157">
        <f>Financeiros!K40</f>
        <v>9</v>
      </c>
      <c r="L157">
        <v>99</v>
      </c>
      <c r="M157">
        <v>9</v>
      </c>
      <c r="N157">
        <v>4</v>
      </c>
      <c r="O157">
        <v>99999</v>
      </c>
      <c r="P157" s="233">
        <f t="shared" ca="1" si="11"/>
        <v>0</v>
      </c>
      <c r="Q157" s="248">
        <f ca="1">Financeiros!E39</f>
        <v>0</v>
      </c>
    </row>
    <row r="158" spans="1:17" ht="15.75">
      <c r="A158" t="s">
        <v>831</v>
      </c>
      <c r="B158" t="s">
        <v>1454</v>
      </c>
      <c r="C158" t="str">
        <f>Financeiros!C41</f>
        <v>Financeiros associados ao §7º do Art. 88 da Ren 414/2021</v>
      </c>
      <c r="D158">
        <v>2</v>
      </c>
      <c r="E158">
        <v>2</v>
      </c>
      <c r="F158">
        <f>Financeiros!F41</f>
        <v>22</v>
      </c>
      <c r="G158">
        <f>Financeiros!G41</f>
        <v>60</v>
      </c>
      <c r="H158">
        <f>Financeiros!H41</f>
        <v>999</v>
      </c>
      <c r="I158">
        <f>Financeiros!I41</f>
        <v>2</v>
      </c>
      <c r="J158">
        <f>Financeiros!J41</f>
        <v>30</v>
      </c>
      <c r="K158">
        <f>Financeiros!K41</f>
        <v>9</v>
      </c>
      <c r="L158">
        <v>99</v>
      </c>
      <c r="M158">
        <v>9</v>
      </c>
      <c r="N158">
        <v>4</v>
      </c>
      <c r="O158">
        <v>99999</v>
      </c>
      <c r="P158" s="233">
        <f t="shared" ca="1" si="11"/>
        <v>0</v>
      </c>
      <c r="Q158" s="248">
        <f ca="1">Financeiros!E40</f>
        <v>0</v>
      </c>
    </row>
    <row r="159" spans="1:17" ht="15.75">
      <c r="A159" t="s">
        <v>831</v>
      </c>
      <c r="B159" t="s">
        <v>1454</v>
      </c>
      <c r="C159" t="str">
        <f>Financeiros!C42</f>
        <v>Spread Conta Covid</v>
      </c>
      <c r="D159">
        <v>2</v>
      </c>
      <c r="E159">
        <v>2</v>
      </c>
      <c r="F159">
        <v>999</v>
      </c>
      <c r="G159">
        <v>999999</v>
      </c>
      <c r="H159">
        <v>999</v>
      </c>
      <c r="I159">
        <v>99</v>
      </c>
      <c r="J159">
        <v>999</v>
      </c>
      <c r="K159">
        <v>9</v>
      </c>
      <c r="L159">
        <v>99</v>
      </c>
      <c r="M159">
        <v>9</v>
      </c>
      <c r="N159">
        <v>4</v>
      </c>
      <c r="O159">
        <v>99999</v>
      </c>
      <c r="P159" s="233">
        <f t="shared" ref="P159:P161" ca="1" si="12">IF(ISNUMBER(Q159),Q159,0)</f>
        <v>-4.7331839072986681E-5</v>
      </c>
      <c r="Q159" s="248">
        <f ca="1">Financeiros!E41</f>
        <v>-4.7331839072986681E-5</v>
      </c>
    </row>
    <row r="160" spans="1:17" ht="15.75">
      <c r="A160" t="s">
        <v>831</v>
      </c>
      <c r="B160" t="s">
        <v>1454</v>
      </c>
      <c r="C160">
        <f>Financeiros!C43</f>
        <v>0</v>
      </c>
      <c r="D160">
        <v>2</v>
      </c>
      <c r="E160">
        <v>2</v>
      </c>
      <c r="F160">
        <v>999</v>
      </c>
      <c r="G160">
        <v>999999</v>
      </c>
      <c r="H160">
        <v>999</v>
      </c>
      <c r="I160">
        <v>99</v>
      </c>
      <c r="J160">
        <v>999</v>
      </c>
      <c r="K160">
        <v>9</v>
      </c>
      <c r="L160">
        <v>99</v>
      </c>
      <c r="M160">
        <v>9</v>
      </c>
      <c r="N160">
        <v>4</v>
      </c>
      <c r="O160">
        <v>99999</v>
      </c>
      <c r="P160" s="233">
        <f t="shared" ca="1" si="12"/>
        <v>-1.0690122121055181E-3</v>
      </c>
      <c r="Q160" s="248">
        <f ca="1">Financeiros!E42</f>
        <v>-1.0690122121055181E-3</v>
      </c>
    </row>
    <row r="161" spans="1:17" ht="15.75">
      <c r="A161" t="s">
        <v>831</v>
      </c>
      <c r="B161" t="s">
        <v>1454</v>
      </c>
      <c r="C161">
        <f>Financeiros!C44</f>
        <v>0</v>
      </c>
      <c r="D161">
        <v>2</v>
      </c>
      <c r="E161">
        <v>2</v>
      </c>
      <c r="F161">
        <v>999</v>
      </c>
      <c r="G161">
        <v>999999</v>
      </c>
      <c r="H161">
        <v>999</v>
      </c>
      <c r="I161">
        <v>99</v>
      </c>
      <c r="J161">
        <v>999</v>
      </c>
      <c r="K161">
        <v>9</v>
      </c>
      <c r="L161">
        <v>99</v>
      </c>
      <c r="M161">
        <v>9</v>
      </c>
      <c r="N161">
        <v>4</v>
      </c>
      <c r="O161">
        <v>99999</v>
      </c>
      <c r="P161" s="233">
        <f t="shared" ca="1" si="12"/>
        <v>0</v>
      </c>
      <c r="Q161" s="248">
        <f ca="1">Financeiros!E43</f>
        <v>0</v>
      </c>
    </row>
    <row r="162" spans="1:17" ht="15.75">
      <c r="A162" t="s">
        <v>831</v>
      </c>
      <c r="B162" t="s">
        <v>1454</v>
      </c>
      <c r="C162">
        <f>Financeiros!C45</f>
        <v>0</v>
      </c>
      <c r="D162">
        <v>2</v>
      </c>
      <c r="E162">
        <v>2</v>
      </c>
      <c r="F162">
        <f>Financeiros!F45</f>
        <v>22</v>
      </c>
      <c r="G162">
        <f>Financeiros!G45</f>
        <v>60</v>
      </c>
      <c r="H162">
        <f>Financeiros!H45</f>
        <v>999</v>
      </c>
      <c r="I162">
        <f>Financeiros!I45</f>
        <v>99</v>
      </c>
      <c r="J162">
        <f>Financeiros!J45</f>
        <v>999</v>
      </c>
      <c r="K162">
        <f>Financeiros!K45</f>
        <v>9</v>
      </c>
      <c r="L162">
        <v>99</v>
      </c>
      <c r="M162">
        <v>9</v>
      </c>
      <c r="N162">
        <v>4</v>
      </c>
      <c r="O162">
        <v>99999</v>
      </c>
      <c r="P162" s="233">
        <f t="shared" ref="P162:P164" ca="1" si="13">IF(ISNUMBER(Q162),Q162,0)</f>
        <v>-4.7331839072986681E-5</v>
      </c>
      <c r="Q162" s="248">
        <f ca="1">Financeiros!E41</f>
        <v>-4.7331839072986681E-5</v>
      </c>
    </row>
    <row r="163" spans="1:17" ht="15.75">
      <c r="A163" t="s">
        <v>831</v>
      </c>
      <c r="B163" t="s">
        <v>1454</v>
      </c>
      <c r="C163">
        <f>Financeiros!C46</f>
        <v>0</v>
      </c>
      <c r="D163">
        <v>2</v>
      </c>
      <c r="E163">
        <v>2</v>
      </c>
      <c r="F163">
        <f>Financeiros!F46</f>
        <v>22</v>
      </c>
      <c r="G163">
        <f>Financeiros!G46</f>
        <v>60</v>
      </c>
      <c r="H163">
        <f>Financeiros!H46</f>
        <v>999</v>
      </c>
      <c r="I163">
        <f>Financeiros!I46</f>
        <v>99</v>
      </c>
      <c r="J163">
        <f>Financeiros!J46</f>
        <v>999</v>
      </c>
      <c r="K163">
        <f>Financeiros!K46</f>
        <v>9</v>
      </c>
      <c r="L163">
        <v>99</v>
      </c>
      <c r="M163">
        <v>9</v>
      </c>
      <c r="N163">
        <v>4</v>
      </c>
      <c r="O163">
        <v>99999</v>
      </c>
      <c r="P163" s="233">
        <f t="shared" ca="1" si="13"/>
        <v>0</v>
      </c>
      <c r="Q163" s="248">
        <f ca="1">Financeiros!E45</f>
        <v>0</v>
      </c>
    </row>
    <row r="164" spans="1:17" ht="15.75">
      <c r="A164" t="s">
        <v>831</v>
      </c>
      <c r="B164" t="s">
        <v>1454</v>
      </c>
      <c r="C164">
        <f>Financeiros!C47</f>
        <v>0</v>
      </c>
      <c r="D164">
        <v>2</v>
      </c>
      <c r="E164">
        <v>2</v>
      </c>
      <c r="F164">
        <f>Financeiros!F47</f>
        <v>22</v>
      </c>
      <c r="G164">
        <f>Financeiros!G47</f>
        <v>60</v>
      </c>
      <c r="H164">
        <f>Financeiros!H47</f>
        <v>999</v>
      </c>
      <c r="I164">
        <f>Financeiros!I47</f>
        <v>99</v>
      </c>
      <c r="J164">
        <f>Financeiros!J47</f>
        <v>999</v>
      </c>
      <c r="K164">
        <f>Financeiros!K47</f>
        <v>9</v>
      </c>
      <c r="L164">
        <v>99</v>
      </c>
      <c r="M164">
        <v>9</v>
      </c>
      <c r="N164">
        <v>4</v>
      </c>
      <c r="O164">
        <v>99999</v>
      </c>
      <c r="P164" s="233">
        <f t="shared" ca="1" si="13"/>
        <v>0</v>
      </c>
      <c r="Q164" s="248">
        <f ca="1">Financeiros!E46</f>
        <v>0</v>
      </c>
    </row>
    <row r="165" spans="1:17" ht="15.75">
      <c r="A165" t="s">
        <v>831</v>
      </c>
      <c r="B165" t="s">
        <v>109</v>
      </c>
      <c r="C165" t="s">
        <v>1704</v>
      </c>
      <c r="D165">
        <v>1</v>
      </c>
      <c r="E165">
        <v>1</v>
      </c>
      <c r="F165">
        <v>11</v>
      </c>
      <c r="G165">
        <v>20</v>
      </c>
      <c r="H165">
        <v>999</v>
      </c>
      <c r="I165">
        <v>3</v>
      </c>
      <c r="J165">
        <v>19</v>
      </c>
      <c r="K165">
        <v>9</v>
      </c>
      <c r="L165">
        <v>99</v>
      </c>
      <c r="M165">
        <v>9</v>
      </c>
      <c r="N165">
        <v>4</v>
      </c>
      <c r="O165">
        <v>99999</v>
      </c>
      <c r="P165" s="233">
        <f t="shared" si="9"/>
        <v>1E-14</v>
      </c>
      <c r="Q165" s="233">
        <f>Encargos!O6</f>
        <v>1E-14</v>
      </c>
    </row>
    <row r="166" spans="1:17" ht="15.75">
      <c r="A166" t="s">
        <v>1705</v>
      </c>
      <c r="B166" t="s">
        <v>1706</v>
      </c>
      <c r="C166" t="s">
        <v>1707</v>
      </c>
      <c r="D166">
        <v>1</v>
      </c>
      <c r="E166">
        <v>99</v>
      </c>
      <c r="F166">
        <v>999</v>
      </c>
      <c r="G166">
        <v>999999</v>
      </c>
      <c r="H166">
        <v>30</v>
      </c>
      <c r="I166">
        <v>99</v>
      </c>
      <c r="J166">
        <v>999</v>
      </c>
      <c r="K166">
        <v>9</v>
      </c>
      <c r="L166">
        <v>99</v>
      </c>
      <c r="M166">
        <v>9</v>
      </c>
      <c r="N166">
        <v>9</v>
      </c>
      <c r="O166">
        <v>99999</v>
      </c>
      <c r="P166" s="233">
        <f t="shared" si="9"/>
        <v>0</v>
      </c>
      <c r="Q166" s="233">
        <f>IF(CAPA!K9="Atrasado",1,0)</f>
        <v>0</v>
      </c>
    </row>
    <row r="167" spans="1:17" ht="15.75">
      <c r="A167" t="s">
        <v>1705</v>
      </c>
      <c r="B167" t="s">
        <v>1706</v>
      </c>
      <c r="C167" t="s">
        <v>1708</v>
      </c>
      <c r="D167">
        <v>1</v>
      </c>
      <c r="E167">
        <v>99</v>
      </c>
      <c r="F167">
        <v>999</v>
      </c>
      <c r="G167">
        <v>999999</v>
      </c>
      <c r="H167">
        <v>31</v>
      </c>
      <c r="I167">
        <v>99</v>
      </c>
      <c r="J167">
        <v>999</v>
      </c>
      <c r="K167">
        <v>9</v>
      </c>
      <c r="L167">
        <v>99</v>
      </c>
      <c r="M167">
        <v>9</v>
      </c>
      <c r="N167">
        <v>9</v>
      </c>
      <c r="O167">
        <v>99999</v>
      </c>
      <c r="P167" s="233">
        <f t="shared" ca="1" si="9"/>
        <v>1</v>
      </c>
      <c r="Q167" s="233">
        <f ca="1">IF(CAPA!C110="Revisão",1,0)</f>
        <v>1</v>
      </c>
    </row>
    <row r="168" spans="1:17" ht="15.75">
      <c r="A168" t="s">
        <v>1705</v>
      </c>
      <c r="B168" t="s">
        <v>1706</v>
      </c>
      <c r="C168" t="s">
        <v>1709</v>
      </c>
      <c r="D168">
        <v>1</v>
      </c>
      <c r="E168">
        <v>99</v>
      </c>
      <c r="F168">
        <v>999</v>
      </c>
      <c r="G168">
        <v>999999</v>
      </c>
      <c r="H168">
        <v>32</v>
      </c>
      <c r="I168">
        <v>99</v>
      </c>
      <c r="J168">
        <v>999</v>
      </c>
      <c r="K168">
        <v>9</v>
      </c>
      <c r="L168">
        <v>99</v>
      </c>
      <c r="M168">
        <v>9</v>
      </c>
      <c r="N168">
        <v>9</v>
      </c>
      <c r="O168">
        <v>99999</v>
      </c>
      <c r="P168" s="233">
        <f t="shared" si="9"/>
        <v>1</v>
      </c>
      <c r="Q168" s="233">
        <v>1</v>
      </c>
    </row>
    <row r="169" spans="1:17" ht="15.75">
      <c r="A169" t="s">
        <v>831</v>
      </c>
      <c r="B169" t="s">
        <v>1027</v>
      </c>
      <c r="C169" t="s">
        <v>1710</v>
      </c>
      <c r="D169">
        <v>1</v>
      </c>
      <c r="E169">
        <v>3</v>
      </c>
      <c r="F169">
        <v>50</v>
      </c>
      <c r="G169">
        <v>1</v>
      </c>
      <c r="H169">
        <v>999</v>
      </c>
      <c r="I169">
        <v>99</v>
      </c>
      <c r="J169">
        <v>999</v>
      </c>
      <c r="K169">
        <v>9</v>
      </c>
      <c r="L169">
        <v>99</v>
      </c>
      <c r="M169">
        <v>9</v>
      </c>
      <c r="N169">
        <v>4</v>
      </c>
      <c r="O169">
        <v>99999</v>
      </c>
      <c r="P169" s="233">
        <f t="shared" si="9"/>
        <v>0</v>
      </c>
      <c r="Q169" s="253">
        <f>IF(CAPA!P1="VERDADEIRO",0,Calc_Mercado!J15)</f>
        <v>0</v>
      </c>
    </row>
    <row r="170" spans="1:17" ht="15.75">
      <c r="A170" s="16" t="s">
        <v>831</v>
      </c>
      <c r="B170" s="16" t="s">
        <v>160</v>
      </c>
      <c r="C170" s="16" t="s">
        <v>875</v>
      </c>
      <c r="D170" s="16">
        <v>4</v>
      </c>
      <c r="E170" s="16">
        <v>1</v>
      </c>
      <c r="F170" s="16">
        <v>51</v>
      </c>
      <c r="G170" s="16">
        <v>55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2</v>
      </c>
      <c r="O170" s="16">
        <v>99999</v>
      </c>
      <c r="P170" s="233">
        <f t="shared" ca="1" si="9"/>
        <v>131812.77545285714</v>
      </c>
      <c r="Q170" s="233">
        <f ca="1">Energia!C5</f>
        <v>131812.77545285714</v>
      </c>
    </row>
    <row r="171" spans="1:17" ht="15.75">
      <c r="A171" s="16" t="s">
        <v>831</v>
      </c>
      <c r="B171" s="16" t="s">
        <v>160</v>
      </c>
      <c r="C171" s="16" t="s">
        <v>875</v>
      </c>
      <c r="D171" s="16">
        <v>4</v>
      </c>
      <c r="E171" s="16">
        <v>1</v>
      </c>
      <c r="F171" s="16">
        <v>51</v>
      </c>
      <c r="G171" s="16">
        <v>55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3">
        <f t="shared" ca="1" si="9"/>
        <v>22086597.211066131</v>
      </c>
      <c r="Q171" s="233">
        <f ca="1">Energia!C14</f>
        <v>22086597.211066131</v>
      </c>
    </row>
    <row r="172" spans="1:17" ht="15.75">
      <c r="A172" s="16" t="s">
        <v>831</v>
      </c>
      <c r="B172" s="16" t="s">
        <v>1711</v>
      </c>
      <c r="C172" s="16" t="s">
        <v>1712</v>
      </c>
      <c r="D172" s="16">
        <v>4</v>
      </c>
      <c r="E172" s="16">
        <v>1</v>
      </c>
      <c r="F172" s="16">
        <v>51</v>
      </c>
      <c r="G172" s="16">
        <v>100</v>
      </c>
      <c r="H172" s="16">
        <v>999</v>
      </c>
      <c r="I172" s="16">
        <v>99</v>
      </c>
      <c r="J172" s="16">
        <v>999</v>
      </c>
      <c r="K172" s="16">
        <v>9</v>
      </c>
      <c r="L172" s="16">
        <v>99</v>
      </c>
      <c r="M172" s="16">
        <v>9</v>
      </c>
      <c r="N172" s="16">
        <v>3</v>
      </c>
      <c r="O172" s="16">
        <v>99999</v>
      </c>
      <c r="P172" s="233">
        <f t="shared" ca="1" si="9"/>
        <v>52253264.118624553</v>
      </c>
      <c r="Q172" s="233">
        <f ca="1">Resultado!D34</f>
        <v>52253264.118624553</v>
      </c>
    </row>
    <row r="173" spans="1:17" ht="15.75">
      <c r="A173" s="16" t="s">
        <v>831</v>
      </c>
      <c r="B173" s="16" t="s">
        <v>84</v>
      </c>
      <c r="C173" s="16" t="s">
        <v>889</v>
      </c>
      <c r="D173" s="16">
        <v>4</v>
      </c>
      <c r="E173" s="16">
        <v>1</v>
      </c>
      <c r="F173" s="16">
        <v>51</v>
      </c>
      <c r="G173" s="16">
        <v>101</v>
      </c>
      <c r="H173" s="16">
        <v>999</v>
      </c>
      <c r="I173" s="16">
        <v>99</v>
      </c>
      <c r="J173" s="16">
        <v>999</v>
      </c>
      <c r="K173" s="16">
        <v>9</v>
      </c>
      <c r="L173" s="16">
        <v>99</v>
      </c>
      <c r="M173" s="16">
        <v>9</v>
      </c>
      <c r="N173" s="16">
        <v>3</v>
      </c>
      <c r="O173" s="16">
        <v>99999</v>
      </c>
      <c r="P173" s="233">
        <f t="shared" si="9"/>
        <v>51369456.980000004</v>
      </c>
      <c r="Q173" s="233">
        <f>Resultado!D39</f>
        <v>51369456.980000004</v>
      </c>
    </row>
    <row r="174" spans="1:17" ht="15.75">
      <c r="A174" s="16" t="s">
        <v>831</v>
      </c>
      <c r="B174" s="16" t="s">
        <v>109</v>
      </c>
      <c r="C174" s="16" t="s">
        <v>889</v>
      </c>
      <c r="D174" s="16">
        <v>4</v>
      </c>
      <c r="E174" s="16">
        <v>1</v>
      </c>
      <c r="F174" s="16">
        <v>51</v>
      </c>
      <c r="G174" s="16">
        <v>104</v>
      </c>
      <c r="H174" s="16">
        <v>999</v>
      </c>
      <c r="I174" s="16">
        <v>3</v>
      </c>
      <c r="J174" s="16">
        <v>999</v>
      </c>
      <c r="K174" s="16">
        <v>9</v>
      </c>
      <c r="L174" s="16">
        <v>99</v>
      </c>
      <c r="M174" s="16">
        <v>9</v>
      </c>
      <c r="N174" s="16">
        <v>3</v>
      </c>
      <c r="O174" s="16">
        <v>99999</v>
      </c>
      <c r="P174" s="233">
        <f t="shared" ca="1" si="9"/>
        <v>16125385.617310021</v>
      </c>
      <c r="Q174" s="233">
        <f ca="1">Resultado!D14</f>
        <v>16125385.617310021</v>
      </c>
    </row>
    <row r="175" spans="1:17" ht="15.75">
      <c r="A175" s="16" t="s">
        <v>831</v>
      </c>
      <c r="B175" s="16" t="s">
        <v>847</v>
      </c>
      <c r="C175" s="16" t="s">
        <v>889</v>
      </c>
      <c r="D175" s="16">
        <v>4</v>
      </c>
      <c r="E175" s="16">
        <v>1</v>
      </c>
      <c r="F175" s="16">
        <v>51</v>
      </c>
      <c r="G175" s="16">
        <v>105</v>
      </c>
      <c r="H175" s="16">
        <v>999</v>
      </c>
      <c r="I175" s="16">
        <v>1</v>
      </c>
      <c r="J175" s="16">
        <v>999</v>
      </c>
      <c r="K175" s="16">
        <v>9</v>
      </c>
      <c r="L175" s="16">
        <v>99</v>
      </c>
      <c r="M175" s="16">
        <v>9</v>
      </c>
      <c r="N175" s="16">
        <v>3</v>
      </c>
      <c r="O175" s="16">
        <v>99999</v>
      </c>
      <c r="P175" s="233">
        <f t="shared" si="9"/>
        <v>14041281.290248398</v>
      </c>
      <c r="Q175" s="233">
        <f>Resultado!D24</f>
        <v>14041281.290248398</v>
      </c>
    </row>
    <row r="176" spans="1:17" ht="15.75">
      <c r="A176" s="16" t="s">
        <v>831</v>
      </c>
      <c r="B176" s="16" t="s">
        <v>1711</v>
      </c>
      <c r="C176" s="16" t="s">
        <v>1713</v>
      </c>
      <c r="D176" s="16">
        <v>4</v>
      </c>
      <c r="E176" s="16">
        <v>1</v>
      </c>
      <c r="F176" s="16">
        <v>51</v>
      </c>
      <c r="G176" s="16">
        <v>106</v>
      </c>
      <c r="H176" s="16">
        <v>999</v>
      </c>
      <c r="I176" s="16">
        <v>99</v>
      </c>
      <c r="J176" s="16">
        <v>999</v>
      </c>
      <c r="K176" s="16">
        <v>9</v>
      </c>
      <c r="L176" s="16">
        <v>99</v>
      </c>
      <c r="M176" s="16">
        <v>9</v>
      </c>
      <c r="N176" s="16">
        <v>3</v>
      </c>
      <c r="O176" s="16">
        <v>99999</v>
      </c>
      <c r="P176" s="233">
        <f t="shared" ca="1" si="9"/>
        <v>103622721.09862456</v>
      </c>
      <c r="Q176" s="233">
        <f ca="1">Resultado!C5</f>
        <v>103622721.09862456</v>
      </c>
    </row>
    <row r="177" spans="1:21" ht="15.75">
      <c r="A177" s="16" t="s">
        <v>831</v>
      </c>
      <c r="B177" s="16" t="s">
        <v>160</v>
      </c>
      <c r="C177" s="16" t="s">
        <v>1714</v>
      </c>
      <c r="D177" s="16">
        <v>4</v>
      </c>
      <c r="E177" s="16">
        <v>1</v>
      </c>
      <c r="F177" s="16">
        <v>51</v>
      </c>
      <c r="G177" s="16">
        <v>108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4</v>
      </c>
      <c r="O177" s="16">
        <v>99999</v>
      </c>
      <c r="P177" s="233">
        <f t="shared" ca="1" si="9"/>
        <v>2.9564742791086281E-2</v>
      </c>
      <c r="Q177" s="233">
        <f ca="1">Energia!N15</f>
        <v>2.9564742791086281E-2</v>
      </c>
    </row>
    <row r="178" spans="1:21" ht="15.75">
      <c r="A178" s="16" t="s">
        <v>831</v>
      </c>
      <c r="B178" s="16" t="s">
        <v>160</v>
      </c>
      <c r="C178" s="16" t="s">
        <v>1715</v>
      </c>
      <c r="D178" s="16">
        <v>4</v>
      </c>
      <c r="E178" s="16">
        <v>1</v>
      </c>
      <c r="F178" s="16">
        <v>51</v>
      </c>
      <c r="G178" s="16">
        <v>108</v>
      </c>
      <c r="H178" s="16">
        <v>999</v>
      </c>
      <c r="I178" s="16">
        <v>99</v>
      </c>
      <c r="J178" s="16">
        <v>999</v>
      </c>
      <c r="K178" s="16">
        <v>9</v>
      </c>
      <c r="L178" s="16">
        <v>99</v>
      </c>
      <c r="M178" s="16">
        <v>9</v>
      </c>
      <c r="N178" s="16">
        <v>2</v>
      </c>
      <c r="O178" s="16">
        <v>99999</v>
      </c>
      <c r="P178" s="233">
        <f t="shared" ca="1" si="9"/>
        <v>3785.1051428571436</v>
      </c>
      <c r="Q178" s="233">
        <f ca="1">Energia!N18+Energia!N19</f>
        <v>3785.1051428571436</v>
      </c>
    </row>
    <row r="179" spans="1:21" ht="15.75">
      <c r="A179" s="16" t="s">
        <v>834</v>
      </c>
      <c r="B179" s="16" t="s">
        <v>160</v>
      </c>
      <c r="C179" s="16" t="s">
        <v>889</v>
      </c>
      <c r="D179" s="16">
        <v>4</v>
      </c>
      <c r="E179" s="16">
        <v>1</v>
      </c>
      <c r="F179" s="16">
        <v>52</v>
      </c>
      <c r="G179" s="16">
        <v>55</v>
      </c>
      <c r="H179" s="16">
        <v>999</v>
      </c>
      <c r="I179" s="16">
        <v>99</v>
      </c>
      <c r="J179" s="16">
        <v>999</v>
      </c>
      <c r="K179" s="16">
        <v>9</v>
      </c>
      <c r="L179" s="16">
        <v>99</v>
      </c>
      <c r="M179" s="16">
        <v>9</v>
      </c>
      <c r="N179" s="16">
        <v>3</v>
      </c>
      <c r="O179" s="16">
        <v>99999</v>
      </c>
      <c r="P179" s="233">
        <f t="shared" ca="1" si="9"/>
        <v>18947799.110848572</v>
      </c>
      <c r="Q179" s="233">
        <f ca="1">Resultado!C33</f>
        <v>18947799.110848572</v>
      </c>
      <c r="R179" s="254"/>
      <c r="S179" s="254"/>
      <c r="T179" s="254"/>
      <c r="U179" s="254"/>
    </row>
    <row r="180" spans="1:21" ht="15.75">
      <c r="A180" s="16" t="s">
        <v>834</v>
      </c>
      <c r="B180" s="16" t="s">
        <v>1711</v>
      </c>
      <c r="C180" s="16" t="s">
        <v>1716</v>
      </c>
      <c r="D180" s="16">
        <v>4</v>
      </c>
      <c r="E180" s="16">
        <v>1</v>
      </c>
      <c r="F180" s="16">
        <v>52</v>
      </c>
      <c r="G180" s="16">
        <v>106</v>
      </c>
      <c r="H180" s="16">
        <v>999</v>
      </c>
      <c r="I180" s="16">
        <v>99</v>
      </c>
      <c r="J180" s="16">
        <v>999</v>
      </c>
      <c r="K180" s="16">
        <v>9</v>
      </c>
      <c r="L180" s="16">
        <v>99</v>
      </c>
      <c r="M180" s="16">
        <v>9</v>
      </c>
      <c r="N180" s="16">
        <v>3</v>
      </c>
      <c r="O180" s="16">
        <v>99999</v>
      </c>
      <c r="P180" s="233">
        <f t="shared" ca="1" si="9"/>
        <v>88715758.403659984</v>
      </c>
      <c r="Q180" s="233">
        <f ca="1">Mercado_RA0_Reais</f>
        <v>88715758.403659984</v>
      </c>
    </row>
    <row r="181" spans="1:21" ht="15.75">
      <c r="A181" s="16" t="s">
        <v>831</v>
      </c>
      <c r="B181" s="16" t="s">
        <v>1454</v>
      </c>
      <c r="C181" s="16" t="s">
        <v>889</v>
      </c>
      <c r="D181" s="16">
        <v>4</v>
      </c>
      <c r="E181" s="16">
        <v>2</v>
      </c>
      <c r="F181" s="16">
        <v>51</v>
      </c>
      <c r="G181" s="16">
        <v>102</v>
      </c>
      <c r="H181" s="16">
        <v>999</v>
      </c>
      <c r="I181" s="16">
        <v>99</v>
      </c>
      <c r="J181" s="16">
        <v>999</v>
      </c>
      <c r="K181" s="16">
        <v>9</v>
      </c>
      <c r="L181" s="16">
        <v>99</v>
      </c>
      <c r="M181" s="16">
        <v>9</v>
      </c>
      <c r="N181" s="16">
        <v>3</v>
      </c>
      <c r="O181" s="16">
        <v>99999</v>
      </c>
      <c r="P181" s="233">
        <f t="shared" ca="1" si="9"/>
        <v>-20114203.81163808</v>
      </c>
      <c r="Q181" s="233">
        <f ca="1">Financeiros!D7</f>
        <v>-20114203.81163808</v>
      </c>
    </row>
    <row r="182" spans="1:21" ht="15.75">
      <c r="A182" s="16" t="s">
        <v>831</v>
      </c>
      <c r="B182" s="16" t="s">
        <v>1454</v>
      </c>
      <c r="C182" s="16" t="s">
        <v>889</v>
      </c>
      <c r="D182" s="16">
        <v>4</v>
      </c>
      <c r="E182" s="16">
        <v>2</v>
      </c>
      <c r="F182" s="16">
        <v>51</v>
      </c>
      <c r="G182" s="16">
        <v>102</v>
      </c>
      <c r="H182" s="16">
        <v>999</v>
      </c>
      <c r="I182" s="16">
        <v>99</v>
      </c>
      <c r="J182" s="16">
        <v>999</v>
      </c>
      <c r="K182" s="16">
        <v>9</v>
      </c>
      <c r="L182" s="16">
        <v>99</v>
      </c>
      <c r="M182" s="16">
        <v>9</v>
      </c>
      <c r="N182" s="16">
        <v>4</v>
      </c>
      <c r="O182" s="16">
        <v>99999</v>
      </c>
      <c r="P182" s="233">
        <f t="shared" ca="1" si="9"/>
        <v>-0.22672639194626187</v>
      </c>
      <c r="Q182" s="233">
        <f ca="1">Financeiros!E7</f>
        <v>-0.22672639194626187</v>
      </c>
    </row>
    <row r="183" spans="1:21" ht="15.75">
      <c r="A183" s="16" t="s">
        <v>831</v>
      </c>
      <c r="B183" s="16" t="s">
        <v>1717</v>
      </c>
      <c r="C183" s="16" t="s">
        <v>1718</v>
      </c>
      <c r="D183" s="16">
        <v>4</v>
      </c>
      <c r="E183" s="16">
        <v>99</v>
      </c>
      <c r="F183" s="16">
        <v>51</v>
      </c>
      <c r="G183" s="16">
        <v>109</v>
      </c>
      <c r="H183" s="16">
        <v>999</v>
      </c>
      <c r="I183" s="16">
        <v>99</v>
      </c>
      <c r="J183" s="16">
        <v>999</v>
      </c>
      <c r="K183" s="16">
        <v>9</v>
      </c>
      <c r="L183" s="16">
        <v>99</v>
      </c>
      <c r="M183" s="16">
        <v>9</v>
      </c>
      <c r="N183" s="16">
        <v>3</v>
      </c>
      <c r="O183" s="16">
        <v>99999</v>
      </c>
      <c r="P183" s="233">
        <f t="shared" ca="1" si="9"/>
        <v>83508517.28698647</v>
      </c>
      <c r="Q183" s="233">
        <f ca="1">Resultado!C5+Financeiros!D7/(1+IF(Q169&gt;0,Q169,0))</f>
        <v>83508517.28698647</v>
      </c>
    </row>
    <row r="184" spans="1:21" ht="15.75">
      <c r="A184" t="s">
        <v>831</v>
      </c>
      <c r="B184" t="s">
        <v>109</v>
      </c>
      <c r="C184" t="s">
        <v>1704</v>
      </c>
      <c r="D184">
        <v>1</v>
      </c>
      <c r="E184">
        <v>1</v>
      </c>
      <c r="F184">
        <v>11</v>
      </c>
      <c r="G184">
        <v>20</v>
      </c>
      <c r="H184">
        <v>999</v>
      </c>
      <c r="I184">
        <v>3</v>
      </c>
      <c r="J184">
        <v>19</v>
      </c>
      <c r="K184">
        <v>9</v>
      </c>
      <c r="L184">
        <v>99</v>
      </c>
      <c r="M184">
        <v>9</v>
      </c>
      <c r="N184">
        <v>4</v>
      </c>
      <c r="O184">
        <v>99999</v>
      </c>
      <c r="P184" s="233">
        <f t="shared" si="9"/>
        <v>1E-14</v>
      </c>
      <c r="Q184" s="233">
        <f>Encargos!O6</f>
        <v>1E-14</v>
      </c>
    </row>
    <row r="185" spans="1:21" ht="15.75">
      <c r="A185" s="1013" t="s">
        <v>1703</v>
      </c>
      <c r="B185" s="1013" t="s">
        <v>1703</v>
      </c>
      <c r="C185" s="1013" t="s">
        <v>1703</v>
      </c>
      <c r="D185" s="1013">
        <v>99</v>
      </c>
      <c r="E185" s="1013">
        <v>99</v>
      </c>
      <c r="F185" s="1013">
        <v>999</v>
      </c>
      <c r="G185" s="1013">
        <v>999999</v>
      </c>
      <c r="H185" s="1013">
        <v>999</v>
      </c>
      <c r="I185" s="1013">
        <v>99</v>
      </c>
      <c r="J185" s="1013">
        <v>999</v>
      </c>
      <c r="K185" s="1013">
        <v>9</v>
      </c>
      <c r="L185" s="1013">
        <v>99</v>
      </c>
      <c r="M185" s="1013">
        <v>9</v>
      </c>
      <c r="N185" s="1013">
        <v>99</v>
      </c>
      <c r="O185" s="1013">
        <v>99999</v>
      </c>
      <c r="P185" s="400">
        <f t="shared" si="9"/>
        <v>0</v>
      </c>
      <c r="Q185" s="400">
        <v>0</v>
      </c>
    </row>
    <row r="186" spans="1:21" ht="15.75">
      <c r="A186" s="1013" t="s">
        <v>1703</v>
      </c>
      <c r="B186" s="1013" t="s">
        <v>1703</v>
      </c>
      <c r="C186" s="1013" t="s">
        <v>1703</v>
      </c>
      <c r="D186" s="1013">
        <v>99</v>
      </c>
      <c r="E186" s="1013">
        <v>99</v>
      </c>
      <c r="F186" s="1013">
        <v>999</v>
      </c>
      <c r="G186" s="1013">
        <v>999999</v>
      </c>
      <c r="H186" s="1013">
        <v>999</v>
      </c>
      <c r="I186" s="1013">
        <v>99</v>
      </c>
      <c r="J186" s="1013">
        <v>999</v>
      </c>
      <c r="K186" s="1013">
        <v>9</v>
      </c>
      <c r="L186" s="1013">
        <v>99</v>
      </c>
      <c r="M186" s="1013">
        <v>9</v>
      </c>
      <c r="N186" s="1013">
        <v>99</v>
      </c>
      <c r="O186" s="1013">
        <v>99999</v>
      </c>
      <c r="P186" s="400">
        <f t="shared" si="9"/>
        <v>0</v>
      </c>
      <c r="Q186" s="400">
        <v>0</v>
      </c>
    </row>
    <row r="187" spans="1:21" ht="15.75">
      <c r="A187" s="1013" t="s">
        <v>1703</v>
      </c>
      <c r="B187" s="1013" t="s">
        <v>1703</v>
      </c>
      <c r="C187" s="1013" t="s">
        <v>1703</v>
      </c>
      <c r="D187" s="1013">
        <v>99</v>
      </c>
      <c r="E187" s="1013">
        <v>99</v>
      </c>
      <c r="F187" s="1013">
        <v>999</v>
      </c>
      <c r="G187" s="1013">
        <v>999999</v>
      </c>
      <c r="H187" s="1013">
        <v>999</v>
      </c>
      <c r="I187" s="1013">
        <v>99</v>
      </c>
      <c r="J187" s="1013">
        <v>999</v>
      </c>
      <c r="K187" s="1013">
        <v>9</v>
      </c>
      <c r="L187" s="1013">
        <v>99</v>
      </c>
      <c r="M187" s="1013">
        <v>9</v>
      </c>
      <c r="N187" s="1013">
        <v>99</v>
      </c>
      <c r="O187" s="1013">
        <v>99999</v>
      </c>
      <c r="P187" s="400">
        <f t="shared" si="9"/>
        <v>0</v>
      </c>
      <c r="Q187" s="400">
        <v>0</v>
      </c>
    </row>
    <row r="188" spans="1:21" ht="15.75">
      <c r="A188" t="s">
        <v>831</v>
      </c>
      <c r="B188" t="s">
        <v>1027</v>
      </c>
      <c r="C188" t="s">
        <v>1710</v>
      </c>
      <c r="D188">
        <v>1</v>
      </c>
      <c r="E188">
        <v>3</v>
      </c>
      <c r="F188">
        <v>50</v>
      </c>
      <c r="G188">
        <v>1</v>
      </c>
      <c r="H188">
        <v>999</v>
      </c>
      <c r="I188">
        <v>99</v>
      </c>
      <c r="J188">
        <v>999</v>
      </c>
      <c r="K188">
        <v>9</v>
      </c>
      <c r="L188">
        <v>99</v>
      </c>
      <c r="M188">
        <v>9</v>
      </c>
      <c r="N188">
        <v>4</v>
      </c>
      <c r="O188">
        <v>99999</v>
      </c>
      <c r="P188" s="233">
        <f t="shared" si="9"/>
        <v>0</v>
      </c>
      <c r="Q188" s="253">
        <f>IF(CAPA!P1="VERDADEIRO",0,Calc_Mercado!J15)</f>
        <v>0</v>
      </c>
    </row>
    <row r="189" spans="1:21" ht="15.75">
      <c r="A189" s="16" t="s">
        <v>831</v>
      </c>
      <c r="B189" s="16" t="s">
        <v>160</v>
      </c>
      <c r="C189" s="16" t="s">
        <v>875</v>
      </c>
      <c r="D189" s="16">
        <v>4</v>
      </c>
      <c r="E189" s="16">
        <v>1</v>
      </c>
      <c r="F189" s="16">
        <v>51</v>
      </c>
      <c r="G189" s="16">
        <v>55</v>
      </c>
      <c r="H189" s="16">
        <v>999</v>
      </c>
      <c r="I189" s="16">
        <v>99</v>
      </c>
      <c r="J189" s="16">
        <v>999</v>
      </c>
      <c r="K189" s="16">
        <v>9</v>
      </c>
      <c r="L189" s="16">
        <v>99</v>
      </c>
      <c r="M189" s="16">
        <v>9</v>
      </c>
      <c r="N189" s="16">
        <v>2</v>
      </c>
      <c r="O189" s="16">
        <v>99999</v>
      </c>
      <c r="P189" s="233">
        <f t="shared" ca="1" si="9"/>
        <v>131812.77545285714</v>
      </c>
      <c r="Q189" s="233">
        <f ca="1">Energia!C5</f>
        <v>131812.77545285714</v>
      </c>
    </row>
    <row r="190" spans="1:21" ht="15.75">
      <c r="A190" s="16" t="s">
        <v>831</v>
      </c>
      <c r="B190" s="16" t="s">
        <v>160</v>
      </c>
      <c r="C190" s="16" t="s">
        <v>875</v>
      </c>
      <c r="D190" s="16">
        <v>4</v>
      </c>
      <c r="E190" s="16">
        <v>1</v>
      </c>
      <c r="F190" s="16">
        <v>51</v>
      </c>
      <c r="G190" s="16">
        <v>55</v>
      </c>
      <c r="H190" s="16">
        <v>999</v>
      </c>
      <c r="I190" s="16">
        <v>99</v>
      </c>
      <c r="J190" s="16">
        <v>999</v>
      </c>
      <c r="K190" s="16">
        <v>9</v>
      </c>
      <c r="L190" s="16">
        <v>99</v>
      </c>
      <c r="M190" s="16">
        <v>9</v>
      </c>
      <c r="N190" s="16">
        <v>3</v>
      </c>
      <c r="O190" s="16">
        <v>99999</v>
      </c>
      <c r="P190" s="233">
        <f t="shared" ca="1" si="9"/>
        <v>22086597.211066131</v>
      </c>
      <c r="Q190" s="233">
        <f ca="1">Energia!C14</f>
        <v>22086597.211066131</v>
      </c>
    </row>
    <row r="191" spans="1:21" ht="15.75">
      <c r="A191" s="16" t="s">
        <v>831</v>
      </c>
      <c r="B191" s="16" t="s">
        <v>160</v>
      </c>
      <c r="C191" s="16" t="s">
        <v>1719</v>
      </c>
      <c r="D191" s="16">
        <v>4</v>
      </c>
      <c r="E191" s="16">
        <v>1</v>
      </c>
      <c r="F191" s="16">
        <v>51</v>
      </c>
      <c r="G191" s="16">
        <v>107</v>
      </c>
      <c r="H191" s="16">
        <v>999</v>
      </c>
      <c r="I191" s="16">
        <v>99</v>
      </c>
      <c r="J191" s="16">
        <v>999</v>
      </c>
      <c r="K191" s="16">
        <v>9</v>
      </c>
      <c r="L191" s="16">
        <v>99</v>
      </c>
      <c r="M191" s="16">
        <v>9</v>
      </c>
      <c r="N191" s="16">
        <v>2</v>
      </c>
      <c r="O191" s="16">
        <v>99999</v>
      </c>
      <c r="P191" s="233">
        <f t="shared" ca="1" si="9"/>
        <v>13446.92445285714</v>
      </c>
      <c r="Q191" s="233">
        <f ca="1">SUM(LnkTXTPerdas)</f>
        <v>13446.92445285714</v>
      </c>
    </row>
    <row r="192" spans="1:21" ht="15.75">
      <c r="A192" s="16" t="s">
        <v>831</v>
      </c>
      <c r="B192" s="16" t="s">
        <v>1717</v>
      </c>
      <c r="C192" s="16" t="s">
        <v>1720</v>
      </c>
      <c r="D192" s="16">
        <v>4</v>
      </c>
      <c r="E192" s="16">
        <v>3</v>
      </c>
      <c r="F192" s="16">
        <v>50</v>
      </c>
      <c r="G192" s="16">
        <v>114</v>
      </c>
      <c r="H192" s="16">
        <v>999</v>
      </c>
      <c r="I192" s="16">
        <v>99</v>
      </c>
      <c r="J192" s="16">
        <v>999</v>
      </c>
      <c r="K192" s="16">
        <v>9</v>
      </c>
      <c r="L192" s="16">
        <v>99</v>
      </c>
      <c r="M192" s="16">
        <v>9</v>
      </c>
      <c r="N192" s="16">
        <v>1</v>
      </c>
      <c r="O192" s="16">
        <v>99999</v>
      </c>
      <c r="P192" s="233">
        <f t="shared" ref="P192:P226" ca="1" si="14">IF(ISNUMBER(Q192),Q192,0)</f>
        <v>247372</v>
      </c>
      <c r="Q192" s="233">
        <f ca="1">SUM(INDIRECT("dados_MercadoBase[D]"))</f>
        <v>247372</v>
      </c>
    </row>
    <row r="193" spans="1:19" ht="15.75">
      <c r="A193" s="16" t="s">
        <v>831</v>
      </c>
      <c r="B193" s="16" t="s">
        <v>1717</v>
      </c>
      <c r="C193" s="16" t="s">
        <v>1721</v>
      </c>
      <c r="D193" s="16">
        <v>4</v>
      </c>
      <c r="E193" s="16">
        <v>3</v>
      </c>
      <c r="F193" s="16">
        <v>50</v>
      </c>
      <c r="G193" s="16">
        <v>116</v>
      </c>
      <c r="H193" s="16">
        <v>999</v>
      </c>
      <c r="I193" s="16">
        <v>99</v>
      </c>
      <c r="J193" s="16">
        <v>999</v>
      </c>
      <c r="K193" s="16">
        <v>9</v>
      </c>
      <c r="L193" s="16">
        <v>99</v>
      </c>
      <c r="M193" s="16">
        <v>9</v>
      </c>
      <c r="N193" s="16">
        <v>2</v>
      </c>
      <c r="O193" s="16">
        <v>99999</v>
      </c>
      <c r="P193" s="233">
        <f t="shared" ca="1" si="14"/>
        <v>118365.85100000001</v>
      </c>
      <c r="Q193" s="233">
        <f ca="1">SUM(INDIRECT("dados_MercadoBase[TUSD_E]"))</f>
        <v>118365.85100000001</v>
      </c>
    </row>
    <row r="194" spans="1:19" ht="15.75">
      <c r="A194" t="s">
        <v>834</v>
      </c>
      <c r="B194" t="s">
        <v>847</v>
      </c>
      <c r="C194" t="s">
        <v>1722</v>
      </c>
      <c r="D194">
        <v>2</v>
      </c>
      <c r="E194">
        <v>1</v>
      </c>
      <c r="F194">
        <v>52</v>
      </c>
      <c r="G194">
        <v>999999</v>
      </c>
      <c r="H194">
        <v>999</v>
      </c>
      <c r="I194">
        <v>1</v>
      </c>
      <c r="J194">
        <v>1</v>
      </c>
      <c r="K194">
        <v>1</v>
      </c>
      <c r="L194">
        <v>99</v>
      </c>
      <c r="M194">
        <v>9</v>
      </c>
      <c r="N194">
        <v>3</v>
      </c>
      <c r="O194">
        <v>99999</v>
      </c>
      <c r="P194" s="233">
        <f t="shared" ca="1" si="14"/>
        <v>0</v>
      </c>
      <c r="Q194" s="233">
        <f ca="1">Resultado!C25</f>
        <v>0</v>
      </c>
    </row>
    <row r="195" spans="1:19" ht="15.75">
      <c r="A195" t="s">
        <v>834</v>
      </c>
      <c r="B195" t="s">
        <v>847</v>
      </c>
      <c r="C195" t="s">
        <v>1331</v>
      </c>
      <c r="D195">
        <v>2</v>
      </c>
      <c r="E195">
        <v>1</v>
      </c>
      <c r="F195">
        <v>52</v>
      </c>
      <c r="G195">
        <v>999999</v>
      </c>
      <c r="H195">
        <v>999</v>
      </c>
      <c r="I195">
        <v>1</v>
      </c>
      <c r="J195">
        <v>2</v>
      </c>
      <c r="K195">
        <v>1</v>
      </c>
      <c r="L195">
        <v>99</v>
      </c>
      <c r="M195">
        <v>9</v>
      </c>
      <c r="N195">
        <v>3</v>
      </c>
      <c r="O195">
        <v>99999</v>
      </c>
      <c r="P195" s="233">
        <f t="shared" ca="1" si="14"/>
        <v>0</v>
      </c>
      <c r="Q195" s="233">
        <f ca="1">Resultado!C26</f>
        <v>0</v>
      </c>
    </row>
    <row r="196" spans="1:19" ht="15.75">
      <c r="A196" t="s">
        <v>834</v>
      </c>
      <c r="B196" t="s">
        <v>847</v>
      </c>
      <c r="C196" t="s">
        <v>1668</v>
      </c>
      <c r="D196">
        <v>2</v>
      </c>
      <c r="E196">
        <v>1</v>
      </c>
      <c r="F196">
        <v>52</v>
      </c>
      <c r="G196">
        <v>999999</v>
      </c>
      <c r="H196">
        <v>999</v>
      </c>
      <c r="I196">
        <v>1</v>
      </c>
      <c r="J196">
        <v>3</v>
      </c>
      <c r="K196">
        <v>1</v>
      </c>
      <c r="L196">
        <v>99</v>
      </c>
      <c r="M196">
        <v>9</v>
      </c>
      <c r="N196">
        <v>3</v>
      </c>
      <c r="O196">
        <v>99999</v>
      </c>
      <c r="P196" s="233">
        <f t="shared" ca="1" si="14"/>
        <v>0</v>
      </c>
      <c r="Q196" s="233">
        <f ca="1">Resultado!C31</f>
        <v>0</v>
      </c>
    </row>
    <row r="197" spans="1:19" ht="15.75">
      <c r="A197" t="s">
        <v>834</v>
      </c>
      <c r="B197" t="s">
        <v>847</v>
      </c>
      <c r="C197" t="s">
        <v>1669</v>
      </c>
      <c r="D197">
        <v>2</v>
      </c>
      <c r="E197">
        <v>1</v>
      </c>
      <c r="F197">
        <v>52</v>
      </c>
      <c r="G197">
        <v>999999</v>
      </c>
      <c r="H197">
        <v>999</v>
      </c>
      <c r="I197">
        <v>1</v>
      </c>
      <c r="J197">
        <v>5</v>
      </c>
      <c r="K197">
        <v>1</v>
      </c>
      <c r="L197">
        <v>99</v>
      </c>
      <c r="M197">
        <v>9</v>
      </c>
      <c r="N197">
        <v>3</v>
      </c>
      <c r="O197">
        <v>99999</v>
      </c>
      <c r="P197" s="233">
        <f t="shared" si="14"/>
        <v>0</v>
      </c>
      <c r="Q197" s="233">
        <f>Resultado!C27</f>
        <v>0</v>
      </c>
    </row>
    <row r="198" spans="1:19" ht="15.75">
      <c r="A198" t="s">
        <v>834</v>
      </c>
      <c r="B198" t="s">
        <v>847</v>
      </c>
      <c r="C198" t="s">
        <v>1670</v>
      </c>
      <c r="D198">
        <v>2</v>
      </c>
      <c r="E198">
        <v>1</v>
      </c>
      <c r="F198">
        <v>52</v>
      </c>
      <c r="G198">
        <v>999999</v>
      </c>
      <c r="H198">
        <v>999</v>
      </c>
      <c r="I198">
        <v>1</v>
      </c>
      <c r="J198">
        <v>6</v>
      </c>
      <c r="K198">
        <v>1</v>
      </c>
      <c r="L198">
        <v>99</v>
      </c>
      <c r="M198">
        <v>9</v>
      </c>
      <c r="N198">
        <v>3</v>
      </c>
      <c r="O198">
        <v>99999</v>
      </c>
      <c r="P198" s="233">
        <f t="shared" si="14"/>
        <v>0</v>
      </c>
      <c r="Q198" s="233">
        <f>Resultado!C28</f>
        <v>0</v>
      </c>
    </row>
    <row r="199" spans="1:19" ht="15.75">
      <c r="A199" s="9" t="s">
        <v>831</v>
      </c>
      <c r="B199" t="s">
        <v>847</v>
      </c>
      <c r="C199" s="9" t="s">
        <v>1723</v>
      </c>
      <c r="D199">
        <v>1</v>
      </c>
      <c r="E199">
        <v>1</v>
      </c>
      <c r="F199">
        <v>51</v>
      </c>
      <c r="G199">
        <v>999999</v>
      </c>
      <c r="H199">
        <v>999</v>
      </c>
      <c r="I199">
        <v>1</v>
      </c>
      <c r="J199">
        <v>3</v>
      </c>
      <c r="K199">
        <v>9</v>
      </c>
      <c r="L199">
        <v>99</v>
      </c>
      <c r="M199">
        <v>9</v>
      </c>
      <c r="N199">
        <v>3</v>
      </c>
      <c r="O199">
        <v>99999</v>
      </c>
      <c r="P199" s="233">
        <f t="shared" si="14"/>
        <v>0</v>
      </c>
      <c r="Q199" s="253">
        <f>Resultado!D31</f>
        <v>0</v>
      </c>
    </row>
    <row r="200" spans="1:19" ht="15.75">
      <c r="A200" t="s">
        <v>831</v>
      </c>
      <c r="B200" t="s">
        <v>1717</v>
      </c>
      <c r="C200" s="9" t="s">
        <v>1724</v>
      </c>
      <c r="D200">
        <v>4</v>
      </c>
      <c r="E200">
        <v>3</v>
      </c>
      <c r="F200">
        <v>50</v>
      </c>
      <c r="G200">
        <v>117</v>
      </c>
      <c r="H200">
        <v>999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2</v>
      </c>
      <c r="O200">
        <v>99999</v>
      </c>
      <c r="P200" s="233">
        <f t="shared" ca="1" si="14"/>
        <v>118365.85100000001</v>
      </c>
      <c r="Q200" s="233">
        <f ca="1">SUM(INDIRECT("dados_MercadoBase[TE_E]"))</f>
        <v>118365.85100000001</v>
      </c>
    </row>
    <row r="201" spans="1:19" ht="15.75">
      <c r="A201" t="s">
        <v>831</v>
      </c>
      <c r="B201" t="s">
        <v>1725</v>
      </c>
      <c r="C201" s="9" t="s">
        <v>1726</v>
      </c>
      <c r="D201" s="416">
        <v>1</v>
      </c>
      <c r="E201" s="416">
        <v>1</v>
      </c>
      <c r="F201" s="416">
        <v>15</v>
      </c>
      <c r="G201" s="416">
        <v>175</v>
      </c>
      <c r="H201" s="416">
        <v>999</v>
      </c>
      <c r="I201" s="416">
        <v>4</v>
      </c>
      <c r="J201" s="416">
        <v>999</v>
      </c>
      <c r="K201" s="416">
        <v>9</v>
      </c>
      <c r="L201" s="416">
        <v>99</v>
      </c>
      <c r="M201" s="416">
        <v>9</v>
      </c>
      <c r="N201" s="416">
        <v>4</v>
      </c>
      <c r="O201" s="416">
        <v>99999</v>
      </c>
      <c r="P201" s="418">
        <f>IF(ISNUMBER(Q201),Q201,0)</f>
        <v>8.1942000000000001E-2</v>
      </c>
      <c r="Q201" s="418">
        <f>VLOOKUP(LnkTXTSigla,Informacoes[],8,FALSE)</f>
        <v>8.1942000000000001E-2</v>
      </c>
    </row>
    <row r="202" spans="1:19" ht="15.75">
      <c r="A202" t="s">
        <v>831</v>
      </c>
      <c r="B202" t="s">
        <v>1725</v>
      </c>
      <c r="C202" s="9" t="s">
        <v>1727</v>
      </c>
      <c r="D202" s="416">
        <v>1</v>
      </c>
      <c r="E202" s="416">
        <v>1</v>
      </c>
      <c r="F202" s="416">
        <v>15</v>
      </c>
      <c r="G202" s="416">
        <v>174</v>
      </c>
      <c r="H202" s="416">
        <v>999</v>
      </c>
      <c r="I202" s="416">
        <v>4</v>
      </c>
      <c r="J202" s="416">
        <v>999</v>
      </c>
      <c r="K202" s="416">
        <v>9</v>
      </c>
      <c r="L202" s="416">
        <v>99</v>
      </c>
      <c r="M202" s="416">
        <v>9</v>
      </c>
      <c r="N202" s="416">
        <v>4</v>
      </c>
      <c r="O202" s="420">
        <v>99999</v>
      </c>
      <c r="P202" s="418">
        <f>IF(ISNUMBER(Q202),Q202,0)</f>
        <v>0.04</v>
      </c>
      <c r="Q202" s="418">
        <v>0.04</v>
      </c>
    </row>
    <row r="203" spans="1:19" ht="15.75">
      <c r="A203" t="s">
        <v>831</v>
      </c>
      <c r="B203" t="s">
        <v>1725</v>
      </c>
      <c r="C203" s="9" t="s">
        <v>1728</v>
      </c>
      <c r="D203" s="416">
        <v>1</v>
      </c>
      <c r="E203" s="416">
        <v>1</v>
      </c>
      <c r="F203" s="416">
        <v>196</v>
      </c>
      <c r="G203" s="416">
        <v>250</v>
      </c>
      <c r="H203" s="416">
        <v>999</v>
      </c>
      <c r="I203" s="416">
        <v>4</v>
      </c>
      <c r="J203" s="416">
        <v>999</v>
      </c>
      <c r="K203" s="416">
        <v>9</v>
      </c>
      <c r="L203" s="416">
        <v>99</v>
      </c>
      <c r="M203" s="416">
        <v>9</v>
      </c>
      <c r="N203" s="416">
        <v>3</v>
      </c>
      <c r="O203" s="420">
        <v>99999</v>
      </c>
      <c r="P203" s="417">
        <f>IF(ISNUMBER(Q203),Q203,0)</f>
        <v>27280730.07</v>
      </c>
      <c r="Q203" s="422">
        <f>CAPA!D32</f>
        <v>27280730.07</v>
      </c>
      <c r="S203" s="9"/>
    </row>
    <row r="204" spans="1:19" ht="15.75">
      <c r="A204" t="s">
        <v>831</v>
      </c>
      <c r="B204" t="s">
        <v>1725</v>
      </c>
      <c r="C204" s="9" t="s">
        <v>1729</v>
      </c>
      <c r="D204" s="416">
        <v>1</v>
      </c>
      <c r="E204" s="416">
        <v>1</v>
      </c>
      <c r="F204" s="416">
        <v>14</v>
      </c>
      <c r="G204" s="416">
        <v>31</v>
      </c>
      <c r="H204" s="416">
        <v>999</v>
      </c>
      <c r="I204" s="416">
        <v>4</v>
      </c>
      <c r="J204" s="416">
        <v>999</v>
      </c>
      <c r="K204" s="416">
        <v>9</v>
      </c>
      <c r="L204" s="416">
        <v>99</v>
      </c>
      <c r="M204" s="416">
        <v>9</v>
      </c>
      <c r="N204" s="416">
        <v>4</v>
      </c>
      <c r="O204" s="416">
        <v>99999</v>
      </c>
      <c r="P204" s="253">
        <v>0</v>
      </c>
      <c r="Q204" s="253">
        <v>0</v>
      </c>
    </row>
    <row r="205" spans="1:19" ht="15.75">
      <c r="A205" t="s">
        <v>831</v>
      </c>
      <c r="B205" t="s">
        <v>1725</v>
      </c>
      <c r="C205" s="9" t="s">
        <v>1730</v>
      </c>
      <c r="D205" s="416">
        <v>1</v>
      </c>
      <c r="E205" s="416">
        <v>1</v>
      </c>
      <c r="F205" s="416">
        <v>15</v>
      </c>
      <c r="G205" s="416">
        <v>176</v>
      </c>
      <c r="H205" s="416">
        <v>999</v>
      </c>
      <c r="I205" s="416">
        <v>4</v>
      </c>
      <c r="J205" s="416">
        <v>999</v>
      </c>
      <c r="K205" s="416">
        <v>9</v>
      </c>
      <c r="L205" s="416">
        <v>99</v>
      </c>
      <c r="M205" s="416">
        <v>9</v>
      </c>
      <c r="N205" s="416">
        <v>3</v>
      </c>
      <c r="O205" s="416">
        <v>99999</v>
      </c>
      <c r="P205" s="253">
        <f t="shared" si="14"/>
        <v>24088726.91</v>
      </c>
      <c r="Q205" s="253">
        <f>CAPA!D33</f>
        <v>24088726.91</v>
      </c>
    </row>
    <row r="206" spans="1:19" ht="15.75">
      <c r="A206" t="s">
        <v>831</v>
      </c>
      <c r="B206" t="s">
        <v>1725</v>
      </c>
      <c r="C206" s="9" t="s">
        <v>1731</v>
      </c>
      <c r="D206" s="416">
        <v>1</v>
      </c>
      <c r="E206" s="416">
        <v>1</v>
      </c>
      <c r="F206" s="416">
        <v>203</v>
      </c>
      <c r="G206" s="416">
        <v>247</v>
      </c>
      <c r="H206" s="416">
        <v>999</v>
      </c>
      <c r="I206" s="416">
        <v>4</v>
      </c>
      <c r="J206" s="416">
        <v>999</v>
      </c>
      <c r="K206" s="416">
        <v>9</v>
      </c>
      <c r="L206" s="416">
        <v>99</v>
      </c>
      <c r="M206" s="416">
        <v>9</v>
      </c>
      <c r="N206" s="416">
        <v>3</v>
      </c>
      <c r="O206" s="416">
        <v>99999</v>
      </c>
      <c r="P206" s="233">
        <f t="shared" si="14"/>
        <v>51369456.980000004</v>
      </c>
      <c r="Q206" s="233">
        <f>Resultado!D39</f>
        <v>51369456.980000004</v>
      </c>
    </row>
    <row r="207" spans="1:19" ht="15.75">
      <c r="A207" t="s">
        <v>831</v>
      </c>
      <c r="B207" t="s">
        <v>1725</v>
      </c>
      <c r="C207" t="s">
        <v>296</v>
      </c>
      <c r="D207" s="416">
        <v>1</v>
      </c>
      <c r="E207" s="416">
        <v>1</v>
      </c>
      <c r="F207" s="416">
        <v>15</v>
      </c>
      <c r="G207" s="416">
        <v>194</v>
      </c>
      <c r="H207" s="416">
        <v>999</v>
      </c>
      <c r="I207" s="416">
        <v>4</v>
      </c>
      <c r="J207" s="416">
        <v>999</v>
      </c>
      <c r="K207" s="416">
        <v>9</v>
      </c>
      <c r="L207" s="416">
        <v>99</v>
      </c>
      <c r="M207" s="416">
        <v>9</v>
      </c>
      <c r="N207" s="416">
        <v>4</v>
      </c>
      <c r="O207" s="416">
        <v>99999</v>
      </c>
      <c r="P207" s="233">
        <f t="shared" si="14"/>
        <v>0.4078</v>
      </c>
      <c r="Q207" s="248">
        <f>VLOOKUP(LnkTXTSigla,Informacoes[],16,FALSE)</f>
        <v>0.4078</v>
      </c>
    </row>
    <row r="208" spans="1:19" ht="15.75">
      <c r="A208" t="s">
        <v>1717</v>
      </c>
      <c r="B208" t="s">
        <v>1732</v>
      </c>
      <c r="C208" t="s">
        <v>1733</v>
      </c>
      <c r="D208">
        <v>3</v>
      </c>
      <c r="E208">
        <v>99</v>
      </c>
      <c r="F208">
        <v>24</v>
      </c>
      <c r="G208">
        <v>63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3">
        <f t="shared" si="14"/>
        <v>0</v>
      </c>
      <c r="Q208" s="233">
        <f>'Tabelas e Gráficos'!BP288</f>
        <v>0</v>
      </c>
    </row>
    <row r="209" spans="1:17" ht="15.75">
      <c r="A209" t="s">
        <v>1717</v>
      </c>
      <c r="B209" t="s">
        <v>1732</v>
      </c>
      <c r="C209" t="s">
        <v>1734</v>
      </c>
      <c r="D209">
        <v>3</v>
      </c>
      <c r="E209">
        <v>99</v>
      </c>
      <c r="F209">
        <v>24</v>
      </c>
      <c r="G209">
        <v>63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3">
        <f t="shared" si="14"/>
        <v>197.61129281364506</v>
      </c>
      <c r="Q209" s="233">
        <f>'Tabelas e Gráficos'!BP289</f>
        <v>197.61129281364506</v>
      </c>
    </row>
    <row r="210" spans="1:17" ht="15.75">
      <c r="A210" t="s">
        <v>1717</v>
      </c>
      <c r="B210" t="s">
        <v>1732</v>
      </c>
      <c r="C210" t="s">
        <v>1735</v>
      </c>
      <c r="D210">
        <v>3</v>
      </c>
      <c r="E210">
        <v>99</v>
      </c>
      <c r="F210">
        <v>24</v>
      </c>
      <c r="G210">
        <v>63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3">
        <f t="shared" si="14"/>
        <v>0</v>
      </c>
      <c r="Q210" s="233">
        <f>'Tabelas e Gráficos'!BP290</f>
        <v>0</v>
      </c>
    </row>
    <row r="211" spans="1:17" ht="15.75">
      <c r="A211" t="s">
        <v>1717</v>
      </c>
      <c r="B211" t="s">
        <v>1732</v>
      </c>
      <c r="C211" t="s">
        <v>1736</v>
      </c>
      <c r="D211">
        <v>3</v>
      </c>
      <c r="E211">
        <v>99</v>
      </c>
      <c r="F211">
        <v>24</v>
      </c>
      <c r="G211">
        <v>63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3">
        <f t="shared" si="14"/>
        <v>50.437457580412833</v>
      </c>
      <c r="Q211" s="233">
        <f>'Tabelas e Gráficos'!BP291</f>
        <v>50.437457580412833</v>
      </c>
    </row>
    <row r="212" spans="1:17" ht="15.75">
      <c r="A212" t="s">
        <v>1717</v>
      </c>
      <c r="B212" t="s">
        <v>1732</v>
      </c>
      <c r="C212" t="s">
        <v>1737</v>
      </c>
      <c r="D212">
        <v>3</v>
      </c>
      <c r="E212">
        <v>99</v>
      </c>
      <c r="F212">
        <v>24</v>
      </c>
      <c r="G212">
        <v>63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3">
        <f t="shared" si="14"/>
        <v>3480.7104421435702</v>
      </c>
      <c r="Q212" s="233">
        <f>'Tabelas e Gráficos'!BP292</f>
        <v>3480.7104421435702</v>
      </c>
    </row>
    <row r="213" spans="1:17" ht="15.75">
      <c r="A213" t="s">
        <v>1717</v>
      </c>
      <c r="B213" t="s">
        <v>1732</v>
      </c>
      <c r="C213" t="s">
        <v>1738</v>
      </c>
      <c r="D213">
        <v>3</v>
      </c>
      <c r="E213">
        <v>99</v>
      </c>
      <c r="F213">
        <v>24</v>
      </c>
      <c r="G213">
        <v>63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3">
        <f t="shared" si="14"/>
        <v>9839.7683707851102</v>
      </c>
      <c r="Q213" s="233">
        <f>'Tabelas e Gráficos'!BP293</f>
        <v>9839.7683707851102</v>
      </c>
    </row>
    <row r="214" spans="1:17" ht="15.75">
      <c r="A214" t="s">
        <v>1717</v>
      </c>
      <c r="B214" t="s">
        <v>1732</v>
      </c>
      <c r="C214" t="s">
        <v>1739</v>
      </c>
      <c r="D214">
        <v>3</v>
      </c>
      <c r="E214">
        <v>99</v>
      </c>
      <c r="F214">
        <v>24</v>
      </c>
      <c r="G214">
        <v>61</v>
      </c>
      <c r="H214">
        <v>110</v>
      </c>
      <c r="I214">
        <v>99</v>
      </c>
      <c r="J214">
        <v>999</v>
      </c>
      <c r="K214">
        <v>9</v>
      </c>
      <c r="L214">
        <v>99</v>
      </c>
      <c r="M214">
        <v>9</v>
      </c>
      <c r="N214">
        <v>3</v>
      </c>
      <c r="O214">
        <v>99999</v>
      </c>
      <c r="P214" s="233">
        <f t="shared" si="14"/>
        <v>0</v>
      </c>
      <c r="Q214" s="233">
        <f>'Tabelas e Gráficos'!BQ288</f>
        <v>0</v>
      </c>
    </row>
    <row r="215" spans="1:17" ht="15.75">
      <c r="A215" t="s">
        <v>1717</v>
      </c>
      <c r="B215" t="s">
        <v>1732</v>
      </c>
      <c r="C215" t="s">
        <v>1740</v>
      </c>
      <c r="D215">
        <v>3</v>
      </c>
      <c r="E215">
        <v>99</v>
      </c>
      <c r="F215">
        <v>24</v>
      </c>
      <c r="G215">
        <v>61</v>
      </c>
      <c r="H215">
        <v>111</v>
      </c>
      <c r="I215">
        <v>99</v>
      </c>
      <c r="J215">
        <v>999</v>
      </c>
      <c r="K215">
        <v>9</v>
      </c>
      <c r="L215">
        <v>99</v>
      </c>
      <c r="M215">
        <v>9</v>
      </c>
      <c r="N215">
        <v>3</v>
      </c>
      <c r="O215">
        <v>99999</v>
      </c>
      <c r="P215" s="233">
        <f t="shared" si="14"/>
        <v>28803.210192426533</v>
      </c>
      <c r="Q215" s="233">
        <f>'Tabelas e Gráficos'!BQ289</f>
        <v>28803.210192426533</v>
      </c>
    </row>
    <row r="216" spans="1:17" ht="15.75">
      <c r="A216" t="s">
        <v>1717</v>
      </c>
      <c r="B216" t="s">
        <v>1732</v>
      </c>
      <c r="C216" t="s">
        <v>1741</v>
      </c>
      <c r="D216">
        <v>3</v>
      </c>
      <c r="E216">
        <v>99</v>
      </c>
      <c r="F216">
        <v>24</v>
      </c>
      <c r="G216">
        <v>61</v>
      </c>
      <c r="H216">
        <v>182</v>
      </c>
      <c r="I216">
        <v>99</v>
      </c>
      <c r="J216">
        <v>999</v>
      </c>
      <c r="K216">
        <v>9</v>
      </c>
      <c r="L216">
        <v>99</v>
      </c>
      <c r="M216">
        <v>9</v>
      </c>
      <c r="N216">
        <v>3</v>
      </c>
      <c r="O216">
        <v>99999</v>
      </c>
      <c r="P216" s="233">
        <f t="shared" si="14"/>
        <v>0</v>
      </c>
      <c r="Q216" s="233">
        <f>'Tabelas e Gráficos'!BQ290</f>
        <v>0</v>
      </c>
    </row>
    <row r="217" spans="1:17" ht="15.75">
      <c r="A217" t="s">
        <v>1717</v>
      </c>
      <c r="B217" t="s">
        <v>1732</v>
      </c>
      <c r="C217" t="s">
        <v>1742</v>
      </c>
      <c r="D217">
        <v>3</v>
      </c>
      <c r="E217">
        <v>99</v>
      </c>
      <c r="F217">
        <v>24</v>
      </c>
      <c r="G217">
        <v>61</v>
      </c>
      <c r="H217">
        <v>183</v>
      </c>
      <c r="I217">
        <v>99</v>
      </c>
      <c r="J217">
        <v>999</v>
      </c>
      <c r="K217">
        <v>9</v>
      </c>
      <c r="L217">
        <v>99</v>
      </c>
      <c r="M217">
        <v>9</v>
      </c>
      <c r="N217">
        <v>3</v>
      </c>
      <c r="O217">
        <v>99999</v>
      </c>
      <c r="P217" s="233">
        <f t="shared" si="14"/>
        <v>7311.0780228944232</v>
      </c>
      <c r="Q217" s="233">
        <f>'Tabelas e Gráficos'!BQ291</f>
        <v>7311.0780228944232</v>
      </c>
    </row>
    <row r="218" spans="1:17" ht="15.75">
      <c r="A218" t="s">
        <v>1717</v>
      </c>
      <c r="B218" t="s">
        <v>1732</v>
      </c>
      <c r="C218" t="s">
        <v>1743</v>
      </c>
      <c r="D218">
        <v>3</v>
      </c>
      <c r="E218">
        <v>99</v>
      </c>
      <c r="F218">
        <v>24</v>
      </c>
      <c r="G218">
        <v>61</v>
      </c>
      <c r="H218">
        <v>184</v>
      </c>
      <c r="I218">
        <v>99</v>
      </c>
      <c r="J218">
        <v>999</v>
      </c>
      <c r="K218">
        <v>9</v>
      </c>
      <c r="L218">
        <v>99</v>
      </c>
      <c r="M218">
        <v>9</v>
      </c>
      <c r="N218">
        <v>3</v>
      </c>
      <c r="O218">
        <v>99999</v>
      </c>
      <c r="P218" s="233">
        <f t="shared" si="14"/>
        <v>203245.52726326711</v>
      </c>
      <c r="Q218" s="233">
        <f>'Tabelas e Gráficos'!BQ292</f>
        <v>203245.52726326711</v>
      </c>
    </row>
    <row r="219" spans="1:17" ht="15.75">
      <c r="A219" t="s">
        <v>1717</v>
      </c>
      <c r="B219" t="s">
        <v>1732</v>
      </c>
      <c r="C219" t="s">
        <v>1744</v>
      </c>
      <c r="D219">
        <v>3</v>
      </c>
      <c r="E219">
        <v>99</v>
      </c>
      <c r="F219">
        <v>24</v>
      </c>
      <c r="G219">
        <v>61</v>
      </c>
      <c r="H219">
        <v>112</v>
      </c>
      <c r="I219">
        <v>99</v>
      </c>
      <c r="J219">
        <v>999</v>
      </c>
      <c r="K219">
        <v>9</v>
      </c>
      <c r="L219">
        <v>99</v>
      </c>
      <c r="M219">
        <v>9</v>
      </c>
      <c r="N219">
        <v>3</v>
      </c>
      <c r="O219">
        <v>99999</v>
      </c>
      <c r="P219" s="233">
        <f t="shared" si="14"/>
        <v>69440.708242664099</v>
      </c>
      <c r="Q219" s="233">
        <f>'Tabelas e Gráficos'!BQ293</f>
        <v>69440.708242664099</v>
      </c>
    </row>
    <row r="220" spans="1:17" ht="15.75">
      <c r="A220" t="s">
        <v>1717</v>
      </c>
      <c r="B220" t="s">
        <v>1732</v>
      </c>
      <c r="C220" t="s">
        <v>1745</v>
      </c>
      <c r="D220">
        <v>3</v>
      </c>
      <c r="E220">
        <v>99</v>
      </c>
      <c r="F220">
        <v>24</v>
      </c>
      <c r="G220">
        <v>79</v>
      </c>
      <c r="H220">
        <v>110</v>
      </c>
      <c r="I220">
        <v>99</v>
      </c>
      <c r="J220">
        <v>999</v>
      </c>
      <c r="K220">
        <v>9</v>
      </c>
      <c r="L220">
        <v>99</v>
      </c>
      <c r="M220">
        <v>9</v>
      </c>
      <c r="N220">
        <v>3</v>
      </c>
      <c r="O220">
        <v>99999</v>
      </c>
      <c r="P220" s="233">
        <f t="shared" si="14"/>
        <v>0</v>
      </c>
      <c r="Q220" s="233">
        <f>'Tabelas e Gráficos'!BR288</f>
        <v>0</v>
      </c>
    </row>
    <row r="221" spans="1:17" ht="15.75">
      <c r="A221" t="s">
        <v>1717</v>
      </c>
      <c r="B221" t="s">
        <v>1732</v>
      </c>
      <c r="C221" t="s">
        <v>1746</v>
      </c>
      <c r="D221">
        <v>3</v>
      </c>
      <c r="E221">
        <v>99</v>
      </c>
      <c r="F221">
        <v>24</v>
      </c>
      <c r="G221">
        <v>79</v>
      </c>
      <c r="H221">
        <v>111</v>
      </c>
      <c r="I221">
        <v>99</v>
      </c>
      <c r="J221">
        <v>999</v>
      </c>
      <c r="K221">
        <v>9</v>
      </c>
      <c r="L221">
        <v>99</v>
      </c>
      <c r="M221">
        <v>9</v>
      </c>
      <c r="N221">
        <v>3</v>
      </c>
      <c r="O221">
        <v>99999</v>
      </c>
      <c r="P221" s="233">
        <f t="shared" si="14"/>
        <v>29000.82148524018</v>
      </c>
      <c r="Q221" s="233">
        <f>'Tabelas e Gráficos'!BR289</f>
        <v>29000.82148524018</v>
      </c>
    </row>
    <row r="222" spans="1:17" ht="15.75">
      <c r="A222" t="s">
        <v>1717</v>
      </c>
      <c r="B222" t="s">
        <v>1732</v>
      </c>
      <c r="C222" t="s">
        <v>1747</v>
      </c>
      <c r="D222">
        <v>3</v>
      </c>
      <c r="E222">
        <v>99</v>
      </c>
      <c r="F222">
        <v>24</v>
      </c>
      <c r="G222">
        <v>79</v>
      </c>
      <c r="H222">
        <v>182</v>
      </c>
      <c r="I222">
        <v>99</v>
      </c>
      <c r="J222">
        <v>999</v>
      </c>
      <c r="K222">
        <v>9</v>
      </c>
      <c r="L222">
        <v>99</v>
      </c>
      <c r="M222">
        <v>9</v>
      </c>
      <c r="N222">
        <v>3</v>
      </c>
      <c r="O222">
        <v>99999</v>
      </c>
      <c r="P222" s="233">
        <f t="shared" si="14"/>
        <v>0</v>
      </c>
      <c r="Q222" s="233">
        <f>'Tabelas e Gráficos'!BR290</f>
        <v>0</v>
      </c>
    </row>
    <row r="223" spans="1:17" ht="15.75">
      <c r="A223" t="s">
        <v>1717</v>
      </c>
      <c r="B223" t="s">
        <v>1732</v>
      </c>
      <c r="C223" t="s">
        <v>1748</v>
      </c>
      <c r="D223">
        <v>3</v>
      </c>
      <c r="E223">
        <v>99</v>
      </c>
      <c r="F223">
        <v>24</v>
      </c>
      <c r="G223">
        <v>79</v>
      </c>
      <c r="H223">
        <v>183</v>
      </c>
      <c r="I223">
        <v>99</v>
      </c>
      <c r="J223">
        <v>999</v>
      </c>
      <c r="K223">
        <v>9</v>
      </c>
      <c r="L223">
        <v>99</v>
      </c>
      <c r="M223">
        <v>9</v>
      </c>
      <c r="N223">
        <v>3</v>
      </c>
      <c r="O223">
        <v>99999</v>
      </c>
      <c r="P223" s="233">
        <f t="shared" si="14"/>
        <v>7361.5154804748363</v>
      </c>
      <c r="Q223" s="233">
        <f>'Tabelas e Gráficos'!BR291</f>
        <v>7361.5154804748363</v>
      </c>
    </row>
    <row r="224" spans="1:17" ht="15.75">
      <c r="A224" t="s">
        <v>1717</v>
      </c>
      <c r="B224" t="s">
        <v>1732</v>
      </c>
      <c r="C224" t="s">
        <v>1749</v>
      </c>
      <c r="D224">
        <v>3</v>
      </c>
      <c r="E224">
        <v>99</v>
      </c>
      <c r="F224">
        <v>24</v>
      </c>
      <c r="G224">
        <v>79</v>
      </c>
      <c r="H224">
        <v>184</v>
      </c>
      <c r="I224">
        <v>99</v>
      </c>
      <c r="J224">
        <v>999</v>
      </c>
      <c r="K224">
        <v>9</v>
      </c>
      <c r="L224">
        <v>99</v>
      </c>
      <c r="M224">
        <v>9</v>
      </c>
      <c r="N224">
        <v>3</v>
      </c>
      <c r="O224">
        <v>99999</v>
      </c>
      <c r="P224" s="233">
        <f t="shared" si="14"/>
        <v>206726.23770541069</v>
      </c>
      <c r="Q224" s="233">
        <f>'Tabelas e Gráficos'!BR292</f>
        <v>206726.23770541069</v>
      </c>
    </row>
    <row r="225" spans="1:17" ht="15.75">
      <c r="A225" t="s">
        <v>1717</v>
      </c>
      <c r="B225" t="s">
        <v>1732</v>
      </c>
      <c r="C225" t="s">
        <v>1750</v>
      </c>
      <c r="D225">
        <v>3</v>
      </c>
      <c r="E225">
        <v>99</v>
      </c>
      <c r="F225">
        <v>24</v>
      </c>
      <c r="G225">
        <v>79</v>
      </c>
      <c r="H225">
        <v>112</v>
      </c>
      <c r="I225">
        <v>99</v>
      </c>
      <c r="J225">
        <v>999</v>
      </c>
      <c r="K225">
        <v>9</v>
      </c>
      <c r="L225">
        <v>99</v>
      </c>
      <c r="M225">
        <v>9</v>
      </c>
      <c r="N225">
        <v>3</v>
      </c>
      <c r="O225">
        <v>99999</v>
      </c>
      <c r="P225" s="233">
        <f t="shared" si="14"/>
        <v>79280.476613449209</v>
      </c>
      <c r="Q225" s="233">
        <f>'Tabelas e Gráficos'!BR293</f>
        <v>79280.476613449209</v>
      </c>
    </row>
    <row r="226" spans="1:17" ht="15.75">
      <c r="A226" s="888" t="s">
        <v>831</v>
      </c>
      <c r="B226" s="888" t="s">
        <v>109</v>
      </c>
      <c r="C226" s="888" t="s">
        <v>1751</v>
      </c>
      <c r="D226" s="888">
        <v>2</v>
      </c>
      <c r="E226" s="888">
        <v>1</v>
      </c>
      <c r="F226" s="888">
        <v>51</v>
      </c>
      <c r="G226" s="888">
        <v>73</v>
      </c>
      <c r="H226" s="888">
        <v>999</v>
      </c>
      <c r="I226" s="888">
        <v>3</v>
      </c>
      <c r="J226" s="888">
        <v>15</v>
      </c>
      <c r="K226" s="888">
        <v>1</v>
      </c>
      <c r="L226" s="888">
        <v>99</v>
      </c>
      <c r="M226" s="888">
        <v>9</v>
      </c>
      <c r="N226" s="888">
        <v>3</v>
      </c>
      <c r="O226" s="888">
        <v>99999</v>
      </c>
      <c r="P226" s="233">
        <f t="shared" si="14"/>
        <v>3110206.1377646979</v>
      </c>
      <c r="Q226" s="233">
        <f>Encargos!I20</f>
        <v>3110206.1377646979</v>
      </c>
    </row>
    <row r="227" spans="1:17" ht="15.75">
      <c r="A227" s="888" t="s">
        <v>831</v>
      </c>
      <c r="B227" s="888" t="s">
        <v>1454</v>
      </c>
      <c r="C227" s="888" t="str">
        <f>Financeiros!C48</f>
        <v>CVE ccc</v>
      </c>
      <c r="D227" s="888">
        <v>2</v>
      </c>
      <c r="E227" s="888">
        <v>2</v>
      </c>
      <c r="F227" s="888">
        <f>Financeiros!F48</f>
        <v>22</v>
      </c>
      <c r="G227" s="888">
        <f>Financeiros!G48</f>
        <v>60</v>
      </c>
      <c r="H227" s="888">
        <f>Financeiros!H48</f>
        <v>241</v>
      </c>
      <c r="I227" s="888">
        <f>Financeiros!I48</f>
        <v>3</v>
      </c>
      <c r="J227" s="888">
        <f>Financeiros!J48</f>
        <v>13</v>
      </c>
      <c r="K227" s="888">
        <f>Financeiros!K48</f>
        <v>9</v>
      </c>
      <c r="L227" s="888">
        <v>99</v>
      </c>
      <c r="M227" s="888">
        <v>9</v>
      </c>
      <c r="N227" s="888">
        <v>3</v>
      </c>
      <c r="O227" s="888">
        <v>99999</v>
      </c>
      <c r="P227" s="987">
        <f t="shared" ref="P227" si="15">IF(ISNUMBER(Q227),Q227,0)</f>
        <v>0</v>
      </c>
      <c r="Q227" s="233">
        <f>Financeiros!D48</f>
        <v>0</v>
      </c>
    </row>
    <row r="228" spans="1:17" ht="15.75">
      <c r="A228" s="888" t="s">
        <v>831</v>
      </c>
      <c r="B228" s="888" t="s">
        <v>1454</v>
      </c>
      <c r="C228" s="888" t="str">
        <f>Financeiros!C49</f>
        <v>CVE cde</v>
      </c>
      <c r="D228" s="888">
        <v>2</v>
      </c>
      <c r="E228" s="888">
        <v>2</v>
      </c>
      <c r="F228" s="888">
        <f>Financeiros!F49</f>
        <v>22</v>
      </c>
      <c r="G228" s="888">
        <f>Financeiros!G49</f>
        <v>60</v>
      </c>
      <c r="H228" s="888">
        <f>Financeiros!H49</f>
        <v>241</v>
      </c>
      <c r="I228" s="888">
        <f>Financeiros!I49</f>
        <v>3</v>
      </c>
      <c r="J228" s="888">
        <f>Financeiros!J49</f>
        <v>15</v>
      </c>
      <c r="K228" s="888">
        <f>Financeiros!K49</f>
        <v>9</v>
      </c>
      <c r="L228" s="888">
        <v>99</v>
      </c>
      <c r="M228" s="888">
        <v>9</v>
      </c>
      <c r="N228" s="888">
        <v>3</v>
      </c>
      <c r="O228" s="888">
        <v>99999</v>
      </c>
      <c r="P228" s="987">
        <f t="shared" ref="P228:P288" si="16">IF(ISNUMBER(Q228),Q228,0)</f>
        <v>0</v>
      </c>
      <c r="Q228" s="233">
        <f>Financeiros!D49</f>
        <v>0</v>
      </c>
    </row>
    <row r="229" spans="1:17" ht="15.75">
      <c r="A229" s="888" t="s">
        <v>831</v>
      </c>
      <c r="B229" s="888" t="s">
        <v>1454</v>
      </c>
      <c r="C229" s="888" t="str">
        <f>Financeiros!C50</f>
        <v>CVE cde energia</v>
      </c>
      <c r="D229" s="888">
        <v>2</v>
      </c>
      <c r="E229" s="888">
        <v>2</v>
      </c>
      <c r="F229" s="888">
        <f>Financeiros!F50</f>
        <v>22</v>
      </c>
      <c r="G229" s="888">
        <f>Financeiros!G50</f>
        <v>60</v>
      </c>
      <c r="H229" s="888">
        <f>Financeiros!H50</f>
        <v>241</v>
      </c>
      <c r="I229" s="888">
        <f>Financeiros!I50</f>
        <v>3</v>
      </c>
      <c r="J229" s="888">
        <f>Financeiros!J50</f>
        <v>25</v>
      </c>
      <c r="K229" s="888">
        <f>Financeiros!K50</f>
        <v>9</v>
      </c>
      <c r="L229" s="888">
        <v>99</v>
      </c>
      <c r="M229" s="888">
        <v>9</v>
      </c>
      <c r="N229" s="888">
        <v>3</v>
      </c>
      <c r="O229" s="888">
        <v>99999</v>
      </c>
      <c r="P229" s="987">
        <f t="shared" si="16"/>
        <v>0</v>
      </c>
      <c r="Q229" s="233">
        <f>Financeiros!D50</f>
        <v>0</v>
      </c>
    </row>
    <row r="230" spans="1:17" ht="15.75">
      <c r="A230" s="888" t="s">
        <v>831</v>
      </c>
      <c r="B230" s="888" t="s">
        <v>1454</v>
      </c>
      <c r="C230" s="888" t="str">
        <f>Financeiros!C51</f>
        <v>CVE RB - Nodal</v>
      </c>
      <c r="D230" s="888">
        <v>2</v>
      </c>
      <c r="E230" s="888">
        <v>2</v>
      </c>
      <c r="F230" s="888">
        <f>Financeiros!F51</f>
        <v>22</v>
      </c>
      <c r="G230" s="888">
        <f>Financeiros!G51</f>
        <v>60</v>
      </c>
      <c r="H230" s="888">
        <f>Financeiros!H51</f>
        <v>241</v>
      </c>
      <c r="I230" s="888">
        <f>Financeiros!I51</f>
        <v>1</v>
      </c>
      <c r="J230" s="888">
        <f>Financeiros!J51</f>
        <v>1</v>
      </c>
      <c r="K230" s="888">
        <f>Financeiros!K51</f>
        <v>9</v>
      </c>
      <c r="L230" s="888">
        <v>99</v>
      </c>
      <c r="M230" s="888">
        <v>9</v>
      </c>
      <c r="N230" s="888">
        <v>3</v>
      </c>
      <c r="O230" s="888">
        <v>99999</v>
      </c>
      <c r="P230" s="987">
        <f t="shared" si="16"/>
        <v>0</v>
      </c>
      <c r="Q230" s="233">
        <f>Financeiros!D51</f>
        <v>0</v>
      </c>
    </row>
    <row r="231" spans="1:17" ht="15.75">
      <c r="A231" s="888" t="s">
        <v>831</v>
      </c>
      <c r="B231" s="888" t="s">
        <v>1454</v>
      </c>
      <c r="C231" s="888" t="str">
        <f>Financeiros!C52</f>
        <v>CVE RB - Fronteira</v>
      </c>
      <c r="D231" s="888">
        <v>2</v>
      </c>
      <c r="E231" s="888">
        <v>2</v>
      </c>
      <c r="F231" s="888">
        <f>Financeiros!F52</f>
        <v>22</v>
      </c>
      <c r="G231" s="888">
        <f>Financeiros!G52</f>
        <v>60</v>
      </c>
      <c r="H231" s="888">
        <f>Financeiros!H52</f>
        <v>241</v>
      </c>
      <c r="I231" s="888">
        <f>Financeiros!I52</f>
        <v>1</v>
      </c>
      <c r="J231" s="888">
        <f>Financeiros!J52</f>
        <v>1</v>
      </c>
      <c r="K231" s="888">
        <f>Financeiros!K52</f>
        <v>9</v>
      </c>
      <c r="L231" s="888">
        <v>99</v>
      </c>
      <c r="M231" s="888">
        <v>9</v>
      </c>
      <c r="N231" s="888">
        <v>3</v>
      </c>
      <c r="O231" s="888">
        <v>99999</v>
      </c>
      <c r="P231" s="987">
        <f t="shared" si="16"/>
        <v>0</v>
      </c>
      <c r="Q231" s="233">
        <f>Financeiros!D52</f>
        <v>0</v>
      </c>
    </row>
    <row r="232" spans="1:17" ht="15.75">
      <c r="A232" s="888" t="s">
        <v>831</v>
      </c>
      <c r="B232" s="888" t="s">
        <v>1454</v>
      </c>
      <c r="C232" s="888" t="str">
        <f>Financeiros!C53</f>
        <v>CVE RB - TUSDg EXP</v>
      </c>
      <c r="D232" s="888">
        <v>2</v>
      </c>
      <c r="E232" s="888">
        <v>2</v>
      </c>
      <c r="F232" s="888">
        <f>Financeiros!F53</f>
        <v>22</v>
      </c>
      <c r="G232" s="888">
        <f>Financeiros!G53</f>
        <v>60</v>
      </c>
      <c r="H232" s="888">
        <f>Financeiros!H53</f>
        <v>241</v>
      </c>
      <c r="I232" s="888">
        <f>Financeiros!I53</f>
        <v>1</v>
      </c>
      <c r="J232" s="888">
        <f>Financeiros!J53</f>
        <v>1</v>
      </c>
      <c r="K232" s="888">
        <f>Financeiros!K53</f>
        <v>9</v>
      </c>
      <c r="L232" s="888">
        <v>99</v>
      </c>
      <c r="M232" s="888">
        <v>9</v>
      </c>
      <c r="N232" s="888">
        <v>3</v>
      </c>
      <c r="O232" s="888">
        <v>99999</v>
      </c>
      <c r="P232" s="987">
        <f t="shared" si="16"/>
        <v>0</v>
      </c>
      <c r="Q232" s="233">
        <f>Financeiros!D53</f>
        <v>0</v>
      </c>
    </row>
    <row r="233" spans="1:17" ht="15.75">
      <c r="A233" s="888" t="s">
        <v>831</v>
      </c>
      <c r="B233" s="888" t="s">
        <v>1454</v>
      </c>
      <c r="C233" s="888" t="str">
        <f>Financeiros!C54</f>
        <v>CVE RB - TUSDg ONS</v>
      </c>
      <c r="D233" s="888">
        <v>2</v>
      </c>
      <c r="E233" s="888">
        <v>2</v>
      </c>
      <c r="F233" s="888">
        <f>Financeiros!F54</f>
        <v>22</v>
      </c>
      <c r="G233" s="888">
        <f>Financeiros!G54</f>
        <v>60</v>
      </c>
      <c r="H233" s="888">
        <f>Financeiros!H54</f>
        <v>241</v>
      </c>
      <c r="I233" s="888">
        <f>Financeiros!I54</f>
        <v>1</v>
      </c>
      <c r="J233" s="888">
        <f>Financeiros!J54</f>
        <v>1</v>
      </c>
      <c r="K233" s="888">
        <f>Financeiros!K54</f>
        <v>9</v>
      </c>
      <c r="L233" s="888">
        <v>99</v>
      </c>
      <c r="M233" s="888">
        <v>9</v>
      </c>
      <c r="N233" s="888">
        <v>3</v>
      </c>
      <c r="O233" s="888">
        <v>99999</v>
      </c>
      <c r="P233" s="987">
        <f t="shared" si="16"/>
        <v>0</v>
      </c>
      <c r="Q233" s="233">
        <f>Financeiros!D54</f>
        <v>0</v>
      </c>
    </row>
    <row r="234" spans="1:17" ht="15.75">
      <c r="A234" s="888" t="s">
        <v>831</v>
      </c>
      <c r="B234" s="888" t="s">
        <v>1454</v>
      </c>
      <c r="C234" s="888" t="str">
        <f>Financeiros!C55</f>
        <v>CVE RB - EUST Itaipu</v>
      </c>
      <c r="D234" s="888">
        <v>2</v>
      </c>
      <c r="E234" s="888">
        <v>2</v>
      </c>
      <c r="F234" s="888">
        <f>Financeiros!F55</f>
        <v>22</v>
      </c>
      <c r="G234" s="888">
        <f>Financeiros!G55</f>
        <v>60</v>
      </c>
      <c r="H234" s="888">
        <f>Financeiros!H55</f>
        <v>241</v>
      </c>
      <c r="I234" s="888">
        <f>Financeiros!I55</f>
        <v>1</v>
      </c>
      <c r="J234" s="888">
        <f>Financeiros!J55</f>
        <v>1</v>
      </c>
      <c r="K234" s="888">
        <f>Financeiros!K55</f>
        <v>9</v>
      </c>
      <c r="L234" s="888">
        <v>99</v>
      </c>
      <c r="M234" s="888">
        <v>9</v>
      </c>
      <c r="N234" s="888">
        <v>3</v>
      </c>
      <c r="O234" s="888">
        <v>99999</v>
      </c>
      <c r="P234" s="987">
        <f t="shared" si="16"/>
        <v>0</v>
      </c>
      <c r="Q234" s="233">
        <f>Financeiros!D55</f>
        <v>0</v>
      </c>
    </row>
    <row r="235" spans="1:17" ht="15.75">
      <c r="A235" s="888" t="s">
        <v>831</v>
      </c>
      <c r="B235" s="888" t="s">
        <v>1454</v>
      </c>
      <c r="C235" s="888" t="str">
        <f>Financeiros!C56</f>
        <v>CVE- Transporte Itaipu</v>
      </c>
      <c r="D235" s="888">
        <v>2</v>
      </c>
      <c r="E235" s="888">
        <v>2</v>
      </c>
      <c r="F235" s="888">
        <f>Financeiros!F56</f>
        <v>22</v>
      </c>
      <c r="G235" s="888">
        <f>Financeiros!G56</f>
        <v>60</v>
      </c>
      <c r="H235" s="888">
        <f>Financeiros!H56</f>
        <v>241</v>
      </c>
      <c r="I235" s="888">
        <f>Financeiros!I56</f>
        <v>1</v>
      </c>
      <c r="J235" s="888">
        <f>Financeiros!J56</f>
        <v>21</v>
      </c>
      <c r="K235" s="888">
        <f>Financeiros!K56</f>
        <v>9</v>
      </c>
      <c r="L235" s="888">
        <v>99</v>
      </c>
      <c r="M235" s="888">
        <v>9</v>
      </c>
      <c r="N235" s="888">
        <v>3</v>
      </c>
      <c r="O235" s="888">
        <v>99999</v>
      </c>
      <c r="P235" s="987">
        <f t="shared" si="16"/>
        <v>0</v>
      </c>
      <c r="Q235" s="233">
        <f>Financeiros!D56</f>
        <v>0</v>
      </c>
    </row>
    <row r="236" spans="1:17" ht="15.75">
      <c r="A236" s="888" t="s">
        <v>831</v>
      </c>
      <c r="B236" s="888" t="s">
        <v>1454</v>
      </c>
      <c r="C236" s="888" t="str">
        <f>Financeiros!C57</f>
        <v>CVE - Energia - Energia de Revenda</v>
      </c>
      <c r="D236" s="888">
        <v>2</v>
      </c>
      <c r="E236" s="888">
        <v>2</v>
      </c>
      <c r="F236" s="888">
        <f>Financeiros!F57</f>
        <v>22</v>
      </c>
      <c r="G236" s="888">
        <f>Financeiros!G57</f>
        <v>60</v>
      </c>
      <c r="H236" s="888">
        <f>Financeiros!H57</f>
        <v>241</v>
      </c>
      <c r="I236" s="888">
        <f>Financeiros!I57</f>
        <v>2</v>
      </c>
      <c r="J236" s="888">
        <f>Financeiros!J57</f>
        <v>11</v>
      </c>
      <c r="K236" s="888">
        <f>Financeiros!K57</f>
        <v>9</v>
      </c>
      <c r="L236" s="888">
        <v>99</v>
      </c>
      <c r="M236" s="888">
        <v>9</v>
      </c>
      <c r="N236" s="888">
        <v>3</v>
      </c>
      <c r="O236" s="888">
        <v>99999</v>
      </c>
      <c r="P236" s="987">
        <f t="shared" ca="1" si="16"/>
        <v>315589.6721795699</v>
      </c>
      <c r="Q236" s="233">
        <f ca="1">Financeiros!D57</f>
        <v>315589.6721795699</v>
      </c>
    </row>
    <row r="237" spans="1:17" ht="15.75">
      <c r="A237" s="888" t="s">
        <v>831</v>
      </c>
      <c r="B237" s="888" t="s">
        <v>1454</v>
      </c>
      <c r="C237" s="888" t="str">
        <f>Financeiros!C58</f>
        <v>CVE - Energia - Perda Não Técnica</v>
      </c>
      <c r="D237" s="888">
        <v>2</v>
      </c>
      <c r="E237" s="888">
        <v>2</v>
      </c>
      <c r="F237" s="888">
        <f>Financeiros!F58</f>
        <v>22</v>
      </c>
      <c r="G237" s="888">
        <f>Financeiros!G58</f>
        <v>60</v>
      </c>
      <c r="H237" s="888">
        <f>Financeiros!H58</f>
        <v>241</v>
      </c>
      <c r="I237" s="888">
        <f>Financeiros!I58</f>
        <v>2</v>
      </c>
      <c r="J237" s="888">
        <f>Financeiros!J58</f>
        <v>9</v>
      </c>
      <c r="K237" s="888">
        <f>Financeiros!K58</f>
        <v>9</v>
      </c>
      <c r="L237" s="888">
        <v>99</v>
      </c>
      <c r="M237" s="888">
        <v>9</v>
      </c>
      <c r="N237" s="888">
        <v>3</v>
      </c>
      <c r="O237" s="888">
        <v>99999</v>
      </c>
      <c r="P237" s="987">
        <f t="shared" ca="1" si="16"/>
        <v>0</v>
      </c>
      <c r="Q237" s="233">
        <f ca="1">Financeiros!D58</f>
        <v>0</v>
      </c>
    </row>
    <row r="238" spans="1:17" ht="15.75">
      <c r="A238" s="888" t="s">
        <v>831</v>
      </c>
      <c r="B238" s="888" t="s">
        <v>1454</v>
      </c>
      <c r="C238" s="888" t="str">
        <f>Financeiros!C59</f>
        <v>CVE - Energia - Perda Técnica</v>
      </c>
      <c r="D238" s="888">
        <v>2</v>
      </c>
      <c r="E238" s="888">
        <v>2</v>
      </c>
      <c r="F238" s="888">
        <f>Financeiros!F59</f>
        <v>22</v>
      </c>
      <c r="G238" s="888">
        <f>Financeiros!G59</f>
        <v>60</v>
      </c>
      <c r="H238" s="888">
        <f>Financeiros!H59</f>
        <v>241</v>
      </c>
      <c r="I238" s="888">
        <f>Financeiros!I59</f>
        <v>2</v>
      </c>
      <c r="J238" s="888">
        <f>Financeiros!J59</f>
        <v>8</v>
      </c>
      <c r="K238" s="888">
        <f>Financeiros!K59</f>
        <v>9</v>
      </c>
      <c r="L238" s="888">
        <v>99</v>
      </c>
      <c r="M238" s="888">
        <v>9</v>
      </c>
      <c r="N238" s="888">
        <v>3</v>
      </c>
      <c r="O238" s="888">
        <v>99999</v>
      </c>
      <c r="P238" s="987">
        <f t="shared" ca="1" si="16"/>
        <v>25760.558158798165</v>
      </c>
      <c r="Q238" s="233">
        <f ca="1">Financeiros!D59</f>
        <v>25760.558158798165</v>
      </c>
    </row>
    <row r="239" spans="1:17" ht="15.75">
      <c r="A239" s="888" t="s">
        <v>831</v>
      </c>
      <c r="B239" s="888" t="s">
        <v>1454</v>
      </c>
      <c r="C239" s="888" t="str">
        <f>Financeiros!C60</f>
        <v>CVE - Energia -  Perda de RB sobre a distribuição</v>
      </c>
      <c r="D239" s="888">
        <v>2</v>
      </c>
      <c r="E239" s="888">
        <v>2</v>
      </c>
      <c r="F239" s="888">
        <f>Financeiros!F60</f>
        <v>22</v>
      </c>
      <c r="G239" s="888">
        <f>Financeiros!G60</f>
        <v>60</v>
      </c>
      <c r="H239" s="888">
        <f>Financeiros!H60</f>
        <v>241</v>
      </c>
      <c r="I239" s="888">
        <f>Financeiros!I60</f>
        <v>2</v>
      </c>
      <c r="J239" s="888">
        <f>Financeiros!J60</f>
        <v>10</v>
      </c>
      <c r="K239" s="888">
        <f>Financeiros!K60</f>
        <v>9</v>
      </c>
      <c r="L239" s="888">
        <v>99</v>
      </c>
      <c r="M239" s="888">
        <v>9</v>
      </c>
      <c r="N239" s="888">
        <v>3</v>
      </c>
      <c r="O239" s="888">
        <v>99999</v>
      </c>
      <c r="P239" s="987">
        <f t="shared" ca="1" si="16"/>
        <v>761.6042761196868</v>
      </c>
      <c r="Q239" s="233">
        <f ca="1">Financeiros!D60</f>
        <v>761.6042761196868</v>
      </c>
    </row>
    <row r="240" spans="1:17" ht="15.75">
      <c r="A240" s="888" t="s">
        <v>831</v>
      </c>
      <c r="B240" s="888" t="s">
        <v>1454</v>
      </c>
      <c r="C240" s="888" t="str">
        <f>Financeiros!C61</f>
        <v>CVE - Energia -  Perda de RB sobre o mercado cativo</v>
      </c>
      <c r="D240" s="888">
        <v>2</v>
      </c>
      <c r="E240" s="888">
        <v>2</v>
      </c>
      <c r="F240" s="888">
        <f>Financeiros!F61</f>
        <v>22</v>
      </c>
      <c r="G240" s="888">
        <f>Financeiros!G61</f>
        <v>60</v>
      </c>
      <c r="H240" s="888">
        <f>Financeiros!H61</f>
        <v>241</v>
      </c>
      <c r="I240" s="888">
        <f>Financeiros!I61</f>
        <v>2</v>
      </c>
      <c r="J240" s="888">
        <f>Financeiros!J61</f>
        <v>24</v>
      </c>
      <c r="K240" s="888">
        <f>Financeiros!K61</f>
        <v>9</v>
      </c>
      <c r="L240" s="888">
        <v>99</v>
      </c>
      <c r="M240" s="888">
        <v>9</v>
      </c>
      <c r="N240" s="888">
        <v>3</v>
      </c>
      <c r="O240" s="888">
        <v>99999</v>
      </c>
      <c r="P240" s="987">
        <f t="shared" ca="1" si="16"/>
        <v>9330.3274855122218</v>
      </c>
      <c r="Q240" s="233">
        <f ca="1">Financeiros!D61</f>
        <v>9330.3274855122218</v>
      </c>
    </row>
    <row r="241" spans="1:17" ht="15.75">
      <c r="A241" s="888" t="s">
        <v>831</v>
      </c>
      <c r="B241" s="888" t="s">
        <v>1454</v>
      </c>
      <c r="C241" s="888" t="str">
        <f>Financeiros!C62</f>
        <v>CVE - Encargos - PROINFA</v>
      </c>
      <c r="D241" s="888">
        <v>2</v>
      </c>
      <c r="E241" s="888">
        <v>2</v>
      </c>
      <c r="F241" s="888">
        <f>Financeiros!F62</f>
        <v>22</v>
      </c>
      <c r="G241" s="888">
        <f>Financeiros!G62</f>
        <v>60</v>
      </c>
      <c r="H241" s="888">
        <f>Financeiros!H62</f>
        <v>241</v>
      </c>
      <c r="I241" s="888">
        <f>Financeiros!I62</f>
        <v>3</v>
      </c>
      <c r="J241" s="888">
        <f>Financeiros!J62</f>
        <v>18</v>
      </c>
      <c r="K241" s="888">
        <f>Financeiros!K62</f>
        <v>9</v>
      </c>
      <c r="L241" s="888">
        <v>99</v>
      </c>
      <c r="M241" s="888">
        <v>9</v>
      </c>
      <c r="N241" s="888">
        <v>3</v>
      </c>
      <c r="O241" s="888">
        <v>99999</v>
      </c>
      <c r="P241" s="987">
        <f t="shared" ca="1" si="16"/>
        <v>0</v>
      </c>
      <c r="Q241" s="233">
        <f ca="1">Financeiros!D62</f>
        <v>0</v>
      </c>
    </row>
    <row r="242" spans="1:17" ht="15.75">
      <c r="A242" s="888" t="s">
        <v>831</v>
      </c>
      <c r="B242" s="888" t="s">
        <v>1454</v>
      </c>
      <c r="C242" s="888" t="str">
        <f>Financeiros!C63</f>
        <v>CVE - Encargos - CFURH</v>
      </c>
      <c r="D242" s="888">
        <v>2</v>
      </c>
      <c r="E242" s="888">
        <v>2</v>
      </c>
      <c r="F242" s="888">
        <f>Financeiros!F63</f>
        <v>22</v>
      </c>
      <c r="G242" s="888">
        <f>Financeiros!G63</f>
        <v>60</v>
      </c>
      <c r="H242" s="888">
        <f>Financeiros!H63</f>
        <v>241</v>
      </c>
      <c r="I242" s="888">
        <f>Financeiros!I63</f>
        <v>3</v>
      </c>
      <c r="J242" s="888">
        <f>Financeiros!J63</f>
        <v>16</v>
      </c>
      <c r="K242" s="888">
        <f>Financeiros!K63</f>
        <v>9</v>
      </c>
      <c r="L242" s="888">
        <v>99</v>
      </c>
      <c r="M242" s="888">
        <v>9</v>
      </c>
      <c r="N242" s="888">
        <v>3</v>
      </c>
      <c r="O242" s="888">
        <v>99999</v>
      </c>
      <c r="P242" s="987">
        <f t="shared" si="16"/>
        <v>0</v>
      </c>
      <c r="Q242" s="233">
        <f>Financeiros!D63</f>
        <v>0</v>
      </c>
    </row>
    <row r="243" spans="1:17" ht="15.75">
      <c r="A243" s="888" t="s">
        <v>831</v>
      </c>
      <c r="B243" s="888" t="s">
        <v>1454</v>
      </c>
      <c r="C243" s="888" t="str">
        <f>Financeiros!C64</f>
        <v>CVE - Encargos - ESS/EER</v>
      </c>
      <c r="D243" s="888">
        <v>2</v>
      </c>
      <c r="E243" s="888">
        <v>2</v>
      </c>
      <c r="F243" s="888">
        <f>Financeiros!F64</f>
        <v>22</v>
      </c>
      <c r="G243" s="888">
        <f>Financeiros!G64</f>
        <v>60</v>
      </c>
      <c r="H243" s="888">
        <f>Financeiros!H64</f>
        <v>241</v>
      </c>
      <c r="I243" s="888">
        <f>Financeiros!I64</f>
        <v>3</v>
      </c>
      <c r="J243" s="888">
        <f>Financeiros!J64</f>
        <v>17</v>
      </c>
      <c r="K243" s="888">
        <f>Financeiros!K64</f>
        <v>9</v>
      </c>
      <c r="L243" s="888">
        <v>99</v>
      </c>
      <c r="M243" s="888">
        <v>9</v>
      </c>
      <c r="N243" s="888">
        <v>3</v>
      </c>
      <c r="O243" s="888">
        <v>99999</v>
      </c>
      <c r="P243" s="987">
        <f t="shared" si="16"/>
        <v>2353444.7437</v>
      </c>
      <c r="Q243" s="233">
        <f>Financeiros!D64</f>
        <v>2353444.7437</v>
      </c>
    </row>
    <row r="244" spans="1:17" ht="15.75">
      <c r="A244" s="888" t="s">
        <v>831</v>
      </c>
      <c r="B244" s="888" t="s">
        <v>1454</v>
      </c>
      <c r="C244" s="888" t="str">
        <f>Financeiros!C65</f>
        <v>Conta Escassez H. - Importação julho- agosto/2021 - RTA 2022 - Energia de Revenda</v>
      </c>
      <c r="D244" s="888">
        <v>2</v>
      </c>
      <c r="E244" s="888">
        <v>2</v>
      </c>
      <c r="F244" s="888">
        <f>Financeiros!F65</f>
        <v>22</v>
      </c>
      <c r="G244" s="888">
        <f>Financeiros!G65</f>
        <v>60</v>
      </c>
      <c r="H244" s="888">
        <f>Financeiros!H65</f>
        <v>240</v>
      </c>
      <c r="I244" s="888">
        <f>Financeiros!I65</f>
        <v>2</v>
      </c>
      <c r="J244" s="888">
        <f>Financeiros!J65</f>
        <v>11</v>
      </c>
      <c r="K244" s="888">
        <f>Financeiros!K65</f>
        <v>9</v>
      </c>
      <c r="L244" s="888">
        <v>99</v>
      </c>
      <c r="M244" s="888">
        <v>9</v>
      </c>
      <c r="N244" s="888">
        <v>3</v>
      </c>
      <c r="O244" s="888">
        <v>99999</v>
      </c>
      <c r="P244" s="987">
        <f t="shared" ca="1" si="16"/>
        <v>-181725.36538635736</v>
      </c>
      <c r="Q244" s="233">
        <f ca="1">Financeiros!D65</f>
        <v>-181725.36538635736</v>
      </c>
    </row>
    <row r="245" spans="1:17" ht="15.75">
      <c r="A245" s="888" t="s">
        <v>831</v>
      </c>
      <c r="B245" s="888" t="s">
        <v>1454</v>
      </c>
      <c r="C245" s="888" t="str">
        <f>Financeiros!C66</f>
        <v>Conta Escassez H. - Importação julho- agosto/2021 - RTA 2022 - Perda Não Técnica</v>
      </c>
      <c r="D245" s="888">
        <v>2</v>
      </c>
      <c r="E245" s="888">
        <v>2</v>
      </c>
      <c r="F245" s="888">
        <f>Financeiros!F66</f>
        <v>22</v>
      </c>
      <c r="G245" s="888">
        <f>Financeiros!G66</f>
        <v>60</v>
      </c>
      <c r="H245" s="888">
        <f>Financeiros!H66</f>
        <v>240</v>
      </c>
      <c r="I245" s="888">
        <f>Financeiros!I66</f>
        <v>2</v>
      </c>
      <c r="J245" s="888">
        <f>Financeiros!J66</f>
        <v>9</v>
      </c>
      <c r="K245" s="888">
        <f>Financeiros!K66</f>
        <v>9</v>
      </c>
      <c r="L245" s="888">
        <v>99</v>
      </c>
      <c r="M245" s="888">
        <v>9</v>
      </c>
      <c r="N245" s="888">
        <v>3</v>
      </c>
      <c r="O245" s="888">
        <v>99999</v>
      </c>
      <c r="P245" s="987">
        <f t="shared" ca="1" si="16"/>
        <v>0</v>
      </c>
      <c r="Q245" s="233">
        <f ca="1">Financeiros!D66</f>
        <v>0</v>
      </c>
    </row>
    <row r="246" spans="1:17" ht="15.75">
      <c r="A246" s="888" t="s">
        <v>831</v>
      </c>
      <c r="B246" s="888" t="s">
        <v>1454</v>
      </c>
      <c r="C246" s="888" t="str">
        <f>Financeiros!C67</f>
        <v>Conta Escassez H. - Importação julho- agosto/2021 - RTA 2022 - Perda Técnica</v>
      </c>
      <c r="D246" s="888">
        <v>2</v>
      </c>
      <c r="E246" s="888">
        <v>2</v>
      </c>
      <c r="F246" s="888">
        <f>Financeiros!F67</f>
        <v>22</v>
      </c>
      <c r="G246" s="888">
        <f>Financeiros!G67</f>
        <v>60</v>
      </c>
      <c r="H246" s="888">
        <f>Financeiros!H67</f>
        <v>240</v>
      </c>
      <c r="I246" s="888">
        <f>Financeiros!I67</f>
        <v>2</v>
      </c>
      <c r="J246" s="888">
        <f>Financeiros!J67</f>
        <v>8</v>
      </c>
      <c r="K246" s="888">
        <f>Financeiros!K67</f>
        <v>9</v>
      </c>
      <c r="L246" s="888">
        <v>99</v>
      </c>
      <c r="M246" s="888">
        <v>9</v>
      </c>
      <c r="N246" s="888">
        <v>3</v>
      </c>
      <c r="O246" s="888">
        <v>99999</v>
      </c>
      <c r="P246" s="987">
        <f t="shared" ca="1" si="16"/>
        <v>-14833.650327126128</v>
      </c>
      <c r="Q246" s="233">
        <f ca="1">Financeiros!D67</f>
        <v>-14833.650327126128</v>
      </c>
    </row>
    <row r="247" spans="1:17" ht="15.75">
      <c r="A247" s="888" t="s">
        <v>831</v>
      </c>
      <c r="B247" s="888" t="s">
        <v>1454</v>
      </c>
      <c r="C247" s="888" t="str">
        <f>Financeiros!C68</f>
        <v>Conta Escassez H. - Importação julho- agosto/2021 - RTA 2022 - Perda RB Perda RB sobre Dist.</v>
      </c>
      <c r="D247" s="888">
        <v>2</v>
      </c>
      <c r="E247" s="888">
        <v>2</v>
      </c>
      <c r="F247" s="888">
        <f>Financeiros!F68</f>
        <v>22</v>
      </c>
      <c r="G247" s="888">
        <f>Financeiros!G68</f>
        <v>60</v>
      </c>
      <c r="H247" s="888">
        <f>Financeiros!H68</f>
        <v>240</v>
      </c>
      <c r="I247" s="888">
        <f>Financeiros!I68</f>
        <v>2</v>
      </c>
      <c r="J247" s="888">
        <f>Financeiros!J68</f>
        <v>10</v>
      </c>
      <c r="K247" s="888">
        <f>Financeiros!K68</f>
        <v>9</v>
      </c>
      <c r="L247" s="888">
        <v>99</v>
      </c>
      <c r="M247" s="888">
        <v>9</v>
      </c>
      <c r="N247" s="888">
        <v>3</v>
      </c>
      <c r="O247" s="888">
        <v>99999</v>
      </c>
      <c r="P247" s="987">
        <f t="shared" ca="1" si="16"/>
        <v>-438.55305657439686</v>
      </c>
      <c r="Q247" s="233">
        <f ca="1">Financeiros!D68</f>
        <v>-438.55305657439686</v>
      </c>
    </row>
    <row r="248" spans="1:17" ht="15.75">
      <c r="A248" s="888" t="s">
        <v>831</v>
      </c>
      <c r="B248" s="888" t="s">
        <v>1454</v>
      </c>
      <c r="C248" s="888" t="str">
        <f>Financeiros!C69</f>
        <v>Conta Escassez H. - Importação julho- agosto/2021 - RTA 2022 - Perda RB sobre Merc. Cat.</v>
      </c>
      <c r="D248" s="888">
        <v>2</v>
      </c>
      <c r="E248" s="888">
        <v>2</v>
      </c>
      <c r="F248" s="888">
        <f>Financeiros!F69</f>
        <v>22</v>
      </c>
      <c r="G248" s="888">
        <f>Financeiros!G69</f>
        <v>60</v>
      </c>
      <c r="H248" s="888">
        <f>Financeiros!H69</f>
        <v>240</v>
      </c>
      <c r="I248" s="888">
        <f>Financeiros!I69</f>
        <v>2</v>
      </c>
      <c r="J248" s="888">
        <f>Financeiros!J69</f>
        <v>24</v>
      </c>
      <c r="K248" s="888">
        <f>Financeiros!K69</f>
        <v>9</v>
      </c>
      <c r="L248" s="888">
        <v>99</v>
      </c>
      <c r="M248" s="888">
        <v>9</v>
      </c>
      <c r="N248" s="888">
        <v>3</v>
      </c>
      <c r="O248" s="888">
        <v>99999</v>
      </c>
      <c r="P248" s="987">
        <f t="shared" ca="1" si="16"/>
        <v>-5372.6636862638297</v>
      </c>
      <c r="Q248" s="233">
        <f ca="1">Financeiros!D69</f>
        <v>-5372.6636862638297</v>
      </c>
    </row>
    <row r="249" spans="1:17" ht="15.75">
      <c r="A249" s="888" t="s">
        <v>831</v>
      </c>
      <c r="B249" s="888" t="s">
        <v>1454</v>
      </c>
      <c r="C249" s="888" t="str">
        <f>Financeiros!C70</f>
        <v>Conta Escassez H. - Bônus Redução Voluntária</v>
      </c>
      <c r="D249" s="888">
        <v>2</v>
      </c>
      <c r="E249" s="888">
        <v>2</v>
      </c>
      <c r="F249" s="888">
        <f>Financeiros!F70</f>
        <v>22</v>
      </c>
      <c r="G249" s="888">
        <f>Financeiros!G70</f>
        <v>60</v>
      </c>
      <c r="H249" s="888">
        <f>Financeiros!H70</f>
        <v>240</v>
      </c>
      <c r="I249" s="888">
        <f>Financeiros!I70</f>
        <v>3</v>
      </c>
      <c r="J249" s="888">
        <f>Financeiros!J70</f>
        <v>17</v>
      </c>
      <c r="K249" s="888">
        <f>Financeiros!K70</f>
        <v>9</v>
      </c>
      <c r="L249" s="888">
        <v>99</v>
      </c>
      <c r="M249" s="888">
        <v>9</v>
      </c>
      <c r="N249" s="888">
        <v>3</v>
      </c>
      <c r="O249" s="888">
        <v>99999</v>
      </c>
      <c r="P249" s="987">
        <f t="shared" si="16"/>
        <v>-717784.45185218251</v>
      </c>
      <c r="Q249" s="233">
        <f>Financeiros!D70</f>
        <v>-717784.45185218251</v>
      </c>
    </row>
    <row r="250" spans="1:17" ht="15.75">
      <c r="A250" s="888" t="s">
        <v>831</v>
      </c>
      <c r="B250" s="888" t="s">
        <v>1454</v>
      </c>
      <c r="C250" s="888" t="str">
        <f>Financeiros!C71</f>
        <v>Conta Escassez H. - Diferimento de energia - RTA 2022 - Energia de Revenda</v>
      </c>
      <c r="D250" s="888">
        <v>2</v>
      </c>
      <c r="E250" s="888">
        <v>2</v>
      </c>
      <c r="F250" s="888">
        <f>Financeiros!F71</f>
        <v>22</v>
      </c>
      <c r="G250" s="888">
        <f>Financeiros!G71</f>
        <v>60</v>
      </c>
      <c r="H250" s="888">
        <f>Financeiros!H71</f>
        <v>240</v>
      </c>
      <c r="I250" s="888">
        <f>Financeiros!I71</f>
        <v>2</v>
      </c>
      <c r="J250" s="888">
        <f>Financeiros!J71</f>
        <v>11</v>
      </c>
      <c r="K250" s="888">
        <f>Financeiros!K71</f>
        <v>9</v>
      </c>
      <c r="L250" s="888">
        <v>99</v>
      </c>
      <c r="M250" s="888">
        <v>9</v>
      </c>
      <c r="N250" s="888">
        <v>3</v>
      </c>
      <c r="O250" s="888">
        <v>99999</v>
      </c>
      <c r="P250" s="987">
        <f t="shared" ca="1" si="16"/>
        <v>0</v>
      </c>
      <c r="Q250" s="233">
        <f ca="1">Financeiros!D71</f>
        <v>0</v>
      </c>
    </row>
    <row r="251" spans="1:17" ht="15.75">
      <c r="A251" s="888" t="s">
        <v>831</v>
      </c>
      <c r="B251" s="888" t="s">
        <v>1454</v>
      </c>
      <c r="C251" s="888" t="str">
        <f>Financeiros!C72</f>
        <v>Conta Escassez H. - Diferimento de energia - RTA 2022 - Perda Não Técnica</v>
      </c>
      <c r="D251" s="888">
        <v>2</v>
      </c>
      <c r="E251" s="888">
        <v>2</v>
      </c>
      <c r="F251" s="888">
        <f>Financeiros!F72</f>
        <v>22</v>
      </c>
      <c r="G251" s="888">
        <f>Financeiros!G72</f>
        <v>60</v>
      </c>
      <c r="H251" s="888">
        <f>Financeiros!H72</f>
        <v>240</v>
      </c>
      <c r="I251" s="888">
        <f>Financeiros!I72</f>
        <v>2</v>
      </c>
      <c r="J251" s="888">
        <f>Financeiros!J72</f>
        <v>9</v>
      </c>
      <c r="K251" s="888">
        <f>Financeiros!K72</f>
        <v>9</v>
      </c>
      <c r="L251" s="888">
        <v>99</v>
      </c>
      <c r="M251" s="888">
        <v>9</v>
      </c>
      <c r="N251" s="888">
        <v>3</v>
      </c>
      <c r="O251" s="888">
        <v>99999</v>
      </c>
      <c r="P251" s="987">
        <f t="shared" ca="1" si="16"/>
        <v>0</v>
      </c>
      <c r="Q251" s="233">
        <f ca="1">Financeiros!D72</f>
        <v>0</v>
      </c>
    </row>
    <row r="252" spans="1:17" ht="15.75">
      <c r="A252" s="888" t="s">
        <v>831</v>
      </c>
      <c r="B252" s="888" t="s">
        <v>1454</v>
      </c>
      <c r="C252" s="888" t="str">
        <f>Financeiros!C73</f>
        <v>Conta Escassez H. - Diferimento de energia - RTA 2022 - Perda Técnica</v>
      </c>
      <c r="D252" s="888">
        <v>2</v>
      </c>
      <c r="E252" s="888">
        <v>2</v>
      </c>
      <c r="F252" s="888">
        <f>Financeiros!F73</f>
        <v>22</v>
      </c>
      <c r="G252" s="888">
        <f>Financeiros!G73</f>
        <v>60</v>
      </c>
      <c r="H252" s="888">
        <f>Financeiros!H73</f>
        <v>240</v>
      </c>
      <c r="I252" s="888">
        <f>Financeiros!I73</f>
        <v>2</v>
      </c>
      <c r="J252" s="888">
        <f>Financeiros!J73</f>
        <v>8</v>
      </c>
      <c r="K252" s="888">
        <f>Financeiros!K73</f>
        <v>9</v>
      </c>
      <c r="L252" s="888">
        <v>99</v>
      </c>
      <c r="M252" s="888">
        <v>9</v>
      </c>
      <c r="N252" s="888">
        <v>3</v>
      </c>
      <c r="O252" s="888">
        <v>99999</v>
      </c>
      <c r="P252" s="987">
        <f t="shared" ca="1" si="16"/>
        <v>0</v>
      </c>
      <c r="Q252" s="233">
        <f ca="1">Financeiros!D73</f>
        <v>0</v>
      </c>
    </row>
    <row r="253" spans="1:17" ht="15.75">
      <c r="A253" s="888" t="s">
        <v>831</v>
      </c>
      <c r="B253" s="888" t="s">
        <v>1454</v>
      </c>
      <c r="C253" s="888" t="str">
        <f>Financeiros!C74</f>
        <v>Conta Escassez H. - Diferimento de energia - RTA 2022 - Perda RB Perda RB sobre Dist.</v>
      </c>
      <c r="D253" s="888">
        <v>2</v>
      </c>
      <c r="E253" s="888">
        <v>2</v>
      </c>
      <c r="F253" s="888">
        <f>Financeiros!F74</f>
        <v>22</v>
      </c>
      <c r="G253" s="888">
        <f>Financeiros!G74</f>
        <v>60</v>
      </c>
      <c r="H253" s="888">
        <f>Financeiros!H74</f>
        <v>240</v>
      </c>
      <c r="I253" s="888">
        <f>Financeiros!I74</f>
        <v>2</v>
      </c>
      <c r="J253" s="888">
        <f>Financeiros!J74</f>
        <v>10</v>
      </c>
      <c r="K253" s="888">
        <f>Financeiros!K74</f>
        <v>9</v>
      </c>
      <c r="L253" s="888">
        <v>99</v>
      </c>
      <c r="M253" s="888">
        <v>9</v>
      </c>
      <c r="N253" s="888">
        <v>3</v>
      </c>
      <c r="O253" s="888">
        <v>99999</v>
      </c>
      <c r="P253" s="987">
        <f t="shared" ca="1" si="16"/>
        <v>0</v>
      </c>
      <c r="Q253" s="233">
        <f ca="1">Financeiros!D74</f>
        <v>0</v>
      </c>
    </row>
    <row r="254" spans="1:17" ht="15.75">
      <c r="A254" s="888" t="s">
        <v>831</v>
      </c>
      <c r="B254" s="888" t="s">
        <v>1454</v>
      </c>
      <c r="C254" s="888" t="str">
        <f>Financeiros!C75</f>
        <v>Conta Escassez H. - Diferimento de energia - RTA 2022 - Perda RB sobre Merc. Cat.</v>
      </c>
      <c r="D254" s="888">
        <v>2</v>
      </c>
      <c r="E254" s="888">
        <v>2</v>
      </c>
      <c r="F254" s="888">
        <f>Financeiros!F75</f>
        <v>22</v>
      </c>
      <c r="G254" s="888">
        <f>Financeiros!G75</f>
        <v>60</v>
      </c>
      <c r="H254" s="888">
        <f>Financeiros!H75</f>
        <v>240</v>
      </c>
      <c r="I254" s="888">
        <f>Financeiros!I75</f>
        <v>2</v>
      </c>
      <c r="J254" s="888">
        <f>Financeiros!J75</f>
        <v>24</v>
      </c>
      <c r="K254" s="888">
        <f>Financeiros!K75</f>
        <v>9</v>
      </c>
      <c r="L254" s="888">
        <v>99</v>
      </c>
      <c r="M254" s="888">
        <v>9</v>
      </c>
      <c r="N254" s="888">
        <v>3</v>
      </c>
      <c r="O254" s="888">
        <v>99999</v>
      </c>
      <c r="P254" s="987">
        <f t="shared" ca="1" si="16"/>
        <v>0</v>
      </c>
      <c r="Q254" s="233">
        <f ca="1">Financeiros!D75</f>
        <v>0</v>
      </c>
    </row>
    <row r="255" spans="1:17" ht="15.75">
      <c r="A255" s="888" t="s">
        <v>831</v>
      </c>
      <c r="B255" s="888" t="s">
        <v>1454</v>
      </c>
      <c r="C255" s="888" t="str">
        <f>Financeiros!C76</f>
        <v>Sobrecontratação/Reversão de Energia - Energia de Revenda</v>
      </c>
      <c r="D255" s="888">
        <v>2</v>
      </c>
      <c r="E255" s="888">
        <v>2</v>
      </c>
      <c r="F255" s="888">
        <f>Financeiros!F76</f>
        <v>22</v>
      </c>
      <c r="G255" s="888">
        <f>Financeiros!G76</f>
        <v>60</v>
      </c>
      <c r="H255" s="888">
        <f>Financeiros!H76</f>
        <v>106</v>
      </c>
      <c r="I255" s="888">
        <f>Financeiros!I76</f>
        <v>2</v>
      </c>
      <c r="J255" s="888">
        <f>Financeiros!J76</f>
        <v>11</v>
      </c>
      <c r="K255" s="888">
        <f>Financeiros!K76</f>
        <v>9</v>
      </c>
      <c r="L255" s="888">
        <v>99</v>
      </c>
      <c r="M255" s="888">
        <v>9</v>
      </c>
      <c r="N255" s="888">
        <v>3</v>
      </c>
      <c r="O255" s="888">
        <v>99999</v>
      </c>
      <c r="P255" s="987">
        <f t="shared" ca="1" si="16"/>
        <v>-1007341.4589705259</v>
      </c>
      <c r="Q255" s="233">
        <f ca="1">Financeiros!D76</f>
        <v>-1007341.4589705259</v>
      </c>
    </row>
    <row r="256" spans="1:17" ht="15.75">
      <c r="A256" s="888" t="s">
        <v>831</v>
      </c>
      <c r="B256" s="888" t="s">
        <v>1454</v>
      </c>
      <c r="C256" s="888" t="str">
        <f>Financeiros!C77</f>
        <v>Sobrecontratação/Reversão de Energia - Perda Não Técnica</v>
      </c>
      <c r="D256" s="888">
        <v>2</v>
      </c>
      <c r="E256" s="888">
        <v>2</v>
      </c>
      <c r="F256" s="888">
        <f>Financeiros!F77</f>
        <v>22</v>
      </c>
      <c r="G256" s="888">
        <f>Financeiros!G77</f>
        <v>60</v>
      </c>
      <c r="H256" s="888">
        <f>Financeiros!H77</f>
        <v>106</v>
      </c>
      <c r="I256" s="888">
        <f>Financeiros!I77</f>
        <v>2</v>
      </c>
      <c r="J256" s="888">
        <f>Financeiros!J77</f>
        <v>9</v>
      </c>
      <c r="K256" s="888">
        <f>Financeiros!K77</f>
        <v>9</v>
      </c>
      <c r="L256" s="888">
        <v>99</v>
      </c>
      <c r="M256" s="888">
        <v>9</v>
      </c>
      <c r="N256" s="888">
        <v>3</v>
      </c>
      <c r="O256" s="888">
        <v>99999</v>
      </c>
      <c r="P256" s="987">
        <f t="shared" ca="1" si="16"/>
        <v>0</v>
      </c>
      <c r="Q256" s="233">
        <f ca="1">Financeiros!D77</f>
        <v>0</v>
      </c>
    </row>
    <row r="257" spans="1:17" ht="15.75">
      <c r="A257" s="888" t="s">
        <v>831</v>
      </c>
      <c r="B257" s="888" t="s">
        <v>1454</v>
      </c>
      <c r="C257" s="888" t="str">
        <f>Financeiros!C78</f>
        <v>Sobrecontratação/Reversão de Energia - Perda Técnica</v>
      </c>
      <c r="D257" s="888">
        <v>2</v>
      </c>
      <c r="E257" s="888">
        <v>2</v>
      </c>
      <c r="F257" s="888">
        <f>Financeiros!F78</f>
        <v>22</v>
      </c>
      <c r="G257" s="888">
        <f>Financeiros!G78</f>
        <v>60</v>
      </c>
      <c r="H257" s="888">
        <f>Financeiros!H78</f>
        <v>106</v>
      </c>
      <c r="I257" s="888">
        <f>Financeiros!I78</f>
        <v>2</v>
      </c>
      <c r="J257" s="888">
        <f>Financeiros!J78</f>
        <v>8</v>
      </c>
      <c r="K257" s="888">
        <f>Financeiros!K78</f>
        <v>9</v>
      </c>
      <c r="L257" s="888">
        <v>99</v>
      </c>
      <c r="M257" s="888">
        <v>9</v>
      </c>
      <c r="N257" s="888">
        <v>3</v>
      </c>
      <c r="O257" s="888">
        <v>99999</v>
      </c>
      <c r="P257" s="987">
        <f t="shared" ca="1" si="16"/>
        <v>-82226.0058777003</v>
      </c>
      <c r="Q257" s="233">
        <f ca="1">Financeiros!D78</f>
        <v>-82226.0058777003</v>
      </c>
    </row>
    <row r="258" spans="1:17" ht="15.75">
      <c r="A258" s="888" t="s">
        <v>831</v>
      </c>
      <c r="B258" s="888" t="s">
        <v>1454</v>
      </c>
      <c r="C258" s="888" t="str">
        <f>Financeiros!C79</f>
        <v>Sobrecontratação/Reversão de Energia - Perda Rede Básica sobre Dist.</v>
      </c>
      <c r="D258" s="888">
        <v>2</v>
      </c>
      <c r="E258" s="888">
        <v>2</v>
      </c>
      <c r="F258" s="888">
        <f>Financeiros!F79</f>
        <v>22</v>
      </c>
      <c r="G258" s="888">
        <f>Financeiros!G79</f>
        <v>60</v>
      </c>
      <c r="H258" s="888">
        <f>Financeiros!H79</f>
        <v>106</v>
      </c>
      <c r="I258" s="888">
        <f>Financeiros!I79</f>
        <v>2</v>
      </c>
      <c r="J258" s="888">
        <f>Financeiros!J79</f>
        <v>10</v>
      </c>
      <c r="K258" s="888">
        <f>Financeiros!K79</f>
        <v>9</v>
      </c>
      <c r="L258" s="888">
        <v>99</v>
      </c>
      <c r="M258" s="888">
        <v>9</v>
      </c>
      <c r="N258" s="888">
        <v>3</v>
      </c>
      <c r="O258" s="888">
        <v>99999</v>
      </c>
      <c r="P258" s="987">
        <f t="shared" ca="1" si="16"/>
        <v>-2430.990714512558</v>
      </c>
      <c r="Q258" s="233">
        <f ca="1">Financeiros!D79</f>
        <v>-2430.990714512558</v>
      </c>
    </row>
    <row r="259" spans="1:17" ht="15.75">
      <c r="A259" s="888" t="s">
        <v>831</v>
      </c>
      <c r="B259" s="888" t="s">
        <v>1454</v>
      </c>
      <c r="C259" s="888" t="str">
        <f>Financeiros!C80</f>
        <v>Sobrecontratação/Reversão de Energia - Perda Rede Básica sobre mercado Cat.</v>
      </c>
      <c r="D259" s="888">
        <v>2</v>
      </c>
      <c r="E259" s="888">
        <v>2</v>
      </c>
      <c r="F259" s="888">
        <f>Financeiros!F80</f>
        <v>22</v>
      </c>
      <c r="G259" s="888">
        <f>Financeiros!G80</f>
        <v>60</v>
      </c>
      <c r="H259" s="888">
        <f>Financeiros!H80</f>
        <v>106</v>
      </c>
      <c r="I259" s="888">
        <f>Financeiros!I80</f>
        <v>2</v>
      </c>
      <c r="J259" s="888">
        <f>Financeiros!J80</f>
        <v>24</v>
      </c>
      <c r="K259" s="888">
        <f>Financeiros!K80</f>
        <v>9</v>
      </c>
      <c r="L259" s="888">
        <v>99</v>
      </c>
      <c r="M259" s="888">
        <v>9</v>
      </c>
      <c r="N259" s="888">
        <v>3</v>
      </c>
      <c r="O259" s="888">
        <v>99999</v>
      </c>
      <c r="P259" s="987">
        <f t="shared" ca="1" si="16"/>
        <v>-29781.791137261196</v>
      </c>
      <c r="Q259" s="233">
        <f ca="1">Financeiros!D80</f>
        <v>-29781.791137261196</v>
      </c>
    </row>
    <row r="260" spans="1:17" ht="15.75">
      <c r="A260" s="888" t="s">
        <v>831</v>
      </c>
      <c r="B260" s="888" t="s">
        <v>1454</v>
      </c>
      <c r="C260" s="1730" t="s">
        <v>2353</v>
      </c>
      <c r="D260" s="888">
        <v>2</v>
      </c>
      <c r="E260" s="888">
        <v>2</v>
      </c>
      <c r="F260" s="1730">
        <f>Financeiros!F42</f>
        <v>22</v>
      </c>
      <c r="G260" s="1730">
        <f>Financeiros!G42</f>
        <v>60</v>
      </c>
      <c r="H260" s="1730">
        <f>Financeiros!H42</f>
        <v>235</v>
      </c>
      <c r="I260" s="1730">
        <f>Financeiros!I42</f>
        <v>4</v>
      </c>
      <c r="J260" s="1730">
        <f>Financeiros!J42</f>
        <v>999</v>
      </c>
      <c r="K260" s="1730">
        <f>Financeiros!K42</f>
        <v>9</v>
      </c>
      <c r="L260" s="888">
        <v>99</v>
      </c>
      <c r="M260" s="888">
        <v>9</v>
      </c>
      <c r="N260" s="888">
        <v>3</v>
      </c>
      <c r="O260" s="888">
        <v>99999</v>
      </c>
      <c r="P260" s="987">
        <f t="shared" si="16"/>
        <v>-94838.229139715273</v>
      </c>
      <c r="Q260" s="417">
        <f>Financeiros!D42</f>
        <v>-94838.229139715273</v>
      </c>
    </row>
    <row r="261" spans="1:17" ht="15.75">
      <c r="A261" s="888" t="s">
        <v>831</v>
      </c>
      <c r="B261" s="888" t="s">
        <v>1454</v>
      </c>
      <c r="C261" s="888" t="str">
        <f>Financeiros!C82</f>
        <v>Reversão de Risco Hidrológico</v>
      </c>
      <c r="D261" s="888">
        <v>2</v>
      </c>
      <c r="E261" s="888">
        <v>2</v>
      </c>
      <c r="F261" s="888">
        <f>Financeiros!F82</f>
        <v>22</v>
      </c>
      <c r="G261" s="888">
        <f>Financeiros!G82</f>
        <v>62</v>
      </c>
      <c r="H261" s="888">
        <f>Financeiros!H82</f>
        <v>220</v>
      </c>
      <c r="I261" s="888">
        <f>Financeiros!I82</f>
        <v>2</v>
      </c>
      <c r="J261" s="888">
        <f>Financeiros!J82</f>
        <v>30</v>
      </c>
      <c r="K261" s="888">
        <v>9</v>
      </c>
      <c r="L261" s="888">
        <v>99</v>
      </c>
      <c r="M261" s="888">
        <v>9</v>
      </c>
      <c r="N261" s="888">
        <v>3</v>
      </c>
      <c r="O261" s="888">
        <v>99999</v>
      </c>
      <c r="P261" s="987">
        <f t="shared" ref="P261" si="17">IF(ISNUMBER(Q261),Q261,0)</f>
        <v>-2077950.0823306313</v>
      </c>
      <c r="Q261" s="233">
        <f>Financeiros!D82</f>
        <v>-2077950.0823306313</v>
      </c>
    </row>
    <row r="262" spans="1:17" ht="15.75">
      <c r="A262" s="888" t="s">
        <v>831</v>
      </c>
      <c r="B262" s="888" t="s">
        <v>1454</v>
      </c>
      <c r="C262" s="888" t="s">
        <v>1752</v>
      </c>
      <c r="D262" s="888">
        <v>5</v>
      </c>
      <c r="E262" s="888">
        <v>2</v>
      </c>
      <c r="F262" s="888">
        <v>19</v>
      </c>
      <c r="G262" s="888">
        <v>65</v>
      </c>
      <c r="H262" s="888">
        <v>172</v>
      </c>
      <c r="I262" s="888">
        <v>1</v>
      </c>
      <c r="J262" s="888">
        <v>1</v>
      </c>
      <c r="K262" s="888">
        <v>9</v>
      </c>
      <c r="L262" s="888">
        <v>99</v>
      </c>
      <c r="M262" s="888">
        <v>9</v>
      </c>
      <c r="N262" s="888">
        <v>3</v>
      </c>
      <c r="O262" s="888">
        <v>99999</v>
      </c>
      <c r="P262" s="987">
        <f t="shared" si="16"/>
        <v>0</v>
      </c>
      <c r="Q262" s="233">
        <f>CVE!$D$12</f>
        <v>0</v>
      </c>
    </row>
    <row r="263" spans="1:17" ht="15.75">
      <c r="A263" s="888" t="s">
        <v>831</v>
      </c>
      <c r="B263" s="888" t="s">
        <v>1454</v>
      </c>
      <c r="C263" s="888" t="s">
        <v>1753</v>
      </c>
      <c r="D263" s="888">
        <v>5</v>
      </c>
      <c r="E263" s="888">
        <v>2</v>
      </c>
      <c r="F263" s="888">
        <v>19</v>
      </c>
      <c r="G263" s="888">
        <v>65</v>
      </c>
      <c r="H263" s="888">
        <v>172</v>
      </c>
      <c r="I263" s="888">
        <v>1</v>
      </c>
      <c r="J263" s="888">
        <v>21</v>
      </c>
      <c r="K263" s="888">
        <v>9</v>
      </c>
      <c r="L263" s="888">
        <v>99</v>
      </c>
      <c r="M263" s="888">
        <v>9</v>
      </c>
      <c r="N263" s="888">
        <v>3</v>
      </c>
      <c r="O263" s="888">
        <v>99999</v>
      </c>
      <c r="P263" s="987">
        <f t="shared" si="16"/>
        <v>0</v>
      </c>
      <c r="Q263" s="233">
        <f>CVE!$D$15</f>
        <v>0</v>
      </c>
    </row>
    <row r="264" spans="1:17" ht="15.75">
      <c r="A264" s="888" t="s">
        <v>831</v>
      </c>
      <c r="B264" s="888" t="s">
        <v>1454</v>
      </c>
      <c r="C264" s="888" t="s">
        <v>1754</v>
      </c>
      <c r="D264" s="888">
        <v>5</v>
      </c>
      <c r="E264" s="888">
        <v>2</v>
      </c>
      <c r="F264" s="888">
        <v>19</v>
      </c>
      <c r="G264" s="888">
        <v>65</v>
      </c>
      <c r="H264" s="888">
        <v>172</v>
      </c>
      <c r="I264" s="888">
        <v>2</v>
      </c>
      <c r="J264" s="888">
        <v>999</v>
      </c>
      <c r="K264" s="888">
        <v>9</v>
      </c>
      <c r="L264" s="888">
        <v>99</v>
      </c>
      <c r="M264" s="888">
        <v>9</v>
      </c>
      <c r="N264" s="888">
        <v>3</v>
      </c>
      <c r="O264" s="888">
        <v>99999</v>
      </c>
      <c r="P264" s="987">
        <f t="shared" si="16"/>
        <v>351442.16210000002</v>
      </c>
      <c r="Q264" s="233">
        <f>CVE!$D$13</f>
        <v>351442.16210000002</v>
      </c>
    </row>
    <row r="265" spans="1:17" ht="15.75">
      <c r="A265" s="888" t="s">
        <v>831</v>
      </c>
      <c r="B265" s="888" t="s">
        <v>1454</v>
      </c>
      <c r="C265" s="888" t="s">
        <v>1755</v>
      </c>
      <c r="D265" s="888">
        <v>5</v>
      </c>
      <c r="E265" s="888">
        <v>2</v>
      </c>
      <c r="F265" s="888">
        <v>19</v>
      </c>
      <c r="G265" s="888">
        <v>65</v>
      </c>
      <c r="H265" s="888">
        <v>172</v>
      </c>
      <c r="I265" s="888">
        <v>3</v>
      </c>
      <c r="J265" s="888">
        <v>13</v>
      </c>
      <c r="K265" s="888">
        <v>9</v>
      </c>
      <c r="L265" s="888">
        <v>99</v>
      </c>
      <c r="M265" s="888">
        <v>9</v>
      </c>
      <c r="N265" s="888">
        <v>3</v>
      </c>
      <c r="O265" s="888">
        <v>99999</v>
      </c>
      <c r="P265" s="987">
        <f t="shared" si="16"/>
        <v>0</v>
      </c>
      <c r="Q265" s="233">
        <f>CVE!$D$9</f>
        <v>0</v>
      </c>
    </row>
    <row r="266" spans="1:17" ht="15.75">
      <c r="A266" s="888" t="s">
        <v>831</v>
      </c>
      <c r="B266" s="888" t="s">
        <v>1454</v>
      </c>
      <c r="C266" s="888" t="s">
        <v>1756</v>
      </c>
      <c r="D266" s="888">
        <v>5</v>
      </c>
      <c r="E266" s="888">
        <v>2</v>
      </c>
      <c r="F266" s="888">
        <v>19</v>
      </c>
      <c r="G266" s="888">
        <v>65</v>
      </c>
      <c r="H266" s="888">
        <v>172</v>
      </c>
      <c r="I266" s="888">
        <v>3</v>
      </c>
      <c r="J266" s="888">
        <v>15</v>
      </c>
      <c r="K266" s="888">
        <v>9</v>
      </c>
      <c r="L266" s="888">
        <v>99</v>
      </c>
      <c r="M266" s="888">
        <v>9</v>
      </c>
      <c r="N266" s="888">
        <v>3</v>
      </c>
      <c r="O266" s="888">
        <v>99999</v>
      </c>
      <c r="P266" s="987">
        <f t="shared" si="16"/>
        <v>0</v>
      </c>
      <c r="Q266" s="233">
        <f>CVE!$D$10</f>
        <v>0</v>
      </c>
    </row>
    <row r="267" spans="1:17" ht="15.75">
      <c r="A267" s="888" t="s">
        <v>831</v>
      </c>
      <c r="B267" s="888" t="s">
        <v>1454</v>
      </c>
      <c r="C267" s="888" t="s">
        <v>1757</v>
      </c>
      <c r="D267" s="888">
        <v>5</v>
      </c>
      <c r="E267" s="888">
        <v>2</v>
      </c>
      <c r="F267" s="888">
        <v>19</v>
      </c>
      <c r="G267" s="888">
        <v>65</v>
      </c>
      <c r="H267" s="888">
        <v>172</v>
      </c>
      <c r="I267" s="888">
        <v>3</v>
      </c>
      <c r="J267" s="888">
        <v>16</v>
      </c>
      <c r="K267" s="888">
        <v>9</v>
      </c>
      <c r="L267" s="888">
        <v>99</v>
      </c>
      <c r="M267" s="888">
        <v>9</v>
      </c>
      <c r="N267" s="888">
        <v>3</v>
      </c>
      <c r="O267" s="888">
        <v>99999</v>
      </c>
      <c r="P267" s="987">
        <f t="shared" si="16"/>
        <v>0</v>
      </c>
      <c r="Q267" s="233">
        <f>CVE!$D$14</f>
        <v>0</v>
      </c>
    </row>
    <row r="268" spans="1:17" ht="15.75">
      <c r="A268" s="888" t="s">
        <v>831</v>
      </c>
      <c r="B268" s="888" t="s">
        <v>1454</v>
      </c>
      <c r="C268" s="888" t="s">
        <v>1758</v>
      </c>
      <c r="D268" s="888">
        <v>5</v>
      </c>
      <c r="E268" s="888">
        <v>2</v>
      </c>
      <c r="F268" s="888">
        <v>19</v>
      </c>
      <c r="G268" s="888">
        <v>65</v>
      </c>
      <c r="H268" s="888">
        <v>172</v>
      </c>
      <c r="I268" s="888">
        <v>3</v>
      </c>
      <c r="J268" s="888">
        <v>17</v>
      </c>
      <c r="K268" s="888">
        <v>9</v>
      </c>
      <c r="L268" s="888">
        <v>99</v>
      </c>
      <c r="M268" s="888">
        <v>9</v>
      </c>
      <c r="N268" s="888">
        <v>3</v>
      </c>
      <c r="O268" s="888">
        <v>99999</v>
      </c>
      <c r="P268" s="987">
        <f t="shared" si="16"/>
        <v>2353444.7437</v>
      </c>
      <c r="Q268" s="233">
        <f>CVE!$D$17</f>
        <v>2353444.7437</v>
      </c>
    </row>
    <row r="269" spans="1:17" ht="15.75">
      <c r="A269" s="888" t="s">
        <v>831</v>
      </c>
      <c r="B269" s="888" t="s">
        <v>1454</v>
      </c>
      <c r="C269" s="888" t="s">
        <v>1759</v>
      </c>
      <c r="D269" s="888">
        <v>5</v>
      </c>
      <c r="E269" s="888">
        <v>2</v>
      </c>
      <c r="F269" s="888">
        <v>19</v>
      </c>
      <c r="G269" s="888">
        <v>65</v>
      </c>
      <c r="H269" s="888">
        <v>172</v>
      </c>
      <c r="I269" s="888">
        <v>3</v>
      </c>
      <c r="J269" s="888">
        <v>18</v>
      </c>
      <c r="K269" s="888">
        <v>9</v>
      </c>
      <c r="L269" s="888">
        <v>99</v>
      </c>
      <c r="M269" s="888">
        <v>9</v>
      </c>
      <c r="N269" s="888">
        <v>3</v>
      </c>
      <c r="O269" s="888">
        <v>99999</v>
      </c>
      <c r="P269" s="987">
        <f t="shared" si="16"/>
        <v>0</v>
      </c>
      <c r="Q269" s="233">
        <f>CVE!$D$16</f>
        <v>0</v>
      </c>
    </row>
    <row r="270" spans="1:17" ht="15.75">
      <c r="A270" s="888" t="s">
        <v>831</v>
      </c>
      <c r="B270" s="888" t="s">
        <v>1454</v>
      </c>
      <c r="C270" s="888" t="s">
        <v>1760</v>
      </c>
      <c r="D270" s="888">
        <v>5</v>
      </c>
      <c r="E270" s="888">
        <v>2</v>
      </c>
      <c r="F270" s="888">
        <v>19</v>
      </c>
      <c r="G270" s="888">
        <v>65</v>
      </c>
      <c r="H270" s="888">
        <v>172</v>
      </c>
      <c r="I270" s="888">
        <v>2</v>
      </c>
      <c r="J270" s="888">
        <v>25</v>
      </c>
      <c r="K270" s="888">
        <v>9</v>
      </c>
      <c r="L270" s="888">
        <v>99</v>
      </c>
      <c r="M270" s="888">
        <v>9</v>
      </c>
      <c r="N270" s="888">
        <v>3</v>
      </c>
      <c r="O270" s="888">
        <v>99999</v>
      </c>
      <c r="P270" s="987">
        <f t="shared" si="16"/>
        <v>0</v>
      </c>
      <c r="Q270" s="233">
        <f>CVE!$D$11</f>
        <v>0</v>
      </c>
    </row>
    <row r="271" spans="1:17" ht="15.75">
      <c r="A271" s="888" t="s">
        <v>1761</v>
      </c>
      <c r="B271" s="888" t="s">
        <v>35</v>
      </c>
      <c r="C271" s="888" t="s">
        <v>1762</v>
      </c>
      <c r="D271" s="888">
        <v>4</v>
      </c>
      <c r="E271" s="888">
        <v>2</v>
      </c>
      <c r="F271" s="888">
        <v>19</v>
      </c>
      <c r="G271" s="888">
        <v>64</v>
      </c>
      <c r="H271" s="888">
        <v>95</v>
      </c>
      <c r="I271" s="888">
        <v>3</v>
      </c>
      <c r="J271" s="888">
        <v>13</v>
      </c>
      <c r="K271" s="888">
        <v>9</v>
      </c>
      <c r="L271" s="888">
        <v>99</v>
      </c>
      <c r="M271" s="888">
        <v>9</v>
      </c>
      <c r="N271" s="888">
        <v>3</v>
      </c>
      <c r="O271" s="888">
        <v>99999</v>
      </c>
      <c r="P271" s="987">
        <f t="shared" si="16"/>
        <v>0</v>
      </c>
      <c r="Q271" s="233">
        <f>CVE!$D$24</f>
        <v>0</v>
      </c>
    </row>
    <row r="272" spans="1:17" ht="15.75">
      <c r="A272" s="888" t="s">
        <v>1761</v>
      </c>
      <c r="B272" s="888" t="s">
        <v>35</v>
      </c>
      <c r="C272" s="888" t="s">
        <v>1763</v>
      </c>
      <c r="D272" s="888">
        <v>4</v>
      </c>
      <c r="E272" s="888">
        <v>2</v>
      </c>
      <c r="F272" s="888">
        <v>19</v>
      </c>
      <c r="G272" s="888">
        <v>64</v>
      </c>
      <c r="H272" s="888">
        <v>95</v>
      </c>
      <c r="I272" s="888">
        <v>3</v>
      </c>
      <c r="J272" s="888">
        <v>15</v>
      </c>
      <c r="K272" s="888">
        <v>9</v>
      </c>
      <c r="L272" s="888">
        <v>99</v>
      </c>
      <c r="M272" s="888">
        <v>9</v>
      </c>
      <c r="N272" s="888">
        <v>3</v>
      </c>
      <c r="O272" s="888">
        <v>99999</v>
      </c>
      <c r="P272" s="987">
        <f t="shared" si="16"/>
        <v>0</v>
      </c>
      <c r="Q272" s="233">
        <f>CVE!$D$25</f>
        <v>0</v>
      </c>
    </row>
    <row r="273" spans="1:17" ht="15.75">
      <c r="A273" s="888" t="s">
        <v>1761</v>
      </c>
      <c r="B273" s="888" t="s">
        <v>35</v>
      </c>
      <c r="C273" s="888" t="s">
        <v>1764</v>
      </c>
      <c r="D273" s="888">
        <v>4</v>
      </c>
      <c r="E273" s="888">
        <v>2</v>
      </c>
      <c r="F273" s="888">
        <v>19</v>
      </c>
      <c r="G273" s="888">
        <v>64</v>
      </c>
      <c r="H273" s="888">
        <v>95</v>
      </c>
      <c r="I273" s="888">
        <v>2</v>
      </c>
      <c r="J273" s="888">
        <v>25</v>
      </c>
      <c r="K273" s="888">
        <v>9</v>
      </c>
      <c r="L273" s="888">
        <v>99</v>
      </c>
      <c r="M273" s="888">
        <v>9</v>
      </c>
      <c r="N273" s="888">
        <v>3</v>
      </c>
      <c r="O273" s="888">
        <v>99999</v>
      </c>
      <c r="P273" s="987">
        <f t="shared" si="16"/>
        <v>0</v>
      </c>
      <c r="Q273" s="233">
        <f>CVE!$D$26</f>
        <v>0</v>
      </c>
    </row>
    <row r="274" spans="1:17" ht="15.75">
      <c r="A274" s="888" t="s">
        <v>1761</v>
      </c>
      <c r="B274" s="888" t="s">
        <v>35</v>
      </c>
      <c r="C274" s="888" t="s">
        <v>1765</v>
      </c>
      <c r="D274" s="888">
        <v>4</v>
      </c>
      <c r="E274" s="888">
        <v>2</v>
      </c>
      <c r="F274" s="888">
        <v>19</v>
      </c>
      <c r="G274" s="888">
        <v>64</v>
      </c>
      <c r="H274" s="888">
        <v>95</v>
      </c>
      <c r="I274" s="888">
        <v>1</v>
      </c>
      <c r="J274" s="888">
        <v>1</v>
      </c>
      <c r="K274" s="888">
        <v>9</v>
      </c>
      <c r="L274" s="888">
        <v>99</v>
      </c>
      <c r="M274" s="888">
        <v>9</v>
      </c>
      <c r="N274" s="888">
        <v>3</v>
      </c>
      <c r="O274" s="888">
        <v>99999</v>
      </c>
      <c r="P274" s="987">
        <f t="shared" si="16"/>
        <v>0</v>
      </c>
      <c r="Q274" s="233">
        <f>CVE!$D$27</f>
        <v>0</v>
      </c>
    </row>
    <row r="275" spans="1:17" ht="15.75">
      <c r="A275" s="888" t="s">
        <v>1761</v>
      </c>
      <c r="B275" s="888" t="s">
        <v>35</v>
      </c>
      <c r="C275" s="888" t="s">
        <v>1766</v>
      </c>
      <c r="D275" s="888">
        <v>4</v>
      </c>
      <c r="E275" s="888">
        <v>2</v>
      </c>
      <c r="F275" s="888">
        <v>19</v>
      </c>
      <c r="G275" s="888">
        <v>64</v>
      </c>
      <c r="H275" s="888">
        <v>95</v>
      </c>
      <c r="I275" s="888">
        <v>2</v>
      </c>
      <c r="J275" s="888">
        <v>999</v>
      </c>
      <c r="K275" s="888">
        <v>9</v>
      </c>
      <c r="L275" s="888">
        <v>99</v>
      </c>
      <c r="M275" s="888">
        <v>9</v>
      </c>
      <c r="N275" s="888">
        <v>3</v>
      </c>
      <c r="O275" s="888">
        <v>99999</v>
      </c>
      <c r="P275" s="987">
        <f t="shared" si="16"/>
        <v>0</v>
      </c>
      <c r="Q275" s="233">
        <f>CVE!$D$28</f>
        <v>0</v>
      </c>
    </row>
    <row r="276" spans="1:17" ht="15.75">
      <c r="A276" s="888" t="s">
        <v>1761</v>
      </c>
      <c r="B276" s="888" t="s">
        <v>35</v>
      </c>
      <c r="C276" s="888" t="s">
        <v>1767</v>
      </c>
      <c r="D276" s="888">
        <v>4</v>
      </c>
      <c r="E276" s="888">
        <v>2</v>
      </c>
      <c r="F276" s="888">
        <v>19</v>
      </c>
      <c r="G276" s="888">
        <v>64</v>
      </c>
      <c r="H276" s="888">
        <v>95</v>
      </c>
      <c r="I276" s="888">
        <v>3</v>
      </c>
      <c r="J276" s="888">
        <v>16</v>
      </c>
      <c r="K276" s="888">
        <v>9</v>
      </c>
      <c r="L276" s="888">
        <v>99</v>
      </c>
      <c r="M276" s="888">
        <v>9</v>
      </c>
      <c r="N276" s="888">
        <v>3</v>
      </c>
      <c r="O276" s="888">
        <v>99999</v>
      </c>
      <c r="P276" s="987">
        <f t="shared" si="16"/>
        <v>0</v>
      </c>
      <c r="Q276" s="233">
        <f>CVE!$D$29</f>
        <v>0</v>
      </c>
    </row>
    <row r="277" spans="1:17" ht="15.75">
      <c r="A277" s="888" t="s">
        <v>1761</v>
      </c>
      <c r="B277" s="888" t="s">
        <v>35</v>
      </c>
      <c r="C277" s="888" t="s">
        <v>1768</v>
      </c>
      <c r="D277" s="888">
        <v>4</v>
      </c>
      <c r="E277" s="888">
        <v>2</v>
      </c>
      <c r="F277" s="888">
        <v>19</v>
      </c>
      <c r="G277" s="888">
        <v>64</v>
      </c>
      <c r="H277" s="888">
        <v>95</v>
      </c>
      <c r="I277" s="888">
        <v>1</v>
      </c>
      <c r="J277" s="888">
        <v>21</v>
      </c>
      <c r="K277" s="888">
        <v>9</v>
      </c>
      <c r="L277" s="888">
        <v>99</v>
      </c>
      <c r="M277" s="888">
        <v>9</v>
      </c>
      <c r="N277" s="888">
        <v>3</v>
      </c>
      <c r="O277" s="888">
        <v>99999</v>
      </c>
      <c r="P277" s="987">
        <f t="shared" si="16"/>
        <v>0</v>
      </c>
      <c r="Q277" s="233">
        <f>CVE!$D$30</f>
        <v>0</v>
      </c>
    </row>
    <row r="278" spans="1:17" ht="15.75">
      <c r="A278" s="888" t="s">
        <v>1761</v>
      </c>
      <c r="B278" s="888" t="s">
        <v>35</v>
      </c>
      <c r="C278" s="888" t="s">
        <v>1769</v>
      </c>
      <c r="D278" s="888">
        <v>4</v>
      </c>
      <c r="E278" s="888">
        <v>2</v>
      </c>
      <c r="F278" s="888">
        <v>19</v>
      </c>
      <c r="G278" s="888">
        <v>64</v>
      </c>
      <c r="H278" s="888">
        <v>95</v>
      </c>
      <c r="I278" s="888">
        <v>3</v>
      </c>
      <c r="J278" s="888">
        <v>18</v>
      </c>
      <c r="K278" s="888">
        <v>9</v>
      </c>
      <c r="L278" s="888">
        <v>99</v>
      </c>
      <c r="M278" s="888">
        <v>9</v>
      </c>
      <c r="N278" s="888">
        <v>3</v>
      </c>
      <c r="O278" s="888">
        <v>99999</v>
      </c>
      <c r="P278" s="987">
        <f t="shared" si="16"/>
        <v>0</v>
      </c>
      <c r="Q278" s="233">
        <f>CVE!$D$31</f>
        <v>0</v>
      </c>
    </row>
    <row r="279" spans="1:17" ht="15.75">
      <c r="A279" s="888" t="s">
        <v>1761</v>
      </c>
      <c r="B279" s="888" t="s">
        <v>35</v>
      </c>
      <c r="C279" s="888" t="s">
        <v>1770</v>
      </c>
      <c r="D279" s="888">
        <v>4</v>
      </c>
      <c r="E279" s="888">
        <v>2</v>
      </c>
      <c r="F279" s="888">
        <v>19</v>
      </c>
      <c r="G279" s="888">
        <v>64</v>
      </c>
      <c r="H279" s="888">
        <v>95</v>
      </c>
      <c r="I279" s="888">
        <v>3</v>
      </c>
      <c r="J279" s="888">
        <v>17</v>
      </c>
      <c r="K279" s="888">
        <v>9</v>
      </c>
      <c r="L279" s="888">
        <v>99</v>
      </c>
      <c r="M279" s="888">
        <v>9</v>
      </c>
      <c r="N279" s="888">
        <v>3</v>
      </c>
      <c r="O279" s="888">
        <v>99999</v>
      </c>
      <c r="P279" s="987">
        <f t="shared" si="16"/>
        <v>0</v>
      </c>
      <c r="Q279" s="233">
        <f>CVE!$D$32</f>
        <v>0</v>
      </c>
    </row>
    <row r="280" spans="1:17" ht="15.75">
      <c r="A280" s="888" t="s">
        <v>831</v>
      </c>
      <c r="B280" s="888" t="s">
        <v>160</v>
      </c>
      <c r="C280" s="888" t="str">
        <f>Energia!$B$20</f>
        <v>Angra</v>
      </c>
      <c r="D280" s="888">
        <v>1</v>
      </c>
      <c r="E280" s="888">
        <v>1</v>
      </c>
      <c r="F280" s="888">
        <v>8</v>
      </c>
      <c r="G280" s="888">
        <v>999999</v>
      </c>
      <c r="H280" s="888">
        <v>999</v>
      </c>
      <c r="I280" s="888">
        <v>2</v>
      </c>
      <c r="J280" s="888">
        <v>999</v>
      </c>
      <c r="K280" s="888">
        <v>9</v>
      </c>
      <c r="L280" s="888">
        <v>99</v>
      </c>
      <c r="M280" s="888">
        <v>9</v>
      </c>
      <c r="N280" s="888">
        <v>2</v>
      </c>
      <c r="O280" s="888">
        <v>99999</v>
      </c>
      <c r="P280" s="987">
        <f t="shared" ca="1" si="16"/>
        <v>3700.1466691083947</v>
      </c>
      <c r="Q280" s="233">
        <f ca="1">Energia!$C$20</f>
        <v>3700.1466691083947</v>
      </c>
    </row>
    <row r="281" spans="1:17" ht="15.75">
      <c r="A281" s="888" t="s">
        <v>831</v>
      </c>
      <c r="B281" s="888" t="s">
        <v>160</v>
      </c>
      <c r="C281" s="888" t="str">
        <f>Energia!B20</f>
        <v>Angra</v>
      </c>
      <c r="D281" s="888">
        <v>1</v>
      </c>
      <c r="E281" s="888">
        <v>1</v>
      </c>
      <c r="F281" s="888">
        <v>8</v>
      </c>
      <c r="G281" s="888">
        <v>999999</v>
      </c>
      <c r="H281" s="888">
        <v>999</v>
      </c>
      <c r="I281" s="888">
        <v>2</v>
      </c>
      <c r="J281" s="888">
        <v>999</v>
      </c>
      <c r="K281" s="888">
        <v>9</v>
      </c>
      <c r="L281" s="888">
        <v>99</v>
      </c>
      <c r="M281" s="888">
        <v>9</v>
      </c>
      <c r="N281" s="888">
        <v>3</v>
      </c>
      <c r="O281" s="888">
        <v>99999</v>
      </c>
      <c r="P281" s="987">
        <f t="shared" ca="1" si="16"/>
        <v>1291906.2095191958</v>
      </c>
      <c r="Q281" s="233">
        <f ca="1">Energia!$F$20</f>
        <v>1291906.2095191958</v>
      </c>
    </row>
    <row r="282" spans="1:17" ht="15.75">
      <c r="A282" s="888" t="s">
        <v>831</v>
      </c>
      <c r="B282" s="888" t="s">
        <v>160</v>
      </c>
      <c r="C282" s="888" t="str">
        <f>Energia!$B$21</f>
        <v>CCGF</v>
      </c>
      <c r="D282" s="888">
        <v>1</v>
      </c>
      <c r="E282" s="888">
        <v>1</v>
      </c>
      <c r="F282" s="888">
        <v>17</v>
      </c>
      <c r="G282" s="888">
        <v>999999</v>
      </c>
      <c r="H282" s="888">
        <v>999</v>
      </c>
      <c r="I282" s="888">
        <v>2</v>
      </c>
      <c r="J282" s="888">
        <v>999</v>
      </c>
      <c r="K282" s="888">
        <v>9</v>
      </c>
      <c r="L282" s="888">
        <v>99</v>
      </c>
      <c r="M282" s="888">
        <v>9</v>
      </c>
      <c r="N282" s="888">
        <v>2</v>
      </c>
      <c r="O282" s="888">
        <v>0</v>
      </c>
      <c r="P282" s="987">
        <f t="shared" ca="1" si="16"/>
        <v>28578.513426430407</v>
      </c>
      <c r="Q282" s="233">
        <f ca="1">Energia!$C$21</f>
        <v>28578.513426430407</v>
      </c>
    </row>
    <row r="283" spans="1:17" ht="15.75">
      <c r="A283" s="888" t="s">
        <v>831</v>
      </c>
      <c r="B283" s="888" t="s">
        <v>160</v>
      </c>
      <c r="C283" s="888" t="str">
        <f>Energia!$B$21</f>
        <v>CCGF</v>
      </c>
      <c r="D283" s="888">
        <v>1</v>
      </c>
      <c r="E283" s="888">
        <v>1</v>
      </c>
      <c r="F283" s="888">
        <v>17</v>
      </c>
      <c r="G283" s="888">
        <v>999999</v>
      </c>
      <c r="H283" s="888">
        <v>999</v>
      </c>
      <c r="I283" s="888">
        <v>2</v>
      </c>
      <c r="J283" s="888">
        <v>999</v>
      </c>
      <c r="K283" s="888">
        <v>9</v>
      </c>
      <c r="L283" s="888">
        <v>99</v>
      </c>
      <c r="M283" s="888">
        <v>9</v>
      </c>
      <c r="N283" s="888">
        <v>3</v>
      </c>
      <c r="O283" s="888">
        <v>0</v>
      </c>
      <c r="P283" s="987">
        <f t="shared" ca="1" si="16"/>
        <v>4155465.7019285844</v>
      </c>
      <c r="Q283" s="233">
        <f ca="1">Energia!$F$21</f>
        <v>4155465.7019285844</v>
      </c>
    </row>
    <row r="284" spans="1:17" ht="15.75">
      <c r="A284" s="1547" t="s">
        <v>831</v>
      </c>
      <c r="B284" s="1548" t="s">
        <v>109</v>
      </c>
      <c r="C284" s="1548" t="s">
        <v>1419</v>
      </c>
      <c r="D284" s="1548">
        <v>1</v>
      </c>
      <c r="E284" s="1548">
        <v>1</v>
      </c>
      <c r="F284" s="1548">
        <v>999</v>
      </c>
      <c r="G284" s="1548">
        <v>999999</v>
      </c>
      <c r="H284" s="1548">
        <v>999</v>
      </c>
      <c r="I284" s="1548">
        <v>3</v>
      </c>
      <c r="J284" s="1548">
        <v>35</v>
      </c>
      <c r="K284" s="1548">
        <v>9</v>
      </c>
      <c r="L284" s="1548">
        <v>99</v>
      </c>
      <c r="M284" s="1548">
        <v>9</v>
      </c>
      <c r="N284" s="1548">
        <v>3</v>
      </c>
      <c r="O284" s="1548">
        <v>99999</v>
      </c>
      <c r="P284" s="987">
        <f>IF(ISNUMBER(Q284),Q284,0)</f>
        <v>2788818.9886930156</v>
      </c>
      <c r="Q284" s="974">
        <f>Encargos!L17</f>
        <v>2788818.9886930156</v>
      </c>
    </row>
    <row r="285" spans="1:17" ht="15.75">
      <c r="A285" s="1549" t="s">
        <v>831</v>
      </c>
      <c r="B285" s="1549" t="s">
        <v>109</v>
      </c>
      <c r="C285" s="1549" t="s">
        <v>1771</v>
      </c>
      <c r="D285" s="1549">
        <v>2</v>
      </c>
      <c r="E285" s="1549">
        <v>1</v>
      </c>
      <c r="F285" s="1549">
        <v>51</v>
      </c>
      <c r="G285" s="1549">
        <v>999999</v>
      </c>
      <c r="H285" s="1549">
        <v>999</v>
      </c>
      <c r="I285" s="1549">
        <v>3</v>
      </c>
      <c r="J285" s="1549">
        <v>28</v>
      </c>
      <c r="K285" s="1549">
        <v>2</v>
      </c>
      <c r="L285" s="1549">
        <v>99</v>
      </c>
      <c r="M285" s="1549">
        <v>9</v>
      </c>
      <c r="N285" s="1549">
        <v>3</v>
      </c>
      <c r="O285" s="1549">
        <v>99999</v>
      </c>
      <c r="P285" s="987">
        <f>IF(ISNUMBER(Q285),Q285,0)</f>
        <v>-1710000</v>
      </c>
      <c r="Q285" s="974">
        <f>Encargos!I21</f>
        <v>-1710000</v>
      </c>
    </row>
    <row r="286" spans="1:17" ht="15.75">
      <c r="A286" s="888" t="s">
        <v>1705</v>
      </c>
      <c r="B286" s="888" t="s">
        <v>160</v>
      </c>
      <c r="C286" s="888" t="s">
        <v>2383</v>
      </c>
      <c r="D286" s="888">
        <v>3</v>
      </c>
      <c r="E286" s="888">
        <v>1</v>
      </c>
      <c r="F286" s="888">
        <v>37</v>
      </c>
      <c r="G286" s="888">
        <v>999999</v>
      </c>
      <c r="H286" s="888">
        <v>999</v>
      </c>
      <c r="I286" s="888">
        <v>99</v>
      </c>
      <c r="J286" s="888">
        <v>999</v>
      </c>
      <c r="K286" s="888">
        <v>9</v>
      </c>
      <c r="L286" s="888">
        <v>99</v>
      </c>
      <c r="M286" s="888">
        <v>9</v>
      </c>
      <c r="N286" s="888">
        <v>8</v>
      </c>
      <c r="O286" s="888">
        <v>99999</v>
      </c>
      <c r="P286" s="987">
        <f ca="1">IF(ISNUMBER(Q286),Q286,0)</f>
        <v>9.5194804500765021E-2</v>
      </c>
      <c r="Q286" s="248">
        <f ca="1">Energia!L34</f>
        <v>9.5194804500765021E-2</v>
      </c>
    </row>
    <row r="287" spans="1:17" s="889" customFormat="1" ht="14.1" customHeight="1">
      <c r="A287" s="888" t="s">
        <v>1703</v>
      </c>
      <c r="B287" s="888" t="s">
        <v>1703</v>
      </c>
      <c r="C287" s="888" t="s">
        <v>1703</v>
      </c>
      <c r="D287" s="888">
        <v>99</v>
      </c>
      <c r="E287" s="888">
        <v>99</v>
      </c>
      <c r="F287" s="888">
        <v>999</v>
      </c>
      <c r="G287" s="888">
        <v>999999</v>
      </c>
      <c r="H287" s="888">
        <v>999</v>
      </c>
      <c r="I287" s="888">
        <v>99</v>
      </c>
      <c r="J287" s="888">
        <v>999</v>
      </c>
      <c r="K287" s="888">
        <v>9</v>
      </c>
      <c r="L287" s="888">
        <v>99</v>
      </c>
      <c r="M287" s="888">
        <v>9</v>
      </c>
      <c r="N287" s="888">
        <v>99</v>
      </c>
      <c r="O287">
        <v>99999</v>
      </c>
      <c r="P287" s="974">
        <f t="shared" si="16"/>
        <v>0</v>
      </c>
      <c r="Q287" s="974"/>
    </row>
    <row r="288" spans="1:17" s="889" customFormat="1" ht="14.1" customHeight="1">
      <c r="A288" s="888" t="s">
        <v>1703</v>
      </c>
      <c r="B288" s="888" t="s">
        <v>1703</v>
      </c>
      <c r="C288" s="888" t="s">
        <v>1703</v>
      </c>
      <c r="D288" s="888">
        <v>99</v>
      </c>
      <c r="E288" s="888">
        <v>99</v>
      </c>
      <c r="F288" s="888">
        <v>999</v>
      </c>
      <c r="G288" s="888">
        <v>999999</v>
      </c>
      <c r="H288" s="888">
        <v>999</v>
      </c>
      <c r="I288" s="888">
        <v>99</v>
      </c>
      <c r="J288" s="888">
        <v>999</v>
      </c>
      <c r="K288" s="888">
        <v>9</v>
      </c>
      <c r="L288" s="888">
        <v>99</v>
      </c>
      <c r="M288" s="888">
        <v>9</v>
      </c>
      <c r="N288" s="888">
        <v>99</v>
      </c>
      <c r="O288">
        <v>99999</v>
      </c>
      <c r="P288" s="974">
        <f t="shared" si="16"/>
        <v>0</v>
      </c>
      <c r="Q288" s="974"/>
    </row>
    <row r="289" spans="1:17" ht="15.75">
      <c r="A289" s="888"/>
      <c r="B289" s="888"/>
      <c r="C289" s="888"/>
      <c r="D289" s="888"/>
      <c r="E289" s="888"/>
      <c r="F289" s="888"/>
      <c r="G289" s="888"/>
      <c r="H289" s="888"/>
      <c r="I289" s="888"/>
      <c r="J289" s="888"/>
      <c r="K289" s="888"/>
      <c r="L289" s="888"/>
      <c r="M289" s="888"/>
      <c r="N289" s="888"/>
      <c r="O289"/>
      <c r="P289" s="974"/>
      <c r="Q289" s="974"/>
    </row>
    <row r="290" spans="1:17" ht="15.75">
      <c r="A290" s="888"/>
      <c r="B290" s="888"/>
      <c r="C290" s="888"/>
      <c r="D290" s="888"/>
      <c r="E290" s="888"/>
      <c r="F290" s="888"/>
      <c r="G290" s="888"/>
      <c r="H290" s="888"/>
      <c r="I290" s="888"/>
      <c r="J290" s="888"/>
      <c r="K290" s="888"/>
      <c r="L290" s="888"/>
      <c r="M290" s="888"/>
      <c r="N290" s="888"/>
      <c r="O290"/>
      <c r="P290" s="974"/>
      <c r="Q290" s="974"/>
    </row>
    <row r="291" spans="1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3">
        <f t="shared" ref="P291:P346" si="18">IF(ISNUMBER(Q291),Q291,0)</f>
        <v>0</v>
      </c>
      <c r="Q291" s="233"/>
    </row>
    <row r="292" spans="1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3">
        <f t="shared" si="18"/>
        <v>0</v>
      </c>
      <c r="Q292" s="233"/>
    </row>
    <row r="293" spans="1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3">
        <f t="shared" si="18"/>
        <v>0</v>
      </c>
      <c r="Q293" s="233"/>
    </row>
    <row r="294" spans="1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3">
        <f t="shared" si="18"/>
        <v>0</v>
      </c>
      <c r="Q294" s="233"/>
    </row>
    <row r="295" spans="1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3">
        <f t="shared" si="18"/>
        <v>0</v>
      </c>
      <c r="Q295" s="233"/>
    </row>
    <row r="296" spans="1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3">
        <f t="shared" si="18"/>
        <v>0</v>
      </c>
      <c r="Q296" s="233"/>
    </row>
    <row r="297" spans="1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3">
        <f t="shared" si="18"/>
        <v>0</v>
      </c>
      <c r="Q297" s="233"/>
    </row>
    <row r="298" spans="1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3">
        <f t="shared" si="18"/>
        <v>0</v>
      </c>
      <c r="Q298" s="233"/>
    </row>
    <row r="299" spans="1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3">
        <f t="shared" si="18"/>
        <v>0</v>
      </c>
      <c r="Q299" s="233"/>
    </row>
    <row r="300" spans="1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3">
        <f t="shared" si="18"/>
        <v>0</v>
      </c>
      <c r="Q300" s="233"/>
    </row>
    <row r="301" spans="1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3">
        <f t="shared" si="18"/>
        <v>0</v>
      </c>
      <c r="Q301" s="233"/>
    </row>
    <row r="302" spans="1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3">
        <f t="shared" si="18"/>
        <v>0</v>
      </c>
      <c r="Q302" s="233"/>
    </row>
    <row r="303" spans="1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3">
        <f t="shared" si="18"/>
        <v>0</v>
      </c>
      <c r="Q303" s="233"/>
    </row>
    <row r="304" spans="1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3">
        <f t="shared" si="18"/>
        <v>0</v>
      </c>
      <c r="Q304" s="233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3">
        <f t="shared" si="18"/>
        <v>0</v>
      </c>
      <c r="Q305" s="233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3">
        <f t="shared" si="18"/>
        <v>0</v>
      </c>
      <c r="Q306" s="233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3">
        <f t="shared" si="18"/>
        <v>0</v>
      </c>
      <c r="Q307" s="233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3">
        <f t="shared" si="18"/>
        <v>0</v>
      </c>
      <c r="Q308" s="233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3">
        <f t="shared" si="18"/>
        <v>0</v>
      </c>
      <c r="Q309" s="233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3">
        <f t="shared" si="18"/>
        <v>0</v>
      </c>
      <c r="Q310" s="233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3">
        <f t="shared" si="18"/>
        <v>0</v>
      </c>
      <c r="Q311" s="233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3">
        <f t="shared" si="18"/>
        <v>0</v>
      </c>
      <c r="Q312" s="233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3">
        <f t="shared" si="18"/>
        <v>0</v>
      </c>
      <c r="Q313" s="233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3">
        <f t="shared" si="18"/>
        <v>0</v>
      </c>
      <c r="Q314" s="233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3">
        <f t="shared" si="18"/>
        <v>0</v>
      </c>
      <c r="Q315" s="233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3">
        <f t="shared" si="18"/>
        <v>0</v>
      </c>
      <c r="Q316" s="233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3">
        <f t="shared" si="18"/>
        <v>0</v>
      </c>
      <c r="Q317" s="233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3">
        <f t="shared" si="18"/>
        <v>0</v>
      </c>
      <c r="Q318" s="233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3">
        <f t="shared" si="18"/>
        <v>0</v>
      </c>
      <c r="Q319" s="233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3">
        <f t="shared" si="18"/>
        <v>0</v>
      </c>
      <c r="Q320" s="233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3">
        <f t="shared" si="18"/>
        <v>0</v>
      </c>
      <c r="Q321" s="233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3">
        <f t="shared" si="18"/>
        <v>0</v>
      </c>
      <c r="Q322" s="233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3">
        <f t="shared" si="18"/>
        <v>0</v>
      </c>
      <c r="Q323" s="233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3">
        <f t="shared" si="18"/>
        <v>0</v>
      </c>
      <c r="Q324" s="233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3">
        <f t="shared" si="18"/>
        <v>0</v>
      </c>
      <c r="Q325" s="233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3">
        <f t="shared" si="18"/>
        <v>0</v>
      </c>
      <c r="Q326" s="233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3">
        <f t="shared" si="18"/>
        <v>0</v>
      </c>
      <c r="Q327" s="233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3">
        <f t="shared" si="18"/>
        <v>0</v>
      </c>
      <c r="Q328" s="233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3">
        <f t="shared" si="18"/>
        <v>0</v>
      </c>
      <c r="Q329" s="233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3">
        <f t="shared" si="18"/>
        <v>0</v>
      </c>
      <c r="Q330" s="233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3">
        <f t="shared" si="18"/>
        <v>0</v>
      </c>
      <c r="Q331" s="233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3">
        <f t="shared" si="18"/>
        <v>0</v>
      </c>
      <c r="Q332" s="233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3">
        <f t="shared" si="18"/>
        <v>0</v>
      </c>
      <c r="Q333" s="233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3">
        <f t="shared" si="18"/>
        <v>0</v>
      </c>
      <c r="Q334" s="233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3">
        <f t="shared" si="18"/>
        <v>0</v>
      </c>
      <c r="Q335" s="233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3">
        <f t="shared" si="18"/>
        <v>0</v>
      </c>
      <c r="Q336" s="233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3">
        <f t="shared" si="18"/>
        <v>0</v>
      </c>
      <c r="Q337" s="233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3">
        <f t="shared" si="18"/>
        <v>0</v>
      </c>
      <c r="Q338" s="233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3">
        <f t="shared" si="18"/>
        <v>0</v>
      </c>
      <c r="Q339" s="233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3">
        <f t="shared" si="18"/>
        <v>0</v>
      </c>
      <c r="Q340" s="233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3">
        <f t="shared" si="18"/>
        <v>0</v>
      </c>
      <c r="Q341" s="233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3">
        <f t="shared" si="18"/>
        <v>0</v>
      </c>
      <c r="Q342" s="233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3">
        <f t="shared" si="18"/>
        <v>0</v>
      </c>
      <c r="Q343" s="233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3">
        <f t="shared" si="18"/>
        <v>0</v>
      </c>
      <c r="Q344" s="233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3">
        <f t="shared" si="18"/>
        <v>0</v>
      </c>
      <c r="Q345" s="233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3">
        <f t="shared" si="18"/>
        <v>0</v>
      </c>
      <c r="Q346" s="233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3">
        <f t="shared" ref="P347:P410" si="19">IF(ISNUMBER(Q347),Q347,0)</f>
        <v>0</v>
      </c>
      <c r="Q347" s="233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3">
        <f t="shared" si="19"/>
        <v>0</v>
      </c>
      <c r="Q348" s="233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3">
        <f t="shared" si="19"/>
        <v>0</v>
      </c>
      <c r="Q349" s="233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3">
        <f t="shared" si="19"/>
        <v>0</v>
      </c>
      <c r="Q350" s="233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3">
        <f t="shared" si="19"/>
        <v>0</v>
      </c>
      <c r="Q351" s="233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3">
        <f t="shared" si="19"/>
        <v>0</v>
      </c>
      <c r="Q352" s="233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3">
        <f t="shared" si="19"/>
        <v>0</v>
      </c>
      <c r="Q353" s="233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3">
        <f t="shared" si="19"/>
        <v>0</v>
      </c>
      <c r="Q354" s="233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3">
        <f t="shared" si="19"/>
        <v>0</v>
      </c>
      <c r="Q355" s="233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3">
        <f t="shared" si="19"/>
        <v>0</v>
      </c>
      <c r="Q356" s="233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3">
        <f t="shared" si="19"/>
        <v>0</v>
      </c>
      <c r="Q357" s="233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3">
        <f t="shared" si="19"/>
        <v>0</v>
      </c>
      <c r="Q358" s="233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3">
        <f t="shared" si="19"/>
        <v>0</v>
      </c>
      <c r="Q359" s="233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3">
        <f t="shared" si="19"/>
        <v>0</v>
      </c>
      <c r="Q360" s="233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3">
        <f t="shared" si="19"/>
        <v>0</v>
      </c>
      <c r="Q361" s="233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3">
        <f t="shared" si="19"/>
        <v>0</v>
      </c>
      <c r="Q362" s="233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3">
        <f t="shared" si="19"/>
        <v>0</v>
      </c>
      <c r="Q363" s="233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3">
        <f t="shared" si="19"/>
        <v>0</v>
      </c>
      <c r="Q364" s="233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3">
        <f t="shared" si="19"/>
        <v>0</v>
      </c>
      <c r="Q365" s="233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3">
        <f t="shared" si="19"/>
        <v>0</v>
      </c>
      <c r="Q366" s="233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3">
        <f t="shared" si="19"/>
        <v>0</v>
      </c>
      <c r="Q367" s="233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3">
        <f t="shared" si="19"/>
        <v>0</v>
      </c>
      <c r="Q368" s="233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3">
        <f t="shared" si="19"/>
        <v>0</v>
      </c>
      <c r="Q369" s="233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3">
        <f t="shared" si="19"/>
        <v>0</v>
      </c>
      <c r="Q370" s="233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3">
        <f t="shared" si="19"/>
        <v>0</v>
      </c>
      <c r="Q371" s="233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3">
        <f t="shared" si="19"/>
        <v>0</v>
      </c>
      <c r="Q372" s="233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3">
        <f t="shared" si="19"/>
        <v>0</v>
      </c>
      <c r="Q373" s="233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3">
        <f t="shared" si="19"/>
        <v>0</v>
      </c>
      <c r="Q374" s="233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3">
        <f t="shared" si="19"/>
        <v>0</v>
      </c>
      <c r="Q375" s="233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3">
        <f t="shared" si="19"/>
        <v>0</v>
      </c>
      <c r="Q376" s="233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3">
        <f t="shared" si="19"/>
        <v>0</v>
      </c>
      <c r="Q377" s="233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3">
        <f t="shared" si="19"/>
        <v>0</v>
      </c>
      <c r="Q378" s="233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3">
        <f t="shared" si="19"/>
        <v>0</v>
      </c>
      <c r="Q379" s="233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3">
        <f t="shared" si="19"/>
        <v>0</v>
      </c>
      <c r="Q380" s="233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3">
        <f t="shared" si="19"/>
        <v>0</v>
      </c>
      <c r="Q381" s="233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3">
        <f t="shared" si="19"/>
        <v>0</v>
      </c>
      <c r="Q382" s="233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3">
        <f t="shared" si="19"/>
        <v>0</v>
      </c>
      <c r="Q383" s="233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3">
        <f t="shared" si="19"/>
        <v>0</v>
      </c>
      <c r="Q384" s="233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3">
        <f t="shared" si="19"/>
        <v>0</v>
      </c>
      <c r="Q385" s="233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3">
        <f t="shared" si="19"/>
        <v>0</v>
      </c>
      <c r="Q386" s="233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3">
        <f t="shared" si="19"/>
        <v>0</v>
      </c>
      <c r="Q387" s="233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3">
        <f t="shared" si="19"/>
        <v>0</v>
      </c>
      <c r="Q388" s="233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3">
        <f t="shared" si="19"/>
        <v>0</v>
      </c>
      <c r="Q389" s="233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3">
        <f t="shared" si="19"/>
        <v>0</v>
      </c>
      <c r="Q390" s="233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3">
        <f t="shared" si="19"/>
        <v>0</v>
      </c>
      <c r="Q391" s="233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3">
        <f t="shared" si="19"/>
        <v>0</v>
      </c>
      <c r="Q392" s="233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3">
        <f t="shared" si="19"/>
        <v>0</v>
      </c>
      <c r="Q393" s="233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3">
        <f t="shared" si="19"/>
        <v>0</v>
      </c>
      <c r="Q394" s="233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3">
        <f t="shared" si="19"/>
        <v>0</v>
      </c>
      <c r="Q395" s="233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3">
        <f t="shared" si="19"/>
        <v>0</v>
      </c>
      <c r="Q396" s="233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3">
        <f t="shared" si="19"/>
        <v>0</v>
      </c>
      <c r="Q397" s="233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3">
        <f t="shared" si="19"/>
        <v>0</v>
      </c>
      <c r="Q398" s="233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3">
        <f t="shared" si="19"/>
        <v>0</v>
      </c>
      <c r="Q399" s="233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3">
        <f t="shared" si="19"/>
        <v>0</v>
      </c>
      <c r="Q400" s="233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3">
        <f t="shared" si="19"/>
        <v>0</v>
      </c>
      <c r="Q401" s="233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3">
        <f t="shared" si="19"/>
        <v>0</v>
      </c>
      <c r="Q402" s="233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3">
        <f t="shared" si="19"/>
        <v>0</v>
      </c>
      <c r="Q403" s="233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3">
        <f t="shared" si="19"/>
        <v>0</v>
      </c>
      <c r="Q404" s="233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3">
        <f t="shared" si="19"/>
        <v>0</v>
      </c>
      <c r="Q405" s="233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3">
        <f t="shared" si="19"/>
        <v>0</v>
      </c>
      <c r="Q406" s="233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3">
        <f t="shared" si="19"/>
        <v>0</v>
      </c>
      <c r="Q407" s="233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3">
        <f t="shared" si="19"/>
        <v>0</v>
      </c>
      <c r="Q408" s="233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3">
        <f t="shared" si="19"/>
        <v>0</v>
      </c>
      <c r="Q409" s="233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3">
        <f t="shared" si="19"/>
        <v>0</v>
      </c>
      <c r="Q410" s="233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3">
        <f t="shared" ref="P411:P474" si="20">IF(ISNUMBER(Q411),Q411,0)</f>
        <v>0</v>
      </c>
      <c r="Q411" s="233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3">
        <f t="shared" si="20"/>
        <v>0</v>
      </c>
      <c r="Q412" s="233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3">
        <f t="shared" si="20"/>
        <v>0</v>
      </c>
      <c r="Q413" s="233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3">
        <f t="shared" si="20"/>
        <v>0</v>
      </c>
      <c r="Q414" s="233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3">
        <f t="shared" si="20"/>
        <v>0</v>
      </c>
      <c r="Q415" s="233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3">
        <f t="shared" si="20"/>
        <v>0</v>
      </c>
      <c r="Q416" s="233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3">
        <f t="shared" si="20"/>
        <v>0</v>
      </c>
      <c r="Q417" s="233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3">
        <f t="shared" si="20"/>
        <v>0</v>
      </c>
      <c r="Q418" s="233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3">
        <f t="shared" si="20"/>
        <v>0</v>
      </c>
      <c r="Q419" s="233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3">
        <f t="shared" si="20"/>
        <v>0</v>
      </c>
      <c r="Q420" s="233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3">
        <f t="shared" si="20"/>
        <v>0</v>
      </c>
      <c r="Q421" s="233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3">
        <f t="shared" si="20"/>
        <v>0</v>
      </c>
      <c r="Q422" s="233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3">
        <f t="shared" si="20"/>
        <v>0</v>
      </c>
      <c r="Q423" s="233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3">
        <f t="shared" si="20"/>
        <v>0</v>
      </c>
      <c r="Q424" s="233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3">
        <f t="shared" si="20"/>
        <v>0</v>
      </c>
      <c r="Q425" s="233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3">
        <f t="shared" si="20"/>
        <v>0</v>
      </c>
      <c r="Q426" s="233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3">
        <f t="shared" si="20"/>
        <v>0</v>
      </c>
      <c r="Q427" s="233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3">
        <f t="shared" si="20"/>
        <v>0</v>
      </c>
      <c r="Q428" s="233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3">
        <f t="shared" si="20"/>
        <v>0</v>
      </c>
      <c r="Q429" s="233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3">
        <f t="shared" si="20"/>
        <v>0</v>
      </c>
      <c r="Q430" s="233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3">
        <f t="shared" si="20"/>
        <v>0</v>
      </c>
      <c r="Q431" s="233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3">
        <f t="shared" si="20"/>
        <v>0</v>
      </c>
      <c r="Q432" s="233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3">
        <f t="shared" si="20"/>
        <v>0</v>
      </c>
      <c r="Q433" s="233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3">
        <f t="shared" si="20"/>
        <v>0</v>
      </c>
      <c r="Q434" s="233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3">
        <f t="shared" si="20"/>
        <v>0</v>
      </c>
      <c r="Q435" s="233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3">
        <f t="shared" si="20"/>
        <v>0</v>
      </c>
      <c r="Q436" s="233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3">
        <f t="shared" si="20"/>
        <v>0</v>
      </c>
      <c r="Q437" s="233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3">
        <f t="shared" si="20"/>
        <v>0</v>
      </c>
      <c r="Q438" s="233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3">
        <f t="shared" si="20"/>
        <v>0</v>
      </c>
      <c r="Q439" s="233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3">
        <f t="shared" si="20"/>
        <v>0</v>
      </c>
      <c r="Q440" s="233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3">
        <f t="shared" si="20"/>
        <v>0</v>
      </c>
      <c r="Q441" s="233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3">
        <f t="shared" si="20"/>
        <v>0</v>
      </c>
      <c r="Q442" s="233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3">
        <f t="shared" si="20"/>
        <v>0</v>
      </c>
      <c r="Q443" s="233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3">
        <f t="shared" si="20"/>
        <v>0</v>
      </c>
      <c r="Q444" s="233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3">
        <f t="shared" si="20"/>
        <v>0</v>
      </c>
      <c r="Q445" s="233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3">
        <f t="shared" si="20"/>
        <v>0</v>
      </c>
      <c r="Q446" s="233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3">
        <f t="shared" si="20"/>
        <v>0</v>
      </c>
      <c r="Q447" s="233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3">
        <f t="shared" si="20"/>
        <v>0</v>
      </c>
      <c r="Q448" s="233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3">
        <f t="shared" si="20"/>
        <v>0</v>
      </c>
      <c r="Q449" s="233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3">
        <f t="shared" si="20"/>
        <v>0</v>
      </c>
      <c r="Q450" s="233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3">
        <f t="shared" si="20"/>
        <v>0</v>
      </c>
      <c r="Q451" s="233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3">
        <f t="shared" si="20"/>
        <v>0</v>
      </c>
      <c r="Q452" s="233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3">
        <f t="shared" si="20"/>
        <v>0</v>
      </c>
      <c r="Q453" s="233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3">
        <f t="shared" si="20"/>
        <v>0</v>
      </c>
      <c r="Q454" s="233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3">
        <f t="shared" si="20"/>
        <v>0</v>
      </c>
      <c r="Q455" s="233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3">
        <f t="shared" si="20"/>
        <v>0</v>
      </c>
      <c r="Q456" s="233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3">
        <f t="shared" si="20"/>
        <v>0</v>
      </c>
      <c r="Q457" s="233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3">
        <f t="shared" si="20"/>
        <v>0</v>
      </c>
      <c r="Q458" s="233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3">
        <f t="shared" si="20"/>
        <v>0</v>
      </c>
      <c r="Q459" s="233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3">
        <f t="shared" si="20"/>
        <v>0</v>
      </c>
      <c r="Q460" s="233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3">
        <f t="shared" si="20"/>
        <v>0</v>
      </c>
      <c r="Q461" s="233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3">
        <f t="shared" si="20"/>
        <v>0</v>
      </c>
      <c r="Q462" s="233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3">
        <f t="shared" si="20"/>
        <v>0</v>
      </c>
      <c r="Q463" s="233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3">
        <f t="shared" si="20"/>
        <v>0</v>
      </c>
      <c r="Q464" s="233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3">
        <f t="shared" si="20"/>
        <v>0</v>
      </c>
      <c r="Q465" s="233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3">
        <f t="shared" si="20"/>
        <v>0</v>
      </c>
      <c r="Q466" s="233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3">
        <f t="shared" si="20"/>
        <v>0</v>
      </c>
      <c r="Q467" s="233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3">
        <f t="shared" si="20"/>
        <v>0</v>
      </c>
      <c r="Q468" s="233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3">
        <f t="shared" si="20"/>
        <v>0</v>
      </c>
      <c r="Q469" s="233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3">
        <f t="shared" si="20"/>
        <v>0</v>
      </c>
      <c r="Q470" s="233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3">
        <f t="shared" si="20"/>
        <v>0</v>
      </c>
      <c r="Q471" s="233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3">
        <f t="shared" si="20"/>
        <v>0</v>
      </c>
      <c r="Q472" s="233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3">
        <f t="shared" si="20"/>
        <v>0</v>
      </c>
      <c r="Q473" s="233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3">
        <f t="shared" si="20"/>
        <v>0</v>
      </c>
      <c r="Q474" s="233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3">
        <f t="shared" ref="P475:P538" si="21">IF(ISNUMBER(Q475),Q475,0)</f>
        <v>0</v>
      </c>
      <c r="Q475" s="233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3">
        <f t="shared" si="21"/>
        <v>0</v>
      </c>
      <c r="Q476" s="233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3">
        <f t="shared" si="21"/>
        <v>0</v>
      </c>
      <c r="Q477" s="233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3">
        <f t="shared" si="21"/>
        <v>0</v>
      </c>
      <c r="Q478" s="233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3">
        <f t="shared" si="21"/>
        <v>0</v>
      </c>
      <c r="Q479" s="233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3">
        <f t="shared" si="21"/>
        <v>0</v>
      </c>
      <c r="Q480" s="233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3">
        <f t="shared" si="21"/>
        <v>0</v>
      </c>
      <c r="Q481" s="233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3">
        <f t="shared" si="21"/>
        <v>0</v>
      </c>
      <c r="Q482" s="233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3">
        <f t="shared" si="21"/>
        <v>0</v>
      </c>
      <c r="Q483" s="233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3">
        <f t="shared" si="21"/>
        <v>0</v>
      </c>
      <c r="Q484" s="233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3">
        <f t="shared" si="21"/>
        <v>0</v>
      </c>
      <c r="Q485" s="233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3">
        <f t="shared" si="21"/>
        <v>0</v>
      </c>
      <c r="Q486" s="233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3">
        <f t="shared" si="21"/>
        <v>0</v>
      </c>
      <c r="Q487" s="233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3">
        <f t="shared" si="21"/>
        <v>0</v>
      </c>
      <c r="Q488" s="233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3">
        <f t="shared" si="21"/>
        <v>0</v>
      </c>
      <c r="Q489" s="233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3">
        <f t="shared" si="21"/>
        <v>0</v>
      </c>
      <c r="Q490" s="233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3">
        <f t="shared" si="21"/>
        <v>0</v>
      </c>
      <c r="Q491" s="233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3">
        <f t="shared" si="21"/>
        <v>0</v>
      </c>
      <c r="Q492" s="233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3">
        <f t="shared" si="21"/>
        <v>0</v>
      </c>
      <c r="Q493" s="233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3">
        <f t="shared" si="21"/>
        <v>0</v>
      </c>
      <c r="Q494" s="233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3">
        <f t="shared" si="21"/>
        <v>0</v>
      </c>
      <c r="Q495" s="233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3">
        <f t="shared" si="21"/>
        <v>0</v>
      </c>
      <c r="Q496" s="233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3">
        <f t="shared" si="21"/>
        <v>0</v>
      </c>
      <c r="Q497" s="233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3">
        <f t="shared" si="21"/>
        <v>0</v>
      </c>
      <c r="Q498" s="233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3">
        <f t="shared" si="21"/>
        <v>0</v>
      </c>
      <c r="Q499" s="233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3">
        <f t="shared" si="21"/>
        <v>0</v>
      </c>
      <c r="Q500" s="233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3">
        <f t="shared" si="21"/>
        <v>0</v>
      </c>
      <c r="Q501" s="233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3">
        <f t="shared" si="21"/>
        <v>0</v>
      </c>
      <c r="Q502" s="233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3">
        <f t="shared" si="21"/>
        <v>0</v>
      </c>
      <c r="Q503" s="233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3">
        <f t="shared" si="21"/>
        <v>0</v>
      </c>
      <c r="Q504" s="233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3">
        <f t="shared" si="21"/>
        <v>0</v>
      </c>
      <c r="Q505" s="233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3">
        <f t="shared" si="21"/>
        <v>0</v>
      </c>
      <c r="Q506" s="233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3">
        <f t="shared" si="21"/>
        <v>0</v>
      </c>
      <c r="Q507" s="233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3">
        <f t="shared" si="21"/>
        <v>0</v>
      </c>
      <c r="Q508" s="233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3">
        <f t="shared" si="21"/>
        <v>0</v>
      </c>
      <c r="Q509" s="233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3">
        <f t="shared" si="21"/>
        <v>0</v>
      </c>
      <c r="Q510" s="233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3">
        <f t="shared" si="21"/>
        <v>0</v>
      </c>
      <c r="Q511" s="233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3">
        <f t="shared" si="21"/>
        <v>0</v>
      </c>
      <c r="Q512" s="233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3">
        <f t="shared" si="21"/>
        <v>0</v>
      </c>
      <c r="Q513" s="233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3">
        <f t="shared" si="21"/>
        <v>0</v>
      </c>
      <c r="Q514" s="233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3">
        <f t="shared" si="21"/>
        <v>0</v>
      </c>
      <c r="Q515" s="233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3">
        <f t="shared" si="21"/>
        <v>0</v>
      </c>
      <c r="Q516" s="233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3">
        <f t="shared" si="21"/>
        <v>0</v>
      </c>
      <c r="Q517" s="233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3">
        <f t="shared" si="21"/>
        <v>0</v>
      </c>
      <c r="Q518" s="233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3">
        <f t="shared" si="21"/>
        <v>0</v>
      </c>
      <c r="Q519" s="233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3">
        <f t="shared" si="21"/>
        <v>0</v>
      </c>
      <c r="Q520" s="233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3">
        <f t="shared" si="21"/>
        <v>0</v>
      </c>
      <c r="Q521" s="233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3">
        <f t="shared" si="21"/>
        <v>0</v>
      </c>
      <c r="Q522" s="233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3">
        <f t="shared" si="21"/>
        <v>0</v>
      </c>
      <c r="Q523" s="233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3">
        <f t="shared" si="21"/>
        <v>0</v>
      </c>
      <c r="Q524" s="233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3">
        <f t="shared" si="21"/>
        <v>0</v>
      </c>
      <c r="Q525" s="233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3">
        <f t="shared" si="21"/>
        <v>0</v>
      </c>
      <c r="Q526" s="233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3">
        <f t="shared" si="21"/>
        <v>0</v>
      </c>
      <c r="Q527" s="233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3">
        <f t="shared" si="21"/>
        <v>0</v>
      </c>
      <c r="Q528" s="233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3">
        <f t="shared" si="21"/>
        <v>0</v>
      </c>
      <c r="Q529" s="233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3">
        <f t="shared" si="21"/>
        <v>0</v>
      </c>
      <c r="Q530" s="233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3">
        <f t="shared" si="21"/>
        <v>0</v>
      </c>
      <c r="Q531" s="233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3">
        <f t="shared" si="21"/>
        <v>0</v>
      </c>
      <c r="Q532" s="233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3">
        <f t="shared" si="21"/>
        <v>0</v>
      </c>
      <c r="Q533" s="233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3">
        <f t="shared" si="21"/>
        <v>0</v>
      </c>
      <c r="Q534" s="233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3">
        <f t="shared" si="21"/>
        <v>0</v>
      </c>
      <c r="Q535" s="233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3">
        <f t="shared" si="21"/>
        <v>0</v>
      </c>
      <c r="Q536" s="233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3">
        <f t="shared" si="21"/>
        <v>0</v>
      </c>
      <c r="Q537" s="233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3">
        <f t="shared" si="21"/>
        <v>0</v>
      </c>
      <c r="Q538" s="233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3">
        <f t="shared" ref="P539:P602" si="22">IF(ISNUMBER(Q539),Q539,0)</f>
        <v>0</v>
      </c>
      <c r="Q539" s="233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3">
        <f t="shared" si="22"/>
        <v>0</v>
      </c>
      <c r="Q540" s="233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3">
        <f t="shared" si="22"/>
        <v>0</v>
      </c>
      <c r="Q541" s="233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3">
        <f t="shared" si="22"/>
        <v>0</v>
      </c>
      <c r="Q542" s="233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3">
        <f t="shared" si="22"/>
        <v>0</v>
      </c>
      <c r="Q543" s="233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3">
        <f t="shared" si="22"/>
        <v>0</v>
      </c>
      <c r="Q544" s="233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3">
        <f t="shared" si="22"/>
        <v>0</v>
      </c>
      <c r="Q545" s="233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3">
        <f t="shared" si="22"/>
        <v>0</v>
      </c>
      <c r="Q546" s="233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3">
        <f t="shared" si="22"/>
        <v>0</v>
      </c>
      <c r="Q547" s="233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3">
        <f t="shared" si="22"/>
        <v>0</v>
      </c>
      <c r="Q548" s="233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3">
        <f t="shared" si="22"/>
        <v>0</v>
      </c>
      <c r="Q549" s="233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3">
        <f t="shared" si="22"/>
        <v>0</v>
      </c>
      <c r="Q550" s="233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3">
        <f t="shared" si="22"/>
        <v>0</v>
      </c>
      <c r="Q551" s="233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3">
        <f t="shared" si="22"/>
        <v>0</v>
      </c>
      <c r="Q552" s="233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3">
        <f t="shared" si="22"/>
        <v>0</v>
      </c>
      <c r="Q553" s="233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3">
        <f t="shared" si="22"/>
        <v>0</v>
      </c>
      <c r="Q554" s="233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3">
        <f t="shared" si="22"/>
        <v>0</v>
      </c>
      <c r="Q555" s="233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3">
        <f t="shared" si="22"/>
        <v>0</v>
      </c>
      <c r="Q556" s="233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3">
        <f t="shared" si="22"/>
        <v>0</v>
      </c>
      <c r="Q557" s="233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3">
        <f t="shared" si="22"/>
        <v>0</v>
      </c>
      <c r="Q558" s="233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3">
        <f t="shared" si="22"/>
        <v>0</v>
      </c>
      <c r="Q559" s="233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3">
        <f t="shared" si="22"/>
        <v>0</v>
      </c>
      <c r="Q560" s="233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3">
        <f t="shared" si="22"/>
        <v>0</v>
      </c>
      <c r="Q561" s="233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3">
        <f t="shared" si="22"/>
        <v>0</v>
      </c>
      <c r="Q562" s="233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3">
        <f t="shared" si="22"/>
        <v>0</v>
      </c>
      <c r="Q563" s="233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3">
        <f t="shared" si="22"/>
        <v>0</v>
      </c>
      <c r="Q564" s="233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3">
        <f t="shared" si="22"/>
        <v>0</v>
      </c>
      <c r="Q565" s="233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3">
        <f t="shared" si="22"/>
        <v>0</v>
      </c>
      <c r="Q566" s="233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3">
        <f t="shared" si="22"/>
        <v>0</v>
      </c>
      <c r="Q567" s="233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3">
        <f t="shared" si="22"/>
        <v>0</v>
      </c>
      <c r="Q568" s="233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3">
        <f t="shared" si="22"/>
        <v>0</v>
      </c>
      <c r="Q569" s="233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3">
        <f t="shared" si="22"/>
        <v>0</v>
      </c>
      <c r="Q570" s="233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3">
        <f t="shared" si="22"/>
        <v>0</v>
      </c>
      <c r="Q571" s="233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3">
        <f t="shared" si="22"/>
        <v>0</v>
      </c>
      <c r="Q572" s="233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3">
        <f t="shared" si="22"/>
        <v>0</v>
      </c>
      <c r="Q573" s="233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3">
        <f t="shared" si="22"/>
        <v>0</v>
      </c>
      <c r="Q574" s="233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3">
        <f t="shared" si="22"/>
        <v>0</v>
      </c>
      <c r="Q575" s="233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3">
        <f t="shared" si="22"/>
        <v>0</v>
      </c>
      <c r="Q576" s="233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3">
        <f t="shared" si="22"/>
        <v>0</v>
      </c>
      <c r="Q577" s="233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3">
        <f t="shared" si="22"/>
        <v>0</v>
      </c>
      <c r="Q578" s="233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3">
        <f t="shared" si="22"/>
        <v>0</v>
      </c>
      <c r="Q579" s="233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3">
        <f t="shared" si="22"/>
        <v>0</v>
      </c>
      <c r="Q580" s="233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3">
        <f t="shared" si="22"/>
        <v>0</v>
      </c>
      <c r="Q581" s="233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3">
        <f t="shared" si="22"/>
        <v>0</v>
      </c>
      <c r="Q582" s="233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3">
        <f t="shared" si="22"/>
        <v>0</v>
      </c>
      <c r="Q583" s="233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3">
        <f t="shared" si="22"/>
        <v>0</v>
      </c>
      <c r="Q584" s="233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3">
        <f t="shared" si="22"/>
        <v>0</v>
      </c>
      <c r="Q585" s="233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3">
        <f t="shared" si="22"/>
        <v>0</v>
      </c>
      <c r="Q586" s="233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3">
        <f t="shared" si="22"/>
        <v>0</v>
      </c>
      <c r="Q587" s="233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3">
        <f t="shared" si="22"/>
        <v>0</v>
      </c>
      <c r="Q588" s="233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3">
        <f t="shared" si="22"/>
        <v>0</v>
      </c>
      <c r="Q589" s="233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3">
        <f t="shared" si="22"/>
        <v>0</v>
      </c>
      <c r="Q590" s="233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3">
        <f t="shared" si="22"/>
        <v>0</v>
      </c>
      <c r="Q591" s="233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3">
        <f t="shared" si="22"/>
        <v>0</v>
      </c>
      <c r="Q592" s="233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3">
        <f t="shared" si="22"/>
        <v>0</v>
      </c>
      <c r="Q593" s="233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3">
        <f t="shared" si="22"/>
        <v>0</v>
      </c>
      <c r="Q594" s="233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3">
        <f t="shared" si="22"/>
        <v>0</v>
      </c>
      <c r="Q595" s="233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3">
        <f t="shared" si="22"/>
        <v>0</v>
      </c>
      <c r="Q596" s="233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3">
        <f t="shared" si="22"/>
        <v>0</v>
      </c>
      <c r="Q597" s="233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3">
        <f t="shared" si="22"/>
        <v>0</v>
      </c>
      <c r="Q598" s="233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3">
        <f t="shared" si="22"/>
        <v>0</v>
      </c>
      <c r="Q599" s="233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3">
        <f t="shared" si="22"/>
        <v>0</v>
      </c>
      <c r="Q600" s="233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3">
        <f t="shared" si="22"/>
        <v>0</v>
      </c>
      <c r="Q601" s="233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3">
        <f t="shared" si="22"/>
        <v>0</v>
      </c>
      <c r="Q602" s="233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3">
        <f t="shared" ref="P603:P666" si="23">IF(ISNUMBER(Q603),Q603,0)</f>
        <v>0</v>
      </c>
      <c r="Q603" s="233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3">
        <f t="shared" si="23"/>
        <v>0</v>
      </c>
      <c r="Q604" s="233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3">
        <f t="shared" si="23"/>
        <v>0</v>
      </c>
      <c r="Q605" s="233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3">
        <f t="shared" si="23"/>
        <v>0</v>
      </c>
      <c r="Q606" s="233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3">
        <f t="shared" si="23"/>
        <v>0</v>
      </c>
      <c r="Q607" s="233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3">
        <f t="shared" si="23"/>
        <v>0</v>
      </c>
      <c r="Q608" s="233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3">
        <f t="shared" si="23"/>
        <v>0</v>
      </c>
      <c r="Q609" s="233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3">
        <f t="shared" si="23"/>
        <v>0</v>
      </c>
      <c r="Q610" s="233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3">
        <f t="shared" si="23"/>
        <v>0</v>
      </c>
      <c r="Q611" s="233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3">
        <f t="shared" si="23"/>
        <v>0</v>
      </c>
      <c r="Q612" s="233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3">
        <f t="shared" si="23"/>
        <v>0</v>
      </c>
      <c r="Q613" s="233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3">
        <f t="shared" si="23"/>
        <v>0</v>
      </c>
      <c r="Q614" s="233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3">
        <f t="shared" si="23"/>
        <v>0</v>
      </c>
      <c r="Q615" s="233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3">
        <f t="shared" si="23"/>
        <v>0</v>
      </c>
      <c r="Q616" s="233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3">
        <f t="shared" si="23"/>
        <v>0</v>
      </c>
      <c r="Q617" s="233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3">
        <f t="shared" si="23"/>
        <v>0</v>
      </c>
      <c r="Q618" s="233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3">
        <f t="shared" si="23"/>
        <v>0</v>
      </c>
      <c r="Q619" s="233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3">
        <f t="shared" si="23"/>
        <v>0</v>
      </c>
      <c r="Q620" s="233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3">
        <f t="shared" si="23"/>
        <v>0</v>
      </c>
      <c r="Q621" s="233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3">
        <f t="shared" si="23"/>
        <v>0</v>
      </c>
      <c r="Q622" s="233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3">
        <f t="shared" si="23"/>
        <v>0</v>
      </c>
      <c r="Q623" s="233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3">
        <f t="shared" si="23"/>
        <v>0</v>
      </c>
      <c r="Q624" s="233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3">
        <f t="shared" si="23"/>
        <v>0</v>
      </c>
      <c r="Q625" s="233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3">
        <f t="shared" si="23"/>
        <v>0</v>
      </c>
      <c r="Q626" s="233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3">
        <f t="shared" si="23"/>
        <v>0</v>
      </c>
      <c r="Q627" s="233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3">
        <f t="shared" si="23"/>
        <v>0</v>
      </c>
      <c r="Q628" s="233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3">
        <f t="shared" si="23"/>
        <v>0</v>
      </c>
      <c r="Q629" s="233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3">
        <f t="shared" si="23"/>
        <v>0</v>
      </c>
      <c r="Q630" s="233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3">
        <f t="shared" si="23"/>
        <v>0</v>
      </c>
      <c r="Q631" s="233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3">
        <f t="shared" si="23"/>
        <v>0</v>
      </c>
      <c r="Q632" s="233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3">
        <f t="shared" si="23"/>
        <v>0</v>
      </c>
      <c r="Q633" s="233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3">
        <f t="shared" si="23"/>
        <v>0</v>
      </c>
      <c r="Q634" s="233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3">
        <f t="shared" si="23"/>
        <v>0</v>
      </c>
      <c r="Q635" s="233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3">
        <f t="shared" si="23"/>
        <v>0</v>
      </c>
      <c r="Q636" s="233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3">
        <f t="shared" si="23"/>
        <v>0</v>
      </c>
      <c r="Q637" s="233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3">
        <f t="shared" si="23"/>
        <v>0</v>
      </c>
      <c r="Q638" s="233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3">
        <f t="shared" si="23"/>
        <v>0</v>
      </c>
      <c r="Q639" s="233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3">
        <f t="shared" si="23"/>
        <v>0</v>
      </c>
      <c r="Q640" s="233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3">
        <f t="shared" si="23"/>
        <v>0</v>
      </c>
      <c r="Q641" s="233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3">
        <f t="shared" si="23"/>
        <v>0</v>
      </c>
      <c r="Q642" s="233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3">
        <f t="shared" si="23"/>
        <v>0</v>
      </c>
      <c r="Q643" s="233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3">
        <f t="shared" si="23"/>
        <v>0</v>
      </c>
      <c r="Q644" s="233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3">
        <f t="shared" si="23"/>
        <v>0</v>
      </c>
      <c r="Q645" s="233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3">
        <f t="shared" si="23"/>
        <v>0</v>
      </c>
      <c r="Q646" s="233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3">
        <f t="shared" si="23"/>
        <v>0</v>
      </c>
      <c r="Q647" s="233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3">
        <f t="shared" si="23"/>
        <v>0</v>
      </c>
      <c r="Q648" s="233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3">
        <f t="shared" si="23"/>
        <v>0</v>
      </c>
      <c r="Q649" s="233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3">
        <f t="shared" si="23"/>
        <v>0</v>
      </c>
      <c r="Q650" s="233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3">
        <f t="shared" si="23"/>
        <v>0</v>
      </c>
      <c r="Q651" s="233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3">
        <f t="shared" si="23"/>
        <v>0</v>
      </c>
      <c r="Q652" s="233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3">
        <f t="shared" si="23"/>
        <v>0</v>
      </c>
      <c r="Q653" s="233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3">
        <f t="shared" si="23"/>
        <v>0</v>
      </c>
      <c r="Q654" s="233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3">
        <f t="shared" si="23"/>
        <v>0</v>
      </c>
      <c r="Q655" s="233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3">
        <f t="shared" si="23"/>
        <v>0</v>
      </c>
      <c r="Q656" s="233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3">
        <f t="shared" si="23"/>
        <v>0</v>
      </c>
      <c r="Q657" s="233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3">
        <f t="shared" si="23"/>
        <v>0</v>
      </c>
      <c r="Q658" s="233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3">
        <f t="shared" si="23"/>
        <v>0</v>
      </c>
      <c r="Q659" s="233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3">
        <f t="shared" si="23"/>
        <v>0</v>
      </c>
      <c r="Q660" s="233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3">
        <f t="shared" si="23"/>
        <v>0</v>
      </c>
      <c r="Q661" s="233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3">
        <f t="shared" si="23"/>
        <v>0</v>
      </c>
      <c r="Q662" s="233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3">
        <f t="shared" si="23"/>
        <v>0</v>
      </c>
      <c r="Q663" s="233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3">
        <f t="shared" si="23"/>
        <v>0</v>
      </c>
      <c r="Q664" s="233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3">
        <f t="shared" si="23"/>
        <v>0</v>
      </c>
      <c r="Q665" s="233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3">
        <f t="shared" si="23"/>
        <v>0</v>
      </c>
      <c r="Q666" s="233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3">
        <f t="shared" ref="P667:P730" si="24">IF(ISNUMBER(Q667),Q667,0)</f>
        <v>0</v>
      </c>
      <c r="Q667" s="233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3">
        <f t="shared" si="24"/>
        <v>0</v>
      </c>
      <c r="Q668" s="233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3">
        <f t="shared" si="24"/>
        <v>0</v>
      </c>
      <c r="Q669" s="233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3">
        <f t="shared" si="24"/>
        <v>0</v>
      </c>
      <c r="Q670" s="233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3">
        <f t="shared" si="24"/>
        <v>0</v>
      </c>
      <c r="Q671" s="233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3">
        <f t="shared" si="24"/>
        <v>0</v>
      </c>
      <c r="Q672" s="233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3">
        <f t="shared" si="24"/>
        <v>0</v>
      </c>
      <c r="Q673" s="233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3">
        <f t="shared" si="24"/>
        <v>0</v>
      </c>
      <c r="Q674" s="233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3">
        <f t="shared" si="24"/>
        <v>0</v>
      </c>
      <c r="Q675" s="233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3">
        <f t="shared" si="24"/>
        <v>0</v>
      </c>
      <c r="Q676" s="233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3">
        <f t="shared" si="24"/>
        <v>0</v>
      </c>
      <c r="Q677" s="233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3">
        <f t="shared" si="24"/>
        <v>0</v>
      </c>
      <c r="Q678" s="233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3">
        <f t="shared" si="24"/>
        <v>0</v>
      </c>
      <c r="Q679" s="233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3">
        <f t="shared" si="24"/>
        <v>0</v>
      </c>
      <c r="Q680" s="233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3">
        <f t="shared" si="24"/>
        <v>0</v>
      </c>
      <c r="Q681" s="233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3">
        <f t="shared" si="24"/>
        <v>0</v>
      </c>
      <c r="Q682" s="233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3">
        <f t="shared" si="24"/>
        <v>0</v>
      </c>
      <c r="Q683" s="233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3">
        <f t="shared" si="24"/>
        <v>0</v>
      </c>
      <c r="Q684" s="233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3">
        <f t="shared" si="24"/>
        <v>0</v>
      </c>
      <c r="Q685" s="233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3">
        <f t="shared" si="24"/>
        <v>0</v>
      </c>
      <c r="Q686" s="233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3">
        <f t="shared" si="24"/>
        <v>0</v>
      </c>
      <c r="Q687" s="233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3">
        <f t="shared" si="24"/>
        <v>0</v>
      </c>
      <c r="Q688" s="233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3">
        <f t="shared" si="24"/>
        <v>0</v>
      </c>
      <c r="Q689" s="233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3">
        <f t="shared" si="24"/>
        <v>0</v>
      </c>
      <c r="Q690" s="233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3">
        <f t="shared" si="24"/>
        <v>0</v>
      </c>
      <c r="Q691" s="233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3">
        <f t="shared" si="24"/>
        <v>0</v>
      </c>
      <c r="Q692" s="233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3">
        <f t="shared" si="24"/>
        <v>0</v>
      </c>
      <c r="Q693" s="233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3">
        <f t="shared" si="24"/>
        <v>0</v>
      </c>
      <c r="Q694" s="233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3">
        <f t="shared" si="24"/>
        <v>0</v>
      </c>
      <c r="Q695" s="233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3">
        <f t="shared" si="24"/>
        <v>0</v>
      </c>
      <c r="Q696" s="233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3">
        <f t="shared" si="24"/>
        <v>0</v>
      </c>
      <c r="Q697" s="233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3">
        <f t="shared" si="24"/>
        <v>0</v>
      </c>
      <c r="Q698" s="233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3">
        <f t="shared" si="24"/>
        <v>0</v>
      </c>
      <c r="Q699" s="233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3">
        <f t="shared" si="24"/>
        <v>0</v>
      </c>
      <c r="Q700" s="233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3">
        <f t="shared" si="24"/>
        <v>0</v>
      </c>
      <c r="Q701" s="233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3">
        <f t="shared" si="24"/>
        <v>0</v>
      </c>
      <c r="Q702" s="233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3">
        <f t="shared" si="24"/>
        <v>0</v>
      </c>
      <c r="Q703" s="233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3">
        <f t="shared" si="24"/>
        <v>0</v>
      </c>
      <c r="Q704" s="233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3">
        <f t="shared" si="24"/>
        <v>0</v>
      </c>
      <c r="Q705" s="233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3">
        <f t="shared" si="24"/>
        <v>0</v>
      </c>
      <c r="Q706" s="233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3">
        <f t="shared" si="24"/>
        <v>0</v>
      </c>
      <c r="Q707" s="233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3">
        <f t="shared" si="24"/>
        <v>0</v>
      </c>
      <c r="Q708" s="233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3">
        <f t="shared" si="24"/>
        <v>0</v>
      </c>
      <c r="Q709" s="233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3">
        <f t="shared" si="24"/>
        <v>0</v>
      </c>
      <c r="Q710" s="233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3">
        <f t="shared" si="24"/>
        <v>0</v>
      </c>
      <c r="Q711" s="233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3">
        <f t="shared" si="24"/>
        <v>0</v>
      </c>
      <c r="Q712" s="233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3">
        <f t="shared" si="24"/>
        <v>0</v>
      </c>
      <c r="Q713" s="233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3">
        <f t="shared" si="24"/>
        <v>0</v>
      </c>
      <c r="Q714" s="233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3">
        <f t="shared" si="24"/>
        <v>0</v>
      </c>
      <c r="Q715" s="233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3">
        <f t="shared" si="24"/>
        <v>0</v>
      </c>
      <c r="Q716" s="233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3">
        <f t="shared" si="24"/>
        <v>0</v>
      </c>
      <c r="Q717" s="233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3">
        <f t="shared" si="24"/>
        <v>0</v>
      </c>
      <c r="Q718" s="233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3">
        <f t="shared" si="24"/>
        <v>0</v>
      </c>
      <c r="Q719" s="233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3">
        <f t="shared" si="24"/>
        <v>0</v>
      </c>
      <c r="Q720" s="233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3">
        <f t="shared" si="24"/>
        <v>0</v>
      </c>
      <c r="Q721" s="233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3">
        <f t="shared" si="24"/>
        <v>0</v>
      </c>
      <c r="Q722" s="233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3">
        <f t="shared" si="24"/>
        <v>0</v>
      </c>
      <c r="Q723" s="233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3">
        <f t="shared" si="24"/>
        <v>0</v>
      </c>
      <c r="Q724" s="233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3">
        <f t="shared" si="24"/>
        <v>0</v>
      </c>
      <c r="Q725" s="233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3">
        <f t="shared" si="24"/>
        <v>0</v>
      </c>
      <c r="Q726" s="233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3">
        <f t="shared" si="24"/>
        <v>0</v>
      </c>
      <c r="Q727" s="233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3">
        <f t="shared" si="24"/>
        <v>0</v>
      </c>
      <c r="Q728" s="233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3">
        <f t="shared" si="24"/>
        <v>0</v>
      </c>
      <c r="Q729" s="233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3">
        <f t="shared" si="24"/>
        <v>0</v>
      </c>
      <c r="Q730" s="233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3">
        <f t="shared" ref="P731:P794" si="25">IF(ISNUMBER(Q731),Q731,0)</f>
        <v>0</v>
      </c>
      <c r="Q731" s="233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3">
        <f t="shared" si="25"/>
        <v>0</v>
      </c>
      <c r="Q732" s="233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3">
        <f t="shared" si="25"/>
        <v>0</v>
      </c>
      <c r="Q733" s="233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3">
        <f t="shared" si="25"/>
        <v>0</v>
      </c>
      <c r="Q734" s="233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3">
        <f t="shared" si="25"/>
        <v>0</v>
      </c>
      <c r="Q735" s="233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3">
        <f t="shared" si="25"/>
        <v>0</v>
      </c>
      <c r="Q736" s="233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3">
        <f t="shared" si="25"/>
        <v>0</v>
      </c>
      <c r="Q737" s="233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3">
        <f t="shared" si="25"/>
        <v>0</v>
      </c>
      <c r="Q738" s="233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3">
        <f t="shared" si="25"/>
        <v>0</v>
      </c>
      <c r="Q739" s="233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3">
        <f t="shared" si="25"/>
        <v>0</v>
      </c>
      <c r="Q740" s="233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3">
        <f t="shared" si="25"/>
        <v>0</v>
      </c>
      <c r="Q741" s="233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3">
        <f t="shared" si="25"/>
        <v>0</v>
      </c>
      <c r="Q742" s="233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3">
        <f t="shared" si="25"/>
        <v>0</v>
      </c>
      <c r="Q743" s="233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3">
        <f t="shared" si="25"/>
        <v>0</v>
      </c>
      <c r="Q744" s="233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3">
        <f t="shared" si="25"/>
        <v>0</v>
      </c>
      <c r="Q745" s="233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3">
        <f t="shared" si="25"/>
        <v>0</v>
      </c>
      <c r="Q746" s="233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3">
        <f t="shared" si="25"/>
        <v>0</v>
      </c>
      <c r="Q747" s="233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3">
        <f t="shared" si="25"/>
        <v>0</v>
      </c>
      <c r="Q748" s="233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3">
        <f t="shared" si="25"/>
        <v>0</v>
      </c>
      <c r="Q749" s="233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3">
        <f t="shared" si="25"/>
        <v>0</v>
      </c>
      <c r="Q750" s="233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3">
        <f t="shared" si="25"/>
        <v>0</v>
      </c>
      <c r="Q751" s="233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3">
        <f t="shared" si="25"/>
        <v>0</v>
      </c>
      <c r="Q752" s="233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3">
        <f t="shared" si="25"/>
        <v>0</v>
      </c>
      <c r="Q753" s="233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3">
        <f t="shared" si="25"/>
        <v>0</v>
      </c>
      <c r="Q754" s="233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3">
        <f t="shared" si="25"/>
        <v>0</v>
      </c>
      <c r="Q755" s="233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3">
        <f t="shared" si="25"/>
        <v>0</v>
      </c>
      <c r="Q756" s="233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3">
        <f t="shared" si="25"/>
        <v>0</v>
      </c>
      <c r="Q757" s="233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3">
        <f t="shared" si="25"/>
        <v>0</v>
      </c>
      <c r="Q758" s="233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3">
        <f t="shared" si="25"/>
        <v>0</v>
      </c>
      <c r="Q759" s="233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3">
        <f t="shared" si="25"/>
        <v>0</v>
      </c>
      <c r="Q760" s="233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3">
        <f t="shared" si="25"/>
        <v>0</v>
      </c>
      <c r="Q761" s="233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3">
        <f t="shared" si="25"/>
        <v>0</v>
      </c>
      <c r="Q762" s="233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3">
        <f t="shared" si="25"/>
        <v>0</v>
      </c>
      <c r="Q763" s="233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3">
        <f t="shared" si="25"/>
        <v>0</v>
      </c>
      <c r="Q764" s="233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3">
        <f t="shared" si="25"/>
        <v>0</v>
      </c>
      <c r="Q765" s="233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3">
        <f t="shared" si="25"/>
        <v>0</v>
      </c>
      <c r="Q766" s="233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3">
        <f t="shared" si="25"/>
        <v>0</v>
      </c>
      <c r="Q767" s="233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3">
        <f t="shared" si="25"/>
        <v>0</v>
      </c>
      <c r="Q768" s="233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3">
        <f t="shared" si="25"/>
        <v>0</v>
      </c>
      <c r="Q769" s="233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3">
        <f t="shared" si="25"/>
        <v>0</v>
      </c>
      <c r="Q770" s="233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3">
        <f t="shared" si="25"/>
        <v>0</v>
      </c>
      <c r="Q771" s="233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3">
        <f t="shared" si="25"/>
        <v>0</v>
      </c>
      <c r="Q772" s="233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3">
        <f t="shared" si="25"/>
        <v>0</v>
      </c>
      <c r="Q773" s="233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3">
        <f t="shared" si="25"/>
        <v>0</v>
      </c>
      <c r="Q774" s="233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3">
        <f t="shared" si="25"/>
        <v>0</v>
      </c>
      <c r="Q775" s="233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3">
        <f t="shared" si="25"/>
        <v>0</v>
      </c>
      <c r="Q776" s="233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3">
        <f t="shared" si="25"/>
        <v>0</v>
      </c>
      <c r="Q777" s="233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3">
        <f t="shared" si="25"/>
        <v>0</v>
      </c>
      <c r="Q778" s="233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3">
        <f t="shared" si="25"/>
        <v>0</v>
      </c>
      <c r="Q779" s="233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3">
        <f t="shared" si="25"/>
        <v>0</v>
      </c>
      <c r="Q780" s="233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3">
        <f t="shared" si="25"/>
        <v>0</v>
      </c>
      <c r="Q781" s="233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3">
        <f t="shared" si="25"/>
        <v>0</v>
      </c>
      <c r="Q782" s="233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3">
        <f t="shared" si="25"/>
        <v>0</v>
      </c>
      <c r="Q783" s="233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3">
        <f t="shared" si="25"/>
        <v>0</v>
      </c>
      <c r="Q784" s="233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3">
        <f t="shared" si="25"/>
        <v>0</v>
      </c>
      <c r="Q785" s="233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3">
        <f t="shared" si="25"/>
        <v>0</v>
      </c>
      <c r="Q786" s="233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3">
        <f t="shared" si="25"/>
        <v>0</v>
      </c>
      <c r="Q787" s="233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3">
        <f t="shared" si="25"/>
        <v>0</v>
      </c>
      <c r="Q788" s="233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3">
        <f t="shared" si="25"/>
        <v>0</v>
      </c>
      <c r="Q789" s="233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3">
        <f t="shared" si="25"/>
        <v>0</v>
      </c>
      <c r="Q790" s="233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3">
        <f t="shared" si="25"/>
        <v>0</v>
      </c>
      <c r="Q791" s="233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3">
        <f t="shared" si="25"/>
        <v>0</v>
      </c>
      <c r="Q792" s="233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3">
        <f t="shared" si="25"/>
        <v>0</v>
      </c>
      <c r="Q793" s="233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3">
        <f t="shared" si="25"/>
        <v>0</v>
      </c>
      <c r="Q794" s="233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3">
        <f t="shared" ref="P795:P858" si="26">IF(ISNUMBER(Q795),Q795,0)</f>
        <v>0</v>
      </c>
      <c r="Q795" s="233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3">
        <f t="shared" si="26"/>
        <v>0</v>
      </c>
      <c r="Q796" s="233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3">
        <f t="shared" si="26"/>
        <v>0</v>
      </c>
      <c r="Q797" s="233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3">
        <f t="shared" si="26"/>
        <v>0</v>
      </c>
      <c r="Q798" s="233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3">
        <f t="shared" si="26"/>
        <v>0</v>
      </c>
      <c r="Q799" s="233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3">
        <f t="shared" si="26"/>
        <v>0</v>
      </c>
      <c r="Q800" s="233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3">
        <f t="shared" si="26"/>
        <v>0</v>
      </c>
      <c r="Q801" s="233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3">
        <f t="shared" si="26"/>
        <v>0</v>
      </c>
      <c r="Q802" s="233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3">
        <f t="shared" si="26"/>
        <v>0</v>
      </c>
      <c r="Q803" s="233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3">
        <f t="shared" si="26"/>
        <v>0</v>
      </c>
      <c r="Q804" s="233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3">
        <f t="shared" si="26"/>
        <v>0</v>
      </c>
      <c r="Q805" s="233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3">
        <f t="shared" si="26"/>
        <v>0</v>
      </c>
      <c r="Q806" s="233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3">
        <f t="shared" si="26"/>
        <v>0</v>
      </c>
      <c r="Q807" s="233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3">
        <f t="shared" si="26"/>
        <v>0</v>
      </c>
      <c r="Q808" s="233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3">
        <f t="shared" si="26"/>
        <v>0</v>
      </c>
      <c r="Q809" s="233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3">
        <f t="shared" si="26"/>
        <v>0</v>
      </c>
      <c r="Q810" s="233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3">
        <f t="shared" si="26"/>
        <v>0</v>
      </c>
      <c r="Q811" s="233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3">
        <f t="shared" si="26"/>
        <v>0</v>
      </c>
      <c r="Q812" s="233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3">
        <f t="shared" si="26"/>
        <v>0</v>
      </c>
      <c r="Q813" s="233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3">
        <f t="shared" si="26"/>
        <v>0</v>
      </c>
      <c r="Q814" s="233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3">
        <f t="shared" si="26"/>
        <v>0</v>
      </c>
      <c r="Q815" s="233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3">
        <f t="shared" si="26"/>
        <v>0</v>
      </c>
      <c r="Q816" s="233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3">
        <f t="shared" si="26"/>
        <v>0</v>
      </c>
      <c r="Q817" s="233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3">
        <f t="shared" si="26"/>
        <v>0</v>
      </c>
      <c r="Q818" s="233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3">
        <f t="shared" si="26"/>
        <v>0</v>
      </c>
      <c r="Q819" s="233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3">
        <f t="shared" si="26"/>
        <v>0</v>
      </c>
      <c r="Q820" s="233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3">
        <f t="shared" si="26"/>
        <v>0</v>
      </c>
      <c r="Q821" s="233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3">
        <f t="shared" si="26"/>
        <v>0</v>
      </c>
      <c r="Q822" s="233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3">
        <f t="shared" si="26"/>
        <v>0</v>
      </c>
      <c r="Q823" s="233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3">
        <f t="shared" si="26"/>
        <v>0</v>
      </c>
      <c r="Q824" s="233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3">
        <f t="shared" si="26"/>
        <v>0</v>
      </c>
      <c r="Q825" s="233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3">
        <f t="shared" si="26"/>
        <v>0</v>
      </c>
      <c r="Q826" s="233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3">
        <f t="shared" si="26"/>
        <v>0</v>
      </c>
      <c r="Q827" s="233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3">
        <f t="shared" si="26"/>
        <v>0</v>
      </c>
      <c r="Q828" s="233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3">
        <f t="shared" si="26"/>
        <v>0</v>
      </c>
      <c r="Q829" s="233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3">
        <f t="shared" si="26"/>
        <v>0</v>
      </c>
      <c r="Q830" s="233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3">
        <f t="shared" si="26"/>
        <v>0</v>
      </c>
      <c r="Q831" s="233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3">
        <f t="shared" si="26"/>
        <v>0</v>
      </c>
      <c r="Q832" s="233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3">
        <f t="shared" si="26"/>
        <v>0</v>
      </c>
      <c r="Q833" s="233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3">
        <f t="shared" si="26"/>
        <v>0</v>
      </c>
      <c r="Q834" s="233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3">
        <f t="shared" si="26"/>
        <v>0</v>
      </c>
      <c r="Q835" s="233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3">
        <f t="shared" si="26"/>
        <v>0</v>
      </c>
      <c r="Q836" s="233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3">
        <f t="shared" si="26"/>
        <v>0</v>
      </c>
      <c r="Q837" s="233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3">
        <f t="shared" si="26"/>
        <v>0</v>
      </c>
      <c r="Q838" s="233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3">
        <f t="shared" si="26"/>
        <v>0</v>
      </c>
      <c r="Q839" s="233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3">
        <f t="shared" si="26"/>
        <v>0</v>
      </c>
      <c r="Q840" s="233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3">
        <f t="shared" si="26"/>
        <v>0</v>
      </c>
      <c r="Q841" s="233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3">
        <f t="shared" si="26"/>
        <v>0</v>
      </c>
      <c r="Q842" s="233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3">
        <f t="shared" si="26"/>
        <v>0</v>
      </c>
      <c r="Q843" s="233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3">
        <f t="shared" si="26"/>
        <v>0</v>
      </c>
      <c r="Q844" s="233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3">
        <f t="shared" si="26"/>
        <v>0</v>
      </c>
      <c r="Q845" s="233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3">
        <f t="shared" si="26"/>
        <v>0</v>
      </c>
      <c r="Q846" s="233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3">
        <f t="shared" si="26"/>
        <v>0</v>
      </c>
      <c r="Q847" s="233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3">
        <f t="shared" si="26"/>
        <v>0</v>
      </c>
      <c r="Q848" s="233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3">
        <f t="shared" si="26"/>
        <v>0</v>
      </c>
      <c r="Q849" s="233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3">
        <f t="shared" si="26"/>
        <v>0</v>
      </c>
      <c r="Q850" s="233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3">
        <f t="shared" si="26"/>
        <v>0</v>
      </c>
      <c r="Q851" s="233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3">
        <f t="shared" si="26"/>
        <v>0</v>
      </c>
      <c r="Q852" s="233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3">
        <f t="shared" si="26"/>
        <v>0</v>
      </c>
      <c r="Q853" s="233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3">
        <f t="shared" si="26"/>
        <v>0</v>
      </c>
      <c r="Q854" s="233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3">
        <f t="shared" si="26"/>
        <v>0</v>
      </c>
      <c r="Q855" s="233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3">
        <f t="shared" si="26"/>
        <v>0</v>
      </c>
      <c r="Q856" s="233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3">
        <f t="shared" si="26"/>
        <v>0</v>
      </c>
      <c r="Q857" s="233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3">
        <f t="shared" si="26"/>
        <v>0</v>
      </c>
      <c r="Q858" s="233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3">
        <f t="shared" ref="P859:P922" si="27">IF(ISNUMBER(Q859),Q859,0)</f>
        <v>0</v>
      </c>
      <c r="Q859" s="233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3">
        <f t="shared" si="27"/>
        <v>0</v>
      </c>
      <c r="Q860" s="233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3">
        <f t="shared" si="27"/>
        <v>0</v>
      </c>
      <c r="Q861" s="233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3">
        <f t="shared" si="27"/>
        <v>0</v>
      </c>
      <c r="Q862" s="233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3">
        <f t="shared" si="27"/>
        <v>0</v>
      </c>
      <c r="Q863" s="233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3">
        <f t="shared" si="27"/>
        <v>0</v>
      </c>
      <c r="Q864" s="233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3">
        <f t="shared" si="27"/>
        <v>0</v>
      </c>
      <c r="Q865" s="233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3">
        <f t="shared" si="27"/>
        <v>0</v>
      </c>
      <c r="Q866" s="233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3">
        <f t="shared" si="27"/>
        <v>0</v>
      </c>
      <c r="Q867" s="233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3">
        <f t="shared" si="27"/>
        <v>0</v>
      </c>
      <c r="Q868" s="233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3">
        <f t="shared" si="27"/>
        <v>0</v>
      </c>
      <c r="Q869" s="233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3">
        <f t="shared" si="27"/>
        <v>0</v>
      </c>
      <c r="Q870" s="233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3">
        <f t="shared" si="27"/>
        <v>0</v>
      </c>
      <c r="Q871" s="233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3">
        <f t="shared" si="27"/>
        <v>0</v>
      </c>
      <c r="Q872" s="233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3">
        <f t="shared" si="27"/>
        <v>0</v>
      </c>
      <c r="Q873" s="233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3">
        <f t="shared" si="27"/>
        <v>0</v>
      </c>
      <c r="Q874" s="233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3">
        <f t="shared" si="27"/>
        <v>0</v>
      </c>
      <c r="Q875" s="233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3">
        <f t="shared" si="27"/>
        <v>0</v>
      </c>
      <c r="Q876" s="233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3">
        <f t="shared" si="27"/>
        <v>0</v>
      </c>
      <c r="Q877" s="233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3">
        <f t="shared" si="27"/>
        <v>0</v>
      </c>
      <c r="Q878" s="233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3">
        <f t="shared" si="27"/>
        <v>0</v>
      </c>
      <c r="Q879" s="233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3">
        <f t="shared" si="27"/>
        <v>0</v>
      </c>
      <c r="Q880" s="233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3">
        <f t="shared" si="27"/>
        <v>0</v>
      </c>
      <c r="Q881" s="233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3">
        <f t="shared" si="27"/>
        <v>0</v>
      </c>
      <c r="Q882" s="233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3">
        <f t="shared" si="27"/>
        <v>0</v>
      </c>
      <c r="Q883" s="233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3">
        <f t="shared" si="27"/>
        <v>0</v>
      </c>
      <c r="Q884" s="233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3">
        <f t="shared" si="27"/>
        <v>0</v>
      </c>
      <c r="Q885" s="233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3">
        <f t="shared" si="27"/>
        <v>0</v>
      </c>
      <c r="Q886" s="233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3">
        <f t="shared" si="27"/>
        <v>0</v>
      </c>
      <c r="Q887" s="233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3">
        <f t="shared" si="27"/>
        <v>0</v>
      </c>
      <c r="Q888" s="233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3">
        <f t="shared" si="27"/>
        <v>0</v>
      </c>
      <c r="Q889" s="233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3">
        <f t="shared" si="27"/>
        <v>0</v>
      </c>
      <c r="Q890" s="233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3">
        <f t="shared" si="27"/>
        <v>0</v>
      </c>
      <c r="Q891" s="233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3">
        <f t="shared" si="27"/>
        <v>0</v>
      </c>
      <c r="Q892" s="233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3">
        <f t="shared" si="27"/>
        <v>0</v>
      </c>
      <c r="Q893" s="233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3">
        <f t="shared" si="27"/>
        <v>0</v>
      </c>
      <c r="Q894" s="233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3">
        <f t="shared" si="27"/>
        <v>0</v>
      </c>
      <c r="Q895" s="233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3">
        <f t="shared" si="27"/>
        <v>0</v>
      </c>
      <c r="Q896" s="233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3">
        <f t="shared" si="27"/>
        <v>0</v>
      </c>
      <c r="Q897" s="233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3">
        <f t="shared" si="27"/>
        <v>0</v>
      </c>
      <c r="Q898" s="233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3">
        <f t="shared" si="27"/>
        <v>0</v>
      </c>
      <c r="Q899" s="233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3">
        <f t="shared" si="27"/>
        <v>0</v>
      </c>
      <c r="Q900" s="233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3">
        <f t="shared" si="27"/>
        <v>0</v>
      </c>
      <c r="Q901" s="233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3">
        <f t="shared" si="27"/>
        <v>0</v>
      </c>
      <c r="Q902" s="233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3">
        <f t="shared" si="27"/>
        <v>0</v>
      </c>
      <c r="Q903" s="233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3">
        <f t="shared" si="27"/>
        <v>0</v>
      </c>
      <c r="Q904" s="233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3">
        <f t="shared" si="27"/>
        <v>0</v>
      </c>
      <c r="Q905" s="233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3">
        <f t="shared" si="27"/>
        <v>0</v>
      </c>
      <c r="Q906" s="233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3">
        <f t="shared" si="27"/>
        <v>0</v>
      </c>
      <c r="Q907" s="233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3">
        <f t="shared" si="27"/>
        <v>0</v>
      </c>
      <c r="Q908" s="233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3">
        <f t="shared" si="27"/>
        <v>0</v>
      </c>
      <c r="Q909" s="233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3">
        <f t="shared" si="27"/>
        <v>0</v>
      </c>
      <c r="Q910" s="233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3">
        <f t="shared" si="27"/>
        <v>0</v>
      </c>
      <c r="Q911" s="233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3">
        <f t="shared" si="27"/>
        <v>0</v>
      </c>
      <c r="Q912" s="233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3">
        <f t="shared" si="27"/>
        <v>0</v>
      </c>
      <c r="Q913" s="233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3">
        <f t="shared" si="27"/>
        <v>0</v>
      </c>
      <c r="Q914" s="233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3">
        <f t="shared" si="27"/>
        <v>0</v>
      </c>
      <c r="Q915" s="233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3">
        <f t="shared" si="27"/>
        <v>0</v>
      </c>
      <c r="Q916" s="233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3">
        <f t="shared" si="27"/>
        <v>0</v>
      </c>
      <c r="Q917" s="233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3">
        <f t="shared" si="27"/>
        <v>0</v>
      </c>
      <c r="Q918" s="233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3">
        <f t="shared" si="27"/>
        <v>0</v>
      </c>
      <c r="Q919" s="233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3">
        <f t="shared" si="27"/>
        <v>0</v>
      </c>
      <c r="Q920" s="233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3">
        <f t="shared" si="27"/>
        <v>0</v>
      </c>
      <c r="Q921" s="233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3">
        <f t="shared" si="27"/>
        <v>0</v>
      </c>
      <c r="Q922" s="233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3">
        <f t="shared" ref="P923:P986" si="28">IF(ISNUMBER(Q923),Q923,0)</f>
        <v>0</v>
      </c>
      <c r="Q923" s="233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3">
        <f t="shared" si="28"/>
        <v>0</v>
      </c>
      <c r="Q924" s="233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3">
        <f t="shared" si="28"/>
        <v>0</v>
      </c>
      <c r="Q925" s="233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3">
        <f t="shared" si="28"/>
        <v>0</v>
      </c>
      <c r="Q926" s="233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3">
        <f t="shared" si="28"/>
        <v>0</v>
      </c>
      <c r="Q927" s="233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3">
        <f t="shared" si="28"/>
        <v>0</v>
      </c>
      <c r="Q928" s="233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3">
        <f t="shared" si="28"/>
        <v>0</v>
      </c>
      <c r="Q929" s="233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3">
        <f t="shared" si="28"/>
        <v>0</v>
      </c>
      <c r="Q930" s="233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3">
        <f t="shared" si="28"/>
        <v>0</v>
      </c>
      <c r="Q931" s="233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3">
        <f t="shared" si="28"/>
        <v>0</v>
      </c>
      <c r="Q932" s="233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3">
        <f t="shared" si="28"/>
        <v>0</v>
      </c>
      <c r="Q933" s="233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3">
        <f t="shared" si="28"/>
        <v>0</v>
      </c>
      <c r="Q934" s="233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3">
        <f t="shared" si="28"/>
        <v>0</v>
      </c>
      <c r="Q935" s="233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3">
        <f t="shared" si="28"/>
        <v>0</v>
      </c>
      <c r="Q936" s="233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3">
        <f t="shared" si="28"/>
        <v>0</v>
      </c>
      <c r="Q937" s="233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3">
        <f t="shared" si="28"/>
        <v>0</v>
      </c>
      <c r="Q938" s="233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3">
        <f t="shared" si="28"/>
        <v>0</v>
      </c>
      <c r="Q939" s="233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3">
        <f t="shared" si="28"/>
        <v>0</v>
      </c>
      <c r="Q940" s="233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3">
        <f t="shared" si="28"/>
        <v>0</v>
      </c>
      <c r="Q941" s="233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3">
        <f t="shared" si="28"/>
        <v>0</v>
      </c>
      <c r="Q942" s="233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3">
        <f t="shared" si="28"/>
        <v>0</v>
      </c>
      <c r="Q943" s="233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3">
        <f t="shared" si="28"/>
        <v>0</v>
      </c>
      <c r="Q944" s="233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3">
        <f t="shared" si="28"/>
        <v>0</v>
      </c>
      <c r="Q945" s="233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3">
        <f t="shared" si="28"/>
        <v>0</v>
      </c>
      <c r="Q946" s="233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3">
        <f t="shared" si="28"/>
        <v>0</v>
      </c>
      <c r="Q947" s="233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3">
        <f t="shared" si="28"/>
        <v>0</v>
      </c>
      <c r="Q948" s="233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3">
        <f t="shared" si="28"/>
        <v>0</v>
      </c>
      <c r="Q949" s="233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3">
        <f t="shared" si="28"/>
        <v>0</v>
      </c>
      <c r="Q950" s="233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3">
        <f t="shared" si="28"/>
        <v>0</v>
      </c>
      <c r="Q951" s="233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3">
        <f t="shared" si="28"/>
        <v>0</v>
      </c>
      <c r="Q952" s="233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3">
        <f t="shared" si="28"/>
        <v>0</v>
      </c>
      <c r="Q953" s="233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3">
        <f t="shared" si="28"/>
        <v>0</v>
      </c>
      <c r="Q954" s="233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3">
        <f t="shared" si="28"/>
        <v>0</v>
      </c>
      <c r="Q955" s="233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3">
        <f t="shared" si="28"/>
        <v>0</v>
      </c>
      <c r="Q956" s="233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3">
        <f t="shared" si="28"/>
        <v>0</v>
      </c>
      <c r="Q957" s="233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3">
        <f t="shared" si="28"/>
        <v>0</v>
      </c>
      <c r="Q958" s="233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3">
        <f t="shared" si="28"/>
        <v>0</v>
      </c>
      <c r="Q959" s="233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3">
        <f t="shared" si="28"/>
        <v>0</v>
      </c>
      <c r="Q960" s="233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3">
        <f t="shared" si="28"/>
        <v>0</v>
      </c>
      <c r="Q961" s="233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3">
        <f t="shared" si="28"/>
        <v>0</v>
      </c>
      <c r="Q962" s="233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3">
        <f t="shared" si="28"/>
        <v>0</v>
      </c>
      <c r="Q963" s="233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3">
        <f t="shared" si="28"/>
        <v>0</v>
      </c>
      <c r="Q964" s="233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3">
        <f t="shared" si="28"/>
        <v>0</v>
      </c>
      <c r="Q965" s="233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3">
        <f t="shared" si="28"/>
        <v>0</v>
      </c>
      <c r="Q966" s="233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3">
        <f t="shared" si="28"/>
        <v>0</v>
      </c>
      <c r="Q967" s="233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3">
        <f t="shared" si="28"/>
        <v>0</v>
      </c>
      <c r="Q968" s="233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3">
        <f t="shared" si="28"/>
        <v>0</v>
      </c>
      <c r="Q969" s="233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3">
        <f t="shared" si="28"/>
        <v>0</v>
      </c>
      <c r="Q970" s="233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3">
        <f t="shared" si="28"/>
        <v>0</v>
      </c>
      <c r="Q971" s="233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3">
        <f t="shared" si="28"/>
        <v>0</v>
      </c>
      <c r="Q972" s="233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3">
        <f t="shared" si="28"/>
        <v>0</v>
      </c>
      <c r="Q973" s="233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3">
        <f t="shared" si="28"/>
        <v>0</v>
      </c>
      <c r="Q974" s="233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3">
        <f t="shared" si="28"/>
        <v>0</v>
      </c>
      <c r="Q975" s="233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3">
        <f t="shared" si="28"/>
        <v>0</v>
      </c>
      <c r="Q976" s="233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3">
        <f t="shared" si="28"/>
        <v>0</v>
      </c>
      <c r="Q977" s="233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3">
        <f t="shared" si="28"/>
        <v>0</v>
      </c>
      <c r="Q978" s="233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3">
        <f t="shared" si="28"/>
        <v>0</v>
      </c>
      <c r="Q979" s="233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3">
        <f t="shared" si="28"/>
        <v>0</v>
      </c>
      <c r="Q980" s="233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3">
        <f t="shared" si="28"/>
        <v>0</v>
      </c>
      <c r="Q981" s="233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3">
        <f t="shared" si="28"/>
        <v>0</v>
      </c>
      <c r="Q982" s="233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3">
        <f t="shared" si="28"/>
        <v>0</v>
      </c>
      <c r="Q983" s="233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3">
        <f t="shared" si="28"/>
        <v>0</v>
      </c>
      <c r="Q984" s="233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3">
        <f t="shared" si="28"/>
        <v>0</v>
      </c>
      <c r="Q985" s="233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3">
        <f t="shared" si="28"/>
        <v>0</v>
      </c>
      <c r="Q986" s="233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3">
        <f t="shared" ref="P987:P1050" si="29">IF(ISNUMBER(Q987),Q987,0)</f>
        <v>0</v>
      </c>
      <c r="Q987" s="233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3">
        <f t="shared" si="29"/>
        <v>0</v>
      </c>
      <c r="Q988" s="233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3">
        <f t="shared" si="29"/>
        <v>0</v>
      </c>
      <c r="Q989" s="233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3">
        <f t="shared" si="29"/>
        <v>0</v>
      </c>
      <c r="Q990" s="233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3">
        <f t="shared" si="29"/>
        <v>0</v>
      </c>
      <c r="Q991" s="233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3">
        <f t="shared" si="29"/>
        <v>0</v>
      </c>
      <c r="Q992" s="233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3">
        <f t="shared" si="29"/>
        <v>0</v>
      </c>
      <c r="Q993" s="233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3">
        <f t="shared" si="29"/>
        <v>0</v>
      </c>
      <c r="Q994" s="233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3">
        <f t="shared" si="29"/>
        <v>0</v>
      </c>
      <c r="Q995" s="233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3">
        <f t="shared" si="29"/>
        <v>0</v>
      </c>
      <c r="Q996" s="233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3">
        <f t="shared" si="29"/>
        <v>0</v>
      </c>
      <c r="Q997" s="233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3">
        <f t="shared" si="29"/>
        <v>0</v>
      </c>
      <c r="Q998" s="233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3">
        <f t="shared" si="29"/>
        <v>0</v>
      </c>
      <c r="Q999" s="233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3">
        <f t="shared" si="29"/>
        <v>0</v>
      </c>
      <c r="Q1000" s="233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3">
        <f t="shared" si="29"/>
        <v>0</v>
      </c>
      <c r="Q1001" s="233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3">
        <f t="shared" si="29"/>
        <v>0</v>
      </c>
      <c r="Q1002" s="233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3">
        <f t="shared" si="29"/>
        <v>0</v>
      </c>
      <c r="Q1003" s="233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3">
        <f t="shared" si="29"/>
        <v>0</v>
      </c>
      <c r="Q1004" s="233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3">
        <f t="shared" si="29"/>
        <v>0</v>
      </c>
      <c r="Q1005" s="233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3">
        <f t="shared" si="29"/>
        <v>0</v>
      </c>
      <c r="Q1006" s="233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3">
        <f t="shared" si="29"/>
        <v>0</v>
      </c>
      <c r="Q1007" s="233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3">
        <f t="shared" si="29"/>
        <v>0</v>
      </c>
      <c r="Q1008" s="233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3">
        <f t="shared" si="29"/>
        <v>0</v>
      </c>
      <c r="Q1009" s="233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3">
        <f t="shared" si="29"/>
        <v>0</v>
      </c>
      <c r="Q1010" s="233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3">
        <f t="shared" si="29"/>
        <v>0</v>
      </c>
      <c r="Q1011" s="233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3">
        <f t="shared" si="29"/>
        <v>0</v>
      </c>
      <c r="Q1012" s="233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3">
        <f t="shared" si="29"/>
        <v>0</v>
      </c>
      <c r="Q1013" s="233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3">
        <f t="shared" si="29"/>
        <v>0</v>
      </c>
      <c r="Q1014" s="233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3">
        <f t="shared" si="29"/>
        <v>0</v>
      </c>
      <c r="Q1015" s="233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3">
        <f t="shared" si="29"/>
        <v>0</v>
      </c>
      <c r="Q1016" s="233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3">
        <f t="shared" si="29"/>
        <v>0</v>
      </c>
      <c r="Q1017" s="233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3">
        <f t="shared" si="29"/>
        <v>0</v>
      </c>
      <c r="Q1018" s="233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3">
        <f t="shared" si="29"/>
        <v>0</v>
      </c>
      <c r="Q1019" s="233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3">
        <f t="shared" si="29"/>
        <v>0</v>
      </c>
      <c r="Q1020" s="233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3">
        <f t="shared" si="29"/>
        <v>0</v>
      </c>
      <c r="Q1021" s="233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3">
        <f t="shared" si="29"/>
        <v>0</v>
      </c>
      <c r="Q1022" s="233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3">
        <f t="shared" si="29"/>
        <v>0</v>
      </c>
      <c r="Q1023" s="233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3">
        <f t="shared" si="29"/>
        <v>0</v>
      </c>
      <c r="Q1024" s="233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3">
        <f t="shared" si="29"/>
        <v>0</v>
      </c>
      <c r="Q1025" s="233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3">
        <f t="shared" si="29"/>
        <v>0</v>
      </c>
      <c r="Q1026" s="233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3">
        <f t="shared" si="29"/>
        <v>0</v>
      </c>
      <c r="Q1027" s="233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3">
        <f t="shared" si="29"/>
        <v>0</v>
      </c>
      <c r="Q1028" s="233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3">
        <f t="shared" si="29"/>
        <v>0</v>
      </c>
      <c r="Q1029" s="233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3">
        <f t="shared" si="29"/>
        <v>0</v>
      </c>
      <c r="Q1030" s="233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3">
        <f t="shared" si="29"/>
        <v>0</v>
      </c>
      <c r="Q1031" s="233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3">
        <f t="shared" si="29"/>
        <v>0</v>
      </c>
      <c r="Q1032" s="233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3">
        <f t="shared" si="29"/>
        <v>0</v>
      </c>
      <c r="Q1033" s="233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3">
        <f t="shared" si="29"/>
        <v>0</v>
      </c>
      <c r="Q1034" s="233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3">
        <f t="shared" si="29"/>
        <v>0</v>
      </c>
      <c r="Q1035" s="233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3">
        <f t="shared" si="29"/>
        <v>0</v>
      </c>
      <c r="Q1036" s="233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3">
        <f t="shared" si="29"/>
        <v>0</v>
      </c>
      <c r="Q1037" s="233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3">
        <f t="shared" si="29"/>
        <v>0</v>
      </c>
      <c r="Q1038" s="233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3">
        <f t="shared" si="29"/>
        <v>0</v>
      </c>
      <c r="Q1039" s="233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3">
        <f t="shared" si="29"/>
        <v>0</v>
      </c>
      <c r="Q1040" s="233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3">
        <f t="shared" si="29"/>
        <v>0</v>
      </c>
      <c r="Q1041" s="233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3">
        <f t="shared" si="29"/>
        <v>0</v>
      </c>
      <c r="Q1042" s="233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3">
        <f t="shared" si="29"/>
        <v>0</v>
      </c>
      <c r="Q1043" s="233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3">
        <f t="shared" si="29"/>
        <v>0</v>
      </c>
      <c r="Q1044" s="233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3">
        <f t="shared" si="29"/>
        <v>0</v>
      </c>
      <c r="Q1045" s="233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3">
        <f t="shared" si="29"/>
        <v>0</v>
      </c>
      <c r="Q1046" s="233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3">
        <f t="shared" si="29"/>
        <v>0</v>
      </c>
      <c r="Q1047" s="233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3">
        <f t="shared" si="29"/>
        <v>0</v>
      </c>
      <c r="Q1048" s="233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3">
        <f t="shared" si="29"/>
        <v>0</v>
      </c>
      <c r="Q1049" s="233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3">
        <f t="shared" si="29"/>
        <v>0</v>
      </c>
      <c r="Q1050" s="233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3">
        <f t="shared" ref="P1051:P1114" si="30">IF(ISNUMBER(Q1051),Q1051,0)</f>
        <v>0</v>
      </c>
      <c r="Q1051" s="233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3">
        <f t="shared" si="30"/>
        <v>0</v>
      </c>
      <c r="Q1052" s="233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3">
        <f t="shared" si="30"/>
        <v>0</v>
      </c>
      <c r="Q1053" s="233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3">
        <f t="shared" si="30"/>
        <v>0</v>
      </c>
      <c r="Q1054" s="233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3">
        <f t="shared" si="30"/>
        <v>0</v>
      </c>
      <c r="Q1055" s="233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3">
        <f t="shared" si="30"/>
        <v>0</v>
      </c>
      <c r="Q1056" s="233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3">
        <f t="shared" si="30"/>
        <v>0</v>
      </c>
      <c r="Q1057" s="233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3">
        <f t="shared" si="30"/>
        <v>0</v>
      </c>
      <c r="Q1058" s="233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3">
        <f t="shared" si="30"/>
        <v>0</v>
      </c>
      <c r="Q1059" s="233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3">
        <f t="shared" si="30"/>
        <v>0</v>
      </c>
      <c r="Q1060" s="233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3">
        <f t="shared" si="30"/>
        <v>0</v>
      </c>
      <c r="Q1061" s="233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3">
        <f t="shared" si="30"/>
        <v>0</v>
      </c>
      <c r="Q1062" s="233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3">
        <f t="shared" si="30"/>
        <v>0</v>
      </c>
      <c r="Q1063" s="233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3">
        <f t="shared" si="30"/>
        <v>0</v>
      </c>
      <c r="Q1064" s="233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3">
        <f t="shared" si="30"/>
        <v>0</v>
      </c>
      <c r="Q1065" s="233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3">
        <f t="shared" si="30"/>
        <v>0</v>
      </c>
      <c r="Q1066" s="233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3">
        <f t="shared" si="30"/>
        <v>0</v>
      </c>
      <c r="Q1067" s="233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3">
        <f t="shared" si="30"/>
        <v>0</v>
      </c>
      <c r="Q1068" s="233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3">
        <f t="shared" si="30"/>
        <v>0</v>
      </c>
      <c r="Q1069" s="233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3">
        <f t="shared" si="30"/>
        <v>0</v>
      </c>
      <c r="Q1070" s="233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3">
        <f t="shared" si="30"/>
        <v>0</v>
      </c>
      <c r="Q1071" s="233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3">
        <f t="shared" si="30"/>
        <v>0</v>
      </c>
      <c r="Q1072" s="233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3">
        <f t="shared" si="30"/>
        <v>0</v>
      </c>
      <c r="Q1073" s="233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3">
        <f t="shared" si="30"/>
        <v>0</v>
      </c>
      <c r="Q1074" s="233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3">
        <f t="shared" si="30"/>
        <v>0</v>
      </c>
      <c r="Q1075" s="233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3">
        <f t="shared" si="30"/>
        <v>0</v>
      </c>
      <c r="Q1076" s="233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3">
        <f t="shared" si="30"/>
        <v>0</v>
      </c>
      <c r="Q1077" s="233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3">
        <f t="shared" si="30"/>
        <v>0</v>
      </c>
      <c r="Q1078" s="233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3">
        <f t="shared" si="30"/>
        <v>0</v>
      </c>
      <c r="Q1079" s="233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3">
        <f t="shared" si="30"/>
        <v>0</v>
      </c>
      <c r="Q1080" s="233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3">
        <f t="shared" si="30"/>
        <v>0</v>
      </c>
      <c r="Q1081" s="233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3">
        <f t="shared" si="30"/>
        <v>0</v>
      </c>
      <c r="Q1082" s="233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3">
        <f t="shared" si="30"/>
        <v>0</v>
      </c>
      <c r="Q1083" s="233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3">
        <f t="shared" si="30"/>
        <v>0</v>
      </c>
      <c r="Q1084" s="233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3">
        <f t="shared" si="30"/>
        <v>0</v>
      </c>
      <c r="Q1085" s="233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3">
        <f t="shared" si="30"/>
        <v>0</v>
      </c>
      <c r="Q1086" s="233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3">
        <f t="shared" si="30"/>
        <v>0</v>
      </c>
      <c r="Q1087" s="233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3">
        <f t="shared" si="30"/>
        <v>0</v>
      </c>
      <c r="Q1088" s="233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3">
        <f t="shared" si="30"/>
        <v>0</v>
      </c>
      <c r="Q1089" s="233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3">
        <f t="shared" si="30"/>
        <v>0</v>
      </c>
      <c r="Q1090" s="233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3">
        <f t="shared" si="30"/>
        <v>0</v>
      </c>
      <c r="Q1091" s="233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3">
        <f t="shared" si="30"/>
        <v>0</v>
      </c>
      <c r="Q1092" s="233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3">
        <f t="shared" si="30"/>
        <v>0</v>
      </c>
      <c r="Q1093" s="233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3">
        <f t="shared" si="30"/>
        <v>0</v>
      </c>
      <c r="Q1094" s="233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3">
        <f t="shared" si="30"/>
        <v>0</v>
      </c>
      <c r="Q1095" s="233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3">
        <f t="shared" si="30"/>
        <v>0</v>
      </c>
      <c r="Q1096" s="233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3">
        <f t="shared" si="30"/>
        <v>0</v>
      </c>
      <c r="Q1097" s="233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3">
        <f t="shared" si="30"/>
        <v>0</v>
      </c>
      <c r="Q1098" s="233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3">
        <f t="shared" si="30"/>
        <v>0</v>
      </c>
      <c r="Q1099" s="233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3">
        <f t="shared" si="30"/>
        <v>0</v>
      </c>
      <c r="Q1100" s="233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3">
        <f t="shared" si="30"/>
        <v>0</v>
      </c>
      <c r="Q1101" s="233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3">
        <f t="shared" si="30"/>
        <v>0</v>
      </c>
      <c r="Q1102" s="233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3">
        <f t="shared" si="30"/>
        <v>0</v>
      </c>
      <c r="Q1103" s="233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3">
        <f t="shared" si="30"/>
        <v>0</v>
      </c>
      <c r="Q1104" s="233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3">
        <f t="shared" si="30"/>
        <v>0</v>
      </c>
      <c r="Q1105" s="233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3">
        <f t="shared" si="30"/>
        <v>0</v>
      </c>
      <c r="Q1106" s="233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3">
        <f t="shared" si="30"/>
        <v>0</v>
      </c>
      <c r="Q1107" s="233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3">
        <f t="shared" si="30"/>
        <v>0</v>
      </c>
      <c r="Q1108" s="233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3">
        <f t="shared" si="30"/>
        <v>0</v>
      </c>
      <c r="Q1109" s="233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3">
        <f t="shared" si="30"/>
        <v>0</v>
      </c>
      <c r="Q1110" s="233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3">
        <f t="shared" si="30"/>
        <v>0</v>
      </c>
      <c r="Q1111" s="233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3">
        <f t="shared" si="30"/>
        <v>0</v>
      </c>
      <c r="Q1112" s="233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3">
        <f t="shared" si="30"/>
        <v>0</v>
      </c>
      <c r="Q1113" s="233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3">
        <f t="shared" si="30"/>
        <v>0</v>
      </c>
      <c r="Q1114" s="233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3">
        <f t="shared" ref="P1115:P1178" si="31">IF(ISNUMBER(Q1115),Q1115,0)</f>
        <v>0</v>
      </c>
      <c r="Q1115" s="233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3">
        <f t="shared" si="31"/>
        <v>0</v>
      </c>
      <c r="Q1116" s="233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3">
        <f t="shared" si="31"/>
        <v>0</v>
      </c>
      <c r="Q1117" s="233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3">
        <f t="shared" si="31"/>
        <v>0</v>
      </c>
      <c r="Q1118" s="233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3">
        <f t="shared" si="31"/>
        <v>0</v>
      </c>
      <c r="Q1119" s="233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3">
        <f t="shared" si="31"/>
        <v>0</v>
      </c>
      <c r="Q1120" s="233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3">
        <f t="shared" si="31"/>
        <v>0</v>
      </c>
      <c r="Q1121" s="233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3">
        <f t="shared" si="31"/>
        <v>0</v>
      </c>
      <c r="Q1122" s="233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3">
        <f t="shared" si="31"/>
        <v>0</v>
      </c>
      <c r="Q1123" s="233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3">
        <f t="shared" si="31"/>
        <v>0</v>
      </c>
      <c r="Q1124" s="233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3">
        <f t="shared" si="31"/>
        <v>0</v>
      </c>
      <c r="Q1125" s="233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3">
        <f t="shared" si="31"/>
        <v>0</v>
      </c>
      <c r="Q1126" s="233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3">
        <f t="shared" si="31"/>
        <v>0</v>
      </c>
      <c r="Q1127" s="233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3">
        <f t="shared" si="31"/>
        <v>0</v>
      </c>
      <c r="Q1128" s="233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3">
        <f t="shared" si="31"/>
        <v>0</v>
      </c>
      <c r="Q1129" s="233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3">
        <f t="shared" si="31"/>
        <v>0</v>
      </c>
      <c r="Q1130" s="233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3">
        <f t="shared" si="31"/>
        <v>0</v>
      </c>
      <c r="Q1131" s="233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3">
        <f t="shared" si="31"/>
        <v>0</v>
      </c>
      <c r="Q1132" s="233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3">
        <f t="shared" si="31"/>
        <v>0</v>
      </c>
      <c r="Q1133" s="233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3">
        <f t="shared" si="31"/>
        <v>0</v>
      </c>
      <c r="Q1134" s="233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3">
        <f t="shared" si="31"/>
        <v>0</v>
      </c>
      <c r="Q1135" s="233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3">
        <f t="shared" si="31"/>
        <v>0</v>
      </c>
      <c r="Q1136" s="233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3">
        <f t="shared" si="31"/>
        <v>0</v>
      </c>
      <c r="Q1137" s="233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3">
        <f t="shared" si="31"/>
        <v>0</v>
      </c>
      <c r="Q1138" s="233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3">
        <f t="shared" si="31"/>
        <v>0</v>
      </c>
      <c r="Q1139" s="233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3">
        <f t="shared" si="31"/>
        <v>0</v>
      </c>
      <c r="Q1140" s="233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3">
        <f t="shared" si="31"/>
        <v>0</v>
      </c>
      <c r="Q1141" s="233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3">
        <f t="shared" si="31"/>
        <v>0</v>
      </c>
      <c r="Q1142" s="233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3">
        <f t="shared" si="31"/>
        <v>0</v>
      </c>
      <c r="Q1143" s="233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3">
        <f t="shared" si="31"/>
        <v>0</v>
      </c>
      <c r="Q1144" s="233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3">
        <f t="shared" si="31"/>
        <v>0</v>
      </c>
      <c r="Q1145" s="233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3">
        <f t="shared" si="31"/>
        <v>0</v>
      </c>
      <c r="Q1146" s="233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3">
        <f t="shared" si="31"/>
        <v>0</v>
      </c>
      <c r="Q1147" s="233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3">
        <f t="shared" si="31"/>
        <v>0</v>
      </c>
      <c r="Q1148" s="233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3">
        <f t="shared" si="31"/>
        <v>0</v>
      </c>
      <c r="Q1149" s="233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3">
        <f t="shared" si="31"/>
        <v>0</v>
      </c>
      <c r="Q1150" s="233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3">
        <f t="shared" si="31"/>
        <v>0</v>
      </c>
      <c r="Q1151" s="233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3">
        <f t="shared" si="31"/>
        <v>0</v>
      </c>
      <c r="Q1152" s="233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3">
        <f t="shared" si="31"/>
        <v>0</v>
      </c>
      <c r="Q1153" s="233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3">
        <f t="shared" si="31"/>
        <v>0</v>
      </c>
      <c r="Q1154" s="233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3">
        <f t="shared" si="31"/>
        <v>0</v>
      </c>
      <c r="Q1155" s="233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3">
        <f t="shared" si="31"/>
        <v>0</v>
      </c>
      <c r="Q1156" s="233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3">
        <f t="shared" si="31"/>
        <v>0</v>
      </c>
      <c r="Q1157" s="233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3">
        <f t="shared" si="31"/>
        <v>0</v>
      </c>
      <c r="Q1158" s="233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3">
        <f t="shared" si="31"/>
        <v>0</v>
      </c>
      <c r="Q1159" s="233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3">
        <f t="shared" si="31"/>
        <v>0</v>
      </c>
      <c r="Q1160" s="233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3">
        <f t="shared" si="31"/>
        <v>0</v>
      </c>
      <c r="Q1161" s="233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3">
        <f t="shared" si="31"/>
        <v>0</v>
      </c>
      <c r="Q1162" s="233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3">
        <f t="shared" si="31"/>
        <v>0</v>
      </c>
      <c r="Q1163" s="233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3">
        <f t="shared" si="31"/>
        <v>0</v>
      </c>
      <c r="Q1164" s="233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3">
        <f t="shared" si="31"/>
        <v>0</v>
      </c>
      <c r="Q1165" s="233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3">
        <f t="shared" si="31"/>
        <v>0</v>
      </c>
      <c r="Q1166" s="233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3">
        <f t="shared" si="31"/>
        <v>0</v>
      </c>
      <c r="Q1167" s="233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3">
        <f t="shared" si="31"/>
        <v>0</v>
      </c>
      <c r="Q1168" s="233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3">
        <f t="shared" si="31"/>
        <v>0</v>
      </c>
      <c r="Q1169" s="233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3">
        <f t="shared" si="31"/>
        <v>0</v>
      </c>
      <c r="Q1170" s="233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3">
        <f t="shared" si="31"/>
        <v>0</v>
      </c>
      <c r="Q1171" s="233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3">
        <f t="shared" si="31"/>
        <v>0</v>
      </c>
      <c r="Q1172" s="233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3">
        <f t="shared" si="31"/>
        <v>0</v>
      </c>
      <c r="Q1173" s="233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3">
        <f t="shared" si="31"/>
        <v>0</v>
      </c>
      <c r="Q1174" s="233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3">
        <f t="shared" si="31"/>
        <v>0</v>
      </c>
      <c r="Q1175" s="233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3">
        <f t="shared" si="31"/>
        <v>0</v>
      </c>
      <c r="Q1176" s="233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3">
        <f t="shared" si="31"/>
        <v>0</v>
      </c>
      <c r="Q1177" s="233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3">
        <f t="shared" si="31"/>
        <v>0</v>
      </c>
      <c r="Q1178" s="233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3">
        <f t="shared" ref="P1179:P1242" si="32">IF(ISNUMBER(Q1179),Q1179,0)</f>
        <v>0</v>
      </c>
      <c r="Q1179" s="233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3">
        <f t="shared" si="32"/>
        <v>0</v>
      </c>
      <c r="Q1180" s="233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3">
        <f t="shared" si="32"/>
        <v>0</v>
      </c>
      <c r="Q1181" s="233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3">
        <f t="shared" si="32"/>
        <v>0</v>
      </c>
      <c r="Q1182" s="233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3">
        <f t="shared" si="32"/>
        <v>0</v>
      </c>
      <c r="Q1183" s="233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3">
        <f t="shared" si="32"/>
        <v>0</v>
      </c>
      <c r="Q1184" s="233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3">
        <f t="shared" si="32"/>
        <v>0</v>
      </c>
      <c r="Q1185" s="233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3">
        <f t="shared" si="32"/>
        <v>0</v>
      </c>
      <c r="Q1186" s="233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3">
        <f t="shared" si="32"/>
        <v>0</v>
      </c>
      <c r="Q1187" s="233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3">
        <f t="shared" si="32"/>
        <v>0</v>
      </c>
      <c r="Q1188" s="233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3">
        <f t="shared" si="32"/>
        <v>0</v>
      </c>
      <c r="Q1189" s="233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3">
        <f t="shared" si="32"/>
        <v>0</v>
      </c>
      <c r="Q1190" s="233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3">
        <f t="shared" si="32"/>
        <v>0</v>
      </c>
      <c r="Q1191" s="233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3">
        <f t="shared" si="32"/>
        <v>0</v>
      </c>
      <c r="Q1192" s="233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3">
        <f t="shared" si="32"/>
        <v>0</v>
      </c>
      <c r="Q1193" s="233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3">
        <f t="shared" si="32"/>
        <v>0</v>
      </c>
      <c r="Q1194" s="233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3">
        <f t="shared" si="32"/>
        <v>0</v>
      </c>
      <c r="Q1195" s="233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3">
        <f t="shared" si="32"/>
        <v>0</v>
      </c>
      <c r="Q1196" s="233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3">
        <f t="shared" si="32"/>
        <v>0</v>
      </c>
      <c r="Q1197" s="233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3">
        <f t="shared" si="32"/>
        <v>0</v>
      </c>
      <c r="Q1198" s="233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3">
        <f t="shared" si="32"/>
        <v>0</v>
      </c>
      <c r="Q1199" s="233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3">
        <f t="shared" si="32"/>
        <v>0</v>
      </c>
      <c r="Q1200" s="233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3">
        <f t="shared" si="32"/>
        <v>0</v>
      </c>
      <c r="Q1201" s="233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3">
        <f t="shared" si="32"/>
        <v>0</v>
      </c>
      <c r="Q1202" s="233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3">
        <f t="shared" si="32"/>
        <v>0</v>
      </c>
      <c r="Q1203" s="233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3">
        <f t="shared" si="32"/>
        <v>0</v>
      </c>
      <c r="Q1204" s="233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3">
        <f t="shared" si="32"/>
        <v>0</v>
      </c>
      <c r="Q1205" s="233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3">
        <f t="shared" si="32"/>
        <v>0</v>
      </c>
      <c r="Q1206" s="233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3">
        <f t="shared" si="32"/>
        <v>0</v>
      </c>
      <c r="Q1207" s="233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3">
        <f t="shared" si="32"/>
        <v>0</v>
      </c>
      <c r="Q1208" s="233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3">
        <f t="shared" si="32"/>
        <v>0</v>
      </c>
      <c r="Q1209" s="233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3">
        <f t="shared" si="32"/>
        <v>0</v>
      </c>
      <c r="Q1210" s="233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3">
        <f t="shared" si="32"/>
        <v>0</v>
      </c>
      <c r="Q1211" s="233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3">
        <f t="shared" si="32"/>
        <v>0</v>
      </c>
      <c r="Q1212" s="233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3">
        <f t="shared" si="32"/>
        <v>0</v>
      </c>
      <c r="Q1213" s="233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3">
        <f t="shared" si="32"/>
        <v>0</v>
      </c>
      <c r="Q1214" s="233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3">
        <f t="shared" si="32"/>
        <v>0</v>
      </c>
      <c r="Q1215" s="233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3">
        <f t="shared" si="32"/>
        <v>0</v>
      </c>
      <c r="Q1216" s="233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3">
        <f t="shared" si="32"/>
        <v>0</v>
      </c>
      <c r="Q1217" s="233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3">
        <f t="shared" si="32"/>
        <v>0</v>
      </c>
      <c r="Q1218" s="233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3">
        <f t="shared" si="32"/>
        <v>0</v>
      </c>
      <c r="Q1219" s="233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3">
        <f t="shared" si="32"/>
        <v>0</v>
      </c>
      <c r="Q1220" s="233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3">
        <f t="shared" si="32"/>
        <v>0</v>
      </c>
      <c r="Q1221" s="233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3">
        <f t="shared" si="32"/>
        <v>0</v>
      </c>
      <c r="Q1222" s="233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3">
        <f t="shared" si="32"/>
        <v>0</v>
      </c>
      <c r="Q1223" s="233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3">
        <f t="shared" si="32"/>
        <v>0</v>
      </c>
      <c r="Q1224" s="233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3">
        <f t="shared" si="32"/>
        <v>0</v>
      </c>
      <c r="Q1225" s="233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3">
        <f t="shared" si="32"/>
        <v>0</v>
      </c>
      <c r="Q1226" s="233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3">
        <f t="shared" si="32"/>
        <v>0</v>
      </c>
      <c r="Q1227" s="233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3">
        <f t="shared" si="32"/>
        <v>0</v>
      </c>
      <c r="Q1228" s="233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3">
        <f t="shared" si="32"/>
        <v>0</v>
      </c>
      <c r="Q1229" s="233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3">
        <f t="shared" si="32"/>
        <v>0</v>
      </c>
      <c r="Q1230" s="233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3">
        <f t="shared" si="32"/>
        <v>0</v>
      </c>
      <c r="Q1231" s="233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3">
        <f t="shared" si="32"/>
        <v>0</v>
      </c>
      <c r="Q1232" s="233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3">
        <f t="shared" si="32"/>
        <v>0</v>
      </c>
      <c r="Q1233" s="233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3">
        <f t="shared" si="32"/>
        <v>0</v>
      </c>
      <c r="Q1234" s="233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3">
        <f t="shared" si="32"/>
        <v>0</v>
      </c>
      <c r="Q1235" s="233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3">
        <f t="shared" si="32"/>
        <v>0</v>
      </c>
      <c r="Q1236" s="233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3">
        <f t="shared" si="32"/>
        <v>0</v>
      </c>
      <c r="Q1237" s="233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3">
        <f t="shared" si="32"/>
        <v>0</v>
      </c>
      <c r="Q1238" s="233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3">
        <f t="shared" si="32"/>
        <v>0</v>
      </c>
      <c r="Q1239" s="233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3">
        <f t="shared" si="32"/>
        <v>0</v>
      </c>
      <c r="Q1240" s="233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3">
        <f t="shared" si="32"/>
        <v>0</v>
      </c>
      <c r="Q1241" s="233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3">
        <f t="shared" si="32"/>
        <v>0</v>
      </c>
      <c r="Q1242" s="233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3">
        <f t="shared" ref="P1243:P1306" si="33">IF(ISNUMBER(Q1243),Q1243,0)</f>
        <v>0</v>
      </c>
      <c r="Q1243" s="233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3">
        <f t="shared" si="33"/>
        <v>0</v>
      </c>
      <c r="Q1244" s="233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3">
        <f t="shared" si="33"/>
        <v>0</v>
      </c>
      <c r="Q1245" s="233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3">
        <f t="shared" si="33"/>
        <v>0</v>
      </c>
      <c r="Q1246" s="233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3">
        <f t="shared" si="33"/>
        <v>0</v>
      </c>
      <c r="Q1247" s="233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3">
        <f t="shared" si="33"/>
        <v>0</v>
      </c>
      <c r="Q1248" s="233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3">
        <f t="shared" si="33"/>
        <v>0</v>
      </c>
      <c r="Q1249" s="233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3">
        <f t="shared" si="33"/>
        <v>0</v>
      </c>
      <c r="Q1250" s="233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3">
        <f t="shared" si="33"/>
        <v>0</v>
      </c>
      <c r="Q1251" s="233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3">
        <f t="shared" si="33"/>
        <v>0</v>
      </c>
      <c r="Q1252" s="233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3">
        <f t="shared" si="33"/>
        <v>0</v>
      </c>
      <c r="Q1253" s="233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3">
        <f t="shared" si="33"/>
        <v>0</v>
      </c>
      <c r="Q1254" s="233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3">
        <f t="shared" si="33"/>
        <v>0</v>
      </c>
      <c r="Q1255" s="233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3">
        <f t="shared" si="33"/>
        <v>0</v>
      </c>
      <c r="Q1256" s="233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3">
        <f t="shared" si="33"/>
        <v>0</v>
      </c>
      <c r="Q1257" s="233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3">
        <f t="shared" si="33"/>
        <v>0</v>
      </c>
      <c r="Q1258" s="233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3">
        <f t="shared" si="33"/>
        <v>0</v>
      </c>
      <c r="Q1259" s="233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3">
        <f t="shared" si="33"/>
        <v>0</v>
      </c>
      <c r="Q1260" s="233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3">
        <f t="shared" si="33"/>
        <v>0</v>
      </c>
      <c r="Q1261" s="233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3">
        <f t="shared" si="33"/>
        <v>0</v>
      </c>
      <c r="Q1262" s="233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3">
        <f t="shared" si="33"/>
        <v>0</v>
      </c>
      <c r="Q1263" s="233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3">
        <f t="shared" si="33"/>
        <v>0</v>
      </c>
      <c r="Q1264" s="233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3">
        <f t="shared" si="33"/>
        <v>0</v>
      </c>
      <c r="Q1265" s="233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3">
        <f t="shared" si="33"/>
        <v>0</v>
      </c>
      <c r="Q1266" s="233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3">
        <f t="shared" si="33"/>
        <v>0</v>
      </c>
      <c r="Q1267" s="233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3">
        <f t="shared" si="33"/>
        <v>0</v>
      </c>
      <c r="Q1268" s="233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3">
        <f t="shared" si="33"/>
        <v>0</v>
      </c>
      <c r="Q1269" s="233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3">
        <f t="shared" si="33"/>
        <v>0</v>
      </c>
      <c r="Q1270" s="233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3">
        <f t="shared" si="33"/>
        <v>0</v>
      </c>
      <c r="Q1271" s="233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3">
        <f t="shared" si="33"/>
        <v>0</v>
      </c>
      <c r="Q1272" s="233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3">
        <f t="shared" si="33"/>
        <v>0</v>
      </c>
      <c r="Q1273" s="233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3">
        <f t="shared" si="33"/>
        <v>0</v>
      </c>
      <c r="Q1274" s="233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3">
        <f t="shared" si="33"/>
        <v>0</v>
      </c>
      <c r="Q1275" s="233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3">
        <f t="shared" si="33"/>
        <v>0</v>
      </c>
      <c r="Q1276" s="233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3">
        <f t="shared" si="33"/>
        <v>0</v>
      </c>
      <c r="Q1277" s="233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3">
        <f t="shared" si="33"/>
        <v>0</v>
      </c>
      <c r="Q1278" s="233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3">
        <f t="shared" si="33"/>
        <v>0</v>
      </c>
      <c r="Q1279" s="233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3">
        <f t="shared" si="33"/>
        <v>0</v>
      </c>
      <c r="Q1280" s="233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3">
        <f t="shared" si="33"/>
        <v>0</v>
      </c>
      <c r="Q1281" s="233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3">
        <f t="shared" si="33"/>
        <v>0</v>
      </c>
      <c r="Q1282" s="233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3">
        <f t="shared" si="33"/>
        <v>0</v>
      </c>
      <c r="Q1283" s="233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3">
        <f t="shared" si="33"/>
        <v>0</v>
      </c>
      <c r="Q1284" s="233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3">
        <f t="shared" si="33"/>
        <v>0</v>
      </c>
      <c r="Q1285" s="233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3">
        <f t="shared" si="33"/>
        <v>0</v>
      </c>
      <c r="Q1286" s="233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3">
        <f t="shared" si="33"/>
        <v>0</v>
      </c>
      <c r="Q1287" s="233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3">
        <f t="shared" si="33"/>
        <v>0</v>
      </c>
      <c r="Q1288" s="233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3">
        <f t="shared" si="33"/>
        <v>0</v>
      </c>
      <c r="Q1289" s="233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3">
        <f t="shared" si="33"/>
        <v>0</v>
      </c>
      <c r="Q1290" s="233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3">
        <f t="shared" si="33"/>
        <v>0</v>
      </c>
      <c r="Q1291" s="233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3">
        <f t="shared" si="33"/>
        <v>0</v>
      </c>
      <c r="Q1292" s="233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3">
        <f t="shared" si="33"/>
        <v>0</v>
      </c>
      <c r="Q1293" s="233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3">
        <f t="shared" si="33"/>
        <v>0</v>
      </c>
      <c r="Q1294" s="233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3">
        <f t="shared" si="33"/>
        <v>0</v>
      </c>
      <c r="Q1295" s="233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3">
        <f t="shared" si="33"/>
        <v>0</v>
      </c>
      <c r="Q1296" s="233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3">
        <f t="shared" si="33"/>
        <v>0</v>
      </c>
      <c r="Q1297" s="233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3">
        <f t="shared" si="33"/>
        <v>0</v>
      </c>
      <c r="Q1298" s="233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3">
        <f t="shared" si="33"/>
        <v>0</v>
      </c>
      <c r="Q1299" s="233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3">
        <f t="shared" si="33"/>
        <v>0</v>
      </c>
      <c r="Q1300" s="233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3">
        <f t="shared" si="33"/>
        <v>0</v>
      </c>
      <c r="Q1301" s="233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3">
        <f t="shared" si="33"/>
        <v>0</v>
      </c>
      <c r="Q1302" s="233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3">
        <f t="shared" si="33"/>
        <v>0</v>
      </c>
      <c r="Q1303" s="233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3">
        <f t="shared" si="33"/>
        <v>0</v>
      </c>
      <c r="Q1304" s="233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3">
        <f t="shared" si="33"/>
        <v>0</v>
      </c>
      <c r="Q1305" s="233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3">
        <f t="shared" si="33"/>
        <v>0</v>
      </c>
      <c r="Q1306" s="233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3">
        <f t="shared" ref="P1307:P1370" si="34">IF(ISNUMBER(Q1307),Q1307,0)</f>
        <v>0</v>
      </c>
      <c r="Q1307" s="233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3">
        <f t="shared" si="34"/>
        <v>0</v>
      </c>
      <c r="Q1308" s="233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3">
        <f t="shared" si="34"/>
        <v>0</v>
      </c>
      <c r="Q1309" s="233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3">
        <f t="shared" si="34"/>
        <v>0</v>
      </c>
      <c r="Q1310" s="233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3">
        <f t="shared" si="34"/>
        <v>0</v>
      </c>
      <c r="Q1311" s="233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3">
        <f t="shared" si="34"/>
        <v>0</v>
      </c>
      <c r="Q1312" s="233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3">
        <f t="shared" si="34"/>
        <v>0</v>
      </c>
      <c r="Q1313" s="233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3">
        <f t="shared" si="34"/>
        <v>0</v>
      </c>
      <c r="Q1314" s="233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3">
        <f t="shared" si="34"/>
        <v>0</v>
      </c>
      <c r="Q1315" s="233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3">
        <f t="shared" si="34"/>
        <v>0</v>
      </c>
      <c r="Q1316" s="233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3">
        <f t="shared" si="34"/>
        <v>0</v>
      </c>
      <c r="Q1317" s="233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3">
        <f t="shared" si="34"/>
        <v>0</v>
      </c>
      <c r="Q1318" s="233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3">
        <f t="shared" si="34"/>
        <v>0</v>
      </c>
      <c r="Q1319" s="233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3">
        <f t="shared" si="34"/>
        <v>0</v>
      </c>
      <c r="Q1320" s="233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3">
        <f t="shared" si="34"/>
        <v>0</v>
      </c>
      <c r="Q1321" s="233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3">
        <f t="shared" si="34"/>
        <v>0</v>
      </c>
      <c r="Q1322" s="233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3">
        <f t="shared" si="34"/>
        <v>0</v>
      </c>
      <c r="Q1323" s="233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3">
        <f t="shared" si="34"/>
        <v>0</v>
      </c>
      <c r="Q1324" s="233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3">
        <f t="shared" si="34"/>
        <v>0</v>
      </c>
      <c r="Q1325" s="233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3">
        <f t="shared" si="34"/>
        <v>0</v>
      </c>
      <c r="Q1326" s="233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3">
        <f t="shared" si="34"/>
        <v>0</v>
      </c>
      <c r="Q1327" s="233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3">
        <f t="shared" si="34"/>
        <v>0</v>
      </c>
      <c r="Q1328" s="233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3">
        <f t="shared" si="34"/>
        <v>0</v>
      </c>
      <c r="Q1329" s="233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3">
        <f t="shared" si="34"/>
        <v>0</v>
      </c>
      <c r="Q1330" s="233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3">
        <f t="shared" si="34"/>
        <v>0</v>
      </c>
      <c r="Q1331" s="233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3">
        <f t="shared" si="34"/>
        <v>0</v>
      </c>
      <c r="Q1332" s="233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3">
        <f t="shared" si="34"/>
        <v>0</v>
      </c>
      <c r="Q1333" s="233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3">
        <f t="shared" si="34"/>
        <v>0</v>
      </c>
      <c r="Q1334" s="233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3">
        <f t="shared" si="34"/>
        <v>0</v>
      </c>
      <c r="Q1335" s="233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3">
        <f t="shared" si="34"/>
        <v>0</v>
      </c>
      <c r="Q1336" s="233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3">
        <f t="shared" si="34"/>
        <v>0</v>
      </c>
      <c r="Q1337" s="233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3">
        <f t="shared" si="34"/>
        <v>0</v>
      </c>
      <c r="Q1338" s="233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3">
        <f t="shared" si="34"/>
        <v>0</v>
      </c>
      <c r="Q1339" s="233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3">
        <f t="shared" si="34"/>
        <v>0</v>
      </c>
      <c r="Q1340" s="233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3">
        <f t="shared" si="34"/>
        <v>0</v>
      </c>
      <c r="Q1341" s="233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3">
        <f t="shared" si="34"/>
        <v>0</v>
      </c>
      <c r="Q1342" s="233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3">
        <f t="shared" si="34"/>
        <v>0</v>
      </c>
      <c r="Q1343" s="233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3">
        <f t="shared" si="34"/>
        <v>0</v>
      </c>
      <c r="Q1344" s="233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3">
        <f t="shared" si="34"/>
        <v>0</v>
      </c>
      <c r="Q1345" s="233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3">
        <f t="shared" si="34"/>
        <v>0</v>
      </c>
      <c r="Q1346" s="233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3">
        <f t="shared" si="34"/>
        <v>0</v>
      </c>
      <c r="Q1347" s="233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3">
        <f t="shared" si="34"/>
        <v>0</v>
      </c>
      <c r="Q1348" s="233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3">
        <f t="shared" si="34"/>
        <v>0</v>
      </c>
      <c r="Q1349" s="233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3">
        <f t="shared" si="34"/>
        <v>0</v>
      </c>
      <c r="Q1350" s="233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3">
        <f t="shared" si="34"/>
        <v>0</v>
      </c>
      <c r="Q1351" s="233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3">
        <f t="shared" si="34"/>
        <v>0</v>
      </c>
      <c r="Q1352" s="233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3">
        <f t="shared" si="34"/>
        <v>0</v>
      </c>
      <c r="Q1353" s="233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3">
        <f t="shared" si="34"/>
        <v>0</v>
      </c>
      <c r="Q1354" s="233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3">
        <f t="shared" si="34"/>
        <v>0</v>
      </c>
      <c r="Q1355" s="233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3">
        <f t="shared" si="34"/>
        <v>0</v>
      </c>
      <c r="Q1356" s="233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3">
        <f t="shared" si="34"/>
        <v>0</v>
      </c>
      <c r="Q1357" s="233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3">
        <f t="shared" si="34"/>
        <v>0</v>
      </c>
      <c r="Q1358" s="233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3">
        <f t="shared" si="34"/>
        <v>0</v>
      </c>
      <c r="Q1359" s="233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3">
        <f t="shared" si="34"/>
        <v>0</v>
      </c>
      <c r="Q1360" s="233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3">
        <f t="shared" si="34"/>
        <v>0</v>
      </c>
      <c r="Q1361" s="233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3">
        <f t="shared" si="34"/>
        <v>0</v>
      </c>
      <c r="Q1362" s="233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3">
        <f t="shared" si="34"/>
        <v>0</v>
      </c>
      <c r="Q1363" s="233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3">
        <f t="shared" si="34"/>
        <v>0</v>
      </c>
      <c r="Q1364" s="233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3">
        <f t="shared" si="34"/>
        <v>0</v>
      </c>
      <c r="Q1365" s="233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3">
        <f t="shared" si="34"/>
        <v>0</v>
      </c>
      <c r="Q1366" s="233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3">
        <f t="shared" si="34"/>
        <v>0</v>
      </c>
      <c r="Q1367" s="233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3">
        <f t="shared" si="34"/>
        <v>0</v>
      </c>
      <c r="Q1368" s="233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3">
        <f t="shared" si="34"/>
        <v>0</v>
      </c>
      <c r="Q1369" s="233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3">
        <f t="shared" si="34"/>
        <v>0</v>
      </c>
      <c r="Q1370" s="233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3">
        <f t="shared" ref="P1371:P1434" si="35">IF(ISNUMBER(Q1371),Q1371,0)</f>
        <v>0</v>
      </c>
      <c r="Q1371" s="233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3">
        <f t="shared" si="35"/>
        <v>0</v>
      </c>
      <c r="Q1372" s="233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3">
        <f t="shared" si="35"/>
        <v>0</v>
      </c>
      <c r="Q1373" s="233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3">
        <f t="shared" si="35"/>
        <v>0</v>
      </c>
      <c r="Q1374" s="233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3">
        <f t="shared" si="35"/>
        <v>0</v>
      </c>
      <c r="Q1375" s="233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3">
        <f t="shared" si="35"/>
        <v>0</v>
      </c>
      <c r="Q1376" s="233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3">
        <f t="shared" si="35"/>
        <v>0</v>
      </c>
      <c r="Q1377" s="233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3">
        <f t="shared" si="35"/>
        <v>0</v>
      </c>
      <c r="Q1378" s="233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3">
        <f t="shared" si="35"/>
        <v>0</v>
      </c>
      <c r="Q1379" s="233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3">
        <f t="shared" si="35"/>
        <v>0</v>
      </c>
      <c r="Q1380" s="233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3">
        <f t="shared" si="35"/>
        <v>0</v>
      </c>
      <c r="Q1381" s="233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3">
        <f t="shared" si="35"/>
        <v>0</v>
      </c>
      <c r="Q1382" s="233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3">
        <f t="shared" si="35"/>
        <v>0</v>
      </c>
      <c r="Q1383" s="233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3">
        <f t="shared" si="35"/>
        <v>0</v>
      </c>
      <c r="Q1384" s="233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3">
        <f t="shared" si="35"/>
        <v>0</v>
      </c>
      <c r="Q1385" s="233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3">
        <f t="shared" si="35"/>
        <v>0</v>
      </c>
      <c r="Q1386" s="233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3">
        <f t="shared" si="35"/>
        <v>0</v>
      </c>
      <c r="Q1387" s="233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3">
        <f t="shared" si="35"/>
        <v>0</v>
      </c>
      <c r="Q1388" s="233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3">
        <f t="shared" si="35"/>
        <v>0</v>
      </c>
      <c r="Q1389" s="233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3">
        <f t="shared" si="35"/>
        <v>0</v>
      </c>
      <c r="Q1390" s="233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3">
        <f t="shared" si="35"/>
        <v>0</v>
      </c>
      <c r="Q1391" s="233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3">
        <f t="shared" si="35"/>
        <v>0</v>
      </c>
      <c r="Q1392" s="233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3">
        <f t="shared" si="35"/>
        <v>0</v>
      </c>
      <c r="Q1393" s="233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3">
        <f t="shared" si="35"/>
        <v>0</v>
      </c>
      <c r="Q1394" s="233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3">
        <f t="shared" si="35"/>
        <v>0</v>
      </c>
      <c r="Q1395" s="233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3">
        <f t="shared" si="35"/>
        <v>0</v>
      </c>
      <c r="Q1396" s="233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3">
        <f t="shared" si="35"/>
        <v>0</v>
      </c>
      <c r="Q1397" s="233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3">
        <f t="shared" si="35"/>
        <v>0</v>
      </c>
      <c r="Q1398" s="233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3">
        <f t="shared" si="35"/>
        <v>0</v>
      </c>
      <c r="Q1399" s="233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3">
        <f t="shared" si="35"/>
        <v>0</v>
      </c>
      <c r="Q1400" s="233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3">
        <f t="shared" si="35"/>
        <v>0</v>
      </c>
      <c r="Q1401" s="233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3">
        <f t="shared" si="35"/>
        <v>0</v>
      </c>
      <c r="Q1402" s="233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3">
        <f t="shared" si="35"/>
        <v>0</v>
      </c>
      <c r="Q1403" s="233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3">
        <f t="shared" si="35"/>
        <v>0</v>
      </c>
      <c r="Q1404" s="233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3">
        <f t="shared" si="35"/>
        <v>0</v>
      </c>
      <c r="Q1405" s="233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3">
        <f t="shared" si="35"/>
        <v>0</v>
      </c>
      <c r="Q1406" s="233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3">
        <f t="shared" si="35"/>
        <v>0</v>
      </c>
      <c r="Q1407" s="233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3">
        <f t="shared" si="35"/>
        <v>0</v>
      </c>
      <c r="Q1408" s="233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3">
        <f t="shared" si="35"/>
        <v>0</v>
      </c>
      <c r="Q1409" s="233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3">
        <f t="shared" si="35"/>
        <v>0</v>
      </c>
      <c r="Q1410" s="233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3">
        <f t="shared" si="35"/>
        <v>0</v>
      </c>
      <c r="Q1411" s="233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3">
        <f t="shared" si="35"/>
        <v>0</v>
      </c>
      <c r="Q1412" s="233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3">
        <f t="shared" si="35"/>
        <v>0</v>
      </c>
      <c r="Q1413" s="233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3">
        <f t="shared" si="35"/>
        <v>0</v>
      </c>
      <c r="Q1414" s="233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3">
        <f t="shared" si="35"/>
        <v>0</v>
      </c>
      <c r="Q1415" s="233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3">
        <f t="shared" si="35"/>
        <v>0</v>
      </c>
      <c r="Q1416" s="233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3">
        <f t="shared" si="35"/>
        <v>0</v>
      </c>
      <c r="Q1417" s="233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3">
        <f t="shared" si="35"/>
        <v>0</v>
      </c>
      <c r="Q1418" s="233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3">
        <f t="shared" si="35"/>
        <v>0</v>
      </c>
      <c r="Q1419" s="233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3">
        <f t="shared" si="35"/>
        <v>0</v>
      </c>
      <c r="Q1420" s="233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3">
        <f t="shared" si="35"/>
        <v>0</v>
      </c>
      <c r="Q1421" s="233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3">
        <f t="shared" si="35"/>
        <v>0</v>
      </c>
      <c r="Q1422" s="233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3">
        <f t="shared" si="35"/>
        <v>0</v>
      </c>
      <c r="Q1423" s="233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3">
        <f t="shared" si="35"/>
        <v>0</v>
      </c>
      <c r="Q1424" s="233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3">
        <f t="shared" si="35"/>
        <v>0</v>
      </c>
      <c r="Q1425" s="233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3">
        <f t="shared" si="35"/>
        <v>0</v>
      </c>
      <c r="Q1426" s="233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3">
        <f t="shared" si="35"/>
        <v>0</v>
      </c>
      <c r="Q1427" s="233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3">
        <f t="shared" si="35"/>
        <v>0</v>
      </c>
      <c r="Q1428" s="233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3">
        <f t="shared" si="35"/>
        <v>0</v>
      </c>
      <c r="Q1429" s="233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3">
        <f t="shared" si="35"/>
        <v>0</v>
      </c>
      <c r="Q1430" s="233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3">
        <f t="shared" si="35"/>
        <v>0</v>
      </c>
      <c r="Q1431" s="233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3">
        <f t="shared" si="35"/>
        <v>0</v>
      </c>
      <c r="Q1432" s="233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3">
        <f t="shared" si="35"/>
        <v>0</v>
      </c>
      <c r="Q1433" s="233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3">
        <f t="shared" si="35"/>
        <v>0</v>
      </c>
      <c r="Q1434" s="233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3">
        <f t="shared" ref="P1435:P1498" si="36">IF(ISNUMBER(Q1435),Q1435,0)</f>
        <v>0</v>
      </c>
      <c r="Q1435" s="233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3">
        <f t="shared" si="36"/>
        <v>0</v>
      </c>
      <c r="Q1436" s="233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3">
        <f t="shared" si="36"/>
        <v>0</v>
      </c>
      <c r="Q1437" s="233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3">
        <f t="shared" si="36"/>
        <v>0</v>
      </c>
      <c r="Q1438" s="233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3">
        <f t="shared" si="36"/>
        <v>0</v>
      </c>
      <c r="Q1439" s="233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3">
        <f t="shared" si="36"/>
        <v>0</v>
      </c>
      <c r="Q1440" s="233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3">
        <f t="shared" si="36"/>
        <v>0</v>
      </c>
      <c r="Q1441" s="233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3">
        <f t="shared" si="36"/>
        <v>0</v>
      </c>
      <c r="Q1442" s="233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3">
        <f t="shared" si="36"/>
        <v>0</v>
      </c>
      <c r="Q1443" s="233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3">
        <f t="shared" si="36"/>
        <v>0</v>
      </c>
      <c r="Q1444" s="233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3">
        <f t="shared" si="36"/>
        <v>0</v>
      </c>
      <c r="Q1445" s="233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3">
        <f t="shared" si="36"/>
        <v>0</v>
      </c>
      <c r="Q1446" s="233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3">
        <f t="shared" si="36"/>
        <v>0</v>
      </c>
      <c r="Q1447" s="233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3">
        <f t="shared" si="36"/>
        <v>0</v>
      </c>
      <c r="Q1448" s="233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3">
        <f t="shared" si="36"/>
        <v>0</v>
      </c>
      <c r="Q1449" s="233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3">
        <f t="shared" si="36"/>
        <v>0</v>
      </c>
      <c r="Q1450" s="233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3">
        <f t="shared" si="36"/>
        <v>0</v>
      </c>
      <c r="Q1451" s="233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3">
        <f t="shared" si="36"/>
        <v>0</v>
      </c>
      <c r="Q1452" s="233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3">
        <f t="shared" si="36"/>
        <v>0</v>
      </c>
      <c r="Q1453" s="233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3">
        <f t="shared" si="36"/>
        <v>0</v>
      </c>
      <c r="Q1454" s="233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3">
        <f t="shared" si="36"/>
        <v>0</v>
      </c>
      <c r="Q1455" s="233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3">
        <f t="shared" si="36"/>
        <v>0</v>
      </c>
      <c r="Q1456" s="233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3">
        <f t="shared" si="36"/>
        <v>0</v>
      </c>
      <c r="Q1457" s="233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3">
        <f t="shared" si="36"/>
        <v>0</v>
      </c>
      <c r="Q1458" s="233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3">
        <f t="shared" si="36"/>
        <v>0</v>
      </c>
      <c r="Q1459" s="233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3">
        <f t="shared" si="36"/>
        <v>0</v>
      </c>
      <c r="Q1460" s="233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3">
        <f t="shared" si="36"/>
        <v>0</v>
      </c>
      <c r="Q1461" s="233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3">
        <f t="shared" si="36"/>
        <v>0</v>
      </c>
      <c r="Q1462" s="233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3">
        <f t="shared" si="36"/>
        <v>0</v>
      </c>
      <c r="Q1463" s="233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3">
        <f t="shared" si="36"/>
        <v>0</v>
      </c>
      <c r="Q1464" s="233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3">
        <f t="shared" si="36"/>
        <v>0</v>
      </c>
      <c r="Q1465" s="233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3">
        <f t="shared" si="36"/>
        <v>0</v>
      </c>
      <c r="Q1466" s="233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3">
        <f t="shared" si="36"/>
        <v>0</v>
      </c>
      <c r="Q1467" s="233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3">
        <f t="shared" si="36"/>
        <v>0</v>
      </c>
      <c r="Q1468" s="233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3">
        <f t="shared" si="36"/>
        <v>0</v>
      </c>
      <c r="Q1469" s="233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3">
        <f t="shared" si="36"/>
        <v>0</v>
      </c>
      <c r="Q1470" s="233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3">
        <f t="shared" si="36"/>
        <v>0</v>
      </c>
      <c r="Q1471" s="233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3">
        <f t="shared" si="36"/>
        <v>0</v>
      </c>
      <c r="Q1472" s="233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3">
        <f t="shared" si="36"/>
        <v>0</v>
      </c>
      <c r="Q1473" s="233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3">
        <f t="shared" si="36"/>
        <v>0</v>
      </c>
      <c r="Q1474" s="233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3">
        <f t="shared" si="36"/>
        <v>0</v>
      </c>
      <c r="Q1475" s="233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3">
        <f t="shared" si="36"/>
        <v>0</v>
      </c>
      <c r="Q1476" s="233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3">
        <f t="shared" si="36"/>
        <v>0</v>
      </c>
      <c r="Q1477" s="233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3">
        <f t="shared" si="36"/>
        <v>0</v>
      </c>
      <c r="Q1478" s="233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3">
        <f t="shared" si="36"/>
        <v>0</v>
      </c>
      <c r="Q1479" s="233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3">
        <f t="shared" si="36"/>
        <v>0</v>
      </c>
      <c r="Q1480" s="233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3">
        <f t="shared" si="36"/>
        <v>0</v>
      </c>
      <c r="Q1481" s="233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3">
        <f t="shared" si="36"/>
        <v>0</v>
      </c>
      <c r="Q1482" s="233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3">
        <f t="shared" si="36"/>
        <v>0</v>
      </c>
      <c r="Q1483" s="233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3">
        <f t="shared" si="36"/>
        <v>0</v>
      </c>
      <c r="Q1484" s="233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3">
        <f t="shared" si="36"/>
        <v>0</v>
      </c>
      <c r="Q1485" s="233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3">
        <f t="shared" si="36"/>
        <v>0</v>
      </c>
      <c r="Q1486" s="233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3">
        <f t="shared" si="36"/>
        <v>0</v>
      </c>
      <c r="Q1487" s="233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3">
        <f t="shared" si="36"/>
        <v>0</v>
      </c>
      <c r="Q1488" s="233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3">
        <f t="shared" si="36"/>
        <v>0</v>
      </c>
      <c r="Q1489" s="233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3">
        <f t="shared" si="36"/>
        <v>0</v>
      </c>
      <c r="Q1490" s="233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3">
        <f t="shared" si="36"/>
        <v>0</v>
      </c>
      <c r="Q1491" s="233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3">
        <f t="shared" si="36"/>
        <v>0</v>
      </c>
      <c r="Q1492" s="233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3">
        <f t="shared" si="36"/>
        <v>0</v>
      </c>
      <c r="Q1493" s="233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3">
        <f t="shared" si="36"/>
        <v>0</v>
      </c>
      <c r="Q1494" s="233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3">
        <f t="shared" si="36"/>
        <v>0</v>
      </c>
      <c r="Q1495" s="233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3">
        <f t="shared" si="36"/>
        <v>0</v>
      </c>
      <c r="Q1496" s="233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3">
        <f t="shared" si="36"/>
        <v>0</v>
      </c>
      <c r="Q1497" s="233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3">
        <f t="shared" si="36"/>
        <v>0</v>
      </c>
      <c r="Q1498" s="233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3">
        <f t="shared" ref="P1499:P1562" si="37">IF(ISNUMBER(Q1499),Q1499,0)</f>
        <v>0</v>
      </c>
      <c r="Q1499" s="233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3">
        <f t="shared" si="37"/>
        <v>0</v>
      </c>
      <c r="Q1500" s="233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3">
        <f t="shared" si="37"/>
        <v>0</v>
      </c>
      <c r="Q1501" s="233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3">
        <f t="shared" si="37"/>
        <v>0</v>
      </c>
      <c r="Q1502" s="233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3">
        <f t="shared" si="37"/>
        <v>0</v>
      </c>
      <c r="Q1503" s="233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3">
        <f t="shared" si="37"/>
        <v>0</v>
      </c>
      <c r="Q1504" s="233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3">
        <f t="shared" si="37"/>
        <v>0</v>
      </c>
      <c r="Q1505" s="233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3">
        <f t="shared" si="37"/>
        <v>0</v>
      </c>
      <c r="Q1506" s="233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3">
        <f t="shared" si="37"/>
        <v>0</v>
      </c>
      <c r="Q1507" s="233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3">
        <f t="shared" si="37"/>
        <v>0</v>
      </c>
      <c r="Q1508" s="233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3">
        <f t="shared" si="37"/>
        <v>0</v>
      </c>
      <c r="Q1509" s="233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3">
        <f t="shared" si="37"/>
        <v>0</v>
      </c>
      <c r="Q1510" s="233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3">
        <f t="shared" si="37"/>
        <v>0</v>
      </c>
      <c r="Q1511" s="233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3">
        <f t="shared" si="37"/>
        <v>0</v>
      </c>
      <c r="Q1512" s="233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3">
        <f t="shared" si="37"/>
        <v>0</v>
      </c>
      <c r="Q1513" s="233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3">
        <f t="shared" si="37"/>
        <v>0</v>
      </c>
      <c r="Q1514" s="233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3">
        <f t="shared" si="37"/>
        <v>0</v>
      </c>
      <c r="Q1515" s="233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3">
        <f t="shared" si="37"/>
        <v>0</v>
      </c>
      <c r="Q1516" s="233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3">
        <f t="shared" si="37"/>
        <v>0</v>
      </c>
      <c r="Q1517" s="233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3">
        <f t="shared" si="37"/>
        <v>0</v>
      </c>
      <c r="Q1518" s="233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3">
        <f t="shared" si="37"/>
        <v>0</v>
      </c>
      <c r="Q1519" s="233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3">
        <f t="shared" si="37"/>
        <v>0</v>
      </c>
      <c r="Q1520" s="233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3">
        <f t="shared" si="37"/>
        <v>0</v>
      </c>
      <c r="Q1521" s="233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3">
        <f t="shared" si="37"/>
        <v>0</v>
      </c>
      <c r="Q1522" s="233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3">
        <f t="shared" si="37"/>
        <v>0</v>
      </c>
      <c r="Q1523" s="233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3">
        <f t="shared" si="37"/>
        <v>0</v>
      </c>
      <c r="Q1524" s="233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3">
        <f t="shared" si="37"/>
        <v>0</v>
      </c>
      <c r="Q1525" s="233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3">
        <f t="shared" si="37"/>
        <v>0</v>
      </c>
      <c r="Q1526" s="233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3">
        <f t="shared" si="37"/>
        <v>0</v>
      </c>
      <c r="Q1527" s="233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3">
        <f t="shared" si="37"/>
        <v>0</v>
      </c>
      <c r="Q1528" s="233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3">
        <f t="shared" si="37"/>
        <v>0</v>
      </c>
      <c r="Q1529" s="233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3">
        <f t="shared" si="37"/>
        <v>0</v>
      </c>
      <c r="Q1530" s="233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3">
        <f t="shared" si="37"/>
        <v>0</v>
      </c>
      <c r="Q1531" s="233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3">
        <f t="shared" si="37"/>
        <v>0</v>
      </c>
      <c r="Q1532" s="233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3">
        <f t="shared" si="37"/>
        <v>0</v>
      </c>
      <c r="Q1533" s="233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3">
        <f t="shared" si="37"/>
        <v>0</v>
      </c>
      <c r="Q1534" s="233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3">
        <f t="shared" si="37"/>
        <v>0</v>
      </c>
      <c r="Q1535" s="233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3">
        <f t="shared" si="37"/>
        <v>0</v>
      </c>
      <c r="Q1536" s="233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3">
        <f t="shared" si="37"/>
        <v>0</v>
      </c>
      <c r="Q1537" s="233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3">
        <f t="shared" si="37"/>
        <v>0</v>
      </c>
      <c r="Q1538" s="233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3">
        <f t="shared" si="37"/>
        <v>0</v>
      </c>
      <c r="Q1539" s="233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3">
        <f t="shared" si="37"/>
        <v>0</v>
      </c>
      <c r="Q1540" s="233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3">
        <f t="shared" si="37"/>
        <v>0</v>
      </c>
      <c r="Q1541" s="233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3">
        <f t="shared" si="37"/>
        <v>0</v>
      </c>
      <c r="Q1542" s="233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3">
        <f t="shared" si="37"/>
        <v>0</v>
      </c>
      <c r="Q1543" s="233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3">
        <f t="shared" si="37"/>
        <v>0</v>
      </c>
      <c r="Q1544" s="233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3">
        <f t="shared" si="37"/>
        <v>0</v>
      </c>
      <c r="Q1545" s="233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3">
        <f t="shared" si="37"/>
        <v>0</v>
      </c>
      <c r="Q1546" s="233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3">
        <f t="shared" si="37"/>
        <v>0</v>
      </c>
      <c r="Q1547" s="233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3">
        <f t="shared" si="37"/>
        <v>0</v>
      </c>
      <c r="Q1548" s="233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3">
        <f t="shared" si="37"/>
        <v>0</v>
      </c>
      <c r="Q1549" s="233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3">
        <f t="shared" si="37"/>
        <v>0</v>
      </c>
      <c r="Q1550" s="233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3">
        <f t="shared" si="37"/>
        <v>0</v>
      </c>
      <c r="Q1551" s="233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3">
        <f t="shared" si="37"/>
        <v>0</v>
      </c>
      <c r="Q1552" s="233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3">
        <f t="shared" si="37"/>
        <v>0</v>
      </c>
      <c r="Q1553" s="233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3">
        <f t="shared" si="37"/>
        <v>0</v>
      </c>
      <c r="Q1554" s="233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3">
        <f t="shared" si="37"/>
        <v>0</v>
      </c>
      <c r="Q1555" s="233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3">
        <f t="shared" si="37"/>
        <v>0</v>
      </c>
      <c r="Q1556" s="233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3">
        <f t="shared" si="37"/>
        <v>0</v>
      </c>
      <c r="Q1557" s="233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3">
        <f t="shared" si="37"/>
        <v>0</v>
      </c>
      <c r="Q1558" s="233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3">
        <f t="shared" si="37"/>
        <v>0</v>
      </c>
      <c r="Q1559" s="233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3">
        <f t="shared" si="37"/>
        <v>0</v>
      </c>
      <c r="Q1560" s="233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3">
        <f t="shared" si="37"/>
        <v>0</v>
      </c>
      <c r="Q1561" s="233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3">
        <f t="shared" si="37"/>
        <v>0</v>
      </c>
      <c r="Q1562" s="233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3">
        <f t="shared" ref="P1563:P1626" si="38">IF(ISNUMBER(Q1563),Q1563,0)</f>
        <v>0</v>
      </c>
      <c r="Q1563" s="233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3">
        <f t="shared" si="38"/>
        <v>0</v>
      </c>
      <c r="Q1564" s="233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3">
        <f t="shared" si="38"/>
        <v>0</v>
      </c>
      <c r="Q1565" s="233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3">
        <f t="shared" si="38"/>
        <v>0</v>
      </c>
      <c r="Q1566" s="233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3">
        <f t="shared" si="38"/>
        <v>0</v>
      </c>
      <c r="Q1567" s="233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3">
        <f t="shared" si="38"/>
        <v>0</v>
      </c>
      <c r="Q1568" s="233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3">
        <f t="shared" si="38"/>
        <v>0</v>
      </c>
      <c r="Q1569" s="233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3">
        <f t="shared" si="38"/>
        <v>0</v>
      </c>
      <c r="Q1570" s="233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3">
        <f t="shared" si="38"/>
        <v>0</v>
      </c>
      <c r="Q1571" s="233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3">
        <f t="shared" si="38"/>
        <v>0</v>
      </c>
      <c r="Q1572" s="233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3">
        <f t="shared" si="38"/>
        <v>0</v>
      </c>
      <c r="Q1573" s="233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3">
        <f t="shared" si="38"/>
        <v>0</v>
      </c>
      <c r="Q1574" s="233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3">
        <f t="shared" si="38"/>
        <v>0</v>
      </c>
      <c r="Q1575" s="233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3">
        <f t="shared" si="38"/>
        <v>0</v>
      </c>
      <c r="Q1576" s="233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3">
        <f t="shared" si="38"/>
        <v>0</v>
      </c>
      <c r="Q1577" s="233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3">
        <f t="shared" si="38"/>
        <v>0</v>
      </c>
      <c r="Q1578" s="233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3">
        <f t="shared" si="38"/>
        <v>0</v>
      </c>
      <c r="Q1579" s="233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3">
        <f t="shared" si="38"/>
        <v>0</v>
      </c>
      <c r="Q1580" s="233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3">
        <f t="shared" si="38"/>
        <v>0</v>
      </c>
      <c r="Q1581" s="233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3">
        <f t="shared" si="38"/>
        <v>0</v>
      </c>
      <c r="Q1582" s="233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3">
        <f t="shared" si="38"/>
        <v>0</v>
      </c>
      <c r="Q1583" s="233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3">
        <f t="shared" si="38"/>
        <v>0</v>
      </c>
      <c r="Q1584" s="233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3">
        <f t="shared" si="38"/>
        <v>0</v>
      </c>
      <c r="Q1585" s="233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3">
        <f t="shared" si="38"/>
        <v>0</v>
      </c>
      <c r="Q1586" s="233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3">
        <f t="shared" si="38"/>
        <v>0</v>
      </c>
      <c r="Q1587" s="233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3">
        <f t="shared" si="38"/>
        <v>0</v>
      </c>
      <c r="Q1588" s="233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3">
        <f t="shared" si="38"/>
        <v>0</v>
      </c>
      <c r="Q1589" s="233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3">
        <f t="shared" si="38"/>
        <v>0</v>
      </c>
      <c r="Q1590" s="233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3">
        <f t="shared" si="38"/>
        <v>0</v>
      </c>
      <c r="Q1591" s="233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3">
        <f t="shared" si="38"/>
        <v>0</v>
      </c>
      <c r="Q1592" s="233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3">
        <f t="shared" si="38"/>
        <v>0</v>
      </c>
      <c r="Q1593" s="233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3">
        <f t="shared" si="38"/>
        <v>0</v>
      </c>
      <c r="Q1594" s="233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3">
        <f t="shared" si="38"/>
        <v>0</v>
      </c>
      <c r="Q1595" s="233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3">
        <f t="shared" si="38"/>
        <v>0</v>
      </c>
      <c r="Q1596" s="233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3">
        <f t="shared" si="38"/>
        <v>0</v>
      </c>
      <c r="Q1597" s="233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3">
        <f t="shared" si="38"/>
        <v>0</v>
      </c>
      <c r="Q1598" s="233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3">
        <f t="shared" si="38"/>
        <v>0</v>
      </c>
      <c r="Q1599" s="233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3">
        <f t="shared" si="38"/>
        <v>0</v>
      </c>
      <c r="Q1600" s="233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3">
        <f t="shared" si="38"/>
        <v>0</v>
      </c>
      <c r="Q1601" s="233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3">
        <f t="shared" si="38"/>
        <v>0</v>
      </c>
      <c r="Q1602" s="233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3">
        <f t="shared" si="38"/>
        <v>0</v>
      </c>
      <c r="Q1603" s="233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3">
        <f t="shared" si="38"/>
        <v>0</v>
      </c>
      <c r="Q1604" s="233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3">
        <f t="shared" si="38"/>
        <v>0</v>
      </c>
      <c r="Q1605" s="233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3">
        <f t="shared" si="38"/>
        <v>0</v>
      </c>
      <c r="Q1606" s="233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3">
        <f t="shared" si="38"/>
        <v>0</v>
      </c>
      <c r="Q1607" s="233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3">
        <f t="shared" si="38"/>
        <v>0</v>
      </c>
      <c r="Q1608" s="233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3">
        <f t="shared" si="38"/>
        <v>0</v>
      </c>
      <c r="Q1609" s="233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3">
        <f t="shared" si="38"/>
        <v>0</v>
      </c>
      <c r="Q1610" s="233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3">
        <f t="shared" si="38"/>
        <v>0</v>
      </c>
      <c r="Q1611" s="233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3">
        <f t="shared" si="38"/>
        <v>0</v>
      </c>
      <c r="Q1612" s="233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3">
        <f t="shared" si="38"/>
        <v>0</v>
      </c>
      <c r="Q1613" s="233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3">
        <f t="shared" si="38"/>
        <v>0</v>
      </c>
      <c r="Q1614" s="233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3">
        <f t="shared" si="38"/>
        <v>0</v>
      </c>
      <c r="Q1615" s="233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3">
        <f t="shared" si="38"/>
        <v>0</v>
      </c>
      <c r="Q1616" s="233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3">
        <f t="shared" si="38"/>
        <v>0</v>
      </c>
      <c r="Q1617" s="233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3">
        <f t="shared" si="38"/>
        <v>0</v>
      </c>
      <c r="Q1618" s="233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3">
        <f t="shared" si="38"/>
        <v>0</v>
      </c>
      <c r="Q1619" s="233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3">
        <f t="shared" si="38"/>
        <v>0</v>
      </c>
      <c r="Q1620" s="233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3">
        <f t="shared" si="38"/>
        <v>0</v>
      </c>
      <c r="Q1621" s="233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3">
        <f t="shared" si="38"/>
        <v>0</v>
      </c>
      <c r="Q1622" s="233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3">
        <f t="shared" si="38"/>
        <v>0</v>
      </c>
      <c r="Q1623" s="233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3">
        <f t="shared" si="38"/>
        <v>0</v>
      </c>
      <c r="Q1624" s="233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3">
        <f t="shared" si="38"/>
        <v>0</v>
      </c>
      <c r="Q1625" s="233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3">
        <f t="shared" si="38"/>
        <v>0</v>
      </c>
      <c r="Q1626" s="233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3">
        <f t="shared" ref="P1627:P1690" si="39">IF(ISNUMBER(Q1627),Q1627,0)</f>
        <v>0</v>
      </c>
      <c r="Q1627" s="233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3">
        <f t="shared" si="39"/>
        <v>0</v>
      </c>
      <c r="Q1628" s="233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3">
        <f t="shared" si="39"/>
        <v>0</v>
      </c>
      <c r="Q1629" s="233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3">
        <f t="shared" si="39"/>
        <v>0</v>
      </c>
      <c r="Q1630" s="233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3">
        <f t="shared" si="39"/>
        <v>0</v>
      </c>
      <c r="Q1631" s="233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3">
        <f t="shared" si="39"/>
        <v>0</v>
      </c>
      <c r="Q1632" s="233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3">
        <f t="shared" si="39"/>
        <v>0</v>
      </c>
      <c r="Q1633" s="233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3">
        <f t="shared" si="39"/>
        <v>0</v>
      </c>
      <c r="Q1634" s="233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3">
        <f t="shared" si="39"/>
        <v>0</v>
      </c>
      <c r="Q1635" s="233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3">
        <f t="shared" si="39"/>
        <v>0</v>
      </c>
      <c r="Q1636" s="233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3">
        <f t="shared" si="39"/>
        <v>0</v>
      </c>
      <c r="Q1637" s="233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3">
        <f t="shared" si="39"/>
        <v>0</v>
      </c>
      <c r="Q1638" s="233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3">
        <f t="shared" si="39"/>
        <v>0</v>
      </c>
      <c r="Q1639" s="233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3">
        <f t="shared" si="39"/>
        <v>0</v>
      </c>
      <c r="Q1640" s="233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3">
        <f t="shared" si="39"/>
        <v>0</v>
      </c>
      <c r="Q1641" s="233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3">
        <f t="shared" si="39"/>
        <v>0</v>
      </c>
      <c r="Q1642" s="233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3">
        <f t="shared" si="39"/>
        <v>0</v>
      </c>
      <c r="Q1643" s="233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3">
        <f t="shared" si="39"/>
        <v>0</v>
      </c>
      <c r="Q1644" s="233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3">
        <f t="shared" si="39"/>
        <v>0</v>
      </c>
      <c r="Q1645" s="233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3">
        <f t="shared" si="39"/>
        <v>0</v>
      </c>
      <c r="Q1646" s="233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3">
        <f t="shared" si="39"/>
        <v>0</v>
      </c>
      <c r="Q1647" s="233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3">
        <f t="shared" si="39"/>
        <v>0</v>
      </c>
      <c r="Q1648" s="233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3">
        <f t="shared" si="39"/>
        <v>0</v>
      </c>
      <c r="Q1649" s="233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3">
        <f t="shared" si="39"/>
        <v>0</v>
      </c>
      <c r="Q1650" s="233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3">
        <f t="shared" si="39"/>
        <v>0</v>
      </c>
      <c r="Q1651" s="233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3">
        <f t="shared" si="39"/>
        <v>0</v>
      </c>
      <c r="Q1652" s="233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3">
        <f t="shared" si="39"/>
        <v>0</v>
      </c>
      <c r="Q1653" s="233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3">
        <f t="shared" si="39"/>
        <v>0</v>
      </c>
      <c r="Q1654" s="233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3">
        <f t="shared" si="39"/>
        <v>0</v>
      </c>
      <c r="Q1655" s="233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3">
        <f t="shared" si="39"/>
        <v>0</v>
      </c>
      <c r="Q1656" s="233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3">
        <f t="shared" si="39"/>
        <v>0</v>
      </c>
      <c r="Q1657" s="233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3">
        <f t="shared" si="39"/>
        <v>0</v>
      </c>
      <c r="Q1658" s="233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3">
        <f t="shared" si="39"/>
        <v>0</v>
      </c>
      <c r="Q1659" s="233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3">
        <f t="shared" si="39"/>
        <v>0</v>
      </c>
      <c r="Q1660" s="233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3">
        <f t="shared" si="39"/>
        <v>0</v>
      </c>
      <c r="Q1661" s="233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3">
        <f t="shared" si="39"/>
        <v>0</v>
      </c>
      <c r="Q1662" s="233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3">
        <f t="shared" si="39"/>
        <v>0</v>
      </c>
      <c r="Q1663" s="233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3">
        <f t="shared" si="39"/>
        <v>0</v>
      </c>
      <c r="Q1664" s="233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3">
        <f t="shared" si="39"/>
        <v>0</v>
      </c>
      <c r="Q1665" s="233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3">
        <f t="shared" si="39"/>
        <v>0</v>
      </c>
      <c r="Q1666" s="233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3">
        <f t="shared" si="39"/>
        <v>0</v>
      </c>
      <c r="Q1667" s="233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3">
        <f t="shared" si="39"/>
        <v>0</v>
      </c>
      <c r="Q1668" s="233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3">
        <f t="shared" si="39"/>
        <v>0</v>
      </c>
      <c r="Q1669" s="233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3">
        <f t="shared" si="39"/>
        <v>0</v>
      </c>
      <c r="Q1670" s="233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3">
        <f t="shared" si="39"/>
        <v>0</v>
      </c>
      <c r="Q1671" s="233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3">
        <f t="shared" si="39"/>
        <v>0</v>
      </c>
      <c r="Q1672" s="233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3">
        <f t="shared" si="39"/>
        <v>0</v>
      </c>
      <c r="Q1673" s="233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3">
        <f t="shared" si="39"/>
        <v>0</v>
      </c>
      <c r="Q1674" s="233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3">
        <f t="shared" si="39"/>
        <v>0</v>
      </c>
      <c r="Q1675" s="233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3">
        <f t="shared" si="39"/>
        <v>0</v>
      </c>
      <c r="Q1676" s="233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3">
        <f t="shared" si="39"/>
        <v>0</v>
      </c>
      <c r="Q1677" s="233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3">
        <f t="shared" si="39"/>
        <v>0</v>
      </c>
      <c r="Q1678" s="233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3">
        <f t="shared" si="39"/>
        <v>0</v>
      </c>
      <c r="Q1679" s="233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3">
        <f t="shared" si="39"/>
        <v>0</v>
      </c>
      <c r="Q1680" s="233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3">
        <f t="shared" si="39"/>
        <v>0</v>
      </c>
      <c r="Q1681" s="233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3">
        <f t="shared" si="39"/>
        <v>0</v>
      </c>
      <c r="Q1682" s="233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3">
        <f t="shared" si="39"/>
        <v>0</v>
      </c>
      <c r="Q1683" s="233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3">
        <f t="shared" si="39"/>
        <v>0</v>
      </c>
      <c r="Q1684" s="233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3">
        <f t="shared" si="39"/>
        <v>0</v>
      </c>
      <c r="Q1685" s="233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3">
        <f t="shared" si="39"/>
        <v>0</v>
      </c>
      <c r="Q1686" s="233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3">
        <f t="shared" si="39"/>
        <v>0</v>
      </c>
      <c r="Q1687" s="233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3">
        <f t="shared" si="39"/>
        <v>0</v>
      </c>
      <c r="Q1688" s="233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3">
        <f t="shared" si="39"/>
        <v>0</v>
      </c>
      <c r="Q1689" s="233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3">
        <f t="shared" si="39"/>
        <v>0</v>
      </c>
      <c r="Q1690" s="233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3">
        <f t="shared" ref="P1691:P1745" si="40">IF(ISNUMBER(Q1691),Q1691,0)</f>
        <v>0</v>
      </c>
      <c r="Q1691" s="233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3">
        <f t="shared" si="40"/>
        <v>0</v>
      </c>
      <c r="Q1692" s="233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3">
        <f t="shared" si="40"/>
        <v>0</v>
      </c>
      <c r="Q1693" s="233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3">
        <f t="shared" si="40"/>
        <v>0</v>
      </c>
      <c r="Q1694" s="233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3">
        <f t="shared" si="40"/>
        <v>0</v>
      </c>
      <c r="Q1695" s="233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3">
        <f t="shared" si="40"/>
        <v>0</v>
      </c>
      <c r="Q1696" s="233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3">
        <f t="shared" si="40"/>
        <v>0</v>
      </c>
      <c r="Q1697" s="233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3">
        <f t="shared" si="40"/>
        <v>0</v>
      </c>
      <c r="Q1698" s="233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3">
        <f t="shared" si="40"/>
        <v>0</v>
      </c>
      <c r="Q1699" s="233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3">
        <f t="shared" si="40"/>
        <v>0</v>
      </c>
      <c r="Q1700" s="233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3">
        <f t="shared" si="40"/>
        <v>0</v>
      </c>
      <c r="Q1701" s="233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3">
        <f t="shared" si="40"/>
        <v>0</v>
      </c>
      <c r="Q1702" s="233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3">
        <f t="shared" si="40"/>
        <v>0</v>
      </c>
      <c r="Q1703" s="233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3">
        <f t="shared" si="40"/>
        <v>0</v>
      </c>
      <c r="Q1704" s="233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3">
        <f t="shared" si="40"/>
        <v>0</v>
      </c>
      <c r="Q1705" s="233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3">
        <f t="shared" si="40"/>
        <v>0</v>
      </c>
      <c r="Q1706" s="233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3">
        <f t="shared" si="40"/>
        <v>0</v>
      </c>
      <c r="Q1707" s="233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3">
        <f t="shared" si="40"/>
        <v>0</v>
      </c>
      <c r="Q1708" s="233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3">
        <f t="shared" si="40"/>
        <v>0</v>
      </c>
      <c r="Q1709" s="233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3">
        <f t="shared" si="40"/>
        <v>0</v>
      </c>
      <c r="Q1710" s="233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3">
        <f t="shared" si="40"/>
        <v>0</v>
      </c>
      <c r="Q1711" s="233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3">
        <f t="shared" si="40"/>
        <v>0</v>
      </c>
      <c r="Q1712" s="233"/>
    </row>
    <row r="1713" spans="4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3">
        <f t="shared" si="40"/>
        <v>0</v>
      </c>
      <c r="Q1713" s="233"/>
    </row>
    <row r="1714" spans="4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3">
        <f t="shared" si="40"/>
        <v>0</v>
      </c>
      <c r="Q1714" s="233"/>
    </row>
    <row r="1715" spans="4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3">
        <f t="shared" si="40"/>
        <v>0</v>
      </c>
      <c r="Q1715" s="233"/>
    </row>
    <row r="1716" spans="4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3">
        <f t="shared" si="40"/>
        <v>0</v>
      </c>
      <c r="Q1716" s="233"/>
    </row>
    <row r="1717" spans="4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3">
        <f t="shared" si="40"/>
        <v>0</v>
      </c>
      <c r="Q1717" s="233"/>
    </row>
    <row r="1718" spans="4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3">
        <f t="shared" si="40"/>
        <v>0</v>
      </c>
      <c r="Q1718" s="233"/>
    </row>
    <row r="1719" spans="4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3">
        <f t="shared" si="40"/>
        <v>0</v>
      </c>
      <c r="Q1719" s="233"/>
    </row>
    <row r="1720" spans="4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3">
        <f t="shared" si="40"/>
        <v>0</v>
      </c>
      <c r="Q1720" s="233"/>
    </row>
    <row r="1721" spans="4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3">
        <f t="shared" si="40"/>
        <v>0</v>
      </c>
      <c r="Q1721" s="233"/>
    </row>
    <row r="1722" spans="4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3">
        <f t="shared" si="40"/>
        <v>0</v>
      </c>
      <c r="Q1722" s="233"/>
    </row>
    <row r="1723" spans="4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3">
        <f t="shared" si="40"/>
        <v>0</v>
      </c>
      <c r="Q1723" s="233"/>
    </row>
    <row r="1724" spans="4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3">
        <f t="shared" si="40"/>
        <v>0</v>
      </c>
      <c r="Q1724" s="233"/>
    </row>
    <row r="1725" spans="4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3">
        <f t="shared" si="40"/>
        <v>0</v>
      </c>
      <c r="Q1725" s="233"/>
    </row>
    <row r="1726" spans="4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3">
        <f t="shared" si="40"/>
        <v>0</v>
      </c>
      <c r="Q1726" s="233"/>
    </row>
    <row r="1727" spans="4:17" ht="15.75">
      <c r="D1727"/>
      <c r="E1727"/>
      <c r="F1727"/>
      <c r="G1727"/>
      <c r="H1727"/>
      <c r="I1727"/>
      <c r="J1727"/>
      <c r="K1727"/>
      <c r="L1727"/>
      <c r="M1727"/>
      <c r="N1727"/>
      <c r="O1727"/>
      <c r="P1727" s="233">
        <f t="shared" si="40"/>
        <v>0</v>
      </c>
      <c r="Q1727" s="233"/>
    </row>
    <row r="1728" spans="4:17" ht="15.75">
      <c r="D1728"/>
      <c r="E1728"/>
      <c r="F1728"/>
      <c r="G1728"/>
      <c r="H1728"/>
      <c r="I1728"/>
      <c r="J1728"/>
      <c r="K1728"/>
      <c r="L1728"/>
      <c r="M1728"/>
      <c r="N1728"/>
      <c r="O1728"/>
      <c r="P1728" s="233">
        <f t="shared" si="40"/>
        <v>0</v>
      </c>
      <c r="Q1728" s="233"/>
    </row>
    <row r="1729" spans="1:17" ht="15.75">
      <c r="D1729"/>
      <c r="E1729"/>
      <c r="F1729"/>
      <c r="G1729"/>
      <c r="H1729"/>
      <c r="I1729"/>
      <c r="J1729"/>
      <c r="K1729"/>
      <c r="L1729"/>
      <c r="M1729"/>
      <c r="N1729"/>
      <c r="O1729"/>
      <c r="P1729" s="233">
        <f t="shared" si="40"/>
        <v>0</v>
      </c>
      <c r="Q1729" s="233"/>
    </row>
    <row r="1730" spans="1:17" ht="15.75">
      <c r="D1730"/>
      <c r="E1730"/>
      <c r="F1730"/>
      <c r="G1730"/>
      <c r="H1730"/>
      <c r="I1730"/>
      <c r="J1730"/>
      <c r="K1730"/>
      <c r="L1730"/>
      <c r="M1730"/>
      <c r="N1730"/>
      <c r="O1730"/>
      <c r="P1730" s="233">
        <f t="shared" si="40"/>
        <v>0</v>
      </c>
      <c r="Q1730" s="233"/>
    </row>
    <row r="1731" spans="1:17" ht="15.75">
      <c r="D1731"/>
      <c r="E1731"/>
      <c r="F1731"/>
      <c r="G1731"/>
      <c r="H1731"/>
      <c r="I1731"/>
      <c r="J1731"/>
      <c r="K1731"/>
      <c r="L1731"/>
      <c r="M1731"/>
      <c r="N1731"/>
      <c r="O1731"/>
      <c r="P1731" s="233">
        <f t="shared" si="40"/>
        <v>0</v>
      </c>
      <c r="Q1731" s="233"/>
    </row>
    <row r="1732" spans="1:17" ht="15.75">
      <c r="D1732"/>
      <c r="E1732"/>
      <c r="F1732"/>
      <c r="G1732"/>
      <c r="H1732"/>
      <c r="I1732"/>
      <c r="J1732"/>
      <c r="K1732"/>
      <c r="L1732"/>
      <c r="M1732"/>
      <c r="N1732"/>
      <c r="O1732"/>
      <c r="P1732" s="233">
        <f t="shared" si="40"/>
        <v>0</v>
      </c>
      <c r="Q1732" s="233"/>
    </row>
    <row r="1733" spans="1:17" ht="15.75">
      <c r="D1733"/>
      <c r="E1733"/>
      <c r="F1733"/>
      <c r="G1733"/>
      <c r="H1733"/>
      <c r="I1733"/>
      <c r="J1733"/>
      <c r="K1733"/>
      <c r="L1733"/>
      <c r="M1733"/>
      <c r="N1733"/>
      <c r="O1733"/>
      <c r="P1733" s="233">
        <f t="shared" si="40"/>
        <v>0</v>
      </c>
      <c r="Q1733" s="233"/>
    </row>
    <row r="1734" spans="1:17" ht="15.75">
      <c r="D1734"/>
      <c r="E1734"/>
      <c r="F1734"/>
      <c r="G1734"/>
      <c r="H1734"/>
      <c r="I1734"/>
      <c r="J1734"/>
      <c r="K1734"/>
      <c r="L1734"/>
      <c r="M1734"/>
      <c r="N1734"/>
      <c r="O1734"/>
      <c r="P1734" s="233">
        <f t="shared" si="40"/>
        <v>0</v>
      </c>
      <c r="Q1734" s="233"/>
    </row>
    <row r="1735" spans="1:17" ht="15.75">
      <c r="D1735"/>
      <c r="E1735"/>
      <c r="F1735"/>
      <c r="G1735"/>
      <c r="H1735"/>
      <c r="I1735"/>
      <c r="J1735"/>
      <c r="K1735"/>
      <c r="L1735"/>
      <c r="M1735"/>
      <c r="N1735"/>
      <c r="O1735"/>
      <c r="P1735" s="233">
        <f t="shared" si="40"/>
        <v>0</v>
      </c>
      <c r="Q1735" s="233"/>
    </row>
    <row r="1736" spans="1:17" ht="15.75">
      <c r="D1736"/>
      <c r="E1736"/>
      <c r="F1736"/>
      <c r="G1736"/>
      <c r="H1736"/>
      <c r="I1736"/>
      <c r="J1736"/>
      <c r="K1736"/>
      <c r="L1736"/>
      <c r="M1736"/>
      <c r="N1736"/>
      <c r="O1736"/>
      <c r="P1736" s="233">
        <f t="shared" si="40"/>
        <v>0</v>
      </c>
      <c r="Q1736" s="233"/>
    </row>
    <row r="1737" spans="1:17" ht="15.75">
      <c r="D1737"/>
      <c r="E1737"/>
      <c r="F1737"/>
      <c r="G1737"/>
      <c r="H1737"/>
      <c r="I1737"/>
      <c r="J1737"/>
      <c r="K1737"/>
      <c r="L1737"/>
      <c r="M1737"/>
      <c r="N1737"/>
      <c r="O1737"/>
      <c r="P1737" s="233">
        <f t="shared" si="40"/>
        <v>0</v>
      </c>
      <c r="Q1737" s="233"/>
    </row>
    <row r="1738" spans="1:17" ht="15.75">
      <c r="D1738"/>
      <c r="E1738"/>
      <c r="F1738"/>
      <c r="G1738"/>
      <c r="H1738"/>
      <c r="I1738"/>
      <c r="J1738"/>
      <c r="K1738"/>
      <c r="L1738"/>
      <c r="M1738"/>
      <c r="N1738"/>
      <c r="O1738"/>
      <c r="P1738" s="233">
        <f t="shared" si="40"/>
        <v>0</v>
      </c>
      <c r="Q1738" s="233"/>
    </row>
    <row r="1739" spans="1:17" ht="15.75">
      <c r="D1739"/>
      <c r="E1739"/>
      <c r="F1739"/>
      <c r="G1739"/>
      <c r="H1739"/>
      <c r="I1739"/>
      <c r="J1739"/>
      <c r="K1739"/>
      <c r="L1739"/>
      <c r="M1739"/>
      <c r="N1739"/>
      <c r="O1739"/>
      <c r="P1739" s="233">
        <f t="shared" si="40"/>
        <v>0</v>
      </c>
      <c r="Q1739" s="247"/>
    </row>
    <row r="1740" spans="1:17">
      <c r="A1740" s="9" t="s">
        <v>831</v>
      </c>
      <c r="B1740" t="s">
        <v>847</v>
      </c>
      <c r="C1740" s="9" t="s">
        <v>1772</v>
      </c>
      <c r="D1740">
        <v>1</v>
      </c>
      <c r="E1740">
        <v>1</v>
      </c>
      <c r="F1740">
        <v>35</v>
      </c>
      <c r="G1740">
        <v>999</v>
      </c>
      <c r="H1740">
        <v>999</v>
      </c>
      <c r="I1740">
        <v>1</v>
      </c>
      <c r="J1740">
        <v>1</v>
      </c>
      <c r="K1740">
        <v>9</v>
      </c>
      <c r="L1740">
        <v>99</v>
      </c>
      <c r="M1740">
        <v>1</v>
      </c>
      <c r="N1740">
        <v>3</v>
      </c>
      <c r="O1740" s="14">
        <v>99999</v>
      </c>
      <c r="P1740" s="233">
        <f t="shared" si="40"/>
        <v>0</v>
      </c>
      <c r="Q1740" s="233">
        <f>'Rede Básica + Ajuste'!D9</f>
        <v>0</v>
      </c>
    </row>
    <row r="1741" spans="1:17">
      <c r="A1741" s="9" t="s">
        <v>831</v>
      </c>
      <c r="B1741" t="s">
        <v>847</v>
      </c>
      <c r="C1741" s="9" t="s">
        <v>1773</v>
      </c>
      <c r="D1741">
        <v>1</v>
      </c>
      <c r="E1741">
        <v>1</v>
      </c>
      <c r="F1741">
        <v>35</v>
      </c>
      <c r="G1741">
        <v>999</v>
      </c>
      <c r="H1741">
        <v>999</v>
      </c>
      <c r="I1741">
        <v>1</v>
      </c>
      <c r="J1741">
        <v>1</v>
      </c>
      <c r="K1741">
        <v>9</v>
      </c>
      <c r="L1741">
        <v>99</v>
      </c>
      <c r="M1741">
        <v>3</v>
      </c>
      <c r="N1741">
        <v>3</v>
      </c>
      <c r="O1741" s="14">
        <v>99999</v>
      </c>
      <c r="P1741" s="233">
        <f t="shared" si="40"/>
        <v>0</v>
      </c>
      <c r="Q1741" s="233">
        <f>'Rede Básica + Ajuste'!D10</f>
        <v>0</v>
      </c>
    </row>
    <row r="1742" spans="1:17">
      <c r="A1742" s="9" t="s">
        <v>831</v>
      </c>
      <c r="B1742" t="s">
        <v>847</v>
      </c>
      <c r="C1742" s="9" t="s">
        <v>1774</v>
      </c>
      <c r="D1742">
        <v>1</v>
      </c>
      <c r="E1742">
        <v>1</v>
      </c>
      <c r="F1742">
        <v>35</v>
      </c>
      <c r="G1742">
        <v>999</v>
      </c>
      <c r="H1742">
        <v>999</v>
      </c>
      <c r="I1742">
        <v>1</v>
      </c>
      <c r="J1742">
        <v>2</v>
      </c>
      <c r="K1742">
        <v>9</v>
      </c>
      <c r="L1742">
        <v>99</v>
      </c>
      <c r="M1742">
        <v>1</v>
      </c>
      <c r="N1742">
        <v>3</v>
      </c>
      <c r="O1742" s="14">
        <v>99999</v>
      </c>
      <c r="P1742" s="233">
        <f t="shared" si="40"/>
        <v>0</v>
      </c>
      <c r="Q1742" s="233">
        <f>'Rede Básica + Ajuste'!E9</f>
        <v>0</v>
      </c>
    </row>
    <row r="1743" spans="1:17">
      <c r="A1743" s="9" t="s">
        <v>831</v>
      </c>
      <c r="B1743" t="s">
        <v>847</v>
      </c>
      <c r="C1743" s="9" t="s">
        <v>1775</v>
      </c>
      <c r="D1743">
        <v>1</v>
      </c>
      <c r="E1743">
        <v>1</v>
      </c>
      <c r="F1743">
        <v>35</v>
      </c>
      <c r="G1743">
        <v>999</v>
      </c>
      <c r="H1743">
        <v>999</v>
      </c>
      <c r="I1743">
        <v>1</v>
      </c>
      <c r="J1743">
        <v>2</v>
      </c>
      <c r="K1743">
        <v>9</v>
      </c>
      <c r="L1743">
        <v>99</v>
      </c>
      <c r="M1743">
        <v>3</v>
      </c>
      <c r="N1743">
        <v>3</v>
      </c>
      <c r="O1743" s="14">
        <v>99999</v>
      </c>
      <c r="P1743" s="233">
        <f t="shared" si="40"/>
        <v>0</v>
      </c>
      <c r="Q1743" s="233">
        <f>'Rede Básica + Ajuste'!E10</f>
        <v>0</v>
      </c>
    </row>
    <row r="1744" spans="1:17">
      <c r="A1744" s="9" t="s">
        <v>831</v>
      </c>
      <c r="B1744" t="s">
        <v>847</v>
      </c>
      <c r="C1744" s="9" t="s">
        <v>1776</v>
      </c>
      <c r="D1744">
        <v>1</v>
      </c>
      <c r="E1744">
        <v>1</v>
      </c>
      <c r="F1744">
        <v>35</v>
      </c>
      <c r="G1744">
        <v>999</v>
      </c>
      <c r="H1744">
        <v>999</v>
      </c>
      <c r="I1744">
        <v>1</v>
      </c>
      <c r="J1744">
        <v>1</v>
      </c>
      <c r="K1744">
        <v>9</v>
      </c>
      <c r="L1744">
        <v>99</v>
      </c>
      <c r="M1744">
        <v>1</v>
      </c>
      <c r="N1744">
        <v>1</v>
      </c>
      <c r="O1744" s="14">
        <v>99999</v>
      </c>
      <c r="P1744" s="233">
        <f t="shared" si="40"/>
        <v>0</v>
      </c>
      <c r="Q1744" s="233">
        <f>'Rede Básica + Ajuste'!C9</f>
        <v>0</v>
      </c>
    </row>
    <row r="1745" spans="1:17">
      <c r="A1745" s="9" t="s">
        <v>831</v>
      </c>
      <c r="B1745" t="s">
        <v>847</v>
      </c>
      <c r="C1745" s="9" t="s">
        <v>1777</v>
      </c>
      <c r="D1745">
        <v>1</v>
      </c>
      <c r="E1745">
        <v>1</v>
      </c>
      <c r="F1745">
        <v>35</v>
      </c>
      <c r="G1745">
        <v>999</v>
      </c>
      <c r="H1745">
        <v>999</v>
      </c>
      <c r="I1745">
        <v>1</v>
      </c>
      <c r="J1745">
        <v>1</v>
      </c>
      <c r="K1745">
        <v>9</v>
      </c>
      <c r="L1745">
        <v>99</v>
      </c>
      <c r="M1745">
        <v>3</v>
      </c>
      <c r="N1745">
        <v>1</v>
      </c>
      <c r="O1745" s="14">
        <v>99999</v>
      </c>
      <c r="P1745" s="233">
        <f t="shared" si="40"/>
        <v>0</v>
      </c>
      <c r="Q1745" s="233">
        <f>'Rede Básica + Ajuste'!C10</f>
        <v>0</v>
      </c>
    </row>
    <row r="1746" spans="1:17" ht="15.75">
      <c r="D1746"/>
      <c r="E1746"/>
      <c r="F1746"/>
      <c r="G1746"/>
      <c r="H1746"/>
      <c r="I1746"/>
      <c r="J1746"/>
      <c r="K1746"/>
      <c r="L1746"/>
      <c r="M1746"/>
      <c r="N1746"/>
      <c r="O1746"/>
    </row>
    <row r="1747" spans="1:17" ht="15.75">
      <c r="D1747"/>
      <c r="E1747"/>
      <c r="F1747"/>
      <c r="G1747"/>
      <c r="H1747"/>
      <c r="I1747"/>
      <c r="J1747"/>
      <c r="K1747"/>
      <c r="L1747"/>
      <c r="M1747"/>
      <c r="N1747"/>
      <c r="O1747"/>
    </row>
    <row r="1748" spans="1:17" ht="15.75">
      <c r="D1748"/>
      <c r="E1748"/>
      <c r="F1748"/>
      <c r="G1748"/>
      <c r="H1748"/>
      <c r="I1748"/>
      <c r="J1748"/>
      <c r="K1748"/>
      <c r="L1748"/>
      <c r="M1748"/>
      <c r="N1748"/>
      <c r="O1748"/>
    </row>
    <row r="1749" spans="1:17" ht="15.75">
      <c r="D1749"/>
      <c r="E1749"/>
      <c r="F1749"/>
      <c r="G1749"/>
      <c r="H1749"/>
      <c r="I1749"/>
      <c r="J1749"/>
      <c r="K1749"/>
      <c r="L1749"/>
      <c r="M1749"/>
      <c r="N1749"/>
      <c r="O1749"/>
    </row>
    <row r="1750" spans="1:17" ht="15.75">
      <c r="D1750"/>
      <c r="E1750"/>
      <c r="F1750"/>
      <c r="G1750"/>
      <c r="H1750"/>
      <c r="I1750"/>
      <c r="J1750"/>
      <c r="K1750"/>
      <c r="L1750"/>
      <c r="M1750"/>
      <c r="N1750"/>
      <c r="O1750"/>
    </row>
    <row r="1751" spans="1:17" ht="15.75">
      <c r="D1751"/>
      <c r="E1751"/>
      <c r="F1751"/>
      <c r="G1751"/>
      <c r="H1751"/>
      <c r="I1751"/>
      <c r="J1751"/>
      <c r="K1751"/>
      <c r="L1751"/>
      <c r="M1751"/>
      <c r="N1751"/>
      <c r="O1751"/>
    </row>
    <row r="1752" spans="1:17" ht="15.75">
      <c r="D1752"/>
      <c r="E1752"/>
      <c r="F1752"/>
      <c r="G1752"/>
      <c r="H1752"/>
      <c r="I1752"/>
      <c r="J1752"/>
      <c r="K1752"/>
      <c r="L1752"/>
      <c r="M1752"/>
      <c r="N1752"/>
      <c r="O1752"/>
    </row>
    <row r="1753" spans="1:17" ht="15.75">
      <c r="D1753"/>
      <c r="E1753"/>
      <c r="F1753"/>
      <c r="G1753"/>
      <c r="H1753"/>
      <c r="I1753"/>
      <c r="J1753"/>
      <c r="K1753"/>
      <c r="L1753"/>
      <c r="M1753"/>
      <c r="N1753"/>
      <c r="O1753"/>
    </row>
    <row r="1754" spans="1:17" ht="15.75">
      <c r="D1754"/>
      <c r="E1754"/>
      <c r="F1754"/>
      <c r="G1754"/>
      <c r="H1754"/>
      <c r="I1754"/>
      <c r="J1754"/>
      <c r="K1754"/>
      <c r="L1754"/>
      <c r="M1754"/>
      <c r="N1754"/>
      <c r="O1754"/>
    </row>
    <row r="1755" spans="1:17" ht="15.75">
      <c r="D1755"/>
      <c r="E1755"/>
      <c r="F1755"/>
      <c r="G1755"/>
      <c r="H1755"/>
      <c r="I1755"/>
      <c r="J1755"/>
      <c r="K1755"/>
      <c r="L1755"/>
      <c r="M1755"/>
      <c r="N1755"/>
      <c r="O1755"/>
    </row>
    <row r="1756" spans="1:17" ht="15.75">
      <c r="D1756"/>
      <c r="E1756"/>
      <c r="F1756"/>
      <c r="G1756"/>
      <c r="H1756"/>
      <c r="I1756"/>
      <c r="J1756"/>
      <c r="K1756"/>
      <c r="L1756"/>
      <c r="M1756"/>
      <c r="N1756"/>
      <c r="O1756"/>
    </row>
    <row r="1757" spans="1:17" ht="15.75">
      <c r="D1757"/>
      <c r="E1757"/>
      <c r="F1757"/>
      <c r="G1757"/>
      <c r="H1757"/>
      <c r="I1757"/>
      <c r="J1757"/>
      <c r="K1757"/>
      <c r="L1757"/>
      <c r="M1757"/>
      <c r="N1757"/>
      <c r="O1757"/>
    </row>
    <row r="1758" spans="1:17" ht="15.75">
      <c r="D1758"/>
      <c r="E1758"/>
      <c r="F1758"/>
      <c r="G1758"/>
      <c r="H1758"/>
      <c r="I1758"/>
      <c r="J1758"/>
      <c r="K1758"/>
      <c r="L1758"/>
      <c r="M1758"/>
      <c r="N1758"/>
      <c r="O1758"/>
    </row>
    <row r="1759" spans="1:17" ht="15.75">
      <c r="D1759"/>
      <c r="E1759"/>
      <c r="F1759"/>
      <c r="G1759"/>
      <c r="H1759"/>
      <c r="I1759"/>
      <c r="J1759"/>
      <c r="K1759"/>
      <c r="L1759"/>
      <c r="M1759"/>
      <c r="N1759"/>
      <c r="O1759"/>
    </row>
    <row r="1760" spans="1:17" ht="15.75">
      <c r="D1760"/>
      <c r="E1760"/>
      <c r="F1760"/>
      <c r="G1760"/>
      <c r="H1760"/>
      <c r="I1760"/>
      <c r="J1760"/>
      <c r="K1760"/>
      <c r="L1760"/>
      <c r="M1760"/>
      <c r="N1760"/>
      <c r="O1760"/>
    </row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  <row r="2506" customFormat="1" ht="15.75"/>
    <row r="2507" customFormat="1" ht="15.75"/>
    <row r="2508" customFormat="1" ht="15.75"/>
    <row r="2509" customFormat="1" ht="15.75"/>
    <row r="2510" customFormat="1" ht="15.75"/>
    <row r="2511" customFormat="1" ht="15.75"/>
    <row r="2512" customFormat="1" ht="15.75"/>
    <row r="2513" customFormat="1" ht="15.75"/>
    <row r="2514" customFormat="1" ht="15.75"/>
    <row r="2515" customFormat="1" ht="15.75"/>
    <row r="2516" customFormat="1" ht="15.75"/>
    <row r="2517" customFormat="1" ht="15.75"/>
    <row r="2518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3" bestFit="1" customWidth="1"/>
    <col min="2" max="2" width="12.5703125" style="503" bestFit="1" customWidth="1"/>
    <col min="3" max="3" width="10.140625" style="503" customWidth="1"/>
    <col min="4" max="4" width="50.42578125" style="503" bestFit="1" customWidth="1"/>
    <col min="5" max="5" width="41.140625" style="503" bestFit="1" customWidth="1"/>
    <col min="6" max="6" width="43.28515625" style="503" bestFit="1" customWidth="1"/>
    <col min="7" max="7" width="34.7109375" style="503" bestFit="1" customWidth="1"/>
    <col min="8" max="8" width="42.7109375" style="503" bestFit="1" customWidth="1"/>
    <col min="9" max="9" width="33.42578125" style="503" bestFit="1" customWidth="1"/>
    <col min="10" max="10" width="25.42578125" style="503" bestFit="1" customWidth="1"/>
    <col min="11" max="11" width="30.85546875" style="503" bestFit="1" customWidth="1"/>
    <col min="12" max="14" width="13" style="503" customWidth="1"/>
    <col min="15" max="15" width="12.5703125" style="503" bestFit="1" customWidth="1"/>
    <col min="16" max="16" width="12.5703125" style="503" customWidth="1"/>
    <col min="17" max="19" width="13" style="503" customWidth="1"/>
    <col min="20" max="20" width="41.140625" style="503" customWidth="1"/>
    <col min="21" max="22" width="13" style="503" customWidth="1"/>
    <col min="23" max="33" width="13" style="503" bestFit="1" customWidth="1"/>
    <col min="34" max="36" width="12.5703125" style="503" bestFit="1" customWidth="1"/>
    <col min="37" max="37" width="49.42578125" style="503" bestFit="1" customWidth="1"/>
    <col min="38" max="38" width="17.5703125" style="503" bestFit="1" customWidth="1"/>
    <col min="39" max="39" width="18" style="503" bestFit="1" customWidth="1"/>
    <col min="40" max="40" width="17.5703125" style="503" bestFit="1" customWidth="1"/>
    <col min="41" max="41" width="18" style="503" bestFit="1" customWidth="1"/>
    <col min="42" max="42" width="17" style="503" bestFit="1" customWidth="1"/>
    <col min="43" max="43" width="17.5703125" style="503" bestFit="1" customWidth="1"/>
    <col min="44" max="44" width="18" style="503" bestFit="1" customWidth="1"/>
    <col min="45" max="47" width="17.5703125" style="503" bestFit="1" customWidth="1"/>
    <col min="48" max="48" width="17" style="503" bestFit="1" customWidth="1"/>
    <col min="49" max="51" width="17.5703125" style="503" bestFit="1" customWidth="1"/>
    <col min="52" max="52" width="17" style="503" bestFit="1" customWidth="1"/>
    <col min="53" max="53" width="17.5703125" style="503" bestFit="1" customWidth="1"/>
    <col min="54" max="54" width="40.85546875" style="503" bestFit="1" customWidth="1"/>
    <col min="55" max="70" width="10.140625" style="503" bestFit="1" customWidth="1"/>
    <col min="71" max="71" width="42.7109375" style="503" bestFit="1" customWidth="1"/>
    <col min="72" max="72" width="16.5703125" style="503" bestFit="1" customWidth="1"/>
    <col min="73" max="75" width="17.5703125" style="503" bestFit="1" customWidth="1"/>
    <col min="76" max="76" width="17" style="503" bestFit="1" customWidth="1"/>
    <col min="77" max="77" width="17.5703125" style="503" bestFit="1" customWidth="1"/>
    <col min="78" max="79" width="17" style="503" bestFit="1" customWidth="1"/>
    <col min="80" max="80" width="17.5703125" style="503" bestFit="1" customWidth="1"/>
    <col min="81" max="82" width="17" style="503" bestFit="1" customWidth="1"/>
    <col min="83" max="84" width="17.5703125" style="503" bestFit="1" customWidth="1"/>
    <col min="85" max="86" width="18" style="503" bestFit="1" customWidth="1"/>
    <col min="87" max="87" width="17" style="503" bestFit="1" customWidth="1"/>
    <col min="88" max="88" width="33.42578125" style="503" bestFit="1" customWidth="1"/>
    <col min="89" max="104" width="10.140625" style="503" bestFit="1" customWidth="1"/>
    <col min="105" max="105" width="25.42578125" style="503" bestFit="1" customWidth="1"/>
    <col min="106" max="119" width="10.140625" style="503" bestFit="1" customWidth="1"/>
    <col min="120" max="120" width="11.140625" style="503" bestFit="1" customWidth="1"/>
    <col min="121" max="121" width="10.140625" style="503" bestFit="1" customWidth="1"/>
    <col min="122" max="122" width="30.85546875" style="503" bestFit="1" customWidth="1"/>
    <col min="123" max="123" width="13.42578125" style="503" bestFit="1" customWidth="1"/>
    <col min="124" max="125" width="14" style="503" bestFit="1" customWidth="1"/>
    <col min="126" max="126" width="13.42578125" style="503" bestFit="1" customWidth="1"/>
    <col min="127" max="127" width="14.42578125" style="503" bestFit="1" customWidth="1"/>
    <col min="128" max="130" width="14" style="503" bestFit="1" customWidth="1"/>
    <col min="131" max="131" width="14.42578125" style="503" bestFit="1" customWidth="1"/>
    <col min="132" max="132" width="14" style="503" bestFit="1" customWidth="1"/>
    <col min="133" max="133" width="14.42578125" style="503" bestFit="1" customWidth="1"/>
    <col min="134" max="134" width="14" style="503" bestFit="1" customWidth="1"/>
    <col min="135" max="135" width="13.42578125" style="503" bestFit="1" customWidth="1"/>
    <col min="136" max="138" width="14.42578125" style="503" bestFit="1" customWidth="1"/>
    <col min="139" max="16384" width="9.140625" style="503"/>
  </cols>
  <sheetData>
    <row r="1" spans="1:138">
      <c r="A1" s="1460" t="s">
        <v>1778</v>
      </c>
      <c r="B1" s="503">
        <f>YEAR(SAS_RA0_DataInicio)*100+MONTH(SAS_RA0_DataInicio)</f>
        <v>202107</v>
      </c>
      <c r="D1" s="1460" t="s">
        <v>1779</v>
      </c>
      <c r="E1" s="1460" t="s">
        <v>1780</v>
      </c>
      <c r="F1" s="1460" t="s">
        <v>1781</v>
      </c>
    </row>
    <row r="2" spans="1:138" ht="15.75">
      <c r="A2" s="1460" t="s">
        <v>1782</v>
      </c>
      <c r="B2" s="503">
        <f>YEAR(SAS_RA0_DataFim)*100+MONTH(SAS_RA0_DataFim)</f>
        <v>202206</v>
      </c>
      <c r="D2" s="1461" t="str">
        <f>UPPER(VLOOKUP(LnkTXTSigla,Informacoes[],9,FALSE))</f>
        <v>RGE</v>
      </c>
      <c r="E2" s="503">
        <f>IF(_xlfn.MAXIFS(C:C,A:A,D2)&gt;B2,B2,_xlfn.MAXIFS(C:C,A:A,D2))</f>
        <v>0</v>
      </c>
      <c r="F2" s="505">
        <f>YEAR(SAS_RA0_DataFim)*100+MONTH(SAS_RA0_DataFim)-E2+1</f>
        <v>202207</v>
      </c>
    </row>
    <row r="3" spans="1:138" ht="15.75">
      <c r="A3" s="1462" t="s">
        <v>255</v>
      </c>
      <c r="B3" s="505">
        <f>YEAR(SAS_RA0_DataFim)*100+MONTH(SAS_RA0_DataFim)-MAX(C:C)+1</f>
        <v>202207</v>
      </c>
      <c r="D3" s="1461" t="str">
        <f>UPPER(VLOOKUP(LnkTXTSigla,Informacoes[],11,FALSE))</f>
        <v/>
      </c>
      <c r="E3" s="503">
        <f>IF(_xlfn.MAXIFS(C:C,A:A,D3)&gt;B2,B2,_xlfn.MAXIFS(C:C,A:A,D3))</f>
        <v>0</v>
      </c>
      <c r="F3" s="505">
        <f>YEAR(SAS_RA0_DataFim)*100+MONTH(SAS_RA0_DataFim)-E3+1</f>
        <v>202207</v>
      </c>
    </row>
    <row r="4" spans="1:138" ht="15.75">
      <c r="A4" s="517" t="s">
        <v>1783</v>
      </c>
      <c r="B4" s="518" t="s">
        <v>1784</v>
      </c>
    </row>
    <row r="6" spans="1:138" ht="15.75">
      <c r="A6" s="793"/>
      <c r="B6" s="794"/>
      <c r="C6" s="794"/>
      <c r="D6" s="518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1" bestFit="1" customWidth="1"/>
    <col min="2" max="4" width="9.140625" style="481"/>
    <col min="5" max="5" width="35.7109375" style="481" customWidth="1"/>
    <col min="6" max="6" width="12.5703125" style="481" bestFit="1" customWidth="1"/>
    <col min="7" max="7" width="12.7109375" style="481" customWidth="1"/>
    <col min="8" max="8" width="10.5703125" style="481" bestFit="1" customWidth="1"/>
    <col min="9" max="9" width="10.85546875" style="481" bestFit="1" customWidth="1"/>
    <col min="10" max="10" width="10.140625" style="481" bestFit="1" customWidth="1"/>
    <col min="11" max="11" width="5" style="481" bestFit="1" customWidth="1"/>
    <col min="12" max="12" width="8.85546875" style="481" bestFit="1" customWidth="1"/>
    <col min="13" max="13" width="8.7109375" style="481" bestFit="1" customWidth="1"/>
    <col min="14" max="16384" width="9.140625" style="481"/>
  </cols>
  <sheetData>
    <row r="1" spans="1:2">
      <c r="A1" s="1463" t="s">
        <v>1785</v>
      </c>
      <c r="B1" s="1464">
        <v>0</v>
      </c>
    </row>
    <row r="2" spans="1:2">
      <c r="A2" s="1463" t="s">
        <v>1786</v>
      </c>
      <c r="B2" s="1464">
        <v>0</v>
      </c>
    </row>
    <row r="3" spans="1:2">
      <c r="A3" s="1463" t="s">
        <v>1787</v>
      </c>
      <c r="B3" s="1464">
        <v>0</v>
      </c>
    </row>
    <row r="4" spans="1:2">
      <c r="A4" s="1463" t="s">
        <v>1788</v>
      </c>
      <c r="B4" s="1464">
        <v>0</v>
      </c>
    </row>
    <row r="5" spans="1:2">
      <c r="A5" s="1463" t="s">
        <v>1789</v>
      </c>
      <c r="B5" s="1464">
        <v>0</v>
      </c>
    </row>
    <row r="6" spans="1:2">
      <c r="A6" s="1463" t="s">
        <v>1790</v>
      </c>
      <c r="B6" s="1464">
        <v>0</v>
      </c>
    </row>
    <row r="7" spans="1:2">
      <c r="A7" s="1463" t="s">
        <v>1791</v>
      </c>
      <c r="B7" s="1464">
        <v>0</v>
      </c>
    </row>
    <row r="8" spans="1:2">
      <c r="A8" s="1463" t="s">
        <v>1792</v>
      </c>
      <c r="B8" s="1464">
        <v>0</v>
      </c>
    </row>
    <row r="9" spans="1:2">
      <c r="A9" s="1463" t="s">
        <v>1793</v>
      </c>
      <c r="B9" s="1464">
        <v>0.45</v>
      </c>
    </row>
    <row r="10" spans="1:2">
      <c r="A10" s="1463" t="s">
        <v>1794</v>
      </c>
      <c r="B10" s="1464">
        <v>0.4</v>
      </c>
    </row>
    <row r="11" spans="1:2">
      <c r="A11" s="1463" t="s">
        <v>1795</v>
      </c>
      <c r="B11" s="1463">
        <v>0.65</v>
      </c>
    </row>
    <row r="12" spans="1:2">
      <c r="A12" s="1463" t="s">
        <v>1796</v>
      </c>
      <c r="B12" s="1463">
        <v>0.4</v>
      </c>
    </row>
    <row r="13" spans="1:2">
      <c r="A13" s="1463" t="s">
        <v>1797</v>
      </c>
      <c r="B13" s="1463">
        <v>0.1</v>
      </c>
    </row>
    <row r="14" spans="1:2">
      <c r="A14" s="1463" t="s">
        <v>1798</v>
      </c>
      <c r="B14" s="1463">
        <v>0</v>
      </c>
    </row>
    <row r="15" spans="1:2">
      <c r="A15" s="1463" t="s">
        <v>1799</v>
      </c>
      <c r="B15" s="1463">
        <v>0.3</v>
      </c>
    </row>
    <row r="16" spans="1:2">
      <c r="A16" s="1463" t="s">
        <v>1800</v>
      </c>
      <c r="B16" s="1463">
        <v>0.3</v>
      </c>
    </row>
    <row r="17" spans="1:13">
      <c r="A17" s="1463" t="s">
        <v>1801</v>
      </c>
      <c r="B17" s="1463">
        <v>0.4</v>
      </c>
    </row>
    <row r="20" spans="1:13" ht="15">
      <c r="D20" s="1465" t="s">
        <v>1617</v>
      </c>
      <c r="E20" s="1465" t="s">
        <v>1094</v>
      </c>
      <c r="F20" s="1465" t="s">
        <v>1802</v>
      </c>
      <c r="G20" s="1465" t="s">
        <v>1803</v>
      </c>
      <c r="H20" s="1465" t="s">
        <v>1804</v>
      </c>
      <c r="I20" s="1465" t="s">
        <v>1805</v>
      </c>
      <c r="J20" s="1465" t="s">
        <v>1806</v>
      </c>
      <c r="K20" s="1465" t="s">
        <v>1807</v>
      </c>
      <c r="L20" s="1465" t="s">
        <v>1808</v>
      </c>
      <c r="M20" s="1465" t="s">
        <v>1178</v>
      </c>
    </row>
    <row r="21" spans="1:13" ht="30" hidden="1">
      <c r="D21" s="1466">
        <v>26</v>
      </c>
      <c r="E21" s="1467" t="s">
        <v>1809</v>
      </c>
      <c r="F21" s="1467" t="s">
        <v>176</v>
      </c>
      <c r="G21" s="1468">
        <v>41243</v>
      </c>
      <c r="H21" s="1469">
        <v>41243</v>
      </c>
      <c r="I21" s="1467" t="s">
        <v>1097</v>
      </c>
      <c r="J21" s="1467" t="s">
        <v>177</v>
      </c>
      <c r="K21" s="1466">
        <v>1663</v>
      </c>
      <c r="L21" s="1467" t="s">
        <v>1810</v>
      </c>
      <c r="M21" s="1467" t="s">
        <v>1811</v>
      </c>
    </row>
    <row r="22" spans="1:13" ht="30" hidden="1">
      <c r="D22" s="1466">
        <v>28</v>
      </c>
      <c r="E22" s="1467" t="s">
        <v>1812</v>
      </c>
      <c r="F22" s="1467" t="s">
        <v>1813</v>
      </c>
      <c r="G22" s="1468">
        <v>41214</v>
      </c>
      <c r="H22" s="482"/>
      <c r="I22" s="1467" t="s">
        <v>1097</v>
      </c>
      <c r="J22" s="1467" t="s">
        <v>177</v>
      </c>
      <c r="K22" s="1466">
        <v>1665</v>
      </c>
      <c r="L22" s="1467" t="s">
        <v>177</v>
      </c>
      <c r="M22" s="1467" t="s">
        <v>1811</v>
      </c>
    </row>
    <row r="23" spans="1:13" ht="30" hidden="1">
      <c r="D23" s="1466">
        <v>31</v>
      </c>
      <c r="E23" s="1467" t="s">
        <v>1814</v>
      </c>
      <c r="F23" s="1467" t="s">
        <v>178</v>
      </c>
      <c r="G23" s="1468">
        <v>41243</v>
      </c>
      <c r="H23" s="482"/>
      <c r="I23" s="1467" t="s">
        <v>1097</v>
      </c>
      <c r="J23" s="1467" t="s">
        <v>177</v>
      </c>
      <c r="K23" s="1466">
        <v>1666</v>
      </c>
      <c r="L23" s="1467" t="s">
        <v>177</v>
      </c>
      <c r="M23" s="1467" t="s">
        <v>1811</v>
      </c>
    </row>
    <row r="24" spans="1:13" ht="30" hidden="1">
      <c r="D24" s="1466">
        <v>32</v>
      </c>
      <c r="E24" s="1467" t="s">
        <v>1815</v>
      </c>
      <c r="F24" s="1467" t="s">
        <v>179</v>
      </c>
      <c r="G24" s="1468">
        <v>41094</v>
      </c>
      <c r="H24" s="482"/>
      <c r="I24" s="1467" t="s">
        <v>1097</v>
      </c>
      <c r="J24" s="1467" t="s">
        <v>177</v>
      </c>
      <c r="K24" s="1466">
        <v>1668</v>
      </c>
      <c r="L24" s="1467" t="s">
        <v>1816</v>
      </c>
      <c r="M24" s="1467" t="s">
        <v>1811</v>
      </c>
    </row>
    <row r="25" spans="1:13" ht="30" hidden="1">
      <c r="D25" s="1466">
        <v>37</v>
      </c>
      <c r="E25" s="1467" t="s">
        <v>1817</v>
      </c>
      <c r="F25" s="1467" t="s">
        <v>180</v>
      </c>
      <c r="G25" s="1468">
        <v>41149</v>
      </c>
      <c r="H25" s="482"/>
      <c r="I25" s="1467" t="s">
        <v>1097</v>
      </c>
      <c r="J25" s="1467" t="s">
        <v>177</v>
      </c>
      <c r="K25" s="1466">
        <v>1669</v>
      </c>
      <c r="L25" s="1467" t="s">
        <v>1818</v>
      </c>
      <c r="M25" s="1467" t="s">
        <v>1811</v>
      </c>
    </row>
    <row r="26" spans="1:13" ht="30" hidden="1">
      <c r="D26" s="1466">
        <v>38</v>
      </c>
      <c r="E26" s="1467" t="s">
        <v>1819</v>
      </c>
      <c r="F26" s="1467" t="s">
        <v>181</v>
      </c>
      <c r="G26" s="1468">
        <v>41180</v>
      </c>
      <c r="H26" s="1469">
        <v>41149</v>
      </c>
      <c r="I26" s="1467" t="s">
        <v>1097</v>
      </c>
      <c r="J26" s="1467" t="s">
        <v>177</v>
      </c>
      <c r="K26" s="1466">
        <v>1670</v>
      </c>
      <c r="L26" s="1467" t="s">
        <v>1820</v>
      </c>
      <c r="M26" s="1467" t="s">
        <v>1811</v>
      </c>
    </row>
    <row r="27" spans="1:13" ht="30" hidden="1">
      <c r="D27" s="1466">
        <v>39</v>
      </c>
      <c r="E27" s="1467" t="s">
        <v>1821</v>
      </c>
      <c r="F27" s="1467" t="s">
        <v>1822</v>
      </c>
      <c r="G27" s="1468">
        <v>41021</v>
      </c>
      <c r="H27" s="482"/>
      <c r="I27" s="1467" t="s">
        <v>1097</v>
      </c>
      <c r="J27" s="1467" t="s">
        <v>177</v>
      </c>
      <c r="K27" s="1466">
        <v>1671</v>
      </c>
      <c r="L27" s="1467" t="s">
        <v>1823</v>
      </c>
      <c r="M27" s="1467" t="s">
        <v>1811</v>
      </c>
    </row>
    <row r="28" spans="1:13" ht="30" hidden="1">
      <c r="D28" s="1466">
        <v>40</v>
      </c>
      <c r="E28" s="1467" t="s">
        <v>1824</v>
      </c>
      <c r="F28" s="1467" t="s">
        <v>183</v>
      </c>
      <c r="G28" s="1468">
        <v>41021</v>
      </c>
      <c r="H28" s="482"/>
      <c r="I28" s="1467" t="s">
        <v>1097</v>
      </c>
      <c r="J28" s="1467" t="s">
        <v>177</v>
      </c>
      <c r="K28" s="1466">
        <v>1672</v>
      </c>
      <c r="L28" s="1467" t="s">
        <v>1825</v>
      </c>
      <c r="M28" s="1467" t="s">
        <v>1811</v>
      </c>
    </row>
    <row r="29" spans="1:13" ht="30" hidden="1">
      <c r="D29" s="1466">
        <v>43</v>
      </c>
      <c r="E29" s="1467" t="s">
        <v>1826</v>
      </c>
      <c r="F29" s="1467" t="s">
        <v>184</v>
      </c>
      <c r="G29" s="1468">
        <v>41028</v>
      </c>
      <c r="H29" s="482"/>
      <c r="I29" s="1467" t="s">
        <v>1097</v>
      </c>
      <c r="J29" s="1467" t="s">
        <v>177</v>
      </c>
      <c r="K29" s="1466">
        <v>1674</v>
      </c>
      <c r="L29" s="1467" t="s">
        <v>1827</v>
      </c>
      <c r="M29" s="1467" t="s">
        <v>1811</v>
      </c>
    </row>
    <row r="30" spans="1:13" ht="30" hidden="1">
      <c r="D30" s="1466">
        <v>44</v>
      </c>
      <c r="E30" s="1467" t="s">
        <v>1828</v>
      </c>
      <c r="F30" s="1467" t="s">
        <v>185</v>
      </c>
      <c r="G30" s="1468">
        <v>41180</v>
      </c>
      <c r="H30" s="482"/>
      <c r="I30" s="1467" t="s">
        <v>1097</v>
      </c>
      <c r="J30" s="1467" t="s">
        <v>177</v>
      </c>
      <c r="K30" s="1466">
        <v>1675</v>
      </c>
      <c r="L30" s="1467" t="s">
        <v>1829</v>
      </c>
      <c r="M30" s="1467" t="s">
        <v>1811</v>
      </c>
    </row>
    <row r="31" spans="1:13" ht="30" hidden="1">
      <c r="D31" s="1466">
        <v>46</v>
      </c>
      <c r="E31" s="1467" t="s">
        <v>1830</v>
      </c>
      <c r="F31" s="1467" t="s">
        <v>186</v>
      </c>
      <c r="G31" s="1468">
        <v>41051</v>
      </c>
      <c r="H31" s="1469">
        <v>41257</v>
      </c>
      <c r="I31" s="1467" t="s">
        <v>1097</v>
      </c>
      <c r="J31" s="1467" t="s">
        <v>1831</v>
      </c>
      <c r="K31" s="1466">
        <v>1676</v>
      </c>
      <c r="L31" s="1467" t="s">
        <v>1832</v>
      </c>
      <c r="M31" s="1467" t="s">
        <v>1811</v>
      </c>
    </row>
    <row r="32" spans="1:13" ht="30" hidden="1">
      <c r="D32" s="1466">
        <v>47</v>
      </c>
      <c r="E32" s="1467" t="s">
        <v>1833</v>
      </c>
      <c r="F32" s="1467" t="s">
        <v>187</v>
      </c>
      <c r="G32" s="1468">
        <v>41021</v>
      </c>
      <c r="H32" s="482"/>
      <c r="I32" s="1467" t="s">
        <v>1097</v>
      </c>
      <c r="J32" s="1467" t="s">
        <v>177</v>
      </c>
      <c r="K32" s="1466">
        <v>1677</v>
      </c>
      <c r="L32" s="1467" t="s">
        <v>1834</v>
      </c>
      <c r="M32" s="1467" t="s">
        <v>1811</v>
      </c>
    </row>
    <row r="33" spans="4:13" ht="15" hidden="1">
      <c r="D33" s="1466">
        <v>51</v>
      </c>
      <c r="E33" s="1467" t="s">
        <v>1835</v>
      </c>
      <c r="F33" s="1467" t="s">
        <v>188</v>
      </c>
      <c r="G33" s="1468">
        <v>41235</v>
      </c>
      <c r="H33" s="1469">
        <v>41210</v>
      </c>
      <c r="I33" s="1467" t="s">
        <v>1097</v>
      </c>
      <c r="J33" s="1467" t="s">
        <v>1831</v>
      </c>
      <c r="K33" s="1466">
        <v>1682</v>
      </c>
      <c r="L33" s="1467" t="s">
        <v>1836</v>
      </c>
      <c r="M33" s="1467" t="s">
        <v>1811</v>
      </c>
    </row>
    <row r="34" spans="4:13" ht="15" hidden="1">
      <c r="D34" s="1466">
        <v>56</v>
      </c>
      <c r="E34" s="1467" t="s">
        <v>1837</v>
      </c>
      <c r="F34" s="1467" t="s">
        <v>1838</v>
      </c>
      <c r="G34" s="482"/>
      <c r="H34" s="482"/>
      <c r="I34" s="1467" t="s">
        <v>1097</v>
      </c>
      <c r="J34" s="1467" t="s">
        <v>177</v>
      </c>
      <c r="K34" s="1466">
        <v>1683</v>
      </c>
      <c r="L34" s="1467" t="s">
        <v>177</v>
      </c>
      <c r="M34" s="1467" t="s">
        <v>1811</v>
      </c>
    </row>
    <row r="35" spans="4:13" ht="30" hidden="1">
      <c r="D35" s="1466">
        <v>63</v>
      </c>
      <c r="E35" s="1467" t="s">
        <v>1839</v>
      </c>
      <c r="F35" s="1467" t="s">
        <v>189</v>
      </c>
      <c r="G35" s="1468">
        <v>41007</v>
      </c>
      <c r="H35" s="482"/>
      <c r="I35" s="1467" t="s">
        <v>1097</v>
      </c>
      <c r="J35" s="1467" t="s">
        <v>177</v>
      </c>
      <c r="K35" s="1466">
        <v>1688</v>
      </c>
      <c r="L35" s="1467" t="s">
        <v>1840</v>
      </c>
      <c r="M35" s="1467" t="s">
        <v>1811</v>
      </c>
    </row>
    <row r="36" spans="4:13" ht="30" hidden="1">
      <c r="D36" s="1466">
        <v>69</v>
      </c>
      <c r="E36" s="1467" t="s">
        <v>1841</v>
      </c>
      <c r="F36" s="1467" t="s">
        <v>1842</v>
      </c>
      <c r="G36" s="1468">
        <v>40990</v>
      </c>
      <c r="H36" s="1469">
        <v>42038</v>
      </c>
      <c r="I36" s="1467" t="s">
        <v>1097</v>
      </c>
      <c r="J36" s="1467" t="s">
        <v>177</v>
      </c>
      <c r="K36" s="1466">
        <v>1692</v>
      </c>
      <c r="L36" s="1467" t="s">
        <v>1843</v>
      </c>
      <c r="M36" s="1467" t="s">
        <v>1811</v>
      </c>
    </row>
    <row r="37" spans="4:13" ht="30" hidden="1">
      <c r="D37" s="1466">
        <v>70</v>
      </c>
      <c r="E37" s="1467" t="s">
        <v>1844</v>
      </c>
      <c r="F37" s="1467" t="s">
        <v>1845</v>
      </c>
      <c r="G37" s="1468">
        <v>40990</v>
      </c>
      <c r="H37" s="1469">
        <v>42038</v>
      </c>
      <c r="I37" s="1467" t="s">
        <v>1097</v>
      </c>
      <c r="J37" s="1467" t="s">
        <v>177</v>
      </c>
      <c r="K37" s="1466">
        <v>1693</v>
      </c>
      <c r="L37" s="1467" t="s">
        <v>1846</v>
      </c>
      <c r="M37" s="1467" t="s">
        <v>1811</v>
      </c>
    </row>
    <row r="38" spans="4:13" ht="30" hidden="1">
      <c r="D38" s="1466">
        <v>71</v>
      </c>
      <c r="E38" s="1467" t="s">
        <v>1847</v>
      </c>
      <c r="F38" s="1467" t="s">
        <v>1848</v>
      </c>
      <c r="G38" s="1468">
        <v>40990</v>
      </c>
      <c r="H38" s="1469">
        <v>42038</v>
      </c>
      <c r="I38" s="1467" t="s">
        <v>1097</v>
      </c>
      <c r="J38" s="1467" t="s">
        <v>177</v>
      </c>
      <c r="K38" s="1466">
        <v>1694</v>
      </c>
      <c r="L38" s="1467" t="s">
        <v>1849</v>
      </c>
      <c r="M38" s="1467" t="s">
        <v>1811</v>
      </c>
    </row>
    <row r="39" spans="4:13" ht="30" hidden="1">
      <c r="D39" s="1466">
        <v>72</v>
      </c>
      <c r="E39" s="1467" t="s">
        <v>1850</v>
      </c>
      <c r="F39" s="1467" t="s">
        <v>243</v>
      </c>
      <c r="G39" s="1468">
        <v>40990</v>
      </c>
      <c r="H39" s="1469">
        <v>42038</v>
      </c>
      <c r="I39" s="1467" t="s">
        <v>1097</v>
      </c>
      <c r="J39" s="1467" t="s">
        <v>177</v>
      </c>
      <c r="K39" s="1466">
        <v>1695</v>
      </c>
      <c r="L39" s="1467" t="s">
        <v>1851</v>
      </c>
      <c r="M39" s="1467" t="s">
        <v>1811</v>
      </c>
    </row>
    <row r="40" spans="4:13" ht="30" hidden="1">
      <c r="D40" s="1466">
        <v>73</v>
      </c>
      <c r="E40" s="1467" t="s">
        <v>1852</v>
      </c>
      <c r="F40" s="1467" t="s">
        <v>1853</v>
      </c>
      <c r="G40" s="1468">
        <v>40990</v>
      </c>
      <c r="H40" s="1469">
        <v>42038</v>
      </c>
      <c r="I40" s="1467" t="s">
        <v>1097</v>
      </c>
      <c r="J40" s="1467" t="s">
        <v>1831</v>
      </c>
      <c r="K40" s="1466">
        <v>1696</v>
      </c>
      <c r="L40" s="1467" t="s">
        <v>1854</v>
      </c>
      <c r="M40" s="1467" t="s">
        <v>1811</v>
      </c>
    </row>
    <row r="41" spans="4:13" ht="30" hidden="1">
      <c r="D41" s="1466">
        <v>75</v>
      </c>
      <c r="E41" s="1467" t="s">
        <v>1855</v>
      </c>
      <c r="F41" s="1467" t="s">
        <v>1856</v>
      </c>
      <c r="G41" s="1468">
        <v>41039</v>
      </c>
      <c r="H41" s="482"/>
      <c r="I41" s="1467" t="s">
        <v>1097</v>
      </c>
      <c r="J41" s="1467" t="s">
        <v>177</v>
      </c>
      <c r="K41" s="1466">
        <v>1697</v>
      </c>
      <c r="L41" s="1467" t="s">
        <v>1857</v>
      </c>
      <c r="M41" s="1467" t="s">
        <v>1811</v>
      </c>
    </row>
    <row r="42" spans="4:13" ht="30" hidden="1">
      <c r="D42" s="1466">
        <v>82</v>
      </c>
      <c r="E42" s="1467" t="s">
        <v>1858</v>
      </c>
      <c r="F42" s="1467" t="s">
        <v>190</v>
      </c>
      <c r="G42" s="1468">
        <v>41089</v>
      </c>
      <c r="H42" s="1469">
        <v>41084</v>
      </c>
      <c r="I42" s="1467" t="s">
        <v>1097</v>
      </c>
      <c r="J42" s="1467" t="s">
        <v>1831</v>
      </c>
      <c r="K42" s="1466">
        <v>1701</v>
      </c>
      <c r="L42" s="1467" t="s">
        <v>1859</v>
      </c>
      <c r="M42" s="1467" t="s">
        <v>1811</v>
      </c>
    </row>
    <row r="43" spans="4:13" ht="30" hidden="1">
      <c r="D43" s="1466">
        <v>83</v>
      </c>
      <c r="E43" s="1467" t="s">
        <v>1860</v>
      </c>
      <c r="F43" s="1467" t="s">
        <v>246</v>
      </c>
      <c r="G43" s="1468">
        <v>41147</v>
      </c>
      <c r="H43" s="482"/>
      <c r="I43" s="1467" t="s">
        <v>1097</v>
      </c>
      <c r="J43" s="1467" t="s">
        <v>1831</v>
      </c>
      <c r="K43" s="1466">
        <v>1702</v>
      </c>
      <c r="L43" s="1467" t="s">
        <v>1861</v>
      </c>
      <c r="M43" s="1467" t="s">
        <v>1811</v>
      </c>
    </row>
    <row r="44" spans="4:13" ht="30" hidden="1">
      <c r="D44" s="1466">
        <v>84</v>
      </c>
      <c r="E44" s="1467" t="s">
        <v>1862</v>
      </c>
      <c r="F44" s="1467" t="s">
        <v>1863</v>
      </c>
      <c r="G44" s="1468">
        <v>41089</v>
      </c>
      <c r="H44" s="482"/>
      <c r="I44" s="1467" t="s">
        <v>1097</v>
      </c>
      <c r="J44" s="1467" t="s">
        <v>1831</v>
      </c>
      <c r="K44" s="1466">
        <v>1703</v>
      </c>
      <c r="L44" s="1467" t="s">
        <v>1864</v>
      </c>
      <c r="M44" s="1467" t="s">
        <v>1811</v>
      </c>
    </row>
    <row r="45" spans="4:13" ht="30" hidden="1">
      <c r="D45" s="1466">
        <v>86</v>
      </c>
      <c r="E45" s="1467" t="s">
        <v>1865</v>
      </c>
      <c r="F45" s="1467" t="s">
        <v>191</v>
      </c>
      <c r="G45" s="1468">
        <v>41150</v>
      </c>
      <c r="H45" s="1469">
        <v>41865</v>
      </c>
      <c r="I45" s="1467" t="s">
        <v>1097</v>
      </c>
      <c r="J45" s="1467" t="s">
        <v>1831</v>
      </c>
      <c r="K45" s="1466">
        <v>1704</v>
      </c>
      <c r="L45" s="1467" t="s">
        <v>1866</v>
      </c>
      <c r="M45" s="1467" t="s">
        <v>1811</v>
      </c>
    </row>
    <row r="46" spans="4:13" ht="30" hidden="1">
      <c r="D46" s="1466">
        <v>87</v>
      </c>
      <c r="E46" s="1467" t="s">
        <v>1867</v>
      </c>
      <c r="F46" s="1467" t="s">
        <v>192</v>
      </c>
      <c r="G46" s="1468">
        <v>41150</v>
      </c>
      <c r="H46" s="1469">
        <v>41128</v>
      </c>
      <c r="I46" s="1467" t="s">
        <v>1097</v>
      </c>
      <c r="J46" s="1467" t="s">
        <v>1831</v>
      </c>
      <c r="K46" s="1466">
        <v>1705</v>
      </c>
      <c r="L46" s="1467" t="s">
        <v>1868</v>
      </c>
      <c r="M46" s="1467" t="s">
        <v>1811</v>
      </c>
    </row>
    <row r="47" spans="4:13" ht="30" hidden="1">
      <c r="D47" s="1466">
        <v>88</v>
      </c>
      <c r="E47" s="1467" t="s">
        <v>1869</v>
      </c>
      <c r="F47" s="1467" t="s">
        <v>1870</v>
      </c>
      <c r="G47" s="1468">
        <v>41150</v>
      </c>
      <c r="H47" s="1469">
        <v>41865</v>
      </c>
      <c r="I47" s="1467" t="s">
        <v>1097</v>
      </c>
      <c r="J47" s="1467" t="s">
        <v>1831</v>
      </c>
      <c r="K47" s="1466">
        <v>1706</v>
      </c>
      <c r="L47" s="1467" t="s">
        <v>1871</v>
      </c>
      <c r="M47" s="1467" t="s">
        <v>1811</v>
      </c>
    </row>
    <row r="48" spans="4:13" ht="15" hidden="1">
      <c r="D48" s="1466">
        <v>95</v>
      </c>
      <c r="E48" s="1467" t="s">
        <v>1872</v>
      </c>
      <c r="F48" s="1467" t="s">
        <v>193</v>
      </c>
      <c r="G48" s="1468">
        <v>41112</v>
      </c>
      <c r="H48" s="1469">
        <v>41089</v>
      </c>
      <c r="I48" s="1467" t="s">
        <v>1097</v>
      </c>
      <c r="J48" s="1467" t="s">
        <v>1831</v>
      </c>
      <c r="K48" s="1466">
        <v>1708</v>
      </c>
      <c r="L48" s="1467" t="s">
        <v>1873</v>
      </c>
      <c r="M48" s="1467" t="s">
        <v>1811</v>
      </c>
    </row>
    <row r="49" spans="4:13" ht="30" hidden="1">
      <c r="D49" s="1466">
        <v>103</v>
      </c>
      <c r="E49" s="1467" t="s">
        <v>1874</v>
      </c>
      <c r="F49" s="1467" t="s">
        <v>194</v>
      </c>
      <c r="G49" s="1468">
        <v>41235</v>
      </c>
      <c r="H49" s="1469">
        <v>41164</v>
      </c>
      <c r="I49" s="1467" t="s">
        <v>1097</v>
      </c>
      <c r="J49" s="1467" t="s">
        <v>1831</v>
      </c>
      <c r="K49" s="1466">
        <v>1710</v>
      </c>
      <c r="L49" s="1467" t="s">
        <v>1875</v>
      </c>
      <c r="M49" s="1467" t="s">
        <v>1811</v>
      </c>
    </row>
    <row r="50" spans="4:13" ht="30">
      <c r="D50" s="1466">
        <v>213</v>
      </c>
      <c r="E50" s="1467" t="s">
        <v>1876</v>
      </c>
      <c r="F50" s="1467" t="s">
        <v>1877</v>
      </c>
      <c r="G50" s="482"/>
      <c r="H50" s="482"/>
      <c r="I50" s="1467" t="s">
        <v>1097</v>
      </c>
      <c r="J50" s="1467" t="s">
        <v>177</v>
      </c>
      <c r="K50" s="1466">
        <v>1757</v>
      </c>
      <c r="L50" s="1467" t="s">
        <v>177</v>
      </c>
      <c r="M50" s="1467" t="s">
        <v>1324</v>
      </c>
    </row>
    <row r="51" spans="4:13" ht="30" hidden="1">
      <c r="D51" s="1466">
        <v>369</v>
      </c>
      <c r="E51" s="1467" t="s">
        <v>1878</v>
      </c>
      <c r="F51" s="1467" t="s">
        <v>195</v>
      </c>
      <c r="G51" s="1468">
        <v>41243</v>
      </c>
      <c r="H51" s="1469">
        <v>41243</v>
      </c>
      <c r="I51" s="1467" t="s">
        <v>1097</v>
      </c>
      <c r="J51" s="1467" t="s">
        <v>177</v>
      </c>
      <c r="K51" s="1466">
        <v>1770</v>
      </c>
      <c r="L51" s="1467" t="s">
        <v>1879</v>
      </c>
      <c r="M51" s="1467" t="s">
        <v>1811</v>
      </c>
    </row>
    <row r="52" spans="4:13" ht="15" hidden="1">
      <c r="D52" s="1466">
        <v>370</v>
      </c>
      <c r="E52" s="1467" t="s">
        <v>1880</v>
      </c>
      <c r="F52" s="1467" t="s">
        <v>1881</v>
      </c>
      <c r="G52" s="1468">
        <v>41214</v>
      </c>
      <c r="H52" s="1469">
        <v>41214</v>
      </c>
      <c r="I52" s="1467" t="s">
        <v>1097</v>
      </c>
      <c r="J52" s="1467" t="s">
        <v>177</v>
      </c>
      <c r="K52" s="1466">
        <v>1771</v>
      </c>
      <c r="L52" s="1467" t="s">
        <v>1882</v>
      </c>
      <c r="M52" s="1467" t="s">
        <v>1811</v>
      </c>
    </row>
    <row r="53" spans="4:13" ht="30" hidden="1">
      <c r="D53" s="1466">
        <v>371</v>
      </c>
      <c r="E53" s="1467" t="s">
        <v>1883</v>
      </c>
      <c r="F53" s="1467" t="s">
        <v>198</v>
      </c>
      <c r="G53" s="1468">
        <v>40762</v>
      </c>
      <c r="H53" s="482"/>
      <c r="I53" s="1467" t="s">
        <v>1097</v>
      </c>
      <c r="J53" s="1467" t="s">
        <v>177</v>
      </c>
      <c r="K53" s="1466">
        <v>1772</v>
      </c>
      <c r="L53" s="1467" t="s">
        <v>1884</v>
      </c>
      <c r="M53" s="1467" t="s">
        <v>1811</v>
      </c>
    </row>
    <row r="54" spans="4:13" ht="30" hidden="1">
      <c r="D54" s="1466">
        <v>380</v>
      </c>
      <c r="E54" s="1467" t="s">
        <v>1885</v>
      </c>
      <c r="F54" s="1467" t="s">
        <v>1886</v>
      </c>
      <c r="G54" s="1468">
        <v>41128</v>
      </c>
      <c r="H54" s="482"/>
      <c r="I54" s="1467" t="s">
        <v>1097</v>
      </c>
      <c r="J54" s="1467" t="s">
        <v>177</v>
      </c>
      <c r="K54" s="1466">
        <v>1777</v>
      </c>
      <c r="L54" s="1467" t="s">
        <v>1887</v>
      </c>
      <c r="M54" s="1467" t="s">
        <v>1811</v>
      </c>
    </row>
    <row r="55" spans="4:13" ht="30" hidden="1">
      <c r="D55" s="1466">
        <v>381</v>
      </c>
      <c r="E55" s="1467" t="s">
        <v>1888</v>
      </c>
      <c r="F55" s="1467" t="s">
        <v>200</v>
      </c>
      <c r="G55" s="1468">
        <v>41143</v>
      </c>
      <c r="H55" s="1469">
        <v>41136</v>
      </c>
      <c r="I55" s="1467" t="s">
        <v>1097</v>
      </c>
      <c r="J55" s="1467" t="s">
        <v>177</v>
      </c>
      <c r="K55" s="1466">
        <v>1778</v>
      </c>
      <c r="L55" s="1467" t="s">
        <v>1889</v>
      </c>
      <c r="M55" s="1467" t="s">
        <v>1811</v>
      </c>
    </row>
    <row r="56" spans="4:13" ht="30" hidden="1">
      <c r="D56" s="1466">
        <v>382</v>
      </c>
      <c r="E56" s="1467" t="s">
        <v>1890</v>
      </c>
      <c r="F56" s="1467" t="s">
        <v>201</v>
      </c>
      <c r="G56" s="1468">
        <v>40983</v>
      </c>
      <c r="H56" s="1469">
        <v>41220</v>
      </c>
      <c r="I56" s="1467" t="s">
        <v>1097</v>
      </c>
      <c r="J56" s="1467" t="s">
        <v>177</v>
      </c>
      <c r="K56" s="1466">
        <v>1779</v>
      </c>
      <c r="L56" s="1467" t="s">
        <v>1891</v>
      </c>
      <c r="M56" s="1467" t="s">
        <v>1811</v>
      </c>
    </row>
    <row r="57" spans="4:13" ht="30" hidden="1">
      <c r="D57" s="1466">
        <v>383</v>
      </c>
      <c r="E57" s="1467" t="s">
        <v>1892</v>
      </c>
      <c r="F57" s="1467" t="s">
        <v>1893</v>
      </c>
      <c r="G57" s="1468">
        <v>40983</v>
      </c>
      <c r="H57" s="482"/>
      <c r="I57" s="1467" t="s">
        <v>1097</v>
      </c>
      <c r="J57" s="1467" t="s">
        <v>177</v>
      </c>
      <c r="K57" s="1466">
        <v>1780</v>
      </c>
      <c r="L57" s="1467" t="s">
        <v>1894</v>
      </c>
      <c r="M57" s="1467" t="s">
        <v>1811</v>
      </c>
    </row>
    <row r="58" spans="4:13" ht="30" hidden="1">
      <c r="D58" s="1466">
        <v>385</v>
      </c>
      <c r="E58" s="1467" t="s">
        <v>1895</v>
      </c>
      <c r="F58" s="1467" t="s">
        <v>203</v>
      </c>
      <c r="G58" s="1468">
        <v>41148</v>
      </c>
      <c r="H58" s="482"/>
      <c r="I58" s="1467" t="s">
        <v>1097</v>
      </c>
      <c r="J58" s="1467" t="s">
        <v>177</v>
      </c>
      <c r="K58" s="1466">
        <v>1782</v>
      </c>
      <c r="L58" s="1467" t="s">
        <v>1896</v>
      </c>
      <c r="M58" s="1467" t="s">
        <v>1811</v>
      </c>
    </row>
    <row r="59" spans="4:13" ht="30" hidden="1">
      <c r="D59" s="1466">
        <v>386</v>
      </c>
      <c r="E59" s="1467" t="s">
        <v>1897</v>
      </c>
      <c r="F59" s="1467" t="s">
        <v>1898</v>
      </c>
      <c r="G59" s="1468">
        <v>41039</v>
      </c>
      <c r="H59" s="482"/>
      <c r="I59" s="1467" t="s">
        <v>1097</v>
      </c>
      <c r="J59" s="1467" t="s">
        <v>177</v>
      </c>
      <c r="K59" s="1466">
        <v>1783</v>
      </c>
      <c r="L59" s="1467" t="s">
        <v>1899</v>
      </c>
      <c r="M59" s="1467" t="s">
        <v>1811</v>
      </c>
    </row>
    <row r="60" spans="4:13" ht="45" hidden="1">
      <c r="D60" s="1466">
        <v>390</v>
      </c>
      <c r="E60" s="1467" t="s">
        <v>1900</v>
      </c>
      <c r="F60" s="1467" t="s">
        <v>360</v>
      </c>
      <c r="G60" s="1468">
        <v>41094</v>
      </c>
      <c r="H60" s="482"/>
      <c r="I60" s="1467" t="s">
        <v>1097</v>
      </c>
      <c r="J60" s="1467" t="s">
        <v>177</v>
      </c>
      <c r="K60" s="1466">
        <v>1787</v>
      </c>
      <c r="L60" s="1467" t="s">
        <v>1901</v>
      </c>
      <c r="M60" s="1467" t="s">
        <v>1811</v>
      </c>
    </row>
    <row r="61" spans="4:13" ht="30" hidden="1">
      <c r="D61" s="1466">
        <v>391</v>
      </c>
      <c r="E61" s="1467" t="s">
        <v>1902</v>
      </c>
      <c r="F61" s="1467" t="s">
        <v>334</v>
      </c>
      <c r="G61" s="1468">
        <v>41205</v>
      </c>
      <c r="H61" s="482"/>
      <c r="I61" s="1467" t="s">
        <v>1097</v>
      </c>
      <c r="J61" s="1467" t="s">
        <v>177</v>
      </c>
      <c r="K61" s="1466">
        <v>1788</v>
      </c>
      <c r="L61" s="1467" t="s">
        <v>1903</v>
      </c>
      <c r="M61" s="1467" t="s">
        <v>1811</v>
      </c>
    </row>
    <row r="62" spans="4:13" ht="30" hidden="1">
      <c r="D62" s="1466">
        <v>396</v>
      </c>
      <c r="E62" s="1467" t="s">
        <v>1904</v>
      </c>
      <c r="F62" s="1467" t="s">
        <v>1905</v>
      </c>
      <c r="G62" s="1468">
        <v>41018</v>
      </c>
      <c r="H62" s="482"/>
      <c r="I62" s="1467" t="s">
        <v>1097</v>
      </c>
      <c r="J62" s="1467" t="s">
        <v>177</v>
      </c>
      <c r="K62" s="1466">
        <v>1792</v>
      </c>
      <c r="L62" s="1467" t="s">
        <v>1906</v>
      </c>
      <c r="M62" s="1467" t="s">
        <v>1811</v>
      </c>
    </row>
    <row r="63" spans="4:13" ht="15" hidden="1">
      <c r="D63" s="1466">
        <v>397</v>
      </c>
      <c r="E63" s="1467" t="s">
        <v>1907</v>
      </c>
      <c r="F63" s="1467" t="s">
        <v>245</v>
      </c>
      <c r="G63" s="1468">
        <v>41079</v>
      </c>
      <c r="H63" s="1469">
        <v>39922</v>
      </c>
      <c r="I63" s="1467" t="s">
        <v>1097</v>
      </c>
      <c r="J63" s="1467" t="s">
        <v>177</v>
      </c>
      <c r="K63" s="1466">
        <v>1793</v>
      </c>
      <c r="L63" s="1467" t="s">
        <v>1908</v>
      </c>
      <c r="M63" s="1467" t="s">
        <v>1811</v>
      </c>
    </row>
    <row r="64" spans="4:13" ht="30" hidden="1">
      <c r="D64" s="1466">
        <v>398</v>
      </c>
      <c r="E64" s="1467" t="s">
        <v>1909</v>
      </c>
      <c r="F64" s="1467" t="s">
        <v>206</v>
      </c>
      <c r="G64" s="1468">
        <v>41112</v>
      </c>
      <c r="H64" s="1469">
        <v>41089</v>
      </c>
      <c r="I64" s="1467" t="s">
        <v>1097</v>
      </c>
      <c r="J64" s="1467" t="s">
        <v>1831</v>
      </c>
      <c r="K64" s="1466">
        <v>1794</v>
      </c>
      <c r="L64" s="1467" t="s">
        <v>1910</v>
      </c>
      <c r="M64" s="1467" t="s">
        <v>1811</v>
      </c>
    </row>
    <row r="65" spans="4:13" ht="30" hidden="1">
      <c r="D65" s="1466">
        <v>399</v>
      </c>
      <c r="E65" s="1467" t="s">
        <v>1911</v>
      </c>
      <c r="F65" s="1467" t="s">
        <v>207</v>
      </c>
      <c r="G65" s="1468">
        <v>41112</v>
      </c>
      <c r="H65" s="1469">
        <v>41089</v>
      </c>
      <c r="I65" s="1467" t="s">
        <v>1097</v>
      </c>
      <c r="J65" s="1467" t="s">
        <v>1831</v>
      </c>
      <c r="K65" s="1466">
        <v>1795</v>
      </c>
      <c r="L65" s="1467" t="s">
        <v>1912</v>
      </c>
      <c r="M65" s="1467" t="s">
        <v>1811</v>
      </c>
    </row>
    <row r="66" spans="4:13" ht="30" hidden="1">
      <c r="D66" s="1466">
        <v>400</v>
      </c>
      <c r="E66" s="1467" t="s">
        <v>1913</v>
      </c>
      <c r="F66" s="1467" t="s">
        <v>208</v>
      </c>
      <c r="G66" s="1468">
        <v>41051</v>
      </c>
      <c r="H66" s="1469">
        <v>41018</v>
      </c>
      <c r="I66" s="1467" t="s">
        <v>1097</v>
      </c>
      <c r="J66" s="1467" t="s">
        <v>1831</v>
      </c>
      <c r="K66" s="1466">
        <v>1796</v>
      </c>
      <c r="L66" s="1467" t="s">
        <v>1914</v>
      </c>
      <c r="M66" s="1467" t="s">
        <v>1811</v>
      </c>
    </row>
    <row r="67" spans="4:13" ht="30" hidden="1">
      <c r="D67" s="1466">
        <v>401</v>
      </c>
      <c r="E67" s="1467" t="s">
        <v>1915</v>
      </c>
      <c r="F67" s="1467" t="s">
        <v>209</v>
      </c>
      <c r="G67" s="1468">
        <v>41112</v>
      </c>
      <c r="H67" s="1469">
        <v>41089</v>
      </c>
      <c r="I67" s="1467" t="s">
        <v>1097</v>
      </c>
      <c r="J67" s="1467" t="s">
        <v>1831</v>
      </c>
      <c r="K67" s="1466">
        <v>1797</v>
      </c>
      <c r="L67" s="1467" t="s">
        <v>1916</v>
      </c>
      <c r="M67" s="1467" t="s">
        <v>1811</v>
      </c>
    </row>
    <row r="68" spans="4:13" ht="30" hidden="1">
      <c r="D68" s="1466">
        <v>404</v>
      </c>
      <c r="E68" s="1467" t="s">
        <v>1917</v>
      </c>
      <c r="F68" s="1467" t="s">
        <v>210</v>
      </c>
      <c r="G68" s="1468">
        <v>41007</v>
      </c>
      <c r="H68" s="482"/>
      <c r="I68" s="1467" t="s">
        <v>1097</v>
      </c>
      <c r="J68" s="1467" t="s">
        <v>177</v>
      </c>
      <c r="K68" s="1466">
        <v>1800</v>
      </c>
      <c r="L68" s="1467" t="s">
        <v>1918</v>
      </c>
      <c r="M68" s="1467" t="s">
        <v>1811</v>
      </c>
    </row>
    <row r="69" spans="4:13" ht="30" hidden="1">
      <c r="D69" s="1466">
        <v>405</v>
      </c>
      <c r="E69" s="1467" t="s">
        <v>1919</v>
      </c>
      <c r="F69" s="1467" t="s">
        <v>212</v>
      </c>
      <c r="G69" s="1468">
        <v>41007</v>
      </c>
      <c r="H69" s="482"/>
      <c r="I69" s="1467" t="s">
        <v>1097</v>
      </c>
      <c r="J69" s="1467" t="s">
        <v>177</v>
      </c>
      <c r="K69" s="1466">
        <v>1802</v>
      </c>
      <c r="L69" s="1467" t="s">
        <v>1920</v>
      </c>
      <c r="M69" s="1467" t="s">
        <v>1811</v>
      </c>
    </row>
    <row r="70" spans="4:13" ht="30">
      <c r="D70" s="1466">
        <v>598</v>
      </c>
      <c r="E70" s="1467" t="s">
        <v>1921</v>
      </c>
      <c r="F70" s="1467" t="s">
        <v>1922</v>
      </c>
      <c r="G70" s="1468">
        <v>41485</v>
      </c>
      <c r="H70" s="482"/>
      <c r="I70" s="1467" t="s">
        <v>1097</v>
      </c>
      <c r="J70" s="1467" t="s">
        <v>1831</v>
      </c>
      <c r="K70" s="1466">
        <v>1855</v>
      </c>
      <c r="L70" s="1467" t="s">
        <v>1923</v>
      </c>
      <c r="M70" s="1467" t="s">
        <v>1324</v>
      </c>
    </row>
    <row r="71" spans="4:13" ht="30">
      <c r="D71" s="1466">
        <v>2351</v>
      </c>
      <c r="E71" s="1467" t="s">
        <v>1924</v>
      </c>
      <c r="F71" s="1467" t="s">
        <v>517</v>
      </c>
      <c r="G71" s="1468">
        <v>41485</v>
      </c>
      <c r="H71" s="482"/>
      <c r="I71" s="1467" t="s">
        <v>1097</v>
      </c>
      <c r="J71" s="1467" t="s">
        <v>1831</v>
      </c>
      <c r="K71" s="1466">
        <v>2062</v>
      </c>
      <c r="L71" s="1467" t="s">
        <v>1925</v>
      </c>
      <c r="M71" s="1467" t="s">
        <v>1324</v>
      </c>
    </row>
    <row r="72" spans="4:13" ht="45">
      <c r="D72" s="1466">
        <v>2381</v>
      </c>
      <c r="E72" s="1467" t="s">
        <v>1926</v>
      </c>
      <c r="F72" s="1467" t="s">
        <v>489</v>
      </c>
      <c r="G72" s="1468">
        <v>41485</v>
      </c>
      <c r="H72" s="482"/>
      <c r="I72" s="1467" t="s">
        <v>1097</v>
      </c>
      <c r="J72" s="1467" t="s">
        <v>1831</v>
      </c>
      <c r="K72" s="1466">
        <v>2066</v>
      </c>
      <c r="L72" s="1467" t="s">
        <v>1927</v>
      </c>
      <c r="M72" s="1467" t="s">
        <v>1324</v>
      </c>
    </row>
    <row r="73" spans="4:13" ht="30" hidden="1">
      <c r="D73" s="1466">
        <v>2513</v>
      </c>
      <c r="E73" s="1467" t="s">
        <v>1928</v>
      </c>
      <c r="F73" s="1467" t="s">
        <v>1929</v>
      </c>
      <c r="G73" s="1468">
        <v>40909</v>
      </c>
      <c r="H73" s="482"/>
      <c r="I73" s="1467" t="s">
        <v>1097</v>
      </c>
      <c r="J73" s="1467" t="s">
        <v>177</v>
      </c>
      <c r="K73" s="1466">
        <v>2076</v>
      </c>
      <c r="L73" s="1467" t="s">
        <v>177</v>
      </c>
      <c r="M73" s="1467" t="s">
        <v>177</v>
      </c>
    </row>
    <row r="74" spans="4:13" ht="45">
      <c r="D74" s="1466">
        <v>2763</v>
      </c>
      <c r="E74" s="1467" t="s">
        <v>1930</v>
      </c>
      <c r="F74" s="1467" t="s">
        <v>214</v>
      </c>
      <c r="G74" s="1468">
        <v>41485</v>
      </c>
      <c r="H74" s="482"/>
      <c r="I74" s="1467" t="s">
        <v>1097</v>
      </c>
      <c r="J74" s="1467" t="s">
        <v>1831</v>
      </c>
      <c r="K74" s="1466">
        <v>2111</v>
      </c>
      <c r="L74" s="1467" t="s">
        <v>1931</v>
      </c>
      <c r="M74" s="1467" t="s">
        <v>1324</v>
      </c>
    </row>
    <row r="75" spans="4:13" ht="45">
      <c r="D75" s="1466">
        <v>2783</v>
      </c>
      <c r="E75" s="1467" t="s">
        <v>1932</v>
      </c>
      <c r="F75" s="1467" t="s">
        <v>528</v>
      </c>
      <c r="G75" s="1468">
        <v>41485</v>
      </c>
      <c r="H75" s="482"/>
      <c r="I75" s="1467" t="s">
        <v>1097</v>
      </c>
      <c r="J75" s="1467" t="s">
        <v>1831</v>
      </c>
      <c r="K75" s="1466">
        <v>2114</v>
      </c>
      <c r="L75" s="1467" t="s">
        <v>1933</v>
      </c>
      <c r="M75" s="1467" t="s">
        <v>1324</v>
      </c>
    </row>
    <row r="76" spans="4:13" ht="15" hidden="1">
      <c r="D76" s="1466">
        <v>2866</v>
      </c>
      <c r="E76" s="1467" t="s">
        <v>1934</v>
      </c>
      <c r="F76" s="1467" t="s">
        <v>216</v>
      </c>
      <c r="G76" s="1468">
        <v>41084</v>
      </c>
      <c r="H76" s="482"/>
      <c r="I76" s="1467" t="s">
        <v>1097</v>
      </c>
      <c r="J76" s="1467" t="s">
        <v>177</v>
      </c>
      <c r="K76" s="1466">
        <v>2126</v>
      </c>
      <c r="L76" s="1467" t="s">
        <v>1935</v>
      </c>
      <c r="M76" s="1467" t="s">
        <v>1811</v>
      </c>
    </row>
    <row r="77" spans="4:13" ht="30" hidden="1">
      <c r="D77" s="1466">
        <v>2904</v>
      </c>
      <c r="E77" s="1467" t="s">
        <v>1936</v>
      </c>
      <c r="F77" s="1467" t="s">
        <v>1937</v>
      </c>
      <c r="G77" s="1468">
        <v>41150</v>
      </c>
      <c r="H77" s="1469">
        <v>41135</v>
      </c>
      <c r="I77" s="1467" t="s">
        <v>1097</v>
      </c>
      <c r="J77" s="1467" t="s">
        <v>1831</v>
      </c>
      <c r="K77" s="1466">
        <v>2134</v>
      </c>
      <c r="L77" s="1467" t="s">
        <v>1938</v>
      </c>
      <c r="M77" s="1467" t="s">
        <v>1811</v>
      </c>
    </row>
    <row r="78" spans="4:13" ht="30" hidden="1">
      <c r="D78" s="1466">
        <v>2937</v>
      </c>
      <c r="E78" s="1467" t="s">
        <v>1939</v>
      </c>
      <c r="F78" s="1467" t="s">
        <v>217</v>
      </c>
      <c r="G78" s="1468">
        <v>41205</v>
      </c>
      <c r="H78" s="482"/>
      <c r="I78" s="1467" t="s">
        <v>1097</v>
      </c>
      <c r="J78" s="1467" t="s">
        <v>177</v>
      </c>
      <c r="K78" s="1466">
        <v>2141</v>
      </c>
      <c r="L78" s="1467" t="s">
        <v>1940</v>
      </c>
      <c r="M78" s="1467" t="s">
        <v>1811</v>
      </c>
    </row>
    <row r="79" spans="4:13" ht="30">
      <c r="D79" s="1466">
        <v>3223</v>
      </c>
      <c r="E79" s="1467" t="s">
        <v>1941</v>
      </c>
      <c r="F79" s="1467" t="s">
        <v>501</v>
      </c>
      <c r="G79" s="1468">
        <v>41423</v>
      </c>
      <c r="H79" s="482"/>
      <c r="I79" s="1467" t="s">
        <v>1097</v>
      </c>
      <c r="J79" s="1467" t="s">
        <v>1831</v>
      </c>
      <c r="K79" s="1466">
        <v>2193</v>
      </c>
      <c r="L79" s="1467" t="s">
        <v>1942</v>
      </c>
      <c r="M79" s="1467" t="s">
        <v>1324</v>
      </c>
    </row>
    <row r="80" spans="4:13" ht="45">
      <c r="D80" s="1466">
        <v>3627</v>
      </c>
      <c r="E80" s="1467" t="s">
        <v>1943</v>
      </c>
      <c r="F80" s="1467" t="s">
        <v>512</v>
      </c>
      <c r="G80" s="1468">
        <v>41485</v>
      </c>
      <c r="H80" s="482"/>
      <c r="I80" s="1467" t="s">
        <v>1097</v>
      </c>
      <c r="J80" s="1467" t="s">
        <v>1831</v>
      </c>
      <c r="K80" s="1466">
        <v>2215</v>
      </c>
      <c r="L80" s="1467" t="s">
        <v>1944</v>
      </c>
      <c r="M80" s="1467" t="s">
        <v>1324</v>
      </c>
    </row>
    <row r="81" spans="4:13" ht="45">
      <c r="D81" s="1466">
        <v>4248</v>
      </c>
      <c r="E81" s="1467" t="s">
        <v>1945</v>
      </c>
      <c r="F81" s="1467" t="s">
        <v>1946</v>
      </c>
      <c r="G81" s="1468">
        <v>41485</v>
      </c>
      <c r="H81" s="482"/>
      <c r="I81" s="1467" t="s">
        <v>1097</v>
      </c>
      <c r="J81" s="1467" t="s">
        <v>1831</v>
      </c>
      <c r="K81" s="1466">
        <v>2245</v>
      </c>
      <c r="L81" s="1467" t="s">
        <v>1947</v>
      </c>
      <c r="M81" s="1467" t="s">
        <v>1324</v>
      </c>
    </row>
    <row r="82" spans="4:13" ht="105" hidden="1">
      <c r="D82" s="1466">
        <v>4950</v>
      </c>
      <c r="E82" s="1467" t="s">
        <v>1948</v>
      </c>
      <c r="F82" s="1467" t="s">
        <v>218</v>
      </c>
      <c r="G82" s="1468">
        <v>41057</v>
      </c>
      <c r="H82" s="1469">
        <v>41007</v>
      </c>
      <c r="I82" s="1467" t="s">
        <v>1097</v>
      </c>
      <c r="J82" s="1467" t="s">
        <v>177</v>
      </c>
      <c r="K82" s="1466">
        <v>2285</v>
      </c>
      <c r="L82" s="1467" t="s">
        <v>1949</v>
      </c>
      <c r="M82" s="1467" t="s">
        <v>1811</v>
      </c>
    </row>
    <row r="83" spans="4:13" ht="15" hidden="1">
      <c r="D83" s="1466">
        <v>5160</v>
      </c>
      <c r="E83" s="1467" t="s">
        <v>1950</v>
      </c>
      <c r="F83" s="1467" t="s">
        <v>220</v>
      </c>
      <c r="G83" s="1468">
        <v>41204</v>
      </c>
      <c r="H83" s="1469">
        <v>41147</v>
      </c>
      <c r="I83" s="1467" t="s">
        <v>1097</v>
      </c>
      <c r="J83" s="1467" t="s">
        <v>177</v>
      </c>
      <c r="K83" s="1466">
        <v>2313</v>
      </c>
      <c r="L83" s="1467" t="s">
        <v>1951</v>
      </c>
      <c r="M83" s="1467" t="s">
        <v>1811</v>
      </c>
    </row>
    <row r="84" spans="4:13" ht="30" hidden="1">
      <c r="D84" s="1466">
        <v>5216</v>
      </c>
      <c r="E84" s="1467" t="s">
        <v>1952</v>
      </c>
      <c r="F84" s="1467" t="s">
        <v>1953</v>
      </c>
      <c r="G84" s="1468">
        <v>41039</v>
      </c>
      <c r="H84" s="482"/>
      <c r="I84" s="1467" t="s">
        <v>1097</v>
      </c>
      <c r="J84" s="1467" t="s">
        <v>177</v>
      </c>
      <c r="K84" s="1466">
        <v>2330</v>
      </c>
      <c r="L84" s="1467" t="s">
        <v>1954</v>
      </c>
      <c r="M84" s="1467" t="s">
        <v>1811</v>
      </c>
    </row>
    <row r="85" spans="4:13" ht="30" hidden="1">
      <c r="D85" s="1466">
        <v>5217</v>
      </c>
      <c r="E85" s="1467" t="s">
        <v>1955</v>
      </c>
      <c r="F85" s="1467" t="s">
        <v>1956</v>
      </c>
      <c r="G85" s="1468">
        <v>41039</v>
      </c>
      <c r="H85" s="482"/>
      <c r="I85" s="1467" t="s">
        <v>1097</v>
      </c>
      <c r="J85" s="1467" t="s">
        <v>177</v>
      </c>
      <c r="K85" s="1466">
        <v>2331</v>
      </c>
      <c r="L85" s="1467" t="s">
        <v>1957</v>
      </c>
      <c r="M85" s="1467" t="s">
        <v>1811</v>
      </c>
    </row>
    <row r="86" spans="4:13" ht="45">
      <c r="D86" s="1466">
        <v>5274</v>
      </c>
      <c r="E86" s="1467" t="s">
        <v>1958</v>
      </c>
      <c r="F86" s="1467" t="s">
        <v>221</v>
      </c>
      <c r="G86" s="1468">
        <v>41393</v>
      </c>
      <c r="H86" s="482"/>
      <c r="I86" s="1467" t="s">
        <v>1097</v>
      </c>
      <c r="J86" s="1467" t="s">
        <v>1831</v>
      </c>
      <c r="K86" s="1466">
        <v>2339</v>
      </c>
      <c r="L86" s="1467" t="s">
        <v>1959</v>
      </c>
      <c r="M86" s="1467" t="s">
        <v>1324</v>
      </c>
    </row>
    <row r="87" spans="4:13" ht="45">
      <c r="D87" s="1466">
        <v>5351</v>
      </c>
      <c r="E87" s="1467" t="s">
        <v>1960</v>
      </c>
      <c r="F87" s="1467" t="s">
        <v>223</v>
      </c>
      <c r="G87" s="1468">
        <v>41212</v>
      </c>
      <c r="H87" s="482"/>
      <c r="I87" s="1467" t="s">
        <v>1097</v>
      </c>
      <c r="J87" s="1467" t="s">
        <v>1831</v>
      </c>
      <c r="K87" s="1466">
        <v>2340</v>
      </c>
      <c r="L87" s="1467" t="s">
        <v>1961</v>
      </c>
      <c r="M87" s="1467" t="s">
        <v>1324</v>
      </c>
    </row>
    <row r="88" spans="4:13" ht="60">
      <c r="D88" s="1466">
        <v>5352</v>
      </c>
      <c r="E88" s="1467" t="s">
        <v>1962</v>
      </c>
      <c r="F88" s="1467" t="s">
        <v>424</v>
      </c>
      <c r="G88" s="1468">
        <v>41182</v>
      </c>
      <c r="H88" s="482"/>
      <c r="I88" s="1467" t="s">
        <v>1097</v>
      </c>
      <c r="J88" s="1467" t="s">
        <v>1831</v>
      </c>
      <c r="K88" s="1466">
        <v>2341</v>
      </c>
      <c r="L88" s="1467" t="s">
        <v>1963</v>
      </c>
      <c r="M88" s="1467" t="s">
        <v>1324</v>
      </c>
    </row>
    <row r="89" spans="4:13" ht="45">
      <c r="D89" s="1466">
        <v>5353</v>
      </c>
      <c r="E89" s="1467" t="s">
        <v>1964</v>
      </c>
      <c r="F89" s="1467" t="s">
        <v>224</v>
      </c>
      <c r="G89" s="1468">
        <v>41182</v>
      </c>
      <c r="H89" s="482"/>
      <c r="I89" s="1467" t="s">
        <v>1097</v>
      </c>
      <c r="J89" s="1467" t="s">
        <v>1831</v>
      </c>
      <c r="K89" s="1466">
        <v>2342</v>
      </c>
      <c r="L89" s="1467" t="s">
        <v>1965</v>
      </c>
      <c r="M89" s="1467" t="s">
        <v>1324</v>
      </c>
    </row>
    <row r="90" spans="4:13" ht="30">
      <c r="D90" s="1466">
        <v>5355</v>
      </c>
      <c r="E90" s="1467" t="s">
        <v>1966</v>
      </c>
      <c r="F90" s="1467" t="s">
        <v>435</v>
      </c>
      <c r="G90" s="1468">
        <v>41182</v>
      </c>
      <c r="H90" s="482"/>
      <c r="I90" s="1467" t="s">
        <v>1097</v>
      </c>
      <c r="J90" s="1467" t="s">
        <v>1831</v>
      </c>
      <c r="K90" s="1466">
        <v>2343</v>
      </c>
      <c r="L90" s="1467" t="s">
        <v>1967</v>
      </c>
      <c r="M90" s="1467" t="s">
        <v>1324</v>
      </c>
    </row>
    <row r="91" spans="4:13" ht="30">
      <c r="D91" s="1466">
        <v>5363</v>
      </c>
      <c r="E91" s="1467" t="s">
        <v>1968</v>
      </c>
      <c r="F91" s="1467" t="s">
        <v>442</v>
      </c>
      <c r="G91" s="1468">
        <v>41182</v>
      </c>
      <c r="H91" s="482"/>
      <c r="I91" s="1467" t="s">
        <v>1097</v>
      </c>
      <c r="J91" s="1467" t="s">
        <v>1831</v>
      </c>
      <c r="K91" s="1466">
        <v>2344</v>
      </c>
      <c r="L91" s="1467" t="s">
        <v>1969</v>
      </c>
      <c r="M91" s="1467" t="s">
        <v>1324</v>
      </c>
    </row>
    <row r="92" spans="4:13" ht="30">
      <c r="D92" s="1466">
        <v>5364</v>
      </c>
      <c r="E92" s="1467" t="s">
        <v>1970</v>
      </c>
      <c r="F92" s="1467" t="s">
        <v>447</v>
      </c>
      <c r="G92" s="1468">
        <v>41182</v>
      </c>
      <c r="H92" s="482"/>
      <c r="I92" s="1467" t="s">
        <v>1097</v>
      </c>
      <c r="J92" s="1467" t="s">
        <v>1831</v>
      </c>
      <c r="K92" s="1466">
        <v>2345</v>
      </c>
      <c r="L92" s="1467" t="s">
        <v>1971</v>
      </c>
      <c r="M92" s="1467" t="s">
        <v>1324</v>
      </c>
    </row>
    <row r="93" spans="4:13" ht="30">
      <c r="D93" s="1466">
        <v>5365</v>
      </c>
      <c r="E93" s="1467" t="s">
        <v>1972</v>
      </c>
      <c r="F93" s="1467" t="s">
        <v>453</v>
      </c>
      <c r="G93" s="1468">
        <v>41182</v>
      </c>
      <c r="H93" s="482"/>
      <c r="I93" s="1467" t="s">
        <v>1097</v>
      </c>
      <c r="J93" s="1467" t="s">
        <v>1831</v>
      </c>
      <c r="K93" s="1466">
        <v>2346</v>
      </c>
      <c r="L93" s="1467" t="s">
        <v>1973</v>
      </c>
      <c r="M93" s="1467" t="s">
        <v>1324</v>
      </c>
    </row>
    <row r="94" spans="4:13" ht="45">
      <c r="D94" s="1466">
        <v>5366</v>
      </c>
      <c r="E94" s="1467" t="s">
        <v>1974</v>
      </c>
      <c r="F94" s="1467" t="s">
        <v>226</v>
      </c>
      <c r="G94" s="1468">
        <v>41182</v>
      </c>
      <c r="H94" s="482"/>
      <c r="I94" s="1467" t="s">
        <v>1097</v>
      </c>
      <c r="J94" s="1467" t="s">
        <v>1831</v>
      </c>
      <c r="K94" s="1466">
        <v>2347</v>
      </c>
      <c r="L94" s="1467" t="s">
        <v>1975</v>
      </c>
      <c r="M94" s="1467" t="s">
        <v>1324</v>
      </c>
    </row>
    <row r="95" spans="4:13" ht="30">
      <c r="D95" s="1466">
        <v>5367</v>
      </c>
      <c r="E95" s="1467" t="s">
        <v>1976</v>
      </c>
      <c r="F95" s="1467" t="s">
        <v>383</v>
      </c>
      <c r="G95" s="1468">
        <v>40899</v>
      </c>
      <c r="H95" s="482"/>
      <c r="I95" s="1467" t="s">
        <v>1097</v>
      </c>
      <c r="J95" s="1467" t="s">
        <v>1831</v>
      </c>
      <c r="K95" s="1466">
        <v>2348</v>
      </c>
      <c r="L95" s="1467" t="s">
        <v>1977</v>
      </c>
      <c r="M95" s="1467" t="s">
        <v>1324</v>
      </c>
    </row>
    <row r="96" spans="4:13" ht="30">
      <c r="D96" s="1466">
        <v>5368</v>
      </c>
      <c r="E96" s="1467" t="s">
        <v>1978</v>
      </c>
      <c r="F96" s="1467" t="s">
        <v>458</v>
      </c>
      <c r="G96" s="1468">
        <v>41182</v>
      </c>
      <c r="H96" s="482"/>
      <c r="I96" s="1467" t="s">
        <v>1097</v>
      </c>
      <c r="J96" s="1467" t="s">
        <v>1831</v>
      </c>
      <c r="K96" s="1466">
        <v>2349</v>
      </c>
      <c r="L96" s="1467" t="s">
        <v>1979</v>
      </c>
      <c r="M96" s="1467" t="s">
        <v>1324</v>
      </c>
    </row>
    <row r="97" spans="4:13" ht="30">
      <c r="D97" s="1466">
        <v>5369</v>
      </c>
      <c r="E97" s="1467" t="s">
        <v>1980</v>
      </c>
      <c r="F97" s="1467" t="s">
        <v>463</v>
      </c>
      <c r="G97" s="1468">
        <v>41182</v>
      </c>
      <c r="H97" s="482"/>
      <c r="I97" s="1467" t="s">
        <v>1097</v>
      </c>
      <c r="J97" s="1467" t="s">
        <v>1831</v>
      </c>
      <c r="K97" s="1466">
        <v>2350</v>
      </c>
      <c r="L97" s="1467" t="s">
        <v>1981</v>
      </c>
      <c r="M97" s="1467" t="s">
        <v>1324</v>
      </c>
    </row>
    <row r="98" spans="4:13" ht="30">
      <c r="D98" s="1466">
        <v>5370</v>
      </c>
      <c r="E98" s="1467" t="s">
        <v>1982</v>
      </c>
      <c r="F98" s="1467" t="s">
        <v>227</v>
      </c>
      <c r="G98" s="1468">
        <v>41182</v>
      </c>
      <c r="H98" s="482"/>
      <c r="I98" s="1467" t="s">
        <v>1097</v>
      </c>
      <c r="J98" s="1467" t="s">
        <v>1831</v>
      </c>
      <c r="K98" s="1466">
        <v>2351</v>
      </c>
      <c r="L98" s="1467" t="s">
        <v>1983</v>
      </c>
      <c r="M98" s="1467" t="s">
        <v>1324</v>
      </c>
    </row>
    <row r="99" spans="4:13" ht="30">
      <c r="D99" s="1466">
        <v>5371</v>
      </c>
      <c r="E99" s="1467" t="s">
        <v>1984</v>
      </c>
      <c r="F99" s="1467" t="s">
        <v>472</v>
      </c>
      <c r="G99" s="1468">
        <v>41182</v>
      </c>
      <c r="H99" s="482"/>
      <c r="I99" s="1467" t="s">
        <v>1097</v>
      </c>
      <c r="J99" s="1467" t="s">
        <v>1831</v>
      </c>
      <c r="K99" s="1466">
        <v>2352</v>
      </c>
      <c r="L99" s="1467" t="s">
        <v>1985</v>
      </c>
      <c r="M99" s="1467" t="s">
        <v>1324</v>
      </c>
    </row>
    <row r="100" spans="4:13" ht="30">
      <c r="D100" s="1466">
        <v>5373</v>
      </c>
      <c r="E100" s="1467" t="s">
        <v>1986</v>
      </c>
      <c r="F100" s="1467" t="s">
        <v>479</v>
      </c>
      <c r="G100" s="1468">
        <v>41182</v>
      </c>
      <c r="H100" s="482"/>
      <c r="I100" s="1467" t="s">
        <v>1097</v>
      </c>
      <c r="J100" s="1467" t="s">
        <v>1831</v>
      </c>
      <c r="K100" s="1466">
        <v>2353</v>
      </c>
      <c r="L100" s="1467" t="s">
        <v>1987</v>
      </c>
      <c r="M100" s="1467" t="s">
        <v>1324</v>
      </c>
    </row>
    <row r="101" spans="4:13" ht="45">
      <c r="D101" s="1466">
        <v>5377</v>
      </c>
      <c r="E101" s="1467" t="s">
        <v>1988</v>
      </c>
      <c r="F101" s="1467" t="s">
        <v>423</v>
      </c>
      <c r="G101" s="1468">
        <v>41393</v>
      </c>
      <c r="H101" s="482"/>
      <c r="I101" s="1467" t="s">
        <v>1097</v>
      </c>
      <c r="J101" s="1467" t="s">
        <v>1831</v>
      </c>
      <c r="K101" s="1466">
        <v>2355</v>
      </c>
      <c r="L101" s="1467" t="s">
        <v>1989</v>
      </c>
      <c r="M101" s="1467" t="s">
        <v>1324</v>
      </c>
    </row>
    <row r="102" spans="4:13" ht="45">
      <c r="D102" s="1466">
        <v>5378</v>
      </c>
      <c r="E102" s="1467" t="s">
        <v>1990</v>
      </c>
      <c r="F102" s="1467" t="s">
        <v>349</v>
      </c>
      <c r="G102" s="1468">
        <v>41393</v>
      </c>
      <c r="H102" s="482"/>
      <c r="I102" s="1467" t="s">
        <v>1097</v>
      </c>
      <c r="J102" s="1467" t="s">
        <v>1831</v>
      </c>
      <c r="K102" s="1466">
        <v>2356</v>
      </c>
      <c r="L102" s="1467" t="s">
        <v>1991</v>
      </c>
      <c r="M102" s="1467" t="s">
        <v>1324</v>
      </c>
    </row>
    <row r="103" spans="4:13" ht="45">
      <c r="D103" s="1466">
        <v>5379</v>
      </c>
      <c r="E103" s="1467" t="s">
        <v>1992</v>
      </c>
      <c r="F103" s="1467" t="s">
        <v>390</v>
      </c>
      <c r="G103" s="1468">
        <v>41212</v>
      </c>
      <c r="H103" s="482"/>
      <c r="I103" s="1467" t="s">
        <v>1097</v>
      </c>
      <c r="J103" s="1467" t="s">
        <v>1831</v>
      </c>
      <c r="K103" s="1466">
        <v>2357</v>
      </c>
      <c r="L103" s="1467" t="s">
        <v>1993</v>
      </c>
      <c r="M103" s="1467" t="s">
        <v>1324</v>
      </c>
    </row>
    <row r="104" spans="4:13" ht="45">
      <c r="D104" s="1466">
        <v>5381</v>
      </c>
      <c r="E104" s="1467" t="s">
        <v>1994</v>
      </c>
      <c r="F104" s="1467" t="s">
        <v>322</v>
      </c>
      <c r="G104" s="1468">
        <v>41152</v>
      </c>
      <c r="H104" s="482"/>
      <c r="I104" s="1467" t="s">
        <v>1097</v>
      </c>
      <c r="J104" s="1467" t="s">
        <v>1831</v>
      </c>
      <c r="K104" s="1466">
        <v>2358</v>
      </c>
      <c r="L104" s="1467" t="s">
        <v>1995</v>
      </c>
      <c r="M104" s="1467" t="s">
        <v>1324</v>
      </c>
    </row>
    <row r="105" spans="4:13" ht="45">
      <c r="D105" s="1466">
        <v>5382</v>
      </c>
      <c r="E105" s="1467" t="s">
        <v>1996</v>
      </c>
      <c r="F105" s="1467" t="s">
        <v>356</v>
      </c>
      <c r="G105" s="1468">
        <v>41101</v>
      </c>
      <c r="H105" s="482"/>
      <c r="I105" s="1467" t="s">
        <v>1097</v>
      </c>
      <c r="J105" s="1467" t="s">
        <v>1831</v>
      </c>
      <c r="K105" s="1466">
        <v>2359</v>
      </c>
      <c r="L105" s="1467" t="s">
        <v>1997</v>
      </c>
      <c r="M105" s="1467" t="s">
        <v>1324</v>
      </c>
    </row>
    <row r="106" spans="4:13" ht="45">
      <c r="D106" s="1466">
        <v>5384</v>
      </c>
      <c r="E106" s="1467" t="s">
        <v>1998</v>
      </c>
      <c r="F106" s="1467" t="s">
        <v>377</v>
      </c>
      <c r="G106" s="1468">
        <v>41423</v>
      </c>
      <c r="H106" s="482"/>
      <c r="I106" s="1467" t="s">
        <v>1097</v>
      </c>
      <c r="J106" s="1467" t="s">
        <v>1831</v>
      </c>
      <c r="K106" s="1466">
        <v>2360</v>
      </c>
      <c r="L106" s="1467" t="s">
        <v>1999</v>
      </c>
      <c r="M106" s="1467" t="s">
        <v>1324</v>
      </c>
    </row>
    <row r="107" spans="4:13" ht="45">
      <c r="D107" s="1466">
        <v>5385</v>
      </c>
      <c r="E107" s="1467" t="s">
        <v>2000</v>
      </c>
      <c r="F107" s="1467" t="s">
        <v>384</v>
      </c>
      <c r="G107" s="1468">
        <v>41379</v>
      </c>
      <c r="H107" s="482"/>
      <c r="I107" s="1467" t="s">
        <v>1097</v>
      </c>
      <c r="J107" s="1467" t="s">
        <v>1831</v>
      </c>
      <c r="K107" s="1466">
        <v>2361</v>
      </c>
      <c r="L107" s="1467" t="s">
        <v>2001</v>
      </c>
      <c r="M107" s="1467" t="s">
        <v>1324</v>
      </c>
    </row>
    <row r="108" spans="4:13" ht="45">
      <c r="D108" s="1466">
        <v>5386</v>
      </c>
      <c r="E108" s="1467" t="s">
        <v>2002</v>
      </c>
      <c r="F108" s="1467" t="s">
        <v>343</v>
      </c>
      <c r="G108" s="1468">
        <v>41212</v>
      </c>
      <c r="H108" s="482"/>
      <c r="I108" s="1467" t="s">
        <v>1097</v>
      </c>
      <c r="J108" s="1467" t="s">
        <v>1831</v>
      </c>
      <c r="K108" s="1466">
        <v>2362</v>
      </c>
      <c r="L108" s="1467" t="s">
        <v>2003</v>
      </c>
      <c r="M108" s="1467" t="s">
        <v>1324</v>
      </c>
    </row>
    <row r="109" spans="4:13" ht="15" hidden="1">
      <c r="D109" s="1466">
        <v>5697</v>
      </c>
      <c r="E109" s="1467" t="s">
        <v>2004</v>
      </c>
      <c r="F109" s="1467" t="s">
        <v>229</v>
      </c>
      <c r="G109" s="1468">
        <v>41143</v>
      </c>
      <c r="H109" s="1469">
        <v>41128</v>
      </c>
      <c r="I109" s="1467" t="s">
        <v>1097</v>
      </c>
      <c r="J109" s="1467" t="s">
        <v>177</v>
      </c>
      <c r="K109" s="1466">
        <v>2382</v>
      </c>
      <c r="L109" s="1467" t="s">
        <v>2005</v>
      </c>
      <c r="M109" s="1467" t="s">
        <v>1811</v>
      </c>
    </row>
    <row r="110" spans="4:13" ht="30" hidden="1">
      <c r="D110" s="1466">
        <v>5707</v>
      </c>
      <c r="E110" s="1467" t="s">
        <v>2006</v>
      </c>
      <c r="F110" s="1467" t="s">
        <v>230</v>
      </c>
      <c r="G110" s="1468">
        <v>41235</v>
      </c>
      <c r="H110" s="1469">
        <v>41207</v>
      </c>
      <c r="I110" s="1467" t="s">
        <v>1097</v>
      </c>
      <c r="J110" s="1467" t="s">
        <v>177</v>
      </c>
      <c r="K110" s="1466">
        <v>2386</v>
      </c>
      <c r="L110" s="1467" t="s">
        <v>2007</v>
      </c>
      <c r="M110" s="1467" t="s">
        <v>1811</v>
      </c>
    </row>
    <row r="111" spans="4:13" ht="15" hidden="1">
      <c r="D111" s="1466">
        <v>6072</v>
      </c>
      <c r="E111" s="1467" t="s">
        <v>2008</v>
      </c>
      <c r="F111" s="1467" t="s">
        <v>2009</v>
      </c>
      <c r="G111" s="1468">
        <v>41204</v>
      </c>
      <c r="H111" s="1469">
        <v>41164</v>
      </c>
      <c r="I111" s="1467" t="s">
        <v>1097</v>
      </c>
      <c r="J111" s="1467" t="s">
        <v>177</v>
      </c>
      <c r="K111" s="1466">
        <v>2407</v>
      </c>
      <c r="L111" s="1467" t="s">
        <v>2010</v>
      </c>
      <c r="M111" s="1467" t="s">
        <v>1811</v>
      </c>
    </row>
    <row r="112" spans="4:13" ht="30" hidden="1">
      <c r="D112" s="1466">
        <v>6585</v>
      </c>
      <c r="E112" s="1467" t="s">
        <v>2011</v>
      </c>
      <c r="F112" s="1467" t="s">
        <v>232</v>
      </c>
      <c r="G112" s="1468">
        <v>41082</v>
      </c>
      <c r="H112" s="1469">
        <v>41078</v>
      </c>
      <c r="I112" s="1467" t="s">
        <v>1097</v>
      </c>
      <c r="J112" s="1467" t="s">
        <v>177</v>
      </c>
      <c r="K112" s="1466">
        <v>2444</v>
      </c>
      <c r="L112" s="1467" t="s">
        <v>2012</v>
      </c>
      <c r="M112" s="1467" t="s">
        <v>1811</v>
      </c>
    </row>
    <row r="113" spans="4:13" ht="30" hidden="1">
      <c r="D113" s="1466">
        <v>6587</v>
      </c>
      <c r="E113" s="1467" t="s">
        <v>2013</v>
      </c>
      <c r="F113" s="1467" t="s">
        <v>233</v>
      </c>
      <c r="G113" s="1468">
        <v>41021</v>
      </c>
      <c r="H113" s="482"/>
      <c r="I113" s="1467" t="s">
        <v>1097</v>
      </c>
      <c r="J113" s="1467" t="s">
        <v>177</v>
      </c>
      <c r="K113" s="1466">
        <v>2445</v>
      </c>
      <c r="L113" s="1467" t="s">
        <v>2014</v>
      </c>
      <c r="M113" s="1467" t="s">
        <v>1811</v>
      </c>
    </row>
    <row r="114" spans="4:13" ht="30" hidden="1">
      <c r="D114" s="1466">
        <v>6600</v>
      </c>
      <c r="E114" s="1467" t="s">
        <v>2015</v>
      </c>
      <c r="F114" s="1467" t="s">
        <v>234</v>
      </c>
      <c r="G114" s="1468">
        <v>41149</v>
      </c>
      <c r="H114" s="482"/>
      <c r="I114" s="1467" t="s">
        <v>1097</v>
      </c>
      <c r="J114" s="1467" t="s">
        <v>177</v>
      </c>
      <c r="K114" s="1466">
        <v>2452</v>
      </c>
      <c r="L114" s="1467" t="s">
        <v>2016</v>
      </c>
      <c r="M114" s="1467" t="s">
        <v>1811</v>
      </c>
    </row>
    <row r="115" spans="4:13" ht="60">
      <c r="D115" s="1466">
        <v>6609</v>
      </c>
      <c r="E115" s="1467" t="s">
        <v>2017</v>
      </c>
      <c r="F115" s="1467" t="s">
        <v>370</v>
      </c>
      <c r="G115" s="1468">
        <v>41411</v>
      </c>
      <c r="H115" s="482"/>
      <c r="I115" s="1467" t="s">
        <v>1097</v>
      </c>
      <c r="J115" s="1467" t="s">
        <v>1831</v>
      </c>
      <c r="K115" s="1466">
        <v>2455</v>
      </c>
      <c r="L115" s="1467" t="s">
        <v>2018</v>
      </c>
      <c r="M115" s="1467" t="s">
        <v>1324</v>
      </c>
    </row>
    <row r="116" spans="4:13" ht="45">
      <c r="D116" s="1466">
        <v>6610</v>
      </c>
      <c r="E116" s="1467" t="s">
        <v>2019</v>
      </c>
      <c r="F116" s="1467" t="s">
        <v>364</v>
      </c>
      <c r="G116" s="1468">
        <v>41243</v>
      </c>
      <c r="H116" s="482"/>
      <c r="I116" s="1467" t="s">
        <v>1097</v>
      </c>
      <c r="J116" s="1467" t="s">
        <v>1831</v>
      </c>
      <c r="K116" s="1466">
        <v>2456</v>
      </c>
      <c r="L116" s="1467" t="s">
        <v>2020</v>
      </c>
      <c r="M116" s="1467" t="s">
        <v>1324</v>
      </c>
    </row>
    <row r="117" spans="4:13" ht="30" hidden="1">
      <c r="D117" s="1466">
        <v>6611</v>
      </c>
      <c r="E117" s="1467" t="s">
        <v>2021</v>
      </c>
      <c r="F117" s="1467" t="s">
        <v>236</v>
      </c>
      <c r="G117" s="1468">
        <v>40943</v>
      </c>
      <c r="H117" s="482"/>
      <c r="I117" s="1467" t="s">
        <v>1097</v>
      </c>
      <c r="J117" s="1467" t="s">
        <v>177</v>
      </c>
      <c r="K117" s="1466">
        <v>2457</v>
      </c>
      <c r="L117" s="1467" t="s">
        <v>2022</v>
      </c>
      <c r="M117" s="1467" t="s">
        <v>1811</v>
      </c>
    </row>
    <row r="118" spans="4:13" ht="30" hidden="1">
      <c r="D118" s="1466">
        <v>6612</v>
      </c>
      <c r="E118" s="1467" t="s">
        <v>2023</v>
      </c>
      <c r="F118" s="1467" t="s">
        <v>237</v>
      </c>
      <c r="G118" s="1468">
        <v>41082</v>
      </c>
      <c r="H118" s="1469">
        <v>41078</v>
      </c>
      <c r="I118" s="1467" t="s">
        <v>1097</v>
      </c>
      <c r="J118" s="1467" t="s">
        <v>1831</v>
      </c>
      <c r="K118" s="1466">
        <v>2458</v>
      </c>
      <c r="L118" s="1467" t="s">
        <v>2024</v>
      </c>
      <c r="M118" s="1467" t="s">
        <v>1811</v>
      </c>
    </row>
    <row r="119" spans="4:13" ht="30">
      <c r="D119" s="1466">
        <v>6896</v>
      </c>
      <c r="E119" s="1467" t="s">
        <v>2025</v>
      </c>
      <c r="F119" s="1467" t="s">
        <v>363</v>
      </c>
      <c r="G119" s="1468">
        <v>41182</v>
      </c>
      <c r="H119" s="482"/>
      <c r="I119" s="1467" t="s">
        <v>1097</v>
      </c>
      <c r="J119" s="1467" t="s">
        <v>1831</v>
      </c>
      <c r="K119" s="1466">
        <v>2479</v>
      </c>
      <c r="L119" s="1467" t="s">
        <v>2026</v>
      </c>
      <c r="M119" s="1467" t="s">
        <v>1324</v>
      </c>
    </row>
    <row r="120" spans="4:13" ht="45">
      <c r="D120" s="1466">
        <v>6897</v>
      </c>
      <c r="E120" s="1467" t="s">
        <v>2027</v>
      </c>
      <c r="F120" s="1467" t="s">
        <v>2028</v>
      </c>
      <c r="G120" s="1468">
        <v>41182</v>
      </c>
      <c r="H120" s="482"/>
      <c r="I120" s="1467" t="s">
        <v>1097</v>
      </c>
      <c r="J120" s="1467" t="s">
        <v>1831</v>
      </c>
      <c r="K120" s="1466">
        <v>2480</v>
      </c>
      <c r="L120" s="1467" t="s">
        <v>2029</v>
      </c>
      <c r="M120" s="1467" t="s">
        <v>1324</v>
      </c>
    </row>
    <row r="121" spans="4:13" ht="30">
      <c r="D121" s="1466">
        <v>6898</v>
      </c>
      <c r="E121" s="1467" t="s">
        <v>2030</v>
      </c>
      <c r="F121" s="1467" t="s">
        <v>413</v>
      </c>
      <c r="G121" s="1468">
        <v>41182</v>
      </c>
      <c r="H121" s="482"/>
      <c r="I121" s="1467" t="s">
        <v>1097</v>
      </c>
      <c r="J121" s="1467" t="s">
        <v>1831</v>
      </c>
      <c r="K121" s="1466">
        <v>2481</v>
      </c>
      <c r="L121" s="1467" t="s">
        <v>2031</v>
      </c>
      <c r="M121" s="1467" t="s">
        <v>1324</v>
      </c>
    </row>
    <row r="122" spans="4:13" ht="30">
      <c r="D122" s="1466">
        <v>7016</v>
      </c>
      <c r="E122" s="1467" t="s">
        <v>2032</v>
      </c>
      <c r="F122" s="1467" t="s">
        <v>484</v>
      </c>
      <c r="G122" s="1468">
        <v>41182</v>
      </c>
      <c r="H122" s="482"/>
      <c r="I122" s="1467" t="s">
        <v>1097</v>
      </c>
      <c r="J122" s="1467" t="s">
        <v>1831</v>
      </c>
      <c r="K122" s="1466">
        <v>2496</v>
      </c>
      <c r="L122" s="1467" t="s">
        <v>2033</v>
      </c>
      <c r="M122" s="1467" t="s">
        <v>1324</v>
      </c>
    </row>
    <row r="123" spans="4:13" ht="30" hidden="1">
      <c r="D123" s="1466">
        <v>7019</v>
      </c>
      <c r="E123" s="1467" t="s">
        <v>2034</v>
      </c>
      <c r="F123" s="1467" t="s">
        <v>239</v>
      </c>
      <c r="G123" s="1468">
        <v>41214</v>
      </c>
      <c r="H123" s="1469">
        <v>41214</v>
      </c>
      <c r="I123" s="1467" t="s">
        <v>1097</v>
      </c>
      <c r="J123" s="1467" t="s">
        <v>177</v>
      </c>
      <c r="K123" s="1466">
        <v>2497</v>
      </c>
      <c r="L123" s="1467" t="s">
        <v>2035</v>
      </c>
      <c r="M123" s="1467" t="s">
        <v>1811</v>
      </c>
    </row>
    <row r="124" spans="4:13" ht="30">
      <c r="D124" s="1466">
        <v>7371</v>
      </c>
      <c r="E124" s="1467" t="s">
        <v>2036</v>
      </c>
      <c r="F124" s="1467" t="s">
        <v>240</v>
      </c>
      <c r="G124" s="1468">
        <v>41485</v>
      </c>
      <c r="H124" s="482"/>
      <c r="I124" s="1467" t="s">
        <v>1097</v>
      </c>
      <c r="J124" s="1467" t="s">
        <v>1831</v>
      </c>
      <c r="K124" s="1466">
        <v>2527</v>
      </c>
      <c r="L124" s="1467" t="s">
        <v>2037</v>
      </c>
      <c r="M124" s="1467" t="s">
        <v>1324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4" customWidth="1"/>
    <col min="2" max="2" width="47.140625" style="434" bestFit="1" customWidth="1"/>
    <col min="3" max="3" width="27" style="434" customWidth="1"/>
    <col min="4" max="4" width="34.7109375" style="434" bestFit="1" customWidth="1"/>
    <col min="5" max="5" width="15" style="434" bestFit="1" customWidth="1"/>
    <col min="6" max="6" width="43.28515625" style="434" bestFit="1" customWidth="1"/>
    <col min="7" max="7" width="15.140625" style="434" bestFit="1" customWidth="1"/>
    <col min="8" max="16384" width="9.140625" style="434"/>
  </cols>
  <sheetData>
    <row r="1" spans="2:7">
      <c r="C1" s="435"/>
      <c r="D1" s="436"/>
    </row>
    <row r="3" spans="2:7">
      <c r="B3" s="437" t="s">
        <v>2038</v>
      </c>
      <c r="G3" s="435" t="s">
        <v>2039</v>
      </c>
    </row>
    <row r="4" spans="2:7">
      <c r="B4" s="446" t="s">
        <v>2040</v>
      </c>
      <c r="C4" s="446" t="s">
        <v>2041</v>
      </c>
      <c r="D4" s="446" t="s">
        <v>990</v>
      </c>
      <c r="E4" s="435"/>
      <c r="F4" s="1470" t="s">
        <v>2042</v>
      </c>
      <c r="G4" s="1471" t="e">
        <f>(C10*G7)/G5</f>
        <v>#REF!</v>
      </c>
    </row>
    <row r="5" spans="2:7">
      <c r="B5" s="1472" t="s">
        <v>2043</v>
      </c>
      <c r="C5" s="1473"/>
      <c r="D5" s="1474"/>
      <c r="F5" s="1470" t="s">
        <v>2044</v>
      </c>
      <c r="G5" s="1475" t="e">
        <f>(((1+C7)^G6)*C7)/(((1+C7)^G6)-1)</f>
        <v>#REF!</v>
      </c>
    </row>
    <row r="6" spans="2:7">
      <c r="B6" s="1472" t="s">
        <v>2045</v>
      </c>
      <c r="C6" s="1473"/>
      <c r="D6" s="1474"/>
      <c r="F6" s="1470" t="s">
        <v>2046</v>
      </c>
      <c r="G6" s="1476" t="e">
        <f>G7/(C8*C9)</f>
        <v>#REF!</v>
      </c>
    </row>
    <row r="7" spans="2:7">
      <c r="B7" s="1472" t="s">
        <v>2047</v>
      </c>
      <c r="C7" s="1477">
        <f>'BD-NET'!Q201</f>
        <v>8.1942000000000001E-2</v>
      </c>
      <c r="D7" s="1474"/>
      <c r="F7" s="1470" t="s">
        <v>2048</v>
      </c>
      <c r="G7" s="1478">
        <f>12*(20000*C6+10000*C5)</f>
        <v>0</v>
      </c>
    </row>
    <row r="8" spans="2:7">
      <c r="B8" s="1472" t="s">
        <v>2049</v>
      </c>
      <c r="C8" s="1479" t="e">
        <f>C24</f>
        <v>#REF!</v>
      </c>
      <c r="D8" s="1480" t="s">
        <v>2050</v>
      </c>
    </row>
    <row r="9" spans="2:7">
      <c r="B9" s="1472" t="s">
        <v>2051</v>
      </c>
      <c r="C9" s="1481"/>
      <c r="D9" s="1474"/>
    </row>
    <row r="10" spans="2:7">
      <c r="B10" s="1472" t="s">
        <v>2052</v>
      </c>
      <c r="C10" s="1482" t="e">
        <f>F14</f>
        <v>#REF!</v>
      </c>
      <c r="D10" s="1474"/>
    </row>
    <row r="12" spans="2:7">
      <c r="B12" s="446" t="s">
        <v>2053</v>
      </c>
      <c r="C12" s="446" t="s">
        <v>855</v>
      </c>
      <c r="D12" s="446" t="s">
        <v>2054</v>
      </c>
      <c r="E12" s="446" t="s">
        <v>2055</v>
      </c>
      <c r="F12" s="446" t="s">
        <v>2056</v>
      </c>
    </row>
    <row r="13" spans="2:7" ht="13.5" thickBot="1">
      <c r="B13" s="1472" t="s">
        <v>2057</v>
      </c>
      <c r="C13" s="1483" t="e">
        <f>C38</f>
        <v>#REF!</v>
      </c>
      <c r="D13" s="1472"/>
      <c r="E13" s="1472"/>
      <c r="F13" s="1484"/>
    </row>
    <row r="14" spans="2:7" ht="13.5" thickBot="1">
      <c r="B14" s="1472" t="s">
        <v>2058</v>
      </c>
      <c r="C14" s="1483" t="e">
        <f>(C32+E55)*($C$38/$C$35)</f>
        <v>#REF!</v>
      </c>
      <c r="D14" s="1485" t="e">
        <f>$C$17*(C14/($C$14+$C$15+$C$16))</f>
        <v>#REF!</v>
      </c>
      <c r="E14" s="1486" t="e">
        <f>C14-D14</f>
        <v>#REF!</v>
      </c>
      <c r="F14" s="469" t="e">
        <f>E14/$C$13</f>
        <v>#REF!</v>
      </c>
      <c r="G14" s="470" t="s">
        <v>2059</v>
      </c>
    </row>
    <row r="15" spans="2:7">
      <c r="B15" s="1472" t="s">
        <v>2060</v>
      </c>
      <c r="C15" s="1483" t="e">
        <f>C27*($C$38/$C$35)</f>
        <v>#REF!</v>
      </c>
      <c r="D15" s="1485" t="e">
        <f>$C$17*(C15/($C$14+$C$15+$C$16))</f>
        <v>#REF!</v>
      </c>
      <c r="E15" s="1485" t="e">
        <f>C15-D15</f>
        <v>#REF!</v>
      </c>
      <c r="F15" s="1668" t="e">
        <f>E15/$C$13</f>
        <v>#REF!</v>
      </c>
    </row>
    <row r="16" spans="2:7">
      <c r="B16" s="1472" t="s">
        <v>2061</v>
      </c>
      <c r="C16" s="1483" t="e">
        <f>(C33+D54)*($C$38/$C$35)</f>
        <v>#REF!</v>
      </c>
      <c r="D16" s="1485" t="e">
        <f>$C$17*(C16/($C$14+$C$15+$C$16))</f>
        <v>#REF!</v>
      </c>
      <c r="E16" s="1485" t="e">
        <f>C16-D16</f>
        <v>#REF!</v>
      </c>
      <c r="F16" s="1487" t="e">
        <f>E16/$C$13</f>
        <v>#REF!</v>
      </c>
    </row>
    <row r="17" spans="2:6">
      <c r="B17" s="1472" t="s">
        <v>2062</v>
      </c>
      <c r="C17" s="1483" t="e">
        <f>C39</f>
        <v>#REF!</v>
      </c>
      <c r="D17" s="1472"/>
      <c r="E17" s="1472"/>
      <c r="F17" s="1488" t="e">
        <f>C17/C13</f>
        <v>#REF!</v>
      </c>
    </row>
    <row r="18" spans="2:6">
      <c r="D18" s="451" t="e">
        <f>SUM(D14:D17)</f>
        <v>#REF!</v>
      </c>
      <c r="F18" s="1489" t="e">
        <f>SUM(F14:F17)</f>
        <v>#REF!</v>
      </c>
    </row>
    <row r="19" spans="2:6">
      <c r="B19" s="442" t="s">
        <v>2063</v>
      </c>
    </row>
    <row r="20" spans="2:6">
      <c r="B20" s="442"/>
    </row>
    <row r="21" spans="2:6">
      <c r="B21" s="1490" t="s">
        <v>2064</v>
      </c>
      <c r="C21" s="1491" t="e">
        <f>LnkTxtPBCAOMCAA</f>
        <v>#NAME?</v>
      </c>
    </row>
    <row r="22" spans="2:6">
      <c r="B22" s="443" t="s">
        <v>2065</v>
      </c>
      <c r="C22" s="444">
        <v>1.15E-2</v>
      </c>
    </row>
    <row r="23" spans="2:6">
      <c r="B23" s="443" t="s">
        <v>2066</v>
      </c>
      <c r="C23" s="444">
        <v>0</v>
      </c>
    </row>
    <row r="24" spans="2:6">
      <c r="B24" s="1490" t="s">
        <v>2067</v>
      </c>
      <c r="C24" s="1491" t="e">
        <f>#REF!+#REF!</f>
        <v>#REF!</v>
      </c>
    </row>
    <row r="27" spans="2:6">
      <c r="B27" s="1490" t="s">
        <v>2068</v>
      </c>
      <c r="C27" s="1491" t="e">
        <f>#REF!</f>
        <v>#REF!</v>
      </c>
    </row>
    <row r="28" spans="2:6">
      <c r="B28" s="443" t="s">
        <v>2069</v>
      </c>
      <c r="C28" s="449" t="e">
        <f>#REF!</f>
        <v>#REF!</v>
      </c>
    </row>
    <row r="29" spans="2:6">
      <c r="B29" s="443" t="s">
        <v>2070</v>
      </c>
      <c r="C29" s="449"/>
    </row>
    <row r="30" spans="2:6">
      <c r="B30" s="443" t="s">
        <v>2071</v>
      </c>
      <c r="C30" s="449" t="e">
        <f>#REF!</f>
        <v>#REF!</v>
      </c>
    </row>
    <row r="31" spans="2:6">
      <c r="B31" s="1490" t="s">
        <v>2072</v>
      </c>
      <c r="C31" s="1491" t="e">
        <f>#REF!</f>
        <v>#REF!</v>
      </c>
    </row>
    <row r="32" spans="2:6">
      <c r="B32" s="443" t="s">
        <v>2073</v>
      </c>
      <c r="C32" s="449" t="e">
        <f>#REF!</f>
        <v>#REF!</v>
      </c>
    </row>
    <row r="33" spans="2:4">
      <c r="B33" s="443" t="s">
        <v>2074</v>
      </c>
      <c r="C33" s="449" t="e">
        <f>#REF!</f>
        <v>#REF!</v>
      </c>
    </row>
    <row r="34" spans="2:4">
      <c r="B34" s="443" t="s">
        <v>2075</v>
      </c>
      <c r="C34" s="449" t="e">
        <f>#REF!</f>
        <v>#REF!</v>
      </c>
    </row>
    <row r="35" spans="2:4">
      <c r="B35" s="1490" t="s">
        <v>2064</v>
      </c>
      <c r="C35" s="1491" t="e">
        <f>C21</f>
        <v>#NAME?</v>
      </c>
    </row>
    <row r="36" spans="2:4">
      <c r="B36" s="443" t="s">
        <v>2065</v>
      </c>
      <c r="C36" s="444">
        <f>C22</f>
        <v>1.15E-2</v>
      </c>
    </row>
    <row r="37" spans="2:4">
      <c r="B37" s="443" t="s">
        <v>2066</v>
      </c>
      <c r="C37" s="444">
        <f>C23</f>
        <v>0</v>
      </c>
    </row>
    <row r="38" spans="2:4">
      <c r="B38" s="1490" t="s">
        <v>2067</v>
      </c>
      <c r="C38" s="1491" t="e">
        <f>C24</f>
        <v>#REF!</v>
      </c>
    </row>
    <row r="39" spans="2:4">
      <c r="B39" s="443" t="s">
        <v>2076</v>
      </c>
      <c r="C39" s="449" t="e">
        <f>#REF!</f>
        <v>#REF!</v>
      </c>
    </row>
    <row r="40" spans="2:4">
      <c r="B40" s="1669" t="s">
        <v>2077</v>
      </c>
      <c r="C40" s="1670" t="e">
        <f>#REF!</f>
        <v>#REF!</v>
      </c>
    </row>
    <row r="42" spans="2:4" ht="15" customHeight="1"/>
    <row r="43" spans="2:4">
      <c r="B43" s="442"/>
    </row>
    <row r="45" spans="2:4">
      <c r="B45" s="460"/>
      <c r="C45" s="460"/>
      <c r="D45" s="463"/>
    </row>
    <row r="46" spans="2:4">
      <c r="B46" s="461"/>
      <c r="C46" s="461"/>
    </row>
    <row r="47" spans="2:4">
      <c r="B47" s="65"/>
      <c r="C47" s="462"/>
      <c r="D47" s="464"/>
    </row>
    <row r="48" spans="2:4">
      <c r="B48" s="65"/>
      <c r="C48" s="462"/>
      <c r="D48" s="464"/>
    </row>
    <row r="49" spans="2:6">
      <c r="B49" s="65"/>
      <c r="C49" s="462"/>
      <c r="D49" s="464"/>
    </row>
    <row r="50" spans="2:6">
      <c r="B50" s="65"/>
      <c r="C50" s="462"/>
      <c r="D50" s="453"/>
    </row>
    <row r="51" spans="2:6">
      <c r="B51" s="65"/>
      <c r="C51" s="462"/>
      <c r="D51" s="465"/>
      <c r="E51" s="453"/>
    </row>
    <row r="52" spans="2:6">
      <c r="B52" s="65"/>
      <c r="C52" s="462"/>
      <c r="D52" s="465"/>
      <c r="E52" s="454"/>
      <c r="F52" s="455"/>
    </row>
    <row r="53" spans="2:6">
      <c r="B53" s="65"/>
      <c r="C53" s="462"/>
      <c r="D53" s="465"/>
      <c r="E53" s="454"/>
      <c r="F53" s="452"/>
    </row>
    <row r="54" spans="2:6">
      <c r="B54" s="466"/>
      <c r="C54" s="467"/>
      <c r="D54" s="468"/>
      <c r="E54" s="454"/>
      <c r="F54" s="452"/>
    </row>
    <row r="55" spans="2:6">
      <c r="E55" s="456"/>
      <c r="F55" s="45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4" customWidth="1"/>
    <col min="2" max="2" width="33.28515625" style="434" customWidth="1"/>
    <col min="3" max="3" width="21" style="434" customWidth="1"/>
    <col min="4" max="4" width="31.7109375" style="434" bestFit="1" customWidth="1"/>
    <col min="5" max="5" width="48.140625" style="434" customWidth="1"/>
    <col min="6" max="6" width="45.5703125" style="434" customWidth="1"/>
    <col min="7" max="7" width="7.7109375" style="434" customWidth="1"/>
    <col min="8" max="8" width="30.42578125" style="434" bestFit="1" customWidth="1"/>
    <col min="9" max="10" width="9.140625" style="434"/>
    <col min="11" max="11" width="11.140625" style="434" customWidth="1"/>
    <col min="12" max="16384" width="9.140625" style="434"/>
  </cols>
  <sheetData>
    <row r="1" spans="2:17">
      <c r="C1" s="435"/>
      <c r="D1" s="436"/>
    </row>
    <row r="2" spans="2:17">
      <c r="B2" s="437" t="s">
        <v>2078</v>
      </c>
      <c r="C2" s="438"/>
      <c r="H2" s="439" t="s">
        <v>2079</v>
      </c>
    </row>
    <row r="3" spans="2:17">
      <c r="B3" s="1492" t="s">
        <v>2040</v>
      </c>
      <c r="C3" s="1492" t="s">
        <v>2041</v>
      </c>
      <c r="D3" s="1493" t="s">
        <v>990</v>
      </c>
      <c r="E3" s="1493" t="s">
        <v>2080</v>
      </c>
      <c r="F3" s="1493" t="s">
        <v>2081</v>
      </c>
      <c r="H3" s="439" t="s">
        <v>2082</v>
      </c>
      <c r="M3" s="434" t="s">
        <v>2083</v>
      </c>
      <c r="O3" s="434" t="s">
        <v>2083</v>
      </c>
      <c r="P3" s="434" t="s">
        <v>2083</v>
      </c>
    </row>
    <row r="4" spans="2:17">
      <c r="B4" s="1494" t="s">
        <v>2084</v>
      </c>
      <c r="C4" s="1495" t="e">
        <f>12*C5*(1-$E$13)*1/$E$16</f>
        <v>#DIV/0!</v>
      </c>
      <c r="D4" s="1474" t="s">
        <v>2085</v>
      </c>
      <c r="E4" s="1474"/>
      <c r="F4" s="1474"/>
      <c r="H4" s="1492" t="s">
        <v>2086</v>
      </c>
      <c r="I4" s="1492" t="s">
        <v>1218</v>
      </c>
      <c r="J4" s="1492" t="s">
        <v>2087</v>
      </c>
      <c r="K4" s="1492" t="s">
        <v>2088</v>
      </c>
      <c r="L4" s="1492" t="s">
        <v>1219</v>
      </c>
      <c r="M4" s="1492" t="s">
        <v>1029</v>
      </c>
      <c r="N4" s="1492" t="s">
        <v>650</v>
      </c>
      <c r="O4" s="1492" t="s">
        <v>654</v>
      </c>
      <c r="P4" s="1492" t="s">
        <v>652</v>
      </c>
      <c r="Q4" s="1492" t="s">
        <v>655</v>
      </c>
    </row>
    <row r="5" spans="2:17">
      <c r="B5" s="1494" t="s">
        <v>2045</v>
      </c>
      <c r="C5" s="1496"/>
      <c r="D5" s="1474"/>
      <c r="E5" s="1474"/>
      <c r="F5" s="1474" t="s">
        <v>2089</v>
      </c>
      <c r="H5" s="1494" t="s">
        <v>2084</v>
      </c>
      <c r="I5" s="1495" t="e">
        <f t="shared" ref="I5:Q5" si="0">12*I6*(1-$E$13)*1/$E$16</f>
        <v>#DIV/0!</v>
      </c>
      <c r="J5" s="1495" t="e">
        <f t="shared" si="0"/>
        <v>#DIV/0!</v>
      </c>
      <c r="K5" s="1495" t="e">
        <f t="shared" si="0"/>
        <v>#DIV/0!</v>
      </c>
      <c r="L5" s="1495" t="e">
        <f t="shared" si="0"/>
        <v>#DIV/0!</v>
      </c>
      <c r="M5" s="1495" t="e">
        <f t="shared" si="0"/>
        <v>#DIV/0!</v>
      </c>
      <c r="N5" s="1495" t="e">
        <f t="shared" si="0"/>
        <v>#DIV/0!</v>
      </c>
      <c r="O5" s="1495" t="e">
        <f t="shared" si="0"/>
        <v>#DIV/0!</v>
      </c>
      <c r="P5" s="1495" t="e">
        <f t="shared" si="0"/>
        <v>#DIV/0!</v>
      </c>
      <c r="Q5" s="1495" t="e">
        <f t="shared" si="0"/>
        <v>#DIV/0!</v>
      </c>
    </row>
    <row r="6" spans="2:17">
      <c r="B6" s="1494" t="s">
        <v>2090</v>
      </c>
      <c r="C6" s="1497"/>
      <c r="D6" s="1474" t="s">
        <v>2091</v>
      </c>
      <c r="E6" s="1474"/>
      <c r="F6" s="1498"/>
      <c r="H6" s="1494" t="s">
        <v>2045</v>
      </c>
      <c r="I6" s="1499"/>
      <c r="J6" s="1499"/>
      <c r="K6" s="1499"/>
      <c r="L6" s="1499"/>
      <c r="M6" s="1473"/>
      <c r="N6" s="1500"/>
      <c r="O6" s="1473"/>
      <c r="P6" s="1473"/>
      <c r="Q6" s="1473"/>
    </row>
    <row r="7" spans="2:17">
      <c r="B7" s="1494" t="s">
        <v>2092</v>
      </c>
      <c r="C7" s="1497"/>
      <c r="D7" s="1474" t="s">
        <v>2093</v>
      </c>
      <c r="E7" s="1474"/>
      <c r="F7" s="1498"/>
      <c r="H7" s="1494" t="s">
        <v>2090</v>
      </c>
      <c r="I7" s="1850">
        <f>C6</f>
        <v>0</v>
      </c>
      <c r="J7" s="1851"/>
      <c r="K7" s="1851"/>
      <c r="L7" s="1851"/>
      <c r="M7" s="1851"/>
      <c r="N7" s="1851"/>
      <c r="O7" s="1851"/>
      <c r="P7" s="1851"/>
      <c r="Q7" s="1852"/>
    </row>
    <row r="8" spans="2:17">
      <c r="B8" s="1494" t="s">
        <v>2094</v>
      </c>
      <c r="C8" s="1501"/>
      <c r="D8" s="1474" t="s">
        <v>2095</v>
      </c>
      <c r="E8" s="1474" t="s">
        <v>2096</v>
      </c>
      <c r="F8" s="1502"/>
      <c r="G8" s="440"/>
      <c r="H8" s="1494" t="s">
        <v>2094</v>
      </c>
      <c r="I8" s="1853">
        <f>C8</f>
        <v>0</v>
      </c>
      <c r="J8" s="1854"/>
      <c r="K8" s="1854"/>
      <c r="L8" s="1854"/>
      <c r="M8" s="1854"/>
      <c r="N8" s="1854"/>
      <c r="O8" s="1854"/>
      <c r="P8" s="1854"/>
      <c r="Q8" s="1855"/>
    </row>
    <row r="9" spans="2:17">
      <c r="B9" s="1494" t="s">
        <v>2097</v>
      </c>
      <c r="C9" s="1497"/>
      <c r="D9" s="1474" t="s">
        <v>2098</v>
      </c>
      <c r="E9" s="1474"/>
      <c r="F9" s="1502"/>
      <c r="H9" s="1494" t="s">
        <v>2097</v>
      </c>
      <c r="I9" s="1850">
        <f>C9</f>
        <v>0</v>
      </c>
      <c r="J9" s="1851"/>
      <c r="K9" s="1851"/>
      <c r="L9" s="1851"/>
      <c r="M9" s="1851"/>
      <c r="N9" s="1851"/>
      <c r="O9" s="1851"/>
      <c r="P9" s="1851"/>
      <c r="Q9" s="1852"/>
    </row>
    <row r="10" spans="2:17">
      <c r="B10" s="1494" t="s">
        <v>2099</v>
      </c>
      <c r="C10" s="1501"/>
      <c r="D10" s="1474" t="s">
        <v>2100</v>
      </c>
      <c r="E10" s="1474" t="s">
        <v>2101</v>
      </c>
      <c r="F10" s="1502"/>
      <c r="G10" s="440"/>
      <c r="H10" s="1494" t="s">
        <v>2099</v>
      </c>
      <c r="I10" s="1856">
        <f>C10</f>
        <v>0</v>
      </c>
      <c r="J10" s="1857"/>
      <c r="K10" s="1857"/>
      <c r="L10" s="1857"/>
      <c r="M10" s="1857"/>
      <c r="N10" s="1857"/>
      <c r="O10" s="1857"/>
      <c r="P10" s="1857"/>
      <c r="Q10" s="1858"/>
    </row>
    <row r="12" spans="2:17">
      <c r="D12" s="437" t="s">
        <v>2102</v>
      </c>
    </row>
    <row r="13" spans="2:17">
      <c r="D13" s="1470" t="s">
        <v>2103</v>
      </c>
      <c r="E13" s="1503" t="e">
        <f>C10/C8</f>
        <v>#DIV/0!</v>
      </c>
      <c r="H13" s="439" t="s">
        <v>2104</v>
      </c>
      <c r="M13" s="441">
        <v>4.2321999999999997</v>
      </c>
    </row>
    <row r="14" spans="2:17">
      <c r="D14" s="1470" t="s">
        <v>2105</v>
      </c>
      <c r="E14" s="1504" t="e">
        <f>1/C9</f>
        <v>#DIV/0!</v>
      </c>
      <c r="H14" s="439" t="s">
        <v>2106</v>
      </c>
      <c r="M14" s="434">
        <v>1.01916916988504</v>
      </c>
    </row>
    <row r="15" spans="2:17">
      <c r="D15" s="1470" t="s">
        <v>2107</v>
      </c>
      <c r="E15" s="1505">
        <f>ROUND(C6/(1-C7),4)</f>
        <v>0</v>
      </c>
      <c r="H15" s="439" t="s">
        <v>2108</v>
      </c>
      <c r="M15" s="434">
        <f>M13*M14</f>
        <v>4.313327760787466</v>
      </c>
    </row>
    <row r="16" spans="2:17">
      <c r="D16" s="1470" t="s">
        <v>2044</v>
      </c>
      <c r="E16" s="1506" t="e">
        <f>(((1+E15)^E14)*E15)/((1+E15)^E14-1)</f>
        <v>#DIV/0!</v>
      </c>
      <c r="H16" s="439" t="s">
        <v>2109</v>
      </c>
      <c r="M16" s="434">
        <v>0.3</v>
      </c>
    </row>
    <row r="17" spans="2:13">
      <c r="H17" s="439" t="s">
        <v>2110</v>
      </c>
      <c r="M17" s="434">
        <v>0.4</v>
      </c>
    </row>
    <row r="18" spans="2:13">
      <c r="H18" s="439" t="s">
        <v>2111</v>
      </c>
      <c r="M18" s="434">
        <v>0</v>
      </c>
    </row>
    <row r="20" spans="2:13">
      <c r="B20" s="1490" t="s">
        <v>2064</v>
      </c>
      <c r="C20" s="1491" t="e">
        <f>'REN 473'!C21</f>
        <v>#NAME?</v>
      </c>
      <c r="E20" s="442" t="s">
        <v>2112</v>
      </c>
      <c r="F20" s="442"/>
    </row>
    <row r="21" spans="2:13">
      <c r="B21" s="443" t="s">
        <v>2065</v>
      </c>
      <c r="C21" s="444">
        <f>'REN 473'!C22</f>
        <v>1.15E-2</v>
      </c>
      <c r="E21" s="445" t="s">
        <v>906</v>
      </c>
      <c r="F21" s="446" t="s">
        <v>36</v>
      </c>
    </row>
    <row r="22" spans="2:13">
      <c r="B22" s="443" t="s">
        <v>2066</v>
      </c>
      <c r="C22" s="444">
        <f>'REN 473'!C23</f>
        <v>0</v>
      </c>
      <c r="E22" s="447" t="s">
        <v>2113</v>
      </c>
      <c r="F22" s="448"/>
    </row>
    <row r="23" spans="2:13">
      <c r="B23" s="1490" t="s">
        <v>2067</v>
      </c>
      <c r="C23" s="1491" t="e">
        <f>'REN 473'!C24</f>
        <v>#REF!</v>
      </c>
      <c r="E23" s="447" t="s">
        <v>2114</v>
      </c>
      <c r="F23" s="448"/>
    </row>
    <row r="24" spans="2:13">
      <c r="E24" s="447" t="s">
        <v>2115</v>
      </c>
      <c r="F24" s="448"/>
    </row>
    <row r="25" spans="2:13">
      <c r="B25" s="1490" t="s">
        <v>2068</v>
      </c>
      <c r="C25" s="1507"/>
      <c r="E25" s="447" t="s">
        <v>2116</v>
      </c>
      <c r="F25" s="448"/>
    </row>
    <row r="26" spans="2:13">
      <c r="B26" s="443" t="s">
        <v>2069</v>
      </c>
      <c r="C26" s="471"/>
      <c r="E26" s="1508" t="s">
        <v>2117</v>
      </c>
      <c r="F26" s="1509"/>
    </row>
    <row r="27" spans="2:13">
      <c r="B27" s="443" t="s">
        <v>2070</v>
      </c>
      <c r="C27" s="471"/>
      <c r="E27" s="447" t="s">
        <v>2118</v>
      </c>
      <c r="F27" s="450"/>
    </row>
    <row r="28" spans="2:13">
      <c r="B28" s="1669" t="s">
        <v>2071</v>
      </c>
      <c r="C28" s="1671"/>
      <c r="E28" s="1508" t="s">
        <v>2119</v>
      </c>
      <c r="F28" s="1509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2120</v>
      </c>
      <c r="C2" s="9" t="s">
        <v>36</v>
      </c>
    </row>
    <row r="3" spans="2:3">
      <c r="B3" s="64" t="s">
        <v>2121</v>
      </c>
      <c r="C3" t="e">
        <f t="shared" ref="C3:C66" ca="1" si="0">INDIRECT(B3)</f>
        <v>#REF!</v>
      </c>
    </row>
    <row r="4" spans="2:3">
      <c r="B4" s="64" t="s">
        <v>2122</v>
      </c>
      <c r="C4" t="e">
        <f t="shared" ca="1" si="0"/>
        <v>#REF!</v>
      </c>
    </row>
    <row r="5" spans="2:3">
      <c r="B5" s="64" t="s">
        <v>2123</v>
      </c>
      <c r="C5" t="e">
        <f t="shared" ca="1" si="0"/>
        <v>#REF!</v>
      </c>
    </row>
    <row r="6" spans="2:3">
      <c r="B6" s="64" t="s">
        <v>2124</v>
      </c>
      <c r="C6" t="e">
        <f t="shared" ca="1" si="0"/>
        <v>#REF!</v>
      </c>
    </row>
    <row r="7" spans="2:3">
      <c r="B7" s="64" t="s">
        <v>2125</v>
      </c>
      <c r="C7" t="e">
        <f t="shared" ca="1" si="0"/>
        <v>#REF!</v>
      </c>
    </row>
    <row r="8" spans="2:3">
      <c r="B8" s="64" t="s">
        <v>2126</v>
      </c>
      <c r="C8" t="e">
        <f t="shared" ca="1" si="0"/>
        <v>#REF!</v>
      </c>
    </row>
    <row r="9" spans="2:3">
      <c r="B9" s="64" t="s">
        <v>2127</v>
      </c>
      <c r="C9" t="e">
        <f t="shared" ca="1" si="0"/>
        <v>#REF!</v>
      </c>
    </row>
    <row r="10" spans="2:3">
      <c r="B10" s="64" t="s">
        <v>2128</v>
      </c>
      <c r="C10" t="e">
        <f t="shared" ca="1" si="0"/>
        <v>#REF!</v>
      </c>
    </row>
    <row r="11" spans="2:3">
      <c r="B11" s="64" t="s">
        <v>2129</v>
      </c>
      <c r="C11" t="e">
        <f t="shared" ca="1" si="0"/>
        <v>#REF!</v>
      </c>
    </row>
    <row r="12" spans="2:3">
      <c r="B12" s="63" t="s">
        <v>2130</v>
      </c>
      <c r="C12" t="e">
        <f t="shared" ca="1" si="0"/>
        <v>#REF!</v>
      </c>
    </row>
    <row r="13" spans="2:3">
      <c r="B13" s="63" t="s">
        <v>2131</v>
      </c>
      <c r="C13" t="e">
        <f t="shared" ca="1" si="0"/>
        <v>#REF!</v>
      </c>
    </row>
    <row r="14" spans="2:3">
      <c r="B14" s="63" t="s">
        <v>2132</v>
      </c>
      <c r="C14">
        <f t="shared" ca="1" si="0"/>
        <v>2022</v>
      </c>
    </row>
    <row r="15" spans="2:3">
      <c r="B15" s="63" t="s">
        <v>2133</v>
      </c>
      <c r="C15">
        <f t="shared" ca="1" si="0"/>
        <v>2022</v>
      </c>
    </row>
    <row r="16" spans="2:3">
      <c r="B16" s="63" t="s">
        <v>2134</v>
      </c>
      <c r="C16">
        <f t="shared" ca="1" si="0"/>
        <v>44772</v>
      </c>
    </row>
    <row r="17" spans="2:3">
      <c r="B17" s="63" t="s">
        <v>2135</v>
      </c>
      <c r="C17">
        <f t="shared" ca="1" si="0"/>
        <v>118365.851</v>
      </c>
    </row>
    <row r="18" spans="2:3">
      <c r="B18" s="63" t="s">
        <v>2136</v>
      </c>
      <c r="C18">
        <f t="shared" ca="1" si="0"/>
        <v>0</v>
      </c>
    </row>
    <row r="19" spans="2:3">
      <c r="B19" s="63" t="s">
        <v>2137</v>
      </c>
      <c r="C19">
        <f t="shared" ca="1" si="0"/>
        <v>88977.127999999982</v>
      </c>
    </row>
    <row r="20" spans="2:3">
      <c r="B20" s="63" t="s">
        <v>2138</v>
      </c>
      <c r="C20" t="e">
        <f t="shared" ca="1" si="0"/>
        <v>#VALUE!</v>
      </c>
    </row>
    <row r="21" spans="2:3">
      <c r="B21" s="63" t="s">
        <v>2139</v>
      </c>
      <c r="C21">
        <f t="shared" ca="1" si="0"/>
        <v>598</v>
      </c>
    </row>
    <row r="22" spans="2:3">
      <c r="B22" s="63" t="s">
        <v>1204</v>
      </c>
      <c r="C22">
        <f t="shared" ca="1" si="0"/>
        <v>246</v>
      </c>
    </row>
    <row r="23" spans="2:3">
      <c r="B23" s="63" t="s">
        <v>2140</v>
      </c>
      <c r="C23">
        <f t="shared" ca="1" si="0"/>
        <v>5.9458041541695102E-2</v>
      </c>
    </row>
    <row r="24" spans="2:3">
      <c r="B24" s="63" t="s">
        <v>2141</v>
      </c>
      <c r="C24" t="e">
        <f t="shared" ca="1" si="0"/>
        <v>#REF!</v>
      </c>
    </row>
    <row r="25" spans="2:3">
      <c r="B25" s="63" t="s">
        <v>2142</v>
      </c>
      <c r="C25">
        <f t="shared" ca="1" si="0"/>
        <v>0</v>
      </c>
    </row>
    <row r="26" spans="2:3">
      <c r="B26" s="63" t="s">
        <v>2143</v>
      </c>
      <c r="C26">
        <f t="shared" ca="1" si="0"/>
        <v>0</v>
      </c>
    </row>
    <row r="27" spans="2:3">
      <c r="B27" s="63" t="s">
        <v>2144</v>
      </c>
      <c r="C27" t="e">
        <f t="shared" ca="1" si="0"/>
        <v>#REF!</v>
      </c>
    </row>
    <row r="28" spans="2:3">
      <c r="B28" s="63" t="s">
        <v>2145</v>
      </c>
      <c r="C28" t="e">
        <f t="shared" ca="1" si="0"/>
        <v>#REF!</v>
      </c>
    </row>
    <row r="29" spans="2:3">
      <c r="B29" s="63" t="s">
        <v>2146</v>
      </c>
      <c r="C29">
        <f t="shared" ca="1" si="0"/>
        <v>0</v>
      </c>
    </row>
    <row r="30" spans="2:3">
      <c r="B30" s="63" t="s">
        <v>2147</v>
      </c>
      <c r="C30">
        <f t="shared" ca="1" si="0"/>
        <v>10678</v>
      </c>
    </row>
    <row r="31" spans="2:3">
      <c r="B31" s="63" t="s">
        <v>2148</v>
      </c>
      <c r="C31">
        <f t="shared" ca="1" si="0"/>
        <v>44772</v>
      </c>
    </row>
    <row r="32" spans="2:3">
      <c r="B32" s="63" t="s">
        <v>2149</v>
      </c>
      <c r="C32" t="e">
        <f t="shared" ca="1" si="0"/>
        <v>#REF!</v>
      </c>
    </row>
    <row r="33" spans="2:3">
      <c r="B33" s="63" t="s">
        <v>2150</v>
      </c>
      <c r="C33">
        <f t="shared" ca="1" si="0"/>
        <v>0.19776122457812598</v>
      </c>
    </row>
    <row r="34" spans="2:3">
      <c r="B34" s="63" t="s">
        <v>2151</v>
      </c>
      <c r="C34" t="e">
        <f t="shared" ca="1" si="0"/>
        <v>#REF!</v>
      </c>
    </row>
    <row r="35" spans="2:3">
      <c r="B35" s="63" t="s">
        <v>2152</v>
      </c>
      <c r="C35">
        <f t="shared" ca="1" si="0"/>
        <v>-240275.83418137633</v>
      </c>
    </row>
    <row r="36" spans="2:3">
      <c r="B36" s="63" t="s">
        <v>2153</v>
      </c>
      <c r="C36" t="e">
        <f t="shared" ca="1" si="0"/>
        <v>#REF!</v>
      </c>
    </row>
    <row r="37" spans="2:3">
      <c r="B37" s="63" t="s">
        <v>2154</v>
      </c>
      <c r="C37" t="e">
        <f t="shared" ca="1" si="0"/>
        <v>#REF!</v>
      </c>
    </row>
    <row r="38" spans="2:3">
      <c r="B38" s="64" t="s">
        <v>2155</v>
      </c>
      <c r="C38" t="e">
        <f t="shared" ca="1" si="0"/>
        <v>#REF!</v>
      </c>
    </row>
    <row r="39" spans="2:3">
      <c r="B39" s="63" t="s">
        <v>2156</v>
      </c>
      <c r="C39" t="e">
        <f t="shared" ca="1" si="0"/>
        <v>#REF!</v>
      </c>
    </row>
    <row r="40" spans="2:3">
      <c r="B40" s="63" t="s">
        <v>2157</v>
      </c>
      <c r="C40" t="e">
        <f t="shared" ca="1" si="0"/>
        <v>#REF!</v>
      </c>
    </row>
    <row r="41" spans="2:3">
      <c r="B41" s="63" t="s">
        <v>2158</v>
      </c>
      <c r="C41">
        <f t="shared" ca="1" si="0"/>
        <v>0.25388708845325225</v>
      </c>
    </row>
    <row r="42" spans="2:3">
      <c r="B42" s="63" t="s">
        <v>2159</v>
      </c>
      <c r="C42">
        <f t="shared" ca="1" si="0"/>
        <v>0.28119014791446562</v>
      </c>
    </row>
    <row r="43" spans="2:3">
      <c r="B43" s="63" t="s">
        <v>2160</v>
      </c>
      <c r="C43">
        <f t="shared" ca="1" si="0"/>
        <v>0.24533947293666825</v>
      </c>
    </row>
    <row r="44" spans="2:3">
      <c r="B44" s="63" t="s">
        <v>2161</v>
      </c>
      <c r="C44" t="e">
        <f t="shared" ca="1" si="0"/>
        <v>#REF!</v>
      </c>
    </row>
    <row r="45" spans="2:3">
      <c r="B45" s="63" t="s">
        <v>2162</v>
      </c>
      <c r="C45" t="e">
        <f t="shared" ca="1" si="0"/>
        <v>#REF!</v>
      </c>
    </row>
    <row r="46" spans="2:3">
      <c r="B46" s="63" t="s">
        <v>2163</v>
      </c>
      <c r="C46" t="e">
        <f t="shared" ca="1" si="0"/>
        <v>#REF!</v>
      </c>
    </row>
    <row r="47" spans="2:3">
      <c r="B47" s="63" t="s">
        <v>2164</v>
      </c>
      <c r="C47">
        <f t="shared" ca="1" si="0"/>
        <v>0.25388708845325225</v>
      </c>
    </row>
    <row r="48" spans="2:3">
      <c r="B48" s="63" t="s">
        <v>2165</v>
      </c>
      <c r="C48">
        <f t="shared" ca="1" si="0"/>
        <v>22086597.211066131</v>
      </c>
    </row>
    <row r="49" spans="2:3">
      <c r="B49" s="63" t="s">
        <v>2166</v>
      </c>
      <c r="C49">
        <f t="shared" ca="1" si="0"/>
        <v>131812.77545285714</v>
      </c>
    </row>
    <row r="50" spans="2:3">
      <c r="B50" s="63" t="s">
        <v>2167</v>
      </c>
      <c r="C50">
        <f t="shared" ca="1" si="0"/>
        <v>0.31259999999999999</v>
      </c>
    </row>
    <row r="51" spans="2:3">
      <c r="B51" s="63" t="s">
        <v>2168</v>
      </c>
      <c r="C51">
        <f t="shared" ca="1" si="0"/>
        <v>118365.851</v>
      </c>
    </row>
    <row r="52" spans="2:3">
      <c r="B52" s="63" t="s">
        <v>2169</v>
      </c>
      <c r="C52">
        <f t="shared" ca="1" si="0"/>
        <v>118365.851</v>
      </c>
    </row>
    <row r="53" spans="2:3">
      <c r="B53" s="63" t="s">
        <v>2170</v>
      </c>
      <c r="C53">
        <f t="shared" ca="1" si="0"/>
        <v>0</v>
      </c>
    </row>
    <row r="54" spans="2:3">
      <c r="B54" s="63" t="s">
        <v>2171</v>
      </c>
      <c r="C54">
        <f t="shared" ca="1" si="0"/>
        <v>0.24651167537262095</v>
      </c>
    </row>
    <row r="55" spans="2:3">
      <c r="B55" s="63" t="s">
        <v>2172</v>
      </c>
      <c r="C55">
        <f t="shared" ca="1" si="0"/>
        <v>0</v>
      </c>
    </row>
    <row r="56" spans="2:3">
      <c r="B56" s="63" t="s">
        <v>2173</v>
      </c>
      <c r="C56">
        <f t="shared" ca="1" si="0"/>
        <v>0</v>
      </c>
    </row>
    <row r="57" spans="2:3">
      <c r="B57" s="63" t="s">
        <v>2174</v>
      </c>
      <c r="C57">
        <f t="shared" ca="1" si="0"/>
        <v>0.1823984696964667</v>
      </c>
    </row>
    <row r="58" spans="2:3">
      <c r="B58" s="63" t="s">
        <v>2175</v>
      </c>
      <c r="C58">
        <f t="shared" ca="1" si="0"/>
        <v>0.11886869625198027</v>
      </c>
    </row>
    <row r="59" spans="2:3">
      <c r="B59" s="63" t="s">
        <v>2176</v>
      </c>
      <c r="C59">
        <f t="shared" ca="1" si="0"/>
        <v>0.11886869625198027</v>
      </c>
    </row>
    <row r="60" spans="2:3">
      <c r="B60" s="63" t="s">
        <v>2177</v>
      </c>
      <c r="C60" t="e">
        <f t="shared" ca="1" si="0"/>
        <v>#REF!</v>
      </c>
    </row>
    <row r="61" spans="2:3">
      <c r="B61" s="63" t="s">
        <v>2178</v>
      </c>
      <c r="C61">
        <f t="shared" ca="1" si="0"/>
        <v>3.5380389647754695E-2</v>
      </c>
    </row>
    <row r="62" spans="2:3">
      <c r="B62" s="63" t="s">
        <v>2179</v>
      </c>
      <c r="C62">
        <f t="shared" ca="1" si="0"/>
        <v>0.16800000000000001</v>
      </c>
    </row>
    <row r="63" spans="2:3">
      <c r="B63" s="63" t="s">
        <v>2180</v>
      </c>
      <c r="C63">
        <f t="shared" ca="1" si="0"/>
        <v>4.7114645833847391E-2</v>
      </c>
    </row>
    <row r="64" spans="2:3">
      <c r="B64" s="63" t="s">
        <v>2181</v>
      </c>
      <c r="C64" t="e">
        <f t="shared" ca="1" si="0"/>
        <v>#REF!</v>
      </c>
    </row>
    <row r="65" spans="2:3">
      <c r="B65" s="63" t="s">
        <v>2182</v>
      </c>
      <c r="C65">
        <f t="shared" ca="1" si="0"/>
        <v>7.4591777693834183E-2</v>
      </c>
    </row>
    <row r="66" spans="2:3">
      <c r="B66" s="63" t="s">
        <v>2183</v>
      </c>
      <c r="C66">
        <f t="shared" ca="1" si="0"/>
        <v>9.3438828854523787E-2</v>
      </c>
    </row>
    <row r="67" spans="2:3">
      <c r="B67" s="63" t="s">
        <v>2184</v>
      </c>
      <c r="C67">
        <f t="shared" ref="C67:C130" ca="1" si="1">INDIRECT(B67)</f>
        <v>-7.9032577877679571E-3</v>
      </c>
    </row>
    <row r="68" spans="2:3">
      <c r="B68" s="63" t="s">
        <v>2185</v>
      </c>
      <c r="C68">
        <f t="shared" ca="1" si="1"/>
        <v>-5.8700000000000002E-2</v>
      </c>
    </row>
    <row r="69" spans="2:3">
      <c r="B69" s="63" t="s">
        <v>2186</v>
      </c>
      <c r="C69">
        <f t="shared" ca="1" si="1"/>
        <v>-341663.26673667243</v>
      </c>
    </row>
    <row r="70" spans="2:3">
      <c r="B70" s="63" t="s">
        <v>2187</v>
      </c>
      <c r="C70" t="str">
        <f t="shared" ca="1" si="1"/>
        <v>Cooperativa de Distribuição de Energia</v>
      </c>
    </row>
    <row r="71" spans="2:3">
      <c r="B71" s="63" t="s">
        <v>2188</v>
      </c>
      <c r="C71" t="e">
        <f t="shared" ca="1" si="1"/>
        <v>#REF!</v>
      </c>
    </row>
    <row r="72" spans="2:3">
      <c r="B72" s="63" t="s">
        <v>2189</v>
      </c>
      <c r="C72" t="str">
        <f t="shared" ca="1" si="1"/>
        <v>39/2010</v>
      </c>
    </row>
    <row r="73" spans="2:3">
      <c r="B73" s="63" t="s">
        <v>2190</v>
      </c>
      <c r="C73" t="str">
        <f t="shared" ca="1" si="1"/>
        <v>48500.004968/2021-33</v>
      </c>
    </row>
    <row r="74" spans="2:3">
      <c r="B74" s="63" t="s">
        <v>2191</v>
      </c>
      <c r="C74">
        <f t="shared" ca="1" si="1"/>
        <v>0.50426454318731595</v>
      </c>
    </row>
    <row r="75" spans="2:3">
      <c r="B75" s="63" t="s">
        <v>2192</v>
      </c>
      <c r="C75">
        <f t="shared" ca="1" si="1"/>
        <v>0.49573545681268411</v>
      </c>
    </row>
    <row r="76" spans="2:3">
      <c r="B76" s="63" t="s">
        <v>2193</v>
      </c>
      <c r="C76">
        <f t="shared" ca="1" si="1"/>
        <v>0.10503139220058766</v>
      </c>
    </row>
    <row r="77" spans="2:3">
      <c r="B77" s="63" t="s">
        <v>2194</v>
      </c>
      <c r="C77">
        <f t="shared" ca="1" si="1"/>
        <v>1.5362754881659267E-2</v>
      </c>
    </row>
    <row r="78" spans="2:3">
      <c r="B78" s="63" t="s">
        <v>2195</v>
      </c>
      <c r="C78">
        <f t="shared" ca="1" si="1"/>
        <v>13446.92445285714</v>
      </c>
    </row>
    <row r="79" spans="2:3">
      <c r="B79" s="63" t="s">
        <v>2196</v>
      </c>
      <c r="C79">
        <f t="shared" ca="1" si="1"/>
        <v>7.5466649409501374E-2</v>
      </c>
    </row>
    <row r="80" spans="2:3">
      <c r="B80" s="63" t="s">
        <v>2197</v>
      </c>
      <c r="C80">
        <f t="shared" ca="1" si="1"/>
        <v>1010289.0827403127</v>
      </c>
    </row>
    <row r="81" spans="2:3">
      <c r="B81" s="63" t="s">
        <v>2198</v>
      </c>
      <c r="C81">
        <f t="shared" ca="1" si="1"/>
        <v>1010289.0827403127</v>
      </c>
    </row>
    <row r="82" spans="2:3">
      <c r="B82" s="64" t="s">
        <v>2199</v>
      </c>
      <c r="C82">
        <f t="shared" ca="1" si="1"/>
        <v>2068.1152777892089</v>
      </c>
    </row>
    <row r="83" spans="2:3">
      <c r="B83" s="63" t="s">
        <v>2200</v>
      </c>
      <c r="C83">
        <f t="shared" ca="1" si="1"/>
        <v>88715758.403659984</v>
      </c>
    </row>
    <row r="84" spans="2:3">
      <c r="B84" s="63" t="s">
        <v>2201</v>
      </c>
      <c r="C84">
        <f t="shared" ca="1" si="1"/>
        <v>0</v>
      </c>
    </row>
    <row r="85" spans="2:3">
      <c r="B85" s="63" t="s">
        <v>2202</v>
      </c>
      <c r="C85">
        <f t="shared" ca="1" si="1"/>
        <v>0</v>
      </c>
    </row>
    <row r="86" spans="2:3">
      <c r="B86" s="63" t="s">
        <v>2203</v>
      </c>
      <c r="C86" t="str">
        <f t="shared" ca="1" si="1"/>
        <v>julho de 2021 a junho de 2022</v>
      </c>
    </row>
    <row r="87" spans="2:3">
      <c r="B87" s="63" t="s">
        <v>2204</v>
      </c>
      <c r="C87">
        <f t="shared" ca="1" si="1"/>
        <v>0</v>
      </c>
    </row>
    <row r="88" spans="2:3">
      <c r="B88" s="63" t="s">
        <v>2205</v>
      </c>
      <c r="C88" t="str">
        <f t="shared" ca="1" si="1"/>
        <v>Creluz</v>
      </c>
    </row>
    <row r="89" spans="2:3">
      <c r="B89" s="63" t="s">
        <v>2206</v>
      </c>
      <c r="C89">
        <f t="shared" ca="1" si="1"/>
        <v>-20761269.154540893</v>
      </c>
    </row>
    <row r="90" spans="2:3">
      <c r="B90" s="63" t="s">
        <v>2207</v>
      </c>
      <c r="C90" t="e">
        <f t="shared" ca="1" si="1"/>
        <v>#REF!</v>
      </c>
    </row>
    <row r="91" spans="2:3">
      <c r="B91" s="64" t="s">
        <v>2208</v>
      </c>
      <c r="C91">
        <f t="shared" ca="1" si="1"/>
        <v>14041281.290248398</v>
      </c>
    </row>
    <row r="92" spans="2:3">
      <c r="B92" s="64" t="s">
        <v>2209</v>
      </c>
      <c r="C92">
        <f t="shared" ca="1" si="1"/>
        <v>0.16569999999999999</v>
      </c>
    </row>
    <row r="93" spans="2:3">
      <c r="B93" s="64" t="s">
        <v>2210</v>
      </c>
      <c r="C93">
        <f t="shared" ca="1" si="1"/>
        <v>0.34989999999999999</v>
      </c>
    </row>
    <row r="94" spans="2:3">
      <c r="B94" s="64" t="s">
        <v>2211</v>
      </c>
      <c r="C94">
        <f t="shared" ca="1" si="1"/>
        <v>-4.7600000000000003E-2</v>
      </c>
    </row>
    <row r="95" spans="2:3">
      <c r="B95" s="64" t="s">
        <v>2212</v>
      </c>
      <c r="C95" t="e">
        <f t="shared" ca="1" si="1"/>
        <v>#VALUE!</v>
      </c>
    </row>
    <row r="96" spans="2:3">
      <c r="B96" s="64" t="s">
        <v>2213</v>
      </c>
      <c r="C96" t="e">
        <f t="shared" ca="1" si="1"/>
        <v>#VALUE!</v>
      </c>
    </row>
    <row r="97" spans="2:3">
      <c r="B97" s="64" t="s">
        <v>2214</v>
      </c>
      <c r="C97" t="e">
        <f t="shared" ca="1" si="1"/>
        <v>#VALUE!</v>
      </c>
    </row>
    <row r="98" spans="2:3">
      <c r="B98" s="64" t="s">
        <v>2215</v>
      </c>
      <c r="C98" t="e">
        <f t="shared" ca="1" si="1"/>
        <v>#VALUE!</v>
      </c>
    </row>
    <row r="99" spans="2:3">
      <c r="B99" s="63" t="s">
        <v>2216</v>
      </c>
      <c r="C99" t="e">
        <f t="shared" ca="1" si="1"/>
        <v>#VALUE!</v>
      </c>
    </row>
    <row r="100" spans="2:3">
      <c r="B100" s="64" t="s">
        <v>2217</v>
      </c>
      <c r="C100" t="e">
        <f t="shared" ca="1" si="1"/>
        <v>#VALUE!</v>
      </c>
    </row>
    <row r="101" spans="2:3">
      <c r="B101" s="63" t="s">
        <v>2218</v>
      </c>
      <c r="C101" t="e">
        <f t="shared" ca="1" si="1"/>
        <v>#VALUE!</v>
      </c>
    </row>
    <row r="102" spans="2:3">
      <c r="B102" s="63" t="s">
        <v>2219</v>
      </c>
      <c r="C102" t="e">
        <f t="shared" ca="1" si="1"/>
        <v>#VALUE!</v>
      </c>
    </row>
    <row r="103" spans="2:3">
      <c r="B103" s="63" t="s">
        <v>2220</v>
      </c>
      <c r="C103" t="e">
        <f t="shared" ca="1" si="1"/>
        <v>#VALUE!</v>
      </c>
    </row>
    <row r="104" spans="2:3">
      <c r="B104" s="63" t="s">
        <v>2221</v>
      </c>
      <c r="C104" t="e">
        <f t="shared" ca="1" si="1"/>
        <v>#VALUE!</v>
      </c>
    </row>
    <row r="105" spans="2:3">
      <c r="B105" s="63" t="s">
        <v>2222</v>
      </c>
      <c r="C105" t="e">
        <f t="shared" ca="1" si="1"/>
        <v>#VALUE!</v>
      </c>
    </row>
    <row r="106" spans="2:3">
      <c r="B106" s="63" t="s">
        <v>2223</v>
      </c>
      <c r="C106" t="e">
        <f t="shared" ca="1" si="1"/>
        <v>#VALUE!</v>
      </c>
    </row>
    <row r="107" spans="2:3">
      <c r="B107" s="63" t="s">
        <v>2224</v>
      </c>
      <c r="C107" t="e">
        <f t="shared" ca="1" si="1"/>
        <v>#VALUE!</v>
      </c>
    </row>
    <row r="108" spans="2:3">
      <c r="B108" s="63" t="s">
        <v>2225</v>
      </c>
      <c r="C108" t="e">
        <f t="shared" ca="1" si="1"/>
        <v>#REF!</v>
      </c>
    </row>
    <row r="109" spans="2:3">
      <c r="B109" s="63" t="s">
        <v>2226</v>
      </c>
      <c r="C109" t="e">
        <f t="shared" ca="1" si="1"/>
        <v>#REF!</v>
      </c>
    </row>
    <row r="110" spans="2:3">
      <c r="B110" s="63" t="s">
        <v>2227</v>
      </c>
      <c r="C110" t="e">
        <f t="shared" ca="1" si="1"/>
        <v>#REF!</v>
      </c>
    </row>
    <row r="111" spans="2:3">
      <c r="B111" s="63" t="s">
        <v>2228</v>
      </c>
      <c r="C111" t="e">
        <f t="shared" ca="1" si="1"/>
        <v>#REF!</v>
      </c>
    </row>
    <row r="112" spans="2:3">
      <c r="B112" s="63" t="s">
        <v>2229</v>
      </c>
      <c r="C112" t="e">
        <f t="shared" ca="1" si="1"/>
        <v>#REF!</v>
      </c>
    </row>
    <row r="113" spans="2:3">
      <c r="B113" s="63" t="s">
        <v>2230</v>
      </c>
      <c r="C113" t="e">
        <f t="shared" ca="1" si="1"/>
        <v>#REF!</v>
      </c>
    </row>
    <row r="114" spans="2:3">
      <c r="B114" s="63" t="s">
        <v>2231</v>
      </c>
      <c r="C114" t="e">
        <f t="shared" ca="1" si="1"/>
        <v>#REF!</v>
      </c>
    </row>
    <row r="115" spans="2:3">
      <c r="B115" s="63" t="s">
        <v>2232</v>
      </c>
      <c r="C115">
        <f t="shared" ca="1" si="1"/>
        <v>0</v>
      </c>
    </row>
    <row r="116" spans="2:3">
      <c r="B116" s="64" t="s">
        <v>2233</v>
      </c>
      <c r="C116">
        <f t="shared" ca="1" si="1"/>
        <v>6816148.3122982113</v>
      </c>
    </row>
    <row r="117" spans="2:3">
      <c r="B117" s="63" t="s">
        <v>2234</v>
      </c>
      <c r="C117">
        <f t="shared" ca="1" si="1"/>
        <v>0</v>
      </c>
    </row>
    <row r="118" spans="2:3">
      <c r="B118" s="63" t="s">
        <v>2235</v>
      </c>
      <c r="C118">
        <f t="shared" ca="1" si="1"/>
        <v>0</v>
      </c>
    </row>
    <row r="119" spans="2:3">
      <c r="B119" s="64" t="s">
        <v>2236</v>
      </c>
      <c r="C119">
        <f t="shared" ca="1" si="1"/>
        <v>0</v>
      </c>
    </row>
    <row r="120" spans="2:3">
      <c r="B120" s="63" t="s">
        <v>2237</v>
      </c>
      <c r="C120">
        <f t="shared" ca="1" si="1"/>
        <v>598830.8355464706</v>
      </c>
    </row>
    <row r="121" spans="2:3">
      <c r="B121" s="63" t="s">
        <v>2238</v>
      </c>
      <c r="C121">
        <f t="shared" ca="1" si="1"/>
        <v>0</v>
      </c>
    </row>
    <row r="122" spans="2:3">
      <c r="B122" s="64" t="s">
        <v>2239</v>
      </c>
      <c r="C122">
        <f t="shared" ca="1" si="1"/>
        <v>0</v>
      </c>
    </row>
    <row r="123" spans="2:3">
      <c r="B123" s="63" t="s">
        <v>2240</v>
      </c>
      <c r="C123">
        <f t="shared" ca="1" si="1"/>
        <v>0</v>
      </c>
    </row>
    <row r="124" spans="2:3">
      <c r="B124" s="63" t="s">
        <v>2241</v>
      </c>
      <c r="C124">
        <f t="shared" ca="1" si="1"/>
        <v>0</v>
      </c>
    </row>
    <row r="125" spans="2:3">
      <c r="B125" s="64" t="s">
        <v>2242</v>
      </c>
      <c r="C125">
        <f t="shared" ca="1" si="1"/>
        <v>0</v>
      </c>
    </row>
    <row r="126" spans="2:3">
      <c r="B126" s="63" t="s">
        <v>2243</v>
      </c>
      <c r="C126">
        <f t="shared" ca="1" si="1"/>
        <v>1089862.2228940441</v>
      </c>
    </row>
    <row r="127" spans="2:3">
      <c r="B127" s="63" t="s">
        <v>2244</v>
      </c>
      <c r="C127">
        <f t="shared" ca="1" si="1"/>
        <v>0</v>
      </c>
    </row>
    <row r="128" spans="2:3">
      <c r="B128" s="64" t="s">
        <v>2245</v>
      </c>
      <c r="C128">
        <f t="shared" ca="1" si="1"/>
        <v>212045.12391727263</v>
      </c>
    </row>
    <row r="129" spans="2:3">
      <c r="B129" s="63" t="s">
        <v>2246</v>
      </c>
      <c r="C129">
        <f t="shared" ca="1" si="1"/>
        <v>118365.851</v>
      </c>
    </row>
    <row r="130" spans="2:3">
      <c r="B130" s="63" t="s">
        <v>2247</v>
      </c>
      <c r="C130">
        <f t="shared" ca="1" si="1"/>
        <v>88715758.403659984</v>
      </c>
    </row>
    <row r="131" spans="2:3">
      <c r="B131" s="64" t="s">
        <v>2248</v>
      </c>
      <c r="C131" t="str">
        <f t="shared" ref="C131:C194" ca="1" si="2">INDIRECT(B131)</f>
        <v>Convencional</v>
      </c>
    </row>
    <row r="132" spans="2:3">
      <c r="B132" s="63" t="s">
        <v>2249</v>
      </c>
      <c r="C132" t="e">
        <f t="shared" ca="1" si="2"/>
        <v>#VALUE!</v>
      </c>
    </row>
    <row r="133" spans="2:3">
      <c r="B133" s="64" t="s">
        <v>2250</v>
      </c>
      <c r="C133" t="e">
        <f t="shared" ca="1" si="2"/>
        <v>#REF!</v>
      </c>
    </row>
    <row r="134" spans="2:3">
      <c r="B134" s="63" t="s">
        <v>2251</v>
      </c>
      <c r="C134" t="e">
        <f t="shared" ca="1" si="2"/>
        <v>#REF!</v>
      </c>
    </row>
    <row r="135" spans="2:3">
      <c r="B135" s="63" t="s">
        <v>2252</v>
      </c>
      <c r="C135">
        <f t="shared" ca="1" si="2"/>
        <v>44713</v>
      </c>
    </row>
    <row r="136" spans="2:3">
      <c r="B136" s="63" t="s">
        <v>2253</v>
      </c>
      <c r="C136">
        <f t="shared" ca="1" si="2"/>
        <v>44378</v>
      </c>
    </row>
    <row r="137" spans="2:3">
      <c r="B137" s="63" t="s">
        <v>2254</v>
      </c>
      <c r="C137" t="e">
        <f t="shared" ca="1" si="2"/>
        <v>#REF!</v>
      </c>
    </row>
    <row r="138" spans="2:3">
      <c r="B138" s="63" t="s">
        <v>2255</v>
      </c>
      <c r="C138" t="e">
        <f t="shared" ca="1" si="2"/>
        <v>#REF!</v>
      </c>
    </row>
    <row r="139" spans="2:3">
      <c r="B139" s="63" t="s">
        <v>2256</v>
      </c>
      <c r="C139" t="e">
        <f t="shared" ca="1" si="2"/>
        <v>#REF!</v>
      </c>
    </row>
    <row r="140" spans="2:3">
      <c r="B140" s="63" t="s">
        <v>2257</v>
      </c>
      <c r="C140">
        <f t="shared" ca="1" si="2"/>
        <v>0</v>
      </c>
    </row>
    <row r="141" spans="2:3">
      <c r="B141" s="63" t="s">
        <v>2258</v>
      </c>
      <c r="C141" t="e">
        <f t="shared" ca="1" si="2"/>
        <v>#VALUE!</v>
      </c>
    </row>
    <row r="142" spans="2:3">
      <c r="B142" s="63" t="s">
        <v>2259</v>
      </c>
      <c r="C142" t="e">
        <f t="shared" ca="1" si="2"/>
        <v>#VALUE!</v>
      </c>
    </row>
    <row r="143" spans="2:3">
      <c r="B143" s="63" t="s">
        <v>2260</v>
      </c>
      <c r="C143" t="e">
        <f t="shared" ca="1" si="2"/>
        <v>#VALUE!</v>
      </c>
    </row>
    <row r="144" spans="2:3">
      <c r="B144" s="63" t="s">
        <v>2261</v>
      </c>
      <c r="C144" t="e">
        <f t="shared" ca="1" si="2"/>
        <v>#VALUE!</v>
      </c>
    </row>
    <row r="145" spans="2:3">
      <c r="B145" s="63" t="s">
        <v>2262</v>
      </c>
      <c r="C145" t="e">
        <f t="shared" ca="1" si="2"/>
        <v>#VALUE!</v>
      </c>
    </row>
    <row r="146" spans="2:3">
      <c r="B146" s="64" t="s">
        <v>2263</v>
      </c>
      <c r="C146" t="e">
        <f t="shared" ca="1" si="2"/>
        <v>#REF!</v>
      </c>
    </row>
    <row r="147" spans="2:3">
      <c r="B147" s="64" t="s">
        <v>2264</v>
      </c>
      <c r="C147" t="e">
        <f t="shared" ca="1" si="2"/>
        <v>#REF!</v>
      </c>
    </row>
    <row r="148" spans="2:3">
      <c r="B148" s="64" t="s">
        <v>2265</v>
      </c>
      <c r="C148" t="e">
        <f t="shared" ca="1" si="2"/>
        <v>#REF!</v>
      </c>
    </row>
    <row r="149" spans="2:3">
      <c r="B149" s="64" t="s">
        <v>2266</v>
      </c>
      <c r="C149" t="e">
        <f t="shared" ca="1" si="2"/>
        <v>#REF!</v>
      </c>
    </row>
    <row r="150" spans="2:3">
      <c r="B150" s="64" t="s">
        <v>2267</v>
      </c>
      <c r="C150" t="e">
        <f t="shared" ca="1" si="2"/>
        <v>#REF!</v>
      </c>
    </row>
    <row r="151" spans="2:3">
      <c r="B151" s="64" t="s">
        <v>2268</v>
      </c>
      <c r="C151" t="e">
        <f t="shared" ca="1" si="2"/>
        <v>#REF!</v>
      </c>
    </row>
    <row r="152" spans="2:3">
      <c r="B152" s="64" t="s">
        <v>2269</v>
      </c>
      <c r="C152" t="e">
        <f t="shared" ca="1" si="2"/>
        <v>#REF!</v>
      </c>
    </row>
    <row r="153" spans="2:3">
      <c r="B153" s="64" t="s">
        <v>2270</v>
      </c>
      <c r="C153" t="e">
        <f t="shared" ca="1" si="2"/>
        <v>#REF!</v>
      </c>
    </row>
    <row r="154" spans="2:3">
      <c r="B154" s="63" t="s">
        <v>2271</v>
      </c>
      <c r="C154" t="e">
        <f t="shared" ca="1" si="2"/>
        <v>#VALUE!</v>
      </c>
    </row>
    <row r="155" spans="2:3">
      <c r="B155" s="63" t="s">
        <v>2272</v>
      </c>
      <c r="C155" t="e">
        <f t="shared" ca="1" si="2"/>
        <v>#VALUE!</v>
      </c>
    </row>
    <row r="156" spans="2:3">
      <c r="B156" s="63" t="s">
        <v>2273</v>
      </c>
      <c r="C156" t="e">
        <f t="shared" ca="1" si="2"/>
        <v>#VALUE!</v>
      </c>
    </row>
    <row r="157" spans="2:3">
      <c r="B157" s="63" t="s">
        <v>2274</v>
      </c>
      <c r="C157" t="e">
        <f t="shared" ca="1" si="2"/>
        <v>#VALUE!</v>
      </c>
    </row>
    <row r="158" spans="2:3">
      <c r="B158" s="63" t="s">
        <v>2275</v>
      </c>
      <c r="C158" t="e">
        <f t="shared" ca="1" si="2"/>
        <v>#REF!</v>
      </c>
    </row>
    <row r="159" spans="2:3">
      <c r="B159" s="63" t="s">
        <v>2276</v>
      </c>
      <c r="C159" t="e">
        <f t="shared" ca="1" si="2"/>
        <v>#VALUE!</v>
      </c>
    </row>
    <row r="160" spans="2:3">
      <c r="B160" s="63" t="s">
        <v>2277</v>
      </c>
      <c r="C160" t="e">
        <f t="shared" ca="1" si="2"/>
        <v>#VALUE!</v>
      </c>
    </row>
    <row r="161" spans="2:3">
      <c r="B161" s="63" t="s">
        <v>2278</v>
      </c>
      <c r="C161" t="e">
        <f t="shared" ca="1" si="2"/>
        <v>#VALUE!</v>
      </c>
    </row>
    <row r="162" spans="2:3">
      <c r="B162" s="63" t="s">
        <v>2279</v>
      </c>
      <c r="C162" t="e">
        <f t="shared" ca="1" si="2"/>
        <v>#VALUE!</v>
      </c>
    </row>
    <row r="163" spans="2:3">
      <c r="B163" s="63" t="s">
        <v>2280</v>
      </c>
      <c r="C163" t="e">
        <f t="shared" ca="1" si="2"/>
        <v>#VALUE!</v>
      </c>
    </row>
    <row r="164" spans="2:3">
      <c r="B164" s="63" t="s">
        <v>2281</v>
      </c>
      <c r="C164" t="e">
        <f t="shared" ca="1" si="2"/>
        <v>#VALUE!</v>
      </c>
    </row>
    <row r="165" spans="2:3">
      <c r="B165" s="63" t="s">
        <v>2282</v>
      </c>
      <c r="C165" t="e">
        <f t="shared" ca="1" si="2"/>
        <v>#VALUE!</v>
      </c>
    </row>
    <row r="166" spans="2:3">
      <c r="B166" s="63" t="s">
        <v>2283</v>
      </c>
      <c r="C166" t="e">
        <f t="shared" ca="1" si="2"/>
        <v>#VALUE!</v>
      </c>
    </row>
    <row r="167" spans="2:3">
      <c r="B167" s="63" t="s">
        <v>2284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microsoft.com/office/2006/metadata/properties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34</vt:i4>
      </vt:variant>
      <vt:variant>
        <vt:lpstr>Intervalos Nomeados</vt:lpstr>
      </vt:variant>
      <vt:variant>
        <vt:i4>228</vt:i4>
      </vt:variant>
    </vt:vector>
  </HeadingPairs>
  <TitlesOfParts>
    <vt:vector size="262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ICMS</vt:lpstr>
      <vt:lpstr>PIS_COFINS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Resultado!Area_de_impressao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cp:lastPrinted>2022-07-07T19:30:32Z</cp:lastPrinted>
  <dcterms:created xsi:type="dcterms:W3CDTF">2010-06-23T20:02:24Z</dcterms:created>
  <dcterms:modified xsi:type="dcterms:W3CDTF">2022-07-29T15:48:18Z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